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ryant.vu\Documents\Python_Scripts\"/>
    </mc:Choice>
  </mc:AlternateContent>
  <xr:revisionPtr revIDLastSave="0" documentId="13_ncr:1_{66F1DEAB-10A9-46BE-A66B-A46484A2C8D5}" xr6:coauthVersionLast="41" xr6:coauthVersionMax="41" xr10:uidLastSave="{00000000-0000-0000-0000-000000000000}"/>
  <bookViews>
    <workbookView xWindow="28680" yWindow="-120" windowWidth="29040" windowHeight="15840" activeTab="14" xr2:uid="{00000000-000D-0000-FFFF-FFFF00000000}"/>
  </bookViews>
  <sheets>
    <sheet name="About" sheetId="37" r:id="rId1"/>
    <sheet name="Lookup" sheetId="38" r:id="rId2"/>
    <sheet name="LM Offers" sheetId="63" r:id="rId3"/>
    <sheet name="Offers" sheetId="65" r:id="rId4"/>
    <sheet name="Input" sheetId="39" r:id="rId5"/>
    <sheet name="Scenarios" sheetId="75" r:id="rId6"/>
    <sheet name="Input(+)" sheetId="57" state="hidden" r:id="rId7"/>
    <sheet name="LC Calib" sheetId="52" r:id="rId8"/>
    <sheet name="DSS_Calc" sheetId="40" r:id="rId9"/>
    <sheet name="L1" sheetId="58" r:id="rId10"/>
    <sheet name="L2" sheetId="66" r:id="rId11"/>
    <sheet name="Output (LFC)" sheetId="62" state="hidden" r:id="rId12"/>
    <sheet name="L3" sheetId="67" r:id="rId13"/>
    <sheet name="R1" sheetId="68" r:id="rId14"/>
    <sheet name="R2" sheetId="69" r:id="rId15"/>
    <sheet name="Dum" sheetId="71" state="hidden" r:id="rId16"/>
    <sheet name="National" sheetId="73" r:id="rId17"/>
    <sheet name="Summary" sheetId="70" r:id="rId18"/>
    <sheet name="QC" sheetId="44" state="hidden" r:id="rId19"/>
    <sheet name="Scenario Rec" sheetId="61" state="hidden" r:id="rId20"/>
    <sheet name="Nissan Regional Table" sheetId="59" state="hidden" r:id="rId21"/>
  </sheets>
  <externalReferences>
    <externalReference r:id="rId22"/>
  </externalReferences>
  <definedNames>
    <definedName name="_xlnm._FilterDatabase" localSheetId="8" hidden="1">DSS_Calc!$A$98:$D$700</definedName>
    <definedName name="_xlnm._FilterDatabase" localSheetId="15" hidden="1">Dum!$BA$28:$BL$72</definedName>
    <definedName name="_xlnm._FilterDatabase" localSheetId="9" hidden="1">'L1'!$BA$28:$BL$72</definedName>
    <definedName name="_xlnm._FilterDatabase" localSheetId="10" hidden="1">'L2'!$BA$28:$BL$72</definedName>
    <definedName name="_xlnm._FilterDatabase" localSheetId="12" hidden="1">'L3'!$BA$28:$BL$72</definedName>
    <definedName name="_xlnm._FilterDatabase" localSheetId="7" hidden="1">'LC Calib'!$A$17:$HM$49</definedName>
    <definedName name="_xlnm._FilterDatabase" localSheetId="1" hidden="1">Lookup!#REF!</definedName>
    <definedName name="_xlnm._FilterDatabase" localSheetId="11"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0" r:id="rId23"/>
    <pivotCache cacheId="1" r:id="rId24"/>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0" i="39" l="1"/>
  <c r="R21" i="39"/>
  <c r="R22" i="39"/>
  <c r="R23" i="39"/>
  <c r="P24" i="39"/>
  <c r="P23" i="39"/>
  <c r="P22" i="39"/>
  <c r="P21" i="39"/>
  <c r="P20" i="39" s="1"/>
  <c r="N24" i="39"/>
  <c r="N23" i="39"/>
  <c r="N22" i="39"/>
  <c r="N21" i="39"/>
  <c r="N20" i="39"/>
  <c r="L24" i="39"/>
  <c r="L23" i="39"/>
  <c r="L22" i="39"/>
  <c r="L21" i="39"/>
  <c r="L20" i="39" s="1"/>
  <c r="J24" i="39"/>
  <c r="J23" i="39"/>
  <c r="J22" i="39"/>
  <c r="J21" i="39"/>
  <c r="J20" i="39"/>
  <c r="H24" i="39"/>
  <c r="H23" i="39"/>
  <c r="H21" i="39"/>
  <c r="S120" i="39" l="1"/>
  <c r="R120" i="39"/>
  <c r="Q120" i="39"/>
  <c r="P120" i="39"/>
  <c r="O120" i="39"/>
  <c r="N120" i="39"/>
  <c r="M120" i="39"/>
  <c r="L120" i="39"/>
  <c r="K120" i="39"/>
  <c r="J120" i="39"/>
  <c r="S117" i="39"/>
  <c r="R117" i="39"/>
  <c r="Q117" i="39"/>
  <c r="P117" i="39"/>
  <c r="O117" i="39"/>
  <c r="N117" i="39"/>
  <c r="M117" i="39"/>
  <c r="L117" i="39"/>
  <c r="K117" i="39"/>
  <c r="J117" i="39"/>
  <c r="S114" i="39"/>
  <c r="R114" i="39"/>
  <c r="Q114" i="39"/>
  <c r="P114" i="39"/>
  <c r="O114" i="39"/>
  <c r="N114" i="39"/>
  <c r="K114" i="39"/>
  <c r="J114" i="39"/>
  <c r="S111" i="39"/>
  <c r="R111" i="39"/>
  <c r="Q111" i="39"/>
  <c r="P111" i="39"/>
  <c r="O111" i="39"/>
  <c r="N111" i="39"/>
  <c r="M111" i="39"/>
  <c r="L111" i="39"/>
  <c r="K111" i="39"/>
  <c r="J111" i="39"/>
  <c r="S108" i="39"/>
  <c r="R108" i="39"/>
  <c r="P108" i="39"/>
  <c r="O108" i="39"/>
  <c r="N108" i="39"/>
  <c r="L108" i="39"/>
  <c r="K108" i="39"/>
  <c r="J108" i="39"/>
  <c r="S109" i="39"/>
  <c r="R109" i="39"/>
  <c r="O109" i="39"/>
  <c r="N109" i="39"/>
  <c r="K109" i="39"/>
  <c r="J109" i="39"/>
  <c r="S112" i="39"/>
  <c r="R112" i="39"/>
  <c r="Q112" i="39"/>
  <c r="P112" i="39"/>
  <c r="O112" i="39"/>
  <c r="N112" i="39"/>
  <c r="M112" i="39"/>
  <c r="L112" i="39"/>
  <c r="K112" i="39"/>
  <c r="J112" i="39"/>
  <c r="S121" i="39"/>
  <c r="R121" i="39"/>
  <c r="Q121" i="39"/>
  <c r="P121" i="39"/>
  <c r="O121" i="39"/>
  <c r="N121" i="39"/>
  <c r="M121" i="39"/>
  <c r="L121" i="39"/>
  <c r="K121" i="39"/>
  <c r="J121" i="39"/>
  <c r="S118" i="39"/>
  <c r="R118" i="39"/>
  <c r="Q118" i="39"/>
  <c r="P118" i="39"/>
  <c r="O118" i="39"/>
  <c r="N118" i="39"/>
  <c r="M118" i="39"/>
  <c r="L118" i="39"/>
  <c r="K118" i="39"/>
  <c r="J118" i="39"/>
  <c r="S115" i="39"/>
  <c r="R115" i="39"/>
  <c r="Q115" i="39"/>
  <c r="P115" i="39"/>
  <c r="O115" i="39"/>
  <c r="N115" i="39"/>
  <c r="K115" i="39"/>
  <c r="J115" i="39"/>
  <c r="AF319" i="40" l="1"/>
  <c r="AG319" i="40"/>
  <c r="AE319" i="40"/>
  <c r="AI319" i="40"/>
  <c r="AC319" i="40"/>
  <c r="AJ600" i="40"/>
  <c r="AI600" i="40"/>
  <c r="AH600" i="40"/>
  <c r="AG600" i="40"/>
  <c r="AF600" i="40"/>
  <c r="AE600" i="40"/>
  <c r="AD600" i="40"/>
  <c r="AC600" i="40"/>
  <c r="AB600" i="40"/>
  <c r="AA600" i="40"/>
  <c r="Z600" i="40"/>
  <c r="Y600" i="40"/>
  <c r="X600" i="40"/>
  <c r="W600" i="40"/>
  <c r="V600" i="40"/>
  <c r="U600" i="40"/>
  <c r="T600" i="40"/>
  <c r="S600" i="40"/>
  <c r="R600" i="40"/>
  <c r="Q600" i="40"/>
  <c r="P600" i="40"/>
  <c r="O600" i="40"/>
  <c r="N600" i="40"/>
  <c r="M600" i="40"/>
  <c r="L600" i="40"/>
  <c r="K600" i="40"/>
  <c r="J600" i="40"/>
  <c r="I600" i="40"/>
  <c r="H600" i="40"/>
  <c r="G600" i="40"/>
  <c r="F600" i="40"/>
  <c r="E600" i="40"/>
  <c r="F201" i="40"/>
  <c r="G201" i="40"/>
  <c r="H201" i="40"/>
  <c r="I201" i="40"/>
  <c r="J201" i="40"/>
  <c r="K201" i="40"/>
  <c r="L201" i="40"/>
  <c r="M201" i="40"/>
  <c r="N201" i="40"/>
  <c r="O201" i="40"/>
  <c r="P201" i="40"/>
  <c r="AA201" i="40"/>
  <c r="AB201" i="40"/>
  <c r="AC201" i="40"/>
  <c r="AE201" i="40"/>
  <c r="AF201" i="40"/>
  <c r="AG201" i="40"/>
  <c r="AH201" i="40"/>
  <c r="AI201" i="40"/>
  <c r="F301" i="40"/>
  <c r="G301" i="40"/>
  <c r="H301" i="40"/>
  <c r="I301" i="40"/>
  <c r="J301" i="40"/>
  <c r="K301" i="40"/>
  <c r="L301" i="40"/>
  <c r="M301" i="40"/>
  <c r="N301" i="40"/>
  <c r="O301" i="40"/>
  <c r="P301" i="40"/>
  <c r="AA301" i="40"/>
  <c r="AB301" i="40"/>
  <c r="AE301" i="40"/>
  <c r="AF301" i="40"/>
  <c r="AG301" i="40"/>
  <c r="AH301" i="40"/>
  <c r="AI301" i="40"/>
  <c r="F401" i="40"/>
  <c r="G401" i="40"/>
  <c r="H401" i="40"/>
  <c r="I401" i="40"/>
  <c r="J401" i="40"/>
  <c r="K401" i="40"/>
  <c r="L401" i="40"/>
  <c r="M401" i="40"/>
  <c r="N401" i="40"/>
  <c r="O401" i="40"/>
  <c r="P401" i="40"/>
  <c r="AA401" i="40"/>
  <c r="AB401" i="40"/>
  <c r="AE401" i="40"/>
  <c r="AF401" i="40"/>
  <c r="AG401" i="40"/>
  <c r="AH401" i="40"/>
  <c r="AI401" i="40"/>
  <c r="F501" i="40"/>
  <c r="G501" i="40"/>
  <c r="H501" i="40"/>
  <c r="I501" i="40"/>
  <c r="J501" i="40"/>
  <c r="K501" i="40"/>
  <c r="L501" i="40"/>
  <c r="M501" i="40"/>
  <c r="N501" i="40"/>
  <c r="O501" i="40"/>
  <c r="P501" i="40"/>
  <c r="AA501" i="40"/>
  <c r="AB501" i="40"/>
  <c r="AE501" i="40"/>
  <c r="AF501" i="40"/>
  <c r="AG501" i="40"/>
  <c r="AH501" i="40"/>
  <c r="AI501" i="40"/>
  <c r="A200" i="75"/>
  <c r="A199" i="75"/>
  <c r="A198" i="75"/>
  <c r="A197" i="75"/>
  <c r="A196" i="75"/>
  <c r="A195" i="75"/>
  <c r="A194" i="75"/>
  <c r="A193" i="75"/>
  <c r="A192" i="75"/>
  <c r="A191" i="75"/>
  <c r="A190" i="75"/>
  <c r="A189" i="75"/>
  <c r="A188" i="75"/>
  <c r="A187" i="75"/>
  <c r="A185" i="75"/>
  <c r="A182" i="75"/>
  <c r="A180" i="75"/>
  <c r="A179" i="75"/>
  <c r="A178" i="75"/>
  <c r="A177" i="75"/>
  <c r="A176" i="75"/>
  <c r="A175" i="75"/>
  <c r="A172" i="75"/>
  <c r="A171" i="75"/>
  <c r="A170" i="75"/>
  <c r="A169" i="75"/>
  <c r="A164" i="75"/>
  <c r="A163" i="75"/>
  <c r="A162" i="75"/>
  <c r="A161" i="75"/>
  <c r="A160" i="75"/>
  <c r="A159" i="75"/>
  <c r="A158" i="75"/>
  <c r="A157" i="75"/>
  <c r="A156" i="75"/>
  <c r="A155" i="75"/>
  <c r="A154" i="75"/>
  <c r="A153" i="75"/>
  <c r="A152" i="75"/>
  <c r="A151" i="75"/>
  <c r="A150" i="75"/>
  <c r="A149" i="75"/>
  <c r="A148" i="75"/>
  <c r="A147" i="75"/>
  <c r="A146" i="75"/>
  <c r="A145" i="75"/>
  <c r="A144" i="75"/>
  <c r="A143" i="75"/>
  <c r="A142" i="75"/>
  <c r="A141" i="75"/>
  <c r="A140" i="75"/>
  <c r="A139" i="75"/>
  <c r="A138" i="75"/>
  <c r="A137" i="75"/>
  <c r="A136" i="75"/>
  <c r="A135" i="75"/>
  <c r="A134" i="75"/>
  <c r="A133" i="75"/>
  <c r="A132" i="75"/>
  <c r="A131" i="75"/>
  <c r="A130" i="75"/>
  <c r="A129" i="75"/>
  <c r="A128" i="75"/>
  <c r="A127" i="75"/>
  <c r="A124" i="75"/>
  <c r="A123" i="75"/>
  <c r="A121" i="75"/>
  <c r="A181" i="75"/>
  <c r="B186" i="75" l="1"/>
  <c r="AJ301" i="40"/>
  <c r="AJ201" i="40"/>
  <c r="B182" i="75"/>
  <c r="KU701" i="40" l="1"/>
  <c r="KN701" i="40"/>
  <c r="KB701" i="40"/>
  <c r="JO701" i="40"/>
  <c r="JP701" i="40"/>
  <c r="JM700" i="40"/>
  <c r="IB700" i="40"/>
  <c r="JA700" i="40" s="1"/>
  <c r="HY700" i="40"/>
  <c r="IX700" i="40" s="1"/>
  <c r="IC700" i="40"/>
  <c r="JB700" i="40" s="1"/>
  <c r="ID700" i="40"/>
  <c r="JC700" i="40" s="1"/>
  <c r="HZ700" i="40"/>
  <c r="HN700" i="40" s="1"/>
  <c r="IA700" i="40"/>
  <c r="IZ700" i="40" s="1"/>
  <c r="ID688" i="40"/>
  <c r="JC688" i="40" s="1"/>
  <c r="IA688" i="40"/>
  <c r="ID689" i="40"/>
  <c r="JC689" i="40" s="1"/>
  <c r="IA689" i="40"/>
  <c r="IZ689" i="40" s="1"/>
  <c r="ID690" i="40"/>
  <c r="JC690" i="40" s="1"/>
  <c r="IA690" i="40"/>
  <c r="IZ690" i="40" s="1"/>
  <c r="ID691" i="40"/>
  <c r="IA691" i="40"/>
  <c r="IZ691" i="40" s="1"/>
  <c r="ID692" i="40"/>
  <c r="JC692" i="40" s="1"/>
  <c r="IA692" i="40"/>
  <c r="HO692" i="40" s="1"/>
  <c r="IZ692" i="40"/>
  <c r="ID693" i="40"/>
  <c r="JC693" i="40" s="1"/>
  <c r="IA693" i="40"/>
  <c r="IZ693" i="40" s="1"/>
  <c r="ID694" i="40"/>
  <c r="JC694" i="40"/>
  <c r="IA694" i="40"/>
  <c r="IZ694" i="40" s="1"/>
  <c r="ID695" i="40"/>
  <c r="IA695" i="40"/>
  <c r="IZ695" i="40" s="1"/>
  <c r="ID696" i="40"/>
  <c r="JC696" i="40" s="1"/>
  <c r="IA696" i="40"/>
  <c r="ID697" i="40"/>
  <c r="JC697" i="40" s="1"/>
  <c r="IA697" i="40"/>
  <c r="ID698" i="40"/>
  <c r="JC698" i="40" s="1"/>
  <c r="IA698" i="40"/>
  <c r="IZ698" i="40" s="1"/>
  <c r="ID699" i="40"/>
  <c r="IA699" i="40"/>
  <c r="IZ699" i="40" s="1"/>
  <c r="KB700" i="40"/>
  <c r="JL700" i="40"/>
  <c r="JX700" i="40" s="1"/>
  <c r="JG700" i="40"/>
  <c r="JF700" i="40" s="1"/>
  <c r="HV700" i="40"/>
  <c r="HW700" i="40"/>
  <c r="HX700" i="40"/>
  <c r="HS700" i="40"/>
  <c r="HT700" i="40"/>
  <c r="HU700" i="40"/>
  <c r="HP700" i="40"/>
  <c r="HQ700" i="40"/>
  <c r="HR700" i="40"/>
  <c r="JM699" i="40"/>
  <c r="IB699" i="40"/>
  <c r="JA699" i="40" s="1"/>
  <c r="HY699" i="40"/>
  <c r="IC699" i="40"/>
  <c r="JB699" i="40" s="1"/>
  <c r="HZ699" i="40"/>
  <c r="HN699" i="40" s="1"/>
  <c r="KB699" i="40"/>
  <c r="JL699" i="40"/>
  <c r="JX699" i="40" s="1"/>
  <c r="JG699" i="40"/>
  <c r="JF699" i="40" s="1"/>
  <c r="HV699" i="40"/>
  <c r="HW699" i="40"/>
  <c r="HX699" i="40"/>
  <c r="HS699" i="40"/>
  <c r="HT699" i="40"/>
  <c r="HU699" i="40"/>
  <c r="HP699" i="40"/>
  <c r="HQ699" i="40"/>
  <c r="HR699" i="40"/>
  <c r="JM698" i="40"/>
  <c r="IB698" i="40"/>
  <c r="HY698" i="40"/>
  <c r="IX698" i="40" s="1"/>
  <c r="IC698" i="40"/>
  <c r="JB698" i="40" s="1"/>
  <c r="HZ698" i="40"/>
  <c r="KB698" i="40"/>
  <c r="JL698" i="40"/>
  <c r="JX698" i="40" s="1"/>
  <c r="JG698" i="40"/>
  <c r="JF698" i="40" s="1"/>
  <c r="HV698" i="40"/>
  <c r="HW698" i="40"/>
  <c r="HX698" i="40"/>
  <c r="HS698" i="40"/>
  <c r="HT698" i="40"/>
  <c r="HU698" i="40"/>
  <c r="HP698" i="40"/>
  <c r="HQ698" i="40"/>
  <c r="HR698" i="40"/>
  <c r="HM698" i="40"/>
  <c r="JM697" i="40"/>
  <c r="IB697" i="40"/>
  <c r="HY697" i="40"/>
  <c r="IC697" i="40"/>
  <c r="JB697" i="40" s="1"/>
  <c r="HZ697" i="40"/>
  <c r="IY697" i="40" s="1"/>
  <c r="KB697" i="40"/>
  <c r="JL697" i="40"/>
  <c r="JX697" i="40" s="1"/>
  <c r="JG697" i="40"/>
  <c r="JF697" i="40" s="1"/>
  <c r="HV697" i="40"/>
  <c r="HW697" i="40"/>
  <c r="HX697" i="40"/>
  <c r="HS697" i="40"/>
  <c r="HT697" i="40"/>
  <c r="HU697" i="40"/>
  <c r="HP697" i="40"/>
  <c r="HQ697" i="40"/>
  <c r="HR697" i="40"/>
  <c r="JM696" i="40"/>
  <c r="IB696" i="40"/>
  <c r="HY696" i="40"/>
  <c r="IX696" i="40" s="1"/>
  <c r="IC696" i="40"/>
  <c r="JB696" i="40" s="1"/>
  <c r="HZ696" i="40"/>
  <c r="KB696" i="40"/>
  <c r="JL696" i="40"/>
  <c r="JG696" i="40"/>
  <c r="JF696" i="40" s="1"/>
  <c r="HV696" i="40"/>
  <c r="HW696" i="40"/>
  <c r="HX696" i="40"/>
  <c r="HS696" i="40"/>
  <c r="HT696" i="40"/>
  <c r="HU696" i="40"/>
  <c r="HP696" i="40"/>
  <c r="HQ696" i="40"/>
  <c r="HR696" i="40"/>
  <c r="JM695" i="40"/>
  <c r="IB695" i="40"/>
  <c r="JA695" i="40" s="1"/>
  <c r="HY695" i="40"/>
  <c r="IC695" i="40"/>
  <c r="JB695" i="40" s="1"/>
  <c r="HZ695" i="40"/>
  <c r="HN695" i="40" s="1"/>
  <c r="KB695" i="40"/>
  <c r="JL695" i="40"/>
  <c r="JX695" i="40" s="1"/>
  <c r="JG695" i="40"/>
  <c r="JF695" i="40" s="1"/>
  <c r="HV695" i="40"/>
  <c r="HW695" i="40"/>
  <c r="HX695" i="40"/>
  <c r="HS695" i="40"/>
  <c r="HT695" i="40"/>
  <c r="HU695" i="40"/>
  <c r="HP695" i="40"/>
  <c r="HQ695" i="40"/>
  <c r="HR695" i="40"/>
  <c r="JM694" i="40"/>
  <c r="IB694" i="40"/>
  <c r="HY694" i="40"/>
  <c r="IX694" i="40" s="1"/>
  <c r="IC694" i="40"/>
  <c r="JB694" i="40" s="1"/>
  <c r="HZ694" i="40"/>
  <c r="KB694" i="40"/>
  <c r="JL694" i="40"/>
  <c r="JX694" i="40" s="1"/>
  <c r="JG694" i="40"/>
  <c r="JF694" i="40" s="1"/>
  <c r="HV694" i="40"/>
  <c r="HW694" i="40"/>
  <c r="HX694" i="40"/>
  <c r="HS694" i="40"/>
  <c r="HT694" i="40"/>
  <c r="HU694" i="40"/>
  <c r="HP694" i="40"/>
  <c r="HQ694" i="40"/>
  <c r="HR694" i="40"/>
  <c r="JM693" i="40"/>
  <c r="IB693" i="40"/>
  <c r="JA693" i="40" s="1"/>
  <c r="HY693" i="40"/>
  <c r="IC693" i="40"/>
  <c r="JB693" i="40" s="1"/>
  <c r="HZ693" i="40"/>
  <c r="IY693" i="40" s="1"/>
  <c r="KB693" i="40"/>
  <c r="JL693" i="40"/>
  <c r="JX693" i="40" s="1"/>
  <c r="JG693" i="40"/>
  <c r="JF693" i="40" s="1"/>
  <c r="HV693" i="40"/>
  <c r="HW693" i="40"/>
  <c r="HX693" i="40"/>
  <c r="HS693" i="40"/>
  <c r="HT693" i="40"/>
  <c r="HU693" i="40"/>
  <c r="HP693" i="40"/>
  <c r="HQ693" i="40"/>
  <c r="HR693" i="40"/>
  <c r="HO693" i="40"/>
  <c r="JM692" i="40"/>
  <c r="IB692" i="40"/>
  <c r="HY692" i="40"/>
  <c r="IX692" i="40" s="1"/>
  <c r="IC692" i="40"/>
  <c r="JB692" i="40" s="1"/>
  <c r="HZ692" i="40"/>
  <c r="KB692" i="40"/>
  <c r="JL692" i="40"/>
  <c r="JX692" i="40" s="1"/>
  <c r="JG692" i="40"/>
  <c r="JF692" i="40" s="1"/>
  <c r="HV692" i="40"/>
  <c r="HW692" i="40"/>
  <c r="HX692" i="40"/>
  <c r="HS692" i="40"/>
  <c r="HT692" i="40"/>
  <c r="HU692" i="40"/>
  <c r="HP692" i="40"/>
  <c r="HQ692" i="40"/>
  <c r="HR692" i="40"/>
  <c r="JM691" i="40"/>
  <c r="IB691" i="40"/>
  <c r="JA691" i="40" s="1"/>
  <c r="HY691" i="40"/>
  <c r="IC691" i="40"/>
  <c r="JB691" i="40" s="1"/>
  <c r="HZ691" i="40"/>
  <c r="KB691" i="40"/>
  <c r="JL691" i="40"/>
  <c r="JX691" i="40" s="1"/>
  <c r="JG691" i="40"/>
  <c r="JF691" i="40" s="1"/>
  <c r="HV691" i="40"/>
  <c r="HW691" i="40"/>
  <c r="HX691" i="40"/>
  <c r="HS691" i="40"/>
  <c r="HT691" i="40"/>
  <c r="HU691" i="40"/>
  <c r="HP691" i="40"/>
  <c r="HQ691" i="40"/>
  <c r="HR691" i="40"/>
  <c r="JM690" i="40"/>
  <c r="IB690" i="40"/>
  <c r="HY690" i="40"/>
  <c r="HM690" i="40" s="1"/>
  <c r="IC690" i="40"/>
  <c r="JB690" i="40" s="1"/>
  <c r="HZ690" i="40"/>
  <c r="KB690" i="40"/>
  <c r="JL690" i="40"/>
  <c r="JX690" i="40" s="1"/>
  <c r="JG690" i="40"/>
  <c r="JF690" i="40" s="1"/>
  <c r="HV690" i="40"/>
  <c r="HW690" i="40"/>
  <c r="HX690" i="40"/>
  <c r="HS690" i="40"/>
  <c r="HT690" i="40"/>
  <c r="HU690" i="40"/>
  <c r="HP690" i="40"/>
  <c r="HQ690" i="40"/>
  <c r="HR690" i="40"/>
  <c r="JM689" i="40"/>
  <c r="IB689" i="40"/>
  <c r="JA689" i="40" s="1"/>
  <c r="HY689" i="40"/>
  <c r="IC689" i="40"/>
  <c r="JB689" i="40" s="1"/>
  <c r="HZ689" i="40"/>
  <c r="HN689" i="40" s="1"/>
  <c r="KB689" i="40"/>
  <c r="JL689" i="40"/>
  <c r="JX689" i="40" s="1"/>
  <c r="JG689" i="40"/>
  <c r="JF689" i="40" s="1"/>
  <c r="HV689" i="40"/>
  <c r="HW689" i="40"/>
  <c r="HX689" i="40"/>
  <c r="HS689" i="40"/>
  <c r="HT689" i="40"/>
  <c r="HU689" i="40"/>
  <c r="HP689" i="40"/>
  <c r="HQ689" i="40"/>
  <c r="HR689" i="40"/>
  <c r="JM688" i="40"/>
  <c r="IB688" i="40"/>
  <c r="HY688" i="40"/>
  <c r="IC688" i="40"/>
  <c r="JB688" i="40" s="1"/>
  <c r="HZ688" i="40"/>
  <c r="KB688" i="40"/>
  <c r="JL688" i="40"/>
  <c r="JX688" i="40" s="1"/>
  <c r="JG688" i="40"/>
  <c r="JF688" i="40" s="1"/>
  <c r="HV688" i="40"/>
  <c r="HW688" i="40"/>
  <c r="HX688" i="40"/>
  <c r="HS688" i="40"/>
  <c r="HT688" i="40"/>
  <c r="HU688" i="40"/>
  <c r="HP688" i="40"/>
  <c r="HQ688" i="40"/>
  <c r="HR688" i="40"/>
  <c r="KB687" i="40"/>
  <c r="KB686" i="40"/>
  <c r="KB685" i="40"/>
  <c r="KB684" i="40"/>
  <c r="KB683" i="40"/>
  <c r="KB682" i="40"/>
  <c r="KB681" i="40"/>
  <c r="KB680" i="40"/>
  <c r="KB679" i="40"/>
  <c r="KB678" i="40"/>
  <c r="KB677" i="40"/>
  <c r="KB676" i="40"/>
  <c r="KB675" i="40"/>
  <c r="KB674" i="40"/>
  <c r="KB673" i="40"/>
  <c r="KB672"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B606" i="40"/>
  <c r="KB605" i="40"/>
  <c r="KB604" i="40"/>
  <c r="KB603" i="40"/>
  <c r="KB602" i="40"/>
  <c r="KN601" i="40"/>
  <c r="KB601" i="40"/>
  <c r="JO601" i="40"/>
  <c r="JP601" i="40"/>
  <c r="E18" i="70"/>
  <c r="AZ18" i="70"/>
  <c r="C18" i="70"/>
  <c r="AX18" i="70"/>
  <c r="A101" i="40"/>
  <c r="C102" i="40"/>
  <c r="BF102" i="40" s="1"/>
  <c r="B102" i="40"/>
  <c r="F101" i="40"/>
  <c r="G101" i="40"/>
  <c r="H101" i="40"/>
  <c r="I101" i="40"/>
  <c r="J101" i="40"/>
  <c r="K101" i="40"/>
  <c r="CK101" i="40" s="1"/>
  <c r="L101" i="40"/>
  <c r="CL101" i="40" s="1"/>
  <c r="M101" i="40"/>
  <c r="CM101" i="40" s="1"/>
  <c r="N101" i="40"/>
  <c r="CN101" i="40" s="1"/>
  <c r="O101" i="40"/>
  <c r="CO101" i="40" s="1"/>
  <c r="P101" i="40"/>
  <c r="AB101" i="40"/>
  <c r="AC101" i="40"/>
  <c r="AD101" i="40"/>
  <c r="AE101" i="40"/>
  <c r="AF101" i="40"/>
  <c r="AG101" i="40"/>
  <c r="AH101" i="40"/>
  <c r="AI101" i="40"/>
  <c r="AJ101" i="40"/>
  <c r="HK102" i="40"/>
  <c r="HK103" i="40" s="1"/>
  <c r="HK104" i="40" s="1"/>
  <c r="HK105" i="40" s="1"/>
  <c r="HK106" i="40" s="1"/>
  <c r="HK107" i="40" s="1"/>
  <c r="HK108" i="40" s="1"/>
  <c r="HK109" i="40" s="1"/>
  <c r="HK110" i="40" s="1"/>
  <c r="HK111" i="40" s="1"/>
  <c r="HK112" i="40" s="1"/>
  <c r="HK113" i="40" s="1"/>
  <c r="HK114" i="40" s="1"/>
  <c r="HK115" i="40" s="1"/>
  <c r="HK116" i="40" s="1"/>
  <c r="HK117" i="40" s="1"/>
  <c r="HK118" i="40" s="1"/>
  <c r="HK119" i="40" s="1"/>
  <c r="HK120" i="40" s="1"/>
  <c r="HK121" i="40" s="1"/>
  <c r="HK122" i="40" s="1"/>
  <c r="HK123" i="40" s="1"/>
  <c r="HK124" i="40" s="1"/>
  <c r="HK125" i="40" s="1"/>
  <c r="HK126" i="40" s="1"/>
  <c r="HK127" i="40" s="1"/>
  <c r="HK128" i="40" s="1"/>
  <c r="HK129" i="40" s="1"/>
  <c r="HK130" i="40" s="1"/>
  <c r="HK131" i="40" s="1"/>
  <c r="HK132" i="40" s="1"/>
  <c r="HK133" i="40" s="1"/>
  <c r="HK134" i="40" s="1"/>
  <c r="HK135" i="40" s="1"/>
  <c r="HK136" i="40" s="1"/>
  <c r="HK137" i="40" s="1"/>
  <c r="HK138" i="40" s="1"/>
  <c r="HK139" i="40" s="1"/>
  <c r="HK140" i="40" s="1"/>
  <c r="HK141" i="40" s="1"/>
  <c r="HK142" i="40" s="1"/>
  <c r="HK143" i="40" s="1"/>
  <c r="HK144" i="40" s="1"/>
  <c r="HK145" i="40" s="1"/>
  <c r="HK146" i="40" s="1"/>
  <c r="HK147" i="40" s="1"/>
  <c r="HK148" i="40" s="1"/>
  <c r="HK149" i="40" s="1"/>
  <c r="HK150" i="40" s="1"/>
  <c r="HK151" i="40" s="1"/>
  <c r="HK152" i="40" s="1"/>
  <c r="HK153" i="40" s="1"/>
  <c r="HK154" i="40" s="1"/>
  <c r="HK155" i="40" s="1"/>
  <c r="HK156" i="40" s="1"/>
  <c r="HK157" i="40" s="1"/>
  <c r="HK158" i="40" s="1"/>
  <c r="HK159" i="40" s="1"/>
  <c r="HK160" i="40" s="1"/>
  <c r="HK161" i="40" s="1"/>
  <c r="HK162" i="40" s="1"/>
  <c r="HK163" i="40" s="1"/>
  <c r="HK164" i="40" s="1"/>
  <c r="HK165" i="40" s="1"/>
  <c r="HK166" i="40" s="1"/>
  <c r="HK167" i="40" s="1"/>
  <c r="HK168" i="40" s="1"/>
  <c r="HK169" i="40" s="1"/>
  <c r="HK170" i="40" s="1"/>
  <c r="HK171" i="40" s="1"/>
  <c r="HK172" i="40" s="1"/>
  <c r="HK173" i="40" s="1"/>
  <c r="HK174" i="40" s="1"/>
  <c r="HK175" i="40" s="1"/>
  <c r="HK176" i="40" s="1"/>
  <c r="HK177" i="40" s="1"/>
  <c r="HK178" i="40" s="1"/>
  <c r="HK179" i="40" s="1"/>
  <c r="HK180" i="40" s="1"/>
  <c r="HK181" i="40" s="1"/>
  <c r="HK182" i="40" s="1"/>
  <c r="HK183" i="40" s="1"/>
  <c r="HK184" i="40" s="1"/>
  <c r="HK185" i="40" s="1"/>
  <c r="HK186" i="40" s="1"/>
  <c r="HK187" i="40" s="1"/>
  <c r="AZ101" i="40"/>
  <c r="KB97" i="40" s="1"/>
  <c r="C502" i="40"/>
  <c r="B502" i="40"/>
  <c r="B503" i="40" s="1"/>
  <c r="C202" i="40"/>
  <c r="CG202" i="40" s="1"/>
  <c r="B202" i="40"/>
  <c r="B203" i="40" s="1"/>
  <c r="B204" i="40" s="1"/>
  <c r="B205" i="40" s="1"/>
  <c r="B206" i="40" s="1"/>
  <c r="B207" i="40" s="1"/>
  <c r="B208" i="40" s="1"/>
  <c r="B209" i="40" s="1"/>
  <c r="B210" i="40" s="1"/>
  <c r="B211" i="40" s="1"/>
  <c r="B212" i="40" s="1"/>
  <c r="B213" i="40" s="1"/>
  <c r="B214" i="40" s="1"/>
  <c r="B215" i="40" s="1"/>
  <c r="B216" i="40" s="1"/>
  <c r="B217" i="40" s="1"/>
  <c r="B218" i="40" s="1"/>
  <c r="B219" i="40" s="1"/>
  <c r="B220" i="40" s="1"/>
  <c r="B221" i="40" s="1"/>
  <c r="B222" i="40" s="1"/>
  <c r="B223" i="40" s="1"/>
  <c r="B224" i="40" s="1"/>
  <c r="B225" i="40" s="1"/>
  <c r="B226" i="40" s="1"/>
  <c r="B227" i="40" s="1"/>
  <c r="B228" i="40" s="1"/>
  <c r="B229" i="40" s="1"/>
  <c r="B230" i="40" s="1"/>
  <c r="B231" i="40" s="1"/>
  <c r="B232" i="40" s="1"/>
  <c r="B233" i="40" s="1"/>
  <c r="B234" i="40" s="1"/>
  <c r="B235" i="40" s="1"/>
  <c r="B236" i="40" s="1"/>
  <c r="B237" i="40" s="1"/>
  <c r="B238" i="40" s="1"/>
  <c r="B239" i="40" s="1"/>
  <c r="B240" i="40" s="1"/>
  <c r="B241" i="40" s="1"/>
  <c r="B242" i="40" s="1"/>
  <c r="B243" i="40" s="1"/>
  <c r="B244" i="40" s="1"/>
  <c r="B245" i="40" s="1"/>
  <c r="B246" i="40" s="1"/>
  <c r="B247" i="40" s="1"/>
  <c r="B248" i="40" s="1"/>
  <c r="B249" i="40" s="1"/>
  <c r="B250" i="40" s="1"/>
  <c r="B251" i="40" s="1"/>
  <c r="B252" i="40" s="1"/>
  <c r="B253" i="40" s="1"/>
  <c r="B254" i="40" s="1"/>
  <c r="B255" i="40" s="1"/>
  <c r="B256" i="40" s="1"/>
  <c r="B257" i="40" s="1"/>
  <c r="B258" i="40" s="1"/>
  <c r="B259" i="40" s="1"/>
  <c r="B260" i="40" s="1"/>
  <c r="B261" i="40" s="1"/>
  <c r="B262" i="40" s="1"/>
  <c r="B263" i="40" s="1"/>
  <c r="B264" i="40" s="1"/>
  <c r="B265" i="40" s="1"/>
  <c r="B266" i="40" s="1"/>
  <c r="B267" i="40" s="1"/>
  <c r="B268" i="40" s="1"/>
  <c r="B269" i="40" s="1"/>
  <c r="B270" i="40" s="1"/>
  <c r="B271" i="40" s="1"/>
  <c r="B272" i="40" s="1"/>
  <c r="B273" i="40" s="1"/>
  <c r="B274" i="40" s="1"/>
  <c r="B275" i="40" s="1"/>
  <c r="B276" i="40" s="1"/>
  <c r="B277" i="40" s="1"/>
  <c r="B278" i="40" s="1"/>
  <c r="B279" i="40" s="1"/>
  <c r="B280" i="40" s="1"/>
  <c r="B281" i="40" s="1"/>
  <c r="B282" i="40" s="1"/>
  <c r="B283" i="40" s="1"/>
  <c r="B284" i="40" s="1"/>
  <c r="B285" i="40" s="1"/>
  <c r="B286" i="40" s="1"/>
  <c r="B287" i="40" s="1"/>
  <c r="B288" i="40" s="1"/>
  <c r="B289" i="40" s="1"/>
  <c r="B290" i="40" s="1"/>
  <c r="B291" i="40" s="1"/>
  <c r="B292" i="40" s="1"/>
  <c r="B293" i="40" s="1"/>
  <c r="B294" i="40" s="1"/>
  <c r="B295" i="40" s="1"/>
  <c r="B296" i="40" s="1"/>
  <c r="B297" i="40" s="1"/>
  <c r="B298" i="40" s="1"/>
  <c r="B299" i="40" s="1"/>
  <c r="B300" i="40" s="1"/>
  <c r="C302" i="40"/>
  <c r="B302" i="40"/>
  <c r="B303" i="40" s="1"/>
  <c r="B304" i="40" s="1"/>
  <c r="B305" i="40" s="1"/>
  <c r="B306" i="40" s="1"/>
  <c r="B307" i="40" s="1"/>
  <c r="B308" i="40" s="1"/>
  <c r="B309" i="40" s="1"/>
  <c r="B310" i="40" s="1"/>
  <c r="B311" i="40" s="1"/>
  <c r="B312" i="40" s="1"/>
  <c r="B313" i="40" s="1"/>
  <c r="B314" i="40" s="1"/>
  <c r="B315" i="40" s="1"/>
  <c r="B316" i="40" s="1"/>
  <c r="B317" i="40" s="1"/>
  <c r="B318" i="40" s="1"/>
  <c r="B319" i="40" s="1"/>
  <c r="B320" i="40" s="1"/>
  <c r="B321" i="40" s="1"/>
  <c r="B322" i="40" s="1"/>
  <c r="B323" i="40" s="1"/>
  <c r="B324" i="40" s="1"/>
  <c r="B325" i="40" s="1"/>
  <c r="B326" i="40" s="1"/>
  <c r="B327" i="40" s="1"/>
  <c r="B328" i="40" s="1"/>
  <c r="B329" i="40" s="1"/>
  <c r="B330" i="40" s="1"/>
  <c r="B331" i="40" s="1"/>
  <c r="B332" i="40" s="1"/>
  <c r="B333" i="40" s="1"/>
  <c r="B334" i="40" s="1"/>
  <c r="B335" i="40" s="1"/>
  <c r="B336" i="40" s="1"/>
  <c r="B337" i="40" s="1"/>
  <c r="B338" i="40" s="1"/>
  <c r="B339" i="40" s="1"/>
  <c r="B340" i="40" s="1"/>
  <c r="B341" i="40" s="1"/>
  <c r="B342" i="40" s="1"/>
  <c r="B343" i="40" s="1"/>
  <c r="B344" i="40" s="1"/>
  <c r="B345" i="40" s="1"/>
  <c r="B346" i="40" s="1"/>
  <c r="B347" i="40" s="1"/>
  <c r="B348" i="40" s="1"/>
  <c r="B349" i="40" s="1"/>
  <c r="B350" i="40" s="1"/>
  <c r="B351" i="40" s="1"/>
  <c r="B352" i="40" s="1"/>
  <c r="B353" i="40" s="1"/>
  <c r="B354" i="40" s="1"/>
  <c r="B355" i="40" s="1"/>
  <c r="B356" i="40" s="1"/>
  <c r="B357" i="40" s="1"/>
  <c r="B358" i="40" s="1"/>
  <c r="B359" i="40" s="1"/>
  <c r="B360" i="40" s="1"/>
  <c r="B361" i="40" s="1"/>
  <c r="B362" i="40" s="1"/>
  <c r="B363" i="40" s="1"/>
  <c r="B364" i="40" s="1"/>
  <c r="B365" i="40" s="1"/>
  <c r="B366" i="40" s="1"/>
  <c r="B367" i="40" s="1"/>
  <c r="B368" i="40" s="1"/>
  <c r="B369" i="40" s="1"/>
  <c r="B370" i="40" s="1"/>
  <c r="B371" i="40" s="1"/>
  <c r="B372" i="40" s="1"/>
  <c r="B373" i="40" s="1"/>
  <c r="B374" i="40" s="1"/>
  <c r="B375" i="40" s="1"/>
  <c r="B376" i="40" s="1"/>
  <c r="B377" i="40" s="1"/>
  <c r="B378" i="40" s="1"/>
  <c r="B379" i="40" s="1"/>
  <c r="B380" i="40" s="1"/>
  <c r="B381" i="40" s="1"/>
  <c r="B382" i="40" s="1"/>
  <c r="B383" i="40" s="1"/>
  <c r="B384" i="40" s="1"/>
  <c r="B385" i="40" s="1"/>
  <c r="B386" i="40" s="1"/>
  <c r="B387" i="40" s="1"/>
  <c r="B388" i="40" s="1"/>
  <c r="B389" i="40" s="1"/>
  <c r="B390" i="40" s="1"/>
  <c r="B391" i="40" s="1"/>
  <c r="B392" i="40" s="1"/>
  <c r="B393" i="40" s="1"/>
  <c r="B394" i="40" s="1"/>
  <c r="B395" i="40" s="1"/>
  <c r="B396" i="40" s="1"/>
  <c r="B397" i="40" s="1"/>
  <c r="B398" i="40" s="1"/>
  <c r="B399" i="40" s="1"/>
  <c r="B400" i="40" s="1"/>
  <c r="C402" i="40"/>
  <c r="BO402" i="40" s="1"/>
  <c r="B402" i="40"/>
  <c r="B403" i="40" s="1"/>
  <c r="B404" i="40" s="1"/>
  <c r="B405" i="40" s="1"/>
  <c r="B406" i="40" s="1"/>
  <c r="B407" i="40" s="1"/>
  <c r="B408" i="40" s="1"/>
  <c r="B409" i="40" s="1"/>
  <c r="B410" i="40" s="1"/>
  <c r="B411" i="40" s="1"/>
  <c r="B412" i="40" s="1"/>
  <c r="B413" i="40" s="1"/>
  <c r="B414" i="40" s="1"/>
  <c r="B415" i="40" s="1"/>
  <c r="B416" i="40" s="1"/>
  <c r="B417" i="40" s="1"/>
  <c r="B418" i="40" s="1"/>
  <c r="B419" i="40" s="1"/>
  <c r="B420" i="40" s="1"/>
  <c r="B421" i="40" s="1"/>
  <c r="B422" i="40" s="1"/>
  <c r="B423" i="40" s="1"/>
  <c r="B424" i="40" s="1"/>
  <c r="B425" i="40" s="1"/>
  <c r="B426" i="40" s="1"/>
  <c r="B427" i="40" s="1"/>
  <c r="B428" i="40" s="1"/>
  <c r="B429" i="40" s="1"/>
  <c r="B430" i="40" s="1"/>
  <c r="B431" i="40" s="1"/>
  <c r="B432" i="40" s="1"/>
  <c r="B433" i="40" s="1"/>
  <c r="B434" i="40" s="1"/>
  <c r="B435" i="40" s="1"/>
  <c r="B436" i="40" s="1"/>
  <c r="B437" i="40" s="1"/>
  <c r="B438" i="40" s="1"/>
  <c r="B439" i="40" s="1"/>
  <c r="B440" i="40" s="1"/>
  <c r="B441" i="40" s="1"/>
  <c r="B442" i="40" s="1"/>
  <c r="B443" i="40" s="1"/>
  <c r="B444" i="40" s="1"/>
  <c r="B445" i="40" s="1"/>
  <c r="B446" i="40" s="1"/>
  <c r="B447" i="40" s="1"/>
  <c r="B448" i="40" s="1"/>
  <c r="B449" i="40" s="1"/>
  <c r="B450" i="40" s="1"/>
  <c r="B451" i="40" s="1"/>
  <c r="B452" i="40" s="1"/>
  <c r="B453" i="40" s="1"/>
  <c r="B454" i="40" s="1"/>
  <c r="B455" i="40" s="1"/>
  <c r="B456" i="40" s="1"/>
  <c r="B457" i="40" s="1"/>
  <c r="B458" i="40" s="1"/>
  <c r="B459" i="40" s="1"/>
  <c r="B460" i="40" s="1"/>
  <c r="B461" i="40" s="1"/>
  <c r="B462" i="40" s="1"/>
  <c r="B463" i="40" s="1"/>
  <c r="B464" i="40" s="1"/>
  <c r="B465" i="40" s="1"/>
  <c r="B466" i="40" s="1"/>
  <c r="B467" i="40" s="1"/>
  <c r="B468" i="40" s="1"/>
  <c r="B469" i="40" s="1"/>
  <c r="B470" i="40" s="1"/>
  <c r="B471" i="40" s="1"/>
  <c r="B472" i="40" s="1"/>
  <c r="B473" i="40" s="1"/>
  <c r="B474" i="40" s="1"/>
  <c r="B475" i="40" s="1"/>
  <c r="B476" i="40" s="1"/>
  <c r="B477" i="40" s="1"/>
  <c r="B478" i="40" s="1"/>
  <c r="B479" i="40" s="1"/>
  <c r="B480" i="40" s="1"/>
  <c r="B481" i="40" s="1"/>
  <c r="B482" i="40" s="1"/>
  <c r="B483" i="40" s="1"/>
  <c r="B484" i="40" s="1"/>
  <c r="B485" i="40" s="1"/>
  <c r="B486" i="40" s="1"/>
  <c r="B487" i="40" s="1"/>
  <c r="B488" i="40" s="1"/>
  <c r="B489" i="40" s="1"/>
  <c r="B490" i="40" s="1"/>
  <c r="B491" i="40" s="1"/>
  <c r="B492" i="40" s="1"/>
  <c r="B493" i="40" s="1"/>
  <c r="B494" i="40" s="1"/>
  <c r="B495" i="40" s="1"/>
  <c r="B496" i="40" s="1"/>
  <c r="B497" i="40" s="1"/>
  <c r="B498" i="40" s="1"/>
  <c r="B499" i="40" s="1"/>
  <c r="B500" i="40" s="1"/>
  <c r="AW101" i="40"/>
  <c r="AX101" i="40"/>
  <c r="AY101" i="40"/>
  <c r="BA101" i="40"/>
  <c r="BB101" i="40"/>
  <c r="BC101" i="40"/>
  <c r="BD101" i="40"/>
  <c r="BE101" i="40"/>
  <c r="BF101" i="40"/>
  <c r="BG101" i="40"/>
  <c r="BH101" i="40"/>
  <c r="BI101" i="40"/>
  <c r="BJ101" i="40"/>
  <c r="BK101" i="40"/>
  <c r="BL101" i="40"/>
  <c r="BM101" i="40"/>
  <c r="BN101" i="40"/>
  <c r="BO101" i="40"/>
  <c r="BP101" i="40"/>
  <c r="BQ101" i="40"/>
  <c r="BR101" i="40"/>
  <c r="BS101" i="40"/>
  <c r="BT101" i="40"/>
  <c r="BU101" i="40"/>
  <c r="BV101" i="40"/>
  <c r="BW101" i="40"/>
  <c r="BX101" i="40"/>
  <c r="BY101" i="40"/>
  <c r="BZ101" i="40"/>
  <c r="CA101" i="40"/>
  <c r="CB101" i="40"/>
  <c r="CC101" i="40"/>
  <c r="CD101" i="40"/>
  <c r="CE101" i="40"/>
  <c r="CF101" i="40"/>
  <c r="CG101" i="40"/>
  <c r="CH101" i="40"/>
  <c r="CJ101" i="40"/>
  <c r="DM101" i="40"/>
  <c r="DS101" i="40"/>
  <c r="DT101" i="40"/>
  <c r="DU101" i="40"/>
  <c r="DV101" i="40"/>
  <c r="DW101" i="40"/>
  <c r="HJ102" i="40"/>
  <c r="HJ103" i="40" s="1"/>
  <c r="HJ104" i="40" s="1"/>
  <c r="HJ105" i="40" s="1"/>
  <c r="HJ106" i="40" s="1"/>
  <c r="HJ107" i="40" s="1"/>
  <c r="HJ108" i="40" s="1"/>
  <c r="HJ109" i="40" s="1"/>
  <c r="HJ110" i="40" s="1"/>
  <c r="HJ111" i="40" s="1"/>
  <c r="HJ112" i="40" s="1"/>
  <c r="HJ113" i="40" s="1"/>
  <c r="HJ114" i="40" s="1"/>
  <c r="HJ115" i="40" s="1"/>
  <c r="HJ116" i="40" s="1"/>
  <c r="HJ117" i="40" s="1"/>
  <c r="HJ118" i="40" s="1"/>
  <c r="HJ119" i="40" s="1"/>
  <c r="HJ120" i="40" s="1"/>
  <c r="HJ121" i="40" s="1"/>
  <c r="HJ122" i="40" s="1"/>
  <c r="HJ123" i="40" s="1"/>
  <c r="HJ124" i="40" s="1"/>
  <c r="HJ125" i="40" s="1"/>
  <c r="HJ126" i="40" s="1"/>
  <c r="HJ127" i="40" s="1"/>
  <c r="HJ128" i="40" s="1"/>
  <c r="HJ129" i="40" s="1"/>
  <c r="HJ130" i="40" s="1"/>
  <c r="HJ131" i="40" s="1"/>
  <c r="HJ132" i="40" s="1"/>
  <c r="HJ133" i="40" s="1"/>
  <c r="HJ134" i="40" s="1"/>
  <c r="HJ135" i="40" s="1"/>
  <c r="HJ136" i="40" s="1"/>
  <c r="HJ137" i="40" s="1"/>
  <c r="HJ138" i="40" s="1"/>
  <c r="HJ139" i="40" s="1"/>
  <c r="HJ140" i="40" s="1"/>
  <c r="HJ141" i="40" s="1"/>
  <c r="HJ142" i="40" s="1"/>
  <c r="HJ143" i="40" s="1"/>
  <c r="HJ144" i="40" s="1"/>
  <c r="HJ145" i="40" s="1"/>
  <c r="HJ146" i="40" s="1"/>
  <c r="HJ147" i="40" s="1"/>
  <c r="HJ148" i="40" s="1"/>
  <c r="HJ149" i="40" s="1"/>
  <c r="HJ150" i="40" s="1"/>
  <c r="HJ151" i="40" s="1"/>
  <c r="HJ152" i="40" s="1"/>
  <c r="HJ153" i="40" s="1"/>
  <c r="HJ154" i="40" s="1"/>
  <c r="HJ155" i="40" s="1"/>
  <c r="HJ156" i="40" s="1"/>
  <c r="HJ157" i="40" s="1"/>
  <c r="HJ158" i="40" s="1"/>
  <c r="HJ159" i="40" s="1"/>
  <c r="HJ160" i="40" s="1"/>
  <c r="HJ161" i="40" s="1"/>
  <c r="HJ162" i="40" s="1"/>
  <c r="HJ163" i="40" s="1"/>
  <c r="HJ164" i="40" s="1"/>
  <c r="HJ165" i="40" s="1"/>
  <c r="HJ166" i="40" s="1"/>
  <c r="HJ167" i="40" s="1"/>
  <c r="HJ168" i="40" s="1"/>
  <c r="HJ169" i="40" s="1"/>
  <c r="HJ170" i="40" s="1"/>
  <c r="HJ171" i="40" s="1"/>
  <c r="HJ172" i="40" s="1"/>
  <c r="HJ173" i="40" s="1"/>
  <c r="HJ174" i="40" s="1"/>
  <c r="HJ175" i="40" s="1"/>
  <c r="HJ176" i="40" s="1"/>
  <c r="HJ177" i="40" s="1"/>
  <c r="HJ178" i="40" s="1"/>
  <c r="HJ179" i="40" s="1"/>
  <c r="HJ180" i="40" s="1"/>
  <c r="HJ181" i="40" s="1"/>
  <c r="HJ182" i="40" s="1"/>
  <c r="AT102" i="40"/>
  <c r="AT103" i="40" s="1"/>
  <c r="AT104" i="40" s="1"/>
  <c r="AT105" i="40" s="1"/>
  <c r="AT106" i="40" s="1"/>
  <c r="AT107" i="40" s="1"/>
  <c r="AT108" i="40" s="1"/>
  <c r="AT109" i="40" s="1"/>
  <c r="AT110" i="40" s="1"/>
  <c r="AT111" i="40" s="1"/>
  <c r="AT112" i="40" s="1"/>
  <c r="AT113" i="40" s="1"/>
  <c r="AT114" i="40" s="1"/>
  <c r="AT115" i="40" s="1"/>
  <c r="AT116" i="40" s="1"/>
  <c r="AT117" i="40" s="1"/>
  <c r="AT118" i="40" s="1"/>
  <c r="AT119" i="40" s="1"/>
  <c r="AT120" i="40" s="1"/>
  <c r="AT121" i="40" s="1"/>
  <c r="AT122" i="40" s="1"/>
  <c r="AT123" i="40" s="1"/>
  <c r="AT124" i="40" s="1"/>
  <c r="AT125" i="40" s="1"/>
  <c r="AT126" i="40" s="1"/>
  <c r="AT127" i="40" s="1"/>
  <c r="AT128" i="40" s="1"/>
  <c r="AT129" i="40" s="1"/>
  <c r="AT130" i="40" s="1"/>
  <c r="AT131" i="40" s="1"/>
  <c r="AT132" i="40" s="1"/>
  <c r="AT133" i="40" s="1"/>
  <c r="AT134" i="40" s="1"/>
  <c r="AT135" i="40" s="1"/>
  <c r="AT136" i="40" s="1"/>
  <c r="AT137" i="40" s="1"/>
  <c r="AT138" i="40" s="1"/>
  <c r="AT139" i="40" s="1"/>
  <c r="AT140" i="40" s="1"/>
  <c r="AT141" i="40" s="1"/>
  <c r="AT142" i="40" s="1"/>
  <c r="AT143" i="40" s="1"/>
  <c r="AT144" i="40" s="1"/>
  <c r="AT145" i="40" s="1"/>
  <c r="AT146" i="40" s="1"/>
  <c r="AT147" i="40" s="1"/>
  <c r="AT148" i="40" s="1"/>
  <c r="AT149" i="40" s="1"/>
  <c r="AT150" i="40" s="1"/>
  <c r="AT151" i="40" s="1"/>
  <c r="AT152" i="40" s="1"/>
  <c r="AT153" i="40" s="1"/>
  <c r="AT154" i="40" s="1"/>
  <c r="AT155" i="40" s="1"/>
  <c r="AT156" i="40" s="1"/>
  <c r="AT157" i="40" s="1"/>
  <c r="AT158" i="40" s="1"/>
  <c r="AT159" i="40" s="1"/>
  <c r="AT160" i="40" s="1"/>
  <c r="AT161" i="40" s="1"/>
  <c r="AT162" i="40" s="1"/>
  <c r="AT163" i="40" s="1"/>
  <c r="AT164" i="40" s="1"/>
  <c r="AT165" i="40" s="1"/>
  <c r="AT166" i="40" s="1"/>
  <c r="AT167" i="40" s="1"/>
  <c r="AT168" i="40" s="1"/>
  <c r="AT169" i="40" s="1"/>
  <c r="AT170" i="40" s="1"/>
  <c r="AT171" i="40" s="1"/>
  <c r="AT172" i="40" s="1"/>
  <c r="AT173" i="40" s="1"/>
  <c r="AT174" i="40" s="1"/>
  <c r="AT175" i="40" s="1"/>
  <c r="AT176" i="40" s="1"/>
  <c r="AT177" i="40" s="1"/>
  <c r="AT178" i="40" s="1"/>
  <c r="AT179" i="40" s="1"/>
  <c r="AT180" i="40" s="1"/>
  <c r="AT181" i="40" s="1"/>
  <c r="AT182" i="40" s="1"/>
  <c r="AT183" i="40" s="1"/>
  <c r="AT184" i="40" s="1"/>
  <c r="AT185" i="40" s="1"/>
  <c r="AT186" i="40" s="1"/>
  <c r="AT187" i="40" s="1"/>
  <c r="AT188" i="40" s="1"/>
  <c r="AT189" i="40" s="1"/>
  <c r="AT190" i="40" s="1"/>
  <c r="AT191" i="40" s="1"/>
  <c r="AT192" i="40" s="1"/>
  <c r="AT193" i="40" s="1"/>
  <c r="AT194" i="40" s="1"/>
  <c r="AT195" i="40" s="1"/>
  <c r="AT196" i="40" s="1"/>
  <c r="AT197" i="40" s="1"/>
  <c r="AT198" i="40" s="1"/>
  <c r="AT199" i="40" s="1"/>
  <c r="AT200" i="40" s="1"/>
  <c r="AZ102" i="40"/>
  <c r="BA102" i="40"/>
  <c r="BE102" i="40"/>
  <c r="BJ102" i="40"/>
  <c r="BL102" i="40"/>
  <c r="BP102" i="40"/>
  <c r="BU102" i="40"/>
  <c r="BV102" i="40"/>
  <c r="BZ102" i="40"/>
  <c r="CF102" i="40"/>
  <c r="CG102" i="40"/>
  <c r="DS102" i="40"/>
  <c r="A201" i="40"/>
  <c r="CL201" i="40"/>
  <c r="CM201" i="40"/>
  <c r="CN201" i="40"/>
  <c r="CO201" i="40"/>
  <c r="HK202" i="40"/>
  <c r="HK203" i="40" s="1"/>
  <c r="HK204" i="40" s="1"/>
  <c r="HK205" i="40" s="1"/>
  <c r="HK206" i="40" s="1"/>
  <c r="HK207" i="40" s="1"/>
  <c r="HK208" i="40" s="1"/>
  <c r="HK209" i="40" s="1"/>
  <c r="HK210" i="40" s="1"/>
  <c r="HK211" i="40" s="1"/>
  <c r="HK212" i="40" s="1"/>
  <c r="HK213" i="40" s="1"/>
  <c r="HK214" i="40" s="1"/>
  <c r="HK215" i="40" s="1"/>
  <c r="HK216" i="40" s="1"/>
  <c r="HK217" i="40" s="1"/>
  <c r="HK218" i="40" s="1"/>
  <c r="HK219" i="40" s="1"/>
  <c r="HK220" i="40" s="1"/>
  <c r="HK221" i="40" s="1"/>
  <c r="HK222" i="40" s="1"/>
  <c r="HK223" i="40" s="1"/>
  <c r="HK224" i="40" s="1"/>
  <c r="HK225" i="40" s="1"/>
  <c r="HK226" i="40" s="1"/>
  <c r="HK227" i="40" s="1"/>
  <c r="HK228" i="40" s="1"/>
  <c r="HK229" i="40" s="1"/>
  <c r="HK230" i="40" s="1"/>
  <c r="HK231" i="40" s="1"/>
  <c r="HK232" i="40" s="1"/>
  <c r="HK233" i="40" s="1"/>
  <c r="HK234" i="40" s="1"/>
  <c r="HK235" i="40" s="1"/>
  <c r="HK236" i="40" s="1"/>
  <c r="HK237" i="40" s="1"/>
  <c r="HK238" i="40" s="1"/>
  <c r="HK239" i="40" s="1"/>
  <c r="HK240" i="40" s="1"/>
  <c r="HK241" i="40" s="1"/>
  <c r="HK242" i="40" s="1"/>
  <c r="HK243" i="40" s="1"/>
  <c r="HK244" i="40" s="1"/>
  <c r="HK245" i="40" s="1"/>
  <c r="HK246" i="40" s="1"/>
  <c r="HK247" i="40" s="1"/>
  <c r="HK248" i="40" s="1"/>
  <c r="HK249" i="40" s="1"/>
  <c r="HK250" i="40" s="1"/>
  <c r="HK251" i="40" s="1"/>
  <c r="HK252" i="40" s="1"/>
  <c r="HK253" i="40" s="1"/>
  <c r="HK254" i="40" s="1"/>
  <c r="HK255" i="40" s="1"/>
  <c r="HK256" i="40" s="1"/>
  <c r="HK257" i="40" s="1"/>
  <c r="HK258" i="40" s="1"/>
  <c r="HK259" i="40" s="1"/>
  <c r="HK260" i="40" s="1"/>
  <c r="HK261" i="40" s="1"/>
  <c r="HK262" i="40" s="1"/>
  <c r="HK263" i="40" s="1"/>
  <c r="HK264" i="40" s="1"/>
  <c r="HK265" i="40" s="1"/>
  <c r="HK266" i="40" s="1"/>
  <c r="HK267" i="40" s="1"/>
  <c r="HK268" i="40" s="1"/>
  <c r="HK269" i="40" s="1"/>
  <c r="HK270" i="40" s="1"/>
  <c r="HK271" i="40" s="1"/>
  <c r="HK272" i="40" s="1"/>
  <c r="HK273" i="40" s="1"/>
  <c r="HK274" i="40" s="1"/>
  <c r="HK275" i="40" s="1"/>
  <c r="HK276" i="40" s="1"/>
  <c r="HK277" i="40" s="1"/>
  <c r="HK278" i="40" s="1"/>
  <c r="HK279" i="40" s="1"/>
  <c r="HK280" i="40" s="1"/>
  <c r="HK281" i="40" s="1"/>
  <c r="HK282" i="40" s="1"/>
  <c r="HK283" i="40" s="1"/>
  <c r="HK284" i="40" s="1"/>
  <c r="HK285" i="40" s="1"/>
  <c r="HK286" i="40" s="1"/>
  <c r="HK287" i="40" s="1"/>
  <c r="AZ201" i="40"/>
  <c r="AW201" i="40"/>
  <c r="AX201" i="40"/>
  <c r="AY201" i="40"/>
  <c r="BA201" i="40"/>
  <c r="BB201" i="40"/>
  <c r="BC201" i="40"/>
  <c r="BD201" i="40"/>
  <c r="BE201" i="40"/>
  <c r="BF201" i="40"/>
  <c r="BG201" i="40"/>
  <c r="BH201" i="40"/>
  <c r="BI201" i="40"/>
  <c r="BJ201" i="40"/>
  <c r="BK201" i="40"/>
  <c r="BL201" i="40"/>
  <c r="BM201" i="40"/>
  <c r="BN201" i="40"/>
  <c r="BO201" i="40"/>
  <c r="BP201" i="40"/>
  <c r="BQ201" i="40"/>
  <c r="BR201" i="40"/>
  <c r="BS201" i="40"/>
  <c r="BT201" i="40"/>
  <c r="BU201" i="40"/>
  <c r="BV201" i="40"/>
  <c r="BW201" i="40"/>
  <c r="BX201" i="40"/>
  <c r="BY201" i="40"/>
  <c r="BZ201" i="40"/>
  <c r="CA201" i="40"/>
  <c r="CB201" i="40"/>
  <c r="CC201" i="40"/>
  <c r="CD201" i="40"/>
  <c r="CE201" i="40"/>
  <c r="CF201" i="40"/>
  <c r="CG201" i="40"/>
  <c r="CH201" i="40"/>
  <c r="CJ201" i="40"/>
  <c r="DM201" i="40"/>
  <c r="DS201" i="40"/>
  <c r="DT201" i="40"/>
  <c r="DU201" i="40"/>
  <c r="DV201" i="40"/>
  <c r="DW201" i="40"/>
  <c r="HJ202" i="40"/>
  <c r="HJ203" i="40" s="1"/>
  <c r="HJ204" i="40" s="1"/>
  <c r="HJ205" i="40" s="1"/>
  <c r="HJ206" i="40" s="1"/>
  <c r="HJ207" i="40" s="1"/>
  <c r="HJ208" i="40" s="1"/>
  <c r="HJ209" i="40" s="1"/>
  <c r="HJ210" i="40" s="1"/>
  <c r="HJ211" i="40" s="1"/>
  <c r="HJ212" i="40" s="1"/>
  <c r="HJ213" i="40" s="1"/>
  <c r="HJ214" i="40" s="1"/>
  <c r="HJ215" i="40" s="1"/>
  <c r="HJ216" i="40" s="1"/>
  <c r="HJ217" i="40" s="1"/>
  <c r="HJ218" i="40" s="1"/>
  <c r="HJ219" i="40" s="1"/>
  <c r="HJ220" i="40" s="1"/>
  <c r="HJ221" i="40" s="1"/>
  <c r="HJ222" i="40" s="1"/>
  <c r="HJ223" i="40" s="1"/>
  <c r="HJ224" i="40" s="1"/>
  <c r="HJ225" i="40" s="1"/>
  <c r="HJ226" i="40" s="1"/>
  <c r="HJ227" i="40" s="1"/>
  <c r="HJ228" i="40" s="1"/>
  <c r="HJ229" i="40" s="1"/>
  <c r="HJ230" i="40" s="1"/>
  <c r="HJ231" i="40" s="1"/>
  <c r="HJ232" i="40" s="1"/>
  <c r="HJ233" i="40" s="1"/>
  <c r="HJ234" i="40" s="1"/>
  <c r="HJ235" i="40" s="1"/>
  <c r="HJ236" i="40" s="1"/>
  <c r="HJ237" i="40" s="1"/>
  <c r="HJ238" i="40" s="1"/>
  <c r="HJ239" i="40" s="1"/>
  <c r="HJ240" i="40" s="1"/>
  <c r="HJ241" i="40" s="1"/>
  <c r="HJ242" i="40" s="1"/>
  <c r="HJ243" i="40" s="1"/>
  <c r="HJ244" i="40" s="1"/>
  <c r="HJ245" i="40" s="1"/>
  <c r="HJ246" i="40" s="1"/>
  <c r="HJ247" i="40" s="1"/>
  <c r="HJ248" i="40" s="1"/>
  <c r="HJ249" i="40" s="1"/>
  <c r="HJ250" i="40" s="1"/>
  <c r="HJ251" i="40" s="1"/>
  <c r="HJ252" i="40" s="1"/>
  <c r="HJ253" i="40" s="1"/>
  <c r="HJ254" i="40" s="1"/>
  <c r="HJ255" i="40" s="1"/>
  <c r="HJ256" i="40" s="1"/>
  <c r="HJ257" i="40" s="1"/>
  <c r="HJ258" i="40" s="1"/>
  <c r="HJ259" i="40" s="1"/>
  <c r="HJ260" i="40" s="1"/>
  <c r="HJ261" i="40" s="1"/>
  <c r="HJ262" i="40" s="1"/>
  <c r="HJ263" i="40" s="1"/>
  <c r="HJ264" i="40" s="1"/>
  <c r="HJ265" i="40" s="1"/>
  <c r="HJ266" i="40" s="1"/>
  <c r="HJ267" i="40" s="1"/>
  <c r="HJ268" i="40" s="1"/>
  <c r="HJ269" i="40" s="1"/>
  <c r="HJ270" i="40" s="1"/>
  <c r="HJ271" i="40" s="1"/>
  <c r="HJ272" i="40" s="1"/>
  <c r="HJ273" i="40" s="1"/>
  <c r="HJ274" i="40" s="1"/>
  <c r="HJ275" i="40" s="1"/>
  <c r="HJ276" i="40" s="1"/>
  <c r="HJ277" i="40" s="1"/>
  <c r="HJ278" i="40" s="1"/>
  <c r="HJ279" i="40" s="1"/>
  <c r="HJ280" i="40" s="1"/>
  <c r="HJ281" i="40" s="1"/>
  <c r="HJ282" i="40" s="1"/>
  <c r="AT202" i="40"/>
  <c r="AT203" i="40" s="1"/>
  <c r="AT204" i="40" s="1"/>
  <c r="AT205" i="40" s="1"/>
  <c r="AT206" i="40" s="1"/>
  <c r="AT207" i="40" s="1"/>
  <c r="AT208" i="40" s="1"/>
  <c r="AT209" i="40" s="1"/>
  <c r="AT210" i="40" s="1"/>
  <c r="AT211" i="40" s="1"/>
  <c r="AT212" i="40" s="1"/>
  <c r="AT213" i="40" s="1"/>
  <c r="AT214" i="40" s="1"/>
  <c r="AT215" i="40" s="1"/>
  <c r="AT216" i="40" s="1"/>
  <c r="AT217" i="40" s="1"/>
  <c r="AT218" i="40" s="1"/>
  <c r="AT219" i="40" s="1"/>
  <c r="AT220" i="40" s="1"/>
  <c r="AT221" i="40" s="1"/>
  <c r="AT222" i="40" s="1"/>
  <c r="AT223" i="40" s="1"/>
  <c r="AT224" i="40" s="1"/>
  <c r="AT225" i="40" s="1"/>
  <c r="AT226" i="40" s="1"/>
  <c r="AT227" i="40" s="1"/>
  <c r="AT228" i="40" s="1"/>
  <c r="AT229" i="40" s="1"/>
  <c r="AT230" i="40" s="1"/>
  <c r="AT231" i="40" s="1"/>
  <c r="AT232" i="40" s="1"/>
  <c r="AT233" i="40" s="1"/>
  <c r="AT234" i="40" s="1"/>
  <c r="AT235" i="40" s="1"/>
  <c r="AT236" i="40" s="1"/>
  <c r="AT237" i="40" s="1"/>
  <c r="AT238" i="40" s="1"/>
  <c r="AT239" i="40" s="1"/>
  <c r="AT240" i="40" s="1"/>
  <c r="AT241" i="40" s="1"/>
  <c r="AT242" i="40" s="1"/>
  <c r="AT243" i="40" s="1"/>
  <c r="AT244" i="40" s="1"/>
  <c r="AT245" i="40" s="1"/>
  <c r="AT246" i="40" s="1"/>
  <c r="AT247" i="40" s="1"/>
  <c r="AT248" i="40" s="1"/>
  <c r="AT249" i="40" s="1"/>
  <c r="AT250" i="40" s="1"/>
  <c r="AT251" i="40" s="1"/>
  <c r="AT252" i="40" s="1"/>
  <c r="AT253" i="40" s="1"/>
  <c r="AT254" i="40" s="1"/>
  <c r="AT255" i="40" s="1"/>
  <c r="AT256" i="40" s="1"/>
  <c r="AT257" i="40" s="1"/>
  <c r="AT258" i="40" s="1"/>
  <c r="AT259" i="40" s="1"/>
  <c r="AT260" i="40" s="1"/>
  <c r="AT261" i="40" s="1"/>
  <c r="AT262" i="40" s="1"/>
  <c r="AT263" i="40" s="1"/>
  <c r="AT264" i="40" s="1"/>
  <c r="AT265" i="40" s="1"/>
  <c r="AT266" i="40" s="1"/>
  <c r="AT267" i="40" s="1"/>
  <c r="AT268" i="40" s="1"/>
  <c r="AT269" i="40" s="1"/>
  <c r="AT270" i="40" s="1"/>
  <c r="AT271" i="40" s="1"/>
  <c r="AT272" i="40" s="1"/>
  <c r="AT273" i="40" s="1"/>
  <c r="AT274" i="40" s="1"/>
  <c r="AT275" i="40" s="1"/>
  <c r="AT276" i="40" s="1"/>
  <c r="AT277" i="40" s="1"/>
  <c r="AT278" i="40" s="1"/>
  <c r="AT279" i="40" s="1"/>
  <c r="AT280" i="40" s="1"/>
  <c r="AT281" i="40" s="1"/>
  <c r="AT282" i="40" s="1"/>
  <c r="AT283" i="40" s="1"/>
  <c r="AT284" i="40" s="1"/>
  <c r="AT285" i="40" s="1"/>
  <c r="AT286" i="40" s="1"/>
  <c r="AT287" i="40" s="1"/>
  <c r="AT288" i="40" s="1"/>
  <c r="AT289" i="40" s="1"/>
  <c r="AT290" i="40" s="1"/>
  <c r="AT291" i="40" s="1"/>
  <c r="AT292" i="40" s="1"/>
  <c r="AT293" i="40" s="1"/>
  <c r="AT294" i="40" s="1"/>
  <c r="AT295" i="40" s="1"/>
  <c r="AT296" i="40" s="1"/>
  <c r="AT297" i="40" s="1"/>
  <c r="AT298" i="40" s="1"/>
  <c r="AT299" i="40" s="1"/>
  <c r="AT300" i="40" s="1"/>
  <c r="BQ202" i="40"/>
  <c r="A301" i="40"/>
  <c r="CK301" i="40"/>
  <c r="CL301" i="40"/>
  <c r="CM301" i="40"/>
  <c r="CN301" i="40"/>
  <c r="CO301" i="40"/>
  <c r="HK302" i="40"/>
  <c r="HK303" i="40" s="1"/>
  <c r="HK304" i="40" s="1"/>
  <c r="HK305" i="40" s="1"/>
  <c r="HK306" i="40" s="1"/>
  <c r="HK307" i="40" s="1"/>
  <c r="HK308" i="40" s="1"/>
  <c r="HK309" i="40" s="1"/>
  <c r="HK310" i="40" s="1"/>
  <c r="HK311" i="40" s="1"/>
  <c r="HK312" i="40" s="1"/>
  <c r="HK313" i="40" s="1"/>
  <c r="HK314" i="40" s="1"/>
  <c r="HK315" i="40" s="1"/>
  <c r="HK316" i="40" s="1"/>
  <c r="HK317" i="40" s="1"/>
  <c r="HK318" i="40" s="1"/>
  <c r="HK319" i="40" s="1"/>
  <c r="HK320" i="40" s="1"/>
  <c r="HK321" i="40" s="1"/>
  <c r="HK322" i="40" s="1"/>
  <c r="HK323" i="40" s="1"/>
  <c r="HK324" i="40" s="1"/>
  <c r="HK325" i="40" s="1"/>
  <c r="HK326" i="40" s="1"/>
  <c r="HK327" i="40" s="1"/>
  <c r="HK328" i="40" s="1"/>
  <c r="HK329" i="40" s="1"/>
  <c r="HK330" i="40" s="1"/>
  <c r="HK331" i="40" s="1"/>
  <c r="HK332" i="40" s="1"/>
  <c r="HK333" i="40" s="1"/>
  <c r="HK334" i="40" s="1"/>
  <c r="HK335" i="40" s="1"/>
  <c r="HK336" i="40" s="1"/>
  <c r="HK337" i="40" s="1"/>
  <c r="HK338" i="40" s="1"/>
  <c r="HK339" i="40" s="1"/>
  <c r="HK340" i="40" s="1"/>
  <c r="HK341" i="40" s="1"/>
  <c r="HK342" i="40" s="1"/>
  <c r="HK343" i="40" s="1"/>
  <c r="HK344" i="40" s="1"/>
  <c r="HK345" i="40" s="1"/>
  <c r="HK346" i="40" s="1"/>
  <c r="HK347" i="40" s="1"/>
  <c r="HK348" i="40" s="1"/>
  <c r="HK349" i="40" s="1"/>
  <c r="HK350" i="40" s="1"/>
  <c r="HK351" i="40" s="1"/>
  <c r="HK352" i="40" s="1"/>
  <c r="HK353" i="40" s="1"/>
  <c r="HK354" i="40" s="1"/>
  <c r="HK355" i="40" s="1"/>
  <c r="HK356" i="40" s="1"/>
  <c r="HK357" i="40" s="1"/>
  <c r="HK358" i="40" s="1"/>
  <c r="HK359" i="40" s="1"/>
  <c r="HK360" i="40" s="1"/>
  <c r="HK361" i="40" s="1"/>
  <c r="HK362" i="40" s="1"/>
  <c r="HK363" i="40" s="1"/>
  <c r="HK364" i="40" s="1"/>
  <c r="HK365" i="40" s="1"/>
  <c r="HK366" i="40" s="1"/>
  <c r="HK367" i="40" s="1"/>
  <c r="HK368" i="40" s="1"/>
  <c r="HK369" i="40" s="1"/>
  <c r="HK370" i="40" s="1"/>
  <c r="HK371" i="40" s="1"/>
  <c r="HK372" i="40" s="1"/>
  <c r="HK373" i="40" s="1"/>
  <c r="HK374" i="40" s="1"/>
  <c r="HK375" i="40" s="1"/>
  <c r="HK376" i="40" s="1"/>
  <c r="HK377" i="40" s="1"/>
  <c r="HK378" i="40" s="1"/>
  <c r="HK379" i="40" s="1"/>
  <c r="HK380" i="40" s="1"/>
  <c r="HK381" i="40" s="1"/>
  <c r="HK382" i="40" s="1"/>
  <c r="HK383" i="40" s="1"/>
  <c r="HK384" i="40" s="1"/>
  <c r="HK385" i="40" s="1"/>
  <c r="HK386" i="40" s="1"/>
  <c r="HK387" i="40" s="1"/>
  <c r="AZ301" i="40"/>
  <c r="AW301" i="40"/>
  <c r="AX301" i="40"/>
  <c r="AY301" i="40"/>
  <c r="BA301" i="40"/>
  <c r="BB301" i="40"/>
  <c r="BC301" i="40"/>
  <c r="BD301" i="40"/>
  <c r="BE301" i="40"/>
  <c r="BF301" i="40"/>
  <c r="BG301" i="40"/>
  <c r="BH301" i="40"/>
  <c r="BI301" i="40"/>
  <c r="BJ301" i="40"/>
  <c r="BK301" i="40"/>
  <c r="BL301" i="40"/>
  <c r="BM301" i="40"/>
  <c r="BN301" i="40"/>
  <c r="BO301" i="40"/>
  <c r="BP301" i="40"/>
  <c r="BQ301" i="40"/>
  <c r="BR301" i="40"/>
  <c r="BS301" i="40"/>
  <c r="BT301" i="40"/>
  <c r="BU301" i="40"/>
  <c r="BV301" i="40"/>
  <c r="BW301" i="40"/>
  <c r="BX301" i="40"/>
  <c r="BY301" i="40"/>
  <c r="BZ301" i="40"/>
  <c r="CA301" i="40"/>
  <c r="CB301" i="40"/>
  <c r="CC301" i="40"/>
  <c r="CD301" i="40"/>
  <c r="CE301" i="40"/>
  <c r="CF301" i="40"/>
  <c r="CG301" i="40"/>
  <c r="CH301" i="40"/>
  <c r="CJ301" i="40"/>
  <c r="DM301" i="40"/>
  <c r="DS301" i="40"/>
  <c r="DT301" i="40"/>
  <c r="DU301" i="40"/>
  <c r="DV301" i="40"/>
  <c r="DW301" i="40"/>
  <c r="HJ302" i="40"/>
  <c r="HJ303" i="40" s="1"/>
  <c r="HJ304" i="40" s="1"/>
  <c r="HJ305" i="40" s="1"/>
  <c r="HJ306" i="40" s="1"/>
  <c r="HJ307" i="40" s="1"/>
  <c r="HJ308" i="40" s="1"/>
  <c r="HJ309" i="40" s="1"/>
  <c r="HJ310" i="40" s="1"/>
  <c r="HJ311" i="40" s="1"/>
  <c r="HJ312" i="40" s="1"/>
  <c r="HJ313" i="40" s="1"/>
  <c r="HJ314" i="40" s="1"/>
  <c r="HJ315" i="40" s="1"/>
  <c r="HJ316" i="40" s="1"/>
  <c r="HJ317" i="40" s="1"/>
  <c r="HJ318" i="40" s="1"/>
  <c r="HJ319" i="40" s="1"/>
  <c r="HJ320" i="40" s="1"/>
  <c r="HJ321" i="40" s="1"/>
  <c r="HJ322" i="40" s="1"/>
  <c r="HJ323" i="40" s="1"/>
  <c r="HJ324" i="40" s="1"/>
  <c r="HJ325" i="40" s="1"/>
  <c r="HJ326" i="40" s="1"/>
  <c r="HJ327" i="40" s="1"/>
  <c r="HJ328" i="40" s="1"/>
  <c r="HJ329" i="40" s="1"/>
  <c r="HJ330" i="40" s="1"/>
  <c r="HJ331" i="40" s="1"/>
  <c r="HJ332" i="40" s="1"/>
  <c r="HJ333" i="40" s="1"/>
  <c r="HJ334" i="40" s="1"/>
  <c r="HJ335" i="40" s="1"/>
  <c r="HJ336" i="40" s="1"/>
  <c r="HJ337" i="40" s="1"/>
  <c r="HJ338" i="40" s="1"/>
  <c r="HJ339" i="40" s="1"/>
  <c r="HJ340" i="40" s="1"/>
  <c r="HJ341" i="40" s="1"/>
  <c r="HJ342" i="40" s="1"/>
  <c r="HJ343" i="40" s="1"/>
  <c r="HJ344" i="40" s="1"/>
  <c r="HJ345" i="40" s="1"/>
  <c r="HJ346" i="40" s="1"/>
  <c r="HJ347" i="40" s="1"/>
  <c r="HJ348" i="40" s="1"/>
  <c r="HJ349" i="40" s="1"/>
  <c r="HJ350" i="40" s="1"/>
  <c r="HJ351" i="40" s="1"/>
  <c r="HJ352" i="40" s="1"/>
  <c r="HJ353" i="40" s="1"/>
  <c r="HJ354" i="40" s="1"/>
  <c r="HJ355" i="40" s="1"/>
  <c r="HJ356" i="40" s="1"/>
  <c r="HJ357" i="40" s="1"/>
  <c r="HJ358" i="40" s="1"/>
  <c r="HJ359" i="40" s="1"/>
  <c r="HJ360" i="40" s="1"/>
  <c r="HJ361" i="40" s="1"/>
  <c r="HJ362" i="40" s="1"/>
  <c r="HJ363" i="40" s="1"/>
  <c r="HJ364" i="40" s="1"/>
  <c r="HJ365" i="40" s="1"/>
  <c r="HJ366" i="40" s="1"/>
  <c r="HJ367" i="40" s="1"/>
  <c r="HJ368" i="40" s="1"/>
  <c r="HJ369" i="40" s="1"/>
  <c r="HJ370" i="40" s="1"/>
  <c r="HJ371" i="40" s="1"/>
  <c r="HJ372" i="40" s="1"/>
  <c r="HJ373" i="40" s="1"/>
  <c r="HJ374" i="40" s="1"/>
  <c r="HJ375" i="40" s="1"/>
  <c r="HJ376" i="40" s="1"/>
  <c r="HJ377" i="40" s="1"/>
  <c r="HJ378" i="40" s="1"/>
  <c r="HJ379" i="40" s="1"/>
  <c r="HJ380" i="40" s="1"/>
  <c r="HJ381" i="40" s="1"/>
  <c r="HJ382" i="40" s="1"/>
  <c r="AT302" i="40"/>
  <c r="AT303" i="40" s="1"/>
  <c r="AT304" i="40" s="1"/>
  <c r="AT305" i="40" s="1"/>
  <c r="AT306" i="40" s="1"/>
  <c r="AT307" i="40" s="1"/>
  <c r="AT308" i="40" s="1"/>
  <c r="AT309" i="40" s="1"/>
  <c r="AT310" i="40" s="1"/>
  <c r="AT311" i="40" s="1"/>
  <c r="AT312" i="40" s="1"/>
  <c r="AT313" i="40" s="1"/>
  <c r="AT314" i="40" s="1"/>
  <c r="AT315" i="40" s="1"/>
  <c r="AT316" i="40" s="1"/>
  <c r="AT317" i="40" s="1"/>
  <c r="AT318" i="40" s="1"/>
  <c r="AT319" i="40" s="1"/>
  <c r="AT320" i="40" s="1"/>
  <c r="AT321" i="40" s="1"/>
  <c r="AT322" i="40" s="1"/>
  <c r="AT323" i="40" s="1"/>
  <c r="AT324" i="40" s="1"/>
  <c r="AT325" i="40" s="1"/>
  <c r="AT326" i="40" s="1"/>
  <c r="AT327" i="40" s="1"/>
  <c r="AT328" i="40" s="1"/>
  <c r="AT329" i="40" s="1"/>
  <c r="AT330" i="40" s="1"/>
  <c r="AT331" i="40" s="1"/>
  <c r="AT332" i="40" s="1"/>
  <c r="AT333" i="40" s="1"/>
  <c r="AT334" i="40" s="1"/>
  <c r="AT335" i="40" s="1"/>
  <c r="AT336" i="40" s="1"/>
  <c r="AT337" i="40" s="1"/>
  <c r="AT338" i="40" s="1"/>
  <c r="AT339" i="40" s="1"/>
  <c r="AT340" i="40" s="1"/>
  <c r="AT341" i="40" s="1"/>
  <c r="AT342" i="40" s="1"/>
  <c r="AT343" i="40" s="1"/>
  <c r="AT344" i="40" s="1"/>
  <c r="AT345" i="40" s="1"/>
  <c r="AT346" i="40" s="1"/>
  <c r="AT347" i="40" s="1"/>
  <c r="AT348" i="40" s="1"/>
  <c r="AT349" i="40" s="1"/>
  <c r="AT350" i="40" s="1"/>
  <c r="AT351" i="40" s="1"/>
  <c r="AT352" i="40" s="1"/>
  <c r="AT353" i="40" s="1"/>
  <c r="AT354" i="40" s="1"/>
  <c r="AT355" i="40" s="1"/>
  <c r="AT356" i="40" s="1"/>
  <c r="AT357" i="40" s="1"/>
  <c r="AT358" i="40" s="1"/>
  <c r="AT359" i="40" s="1"/>
  <c r="AT360" i="40" s="1"/>
  <c r="AT361" i="40" s="1"/>
  <c r="AT362" i="40" s="1"/>
  <c r="AT363" i="40" s="1"/>
  <c r="AT364" i="40" s="1"/>
  <c r="AT365" i="40" s="1"/>
  <c r="AT366" i="40" s="1"/>
  <c r="AT367" i="40" s="1"/>
  <c r="AT368" i="40" s="1"/>
  <c r="AT369" i="40" s="1"/>
  <c r="AT370" i="40" s="1"/>
  <c r="AT371" i="40" s="1"/>
  <c r="AT372" i="40" s="1"/>
  <c r="AT373" i="40" s="1"/>
  <c r="AT374" i="40" s="1"/>
  <c r="AT375" i="40" s="1"/>
  <c r="AT376" i="40" s="1"/>
  <c r="AT377" i="40" s="1"/>
  <c r="AT378" i="40" s="1"/>
  <c r="AT379" i="40" s="1"/>
  <c r="AT380" i="40" s="1"/>
  <c r="AT381" i="40" s="1"/>
  <c r="AT382" i="40" s="1"/>
  <c r="AT383" i="40" s="1"/>
  <c r="AT384" i="40" s="1"/>
  <c r="AT385" i="40" s="1"/>
  <c r="AT386" i="40" s="1"/>
  <c r="AT387" i="40" s="1"/>
  <c r="AT388" i="40" s="1"/>
  <c r="AT389" i="40" s="1"/>
  <c r="AT390" i="40" s="1"/>
  <c r="AT391" i="40" s="1"/>
  <c r="AT392" i="40" s="1"/>
  <c r="AT393" i="40" s="1"/>
  <c r="AT394" i="40" s="1"/>
  <c r="AT395" i="40" s="1"/>
  <c r="AT396" i="40" s="1"/>
  <c r="AT397" i="40" s="1"/>
  <c r="AT398" i="40" s="1"/>
  <c r="AT399" i="40" s="1"/>
  <c r="AT400" i="40" s="1"/>
  <c r="BA302" i="40"/>
  <c r="BQ302" i="40"/>
  <c r="CG302" i="40"/>
  <c r="A401" i="40"/>
  <c r="CK401" i="40"/>
  <c r="CL401" i="40"/>
  <c r="CN401" i="40"/>
  <c r="CO401" i="40"/>
  <c r="HK402" i="40"/>
  <c r="HK403" i="40" s="1"/>
  <c r="HK404" i="40" s="1"/>
  <c r="HK405" i="40" s="1"/>
  <c r="HK406" i="40" s="1"/>
  <c r="HK407" i="40" s="1"/>
  <c r="HK408" i="40" s="1"/>
  <c r="HK409" i="40" s="1"/>
  <c r="HK410" i="40" s="1"/>
  <c r="HK411" i="40" s="1"/>
  <c r="HK412" i="40" s="1"/>
  <c r="HK413" i="40" s="1"/>
  <c r="HK414" i="40" s="1"/>
  <c r="HK415" i="40" s="1"/>
  <c r="HK416" i="40" s="1"/>
  <c r="HK417" i="40" s="1"/>
  <c r="HK418" i="40" s="1"/>
  <c r="HK419" i="40" s="1"/>
  <c r="HK420" i="40" s="1"/>
  <c r="HK421" i="40" s="1"/>
  <c r="HK422" i="40" s="1"/>
  <c r="HK423" i="40" s="1"/>
  <c r="HK424" i="40" s="1"/>
  <c r="HK425" i="40" s="1"/>
  <c r="HK426" i="40" s="1"/>
  <c r="HK427" i="40" s="1"/>
  <c r="HK428" i="40" s="1"/>
  <c r="HK429" i="40" s="1"/>
  <c r="HK430" i="40" s="1"/>
  <c r="HK431" i="40" s="1"/>
  <c r="HK432" i="40" s="1"/>
  <c r="HK433" i="40" s="1"/>
  <c r="HK434" i="40" s="1"/>
  <c r="HK435" i="40" s="1"/>
  <c r="HK436" i="40" s="1"/>
  <c r="HK437" i="40" s="1"/>
  <c r="HK438" i="40" s="1"/>
  <c r="HK439" i="40" s="1"/>
  <c r="HK440" i="40" s="1"/>
  <c r="HK441" i="40" s="1"/>
  <c r="HK442" i="40" s="1"/>
  <c r="HK443" i="40" s="1"/>
  <c r="HK444" i="40" s="1"/>
  <c r="HK445" i="40" s="1"/>
  <c r="HK446" i="40" s="1"/>
  <c r="HK447" i="40" s="1"/>
  <c r="HK448" i="40" s="1"/>
  <c r="HK449" i="40" s="1"/>
  <c r="HK450" i="40" s="1"/>
  <c r="HK451" i="40" s="1"/>
  <c r="HK452" i="40" s="1"/>
  <c r="HK453" i="40" s="1"/>
  <c r="HK454" i="40" s="1"/>
  <c r="HK455" i="40" s="1"/>
  <c r="HK456" i="40" s="1"/>
  <c r="HK457" i="40" s="1"/>
  <c r="HK458" i="40" s="1"/>
  <c r="HK459" i="40" s="1"/>
  <c r="HK460" i="40" s="1"/>
  <c r="HK461" i="40" s="1"/>
  <c r="HK462" i="40" s="1"/>
  <c r="HK463" i="40" s="1"/>
  <c r="HK464" i="40" s="1"/>
  <c r="HK465" i="40" s="1"/>
  <c r="HK466" i="40" s="1"/>
  <c r="HK467" i="40" s="1"/>
  <c r="HK468" i="40" s="1"/>
  <c r="HK469" i="40" s="1"/>
  <c r="HK470" i="40" s="1"/>
  <c r="HK471" i="40" s="1"/>
  <c r="HK472" i="40" s="1"/>
  <c r="HK473" i="40" s="1"/>
  <c r="HK474" i="40" s="1"/>
  <c r="HK475" i="40" s="1"/>
  <c r="HK476" i="40" s="1"/>
  <c r="HK477" i="40" s="1"/>
  <c r="HK478" i="40" s="1"/>
  <c r="HK479" i="40" s="1"/>
  <c r="HK480" i="40" s="1"/>
  <c r="HK481" i="40" s="1"/>
  <c r="HK482" i="40" s="1"/>
  <c r="HK483" i="40" s="1"/>
  <c r="HK484" i="40" s="1"/>
  <c r="HK485" i="40" s="1"/>
  <c r="HK486" i="40" s="1"/>
  <c r="HK487" i="40" s="1"/>
  <c r="AZ401" i="40"/>
  <c r="AW401" i="40"/>
  <c r="AX401" i="40"/>
  <c r="AY401" i="40"/>
  <c r="BA401" i="40"/>
  <c r="BB401" i="40"/>
  <c r="BC401" i="40"/>
  <c r="BD401" i="40"/>
  <c r="BE401" i="40"/>
  <c r="BF401" i="40"/>
  <c r="BG401" i="40"/>
  <c r="BH401" i="40"/>
  <c r="BI401" i="40"/>
  <c r="BJ401" i="40"/>
  <c r="BK401" i="40"/>
  <c r="BL401" i="40"/>
  <c r="BM401" i="40"/>
  <c r="BN401" i="40"/>
  <c r="BO401" i="40"/>
  <c r="BP401" i="40"/>
  <c r="BQ401" i="40"/>
  <c r="BR401" i="40"/>
  <c r="BS401" i="40"/>
  <c r="BT401" i="40"/>
  <c r="BU401" i="40"/>
  <c r="BV401" i="40"/>
  <c r="BW401" i="40"/>
  <c r="BX401" i="40"/>
  <c r="BY401" i="40"/>
  <c r="BZ401" i="40"/>
  <c r="CA401" i="40"/>
  <c r="CB401" i="40"/>
  <c r="CC401" i="40"/>
  <c r="CD401" i="40"/>
  <c r="CE401" i="40"/>
  <c r="CF401" i="40"/>
  <c r="CG401" i="40"/>
  <c r="CH401" i="40"/>
  <c r="CJ401" i="40"/>
  <c r="DM401" i="40"/>
  <c r="DS401" i="40"/>
  <c r="DT401" i="40"/>
  <c r="DU401" i="40"/>
  <c r="DV401" i="40"/>
  <c r="DW401" i="40"/>
  <c r="HJ402" i="40"/>
  <c r="HJ403" i="40" s="1"/>
  <c r="HJ404" i="40" s="1"/>
  <c r="HJ405" i="40" s="1"/>
  <c r="HJ406" i="40" s="1"/>
  <c r="HJ407" i="40" s="1"/>
  <c r="HJ408" i="40" s="1"/>
  <c r="HJ409" i="40" s="1"/>
  <c r="HJ410" i="40" s="1"/>
  <c r="HJ411" i="40" s="1"/>
  <c r="HJ412" i="40" s="1"/>
  <c r="HJ413" i="40" s="1"/>
  <c r="HJ414" i="40" s="1"/>
  <c r="HJ415" i="40" s="1"/>
  <c r="HJ416" i="40" s="1"/>
  <c r="HJ417" i="40" s="1"/>
  <c r="HJ418" i="40" s="1"/>
  <c r="HJ419" i="40" s="1"/>
  <c r="HJ420" i="40" s="1"/>
  <c r="HJ421" i="40" s="1"/>
  <c r="HJ422" i="40" s="1"/>
  <c r="HJ423" i="40" s="1"/>
  <c r="HJ424" i="40" s="1"/>
  <c r="HJ425" i="40" s="1"/>
  <c r="HJ426" i="40" s="1"/>
  <c r="HJ427" i="40" s="1"/>
  <c r="HJ428" i="40" s="1"/>
  <c r="HJ429" i="40" s="1"/>
  <c r="HJ430" i="40" s="1"/>
  <c r="HJ431" i="40" s="1"/>
  <c r="HJ432" i="40" s="1"/>
  <c r="HJ433" i="40" s="1"/>
  <c r="HJ434" i="40" s="1"/>
  <c r="HJ435" i="40" s="1"/>
  <c r="HJ436" i="40" s="1"/>
  <c r="HJ437" i="40" s="1"/>
  <c r="HJ438" i="40" s="1"/>
  <c r="HJ439" i="40" s="1"/>
  <c r="HJ440" i="40" s="1"/>
  <c r="HJ441" i="40" s="1"/>
  <c r="HJ442" i="40" s="1"/>
  <c r="HJ443" i="40" s="1"/>
  <c r="HJ444" i="40" s="1"/>
  <c r="HJ445" i="40" s="1"/>
  <c r="HJ446" i="40" s="1"/>
  <c r="HJ447" i="40" s="1"/>
  <c r="HJ448" i="40" s="1"/>
  <c r="HJ449" i="40" s="1"/>
  <c r="HJ450" i="40" s="1"/>
  <c r="HJ451" i="40" s="1"/>
  <c r="HJ452" i="40" s="1"/>
  <c r="HJ453" i="40" s="1"/>
  <c r="HJ454" i="40" s="1"/>
  <c r="HJ455" i="40" s="1"/>
  <c r="HJ456" i="40" s="1"/>
  <c r="HJ457" i="40" s="1"/>
  <c r="HJ458" i="40" s="1"/>
  <c r="HJ459" i="40" s="1"/>
  <c r="HJ460" i="40" s="1"/>
  <c r="HJ461" i="40" s="1"/>
  <c r="HJ462" i="40" s="1"/>
  <c r="HJ463" i="40" s="1"/>
  <c r="HJ464" i="40" s="1"/>
  <c r="HJ465" i="40" s="1"/>
  <c r="HJ466" i="40" s="1"/>
  <c r="HJ467" i="40" s="1"/>
  <c r="HJ468" i="40" s="1"/>
  <c r="HJ469" i="40" s="1"/>
  <c r="HJ470" i="40" s="1"/>
  <c r="HJ471" i="40" s="1"/>
  <c r="HJ472" i="40" s="1"/>
  <c r="HJ473" i="40" s="1"/>
  <c r="HJ474" i="40" s="1"/>
  <c r="HJ475" i="40" s="1"/>
  <c r="HJ476" i="40" s="1"/>
  <c r="HJ477" i="40" s="1"/>
  <c r="HJ478" i="40" s="1"/>
  <c r="HJ479" i="40" s="1"/>
  <c r="HJ480" i="40" s="1"/>
  <c r="HJ481" i="40" s="1"/>
  <c r="HJ482" i="40" s="1"/>
  <c r="AT402" i="40"/>
  <c r="AT403" i="40" s="1"/>
  <c r="AT404" i="40" s="1"/>
  <c r="AT405" i="40" s="1"/>
  <c r="AT406" i="40" s="1"/>
  <c r="AT407" i="40" s="1"/>
  <c r="AT408" i="40" s="1"/>
  <c r="AT409" i="40" s="1"/>
  <c r="AT410" i="40" s="1"/>
  <c r="AT411" i="40" s="1"/>
  <c r="AT412" i="40" s="1"/>
  <c r="AT413" i="40" s="1"/>
  <c r="AT414" i="40" s="1"/>
  <c r="AT415" i="40" s="1"/>
  <c r="AT416" i="40" s="1"/>
  <c r="AT417" i="40" s="1"/>
  <c r="AT418" i="40" s="1"/>
  <c r="AT419" i="40" s="1"/>
  <c r="AT420" i="40" s="1"/>
  <c r="AT421" i="40" s="1"/>
  <c r="AT422" i="40" s="1"/>
  <c r="AT423" i="40" s="1"/>
  <c r="AT424" i="40" s="1"/>
  <c r="AT425" i="40" s="1"/>
  <c r="AT426" i="40" s="1"/>
  <c r="AT427" i="40" s="1"/>
  <c r="AT428" i="40" s="1"/>
  <c r="AT429" i="40" s="1"/>
  <c r="AT430" i="40" s="1"/>
  <c r="AT431" i="40" s="1"/>
  <c r="AT432" i="40" s="1"/>
  <c r="AT433" i="40" s="1"/>
  <c r="AT434" i="40" s="1"/>
  <c r="AT435" i="40" s="1"/>
  <c r="AT436" i="40" s="1"/>
  <c r="AT437" i="40" s="1"/>
  <c r="AT438" i="40" s="1"/>
  <c r="AT439" i="40" s="1"/>
  <c r="AT440" i="40" s="1"/>
  <c r="AT441" i="40" s="1"/>
  <c r="AT442" i="40" s="1"/>
  <c r="AT443" i="40" s="1"/>
  <c r="AT444" i="40" s="1"/>
  <c r="AT445" i="40" s="1"/>
  <c r="AT446" i="40" s="1"/>
  <c r="AT447" i="40" s="1"/>
  <c r="AT448" i="40" s="1"/>
  <c r="AT449" i="40" s="1"/>
  <c r="AT450" i="40" s="1"/>
  <c r="AT451" i="40" s="1"/>
  <c r="AT452" i="40" s="1"/>
  <c r="AT453" i="40" s="1"/>
  <c r="AT454" i="40" s="1"/>
  <c r="AT455" i="40" s="1"/>
  <c r="AT456" i="40" s="1"/>
  <c r="AT457" i="40" s="1"/>
  <c r="AT458" i="40" s="1"/>
  <c r="AT459" i="40" s="1"/>
  <c r="AT460" i="40" s="1"/>
  <c r="AT461" i="40" s="1"/>
  <c r="AT462" i="40" s="1"/>
  <c r="AT463" i="40" s="1"/>
  <c r="AT464" i="40" s="1"/>
  <c r="AT465" i="40" s="1"/>
  <c r="AT466" i="40" s="1"/>
  <c r="AT467" i="40" s="1"/>
  <c r="AT468" i="40" s="1"/>
  <c r="AT469" i="40" s="1"/>
  <c r="AT470" i="40" s="1"/>
  <c r="AT471" i="40" s="1"/>
  <c r="AT472" i="40" s="1"/>
  <c r="AT473" i="40" s="1"/>
  <c r="AT474" i="40" s="1"/>
  <c r="AT475" i="40" s="1"/>
  <c r="AT476" i="40" s="1"/>
  <c r="AT477" i="40" s="1"/>
  <c r="AT478" i="40" s="1"/>
  <c r="AT479" i="40" s="1"/>
  <c r="AT480" i="40" s="1"/>
  <c r="AT481" i="40" s="1"/>
  <c r="AT482" i="40" s="1"/>
  <c r="AT483" i="40" s="1"/>
  <c r="AT484" i="40" s="1"/>
  <c r="AT485" i="40" s="1"/>
  <c r="AT486" i="40" s="1"/>
  <c r="AT487" i="40" s="1"/>
  <c r="AT488" i="40" s="1"/>
  <c r="AT489" i="40" s="1"/>
  <c r="AT490" i="40" s="1"/>
  <c r="AT491" i="40" s="1"/>
  <c r="AT492" i="40" s="1"/>
  <c r="AT493" i="40" s="1"/>
  <c r="AT494" i="40" s="1"/>
  <c r="AT495" i="40" s="1"/>
  <c r="AT496" i="40" s="1"/>
  <c r="AT497" i="40" s="1"/>
  <c r="AT498" i="40" s="1"/>
  <c r="AT499" i="40" s="1"/>
  <c r="AT500" i="40" s="1"/>
  <c r="BJ402" i="40"/>
  <c r="DM402" i="40"/>
  <c r="A501" i="40"/>
  <c r="CK501" i="40"/>
  <c r="CL501" i="40"/>
  <c r="CM501" i="40"/>
  <c r="CN501" i="40"/>
  <c r="CO501" i="40"/>
  <c r="AW501" i="40"/>
  <c r="AX501" i="40"/>
  <c r="AY501" i="40"/>
  <c r="AZ501" i="40"/>
  <c r="BA501" i="40"/>
  <c r="BB501" i="40"/>
  <c r="BC501" i="40"/>
  <c r="BD501" i="40"/>
  <c r="BE501" i="40"/>
  <c r="BF501" i="40"/>
  <c r="BG501" i="40"/>
  <c r="BH501" i="40"/>
  <c r="BI501" i="40"/>
  <c r="BJ501" i="40"/>
  <c r="BK501" i="40"/>
  <c r="BL501" i="40"/>
  <c r="BM501" i="40"/>
  <c r="BN501" i="40"/>
  <c r="BO501" i="40"/>
  <c r="BP501" i="40"/>
  <c r="BQ501" i="40"/>
  <c r="BR501" i="40"/>
  <c r="BS501" i="40"/>
  <c r="BT501" i="40"/>
  <c r="BU501" i="40"/>
  <c r="BV501" i="40"/>
  <c r="BW501" i="40"/>
  <c r="BX501" i="40"/>
  <c r="BY501" i="40"/>
  <c r="BZ501" i="40"/>
  <c r="CA501" i="40"/>
  <c r="CB501" i="40"/>
  <c r="CC501" i="40"/>
  <c r="CD501" i="40"/>
  <c r="CE501" i="40"/>
  <c r="CF501" i="40"/>
  <c r="CG501" i="40"/>
  <c r="CH501" i="40"/>
  <c r="CJ501" i="40"/>
  <c r="DM501" i="40"/>
  <c r="DS501" i="40"/>
  <c r="DT501" i="40"/>
  <c r="DU501" i="40"/>
  <c r="DV501" i="40"/>
  <c r="DW501" i="40"/>
  <c r="HJ502" i="40"/>
  <c r="HJ503" i="40" s="1"/>
  <c r="HJ504" i="40" s="1"/>
  <c r="HJ505" i="40" s="1"/>
  <c r="HJ506" i="40" s="1"/>
  <c r="HJ507" i="40" s="1"/>
  <c r="HJ508" i="40" s="1"/>
  <c r="HJ509" i="40" s="1"/>
  <c r="HJ510" i="40" s="1"/>
  <c r="HJ511" i="40" s="1"/>
  <c r="HJ512" i="40" s="1"/>
  <c r="HJ513" i="40" s="1"/>
  <c r="HJ514" i="40" s="1"/>
  <c r="HJ515" i="40" s="1"/>
  <c r="HJ516" i="40" s="1"/>
  <c r="HJ517" i="40" s="1"/>
  <c r="HJ518" i="40" s="1"/>
  <c r="HJ519" i="40" s="1"/>
  <c r="HJ520" i="40" s="1"/>
  <c r="HJ521" i="40" s="1"/>
  <c r="HJ522" i="40" s="1"/>
  <c r="HJ523" i="40" s="1"/>
  <c r="HJ524" i="40" s="1"/>
  <c r="HJ525" i="40" s="1"/>
  <c r="HJ526" i="40" s="1"/>
  <c r="HJ527" i="40" s="1"/>
  <c r="HJ528" i="40" s="1"/>
  <c r="HJ529" i="40" s="1"/>
  <c r="HJ530" i="40" s="1"/>
  <c r="HJ531" i="40" s="1"/>
  <c r="HJ532" i="40" s="1"/>
  <c r="HJ533" i="40" s="1"/>
  <c r="HJ534" i="40" s="1"/>
  <c r="HJ535" i="40" s="1"/>
  <c r="HJ536" i="40" s="1"/>
  <c r="HJ537" i="40" s="1"/>
  <c r="HJ538" i="40" s="1"/>
  <c r="HJ539" i="40" s="1"/>
  <c r="HJ540" i="40" s="1"/>
  <c r="HJ541" i="40" s="1"/>
  <c r="HJ542" i="40" s="1"/>
  <c r="HJ543" i="40" s="1"/>
  <c r="HJ544" i="40" s="1"/>
  <c r="HJ545" i="40" s="1"/>
  <c r="HJ546" i="40" s="1"/>
  <c r="HJ547" i="40" s="1"/>
  <c r="HJ548" i="40" s="1"/>
  <c r="HJ549" i="40" s="1"/>
  <c r="HJ550" i="40" s="1"/>
  <c r="HJ551" i="40" s="1"/>
  <c r="HJ552" i="40" s="1"/>
  <c r="HJ553" i="40" s="1"/>
  <c r="HJ554" i="40" s="1"/>
  <c r="HJ555" i="40" s="1"/>
  <c r="HJ556" i="40" s="1"/>
  <c r="HJ557" i="40" s="1"/>
  <c r="HJ558" i="40" s="1"/>
  <c r="HJ559" i="40" s="1"/>
  <c r="HJ560" i="40" s="1"/>
  <c r="HJ561" i="40" s="1"/>
  <c r="HJ562" i="40" s="1"/>
  <c r="HJ563" i="40" s="1"/>
  <c r="HJ564" i="40" s="1"/>
  <c r="HJ565" i="40" s="1"/>
  <c r="HJ566" i="40" s="1"/>
  <c r="HJ567" i="40" s="1"/>
  <c r="HJ568" i="40" s="1"/>
  <c r="HJ569" i="40" s="1"/>
  <c r="HJ570" i="40" s="1"/>
  <c r="HJ571" i="40" s="1"/>
  <c r="HJ572" i="40" s="1"/>
  <c r="HJ573" i="40" s="1"/>
  <c r="HJ574" i="40" s="1"/>
  <c r="HJ575" i="40" s="1"/>
  <c r="HJ576" i="40" s="1"/>
  <c r="HJ577" i="40" s="1"/>
  <c r="HJ578" i="40" s="1"/>
  <c r="HJ579" i="40" s="1"/>
  <c r="HJ580" i="40" s="1"/>
  <c r="HJ581" i="40" s="1"/>
  <c r="HJ582" i="40" s="1"/>
  <c r="HK502" i="40"/>
  <c r="HK503" i="40" s="1"/>
  <c r="HK504" i="40" s="1"/>
  <c r="HK505" i="40" s="1"/>
  <c r="HK506" i="40" s="1"/>
  <c r="HK507" i="40" s="1"/>
  <c r="HK508" i="40" s="1"/>
  <c r="HK509" i="40" s="1"/>
  <c r="HK510" i="40" s="1"/>
  <c r="HK511" i="40" s="1"/>
  <c r="HK512" i="40" s="1"/>
  <c r="HK513" i="40" s="1"/>
  <c r="HK514" i="40" s="1"/>
  <c r="HK515" i="40" s="1"/>
  <c r="HK516" i="40" s="1"/>
  <c r="HK517" i="40" s="1"/>
  <c r="HK518" i="40" s="1"/>
  <c r="HK519" i="40" s="1"/>
  <c r="HK520" i="40" s="1"/>
  <c r="HK521" i="40" s="1"/>
  <c r="HK522" i="40" s="1"/>
  <c r="HK523" i="40" s="1"/>
  <c r="HK524" i="40" s="1"/>
  <c r="HK525" i="40" s="1"/>
  <c r="HK526" i="40" s="1"/>
  <c r="HK527" i="40" s="1"/>
  <c r="HK528" i="40" s="1"/>
  <c r="HK529" i="40" s="1"/>
  <c r="HK530" i="40" s="1"/>
  <c r="HK531" i="40" s="1"/>
  <c r="HK532" i="40" s="1"/>
  <c r="HK533" i="40" s="1"/>
  <c r="HK534" i="40" s="1"/>
  <c r="HK535" i="40" s="1"/>
  <c r="HK536" i="40" s="1"/>
  <c r="HK537" i="40" s="1"/>
  <c r="HK538" i="40" s="1"/>
  <c r="HK539" i="40" s="1"/>
  <c r="HK540" i="40" s="1"/>
  <c r="HK541" i="40" s="1"/>
  <c r="HK542" i="40" s="1"/>
  <c r="HK543" i="40" s="1"/>
  <c r="HK544" i="40" s="1"/>
  <c r="HK545" i="40" s="1"/>
  <c r="HK546" i="40" s="1"/>
  <c r="HK547" i="40" s="1"/>
  <c r="HK548" i="40" s="1"/>
  <c r="HK549" i="40" s="1"/>
  <c r="HK550" i="40" s="1"/>
  <c r="HK551" i="40" s="1"/>
  <c r="HK552" i="40" s="1"/>
  <c r="HK553" i="40" s="1"/>
  <c r="HK554" i="40" s="1"/>
  <c r="HK555" i="40" s="1"/>
  <c r="HK556" i="40" s="1"/>
  <c r="HK557" i="40" s="1"/>
  <c r="HK558" i="40" s="1"/>
  <c r="HK559" i="40" s="1"/>
  <c r="HK560" i="40" s="1"/>
  <c r="HK561" i="40" s="1"/>
  <c r="HK562" i="40" s="1"/>
  <c r="HK563" i="40" s="1"/>
  <c r="HK564" i="40" s="1"/>
  <c r="HK565" i="40" s="1"/>
  <c r="HK566" i="40" s="1"/>
  <c r="HK567" i="40" s="1"/>
  <c r="HK568" i="40" s="1"/>
  <c r="HK569" i="40" s="1"/>
  <c r="HK570" i="40" s="1"/>
  <c r="HK571" i="40" s="1"/>
  <c r="HK572" i="40" s="1"/>
  <c r="HK573" i="40" s="1"/>
  <c r="HK574" i="40" s="1"/>
  <c r="HK575" i="40" s="1"/>
  <c r="HK576" i="40" s="1"/>
  <c r="HK577" i="40" s="1"/>
  <c r="HK578" i="40" s="1"/>
  <c r="HK579" i="40" s="1"/>
  <c r="HK580" i="40" s="1"/>
  <c r="HK581" i="40" s="1"/>
  <c r="HK582" i="40" s="1"/>
  <c r="HK583" i="40" s="1"/>
  <c r="HK584" i="40" s="1"/>
  <c r="HK585" i="40" s="1"/>
  <c r="HK586" i="40" s="1"/>
  <c r="HK587" i="40" s="1"/>
  <c r="AT502" i="40"/>
  <c r="AT503" i="40" s="1"/>
  <c r="AT504" i="40" s="1"/>
  <c r="AT505" i="40" s="1"/>
  <c r="AT506" i="40" s="1"/>
  <c r="AT507" i="40" s="1"/>
  <c r="AT508" i="40" s="1"/>
  <c r="AT509" i="40" s="1"/>
  <c r="AT510" i="40" s="1"/>
  <c r="AT511" i="40" s="1"/>
  <c r="AT512" i="40" s="1"/>
  <c r="AT513" i="40" s="1"/>
  <c r="AT514" i="40" s="1"/>
  <c r="AT515" i="40" s="1"/>
  <c r="AT516" i="40" s="1"/>
  <c r="AT517" i="40" s="1"/>
  <c r="AT518" i="40" s="1"/>
  <c r="AT519" i="40" s="1"/>
  <c r="AT520" i="40" s="1"/>
  <c r="AT521" i="40" s="1"/>
  <c r="AT522" i="40" s="1"/>
  <c r="AT523" i="40" s="1"/>
  <c r="AT524" i="40" s="1"/>
  <c r="AT525" i="40" s="1"/>
  <c r="AT526" i="40" s="1"/>
  <c r="AT527" i="40" s="1"/>
  <c r="AT528" i="40" s="1"/>
  <c r="AT529" i="40" s="1"/>
  <c r="AT530" i="40" s="1"/>
  <c r="AT531" i="40" s="1"/>
  <c r="AT532" i="40" s="1"/>
  <c r="AT533" i="40" s="1"/>
  <c r="AT534" i="40" s="1"/>
  <c r="AT535" i="40" s="1"/>
  <c r="AT536" i="40" s="1"/>
  <c r="AT537" i="40" s="1"/>
  <c r="AT538" i="40" s="1"/>
  <c r="AT539" i="40" s="1"/>
  <c r="AT540" i="40" s="1"/>
  <c r="AT541" i="40" s="1"/>
  <c r="AT542" i="40" s="1"/>
  <c r="AT543" i="40" s="1"/>
  <c r="AT544" i="40" s="1"/>
  <c r="AT545" i="40" s="1"/>
  <c r="AT546" i="40" s="1"/>
  <c r="AT547" i="40" s="1"/>
  <c r="AT548" i="40" s="1"/>
  <c r="AT549" i="40" s="1"/>
  <c r="AT550" i="40" s="1"/>
  <c r="AT551" i="40" s="1"/>
  <c r="AT552" i="40" s="1"/>
  <c r="AT553" i="40" s="1"/>
  <c r="AT554" i="40" s="1"/>
  <c r="AT555" i="40" s="1"/>
  <c r="AT556" i="40" s="1"/>
  <c r="AT557" i="40" s="1"/>
  <c r="AT558" i="40" s="1"/>
  <c r="AT559" i="40" s="1"/>
  <c r="AT560" i="40" s="1"/>
  <c r="AT561" i="40" s="1"/>
  <c r="AT562" i="40" s="1"/>
  <c r="AT563" i="40" s="1"/>
  <c r="AT564" i="40" s="1"/>
  <c r="AT565" i="40" s="1"/>
  <c r="AT566" i="40" s="1"/>
  <c r="AT567" i="40" s="1"/>
  <c r="AT568" i="40" s="1"/>
  <c r="AT569" i="40" s="1"/>
  <c r="AT570" i="40" s="1"/>
  <c r="AT571" i="40" s="1"/>
  <c r="AT572" i="40" s="1"/>
  <c r="AT573" i="40" s="1"/>
  <c r="AT574" i="40" s="1"/>
  <c r="AT575" i="40" s="1"/>
  <c r="AT576" i="40" s="1"/>
  <c r="AT577" i="40" s="1"/>
  <c r="AT578" i="40" s="1"/>
  <c r="AT579" i="40" s="1"/>
  <c r="AT580" i="40" s="1"/>
  <c r="AT581" i="40" s="1"/>
  <c r="AT582" i="40" s="1"/>
  <c r="AT583" i="40" s="1"/>
  <c r="AT584" i="40" s="1"/>
  <c r="AT585" i="40" s="1"/>
  <c r="AT586" i="40" s="1"/>
  <c r="AT587" i="40" s="1"/>
  <c r="AT588" i="40" s="1"/>
  <c r="AT589" i="40" s="1"/>
  <c r="AT590" i="40" s="1"/>
  <c r="AT591" i="40" s="1"/>
  <c r="AT592" i="40" s="1"/>
  <c r="AT593" i="40" s="1"/>
  <c r="AT594" i="40" s="1"/>
  <c r="AT595" i="40" s="1"/>
  <c r="AT596" i="40" s="1"/>
  <c r="AT597" i="40" s="1"/>
  <c r="AT598" i="40" s="1"/>
  <c r="AT599" i="40" s="1"/>
  <c r="AZ502" i="40"/>
  <c r="BE502" i="40"/>
  <c r="BJ502" i="40"/>
  <c r="BP502" i="40"/>
  <c r="BU502" i="40"/>
  <c r="BZ502" i="40"/>
  <c r="CF502" i="40"/>
  <c r="DS502" i="40"/>
  <c r="KN501" i="40"/>
  <c r="KN502" i="40" s="1"/>
  <c r="KN503" i="40" s="1"/>
  <c r="KN504" i="40" s="1"/>
  <c r="KN505" i="40" s="1"/>
  <c r="KN506" i="40" s="1"/>
  <c r="KN507" i="40" s="1"/>
  <c r="KN508" i="40" s="1"/>
  <c r="KN509" i="40" s="1"/>
  <c r="KN510" i="40" s="1"/>
  <c r="KN511" i="40" s="1"/>
  <c r="KN512" i="40" s="1"/>
  <c r="KN513" i="40" s="1"/>
  <c r="KN514" i="40" s="1"/>
  <c r="KN515" i="40" s="1"/>
  <c r="KN516" i="40" s="1"/>
  <c r="KN517" i="40" s="1"/>
  <c r="KN518" i="40" s="1"/>
  <c r="KN519" i="40" s="1"/>
  <c r="KN520" i="40" s="1"/>
  <c r="KN521" i="40" s="1"/>
  <c r="KN522" i="40" s="1"/>
  <c r="KN523" i="40" s="1"/>
  <c r="KN524" i="40" s="1"/>
  <c r="KN525" i="40" s="1"/>
  <c r="KN526" i="40" s="1"/>
  <c r="KN527" i="40" s="1"/>
  <c r="KN528" i="40" s="1"/>
  <c r="KN529" i="40" s="1"/>
  <c r="KN530" i="40" s="1"/>
  <c r="KN531" i="40" s="1"/>
  <c r="KN532" i="40" s="1"/>
  <c r="KN533" i="40" s="1"/>
  <c r="KN534" i="40" s="1"/>
  <c r="KN535" i="40" s="1"/>
  <c r="KN536" i="40" s="1"/>
  <c r="KN537" i="40" s="1"/>
  <c r="KN538" i="40" s="1"/>
  <c r="KN539" i="40" s="1"/>
  <c r="KN540" i="40" s="1"/>
  <c r="KN541" i="40" s="1"/>
  <c r="KN542" i="40" s="1"/>
  <c r="KN543" i="40" s="1"/>
  <c r="KN544" i="40" s="1"/>
  <c r="KN545" i="40" s="1"/>
  <c r="KN546" i="40" s="1"/>
  <c r="KN547" i="40" s="1"/>
  <c r="KN548" i="40" s="1"/>
  <c r="KN549" i="40" s="1"/>
  <c r="KN550" i="40" s="1"/>
  <c r="KN551" i="40" s="1"/>
  <c r="KN552" i="40" s="1"/>
  <c r="KN553" i="40" s="1"/>
  <c r="KN554" i="40" s="1"/>
  <c r="KN555" i="40" s="1"/>
  <c r="KN556" i="40" s="1"/>
  <c r="KN557" i="40" s="1"/>
  <c r="KN558" i="40" s="1"/>
  <c r="KN559" i="40" s="1"/>
  <c r="KN560" i="40" s="1"/>
  <c r="KN561" i="40" s="1"/>
  <c r="KN562" i="40" s="1"/>
  <c r="KN563" i="40" s="1"/>
  <c r="KN564" i="40" s="1"/>
  <c r="KN565" i="40" s="1"/>
  <c r="KN566" i="40" s="1"/>
  <c r="KN567" i="40" s="1"/>
  <c r="KN568" i="40" s="1"/>
  <c r="KN569" i="40" s="1"/>
  <c r="KN570" i="40" s="1"/>
  <c r="KN571" i="40" s="1"/>
  <c r="KN572" i="40" s="1"/>
  <c r="KN573" i="40" s="1"/>
  <c r="KN574" i="40" s="1"/>
  <c r="KN575" i="40" s="1"/>
  <c r="KN576" i="40" s="1"/>
  <c r="KN577" i="40" s="1"/>
  <c r="KN578" i="40" s="1"/>
  <c r="KN579" i="40" s="1"/>
  <c r="KN580" i="40" s="1"/>
  <c r="KN581" i="40" s="1"/>
  <c r="KN582" i="40" s="1"/>
  <c r="KN583" i="40" s="1"/>
  <c r="KN584" i="40" s="1"/>
  <c r="KN585" i="40" s="1"/>
  <c r="KN586" i="40" s="1"/>
  <c r="KN587" i="40" s="1"/>
  <c r="KN401" i="40"/>
  <c r="KN402" i="40" s="1"/>
  <c r="KN403" i="40" s="1"/>
  <c r="KN404" i="40" s="1"/>
  <c r="KN405" i="40" s="1"/>
  <c r="KN406" i="40" s="1"/>
  <c r="KN407" i="40" s="1"/>
  <c r="KN408" i="40" s="1"/>
  <c r="KN409" i="40" s="1"/>
  <c r="KN410" i="40" s="1"/>
  <c r="KN411" i="40" s="1"/>
  <c r="KN412" i="40" s="1"/>
  <c r="KN413" i="40" s="1"/>
  <c r="KN414" i="40" s="1"/>
  <c r="KN415" i="40" s="1"/>
  <c r="KN416" i="40" s="1"/>
  <c r="KN417" i="40" s="1"/>
  <c r="KN418" i="40" s="1"/>
  <c r="KN419" i="40" s="1"/>
  <c r="KN420" i="40" s="1"/>
  <c r="KN421" i="40" s="1"/>
  <c r="KN422" i="40" s="1"/>
  <c r="KN423" i="40" s="1"/>
  <c r="KN424" i="40" s="1"/>
  <c r="KN425" i="40" s="1"/>
  <c r="KN426" i="40" s="1"/>
  <c r="KN427" i="40" s="1"/>
  <c r="KN428" i="40" s="1"/>
  <c r="KN429" i="40" s="1"/>
  <c r="KN430" i="40" s="1"/>
  <c r="KN431" i="40" s="1"/>
  <c r="KN432" i="40" s="1"/>
  <c r="KN433" i="40" s="1"/>
  <c r="KN434" i="40" s="1"/>
  <c r="KN435" i="40" s="1"/>
  <c r="KN436" i="40" s="1"/>
  <c r="KN437" i="40" s="1"/>
  <c r="KN438" i="40" s="1"/>
  <c r="KN439" i="40" s="1"/>
  <c r="KN440" i="40" s="1"/>
  <c r="KN441" i="40" s="1"/>
  <c r="KN442" i="40" s="1"/>
  <c r="KN443" i="40" s="1"/>
  <c r="KN444" i="40" s="1"/>
  <c r="KN445" i="40" s="1"/>
  <c r="KN446" i="40" s="1"/>
  <c r="KN447" i="40" s="1"/>
  <c r="KN448" i="40" s="1"/>
  <c r="KN449" i="40" s="1"/>
  <c r="KN450" i="40" s="1"/>
  <c r="KN451" i="40" s="1"/>
  <c r="KN452" i="40" s="1"/>
  <c r="KN453" i="40" s="1"/>
  <c r="KN454" i="40" s="1"/>
  <c r="KN455" i="40" s="1"/>
  <c r="KN456" i="40" s="1"/>
  <c r="KN457" i="40" s="1"/>
  <c r="KN458" i="40" s="1"/>
  <c r="KN459" i="40" s="1"/>
  <c r="KN460" i="40" s="1"/>
  <c r="KN461" i="40" s="1"/>
  <c r="KN462" i="40" s="1"/>
  <c r="KN463" i="40" s="1"/>
  <c r="KN464" i="40" s="1"/>
  <c r="KN465" i="40" s="1"/>
  <c r="KN466" i="40" s="1"/>
  <c r="KN467" i="40" s="1"/>
  <c r="KN468" i="40" s="1"/>
  <c r="KN469" i="40" s="1"/>
  <c r="KN470" i="40" s="1"/>
  <c r="KN471" i="40" s="1"/>
  <c r="KN472" i="40" s="1"/>
  <c r="KN473" i="40" s="1"/>
  <c r="KN474" i="40" s="1"/>
  <c r="KN475" i="40" s="1"/>
  <c r="KN476" i="40" s="1"/>
  <c r="KN477" i="40" s="1"/>
  <c r="KN478" i="40" s="1"/>
  <c r="KN479" i="40" s="1"/>
  <c r="KN480" i="40" s="1"/>
  <c r="KN481" i="40" s="1"/>
  <c r="KN482" i="40" s="1"/>
  <c r="KN483" i="40" s="1"/>
  <c r="KN484" i="40" s="1"/>
  <c r="KN485" i="40" s="1"/>
  <c r="KN486" i="40" s="1"/>
  <c r="KN487" i="40" s="1"/>
  <c r="KN301" i="40"/>
  <c r="KN302" i="40" s="1"/>
  <c r="KN303" i="40" s="1"/>
  <c r="KN304" i="40" s="1"/>
  <c r="KN305" i="40" s="1"/>
  <c r="KN306" i="40" s="1"/>
  <c r="KN307" i="40" s="1"/>
  <c r="KN308" i="40" s="1"/>
  <c r="KN309" i="40" s="1"/>
  <c r="KN310" i="40" s="1"/>
  <c r="KN311" i="40" s="1"/>
  <c r="KN312" i="40" s="1"/>
  <c r="KN313" i="40" s="1"/>
  <c r="KN314" i="40" s="1"/>
  <c r="KN315" i="40" s="1"/>
  <c r="KN316" i="40" s="1"/>
  <c r="KN317" i="40" s="1"/>
  <c r="KN318" i="40" s="1"/>
  <c r="KN319" i="40" s="1"/>
  <c r="KN320" i="40" s="1"/>
  <c r="KN321" i="40" s="1"/>
  <c r="KN322" i="40" s="1"/>
  <c r="KN323" i="40" s="1"/>
  <c r="KN324" i="40" s="1"/>
  <c r="KN325" i="40" s="1"/>
  <c r="KN326" i="40" s="1"/>
  <c r="KN327" i="40" s="1"/>
  <c r="KN328" i="40" s="1"/>
  <c r="KN329" i="40" s="1"/>
  <c r="KN330" i="40" s="1"/>
  <c r="KN331" i="40" s="1"/>
  <c r="KN332" i="40" s="1"/>
  <c r="KN333" i="40" s="1"/>
  <c r="KN334" i="40" s="1"/>
  <c r="KN335" i="40" s="1"/>
  <c r="KN336" i="40" s="1"/>
  <c r="KN337" i="40" s="1"/>
  <c r="KN338" i="40" s="1"/>
  <c r="KN339" i="40" s="1"/>
  <c r="KN340" i="40" s="1"/>
  <c r="KN341" i="40" s="1"/>
  <c r="KN342" i="40" s="1"/>
  <c r="KN343" i="40" s="1"/>
  <c r="KN344" i="40" s="1"/>
  <c r="KN345" i="40" s="1"/>
  <c r="KN346" i="40" s="1"/>
  <c r="KN347" i="40" s="1"/>
  <c r="KN348" i="40" s="1"/>
  <c r="KN349" i="40" s="1"/>
  <c r="KN350" i="40" s="1"/>
  <c r="KN351" i="40" s="1"/>
  <c r="KN352" i="40" s="1"/>
  <c r="KN353" i="40" s="1"/>
  <c r="KN354" i="40" s="1"/>
  <c r="KN355" i="40" s="1"/>
  <c r="KN356" i="40" s="1"/>
  <c r="KN357" i="40" s="1"/>
  <c r="KN358" i="40" s="1"/>
  <c r="KN359" i="40" s="1"/>
  <c r="KN360" i="40" s="1"/>
  <c r="KN361" i="40" s="1"/>
  <c r="KN362" i="40" s="1"/>
  <c r="KN363" i="40" s="1"/>
  <c r="KN364" i="40" s="1"/>
  <c r="KN365" i="40" s="1"/>
  <c r="KN366" i="40" s="1"/>
  <c r="KN367" i="40" s="1"/>
  <c r="KN368" i="40" s="1"/>
  <c r="KN369" i="40" s="1"/>
  <c r="KN370" i="40" s="1"/>
  <c r="KN371" i="40" s="1"/>
  <c r="KN372" i="40" s="1"/>
  <c r="KN373" i="40" s="1"/>
  <c r="KN374" i="40" s="1"/>
  <c r="KN375" i="40" s="1"/>
  <c r="KN376" i="40" s="1"/>
  <c r="KN377" i="40" s="1"/>
  <c r="KN378" i="40" s="1"/>
  <c r="KN379" i="40" s="1"/>
  <c r="KN380" i="40" s="1"/>
  <c r="KN381" i="40" s="1"/>
  <c r="KN382" i="40" s="1"/>
  <c r="KN383" i="40" s="1"/>
  <c r="KN384" i="40" s="1"/>
  <c r="KN385" i="40" s="1"/>
  <c r="KN386" i="40" s="1"/>
  <c r="KN387" i="40" s="1"/>
  <c r="KN201" i="40"/>
  <c r="KN202" i="40" s="1"/>
  <c r="KN203" i="40" s="1"/>
  <c r="KN204" i="40" s="1"/>
  <c r="KN205" i="40" s="1"/>
  <c r="KN206" i="40" s="1"/>
  <c r="KN207" i="40" s="1"/>
  <c r="KN208" i="40" s="1"/>
  <c r="KN209" i="40" s="1"/>
  <c r="KN210" i="40" s="1"/>
  <c r="KN211" i="40" s="1"/>
  <c r="KN212" i="40" s="1"/>
  <c r="KN213" i="40" s="1"/>
  <c r="KN214" i="40" s="1"/>
  <c r="KN215" i="40" s="1"/>
  <c r="KN216" i="40" s="1"/>
  <c r="KN217" i="40" s="1"/>
  <c r="KN218" i="40" s="1"/>
  <c r="KN219" i="40" s="1"/>
  <c r="KN220" i="40" s="1"/>
  <c r="KN221" i="40" s="1"/>
  <c r="KN222" i="40" s="1"/>
  <c r="KN223" i="40" s="1"/>
  <c r="KN224" i="40" s="1"/>
  <c r="KN225" i="40" s="1"/>
  <c r="KN226" i="40" s="1"/>
  <c r="KN227" i="40" s="1"/>
  <c r="KN228" i="40" s="1"/>
  <c r="KN229" i="40" s="1"/>
  <c r="KN230" i="40" s="1"/>
  <c r="KN231" i="40" s="1"/>
  <c r="KN232" i="40" s="1"/>
  <c r="KN233" i="40" s="1"/>
  <c r="KN234" i="40" s="1"/>
  <c r="KN235" i="40" s="1"/>
  <c r="KN236" i="40" s="1"/>
  <c r="KN237" i="40" s="1"/>
  <c r="KN238" i="40" s="1"/>
  <c r="KN239" i="40" s="1"/>
  <c r="KN240" i="40" s="1"/>
  <c r="KN241" i="40" s="1"/>
  <c r="KN242" i="40" s="1"/>
  <c r="KN243" i="40" s="1"/>
  <c r="KN244" i="40" s="1"/>
  <c r="KN245" i="40" s="1"/>
  <c r="KN246" i="40" s="1"/>
  <c r="KN247" i="40" s="1"/>
  <c r="KN248" i="40" s="1"/>
  <c r="KN249" i="40" s="1"/>
  <c r="KN250" i="40" s="1"/>
  <c r="KN251" i="40" s="1"/>
  <c r="KN252" i="40" s="1"/>
  <c r="KN253" i="40" s="1"/>
  <c r="KN254" i="40" s="1"/>
  <c r="KN255" i="40" s="1"/>
  <c r="KN256" i="40" s="1"/>
  <c r="KN257" i="40" s="1"/>
  <c r="KN258" i="40" s="1"/>
  <c r="KN259" i="40" s="1"/>
  <c r="KN260" i="40" s="1"/>
  <c r="KN261" i="40" s="1"/>
  <c r="KN262" i="40" s="1"/>
  <c r="KN263" i="40" s="1"/>
  <c r="KN264" i="40" s="1"/>
  <c r="KN265" i="40" s="1"/>
  <c r="KN266" i="40" s="1"/>
  <c r="KN267" i="40" s="1"/>
  <c r="KN268" i="40" s="1"/>
  <c r="KN269" i="40" s="1"/>
  <c r="KN270" i="40" s="1"/>
  <c r="KN271" i="40" s="1"/>
  <c r="KN272" i="40" s="1"/>
  <c r="KN273" i="40" s="1"/>
  <c r="KN274" i="40" s="1"/>
  <c r="KN275" i="40" s="1"/>
  <c r="KN276" i="40" s="1"/>
  <c r="KN277" i="40" s="1"/>
  <c r="KN278" i="40" s="1"/>
  <c r="KN279" i="40" s="1"/>
  <c r="KN280" i="40" s="1"/>
  <c r="KN281" i="40" s="1"/>
  <c r="KN282" i="40" s="1"/>
  <c r="KN283" i="40" s="1"/>
  <c r="KN284" i="40" s="1"/>
  <c r="KN285" i="40" s="1"/>
  <c r="KN286" i="40" s="1"/>
  <c r="KN287" i="40" s="1"/>
  <c r="KN101" i="40"/>
  <c r="AZ17" i="70"/>
  <c r="AX17" i="70"/>
  <c r="AX15" i="70"/>
  <c r="AZ15" i="70"/>
  <c r="C17" i="70"/>
  <c r="E17" i="70"/>
  <c r="U50" i="69"/>
  <c r="U52" i="69"/>
  <c r="Q52" i="69" s="1"/>
  <c r="U54" i="69"/>
  <c r="U56" i="69"/>
  <c r="U58" i="69"/>
  <c r="U60" i="69"/>
  <c r="U62" i="69"/>
  <c r="Y62" i="69" s="1"/>
  <c r="AC62" i="69" s="1"/>
  <c r="U64" i="69"/>
  <c r="U66" i="69"/>
  <c r="Q66" i="69" s="1"/>
  <c r="U68" i="69"/>
  <c r="Q68" i="69" s="1"/>
  <c r="U70" i="69"/>
  <c r="Q70" i="69" s="1"/>
  <c r="V50" i="69"/>
  <c r="R50" i="69" s="1"/>
  <c r="V52" i="69"/>
  <c r="V54" i="69"/>
  <c r="R54" i="69" s="1"/>
  <c r="V56" i="69"/>
  <c r="R56" i="69" s="1"/>
  <c r="V58" i="69"/>
  <c r="R58" i="69" s="1"/>
  <c r="V60" i="69"/>
  <c r="R60" i="69" s="1"/>
  <c r="V62" i="69"/>
  <c r="V64" i="69"/>
  <c r="R64" i="69" s="1"/>
  <c r="V66" i="69"/>
  <c r="V68" i="69"/>
  <c r="R68" i="69" s="1"/>
  <c r="V70" i="69"/>
  <c r="R70" i="69" s="1"/>
  <c r="W50" i="69"/>
  <c r="W52" i="69"/>
  <c r="W54" i="69"/>
  <c r="W56" i="69"/>
  <c r="W58" i="69"/>
  <c r="AA58" i="69" s="1"/>
  <c r="W60" i="69"/>
  <c r="AA60" i="69" s="1"/>
  <c r="W62" i="69"/>
  <c r="W64" i="69"/>
  <c r="S64" i="69" s="1"/>
  <c r="W66" i="69"/>
  <c r="S66" i="69" s="1"/>
  <c r="W68" i="69"/>
  <c r="W70" i="69"/>
  <c r="U50" i="68"/>
  <c r="U52" i="68"/>
  <c r="Q52" i="68" s="1"/>
  <c r="U54" i="68"/>
  <c r="U56" i="68"/>
  <c r="U58" i="68"/>
  <c r="Q58" i="68" s="1"/>
  <c r="U60" i="68"/>
  <c r="Y60" i="68" s="1"/>
  <c r="AC60" i="68" s="1"/>
  <c r="U62" i="68"/>
  <c r="Q62" i="68" s="1"/>
  <c r="U64" i="68"/>
  <c r="Q64" i="68" s="1"/>
  <c r="U66" i="68"/>
  <c r="U68" i="68"/>
  <c r="Y68" i="68" s="1"/>
  <c r="AC68" i="68" s="1"/>
  <c r="U70" i="68"/>
  <c r="V50" i="68"/>
  <c r="V52" i="68"/>
  <c r="V54" i="68"/>
  <c r="V56" i="68"/>
  <c r="V58" i="68"/>
  <c r="Z58" i="68" s="1"/>
  <c r="V60" i="68"/>
  <c r="R60" i="68" s="1"/>
  <c r="V62" i="68"/>
  <c r="Z62" i="68" s="1"/>
  <c r="V64" i="68"/>
  <c r="V66" i="68"/>
  <c r="Z66" i="68" s="1"/>
  <c r="V68" i="68"/>
  <c r="R68" i="68" s="1"/>
  <c r="V70" i="68"/>
  <c r="Z70" i="68" s="1"/>
  <c r="W50" i="68"/>
  <c r="W52" i="68"/>
  <c r="S52" i="68" s="1"/>
  <c r="W54" i="68"/>
  <c r="S54" i="68" s="1"/>
  <c r="W56" i="68"/>
  <c r="S56" i="68" s="1"/>
  <c r="W58" i="68"/>
  <c r="AA58" i="68" s="1"/>
  <c r="W60" i="68"/>
  <c r="S60" i="68" s="1"/>
  <c r="W62" i="68"/>
  <c r="W64" i="68"/>
  <c r="AA64" i="68" s="1"/>
  <c r="W66" i="68"/>
  <c r="S66" i="68" s="1"/>
  <c r="W68" i="68"/>
  <c r="S68" i="68" s="1"/>
  <c r="W70" i="68"/>
  <c r="U50" i="67"/>
  <c r="U52" i="67"/>
  <c r="U54" i="67"/>
  <c r="Q54" i="67" s="1"/>
  <c r="U56" i="67"/>
  <c r="U58" i="67"/>
  <c r="Q58" i="67" s="1"/>
  <c r="U60" i="67"/>
  <c r="Q60" i="67" s="1"/>
  <c r="U62" i="67"/>
  <c r="Y62" i="67" s="1"/>
  <c r="AC62" i="67" s="1"/>
  <c r="U64" i="67"/>
  <c r="Q64" i="67" s="1"/>
  <c r="U66" i="67"/>
  <c r="Q66" i="67" s="1"/>
  <c r="U68" i="67"/>
  <c r="Q68" i="67" s="1"/>
  <c r="U70" i="67"/>
  <c r="V50" i="67"/>
  <c r="V52" i="67"/>
  <c r="V54" i="67"/>
  <c r="V56" i="67"/>
  <c r="V58" i="67"/>
  <c r="V60" i="67"/>
  <c r="Z60" i="67" s="1"/>
  <c r="V62" i="67"/>
  <c r="V64" i="67"/>
  <c r="R64" i="67" s="1"/>
  <c r="V66" i="67"/>
  <c r="Z66" i="67" s="1"/>
  <c r="V68" i="67"/>
  <c r="R68" i="67" s="1"/>
  <c r="V70" i="67"/>
  <c r="R70" i="67" s="1"/>
  <c r="W50" i="67"/>
  <c r="W52" i="67"/>
  <c r="S52" i="67" s="1"/>
  <c r="W54" i="67"/>
  <c r="W56" i="67"/>
  <c r="W58" i="67"/>
  <c r="W60" i="67"/>
  <c r="AA60" i="67" s="1"/>
  <c r="W62" i="67"/>
  <c r="S62" i="67" s="1"/>
  <c r="W64" i="67"/>
  <c r="W66" i="67"/>
  <c r="S66" i="67" s="1"/>
  <c r="W68" i="67"/>
  <c r="AA68" i="67" s="1"/>
  <c r="W70" i="67"/>
  <c r="S70" i="67" s="1"/>
  <c r="U50" i="66"/>
  <c r="U52" i="66"/>
  <c r="U54" i="66"/>
  <c r="Q54" i="66" s="1"/>
  <c r="U56" i="66"/>
  <c r="Q56" i="66" s="1"/>
  <c r="U58" i="66"/>
  <c r="U60" i="66"/>
  <c r="U62" i="66"/>
  <c r="U64" i="66"/>
  <c r="Q64" i="66" s="1"/>
  <c r="U66" i="66"/>
  <c r="Q66" i="66" s="1"/>
  <c r="U68" i="66"/>
  <c r="Q68" i="66" s="1"/>
  <c r="U70" i="66"/>
  <c r="Y70" i="66" s="1"/>
  <c r="AC70" i="66" s="1"/>
  <c r="V50" i="66"/>
  <c r="V52" i="66"/>
  <c r="R52" i="66" s="1"/>
  <c r="V54" i="66"/>
  <c r="V56" i="66"/>
  <c r="R56" i="66" s="1"/>
  <c r="V58" i="66"/>
  <c r="R58" i="66" s="1"/>
  <c r="V60" i="66"/>
  <c r="R60" i="66" s="1"/>
  <c r="V62" i="66"/>
  <c r="V64" i="66"/>
  <c r="V66" i="66"/>
  <c r="R66" i="66" s="1"/>
  <c r="V68" i="66"/>
  <c r="V70" i="66"/>
  <c r="W50" i="66"/>
  <c r="W52" i="66"/>
  <c r="W54" i="66"/>
  <c r="W56" i="66"/>
  <c r="S56" i="66" s="1"/>
  <c r="W58" i="66"/>
  <c r="W60" i="66"/>
  <c r="AA60" i="66" s="1"/>
  <c r="W62" i="66"/>
  <c r="S62" i="66" s="1"/>
  <c r="W64" i="66"/>
  <c r="W66" i="66"/>
  <c r="W68" i="66"/>
  <c r="S68" i="66" s="1"/>
  <c r="W70" i="66"/>
  <c r="U48" i="58"/>
  <c r="Y48" i="58" s="1"/>
  <c r="AC48" i="58" s="1"/>
  <c r="U50" i="58"/>
  <c r="Q50" i="58" s="1"/>
  <c r="U52" i="58"/>
  <c r="Q52" i="58" s="1"/>
  <c r="U54" i="58"/>
  <c r="U56" i="58"/>
  <c r="U58" i="58"/>
  <c r="Y58" i="58" s="1"/>
  <c r="AC58" i="58" s="1"/>
  <c r="U60" i="58"/>
  <c r="Q60" i="58" s="1"/>
  <c r="U62" i="58"/>
  <c r="Y62" i="58" s="1"/>
  <c r="AC62" i="58" s="1"/>
  <c r="U64" i="58"/>
  <c r="Q64" i="58" s="1"/>
  <c r="U66" i="58"/>
  <c r="U68" i="58"/>
  <c r="Y68" i="58" s="1"/>
  <c r="AC68" i="58" s="1"/>
  <c r="U70" i="58"/>
  <c r="Y70" i="58" s="1"/>
  <c r="AC70" i="58" s="1"/>
  <c r="V48" i="58"/>
  <c r="Z48" i="58" s="1"/>
  <c r="V50" i="58"/>
  <c r="R50" i="58" s="1"/>
  <c r="V52" i="58"/>
  <c r="R52" i="58" s="1"/>
  <c r="V54" i="58"/>
  <c r="V56" i="58"/>
  <c r="Z56" i="58" s="1"/>
  <c r="V58" i="58"/>
  <c r="Z58" i="58" s="1"/>
  <c r="V60" i="58"/>
  <c r="R60" i="58" s="1"/>
  <c r="V62" i="58"/>
  <c r="Z62" i="58" s="1"/>
  <c r="V64" i="58"/>
  <c r="Z64" i="58" s="1"/>
  <c r="V66" i="58"/>
  <c r="R66" i="58" s="1"/>
  <c r="V68" i="58"/>
  <c r="R68" i="58" s="1"/>
  <c r="V70" i="58"/>
  <c r="R70" i="58" s="1"/>
  <c r="W48" i="58"/>
  <c r="S48" i="58" s="1"/>
  <c r="W50" i="58"/>
  <c r="AA50" i="58" s="1"/>
  <c r="W52" i="58"/>
  <c r="AA52" i="58" s="1"/>
  <c r="W54" i="58"/>
  <c r="S54" i="58" s="1"/>
  <c r="W56" i="58"/>
  <c r="AA56" i="58" s="1"/>
  <c r="W58" i="58"/>
  <c r="AA58" i="58" s="1"/>
  <c r="W60" i="58"/>
  <c r="AA60" i="58" s="1"/>
  <c r="W62" i="58"/>
  <c r="W64" i="58"/>
  <c r="AA64" i="58" s="1"/>
  <c r="W66" i="58"/>
  <c r="W68" i="58"/>
  <c r="W70" i="58"/>
  <c r="S70" i="58" s="1"/>
  <c r="H28" i="39"/>
  <c r="HL46" i="52" s="1"/>
  <c r="BX17" i="52"/>
  <c r="Y17" i="52" s="1"/>
  <c r="BX18" i="52"/>
  <c r="BX19" i="52"/>
  <c r="J28" i="39"/>
  <c r="HL20" i="52" s="1"/>
  <c r="HL49" i="52"/>
  <c r="BX20" i="52"/>
  <c r="Y20" i="52" s="1"/>
  <c r="BX21" i="52"/>
  <c r="L28" i="39"/>
  <c r="HL52" i="52" s="1"/>
  <c r="BX23" i="52"/>
  <c r="Y23" i="52" s="1"/>
  <c r="BX24" i="52"/>
  <c r="N28" i="39"/>
  <c r="HL55" i="52" s="1"/>
  <c r="BX26" i="52"/>
  <c r="Y26" i="52" s="1"/>
  <c r="BX27" i="52"/>
  <c r="P28" i="39"/>
  <c r="HL58" i="52" s="1"/>
  <c r="BX29" i="52"/>
  <c r="Y29" i="52" s="1"/>
  <c r="BX30" i="52"/>
  <c r="H29" i="39"/>
  <c r="J29" i="39"/>
  <c r="L29" i="39"/>
  <c r="N29" i="39"/>
  <c r="P29" i="39"/>
  <c r="I98" i="39"/>
  <c r="K98" i="39"/>
  <c r="M98" i="39"/>
  <c r="M98" i="57" s="1"/>
  <c r="O98" i="39"/>
  <c r="Q98" i="39"/>
  <c r="H98" i="39"/>
  <c r="J98" i="39"/>
  <c r="AK49" i="52" s="1"/>
  <c r="L98" i="39"/>
  <c r="N98" i="39"/>
  <c r="P98" i="39"/>
  <c r="H601" i="40"/>
  <c r="I601" i="40"/>
  <c r="AE601" i="40"/>
  <c r="AI601" i="40"/>
  <c r="I77" i="39"/>
  <c r="K77" i="39"/>
  <c r="M77" i="39"/>
  <c r="O77" i="39"/>
  <c r="O77" i="57" s="1"/>
  <c r="Q77" i="39"/>
  <c r="H26" i="39"/>
  <c r="HJ19" i="52" s="1"/>
  <c r="J26" i="39"/>
  <c r="L26" i="39"/>
  <c r="HJ52" i="52" s="1"/>
  <c r="N26" i="39"/>
  <c r="P26" i="39"/>
  <c r="HJ58" i="52" s="1"/>
  <c r="H27" i="39"/>
  <c r="J27" i="39"/>
  <c r="L27" i="39"/>
  <c r="N27" i="39"/>
  <c r="HK55" i="52" s="1"/>
  <c r="P27" i="39"/>
  <c r="H77" i="39"/>
  <c r="E48" i="52" s="1"/>
  <c r="J77" i="39"/>
  <c r="E21" i="52" s="1"/>
  <c r="L77" i="39"/>
  <c r="E301" i="40" s="1"/>
  <c r="N77" i="39"/>
  <c r="E401" i="40" s="1"/>
  <c r="P77" i="39"/>
  <c r="E501" i="40" s="1"/>
  <c r="F601" i="40"/>
  <c r="F60" i="52"/>
  <c r="I60" i="52"/>
  <c r="F59" i="52"/>
  <c r="I59" i="52"/>
  <c r="F58" i="52"/>
  <c r="I58" i="52"/>
  <c r="E57" i="52"/>
  <c r="F57" i="52"/>
  <c r="I57" i="52"/>
  <c r="E56" i="52"/>
  <c r="F56" i="52"/>
  <c r="I56" i="52"/>
  <c r="E55" i="52"/>
  <c r="F55" i="52"/>
  <c r="I55" i="52"/>
  <c r="E54" i="52"/>
  <c r="F54" i="52"/>
  <c r="I54" i="52"/>
  <c r="E53" i="52"/>
  <c r="F53" i="52"/>
  <c r="I53" i="52"/>
  <c r="E52" i="52"/>
  <c r="F52" i="52"/>
  <c r="I52" i="52"/>
  <c r="F51" i="52"/>
  <c r="I51" i="52"/>
  <c r="F50" i="52"/>
  <c r="I50" i="52"/>
  <c r="AC50" i="52"/>
  <c r="AD50" i="52"/>
  <c r="F49" i="52"/>
  <c r="I49" i="52"/>
  <c r="AC49" i="52"/>
  <c r="AD49" i="52"/>
  <c r="F48" i="52"/>
  <c r="I48" i="52"/>
  <c r="AC48" i="52"/>
  <c r="AD48" i="52"/>
  <c r="E47" i="52"/>
  <c r="F47" i="52"/>
  <c r="I47" i="52"/>
  <c r="AC47" i="52"/>
  <c r="AD47" i="52"/>
  <c r="F46" i="52"/>
  <c r="I46" i="52"/>
  <c r="AC46" i="52"/>
  <c r="AD46" i="52"/>
  <c r="H60" i="52"/>
  <c r="AE60" i="52"/>
  <c r="AI60" i="52"/>
  <c r="H59" i="52"/>
  <c r="AE59" i="52"/>
  <c r="AI59" i="52"/>
  <c r="H58" i="52"/>
  <c r="AE58" i="52"/>
  <c r="AI58" i="52"/>
  <c r="H57" i="52"/>
  <c r="AE57" i="52"/>
  <c r="AI57" i="52"/>
  <c r="AJ57" i="52"/>
  <c r="H56" i="52"/>
  <c r="AE56" i="52"/>
  <c r="AF56" i="52"/>
  <c r="AI56" i="52"/>
  <c r="AJ56" i="52"/>
  <c r="H55" i="52"/>
  <c r="AE55" i="52"/>
  <c r="AI55" i="52"/>
  <c r="AJ55" i="52"/>
  <c r="H54" i="52"/>
  <c r="AE54" i="52"/>
  <c r="AF54" i="52"/>
  <c r="AI54" i="52"/>
  <c r="AJ54" i="52"/>
  <c r="H53" i="52"/>
  <c r="AE53" i="52"/>
  <c r="AF53" i="52"/>
  <c r="AI53" i="52"/>
  <c r="AJ53" i="52"/>
  <c r="H52" i="52"/>
  <c r="AE52" i="52"/>
  <c r="AF52" i="52"/>
  <c r="AI52" i="52"/>
  <c r="AJ52" i="52"/>
  <c r="H51" i="52"/>
  <c r="AE51" i="52"/>
  <c r="AF51" i="52"/>
  <c r="AI51" i="52"/>
  <c r="AJ51" i="52"/>
  <c r="H50" i="52"/>
  <c r="AE50" i="52"/>
  <c r="AF50" i="52"/>
  <c r="AI50" i="52"/>
  <c r="AJ50" i="52"/>
  <c r="H49" i="52"/>
  <c r="AE49" i="52"/>
  <c r="AF49" i="52"/>
  <c r="AI49" i="52"/>
  <c r="AJ49" i="52"/>
  <c r="H48" i="52"/>
  <c r="AE48" i="52"/>
  <c r="AF48" i="52"/>
  <c r="AI48" i="52"/>
  <c r="AJ48" i="52"/>
  <c r="H47" i="52"/>
  <c r="AE47" i="52"/>
  <c r="AF47" i="52"/>
  <c r="AI47" i="52"/>
  <c r="AJ47" i="52"/>
  <c r="H46" i="52"/>
  <c r="AE46" i="52"/>
  <c r="AF46" i="52"/>
  <c r="AI46" i="52"/>
  <c r="AJ46" i="52"/>
  <c r="BX31" i="52"/>
  <c r="H31" i="52"/>
  <c r="I31" i="52"/>
  <c r="AE31" i="52"/>
  <c r="AI31" i="52"/>
  <c r="H30" i="52"/>
  <c r="I30" i="52"/>
  <c r="AE30" i="52"/>
  <c r="AI30" i="52"/>
  <c r="H29" i="52"/>
  <c r="I29" i="52"/>
  <c r="AE29" i="52"/>
  <c r="AI29" i="52"/>
  <c r="BX28" i="52"/>
  <c r="H28" i="52"/>
  <c r="I28" i="52"/>
  <c r="AE28" i="52"/>
  <c r="AF28" i="52"/>
  <c r="AI28" i="52"/>
  <c r="AJ28" i="52"/>
  <c r="H27" i="52"/>
  <c r="I27" i="52"/>
  <c r="AE27" i="52"/>
  <c r="AI27" i="52"/>
  <c r="AJ27" i="52"/>
  <c r="H26" i="52"/>
  <c r="I26" i="52"/>
  <c r="AE26" i="52"/>
  <c r="AF26" i="52"/>
  <c r="AI26" i="52"/>
  <c r="AJ26" i="52"/>
  <c r="BX25" i="52"/>
  <c r="H25" i="52"/>
  <c r="I25" i="52"/>
  <c r="AE25" i="52"/>
  <c r="AF25" i="52"/>
  <c r="AI25" i="52"/>
  <c r="AJ25" i="52"/>
  <c r="H24" i="52"/>
  <c r="I24" i="52"/>
  <c r="AE24" i="52"/>
  <c r="AF24" i="52"/>
  <c r="AI24" i="52"/>
  <c r="AJ24" i="52"/>
  <c r="H23" i="52"/>
  <c r="I23" i="52"/>
  <c r="AE23" i="52"/>
  <c r="AF23" i="52"/>
  <c r="AI23" i="52"/>
  <c r="AJ23" i="52"/>
  <c r="BX22" i="52"/>
  <c r="H22" i="52"/>
  <c r="I22" i="52"/>
  <c r="AE22" i="52"/>
  <c r="AF22" i="52"/>
  <c r="AI22" i="52"/>
  <c r="AJ22" i="52"/>
  <c r="H21" i="52"/>
  <c r="I21" i="52"/>
  <c r="AE21" i="52"/>
  <c r="AF21" i="52"/>
  <c r="AI21" i="52"/>
  <c r="AJ21" i="52"/>
  <c r="H20" i="52"/>
  <c r="I20" i="52"/>
  <c r="AE20" i="52"/>
  <c r="AF20" i="52"/>
  <c r="AI20" i="52"/>
  <c r="AJ20" i="52"/>
  <c r="H19" i="52"/>
  <c r="I19" i="52"/>
  <c r="AE19" i="52"/>
  <c r="AF19" i="52"/>
  <c r="AI19" i="52"/>
  <c r="AJ19" i="52"/>
  <c r="H18" i="52"/>
  <c r="I18" i="52"/>
  <c r="AE18" i="52"/>
  <c r="AF18" i="52"/>
  <c r="AI18" i="52"/>
  <c r="AJ18" i="52"/>
  <c r="H17" i="52"/>
  <c r="I17" i="52"/>
  <c r="AE17" i="52"/>
  <c r="AF17" i="52"/>
  <c r="AI17" i="52"/>
  <c r="AJ17" i="52"/>
  <c r="F31" i="52"/>
  <c r="F30" i="52"/>
  <c r="F29" i="52"/>
  <c r="E28" i="52"/>
  <c r="F28" i="52"/>
  <c r="E27" i="52"/>
  <c r="F27" i="52"/>
  <c r="E26" i="52"/>
  <c r="F26" i="52"/>
  <c r="E25" i="52"/>
  <c r="F25" i="52"/>
  <c r="E24" i="52"/>
  <c r="F24" i="52"/>
  <c r="E23" i="52"/>
  <c r="F23" i="52"/>
  <c r="F22" i="52"/>
  <c r="F21" i="52"/>
  <c r="F20" i="52"/>
  <c r="AD20" i="52"/>
  <c r="E19" i="52"/>
  <c r="F19" i="52"/>
  <c r="AC19" i="52"/>
  <c r="AD19" i="52"/>
  <c r="E18" i="52"/>
  <c r="F18" i="52"/>
  <c r="AC18" i="52"/>
  <c r="AD18" i="52"/>
  <c r="E17" i="52"/>
  <c r="F17" i="52"/>
  <c r="AC17" i="52"/>
  <c r="AD17" i="52"/>
  <c r="Q94" i="39"/>
  <c r="S94" i="39" s="1"/>
  <c r="I92" i="39"/>
  <c r="K92" i="39"/>
  <c r="U104" i="75" s="1"/>
  <c r="M92" i="39"/>
  <c r="O92" i="39"/>
  <c r="Q92" i="39"/>
  <c r="I93" i="39"/>
  <c r="I93" i="57" s="1"/>
  <c r="K93" i="39"/>
  <c r="M93" i="39"/>
  <c r="O93" i="39"/>
  <c r="Q93" i="39"/>
  <c r="V110" i="75" s="1"/>
  <c r="P94" i="39"/>
  <c r="W501" i="40" s="1"/>
  <c r="H92" i="39"/>
  <c r="U47" i="52" s="1"/>
  <c r="CT47" i="52" s="1"/>
  <c r="J92" i="39"/>
  <c r="U201" i="40" s="1"/>
  <c r="L92" i="39"/>
  <c r="N92" i="39"/>
  <c r="U401" i="40" s="1"/>
  <c r="P92" i="39"/>
  <c r="U501" i="40" s="1"/>
  <c r="H93" i="39"/>
  <c r="J93" i="39"/>
  <c r="V201" i="40" s="1"/>
  <c r="L93" i="39"/>
  <c r="V301" i="40" s="1"/>
  <c r="N93" i="39"/>
  <c r="V401" i="40" s="1"/>
  <c r="P93" i="39"/>
  <c r="V501" i="40" s="1"/>
  <c r="CJ60" i="52"/>
  <c r="CJ59" i="52"/>
  <c r="CJ58" i="52"/>
  <c r="CJ57" i="52"/>
  <c r="CJ56" i="52"/>
  <c r="CJ55" i="52"/>
  <c r="CJ54" i="52"/>
  <c r="CJ53" i="52"/>
  <c r="CJ52" i="52"/>
  <c r="CJ51" i="52"/>
  <c r="CJ50" i="52"/>
  <c r="CJ49" i="52"/>
  <c r="CJ48" i="52"/>
  <c r="CJ47" i="52"/>
  <c r="CJ46" i="52"/>
  <c r="CJ31" i="52"/>
  <c r="CJ30" i="52"/>
  <c r="CJ29" i="52"/>
  <c r="CJ28" i="52"/>
  <c r="CJ27" i="52"/>
  <c r="CJ26" i="52"/>
  <c r="CJ25" i="52"/>
  <c r="CJ24" i="52"/>
  <c r="CJ23" i="52"/>
  <c r="CJ22" i="52"/>
  <c r="CJ21" i="52"/>
  <c r="CJ20" i="52"/>
  <c r="CJ19" i="52"/>
  <c r="CJ18" i="52"/>
  <c r="CJ601" i="40"/>
  <c r="HK602" i="40"/>
  <c r="HK603" i="40" s="1"/>
  <c r="HK604" i="40" s="1"/>
  <c r="HK605" i="40" s="1"/>
  <c r="HK606" i="40" s="1"/>
  <c r="HK607" i="40" s="1"/>
  <c r="HK608" i="40" s="1"/>
  <c r="HK609" i="40" s="1"/>
  <c r="HK610" i="40" s="1"/>
  <c r="HK611" i="40" s="1"/>
  <c r="HK612" i="40" s="1"/>
  <c r="HK613" i="40" s="1"/>
  <c r="HK614" i="40" s="1"/>
  <c r="HK615" i="40" s="1"/>
  <c r="HK616" i="40" s="1"/>
  <c r="HK617" i="40" s="1"/>
  <c r="HK618" i="40" s="1"/>
  <c r="HK619" i="40" s="1"/>
  <c r="HK620" i="40" s="1"/>
  <c r="HK621" i="40" s="1"/>
  <c r="HK622" i="40" s="1"/>
  <c r="HK623" i="40" s="1"/>
  <c r="HK624" i="40" s="1"/>
  <c r="HK625" i="40" s="1"/>
  <c r="HK626" i="40" s="1"/>
  <c r="HK627" i="40" s="1"/>
  <c r="HK628" i="40" s="1"/>
  <c r="HK629" i="40" s="1"/>
  <c r="HK630" i="40" s="1"/>
  <c r="HK631" i="40" s="1"/>
  <c r="HK632" i="40" s="1"/>
  <c r="HK633" i="40" s="1"/>
  <c r="HK634" i="40" s="1"/>
  <c r="HK635" i="40" s="1"/>
  <c r="HK636" i="40" s="1"/>
  <c r="HK637" i="40" s="1"/>
  <c r="HK638" i="40" s="1"/>
  <c r="HK639" i="40" s="1"/>
  <c r="HK640" i="40" s="1"/>
  <c r="HK641" i="40" s="1"/>
  <c r="HK642" i="40" s="1"/>
  <c r="HK643" i="40" s="1"/>
  <c r="HK644" i="40" s="1"/>
  <c r="HK645" i="40" s="1"/>
  <c r="HK646" i="40" s="1"/>
  <c r="HK647" i="40" s="1"/>
  <c r="HK648" i="40" s="1"/>
  <c r="HK649" i="40" s="1"/>
  <c r="HK650" i="40" s="1"/>
  <c r="HK651" i="40" s="1"/>
  <c r="HK652" i="40" s="1"/>
  <c r="HK653" i="40" s="1"/>
  <c r="HK654" i="40" s="1"/>
  <c r="HK655" i="40" s="1"/>
  <c r="HK656" i="40" s="1"/>
  <c r="HK657" i="40" s="1"/>
  <c r="HK658" i="40" s="1"/>
  <c r="HK659" i="40" s="1"/>
  <c r="HK660" i="40" s="1"/>
  <c r="HK661" i="40" s="1"/>
  <c r="HK662" i="40" s="1"/>
  <c r="HK663" i="40" s="1"/>
  <c r="HK664" i="40" s="1"/>
  <c r="HK665" i="40" s="1"/>
  <c r="HK666" i="40" s="1"/>
  <c r="HK667" i="40" s="1"/>
  <c r="HK668" i="40" s="1"/>
  <c r="HK669" i="40" s="1"/>
  <c r="HK670" i="40" s="1"/>
  <c r="HK671" i="40" s="1"/>
  <c r="HK672" i="40" s="1"/>
  <c r="HK673" i="40" s="1"/>
  <c r="HK674" i="40" s="1"/>
  <c r="HK675" i="40" s="1"/>
  <c r="HK676" i="40" s="1"/>
  <c r="HK677" i="40" s="1"/>
  <c r="HK678" i="40" s="1"/>
  <c r="HK679" i="40" s="1"/>
  <c r="HK680" i="40" s="1"/>
  <c r="HK681" i="40" s="1"/>
  <c r="HJ602" i="40"/>
  <c r="HJ603" i="40" s="1"/>
  <c r="HJ604" i="40" s="1"/>
  <c r="HJ605" i="40" s="1"/>
  <c r="HJ606" i="40" s="1"/>
  <c r="HJ607" i="40" s="1"/>
  <c r="HJ608" i="40" s="1"/>
  <c r="HJ609" i="40" s="1"/>
  <c r="HJ610" i="40" s="1"/>
  <c r="HJ611" i="40" s="1"/>
  <c r="HJ612" i="40" s="1"/>
  <c r="HJ613" i="40" s="1"/>
  <c r="HJ614" i="40" s="1"/>
  <c r="HJ615" i="40" s="1"/>
  <c r="HJ616" i="40" s="1"/>
  <c r="HJ617" i="40" s="1"/>
  <c r="HJ618" i="40" s="1"/>
  <c r="HJ619" i="40" s="1"/>
  <c r="HJ620" i="40" s="1"/>
  <c r="HJ621" i="40" s="1"/>
  <c r="HJ622" i="40" s="1"/>
  <c r="HJ623" i="40" s="1"/>
  <c r="HJ624" i="40" s="1"/>
  <c r="HJ625" i="40" s="1"/>
  <c r="HJ626" i="40" s="1"/>
  <c r="HJ627" i="40" s="1"/>
  <c r="HJ628" i="40" s="1"/>
  <c r="HJ629" i="40" s="1"/>
  <c r="HJ630" i="40" s="1"/>
  <c r="HJ631" i="40" s="1"/>
  <c r="HJ632" i="40" s="1"/>
  <c r="HJ633" i="40" s="1"/>
  <c r="HJ634" i="40" s="1"/>
  <c r="HJ635" i="40" s="1"/>
  <c r="HJ636" i="40" s="1"/>
  <c r="HJ637" i="40" s="1"/>
  <c r="HJ638" i="40" s="1"/>
  <c r="HJ639" i="40" s="1"/>
  <c r="HJ640" i="40" s="1"/>
  <c r="HJ641" i="40" s="1"/>
  <c r="HJ642" i="40" s="1"/>
  <c r="HJ643" i="40" s="1"/>
  <c r="HJ644" i="40" s="1"/>
  <c r="HJ645" i="40" s="1"/>
  <c r="HJ646" i="40" s="1"/>
  <c r="HJ647" i="40" s="1"/>
  <c r="HJ648" i="40" s="1"/>
  <c r="HJ649" i="40" s="1"/>
  <c r="HJ650" i="40" s="1"/>
  <c r="HJ651" i="40" s="1"/>
  <c r="HJ652" i="40" s="1"/>
  <c r="HJ653" i="40" s="1"/>
  <c r="HJ654" i="40" s="1"/>
  <c r="HJ655" i="40" s="1"/>
  <c r="HJ656" i="40" s="1"/>
  <c r="HJ657" i="40" s="1"/>
  <c r="HJ658" i="40" s="1"/>
  <c r="HJ659" i="40" s="1"/>
  <c r="HJ660" i="40" s="1"/>
  <c r="HJ661" i="40" s="1"/>
  <c r="HJ662" i="40" s="1"/>
  <c r="HJ663" i="40" s="1"/>
  <c r="HJ664" i="40" s="1"/>
  <c r="HJ665" i="40" s="1"/>
  <c r="HJ666" i="40" s="1"/>
  <c r="HJ667" i="40" s="1"/>
  <c r="HJ668" i="40" s="1"/>
  <c r="HJ669" i="40" s="1"/>
  <c r="HJ670" i="40" s="1"/>
  <c r="HJ671" i="40" s="1"/>
  <c r="HJ672" i="40" s="1"/>
  <c r="HJ673" i="40" s="1"/>
  <c r="HJ674" i="40" s="1"/>
  <c r="HJ675" i="40" s="1"/>
  <c r="HJ676" i="40" s="1"/>
  <c r="HJ677" i="40" s="1"/>
  <c r="HJ678" i="40" s="1"/>
  <c r="HJ679" i="40" s="1"/>
  <c r="HJ680" i="40" s="1"/>
  <c r="HJ681" i="40" s="1"/>
  <c r="AT602" i="40"/>
  <c r="AT603" i="40" s="1"/>
  <c r="AT604" i="40" s="1"/>
  <c r="AT605" i="40" s="1"/>
  <c r="AT606" i="40" s="1"/>
  <c r="AT607" i="40" s="1"/>
  <c r="AT608" i="40" s="1"/>
  <c r="AT609" i="40" s="1"/>
  <c r="AT610" i="40" s="1"/>
  <c r="AT611" i="40" s="1"/>
  <c r="AT612" i="40" s="1"/>
  <c r="AT613" i="40" s="1"/>
  <c r="AT614" i="40" s="1"/>
  <c r="AT615" i="40" s="1"/>
  <c r="AT616" i="40" s="1"/>
  <c r="AT617" i="40" s="1"/>
  <c r="AT618" i="40" s="1"/>
  <c r="AT619" i="40" s="1"/>
  <c r="AT620" i="40" s="1"/>
  <c r="AT621" i="40" s="1"/>
  <c r="AT622" i="40" s="1"/>
  <c r="AT623" i="40" s="1"/>
  <c r="AT624" i="40" s="1"/>
  <c r="AT625" i="40" s="1"/>
  <c r="AT626" i="40" s="1"/>
  <c r="AT627" i="40" s="1"/>
  <c r="AT628" i="40" s="1"/>
  <c r="AT629" i="40" s="1"/>
  <c r="AT630" i="40" s="1"/>
  <c r="AT631" i="40" s="1"/>
  <c r="AT632" i="40" s="1"/>
  <c r="AT633" i="40" s="1"/>
  <c r="AT634" i="40" s="1"/>
  <c r="AT635" i="40" s="1"/>
  <c r="AT636" i="40" s="1"/>
  <c r="AT637" i="40" s="1"/>
  <c r="AT638" i="40" s="1"/>
  <c r="AT639" i="40" s="1"/>
  <c r="AT640" i="40" s="1"/>
  <c r="AT641" i="40" s="1"/>
  <c r="AT642" i="40" s="1"/>
  <c r="AT643" i="40" s="1"/>
  <c r="AT644" i="40" s="1"/>
  <c r="AT645" i="40" s="1"/>
  <c r="AT646" i="40" s="1"/>
  <c r="AT647" i="40" s="1"/>
  <c r="AT648" i="40" s="1"/>
  <c r="AT649" i="40" s="1"/>
  <c r="AT650" i="40" s="1"/>
  <c r="AT651" i="40" s="1"/>
  <c r="AT652" i="40" s="1"/>
  <c r="AT653" i="40" s="1"/>
  <c r="AT654" i="40" s="1"/>
  <c r="AT655" i="40" s="1"/>
  <c r="AT656" i="40" s="1"/>
  <c r="AT657" i="40" s="1"/>
  <c r="AT658" i="40" s="1"/>
  <c r="AT659" i="40" s="1"/>
  <c r="AT660" i="40" s="1"/>
  <c r="AT661" i="40" s="1"/>
  <c r="AT662" i="40" s="1"/>
  <c r="AT663" i="40" s="1"/>
  <c r="AT664" i="40" s="1"/>
  <c r="AT665" i="40" s="1"/>
  <c r="AT666" i="40" s="1"/>
  <c r="AT667" i="40" s="1"/>
  <c r="AT668" i="40" s="1"/>
  <c r="AT669" i="40" s="1"/>
  <c r="AT670" i="40" s="1"/>
  <c r="AT671" i="40" s="1"/>
  <c r="AT672" i="40" s="1"/>
  <c r="AT673" i="40" s="1"/>
  <c r="AT674" i="40" s="1"/>
  <c r="AT675" i="40" s="1"/>
  <c r="AT676" i="40" s="1"/>
  <c r="AT677" i="40" s="1"/>
  <c r="AT678" i="40" s="1"/>
  <c r="AT679" i="40" s="1"/>
  <c r="AT680" i="40" s="1"/>
  <c r="AT681" i="40" s="1"/>
  <c r="AT682" i="40" s="1"/>
  <c r="AT683" i="40" s="1"/>
  <c r="AT684" i="40" s="1"/>
  <c r="AT685" i="40" s="1"/>
  <c r="AT686" i="40" s="1"/>
  <c r="AT687" i="40" s="1"/>
  <c r="AT688" i="40" s="1"/>
  <c r="AT689" i="40" s="1"/>
  <c r="AT690" i="40" s="1"/>
  <c r="AT691" i="40" s="1"/>
  <c r="AT692" i="40" s="1"/>
  <c r="AT693" i="40" s="1"/>
  <c r="AT694" i="40" s="1"/>
  <c r="AT695" i="40" s="1"/>
  <c r="AT696" i="40" s="1"/>
  <c r="AT697" i="40" s="1"/>
  <c r="AT698" i="40" s="1"/>
  <c r="AT699" i="40" s="1"/>
  <c r="AT700" i="40" s="1"/>
  <c r="C602" i="40"/>
  <c r="B602" i="40"/>
  <c r="B603" i="40" s="1"/>
  <c r="DW601" i="40"/>
  <c r="DV601" i="40"/>
  <c r="DU601" i="40"/>
  <c r="DT601" i="40"/>
  <c r="DS601" i="40"/>
  <c r="DM601" i="40"/>
  <c r="CH601" i="40"/>
  <c r="CG601" i="40"/>
  <c r="CF601" i="40"/>
  <c r="CE601" i="40"/>
  <c r="CD601" i="40"/>
  <c r="CC601" i="40"/>
  <c r="CB601" i="40"/>
  <c r="CA601" i="40"/>
  <c r="BZ601" i="40"/>
  <c r="BY601" i="40"/>
  <c r="BX601" i="40"/>
  <c r="BW601" i="40"/>
  <c r="BV601" i="40"/>
  <c r="BU601" i="40"/>
  <c r="BT601" i="40"/>
  <c r="BS601" i="40"/>
  <c r="BR601" i="40"/>
  <c r="BQ601" i="40"/>
  <c r="BP601" i="40"/>
  <c r="BO601" i="40"/>
  <c r="BN601" i="40"/>
  <c r="BM601" i="40"/>
  <c r="BL601" i="40"/>
  <c r="BK601" i="40"/>
  <c r="BJ601" i="40"/>
  <c r="BI601" i="40"/>
  <c r="BH601" i="40"/>
  <c r="BG601" i="40"/>
  <c r="BF601" i="40"/>
  <c r="BE601" i="40"/>
  <c r="BD601" i="40"/>
  <c r="BC601" i="40"/>
  <c r="BB601" i="40"/>
  <c r="BA601" i="40"/>
  <c r="AZ601" i="40"/>
  <c r="AY601" i="40"/>
  <c r="AX601" i="40"/>
  <c r="AW601" i="40"/>
  <c r="AG601" i="40"/>
  <c r="AD201" i="40"/>
  <c r="AD301" i="40"/>
  <c r="AB601" i="40"/>
  <c r="P601" i="40"/>
  <c r="O601" i="40"/>
  <c r="CO601" i="40" s="1"/>
  <c r="N601" i="40"/>
  <c r="CN601" i="40" s="1"/>
  <c r="M601" i="40"/>
  <c r="CM601" i="40" s="1"/>
  <c r="L601" i="40"/>
  <c r="K601" i="40"/>
  <c r="CK601" i="40" s="1"/>
  <c r="J601" i="40"/>
  <c r="G601" i="40"/>
  <c r="A601" i="40"/>
  <c r="DW602" i="40"/>
  <c r="BT602" i="40"/>
  <c r="BJ602" i="40"/>
  <c r="E3" i="70"/>
  <c r="AC301" i="40"/>
  <c r="R84" i="39"/>
  <c r="R84" i="57"/>
  <c r="Q84" i="39"/>
  <c r="Q84" i="57"/>
  <c r="O84" i="39"/>
  <c r="M84" i="39"/>
  <c r="K84" i="39"/>
  <c r="I84" i="39"/>
  <c r="I84" i="57"/>
  <c r="R82" i="39"/>
  <c r="S82" i="39"/>
  <c r="Q82" i="39"/>
  <c r="O82" i="39"/>
  <c r="M82" i="39"/>
  <c r="K82" i="39"/>
  <c r="I82" i="39"/>
  <c r="R81" i="39"/>
  <c r="S81" i="39"/>
  <c r="Q81" i="39"/>
  <c r="O81" i="39"/>
  <c r="M81" i="39"/>
  <c r="K81" i="39"/>
  <c r="I81" i="39"/>
  <c r="S80" i="39"/>
  <c r="R80" i="39"/>
  <c r="Q80" i="39"/>
  <c r="O80" i="39"/>
  <c r="M80" i="39"/>
  <c r="K80" i="39"/>
  <c r="I80" i="39"/>
  <c r="R79" i="39"/>
  <c r="S79" i="39"/>
  <c r="Q79" i="39"/>
  <c r="O79" i="39"/>
  <c r="M79" i="39"/>
  <c r="K79" i="39"/>
  <c r="I79" i="39"/>
  <c r="R61" i="39"/>
  <c r="R60" i="39"/>
  <c r="R59" i="39"/>
  <c r="R58" i="39"/>
  <c r="R49" i="39"/>
  <c r="R48" i="39"/>
  <c r="R47" i="39"/>
  <c r="R46" i="39"/>
  <c r="H85" i="57"/>
  <c r="P84" i="57"/>
  <c r="O84" i="57"/>
  <c r="N84" i="57"/>
  <c r="M84" i="57"/>
  <c r="L84" i="57"/>
  <c r="K84" i="57"/>
  <c r="J84" i="57"/>
  <c r="H84" i="57"/>
  <c r="R37" i="39"/>
  <c r="R36" i="39"/>
  <c r="R35" i="39"/>
  <c r="R34" i="39"/>
  <c r="H15" i="39"/>
  <c r="S84" i="39"/>
  <c r="S84" i="57"/>
  <c r="AX7" i="70"/>
  <c r="BR6" i="70"/>
  <c r="BQ6" i="70"/>
  <c r="BO6" i="70"/>
  <c r="BN6" i="70"/>
  <c r="BL6" i="70"/>
  <c r="BK6" i="70"/>
  <c r="BI6" i="70"/>
  <c r="BH6" i="70"/>
  <c r="BF6" i="70"/>
  <c r="BE6" i="70"/>
  <c r="BC6" i="70"/>
  <c r="BB6" i="70"/>
  <c r="AZ6" i="70"/>
  <c r="AY6" i="70"/>
  <c r="AX6" i="70"/>
  <c r="J15" i="39"/>
  <c r="Q104" i="39"/>
  <c r="Q103" i="39"/>
  <c r="Q102" i="39"/>
  <c r="Q101" i="39"/>
  <c r="Q85" i="39"/>
  <c r="Q83" i="39"/>
  <c r="O104" i="39"/>
  <c r="O103" i="39"/>
  <c r="O102" i="39"/>
  <c r="O101" i="39"/>
  <c r="O85" i="39"/>
  <c r="O83" i="39"/>
  <c r="M104" i="39"/>
  <c r="M104" i="57"/>
  <c r="M103" i="39"/>
  <c r="M102" i="39"/>
  <c r="M101" i="39"/>
  <c r="M85" i="39"/>
  <c r="M85" i="57"/>
  <c r="M83" i="39"/>
  <c r="K115" i="57"/>
  <c r="K109" i="57"/>
  <c r="K104" i="39"/>
  <c r="K103" i="39"/>
  <c r="K102" i="39"/>
  <c r="K102" i="57"/>
  <c r="K101" i="39"/>
  <c r="K101" i="57"/>
  <c r="K85" i="39"/>
  <c r="K83" i="39"/>
  <c r="J17" i="39"/>
  <c r="P5" i="39"/>
  <c r="Q5" i="39"/>
  <c r="N5" i="39"/>
  <c r="O5" i="39"/>
  <c r="L5" i="39"/>
  <c r="M5" i="39"/>
  <c r="J5" i="39"/>
  <c r="K5" i="39"/>
  <c r="H5" i="39"/>
  <c r="I5" i="39"/>
  <c r="B21" i="70"/>
  <c r="B22" i="70"/>
  <c r="B23" i="70"/>
  <c r="B24" i="70"/>
  <c r="B25" i="70"/>
  <c r="B26" i="70"/>
  <c r="B27" i="70"/>
  <c r="B28" i="70"/>
  <c r="B29" i="70"/>
  <c r="B30" i="70"/>
  <c r="B31" i="70"/>
  <c r="B32" i="70"/>
  <c r="B33" i="70"/>
  <c r="B34" i="70"/>
  <c r="B35" i="70"/>
  <c r="B36" i="70"/>
  <c r="B37" i="70"/>
  <c r="B38" i="70"/>
  <c r="B39" i="70"/>
  <c r="B40" i="70"/>
  <c r="B41" i="70"/>
  <c r="B42" i="70"/>
  <c r="B43" i="70"/>
  <c r="B44" i="70"/>
  <c r="B45" i="70"/>
  <c r="B46" i="70"/>
  <c r="B47" i="70"/>
  <c r="B48" i="70"/>
  <c r="B49" i="70"/>
  <c r="B50" i="70"/>
  <c r="B51" i="70"/>
  <c r="B52" i="70"/>
  <c r="B53" i="70"/>
  <c r="B54" i="70"/>
  <c r="B55" i="70"/>
  <c r="B56" i="70"/>
  <c r="B57" i="70"/>
  <c r="B58" i="70"/>
  <c r="B59" i="70"/>
  <c r="B60" i="70"/>
  <c r="B61" i="70"/>
  <c r="B62" i="70"/>
  <c r="B63" i="70"/>
  <c r="B64" i="70"/>
  <c r="B65" i="70"/>
  <c r="B66" i="70"/>
  <c r="B67" i="70"/>
  <c r="B68" i="70"/>
  <c r="B69" i="70"/>
  <c r="C8" i="70"/>
  <c r="C112" i="75"/>
  <c r="B112" i="75"/>
  <c r="E377" i="38"/>
  <c r="E277" i="38"/>
  <c r="E177" i="38"/>
  <c r="E77" i="38"/>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B147" i="75"/>
  <c r="B148" i="75"/>
  <c r="B149" i="75"/>
  <c r="B150" i="75"/>
  <c r="B151" i="75"/>
  <c r="B152" i="75"/>
  <c r="B153" i="75"/>
  <c r="B154" i="75"/>
  <c r="B155" i="75"/>
  <c r="B156" i="75"/>
  <c r="B157" i="75"/>
  <c r="B158" i="75"/>
  <c r="B159" i="75"/>
  <c r="B160"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B86" i="75"/>
  <c r="A86" i="75"/>
  <c r="C87" i="75"/>
  <c r="B87" i="75"/>
  <c r="Z3" i="70"/>
  <c r="R3" i="70"/>
  <c r="J3" i="70"/>
  <c r="B161" i="75"/>
  <c r="B162" i="75"/>
  <c r="B163" i="75"/>
  <c r="B164" i="75"/>
  <c r="B165" i="75"/>
  <c r="B166" i="75"/>
  <c r="B167" i="75"/>
  <c r="B168" i="75"/>
  <c r="B169" i="75"/>
  <c r="B170" i="75"/>
  <c r="B171" i="75"/>
  <c r="B172" i="75"/>
  <c r="B173" i="75"/>
  <c r="B174" i="75"/>
  <c r="B175" i="75"/>
  <c r="B176" i="75"/>
  <c r="B177" i="75"/>
  <c r="B178" i="75"/>
  <c r="B179" i="75"/>
  <c r="B180" i="75"/>
  <c r="B181" i="75"/>
  <c r="B183" i="75"/>
  <c r="B88" i="75"/>
  <c r="B89" i="75"/>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Q3" i="70"/>
  <c r="I3" i="70"/>
  <c r="AF70" i="71"/>
  <c r="AE70" i="71"/>
  <c r="W70" i="71"/>
  <c r="AA70" i="71" s="1"/>
  <c r="V70" i="71"/>
  <c r="Z70" i="71" s="1"/>
  <c r="U70" i="71"/>
  <c r="Y70" i="71" s="1"/>
  <c r="AC70" i="71" s="1"/>
  <c r="O70" i="71"/>
  <c r="N70" i="71"/>
  <c r="M70" i="71"/>
  <c r="L70" i="71"/>
  <c r="K70" i="71"/>
  <c r="J70" i="71"/>
  <c r="I70" i="71"/>
  <c r="H70" i="71"/>
  <c r="G70" i="71"/>
  <c r="F70" i="71"/>
  <c r="AF68" i="71"/>
  <c r="AE68" i="71"/>
  <c r="W68" i="71"/>
  <c r="V68" i="71"/>
  <c r="R68" i="71" s="1"/>
  <c r="U68" i="71"/>
  <c r="Y68" i="71" s="1"/>
  <c r="AC68" i="71" s="1"/>
  <c r="O68" i="71"/>
  <c r="N68" i="71"/>
  <c r="M68" i="71"/>
  <c r="L68" i="71"/>
  <c r="K68" i="71"/>
  <c r="J68" i="71"/>
  <c r="I68" i="71"/>
  <c r="H68" i="71"/>
  <c r="G68" i="71"/>
  <c r="F68" i="71"/>
  <c r="AF66" i="71"/>
  <c r="AE66" i="71"/>
  <c r="W66" i="71"/>
  <c r="V66" i="71"/>
  <c r="R66" i="71" s="1"/>
  <c r="U66" i="71"/>
  <c r="Q66" i="71" s="1"/>
  <c r="O66" i="71"/>
  <c r="N66" i="71"/>
  <c r="M66" i="71"/>
  <c r="L66" i="71"/>
  <c r="K66" i="71"/>
  <c r="J66" i="71"/>
  <c r="I66" i="71"/>
  <c r="H66" i="71"/>
  <c r="G66" i="71"/>
  <c r="F66" i="71"/>
  <c r="AF64" i="71"/>
  <c r="AE64" i="71"/>
  <c r="W64" i="71"/>
  <c r="AA64" i="71" s="1"/>
  <c r="V64" i="71"/>
  <c r="U64" i="71"/>
  <c r="Y64" i="71" s="1"/>
  <c r="AC64" i="71" s="1"/>
  <c r="O64" i="71"/>
  <c r="N64" i="71"/>
  <c r="M64" i="71"/>
  <c r="L64" i="71"/>
  <c r="K64" i="71"/>
  <c r="J64" i="71"/>
  <c r="I64" i="71"/>
  <c r="H64" i="71"/>
  <c r="G64" i="71"/>
  <c r="F64" i="71"/>
  <c r="AF62" i="71"/>
  <c r="AE62" i="71"/>
  <c r="W62" i="71"/>
  <c r="AA62" i="71" s="1"/>
  <c r="V62" i="71"/>
  <c r="R62" i="71" s="1"/>
  <c r="U62" i="71"/>
  <c r="O62" i="71"/>
  <c r="N62" i="71"/>
  <c r="M62" i="71"/>
  <c r="L62" i="71"/>
  <c r="K62" i="71"/>
  <c r="J62" i="71"/>
  <c r="I62" i="71"/>
  <c r="H62" i="71"/>
  <c r="G62" i="71"/>
  <c r="F62" i="71"/>
  <c r="AF60" i="71"/>
  <c r="AE60" i="71"/>
  <c r="W60" i="71"/>
  <c r="AA60" i="71" s="1"/>
  <c r="V60" i="71"/>
  <c r="Z60" i="71" s="1"/>
  <c r="U60" i="71"/>
  <c r="Y60" i="71" s="1"/>
  <c r="AC60" i="71" s="1"/>
  <c r="O60" i="71"/>
  <c r="N60" i="71"/>
  <c r="M60" i="71"/>
  <c r="L60" i="71"/>
  <c r="K60" i="71"/>
  <c r="J60" i="71"/>
  <c r="I60" i="71"/>
  <c r="H60" i="71"/>
  <c r="G60" i="71"/>
  <c r="F60" i="71"/>
  <c r="AF58" i="71"/>
  <c r="AE58" i="71"/>
  <c r="W58" i="71"/>
  <c r="AA58" i="71" s="1"/>
  <c r="V58" i="71"/>
  <c r="Z58" i="71" s="1"/>
  <c r="U58" i="71"/>
  <c r="Y58" i="71" s="1"/>
  <c r="AC58" i="71" s="1"/>
  <c r="O58" i="71"/>
  <c r="N58" i="71"/>
  <c r="M58" i="71"/>
  <c r="L58" i="71"/>
  <c r="K58" i="71"/>
  <c r="J58" i="71"/>
  <c r="I58" i="71"/>
  <c r="H58" i="71"/>
  <c r="G58" i="71"/>
  <c r="F58" i="71"/>
  <c r="AF56" i="71"/>
  <c r="AE56" i="71"/>
  <c r="W56" i="71"/>
  <c r="AA56" i="71" s="1"/>
  <c r="V56" i="71"/>
  <c r="Z56" i="71" s="1"/>
  <c r="U56" i="71"/>
  <c r="Q56" i="71" s="1"/>
  <c r="O56" i="71"/>
  <c r="N56" i="71"/>
  <c r="M56" i="71"/>
  <c r="L56" i="71"/>
  <c r="K56" i="71"/>
  <c r="J56" i="71"/>
  <c r="I56" i="71"/>
  <c r="H56" i="71"/>
  <c r="G56" i="71"/>
  <c r="F56" i="71"/>
  <c r="AF54" i="71"/>
  <c r="AE54" i="71"/>
  <c r="W54" i="71"/>
  <c r="S54" i="71" s="1"/>
  <c r="V54" i="71"/>
  <c r="U54" i="71"/>
  <c r="O54" i="71"/>
  <c r="N54" i="71"/>
  <c r="M54" i="71"/>
  <c r="L54" i="71"/>
  <c r="K54" i="71"/>
  <c r="J54" i="71"/>
  <c r="I54" i="71"/>
  <c r="H54" i="71"/>
  <c r="G54" i="71"/>
  <c r="F54" i="71"/>
  <c r="AF52" i="71"/>
  <c r="AE52" i="71"/>
  <c r="W52" i="71"/>
  <c r="AA52" i="71" s="1"/>
  <c r="V52" i="71"/>
  <c r="R52" i="71" s="1"/>
  <c r="U52" i="71"/>
  <c r="Y52" i="71" s="1"/>
  <c r="AC52" i="71" s="1"/>
  <c r="O52" i="71"/>
  <c r="N52" i="71"/>
  <c r="M52" i="71"/>
  <c r="L52" i="71"/>
  <c r="K52" i="71"/>
  <c r="J52" i="71"/>
  <c r="I52" i="71"/>
  <c r="H52" i="71"/>
  <c r="G52" i="71"/>
  <c r="F52" i="71"/>
  <c r="AF50" i="71"/>
  <c r="AE50" i="71"/>
  <c r="W50" i="71"/>
  <c r="V50" i="71"/>
  <c r="R50" i="71" s="1"/>
  <c r="U50" i="71"/>
  <c r="Q50" i="71" s="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A38" i="71"/>
  <c r="D38" i="71"/>
  <c r="A40" i="71"/>
  <c r="A42"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R153" i="57"/>
  <c r="R152" i="57"/>
  <c r="R151" i="57"/>
  <c r="R109" i="57"/>
  <c r="R11" i="57"/>
  <c r="R154" i="39"/>
  <c r="S153" i="39"/>
  <c r="S153" i="57"/>
  <c r="S152" i="39"/>
  <c r="S151" i="39"/>
  <c r="S151" i="57"/>
  <c r="S109" i="57"/>
  <c r="D36" i="71"/>
  <c r="R154" i="57"/>
  <c r="R155" i="57"/>
  <c r="S152" i="57"/>
  <c r="S154" i="57"/>
  <c r="S155" i="57"/>
  <c r="D40" i="71"/>
  <c r="Q4" i="70"/>
  <c r="Y4" i="70"/>
  <c r="AG4" i="70"/>
  <c r="AO4" i="70"/>
  <c r="O4" i="70"/>
  <c r="W4" i="70"/>
  <c r="AE4" i="70"/>
  <c r="AM4" i="70"/>
  <c r="AU4" i="70"/>
  <c r="H4" i="39"/>
  <c r="I4" i="39"/>
  <c r="I83" i="39"/>
  <c r="I85" i="39"/>
  <c r="I85" i="57"/>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D36"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A38" i="66"/>
  <c r="D34" i="66"/>
  <c r="AK33" i="66"/>
  <c r="AN28" i="66"/>
  <c r="AM28" i="66"/>
  <c r="AL28" i="66"/>
  <c r="AA28" i="66"/>
  <c r="Z28" i="66"/>
  <c r="Y28" i="66"/>
  <c r="BL26" i="66"/>
  <c r="BK26" i="66"/>
  <c r="BJ26" i="66"/>
  <c r="BI26" i="66"/>
  <c r="BH26" i="66"/>
  <c r="BG26" i="66"/>
  <c r="BF26" i="66"/>
  <c r="BE26" i="66"/>
  <c r="BD26" i="66"/>
  <c r="BC26" i="66"/>
  <c r="BF22" i="66"/>
  <c r="BH22" i="66"/>
  <c r="BJ22" i="66"/>
  <c r="BL22" i="66"/>
  <c r="A38" i="68"/>
  <c r="A40" i="68"/>
  <c r="D40" i="68"/>
  <c r="A38" i="69"/>
  <c r="A40" i="69"/>
  <c r="A42" i="69"/>
  <c r="D36" i="69"/>
  <c r="D36" i="66"/>
  <c r="D38" i="69"/>
  <c r="H3" i="39"/>
  <c r="E65" i="70"/>
  <c r="E53" i="70"/>
  <c r="E41" i="70"/>
  <c r="E33" i="70"/>
  <c r="E21" i="70"/>
  <c r="E56" i="70"/>
  <c r="E44" i="70"/>
  <c r="E24" i="70"/>
  <c r="E63" i="70"/>
  <c r="E51" i="70"/>
  <c r="E27" i="70"/>
  <c r="E66" i="70"/>
  <c r="E50" i="70"/>
  <c r="E26" i="70"/>
  <c r="E68" i="70"/>
  <c r="E60" i="70"/>
  <c r="E28" i="70"/>
  <c r="E47" i="70"/>
  <c r="E31" i="70"/>
  <c r="E62" i="70"/>
  <c r="E38" i="70"/>
  <c r="E22" i="70"/>
  <c r="D13" i="71"/>
  <c r="D13" i="69"/>
  <c r="D13" i="66"/>
  <c r="G107" i="57"/>
  <c r="J10" i="39"/>
  <c r="J12" i="39"/>
  <c r="J3" i="39"/>
  <c r="J9" i="39"/>
  <c r="J7" i="39"/>
  <c r="L7" i="39"/>
  <c r="N7" i="39"/>
  <c r="L9" i="39"/>
  <c r="N9" i="39"/>
  <c r="J4" i="39"/>
  <c r="K4" i="39"/>
  <c r="L4" i="39"/>
  <c r="M4" i="39"/>
  <c r="H8" i="39"/>
  <c r="N154" i="39"/>
  <c r="L154" i="39"/>
  <c r="J154" i="39"/>
  <c r="H154" i="39"/>
  <c r="Q153" i="39"/>
  <c r="O153" i="39"/>
  <c r="O154" i="39"/>
  <c r="M153" i="39"/>
  <c r="K153" i="39"/>
  <c r="I153" i="39"/>
  <c r="I154" i="39"/>
  <c r="Q152" i="39"/>
  <c r="O152" i="39"/>
  <c r="M152" i="39"/>
  <c r="K152" i="39"/>
  <c r="I152" i="39"/>
  <c r="I152" i="57"/>
  <c r="Q151" i="39"/>
  <c r="Q151" i="57"/>
  <c r="O151" i="39"/>
  <c r="M151" i="39"/>
  <c r="M154" i="39"/>
  <c r="M155" i="39"/>
  <c r="K151" i="39"/>
  <c r="I151" i="39"/>
  <c r="I151" i="57"/>
  <c r="I115" i="57"/>
  <c r="I109" i="57"/>
  <c r="I104" i="39"/>
  <c r="I103" i="39"/>
  <c r="I102" i="39"/>
  <c r="I101" i="39"/>
  <c r="I101" i="57"/>
  <c r="H17" i="39"/>
  <c r="H16" i="39"/>
  <c r="H2" i="39"/>
  <c r="H76" i="39"/>
  <c r="R85" i="39"/>
  <c r="S85" i="39"/>
  <c r="R103" i="39"/>
  <c r="R30" i="39"/>
  <c r="R104" i="39"/>
  <c r="R117" i="57"/>
  <c r="R101" i="39"/>
  <c r="R83" i="39"/>
  <c r="S83" i="39"/>
  <c r="S83" i="57"/>
  <c r="R102" i="39"/>
  <c r="R102" i="57"/>
  <c r="R114" i="57"/>
  <c r="R64" i="39"/>
  <c r="R73" i="39"/>
  <c r="R43" i="39"/>
  <c r="R62" i="39"/>
  <c r="R67" i="39"/>
  <c r="R54" i="39"/>
  <c r="R72" i="39"/>
  <c r="R42" i="39"/>
  <c r="R52" i="39"/>
  <c r="R56" i="39"/>
  <c r="R66" i="39"/>
  <c r="R71" i="39"/>
  <c r="R33" i="39"/>
  <c r="R44" i="39"/>
  <c r="R68" i="39"/>
  <c r="R31" i="39"/>
  <c r="R53" i="39"/>
  <c r="R38" i="39"/>
  <c r="R41" i="39"/>
  <c r="R50" i="39"/>
  <c r="R55" i="39"/>
  <c r="R65" i="39"/>
  <c r="R70" i="39"/>
  <c r="R74" i="39"/>
  <c r="H18" i="39"/>
  <c r="I155" i="39"/>
  <c r="O155" i="39"/>
  <c r="S102" i="39"/>
  <c r="S102" i="57"/>
  <c r="S101" i="39"/>
  <c r="S101" i="57"/>
  <c r="R101" i="57"/>
  <c r="S82" i="57"/>
  <c r="R82" i="57"/>
  <c r="S80" i="57"/>
  <c r="R80" i="57"/>
  <c r="R81" i="57"/>
  <c r="S81" i="57"/>
  <c r="R85" i="57"/>
  <c r="S85" i="57"/>
  <c r="R120" i="57"/>
  <c r="S120" i="57"/>
  <c r="R83" i="57"/>
  <c r="S117" i="57"/>
  <c r="R79" i="57"/>
  <c r="S79" i="57"/>
  <c r="S103" i="39"/>
  <c r="S103" i="57"/>
  <c r="R103" i="57"/>
  <c r="S115" i="57"/>
  <c r="S114" i="57"/>
  <c r="R40" i="39"/>
  <c r="L64" i="62"/>
  <c r="L62" i="62"/>
  <c r="N58" i="62"/>
  <c r="J56" i="62"/>
  <c r="O54" i="62"/>
  <c r="N52" i="62"/>
  <c r="O50" i="62"/>
  <c r="N68" i="62"/>
  <c r="AF70" i="62"/>
  <c r="AE70" i="62"/>
  <c r="W70" i="62"/>
  <c r="AA70" i="62" s="1"/>
  <c r="V70" i="62"/>
  <c r="U70" i="62"/>
  <c r="Y70" i="62" s="1"/>
  <c r="AC70" i="62" s="1"/>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D34" i="62"/>
  <c r="AK33" i="62"/>
  <c r="AN28" i="62"/>
  <c r="AM28" i="62"/>
  <c r="AL28" i="62"/>
  <c r="AA28" i="62"/>
  <c r="Z28" i="62"/>
  <c r="Y28" i="62"/>
  <c r="BL26" i="62"/>
  <c r="BK26" i="62"/>
  <c r="BJ26" i="62"/>
  <c r="BI26" i="62"/>
  <c r="BH26" i="62"/>
  <c r="BG26" i="62"/>
  <c r="BF26" i="62"/>
  <c r="BE26" i="62"/>
  <c r="BD26" i="62"/>
  <c r="BC26" i="62"/>
  <c r="BF22" i="62"/>
  <c r="BH22" i="62"/>
  <c r="BJ22" i="62"/>
  <c r="BL22" i="62"/>
  <c r="G11" i="62"/>
  <c r="W68" i="62"/>
  <c r="AA68" i="62" s="1"/>
  <c r="F68" i="62"/>
  <c r="J68" i="62"/>
  <c r="J64" i="62"/>
  <c r="V62" i="62"/>
  <c r="R62" i="62" s="1"/>
  <c r="J58" i="62"/>
  <c r="U58" i="62"/>
  <c r="Q58" i="62" s="1"/>
  <c r="AE58" i="62"/>
  <c r="O58" i="62"/>
  <c r="K58" i="62"/>
  <c r="G58" i="62"/>
  <c r="F58" i="62"/>
  <c r="H56" i="62"/>
  <c r="O56" i="62"/>
  <c r="G54" i="62"/>
  <c r="J54" i="62"/>
  <c r="G52" i="62"/>
  <c r="O52" i="62"/>
  <c r="H52" i="62"/>
  <c r="AF52" i="62"/>
  <c r="J52" i="62"/>
  <c r="AE50" i="62"/>
  <c r="J50" i="62"/>
  <c r="L50" i="62"/>
  <c r="G50" i="62"/>
  <c r="F50" i="62"/>
  <c r="V50" i="62"/>
  <c r="V52" i="62"/>
  <c r="R52" i="62" s="1"/>
  <c r="W60" i="62"/>
  <c r="S60" i="62" s="1"/>
  <c r="M60" i="62"/>
  <c r="I60" i="62"/>
  <c r="AE60" i="62"/>
  <c r="U60" i="62"/>
  <c r="Q60" i="62" s="1"/>
  <c r="O60" i="62"/>
  <c r="K60" i="62"/>
  <c r="G60" i="62"/>
  <c r="H60" i="62"/>
  <c r="N60" i="62"/>
  <c r="F60" i="62"/>
  <c r="V60" i="62"/>
  <c r="Z60" i="62" s="1"/>
  <c r="L60" i="62"/>
  <c r="AF60" i="62"/>
  <c r="J60" i="62"/>
  <c r="AF64" i="62"/>
  <c r="AF50" i="62"/>
  <c r="D36" i="62"/>
  <c r="A38" i="62"/>
  <c r="D38" i="62"/>
  <c r="AF54" i="62"/>
  <c r="W58" i="62"/>
  <c r="AA58" i="62" s="1"/>
  <c r="W66" i="62"/>
  <c r="S66" i="62" s="1"/>
  <c r="M66" i="62"/>
  <c r="I66" i="62"/>
  <c r="AE66" i="62"/>
  <c r="U66" i="62"/>
  <c r="Q66" i="62" s="1"/>
  <c r="O66" i="62"/>
  <c r="K66" i="62"/>
  <c r="G66" i="62"/>
  <c r="H66" i="62"/>
  <c r="N66" i="62"/>
  <c r="F66" i="62"/>
  <c r="AF66" i="62"/>
  <c r="L66" i="62"/>
  <c r="J66" i="62"/>
  <c r="W54" i="62"/>
  <c r="S54" i="62" s="1"/>
  <c r="M54" i="62"/>
  <c r="I54" i="62"/>
  <c r="U54" i="62"/>
  <c r="N54" i="62"/>
  <c r="H54" i="62"/>
  <c r="K54" i="62"/>
  <c r="W56" i="62"/>
  <c r="S56" i="62" s="1"/>
  <c r="M56" i="62"/>
  <c r="I56" i="62"/>
  <c r="AE56" i="62"/>
  <c r="K56" i="62"/>
  <c r="F56" i="62"/>
  <c r="L56" i="62"/>
  <c r="U56" i="62"/>
  <c r="Y56" i="62" s="1"/>
  <c r="AC56" i="62" s="1"/>
  <c r="AD56" i="62" s="1"/>
  <c r="W50" i="62"/>
  <c r="S50" i="62" s="1"/>
  <c r="M50" i="62"/>
  <c r="I50" i="62"/>
  <c r="U50" i="62"/>
  <c r="Q50" i="62" s="1"/>
  <c r="N50" i="62"/>
  <c r="H50" i="62"/>
  <c r="K50" i="62"/>
  <c r="W52" i="62"/>
  <c r="M52" i="62"/>
  <c r="I52" i="62"/>
  <c r="AE52" i="62"/>
  <c r="K52" i="62"/>
  <c r="F52" i="62"/>
  <c r="L52" i="62"/>
  <c r="U52" i="62"/>
  <c r="Y52" i="62" s="1"/>
  <c r="AC52" i="62" s="1"/>
  <c r="AD52" i="62" s="1"/>
  <c r="F54" i="62"/>
  <c r="L54" i="62"/>
  <c r="V54" i="62"/>
  <c r="Z54" i="62" s="1"/>
  <c r="AE54" i="62"/>
  <c r="G56" i="62"/>
  <c r="N56" i="62"/>
  <c r="V56" i="62"/>
  <c r="R56" i="62" s="1"/>
  <c r="AF56" i="62"/>
  <c r="W62" i="62"/>
  <c r="AA62" i="62" s="1"/>
  <c r="M62" i="62"/>
  <c r="I62" i="62"/>
  <c r="AE62" i="62"/>
  <c r="U62" i="62"/>
  <c r="O62" i="62"/>
  <c r="K62" i="62"/>
  <c r="G62" i="62"/>
  <c r="H62" i="62"/>
  <c r="N62" i="62"/>
  <c r="F62" i="62"/>
  <c r="J62" i="62"/>
  <c r="AF62" i="62"/>
  <c r="V66" i="62"/>
  <c r="Z66" i="62" s="1"/>
  <c r="W64" i="62"/>
  <c r="S64" i="62" s="1"/>
  <c r="M64" i="62"/>
  <c r="I64" i="62"/>
  <c r="AE64" i="62"/>
  <c r="U64" i="62"/>
  <c r="Q64" i="62" s="1"/>
  <c r="O64" i="62"/>
  <c r="K64" i="62"/>
  <c r="G64" i="62"/>
  <c r="H64" i="62"/>
  <c r="N64" i="62"/>
  <c r="F64" i="62"/>
  <c r="V64" i="62"/>
  <c r="R64" i="62" s="1"/>
  <c r="H58" i="62"/>
  <c r="L58" i="62"/>
  <c r="V58" i="62"/>
  <c r="Z58" i="62" s="1"/>
  <c r="AF58" i="62"/>
  <c r="I58" i="62"/>
  <c r="M58" i="62"/>
  <c r="G68" i="62"/>
  <c r="K68" i="62"/>
  <c r="O68" i="62"/>
  <c r="U68" i="62"/>
  <c r="Q68" i="62" s="1"/>
  <c r="AE68" i="62"/>
  <c r="H68" i="62"/>
  <c r="L68" i="62"/>
  <c r="V68" i="62"/>
  <c r="AF68" i="62"/>
  <c r="I68" i="62"/>
  <c r="M68" i="62"/>
  <c r="A40" i="62"/>
  <c r="C8" i="61"/>
  <c r="C9" i="61"/>
  <c r="C10" i="61"/>
  <c r="C11" i="61"/>
  <c r="C12" i="61"/>
  <c r="C13" i="61"/>
  <c r="C14" i="61"/>
  <c r="C15" i="61"/>
  <c r="C16" i="61"/>
  <c r="B8" i="61"/>
  <c r="B9" i="61"/>
  <c r="B10" i="61"/>
  <c r="B11" i="61"/>
  <c r="B12" i="61"/>
  <c r="B13" i="61"/>
  <c r="B14" i="61"/>
  <c r="B15" i="61"/>
  <c r="B16" i="61"/>
  <c r="A8" i="61"/>
  <c r="A9" i="61"/>
  <c r="A10" i="61"/>
  <c r="AN28" i="58"/>
  <c r="AM28" i="58"/>
  <c r="AL28" i="58"/>
  <c r="A11" i="61"/>
  <c r="A12" i="61"/>
  <c r="A13" i="61"/>
  <c r="A14" i="61"/>
  <c r="A15" i="61"/>
  <c r="A16" i="61"/>
  <c r="P153" i="57"/>
  <c r="N153" i="57"/>
  <c r="L153" i="57"/>
  <c r="J153" i="57"/>
  <c r="H153" i="57"/>
  <c r="H154" i="57"/>
  <c r="H155" i="57"/>
  <c r="P152" i="57"/>
  <c r="N152" i="57"/>
  <c r="L152" i="57"/>
  <c r="L154" i="57"/>
  <c r="L155" i="57"/>
  <c r="J152" i="57"/>
  <c r="H152" i="57"/>
  <c r="P151" i="57"/>
  <c r="N151" i="57"/>
  <c r="N154" i="57"/>
  <c r="N155" i="57"/>
  <c r="L151" i="57"/>
  <c r="J151" i="57"/>
  <c r="H151" i="57"/>
  <c r="Q153" i="57"/>
  <c r="O153" i="57"/>
  <c r="M153" i="57"/>
  <c r="K153" i="57"/>
  <c r="I153" i="57"/>
  <c r="O151" i="57"/>
  <c r="M151" i="57"/>
  <c r="K151" i="57"/>
  <c r="M152" i="57"/>
  <c r="Q152" i="57"/>
  <c r="O152" i="57"/>
  <c r="O154" i="57"/>
  <c r="O155" i="57"/>
  <c r="O70" i="58"/>
  <c r="N70" i="58"/>
  <c r="M70" i="58"/>
  <c r="L70" i="58"/>
  <c r="K70" i="58"/>
  <c r="J70" i="58"/>
  <c r="I70" i="58"/>
  <c r="H70" i="58"/>
  <c r="G70" i="58"/>
  <c r="F70" i="58"/>
  <c r="BL26" i="58"/>
  <c r="BK26" i="58"/>
  <c r="BJ26" i="58"/>
  <c r="BI26" i="58"/>
  <c r="BH26" i="58"/>
  <c r="BG26" i="58"/>
  <c r="BF26" i="58"/>
  <c r="BE26" i="58"/>
  <c r="A2" i="39"/>
  <c r="K112" i="57"/>
  <c r="K114" i="57"/>
  <c r="K117" i="57"/>
  <c r="M112" i="57"/>
  <c r="L114" i="57"/>
  <c r="L117" i="57"/>
  <c r="L120" i="57"/>
  <c r="O114" i="57"/>
  <c r="O120" i="57"/>
  <c r="Q115" i="57"/>
  <c r="P117" i="57"/>
  <c r="K104" i="57"/>
  <c r="BD26" i="58"/>
  <c r="BC26" i="58"/>
  <c r="I102" i="57"/>
  <c r="I104" i="57"/>
  <c r="I112" i="57"/>
  <c r="I114" i="57"/>
  <c r="I120" i="57"/>
  <c r="K103" i="57"/>
  <c r="K120" i="57"/>
  <c r="A36" i="58"/>
  <c r="A38" i="58"/>
  <c r="D38"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H81" i="57"/>
  <c r="Q117" i="57"/>
  <c r="Q109" i="57"/>
  <c r="Q104" i="57"/>
  <c r="Q103" i="57"/>
  <c r="Q102" i="57"/>
  <c r="Q101" i="57"/>
  <c r="O117" i="57"/>
  <c r="O112" i="57"/>
  <c r="O104" i="57"/>
  <c r="O103" i="57"/>
  <c r="O102" i="57"/>
  <c r="O101" i="57"/>
  <c r="O85" i="57"/>
  <c r="O83" i="57"/>
  <c r="O81" i="57"/>
  <c r="O79" i="57"/>
  <c r="M120" i="57"/>
  <c r="M117" i="57"/>
  <c r="M115" i="57"/>
  <c r="M114" i="57"/>
  <c r="M103" i="57"/>
  <c r="M102" i="57"/>
  <c r="L101" i="57"/>
  <c r="M83" i="57"/>
  <c r="M82" i="57"/>
  <c r="M80" i="57"/>
  <c r="K85" i="57"/>
  <c r="K83" i="57"/>
  <c r="K82" i="57"/>
  <c r="K81" i="57"/>
  <c r="K80" i="57"/>
  <c r="K79" i="57"/>
  <c r="I117" i="57"/>
  <c r="I83" i="57"/>
  <c r="I82" i="57"/>
  <c r="I81" i="57"/>
  <c r="I80" i="57"/>
  <c r="I79" i="57"/>
  <c r="AE70" i="58"/>
  <c r="L9" i="57"/>
  <c r="L7" i="57"/>
  <c r="B92" i="40"/>
  <c r="C92" i="40"/>
  <c r="H12" i="57"/>
  <c r="N55" i="44"/>
  <c r="P55" i="44"/>
  <c r="O55" i="44"/>
  <c r="M55" i="44"/>
  <c r="B2" i="44"/>
  <c r="AQ125" i="44"/>
  <c r="AR125" i="44"/>
  <c r="E324" i="38"/>
  <c r="E14" i="38"/>
  <c r="E15" i="38"/>
  <c r="E16" i="38"/>
  <c r="E17" i="38"/>
  <c r="E18" i="38"/>
  <c r="E19" i="38"/>
  <c r="E20" i="38"/>
  <c r="E21" i="38"/>
  <c r="E22" i="38"/>
  <c r="E23" i="38"/>
  <c r="E24" i="38"/>
  <c r="E25" i="38"/>
  <c r="E26" i="38"/>
  <c r="E27" i="38"/>
  <c r="E28" i="38"/>
  <c r="E29" i="38"/>
  <c r="E30" i="38"/>
  <c r="E31" i="38"/>
  <c r="E32" i="38"/>
  <c r="E33" i="38"/>
  <c r="E34" i="38"/>
  <c r="E35" i="38"/>
  <c r="E36" i="38"/>
  <c r="E37" i="38"/>
  <c r="E38" i="38"/>
  <c r="E39" i="38"/>
  <c r="E40" i="38"/>
  <c r="E41" i="38"/>
  <c r="E42" i="38"/>
  <c r="E43" i="38"/>
  <c r="E44" i="38"/>
  <c r="E45" i="38"/>
  <c r="E46" i="38"/>
  <c r="E47" i="38"/>
  <c r="E48" i="38"/>
  <c r="E49" i="38"/>
  <c r="E50" i="38"/>
  <c r="E51" i="38"/>
  <c r="E52" i="38"/>
  <c r="E53" i="38"/>
  <c r="E54" i="38"/>
  <c r="E55" i="38"/>
  <c r="E56" i="38"/>
  <c r="E57" i="38"/>
  <c r="E58" i="38"/>
  <c r="E59" i="38"/>
  <c r="E60" i="38"/>
  <c r="E61" i="38"/>
  <c r="E62" i="38"/>
  <c r="E63" i="38"/>
  <c r="E64" i="38"/>
  <c r="E65" i="38"/>
  <c r="E66" i="38"/>
  <c r="E67" i="38"/>
  <c r="E68" i="38"/>
  <c r="E69" i="38"/>
  <c r="E70" i="38"/>
  <c r="E71" i="38"/>
  <c r="E72" i="38"/>
  <c r="E73" i="38"/>
  <c r="E74" i="38"/>
  <c r="E75" i="38"/>
  <c r="E76" i="38"/>
  <c r="E78" i="38"/>
  <c r="E79" i="38"/>
  <c r="E80" i="38"/>
  <c r="E81" i="38"/>
  <c r="E82" i="38"/>
  <c r="E83" i="38"/>
  <c r="E84" i="38"/>
  <c r="E85" i="38"/>
  <c r="E86" i="38"/>
  <c r="E87" i="38"/>
  <c r="E88" i="38"/>
  <c r="E89" i="38"/>
  <c r="E90" i="38"/>
  <c r="E91" i="38"/>
  <c r="E92" i="38"/>
  <c r="E93" i="38"/>
  <c r="E94" i="38"/>
  <c r="E95" i="38"/>
  <c r="E96" i="38"/>
  <c r="E97" i="38"/>
  <c r="E98" i="38"/>
  <c r="E99" i="38"/>
  <c r="E100" i="38"/>
  <c r="E101" i="38"/>
  <c r="E102" i="38"/>
  <c r="E103" i="38"/>
  <c r="E104" i="38"/>
  <c r="E105" i="38"/>
  <c r="E106" i="38"/>
  <c r="E107" i="38"/>
  <c r="E108" i="38"/>
  <c r="E109" i="38"/>
  <c r="E110" i="38"/>
  <c r="E111" i="38"/>
  <c r="E112" i="38"/>
  <c r="E113" i="38"/>
  <c r="E114" i="38"/>
  <c r="E115" i="38"/>
  <c r="E116" i="38"/>
  <c r="E117" i="38"/>
  <c r="E118" i="38"/>
  <c r="E119" i="38"/>
  <c r="E120" i="38"/>
  <c r="E121" i="38"/>
  <c r="E122" i="38"/>
  <c r="E123" i="38"/>
  <c r="E124" i="38"/>
  <c r="E125" i="38"/>
  <c r="E126" i="38"/>
  <c r="E127" i="38"/>
  <c r="E128" i="38"/>
  <c r="E129" i="38"/>
  <c r="E130" i="38"/>
  <c r="E131" i="38"/>
  <c r="E132" i="38"/>
  <c r="E133" i="38"/>
  <c r="E134" i="38"/>
  <c r="E135" i="38"/>
  <c r="E136" i="38"/>
  <c r="E137" i="38"/>
  <c r="E138" i="38"/>
  <c r="E139" i="38"/>
  <c r="E140" i="38"/>
  <c r="E141" i="38"/>
  <c r="E142" i="38"/>
  <c r="E143" i="38"/>
  <c r="E144" i="38"/>
  <c r="E145" i="38"/>
  <c r="E146" i="38"/>
  <c r="E147" i="38"/>
  <c r="E148" i="38"/>
  <c r="E149" i="38"/>
  <c r="E150" i="38"/>
  <c r="E151" i="38"/>
  <c r="E152" i="38"/>
  <c r="E153" i="38"/>
  <c r="E154" i="38"/>
  <c r="E155" i="38"/>
  <c r="E156" i="38"/>
  <c r="E157" i="38"/>
  <c r="E158" i="38"/>
  <c r="E159" i="38"/>
  <c r="E160" i="38"/>
  <c r="E161" i="38"/>
  <c r="E162" i="38"/>
  <c r="E163" i="38"/>
  <c r="E164" i="38"/>
  <c r="E165" i="38"/>
  <c r="E166" i="38"/>
  <c r="E167" i="38"/>
  <c r="E168" i="38"/>
  <c r="E169" i="38"/>
  <c r="E170" i="38"/>
  <c r="E171" i="38"/>
  <c r="E172" i="38"/>
  <c r="E173" i="38"/>
  <c r="E174" i="38"/>
  <c r="E175" i="38"/>
  <c r="E176" i="38"/>
  <c r="E178" i="38"/>
  <c r="E179" i="38"/>
  <c r="E180" i="38"/>
  <c r="E181" i="38"/>
  <c r="E182" i="38"/>
  <c r="E183" i="38"/>
  <c r="E184" i="38"/>
  <c r="E185" i="38"/>
  <c r="E186" i="38"/>
  <c r="E187" i="38"/>
  <c r="E188" i="38"/>
  <c r="E189" i="38"/>
  <c r="E190" i="38"/>
  <c r="E191" i="38"/>
  <c r="E192" i="38"/>
  <c r="E193" i="38"/>
  <c r="E194" i="38"/>
  <c r="E195" i="38"/>
  <c r="E196" i="38"/>
  <c r="E197" i="38"/>
  <c r="E198" i="38"/>
  <c r="E199" i="38"/>
  <c r="E200" i="38"/>
  <c r="E201" i="38"/>
  <c r="E202" i="38"/>
  <c r="E203" i="38"/>
  <c r="E204" i="38"/>
  <c r="E205" i="38"/>
  <c r="E206" i="38"/>
  <c r="E207" i="38"/>
  <c r="E208" i="38"/>
  <c r="E209" i="38"/>
  <c r="E210" i="38"/>
  <c r="E211" i="38"/>
  <c r="E212" i="38"/>
  <c r="E213" i="38"/>
  <c r="E214" i="38"/>
  <c r="E215" i="38"/>
  <c r="E216" i="38"/>
  <c r="E217" i="38"/>
  <c r="E218" i="38"/>
  <c r="E219" i="38"/>
  <c r="E220" i="38"/>
  <c r="E221" i="38"/>
  <c r="E222" i="38"/>
  <c r="E223" i="38"/>
  <c r="E224" i="38"/>
  <c r="E225" i="38"/>
  <c r="E226" i="38"/>
  <c r="E227" i="38"/>
  <c r="E228" i="38"/>
  <c r="E229" i="38"/>
  <c r="E230" i="38"/>
  <c r="E231" i="38"/>
  <c r="E232" i="38"/>
  <c r="E233" i="38"/>
  <c r="E234" i="38"/>
  <c r="E235" i="38"/>
  <c r="E236" i="38"/>
  <c r="E237" i="38"/>
  <c r="E238" i="38"/>
  <c r="E239" i="38"/>
  <c r="E240" i="38"/>
  <c r="E241" i="38"/>
  <c r="E242" i="38"/>
  <c r="E243" i="38"/>
  <c r="E244" i="38"/>
  <c r="E245" i="38"/>
  <c r="E246" i="38"/>
  <c r="E247" i="38"/>
  <c r="E248" i="38"/>
  <c r="E249" i="38"/>
  <c r="E250" i="38"/>
  <c r="E251" i="38"/>
  <c r="E252" i="38"/>
  <c r="E253" i="38"/>
  <c r="E254" i="38"/>
  <c r="E255" i="38"/>
  <c r="E256" i="38"/>
  <c r="E257" i="38"/>
  <c r="E258" i="38"/>
  <c r="E259" i="38"/>
  <c r="E260" i="38"/>
  <c r="E261" i="38"/>
  <c r="E262" i="38"/>
  <c r="E263" i="38"/>
  <c r="E264" i="38"/>
  <c r="E265" i="38"/>
  <c r="E266" i="38"/>
  <c r="E267" i="38"/>
  <c r="E268" i="38"/>
  <c r="E269" i="38"/>
  <c r="E270" i="38"/>
  <c r="E271" i="38"/>
  <c r="E272" i="38"/>
  <c r="E273" i="38"/>
  <c r="E274" i="38"/>
  <c r="E275" i="38"/>
  <c r="E276" i="38"/>
  <c r="E278" i="38"/>
  <c r="E279" i="38"/>
  <c r="E280" i="38"/>
  <c r="E281" i="38"/>
  <c r="E282" i="38"/>
  <c r="E283" i="38"/>
  <c r="E284" i="38"/>
  <c r="E285" i="38"/>
  <c r="E286" i="38"/>
  <c r="E287" i="38"/>
  <c r="E288" i="38"/>
  <c r="E289" i="38"/>
  <c r="E290" i="38"/>
  <c r="E291" i="38"/>
  <c r="E292" i="38"/>
  <c r="E293" i="38"/>
  <c r="E294" i="38"/>
  <c r="E295" i="38"/>
  <c r="E296" i="38"/>
  <c r="E297" i="38"/>
  <c r="E298" i="38"/>
  <c r="E299" i="38"/>
  <c r="E300" i="38"/>
  <c r="E301" i="38"/>
  <c r="E302" i="38"/>
  <c r="E303" i="38"/>
  <c r="E304" i="38"/>
  <c r="E305" i="38"/>
  <c r="E306" i="38"/>
  <c r="E307" i="38"/>
  <c r="E308" i="38"/>
  <c r="E309" i="38"/>
  <c r="E310" i="38"/>
  <c r="E311" i="38"/>
  <c r="E312" i="38"/>
  <c r="E313" i="38"/>
  <c r="E314" i="38"/>
  <c r="E315" i="38"/>
  <c r="E316" i="38"/>
  <c r="E317" i="38"/>
  <c r="E318" i="38"/>
  <c r="E319" i="38"/>
  <c r="E320" i="38"/>
  <c r="E321" i="38"/>
  <c r="E322" i="38"/>
  <c r="E323" i="38"/>
  <c r="E325" i="38"/>
  <c r="E326" i="38"/>
  <c r="E327" i="38"/>
  <c r="E328" i="38"/>
  <c r="E329" i="38"/>
  <c r="E330" i="38"/>
  <c r="E331" i="38"/>
  <c r="E332" i="38"/>
  <c r="E333" i="38"/>
  <c r="E334" i="38"/>
  <c r="E335" i="38"/>
  <c r="E336" i="38"/>
  <c r="E337" i="38"/>
  <c r="E338" i="38"/>
  <c r="E339" i="38"/>
  <c r="E340" i="38"/>
  <c r="E341" i="38"/>
  <c r="E342" i="38"/>
  <c r="E343" i="38"/>
  <c r="E344" i="38"/>
  <c r="E345" i="38"/>
  <c r="E346" i="38"/>
  <c r="E347" i="38"/>
  <c r="E348" i="38"/>
  <c r="E349" i="38"/>
  <c r="E350" i="38"/>
  <c r="E351" i="38"/>
  <c r="E352" i="38"/>
  <c r="E353" i="38"/>
  <c r="E354" i="38"/>
  <c r="E355" i="38"/>
  <c r="E356" i="38"/>
  <c r="E357" i="38"/>
  <c r="E358" i="38"/>
  <c r="E359" i="38"/>
  <c r="E360" i="38"/>
  <c r="E361" i="38"/>
  <c r="E362" i="38"/>
  <c r="E363" i="38"/>
  <c r="E364" i="38"/>
  <c r="E365" i="38"/>
  <c r="E366" i="38"/>
  <c r="E367" i="38"/>
  <c r="E368" i="38"/>
  <c r="E369" i="38"/>
  <c r="E370" i="38"/>
  <c r="E371" i="38"/>
  <c r="E372" i="38"/>
  <c r="E373" i="38"/>
  <c r="E374" i="38"/>
  <c r="E375" i="38"/>
  <c r="E376" i="38"/>
  <c r="E13" i="38"/>
  <c r="P2" i="59"/>
  <c r="O2" i="59"/>
  <c r="N2" i="59"/>
  <c r="M2" i="59"/>
  <c r="H2" i="59"/>
  <c r="G2" i="59"/>
  <c r="F2" i="59"/>
  <c r="D5" i="59"/>
  <c r="D6" i="59"/>
  <c r="D18" i="59"/>
  <c r="D30" i="59"/>
  <c r="D43" i="59"/>
  <c r="D7" i="59"/>
  <c r="L7" i="59"/>
  <c r="L19" i="59"/>
  <c r="L31" i="59"/>
  <c r="L44" i="59"/>
  <c r="R44" i="59"/>
  <c r="R56" i="59"/>
  <c r="D8" i="59"/>
  <c r="L8" i="59"/>
  <c r="L20" i="59"/>
  <c r="L32" i="59"/>
  <c r="L45" i="59"/>
  <c r="R45" i="59"/>
  <c r="D9" i="59"/>
  <c r="L9" i="59"/>
  <c r="L21" i="59"/>
  <c r="L33" i="59"/>
  <c r="L46" i="59"/>
  <c r="R46" i="59"/>
  <c r="S46" i="59"/>
  <c r="D10" i="59"/>
  <c r="D22" i="59"/>
  <c r="D34" i="59"/>
  <c r="D47" i="59"/>
  <c r="D11" i="59"/>
  <c r="D23" i="59"/>
  <c r="D35" i="59"/>
  <c r="D48" i="59"/>
  <c r="D4" i="59"/>
  <c r="D16" i="59"/>
  <c r="D28" i="59"/>
  <c r="D41" i="59"/>
  <c r="M14" i="59"/>
  <c r="AB39" i="59"/>
  <c r="Z39" i="59"/>
  <c r="X39" i="59"/>
  <c r="V39" i="59"/>
  <c r="W37" i="59"/>
  <c r="X37" i="59"/>
  <c r="Y37" i="59"/>
  <c r="Z37" i="59"/>
  <c r="AA37" i="59"/>
  <c r="AB37" i="59"/>
  <c r="AC37" i="59"/>
  <c r="N26" i="59"/>
  <c r="O26" i="59"/>
  <c r="P26" i="59"/>
  <c r="F26" i="59"/>
  <c r="G26" i="59"/>
  <c r="H26" i="59"/>
  <c r="D19" i="59"/>
  <c r="D31" i="59"/>
  <c r="D44" i="59"/>
  <c r="K16" i="59"/>
  <c r="K28" i="59"/>
  <c r="C16" i="59"/>
  <c r="C28" i="59"/>
  <c r="C41" i="59"/>
  <c r="F14" i="59"/>
  <c r="N14" i="59"/>
  <c r="K5" i="59"/>
  <c r="K17" i="59"/>
  <c r="K29" i="59"/>
  <c r="C5" i="59"/>
  <c r="C6" i="59"/>
  <c r="H83" i="57"/>
  <c r="H82" i="57"/>
  <c r="H80" i="57"/>
  <c r="H79" i="57"/>
  <c r="AK33" i="58"/>
  <c r="G11" i="58"/>
  <c r="D34" i="58"/>
  <c r="AA28" i="58"/>
  <c r="Z28" i="58"/>
  <c r="Y28" i="58"/>
  <c r="AT86" i="40"/>
  <c r="AT87" i="40"/>
  <c r="AT88" i="40"/>
  <c r="AT89" i="40"/>
  <c r="C86" i="40"/>
  <c r="B86" i="40"/>
  <c r="P109" i="57"/>
  <c r="P11" i="57"/>
  <c r="N109" i="57"/>
  <c r="N11" i="57"/>
  <c r="L109" i="57"/>
  <c r="L11" i="57"/>
  <c r="J109" i="57"/>
  <c r="J11" i="57"/>
  <c r="H2" i="57"/>
  <c r="H76" i="57"/>
  <c r="H11" i="57"/>
  <c r="H10" i="57"/>
  <c r="H9" i="57"/>
  <c r="H7" i="57"/>
  <c r="H121" i="57"/>
  <c r="H120" i="57"/>
  <c r="H118" i="57"/>
  <c r="H117" i="57"/>
  <c r="H115" i="57"/>
  <c r="H114" i="57"/>
  <c r="H109" i="57"/>
  <c r="H104" i="57"/>
  <c r="I103" i="57"/>
  <c r="H103" i="57"/>
  <c r="H102" i="57"/>
  <c r="H101" i="57"/>
  <c r="Q85" i="57"/>
  <c r="P85" i="57"/>
  <c r="N85" i="57"/>
  <c r="L85" i="57"/>
  <c r="Q83" i="57"/>
  <c r="P83" i="57"/>
  <c r="J83" i="57"/>
  <c r="L82" i="57"/>
  <c r="J82" i="57"/>
  <c r="Q81" i="57"/>
  <c r="P81" i="57"/>
  <c r="N81" i="57"/>
  <c r="M81" i="57"/>
  <c r="J81" i="57"/>
  <c r="J80" i="57"/>
  <c r="Q79" i="57"/>
  <c r="P79" i="57"/>
  <c r="M79" i="57"/>
  <c r="L79" i="57"/>
  <c r="J121" i="57"/>
  <c r="J120" i="57"/>
  <c r="N117" i="57"/>
  <c r="L115" i="57"/>
  <c r="J115" i="57"/>
  <c r="J114" i="57"/>
  <c r="J112" i="57"/>
  <c r="L104" i="57"/>
  <c r="J104" i="57"/>
  <c r="P103" i="57"/>
  <c r="N103" i="57"/>
  <c r="L103" i="57"/>
  <c r="J103" i="57"/>
  <c r="N102" i="57"/>
  <c r="L102" i="57"/>
  <c r="J102" i="57"/>
  <c r="B17" i="52"/>
  <c r="B18" i="52"/>
  <c r="A17" i="52"/>
  <c r="O109" i="57"/>
  <c r="M109" i="57"/>
  <c r="P101" i="57"/>
  <c r="M101" i="57"/>
  <c r="I121" i="57"/>
  <c r="J9" i="57"/>
  <c r="J7" i="57"/>
  <c r="C59" i="52"/>
  <c r="C60" i="52"/>
  <c r="B58" i="52"/>
  <c r="C56" i="52"/>
  <c r="B55" i="52"/>
  <c r="A55" i="52"/>
  <c r="C53" i="52"/>
  <c r="B52" i="52"/>
  <c r="B53" i="52"/>
  <c r="B54" i="52"/>
  <c r="C50" i="52"/>
  <c r="B49" i="52"/>
  <c r="B50" i="52"/>
  <c r="B51" i="52"/>
  <c r="AT47" i="52"/>
  <c r="AT48" i="52"/>
  <c r="AT49" i="52"/>
  <c r="AT50" i="52"/>
  <c r="AT51" i="52"/>
  <c r="AT52" i="52"/>
  <c r="AT53" i="52"/>
  <c r="AT54" i="52"/>
  <c r="AT55" i="52"/>
  <c r="AT56" i="52"/>
  <c r="AT57" i="52"/>
  <c r="AT58" i="52"/>
  <c r="AT59" i="52"/>
  <c r="AT60" i="52"/>
  <c r="C47" i="52"/>
  <c r="B46" i="52"/>
  <c r="B47" i="52"/>
  <c r="B48" i="52"/>
  <c r="A52" i="52"/>
  <c r="C57" i="52"/>
  <c r="C30" i="52"/>
  <c r="B29" i="52"/>
  <c r="A29" i="52"/>
  <c r="C27" i="52"/>
  <c r="C28" i="52"/>
  <c r="B26" i="52"/>
  <c r="A26" i="52"/>
  <c r="C24" i="52"/>
  <c r="C21" i="52"/>
  <c r="C22" i="52"/>
  <c r="AT18" i="52"/>
  <c r="AT19" i="52"/>
  <c r="AT20" i="52"/>
  <c r="AT21" i="52"/>
  <c r="AT22" i="52"/>
  <c r="AT23" i="52"/>
  <c r="AT24" i="52"/>
  <c r="AT25" i="52"/>
  <c r="AT26" i="52"/>
  <c r="AT27" i="52"/>
  <c r="AT28" i="52"/>
  <c r="AT29" i="52"/>
  <c r="AT30" i="52"/>
  <c r="AT31" i="52"/>
  <c r="C18" i="52"/>
  <c r="C19" i="52"/>
  <c r="B20"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B24" i="52"/>
  <c r="B25"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94" i="44"/>
  <c r="AN53" i="44"/>
  <c r="AN96" i="44"/>
  <c r="AN37" i="44"/>
  <c r="AQ37" i="44"/>
  <c r="AR37" i="44"/>
  <c r="AN65" i="44"/>
  <c r="AN68" i="44"/>
  <c r="AN47" i="44"/>
  <c r="AN49" i="44"/>
  <c r="AN45" i="44"/>
  <c r="AN31" i="44"/>
  <c r="AN33" i="44"/>
  <c r="AN56" i="44"/>
  <c r="AN58" i="44"/>
  <c r="AN51" i="44"/>
  <c r="AN62" i="44"/>
  <c r="AN35" i="44"/>
  <c r="AQ35" i="44"/>
  <c r="AR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D20" i="59"/>
  <c r="D32" i="59"/>
  <c r="D45" i="59"/>
  <c r="A49" i="52"/>
  <c r="G14" i="59"/>
  <c r="D21" i="59"/>
  <c r="D33" i="59"/>
  <c r="D46" i="59"/>
  <c r="L4" i="59"/>
  <c r="L16" i="59"/>
  <c r="L28" i="59"/>
  <c r="L41" i="59"/>
  <c r="R41" i="59"/>
  <c r="L6" i="59"/>
  <c r="L18" i="59"/>
  <c r="L30" i="59"/>
  <c r="L43" i="59"/>
  <c r="R43" i="59"/>
  <c r="S43" i="59"/>
  <c r="L11" i="59"/>
  <c r="L23" i="59"/>
  <c r="L35" i="59"/>
  <c r="L48" i="59"/>
  <c r="R48" i="59"/>
  <c r="R60" i="59"/>
  <c r="C18" i="59"/>
  <c r="C30" i="59"/>
  <c r="C43" i="59"/>
  <c r="C7" i="59"/>
  <c r="C8" i="59"/>
  <c r="C20" i="59"/>
  <c r="C32" i="59"/>
  <c r="C45" i="59"/>
  <c r="C17" i="59"/>
  <c r="C29" i="59"/>
  <c r="C42" i="59"/>
  <c r="A3" i="39"/>
  <c r="A4" i="39"/>
  <c r="A5" i="39"/>
  <c r="A6" i="39"/>
  <c r="A7" i="39"/>
  <c r="R55" i="59"/>
  <c r="R58" i="59"/>
  <c r="S45" i="59"/>
  <c r="R57" i="59"/>
  <c r="S44" i="59"/>
  <c r="A23" i="52"/>
  <c r="B21" i="52"/>
  <c r="B19" i="52"/>
  <c r="A19" i="52"/>
  <c r="B30" i="52"/>
  <c r="AN67" i="44"/>
  <c r="AN101" i="44"/>
  <c r="AN64" i="44"/>
  <c r="AN71" i="44"/>
  <c r="AN81" i="44"/>
  <c r="AO81" i="44"/>
  <c r="AP81" i="44"/>
  <c r="AN93" i="44"/>
  <c r="AN78" i="44"/>
  <c r="AN84" i="44"/>
  <c r="AN87" i="44"/>
  <c r="AN90" i="44"/>
  <c r="AN103" i="44"/>
  <c r="AQ103" i="44"/>
  <c r="AR103" i="44"/>
  <c r="AN105" i="44"/>
  <c r="AN40" i="44"/>
  <c r="AN75" i="44"/>
  <c r="AQ75" i="44"/>
  <c r="AR75" i="44"/>
  <c r="AN52" i="44"/>
  <c r="AQ52" i="44"/>
  <c r="AR52" i="44"/>
  <c r="AN89" i="44"/>
  <c r="AQ89" i="44"/>
  <c r="AR89" i="44"/>
  <c r="AN69" i="44"/>
  <c r="AN66" i="44"/>
  <c r="AQ66" i="44"/>
  <c r="AR66" i="44"/>
  <c r="AN63" i="44"/>
  <c r="AO63" i="44"/>
  <c r="AP63" i="44"/>
  <c r="AQ63" i="44"/>
  <c r="AR63" i="44"/>
  <c r="AN100" i="44"/>
  <c r="AN42" i="44"/>
  <c r="AQ42" i="44"/>
  <c r="AR42" i="44"/>
  <c r="AN48" i="44"/>
  <c r="AN57" i="44"/>
  <c r="AN91" i="44"/>
  <c r="AN104" i="44"/>
  <c r="AQ104" i="44"/>
  <c r="AR104" i="44"/>
  <c r="AN36" i="44"/>
  <c r="AO36" i="44"/>
  <c r="AP36" i="44"/>
  <c r="AQ36" i="44"/>
  <c r="AR36" i="44"/>
  <c r="AN82" i="44"/>
  <c r="AQ82" i="44"/>
  <c r="AR82" i="44"/>
  <c r="AN83" i="44"/>
  <c r="AQ83" i="44"/>
  <c r="AR83" i="44"/>
  <c r="AN72" i="44"/>
  <c r="AO72" i="44"/>
  <c r="AP72" i="44"/>
  <c r="AN98" i="44"/>
  <c r="AO102" i="44"/>
  <c r="AP102" i="44"/>
  <c r="AN106" i="44"/>
  <c r="AO42" i="44"/>
  <c r="AP42" i="44"/>
  <c r="AO58" i="44"/>
  <c r="AP58" i="44"/>
  <c r="AQ119" i="44"/>
  <c r="AR119" i="44"/>
  <c r="AN32" i="44"/>
  <c r="AQ32" i="44"/>
  <c r="AR32" i="44"/>
  <c r="AN60" i="44"/>
  <c r="AQ60" i="44"/>
  <c r="AR60" i="44"/>
  <c r="AO31" i="44"/>
  <c r="AP31" i="44"/>
  <c r="AO33" i="44"/>
  <c r="AP33" i="44"/>
  <c r="AO37" i="44"/>
  <c r="AP37"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56" i="44"/>
  <c r="AP56" i="44"/>
  <c r="AO65" i="44"/>
  <c r="AP65" i="44"/>
  <c r="AQ71" i="44"/>
  <c r="AR71" i="44"/>
  <c r="AQ111" i="44"/>
  <c r="AR111" i="44"/>
  <c r="AQ127" i="44"/>
  <c r="AR127" i="44"/>
  <c r="AN46" i="44"/>
  <c r="AN85" i="44"/>
  <c r="AO85" i="44"/>
  <c r="AP85" i="44"/>
  <c r="AO62" i="44"/>
  <c r="AP62" i="44"/>
  <c r="AO75" i="44"/>
  <c r="AP75" i="44"/>
  <c r="AO78" i="44"/>
  <c r="AP78" i="44"/>
  <c r="AO83" i="44"/>
  <c r="AP83" i="44"/>
  <c r="AO91" i="44"/>
  <c r="AP91" i="44"/>
  <c r="AO94" i="44"/>
  <c r="AP94" i="44"/>
  <c r="AO101" i="44"/>
  <c r="AP101" i="44"/>
  <c r="AO105" i="44"/>
  <c r="AP105" i="44"/>
  <c r="AO109" i="44"/>
  <c r="AP109" i="44"/>
  <c r="AO113" i="44"/>
  <c r="AP113" i="44"/>
  <c r="AO117" i="44"/>
  <c r="AP117" i="44"/>
  <c r="AO121" i="44"/>
  <c r="AP121" i="44"/>
  <c r="AO125" i="44"/>
  <c r="AP125" i="44"/>
  <c r="AO129" i="44"/>
  <c r="AP129" i="44"/>
  <c r="AQ33" i="44"/>
  <c r="AR33" i="44"/>
  <c r="AQ41" i="44"/>
  <c r="AR41" i="44"/>
  <c r="AQ45" i="44"/>
  <c r="AR45" i="44"/>
  <c r="AQ49" i="44"/>
  <c r="AR49" i="44"/>
  <c r="AQ53" i="44"/>
  <c r="AR53" i="44"/>
  <c r="AQ57" i="44"/>
  <c r="AR57" i="44"/>
  <c r="AQ65" i="44"/>
  <c r="AR65" i="44"/>
  <c r="AQ69" i="44"/>
  <c r="AR69" i="44"/>
  <c r="AQ93" i="44"/>
  <c r="AR93" i="44"/>
  <c r="AQ101" i="44"/>
  <c r="AR101"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4" i="44"/>
  <c r="AR74" i="44"/>
  <c r="AQ72" i="44"/>
  <c r="AR72" i="44"/>
  <c r="AQ68" i="44"/>
  <c r="AR68" i="44"/>
  <c r="AQ62" i="44"/>
  <c r="AR62" i="44"/>
  <c r="AQ58" i="44"/>
  <c r="AR58" i="44"/>
  <c r="AQ56" i="44"/>
  <c r="AR56"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68" i="44"/>
  <c r="AP68" i="44"/>
  <c r="AO84" i="44"/>
  <c r="AP84" i="44"/>
  <c r="AQ87" i="44"/>
  <c r="AR87" i="44"/>
  <c r="AO71" i="44"/>
  <c r="AP71" i="44"/>
  <c r="AO74" i="44"/>
  <c r="AP74" i="44"/>
  <c r="AO87" i="44"/>
  <c r="AP87" i="44"/>
  <c r="AO90" i="44"/>
  <c r="AP90" i="44"/>
  <c r="AO103" i="44"/>
  <c r="AP103" i="44"/>
  <c r="AO107" i="44"/>
  <c r="AP107" i="44"/>
  <c r="AO111" i="44"/>
  <c r="AP111" i="44"/>
  <c r="AO115" i="44"/>
  <c r="AP115" i="44"/>
  <c r="AO119" i="44"/>
  <c r="AP119" i="44"/>
  <c r="AO123" i="44"/>
  <c r="AP123" i="44"/>
  <c r="AO127" i="44"/>
  <c r="AP127" i="44"/>
  <c r="AQ31" i="44"/>
  <c r="AQ39" i="44"/>
  <c r="AR39" i="44"/>
  <c r="AQ43" i="44"/>
  <c r="AR43" i="44"/>
  <c r="AQ47" i="44"/>
  <c r="AR47" i="44"/>
  <c r="AQ51" i="44"/>
  <c r="AR51" i="44"/>
  <c r="AQ55" i="44"/>
  <c r="AR55" i="44"/>
  <c r="AQ59" i="44"/>
  <c r="AR59" i="44"/>
  <c r="AQ81" i="44"/>
  <c r="AR81" i="44"/>
  <c r="AQ105" i="44"/>
  <c r="AR105" i="44"/>
  <c r="AQ113" i="44"/>
  <c r="AR113" i="44"/>
  <c r="AQ121" i="44"/>
  <c r="AR121" i="44"/>
  <c r="AQ129" i="44"/>
  <c r="AR129" i="44"/>
  <c r="A24" i="52"/>
  <c r="A18" i="52"/>
  <c r="B56" i="52"/>
  <c r="B57" i="52"/>
  <c r="A57" i="52"/>
  <c r="A46" i="52"/>
  <c r="C25" i="52"/>
  <c r="A25" i="52"/>
  <c r="C54" i="52"/>
  <c r="A54" i="52"/>
  <c r="A53" i="52"/>
  <c r="A58" i="52"/>
  <c r="B59" i="52"/>
  <c r="A59" i="52"/>
  <c r="C31" i="52"/>
  <c r="B27" i="52"/>
  <c r="J12" i="57"/>
  <c r="L83" i="57"/>
  <c r="N120" i="57"/>
  <c r="P102" i="57"/>
  <c r="N114" i="57"/>
  <c r="J117" i="57"/>
  <c r="N79" i="57"/>
  <c r="L80" i="57"/>
  <c r="N83" i="57"/>
  <c r="J85" i="57"/>
  <c r="N104" i="57"/>
  <c r="J79" i="57"/>
  <c r="N101" i="57"/>
  <c r="P104" i="57"/>
  <c r="L81" i="57"/>
  <c r="Q120" i="57"/>
  <c r="P120" i="57"/>
  <c r="Q114" i="57"/>
  <c r="P114" i="57"/>
  <c r="N80" i="57"/>
  <c r="O80" i="57"/>
  <c r="Q80" i="57"/>
  <c r="P80" i="57"/>
  <c r="N115" i="57"/>
  <c r="O115" i="57"/>
  <c r="N82" i="57"/>
  <c r="O82" i="57"/>
  <c r="Q82" i="57"/>
  <c r="P82" i="57"/>
  <c r="J101" i="57"/>
  <c r="B87" i="40"/>
  <c r="B88" i="40"/>
  <c r="D92" i="40"/>
  <c r="E92" i="40"/>
  <c r="A86" i="40"/>
  <c r="C87" i="40"/>
  <c r="C19" i="59"/>
  <c r="C31" i="59"/>
  <c r="C44" i="59"/>
  <c r="C9" i="59"/>
  <c r="C21" i="59"/>
  <c r="C33" i="59"/>
  <c r="C46" i="59"/>
  <c r="C10" i="59"/>
  <c r="C11" i="59"/>
  <c r="C23" i="59"/>
  <c r="AO32" i="44"/>
  <c r="AP32" i="44"/>
  <c r="AO66" i="44"/>
  <c r="AP66" i="44"/>
  <c r="AO82" i="44"/>
  <c r="AP82" i="44"/>
  <c r="F30" i="69"/>
  <c r="AO60" i="44"/>
  <c r="AP60" i="44"/>
  <c r="AQ85" i="44"/>
  <c r="AR85" i="44"/>
  <c r="A56" i="52"/>
  <c r="B60" i="52"/>
  <c r="A60" i="52"/>
  <c r="C88" i="40"/>
  <c r="A87" i="40"/>
  <c r="C22" i="59"/>
  <c r="C34" i="59"/>
  <c r="C47" i="59"/>
  <c r="C35" i="59"/>
  <c r="C48" i="59"/>
  <c r="C89" i="40"/>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J111" i="57"/>
  <c r="L111" i="57"/>
  <c r="K111" i="57"/>
  <c r="M111" i="57"/>
  <c r="JO101" i="40"/>
  <c r="JO201" i="40"/>
  <c r="JO301" i="40"/>
  <c r="JO401" i="40"/>
  <c r="JO501" i="40"/>
  <c r="JO502" i="40"/>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I58" i="58"/>
  <c r="L58" i="58"/>
  <c r="H58" i="58"/>
  <c r="O58" i="58"/>
  <c r="K58" i="58"/>
  <c r="G58" i="58"/>
  <c r="N58" i="58"/>
  <c r="J58" i="58"/>
  <c r="F58" i="58"/>
  <c r="AF58" i="58"/>
  <c r="AE58" i="58"/>
  <c r="O60" i="58"/>
  <c r="K60" i="58"/>
  <c r="G60" i="58"/>
  <c r="N60" i="58"/>
  <c r="J60" i="58"/>
  <c r="F60" i="58"/>
  <c r="M60" i="58"/>
  <c r="I60" i="58"/>
  <c r="L60" i="58"/>
  <c r="H60" i="58"/>
  <c r="AE60" i="58"/>
  <c r="AF60" i="58"/>
  <c r="N48" i="58"/>
  <c r="M48" i="58"/>
  <c r="H48"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R36" i="71" s="1"/>
  <c r="W42" i="71"/>
  <c r="S42" i="71" s="1"/>
  <c r="U48" i="71"/>
  <c r="Y48" i="71" s="1"/>
  <c r="AC48" i="71" s="1"/>
  <c r="W38" i="71"/>
  <c r="S38" i="71" s="1"/>
  <c r="U46" i="71"/>
  <c r="Y46" i="71" s="1"/>
  <c r="AC46" i="71" s="1"/>
  <c r="V40" i="71"/>
  <c r="Z40" i="71" s="1"/>
  <c r="W40" i="71"/>
  <c r="W36" i="71"/>
  <c r="AA36" i="71" s="1"/>
  <c r="U34" i="71"/>
  <c r="Q34" i="71" s="1"/>
  <c r="U44" i="71"/>
  <c r="Y44" i="71" s="1"/>
  <c r="AC44" i="71" s="1"/>
  <c r="V38" i="71"/>
  <c r="R38" i="71" s="1"/>
  <c r="V34" i="71"/>
  <c r="Z34" i="71" s="1"/>
  <c r="W46" i="71"/>
  <c r="AA46" i="71" s="1"/>
  <c r="W48" i="71"/>
  <c r="W34" i="71"/>
  <c r="AA34" i="71" s="1"/>
  <c r="U36" i="71"/>
  <c r="Q36" i="71" s="1"/>
  <c r="U40" i="71"/>
  <c r="Q40" i="71" s="1"/>
  <c r="V44" i="71"/>
  <c r="R44" i="71" s="1"/>
  <c r="V42" i="71"/>
  <c r="R42" i="71" s="1"/>
  <c r="AF52" i="68"/>
  <c r="AE52" i="69"/>
  <c r="AF50" i="58"/>
  <c r="AF52" i="58"/>
  <c r="AF52" i="67"/>
  <c r="AE52" i="66"/>
  <c r="AF50" i="67"/>
  <c r="AF50" i="69"/>
  <c r="V46" i="71"/>
  <c r="W44" i="71"/>
  <c r="U38" i="71"/>
  <c r="Y38" i="71" s="1"/>
  <c r="AC38" i="71" s="1"/>
  <c r="V48" i="71"/>
  <c r="R48" i="71" s="1"/>
  <c r="U42" i="71"/>
  <c r="Y42" i="71" s="1"/>
  <c r="AC42" i="71" s="1"/>
  <c r="AE50" i="66"/>
  <c r="AF50" i="68"/>
  <c r="AF52" i="69"/>
  <c r="AF52" i="66"/>
  <c r="AE42" i="71"/>
  <c r="AE44" i="71"/>
  <c r="AF46" i="71"/>
  <c r="AF42" i="71"/>
  <c r="AE46" i="71"/>
  <c r="AE40" i="71"/>
  <c r="AF34" i="71"/>
  <c r="AF38" i="71"/>
  <c r="AE38" i="71"/>
  <c r="AE36" i="71"/>
  <c r="AF44" i="71"/>
  <c r="AF40" i="71"/>
  <c r="AE34" i="71"/>
  <c r="AE48" i="71"/>
  <c r="AF50" i="66"/>
  <c r="AF36" i="71"/>
  <c r="AF48" i="71"/>
  <c r="P9" i="39"/>
  <c r="N4" i="39"/>
  <c r="O4" i="39"/>
  <c r="N9" i="57"/>
  <c r="A84" i="57"/>
  <c r="A85" i="57"/>
  <c r="A86" i="57"/>
  <c r="A87" i="57"/>
  <c r="A88" i="57"/>
  <c r="A89" i="57"/>
  <c r="A90" i="57"/>
  <c r="A91" i="57"/>
  <c r="A92" i="57"/>
  <c r="A93" i="57"/>
  <c r="A38" i="67"/>
  <c r="A40" i="67"/>
  <c r="D36" i="67"/>
  <c r="AQ46" i="44"/>
  <c r="AR46" i="44"/>
  <c r="AO46" i="44"/>
  <c r="AP46" i="44"/>
  <c r="AO48" i="44"/>
  <c r="AP48" i="44"/>
  <c r="AQ48" i="44"/>
  <c r="AR48" i="44"/>
  <c r="B31" i="52"/>
  <c r="A31" i="52"/>
  <c r="A30" i="52"/>
  <c r="S41" i="59"/>
  <c r="R53" i="59"/>
  <c r="AX8" i="70"/>
  <c r="C9" i="70"/>
  <c r="AR25" i="44"/>
  <c r="AR31" i="44"/>
  <c r="AQ40" i="44"/>
  <c r="AR40" i="44"/>
  <c r="AO40" i="44"/>
  <c r="AP40" i="44"/>
  <c r="AO67" i="44"/>
  <c r="AP67" i="44"/>
  <c r="AQ67" i="44"/>
  <c r="AR67" i="44"/>
  <c r="B22" i="52"/>
  <c r="A22" i="52"/>
  <c r="A21" i="52"/>
  <c r="O14" i="59"/>
  <c r="H14" i="59"/>
  <c r="P14" i="59"/>
  <c r="A47" i="52"/>
  <c r="C48" i="52"/>
  <c r="A48" i="52"/>
  <c r="L10" i="39"/>
  <c r="J10" i="57"/>
  <c r="B89" i="40"/>
  <c r="A89" i="40"/>
  <c r="A88" i="40"/>
  <c r="S48" i="59"/>
  <c r="F30" i="68"/>
  <c r="F30" i="71"/>
  <c r="F30" i="66"/>
  <c r="F30" i="58"/>
  <c r="F30" i="67"/>
  <c r="F92" i="40"/>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B28" i="52"/>
  <c r="A28" i="52"/>
  <c r="A27" i="52"/>
  <c r="AO89" i="44"/>
  <c r="AP89" i="44"/>
  <c r="AO64" i="44"/>
  <c r="AP64" i="44"/>
  <c r="AQ64" i="44"/>
  <c r="AR64" i="44"/>
  <c r="AN74" i="44"/>
  <c r="AN73" i="44"/>
  <c r="AN79" i="44"/>
  <c r="L5" i="59"/>
  <c r="L17" i="59"/>
  <c r="L29" i="59"/>
  <c r="L42" i="59"/>
  <c r="R42" i="59"/>
  <c r="D17" i="59"/>
  <c r="D29" i="59"/>
  <c r="D42" i="59"/>
  <c r="R9" i="39"/>
  <c r="R9" i="57"/>
  <c r="P9" i="57"/>
  <c r="P4" i="39"/>
  <c r="Q4" i="39"/>
  <c r="AO35" i="44"/>
  <c r="AP35" i="44"/>
  <c r="AN102" i="44"/>
  <c r="AN50" i="44"/>
  <c r="AN54" i="44"/>
  <c r="AN38" i="44"/>
  <c r="AN76" i="44"/>
  <c r="AN44" i="44"/>
  <c r="AN77" i="44"/>
  <c r="AN61" i="44"/>
  <c r="C51" i="52"/>
  <c r="A51" i="52"/>
  <c r="A50" i="52"/>
  <c r="A42" i="62"/>
  <c r="D40" i="62"/>
  <c r="K154" i="39"/>
  <c r="K155" i="39"/>
  <c r="K152" i="57"/>
  <c r="K154" i="57"/>
  <c r="K155" i="57"/>
  <c r="AO52" i="44"/>
  <c r="AP52" i="44"/>
  <c r="AN80" i="44"/>
  <c r="AN92" i="44"/>
  <c r="AN88" i="44"/>
  <c r="AN34" i="44"/>
  <c r="AN95" i="44"/>
  <c r="AN86" i="44"/>
  <c r="AN97" i="44"/>
  <c r="AN99" i="44"/>
  <c r="AN70" i="44"/>
  <c r="AN59" i="44"/>
  <c r="L10" i="59"/>
  <c r="L22" i="59"/>
  <c r="L34" i="59"/>
  <c r="L47" i="59"/>
  <c r="R47" i="59"/>
  <c r="K6" i="59"/>
  <c r="N7" i="57"/>
  <c r="P7" i="39"/>
  <c r="C88" i="75"/>
  <c r="A87" i="75"/>
  <c r="K121" i="57"/>
  <c r="Q154" i="57"/>
  <c r="Q155" i="57"/>
  <c r="J154" i="57"/>
  <c r="J155" i="57"/>
  <c r="R104" i="57"/>
  <c r="S104" i="39"/>
  <c r="S104" i="57"/>
  <c r="I154" i="57"/>
  <c r="I155" i="57"/>
  <c r="Q154" i="39"/>
  <c r="Q155" i="39"/>
  <c r="K3" i="39"/>
  <c r="D42" i="71"/>
  <c r="A44" i="71"/>
  <c r="M154" i="57"/>
  <c r="M155" i="57"/>
  <c r="S154" i="39"/>
  <c r="S155" i="39"/>
  <c r="P154" i="57"/>
  <c r="P155" i="57"/>
  <c r="AK9" i="67"/>
  <c r="AK9" i="68"/>
  <c r="AK9" i="58"/>
  <c r="AK9" i="69"/>
  <c r="AK9" i="66"/>
  <c r="H1" i="70"/>
  <c r="L118" i="57"/>
  <c r="J118" i="57"/>
  <c r="K118" i="57"/>
  <c r="D38" i="68"/>
  <c r="D38" i="67"/>
  <c r="A40" i="66"/>
  <c r="D38" i="66"/>
  <c r="D40" i="67"/>
  <c r="A42" i="67"/>
  <c r="D36" i="58"/>
  <c r="A42" i="68"/>
  <c r="D42" i="69"/>
  <c r="A44" i="69"/>
  <c r="D40" i="69"/>
  <c r="A40" i="58"/>
  <c r="A42" i="58"/>
  <c r="D42" i="58"/>
  <c r="AW93" i="40"/>
  <c r="A8" i="39"/>
  <c r="AW10" i="52"/>
  <c r="H8" i="57"/>
  <c r="E61" i="70"/>
  <c r="E45" i="70"/>
  <c r="E29" i="70"/>
  <c r="E10" i="70"/>
  <c r="AZ10" i="70"/>
  <c r="E36" i="70"/>
  <c r="E9" i="70"/>
  <c r="AZ9" i="70"/>
  <c r="E43" i="70"/>
  <c r="E8" i="70"/>
  <c r="AZ8" i="70"/>
  <c r="E42" i="70"/>
  <c r="E7" i="70"/>
  <c r="AZ7" i="70"/>
  <c r="E52" i="70"/>
  <c r="E55" i="70"/>
  <c r="E23" i="70"/>
  <c r="E46" i="70"/>
  <c r="E11" i="70"/>
  <c r="AZ11" i="70"/>
  <c r="D13" i="68"/>
  <c r="D13" i="58"/>
  <c r="M11" i="58"/>
  <c r="J2" i="39"/>
  <c r="L12" i="39"/>
  <c r="I3" i="39"/>
  <c r="E30" i="70"/>
  <c r="E12" i="70"/>
  <c r="AZ12" i="70"/>
  <c r="E13" i="70"/>
  <c r="AZ13" i="70"/>
  <c r="E64" i="70"/>
  <c r="E34" i="70"/>
  <c r="E16" i="70"/>
  <c r="AZ16" i="70"/>
  <c r="E59" i="70"/>
  <c r="E32" i="70"/>
  <c r="E14" i="70"/>
  <c r="AZ14" i="70"/>
  <c r="E37" i="70"/>
  <c r="E57" i="70"/>
  <c r="J8" i="39"/>
  <c r="D13" i="67"/>
  <c r="E67" i="70"/>
  <c r="E54" i="70"/>
  <c r="E39" i="70"/>
  <c r="E40" i="70"/>
  <c r="E15" i="70"/>
  <c r="E58" i="70"/>
  <c r="E35" i="70"/>
  <c r="E20" i="70"/>
  <c r="E48" i="70"/>
  <c r="E25" i="70"/>
  <c r="E49" i="70"/>
  <c r="E69" i="70"/>
  <c r="J16" i="39"/>
  <c r="IZ201" i="40"/>
  <c r="J18" i="39"/>
  <c r="L15" i="39"/>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D44" i="71"/>
  <c r="A46" i="71"/>
  <c r="M121" i="57"/>
  <c r="L121" i="57"/>
  <c r="AO70" i="44"/>
  <c r="AP70" i="44"/>
  <c r="AQ70" i="44"/>
  <c r="AR70" i="44"/>
  <c r="AQ95" i="44"/>
  <c r="AR95" i="44"/>
  <c r="AO95" i="44"/>
  <c r="AP95" i="44"/>
  <c r="AQ80" i="44"/>
  <c r="AR80" i="44"/>
  <c r="AO80" i="44"/>
  <c r="AP80" i="44"/>
  <c r="AQ61" i="44"/>
  <c r="AR61" i="44"/>
  <c r="AO61" i="44"/>
  <c r="AP61" i="44"/>
  <c r="AQ38" i="44"/>
  <c r="AR38" i="44"/>
  <c r="AO38" i="44"/>
  <c r="AP38" i="44"/>
  <c r="N10" i="39"/>
  <c r="L10" i="57"/>
  <c r="AX9" i="70"/>
  <c r="C10" i="70"/>
  <c r="K7" i="59"/>
  <c r="K18" i="59"/>
  <c r="K30" i="59"/>
  <c r="AO99" i="44"/>
  <c r="AP99" i="44"/>
  <c r="AQ99" i="44"/>
  <c r="AR99" i="44"/>
  <c r="AQ34" i="44"/>
  <c r="AR34" i="44"/>
  <c r="AO34" i="44"/>
  <c r="AP34" i="44"/>
  <c r="D42" i="62"/>
  <c r="A44" i="62"/>
  <c r="AO77" i="44"/>
  <c r="AP77" i="44"/>
  <c r="AQ77" i="44"/>
  <c r="AR77" i="44"/>
  <c r="AQ54" i="44"/>
  <c r="AR54" i="44"/>
  <c r="AO54" i="44"/>
  <c r="AP54" i="44"/>
  <c r="R54" i="59"/>
  <c r="S42" i="59"/>
  <c r="C89" i="75"/>
  <c r="A89" i="75"/>
  <c r="A88" i="75"/>
  <c r="R59" i="59"/>
  <c r="S47" i="59"/>
  <c r="AO97" i="44"/>
  <c r="AP97" i="44"/>
  <c r="AQ97" i="44"/>
  <c r="AR97" i="44"/>
  <c r="AQ44" i="44"/>
  <c r="AR44" i="44"/>
  <c r="AO44" i="44"/>
  <c r="AP44" i="44"/>
  <c r="AO50" i="44"/>
  <c r="AP50" i="44"/>
  <c r="AQ50" i="44"/>
  <c r="AR50" i="44"/>
  <c r="AO79" i="44"/>
  <c r="AP79" i="44"/>
  <c r="AQ79" i="44"/>
  <c r="AR79" i="44"/>
  <c r="IF92" i="40"/>
  <c r="U30" i="58"/>
  <c r="U30" i="68"/>
  <c r="U30" i="71"/>
  <c r="U30" i="66"/>
  <c r="U30" i="67"/>
  <c r="W30" i="62"/>
  <c r="U30" i="69"/>
  <c r="D40" i="58"/>
  <c r="R7" i="39"/>
  <c r="R7" i="57"/>
  <c r="P7" i="57"/>
  <c r="AQ86" i="44"/>
  <c r="AR86" i="44"/>
  <c r="AO86" i="44"/>
  <c r="AP86" i="44"/>
  <c r="AQ92" i="44"/>
  <c r="AR92" i="44"/>
  <c r="AO92" i="44"/>
  <c r="AP92" i="44"/>
  <c r="AQ76" i="44"/>
  <c r="AR76" i="44"/>
  <c r="AO76" i="44"/>
  <c r="AP76" i="44"/>
  <c r="AO73" i="44"/>
  <c r="AP73" i="44"/>
  <c r="AQ73" i="44"/>
  <c r="AR73" i="44"/>
  <c r="N118" i="57"/>
  <c r="A44" i="67"/>
  <c r="D42" i="67"/>
  <c r="D40" i="66"/>
  <c r="A42" i="66"/>
  <c r="D42" i="68"/>
  <c r="A44" i="68"/>
  <c r="D44" i="69"/>
  <c r="A46" i="69"/>
  <c r="A44" i="58"/>
  <c r="D44" i="58"/>
  <c r="AW52" i="52"/>
  <c r="AW18" i="52"/>
  <c r="AW55" i="52"/>
  <c r="AW24" i="52"/>
  <c r="AW57" i="52"/>
  <c r="AW28" i="52"/>
  <c r="AW54" i="52"/>
  <c r="AW48" i="52"/>
  <c r="AW26" i="52"/>
  <c r="AW58" i="52"/>
  <c r="AW59" i="52"/>
  <c r="AW30" i="52"/>
  <c r="AW20" i="52"/>
  <c r="AW53" i="52"/>
  <c r="AW29" i="52"/>
  <c r="AW49" i="52"/>
  <c r="AW46" i="52"/>
  <c r="AW31" i="52"/>
  <c r="AW47" i="52"/>
  <c r="AW25" i="52"/>
  <c r="AW23" i="52"/>
  <c r="AW21" i="52"/>
  <c r="AW56" i="52"/>
  <c r="AW27" i="52"/>
  <c r="AW17" i="52"/>
  <c r="AW51" i="52"/>
  <c r="AW22" i="52"/>
  <c r="AW19" i="52"/>
  <c r="AW50" i="52"/>
  <c r="AW60" i="52"/>
  <c r="AY93" i="40"/>
  <c r="AY10" i="52"/>
  <c r="AY49" i="52"/>
  <c r="A9" i="39"/>
  <c r="AW87" i="40"/>
  <c r="AW88" i="40"/>
  <c r="AW86" i="40"/>
  <c r="AW89" i="40"/>
  <c r="AY20" i="52"/>
  <c r="J8" i="57"/>
  <c r="N12" i="39"/>
  <c r="L12" i="57"/>
  <c r="L3" i="39"/>
  <c r="L8" i="39"/>
  <c r="L2" i="39"/>
  <c r="G11" i="66"/>
  <c r="J76" i="39"/>
  <c r="J2" i="57"/>
  <c r="J76" i="57"/>
  <c r="L17" i="39"/>
  <c r="N15" i="39"/>
  <c r="L16" i="39"/>
  <c r="K19" i="59"/>
  <c r="K31" i="59"/>
  <c r="K8" i="59"/>
  <c r="AX10" i="70"/>
  <c r="C11" i="70"/>
  <c r="D46" i="71"/>
  <c r="A48" i="71"/>
  <c r="AY51" i="52"/>
  <c r="A46" i="62"/>
  <c r="D44" i="62"/>
  <c r="IZ301" i="40"/>
  <c r="AY22" i="52"/>
  <c r="IG92" i="40"/>
  <c r="V30" i="66"/>
  <c r="V30" i="71"/>
  <c r="V30" i="67"/>
  <c r="V30" i="58"/>
  <c r="V30" i="69"/>
  <c r="V30" i="62"/>
  <c r="V30" i="68"/>
  <c r="P10" i="39"/>
  <c r="N10" i="57"/>
  <c r="O121" i="57"/>
  <c r="N121" i="57"/>
  <c r="P118" i="57"/>
  <c r="O118" i="57"/>
  <c r="A46" i="58"/>
  <c r="D46" i="58"/>
  <c r="A44" i="66"/>
  <c r="D42" i="66"/>
  <c r="A46" i="68"/>
  <c r="D44" i="68"/>
  <c r="A46" i="67"/>
  <c r="D44" i="67"/>
  <c r="A48" i="69"/>
  <c r="D46" i="69"/>
  <c r="BA10" i="52"/>
  <c r="A10" i="39"/>
  <c r="BA93" i="40"/>
  <c r="AY17" i="52"/>
  <c r="AY18" i="52"/>
  <c r="AY48" i="52"/>
  <c r="AY46" i="52"/>
  <c r="AY47" i="52"/>
  <c r="AY19" i="52"/>
  <c r="AY21" i="52"/>
  <c r="AY50" i="52"/>
  <c r="AY87" i="40"/>
  <c r="AY89" i="40"/>
  <c r="AY86" i="40"/>
  <c r="AY88" i="40"/>
  <c r="M3" i="39"/>
  <c r="N2" i="39"/>
  <c r="N3" i="39"/>
  <c r="N12" i="57"/>
  <c r="P12" i="39"/>
  <c r="N8" i="39"/>
  <c r="L2" i="57"/>
  <c r="L76" i="57"/>
  <c r="L76" i="39"/>
  <c r="G11" i="67"/>
  <c r="AY52" i="52"/>
  <c r="AY23" i="52"/>
  <c r="AY53" i="52"/>
  <c r="AY54" i="52"/>
  <c r="AY24" i="52"/>
  <c r="AY25" i="52"/>
  <c r="L8" i="57"/>
  <c r="N17" i="39"/>
  <c r="N16" i="39"/>
  <c r="P15" i="39"/>
  <c r="L18" i="39"/>
  <c r="AH601" i="40"/>
  <c r="AX11" i="70"/>
  <c r="C12" i="70"/>
  <c r="IZ401" i="40"/>
  <c r="Q121" i="57"/>
  <c r="R10" i="39"/>
  <c r="R10" i="57"/>
  <c r="P10" i="57"/>
  <c r="D48" i="71"/>
  <c r="A50" i="71"/>
  <c r="D46" i="62"/>
  <c r="A48" i="62"/>
  <c r="K20" i="59"/>
  <c r="K32" i="59"/>
  <c r="K9" i="59"/>
  <c r="W30" i="69"/>
  <c r="W30" i="68"/>
  <c r="W30" i="71"/>
  <c r="W30" i="58"/>
  <c r="IH92" i="40"/>
  <c r="II92" i="40"/>
  <c r="IJ92" i="40"/>
  <c r="IK92" i="40"/>
  <c r="IL92" i="40"/>
  <c r="IM92" i="40"/>
  <c r="IN92" i="40"/>
  <c r="IO92" i="40"/>
  <c r="IP92" i="40"/>
  <c r="IQ92" i="40"/>
  <c r="IR92" i="40"/>
  <c r="IS92" i="40"/>
  <c r="IT92" i="40"/>
  <c r="IU92" i="40"/>
  <c r="IV92" i="40"/>
  <c r="IW92" i="40"/>
  <c r="IX92" i="40"/>
  <c r="IY92" i="40"/>
  <c r="IZ92" i="40"/>
  <c r="JA92" i="40"/>
  <c r="W30" i="67"/>
  <c r="W30" i="66"/>
  <c r="U30" i="62"/>
  <c r="R118" i="57"/>
  <c r="Q118" i="57"/>
  <c r="A48" i="58"/>
  <c r="D48" i="58"/>
  <c r="D46" i="68"/>
  <c r="A48" i="68"/>
  <c r="A48" i="67"/>
  <c r="D46" i="67"/>
  <c r="A46" i="66"/>
  <c r="D44" i="66"/>
  <c r="A50" i="69"/>
  <c r="D48" i="69"/>
  <c r="BA88" i="40"/>
  <c r="BA86" i="40"/>
  <c r="BA87" i="40"/>
  <c r="BA89" i="40"/>
  <c r="A11" i="39"/>
  <c r="BB93" i="40"/>
  <c r="BB10" i="52"/>
  <c r="BA48" i="52"/>
  <c r="BA55" i="52"/>
  <c r="BA28" i="52"/>
  <c r="BA50" i="52"/>
  <c r="BA26" i="52"/>
  <c r="BA21" i="52"/>
  <c r="BA23" i="52"/>
  <c r="BA49" i="52"/>
  <c r="BA22" i="52"/>
  <c r="BA19" i="52"/>
  <c r="BA25" i="52"/>
  <c r="BA54" i="52"/>
  <c r="BA29" i="52"/>
  <c r="BA52" i="52"/>
  <c r="BA53" i="52"/>
  <c r="BA59" i="52"/>
  <c r="BA47" i="52"/>
  <c r="BA46" i="52"/>
  <c r="BA57" i="52"/>
  <c r="BA56" i="52"/>
  <c r="BA58" i="52"/>
  <c r="BA31" i="52"/>
  <c r="BA27" i="52"/>
  <c r="BA30" i="52"/>
  <c r="BA60" i="52"/>
  <c r="BA17" i="52"/>
  <c r="BA20" i="52"/>
  <c r="BA51" i="52"/>
  <c r="BA18" i="52"/>
  <c r="BA24" i="52"/>
  <c r="O3" i="39"/>
  <c r="N8" i="57"/>
  <c r="AY57" i="52"/>
  <c r="AY28" i="52"/>
  <c r="AY55" i="52"/>
  <c r="AY56" i="52"/>
  <c r="AY26" i="52"/>
  <c r="AY27" i="52"/>
  <c r="R12" i="39"/>
  <c r="P3" i="39"/>
  <c r="P2" i="39"/>
  <c r="P12" i="57"/>
  <c r="P8" i="39"/>
  <c r="G11" i="68"/>
  <c r="N2" i="57"/>
  <c r="N76" i="57"/>
  <c r="N76" i="39"/>
  <c r="P16" i="39"/>
  <c r="R15" i="39"/>
  <c r="P17" i="39"/>
  <c r="N18" i="39"/>
  <c r="S118" i="57"/>
  <c r="D50" i="71"/>
  <c r="A52" i="71"/>
  <c r="AX12" i="70"/>
  <c r="C13" i="70"/>
  <c r="K21" i="59"/>
  <c r="K33" i="59"/>
  <c r="K10" i="59"/>
  <c r="S121" i="57"/>
  <c r="D48" i="62"/>
  <c r="A50" i="62"/>
  <c r="S30" i="62"/>
  <c r="Q30" i="68"/>
  <c r="Q30" i="71"/>
  <c r="Q30" i="67"/>
  <c r="Q30" i="69"/>
  <c r="Q30" i="66"/>
  <c r="Q30" i="58"/>
  <c r="JB92" i="40"/>
  <c r="A50" i="58"/>
  <c r="D50" i="58"/>
  <c r="A50" i="67"/>
  <c r="D48" i="67"/>
  <c r="A50" i="68"/>
  <c r="D48" i="68"/>
  <c r="A48" i="66"/>
  <c r="D46" i="66"/>
  <c r="A52" i="69"/>
  <c r="D50" i="69"/>
  <c r="BB29" i="52"/>
  <c r="BB58" i="52"/>
  <c r="BB31" i="52"/>
  <c r="BB56" i="52"/>
  <c r="BB47" i="52"/>
  <c r="BB49" i="52"/>
  <c r="BB59" i="52"/>
  <c r="BB46" i="52"/>
  <c r="BB28" i="52"/>
  <c r="BB26" i="52"/>
  <c r="BB18" i="52"/>
  <c r="BB52" i="52"/>
  <c r="BB54" i="52"/>
  <c r="BB60" i="52"/>
  <c r="BB50" i="52"/>
  <c r="BB21" i="52"/>
  <c r="BB25" i="52"/>
  <c r="BB24" i="52"/>
  <c r="BB27" i="52"/>
  <c r="BB55" i="52"/>
  <c r="BB30" i="52"/>
  <c r="BB57" i="52"/>
  <c r="BB51" i="52"/>
  <c r="BB22" i="52"/>
  <c r="BB20" i="52"/>
  <c r="BB23" i="52"/>
  <c r="BB17" i="52"/>
  <c r="BB53" i="52"/>
  <c r="BB19" i="52"/>
  <c r="BB48" i="52"/>
  <c r="AX10" i="52"/>
  <c r="AX93" i="40"/>
  <c r="A12" i="39"/>
  <c r="BB89" i="40"/>
  <c r="BB88" i="40"/>
  <c r="BB86" i="40"/>
  <c r="BB87" i="40"/>
  <c r="AY29" i="52"/>
  <c r="AY60" i="52"/>
  <c r="AY58" i="52"/>
  <c r="AY59" i="52"/>
  <c r="P8" i="57"/>
  <c r="AY31" i="52"/>
  <c r="AY30" i="52"/>
  <c r="Q3" i="39"/>
  <c r="P2" i="57"/>
  <c r="P76" i="57"/>
  <c r="P76" i="39"/>
  <c r="G11" i="69"/>
  <c r="R8" i="39"/>
  <c r="R12" i="57"/>
  <c r="R2" i="39"/>
  <c r="P18" i="39"/>
  <c r="R17" i="39"/>
  <c r="R16" i="39"/>
  <c r="R30" i="69"/>
  <c r="R30" i="62"/>
  <c r="R30" i="67"/>
  <c r="R30" i="71"/>
  <c r="R30" i="58"/>
  <c r="R30" i="66"/>
  <c r="R30" i="68"/>
  <c r="JC92" i="40"/>
  <c r="D50" i="62"/>
  <c r="A52" i="62"/>
  <c r="D52" i="71"/>
  <c r="A54" i="71"/>
  <c r="AX13" i="70"/>
  <c r="C14" i="70"/>
  <c r="K11" i="59"/>
  <c r="K23" i="59"/>
  <c r="K35" i="59"/>
  <c r="K22" i="59"/>
  <c r="K34" i="59"/>
  <c r="A52" i="58"/>
  <c r="A54" i="58"/>
  <c r="D50" i="68"/>
  <c r="A52" i="68"/>
  <c r="A50" i="66"/>
  <c r="D48" i="66"/>
  <c r="D50" i="67"/>
  <c r="A52" i="67"/>
  <c r="A54" i="69"/>
  <c r="D52" i="69"/>
  <c r="AX59" i="52"/>
  <c r="AX23" i="52"/>
  <c r="AX58" i="52"/>
  <c r="AX28" i="52"/>
  <c r="AX47" i="52"/>
  <c r="AX57" i="52"/>
  <c r="AX51" i="52"/>
  <c r="AX52" i="52"/>
  <c r="AX56" i="52"/>
  <c r="AX30" i="52"/>
  <c r="AX46" i="52"/>
  <c r="AX31" i="52"/>
  <c r="AX20" i="52"/>
  <c r="AX17" i="52"/>
  <c r="AX21" i="52"/>
  <c r="AX27" i="52"/>
  <c r="AX48" i="52"/>
  <c r="AX55" i="52"/>
  <c r="AX24" i="52"/>
  <c r="AX53" i="52"/>
  <c r="AX49" i="52"/>
  <c r="AX50" i="52"/>
  <c r="AX26" i="52"/>
  <c r="AX60" i="52"/>
  <c r="AX18" i="52"/>
  <c r="AX19" i="52"/>
  <c r="AX25" i="52"/>
  <c r="AX54" i="52"/>
  <c r="AX29" i="52"/>
  <c r="AX22" i="52"/>
  <c r="AX86" i="40"/>
  <c r="AX87" i="40"/>
  <c r="AX89" i="40"/>
  <c r="AX88" i="40"/>
  <c r="A13" i="39"/>
  <c r="A14" i="39"/>
  <c r="A15" i="39"/>
  <c r="AZ93" i="40"/>
  <c r="AZ10" i="52"/>
  <c r="F3" i="73"/>
  <c r="G11" i="71"/>
  <c r="R2" i="57"/>
  <c r="R76" i="57"/>
  <c r="R76" i="39"/>
  <c r="R8" i="57"/>
  <c r="R18" i="39"/>
  <c r="D52" i="62"/>
  <c r="A54" i="62"/>
  <c r="AX14" i="70"/>
  <c r="C15" i="70"/>
  <c r="A56" i="71"/>
  <c r="D54" i="71"/>
  <c r="S30" i="71"/>
  <c r="S30" i="69"/>
  <c r="JD92" i="40"/>
  <c r="JE92" i="40"/>
  <c r="JF92" i="40"/>
  <c r="JG92" i="40"/>
  <c r="JH92" i="40"/>
  <c r="JI92" i="40"/>
  <c r="JJ92" i="40"/>
  <c r="JK92" i="40"/>
  <c r="Q30" i="62"/>
  <c r="S30" i="68"/>
  <c r="S30" i="58"/>
  <c r="S30" i="66"/>
  <c r="S30" i="67"/>
  <c r="D52" i="58"/>
  <c r="A52" i="66"/>
  <c r="D50" i="66"/>
  <c r="D52" i="67"/>
  <c r="A54" i="67"/>
  <c r="D52" i="68"/>
  <c r="A54" i="68"/>
  <c r="D54" i="69"/>
  <c r="A56" i="69"/>
  <c r="D54" i="58"/>
  <c r="A56" i="58"/>
  <c r="AZ22" i="52"/>
  <c r="AZ18" i="52"/>
  <c r="AZ51" i="52"/>
  <c r="AZ49" i="52"/>
  <c r="AZ19" i="52"/>
  <c r="AZ48" i="52"/>
  <c r="AZ21" i="52"/>
  <c r="AZ50" i="52"/>
  <c r="AZ17" i="52"/>
  <c r="AZ47" i="52"/>
  <c r="AZ20" i="52"/>
  <c r="AZ46" i="52"/>
  <c r="AZ24" i="52"/>
  <c r="AZ25" i="52"/>
  <c r="AZ23" i="52"/>
  <c r="AZ53" i="52"/>
  <c r="AZ52" i="52"/>
  <c r="AZ54" i="52"/>
  <c r="AZ57" i="52"/>
  <c r="AZ55" i="52"/>
  <c r="AZ26" i="52"/>
  <c r="AZ28" i="52"/>
  <c r="AZ56" i="52"/>
  <c r="AZ27" i="52"/>
  <c r="AZ31" i="52"/>
  <c r="AZ59" i="52"/>
  <c r="AZ60" i="52"/>
  <c r="AZ58" i="52"/>
  <c r="AZ30" i="52"/>
  <c r="AZ29" i="52"/>
  <c r="AZ88" i="40"/>
  <c r="AZ89" i="40"/>
  <c r="AZ87" i="40"/>
  <c r="AZ86" i="40"/>
  <c r="BX93" i="40"/>
  <c r="A16" i="39"/>
  <c r="BX10" i="52"/>
  <c r="D54" i="62"/>
  <c r="A56" i="62"/>
  <c r="AI30" i="71"/>
  <c r="AI30" i="68"/>
  <c r="AI30" i="67"/>
  <c r="AI30" i="58"/>
  <c r="JL92" i="40"/>
  <c r="JM92" i="40"/>
  <c r="AI30" i="69"/>
  <c r="AI30" i="62"/>
  <c r="AI30" i="66"/>
  <c r="D56" i="71"/>
  <c r="A58" i="71"/>
  <c r="C16" i="70"/>
  <c r="AX16" i="70"/>
  <c r="D54" i="67"/>
  <c r="A56" i="67"/>
  <c r="A56" i="68"/>
  <c r="D54" i="68"/>
  <c r="D52" i="66"/>
  <c r="A54" i="66"/>
  <c r="D56" i="69"/>
  <c r="A58" i="69"/>
  <c r="D56" i="58"/>
  <c r="A58" i="58"/>
  <c r="BX46" i="52"/>
  <c r="BX48" i="52"/>
  <c r="BX51" i="52"/>
  <c r="BX49" i="52"/>
  <c r="BX50" i="52"/>
  <c r="BX47" i="52"/>
  <c r="BX54" i="52"/>
  <c r="BX52" i="52"/>
  <c r="BX53" i="52"/>
  <c r="BX57" i="52"/>
  <c r="BX55" i="52"/>
  <c r="BX56" i="52"/>
  <c r="BX59" i="52"/>
  <c r="BX58" i="52"/>
  <c r="BX60" i="52"/>
  <c r="BX88" i="40"/>
  <c r="BX89" i="40"/>
  <c r="BX87" i="40"/>
  <c r="BX86" i="40"/>
  <c r="DM10" i="52"/>
  <c r="DM93" i="40"/>
  <c r="A17" i="39"/>
  <c r="D58" i="71"/>
  <c r="A60" i="71"/>
  <c r="AE30" i="68"/>
  <c r="AE30" i="62"/>
  <c r="AE30" i="71"/>
  <c r="AE30" i="69"/>
  <c r="AE30" i="67"/>
  <c r="AE30" i="66"/>
  <c r="JN92" i="40"/>
  <c r="JO92" i="40"/>
  <c r="JP92" i="40"/>
  <c r="JQ92" i="40"/>
  <c r="JR92" i="40"/>
  <c r="JS92" i="40"/>
  <c r="AE30" i="58"/>
  <c r="D56" i="62"/>
  <c r="A58" i="62"/>
  <c r="A58" i="68"/>
  <c r="D56" i="68"/>
  <c r="A56" i="66"/>
  <c r="D54" i="66"/>
  <c r="D56" i="67"/>
  <c r="A58" i="67"/>
  <c r="A60" i="69"/>
  <c r="D58" i="69"/>
  <c r="D58" i="58"/>
  <c r="A60" i="58"/>
  <c r="DM46" i="52"/>
  <c r="DM48" i="52"/>
  <c r="DM19" i="52"/>
  <c r="DM47" i="52"/>
  <c r="DM18" i="52"/>
  <c r="DM17" i="52"/>
  <c r="DM50" i="52"/>
  <c r="DM49" i="52"/>
  <c r="DM20" i="52"/>
  <c r="DM51" i="52"/>
  <c r="DM22" i="52"/>
  <c r="DM21" i="52"/>
  <c r="DM52" i="52"/>
  <c r="DM25" i="52"/>
  <c r="DM24" i="52"/>
  <c r="DM23" i="52"/>
  <c r="DM54" i="52"/>
  <c r="DM53" i="52"/>
  <c r="DM55" i="52"/>
  <c r="DM26" i="52"/>
  <c r="DM27" i="52"/>
  <c r="DM57" i="52"/>
  <c r="DM28" i="52"/>
  <c r="DM56" i="52"/>
  <c r="DM31" i="52"/>
  <c r="DM30" i="52"/>
  <c r="DM58" i="52"/>
  <c r="DM59" i="52"/>
  <c r="DM29" i="52"/>
  <c r="DM60" i="52"/>
  <c r="A18" i="39"/>
  <c r="JO93" i="40"/>
  <c r="DM86" i="40"/>
  <c r="DM87" i="40"/>
  <c r="DM89" i="40"/>
  <c r="DM88" i="40"/>
  <c r="A60" i="62"/>
  <c r="D58" i="62"/>
  <c r="D60" i="71"/>
  <c r="A62" i="71"/>
  <c r="AD30" i="68"/>
  <c r="AD30" i="71"/>
  <c r="AD30" i="58"/>
  <c r="JT92" i="40"/>
  <c r="JU92" i="40"/>
  <c r="AD30" i="66"/>
  <c r="AD30" i="62"/>
  <c r="AD30" i="67"/>
  <c r="AD30" i="69"/>
  <c r="D56" i="66"/>
  <c r="A58" i="66"/>
  <c r="A60" i="67"/>
  <c r="D58" i="67"/>
  <c r="D58" i="68"/>
  <c r="A60" i="68"/>
  <c r="A62" i="69"/>
  <c r="D60" i="69"/>
  <c r="A62" i="58"/>
  <c r="D60" i="58"/>
  <c r="A19" i="39"/>
  <c r="A20" i="39"/>
  <c r="JU93" i="40"/>
  <c r="AF30" i="68"/>
  <c r="AF30" i="69"/>
  <c r="AF30" i="67"/>
  <c r="AF30" i="71"/>
  <c r="JV92" i="40"/>
  <c r="JW92" i="40"/>
  <c r="JX92" i="40"/>
  <c r="JY92" i="40"/>
  <c r="JZ92" i="40"/>
  <c r="KA92" i="40"/>
  <c r="KB92" i="40"/>
  <c r="KC92" i="40"/>
  <c r="KD92" i="40"/>
  <c r="KE92" i="40"/>
  <c r="KF92" i="40"/>
  <c r="KG92" i="40"/>
  <c r="KH92" i="40"/>
  <c r="KI92" i="40"/>
  <c r="KJ92" i="40"/>
  <c r="KK92" i="40"/>
  <c r="KL92" i="40"/>
  <c r="KM92" i="40"/>
  <c r="KN92" i="40"/>
  <c r="KO92" i="40"/>
  <c r="KQ92" i="40"/>
  <c r="KP92" i="40"/>
  <c r="KR92" i="40"/>
  <c r="KS92" i="40"/>
  <c r="KT92" i="40"/>
  <c r="KU92" i="40"/>
  <c r="KV92" i="40"/>
  <c r="AF30" i="66"/>
  <c r="AF30" i="62"/>
  <c r="AF30" i="58"/>
  <c r="A64" i="71"/>
  <c r="D62" i="71"/>
  <c r="A62" i="62"/>
  <c r="D60" i="62"/>
  <c r="D60" i="68"/>
  <c r="A62" i="68"/>
  <c r="A60" i="66"/>
  <c r="D58" i="66"/>
  <c r="A62" i="67"/>
  <c r="D60" i="67"/>
  <c r="D62" i="69"/>
  <c r="A64" i="69"/>
  <c r="D62" i="58"/>
  <c r="A64" i="58"/>
  <c r="Q9" i="59"/>
  <c r="Q11" i="59"/>
  <c r="A21" i="39"/>
  <c r="Q10" i="59"/>
  <c r="JP93" i="40"/>
  <c r="D64" i="71"/>
  <c r="A66" i="71"/>
  <c r="IX201" i="40"/>
  <c r="D62" i="62"/>
  <c r="A64" i="62"/>
  <c r="D60" i="66"/>
  <c r="A62" i="66"/>
  <c r="A64" i="68"/>
  <c r="D62" i="68"/>
  <c r="D62" i="67"/>
  <c r="A64" i="67"/>
  <c r="D64" i="69"/>
  <c r="A66" i="69"/>
  <c r="D64" i="58"/>
  <c r="A66" i="58"/>
  <c r="IX93" i="40"/>
  <c r="A22" i="39"/>
  <c r="D66" i="71"/>
  <c r="A68" i="71"/>
  <c r="D64" i="62"/>
  <c r="A66" i="62"/>
  <c r="D64" i="67"/>
  <c r="A66" i="67"/>
  <c r="D62" i="66"/>
  <c r="A64" i="66"/>
  <c r="A66" i="68"/>
  <c r="D64" i="68"/>
  <c r="A68" i="69"/>
  <c r="D66" i="69"/>
  <c r="D66" i="58"/>
  <c r="A68" i="58"/>
  <c r="A24" i="39"/>
  <c r="IY93" i="40"/>
  <c r="D66" i="62"/>
  <c r="A68" i="62"/>
  <c r="D68" i="71"/>
  <c r="A70" i="71"/>
  <c r="D70" i="71"/>
  <c r="D64" i="66"/>
  <c r="A66" i="66"/>
  <c r="A68" i="67"/>
  <c r="D66" i="67"/>
  <c r="D66" i="68"/>
  <c r="A68" i="68"/>
  <c r="D68" i="69"/>
  <c r="A70" i="69"/>
  <c r="D70" i="69"/>
  <c r="A70" i="58"/>
  <c r="D70" i="58"/>
  <c r="D68" i="58"/>
  <c r="IX94" i="40"/>
  <c r="A25" i="39"/>
  <c r="A26" i="39"/>
  <c r="IY94" i="40"/>
  <c r="IZ94" i="40"/>
  <c r="IZ93" i="40"/>
  <c r="D68" i="62"/>
  <c r="A70" i="62"/>
  <c r="D70" i="62"/>
  <c r="A70" i="67"/>
  <c r="D70" i="67"/>
  <c r="D68" i="67"/>
  <c r="D68" i="68"/>
  <c r="A70" i="68"/>
  <c r="D70" i="68"/>
  <c r="A68" i="66"/>
  <c r="D66" i="66"/>
  <c r="HY93" i="40"/>
  <c r="HJ10" i="52"/>
  <c r="A27" i="39"/>
  <c r="A70" i="66"/>
  <c r="D70" i="66"/>
  <c r="D68" i="66"/>
  <c r="A28" i="39"/>
  <c r="HJ17" i="52"/>
  <c r="HK10" i="52"/>
  <c r="HJ46" i="52"/>
  <c r="HJ50" i="52"/>
  <c r="HJ51" i="52"/>
  <c r="HJ20" i="52"/>
  <c r="HJ22" i="52"/>
  <c r="HJ49" i="52"/>
  <c r="HJ21" i="52"/>
  <c r="HJ25" i="52"/>
  <c r="HJ23" i="52"/>
  <c r="HJ55" i="52"/>
  <c r="HJ27" i="52"/>
  <c r="HJ26" i="52"/>
  <c r="HJ28" i="52"/>
  <c r="HJ57" i="52"/>
  <c r="HJ56" i="52"/>
  <c r="HJ31" i="52"/>
  <c r="HZ93" i="40"/>
  <c r="HK50" i="52"/>
  <c r="HK18" i="52"/>
  <c r="HL10" i="52"/>
  <c r="HK48" i="52"/>
  <c r="HK17" i="52"/>
  <c r="HK47" i="52"/>
  <c r="HK19" i="52"/>
  <c r="HK24" i="52"/>
  <c r="HK54" i="52"/>
  <c r="HK53" i="52"/>
  <c r="HK23" i="52"/>
  <c r="HK25" i="52"/>
  <c r="HK52" i="52"/>
  <c r="HK26" i="52"/>
  <c r="HK31" i="52"/>
  <c r="HK59" i="52"/>
  <c r="HK58" i="52"/>
  <c r="HK30" i="52"/>
  <c r="HK60" i="52"/>
  <c r="HK29" i="52"/>
  <c r="HK46" i="52"/>
  <c r="IA93" i="40"/>
  <c r="A29" i="39"/>
  <c r="A30" i="39"/>
  <c r="A31" i="39"/>
  <c r="JG93" i="40"/>
  <c r="HL47" i="52"/>
  <c r="HL18" i="52"/>
  <c r="HL22" i="52"/>
  <c r="HL21" i="52"/>
  <c r="HL48" i="52"/>
  <c r="HL51" i="52"/>
  <c r="HL50" i="52"/>
  <c r="HL19" i="52"/>
  <c r="HL25" i="52"/>
  <c r="HL56" i="52"/>
  <c r="HL31" i="52"/>
  <c r="BC10" i="52"/>
  <c r="A32" i="39"/>
  <c r="A33" i="39"/>
  <c r="BC93" i="40"/>
  <c r="A34" i="39"/>
  <c r="CJ10" i="52"/>
  <c r="CJ93" i="40"/>
  <c r="BC19" i="52"/>
  <c r="BC27" i="52"/>
  <c r="BC55" i="52"/>
  <c r="BC22" i="52"/>
  <c r="BC52" i="52"/>
  <c r="BC54" i="52"/>
  <c r="BC59" i="52"/>
  <c r="BC46" i="52"/>
  <c r="BC48" i="52"/>
  <c r="BC56" i="52"/>
  <c r="BC20" i="52"/>
  <c r="BC53" i="52"/>
  <c r="BC23" i="52"/>
  <c r="BC31" i="52"/>
  <c r="BC17" i="52"/>
  <c r="BC57" i="52"/>
  <c r="BC26" i="52"/>
  <c r="BC49" i="52"/>
  <c r="BC50" i="52"/>
  <c r="BC24" i="52"/>
  <c r="BC30" i="52"/>
  <c r="BC60" i="52"/>
  <c r="BC18" i="52"/>
  <c r="BC29" i="52"/>
  <c r="BC21" i="52"/>
  <c r="BC47" i="52"/>
  <c r="BC51" i="52"/>
  <c r="BC58" i="52"/>
  <c r="BC28" i="52"/>
  <c r="BC25" i="52"/>
  <c r="BC87" i="40"/>
  <c r="BC89" i="40"/>
  <c r="BC86" i="40"/>
  <c r="BC88" i="40"/>
  <c r="CJ17" i="52"/>
  <c r="CJ86" i="40"/>
  <c r="CJ87" i="40"/>
  <c r="CJ88" i="40"/>
  <c r="CJ89" i="40"/>
  <c r="A35" i="39"/>
  <c r="A36" i="39"/>
  <c r="A37" i="39"/>
  <c r="A38" i="39"/>
  <c r="A39" i="39"/>
  <c r="A40" i="39"/>
  <c r="BD10" i="52"/>
  <c r="BD93" i="40"/>
  <c r="A41" i="39"/>
  <c r="A42" i="39"/>
  <c r="A43" i="39"/>
  <c r="A44" i="39"/>
  <c r="A45" i="39"/>
  <c r="A46" i="39"/>
  <c r="BI10" i="52"/>
  <c r="BI93" i="40"/>
  <c r="BD57" i="52"/>
  <c r="BD19" i="52"/>
  <c r="BD56" i="52"/>
  <c r="BD30" i="52"/>
  <c r="BD52" i="52"/>
  <c r="BD58" i="52"/>
  <c r="BD18" i="52"/>
  <c r="BD20" i="52"/>
  <c r="BD59" i="52"/>
  <c r="BD47" i="52"/>
  <c r="BD50" i="52"/>
  <c r="BD25" i="52"/>
  <c r="BD54" i="52"/>
  <c r="BD26" i="52"/>
  <c r="BD46" i="52"/>
  <c r="BD21" i="52"/>
  <c r="BE10" i="52"/>
  <c r="BD24" i="52"/>
  <c r="BD29" i="52"/>
  <c r="BD48" i="52"/>
  <c r="BD17" i="52"/>
  <c r="BD60" i="52"/>
  <c r="BD28" i="52"/>
  <c r="BD49" i="52"/>
  <c r="BD23" i="52"/>
  <c r="BD22" i="52"/>
  <c r="BD51" i="52"/>
  <c r="BD31" i="52"/>
  <c r="BD55" i="52"/>
  <c r="BD53" i="52"/>
  <c r="BD27" i="52"/>
  <c r="BD86" i="40"/>
  <c r="BD87" i="40"/>
  <c r="BD88" i="40"/>
  <c r="BD89" i="40"/>
  <c r="BE93" i="40"/>
  <c r="BE89" i="40"/>
  <c r="BE88" i="40"/>
  <c r="BE87" i="40"/>
  <c r="BE86" i="40"/>
  <c r="BF93" i="40"/>
  <c r="BJ93" i="40"/>
  <c r="BI88" i="40"/>
  <c r="BI89" i="40"/>
  <c r="BI87" i="40"/>
  <c r="BI86" i="40"/>
  <c r="BE29" i="52"/>
  <c r="BE18" i="52"/>
  <c r="BE50" i="52"/>
  <c r="BE31" i="52"/>
  <c r="BE28" i="52"/>
  <c r="BE20" i="52"/>
  <c r="BE48" i="52"/>
  <c r="BE26" i="52"/>
  <c r="BE57" i="52"/>
  <c r="BE19" i="52"/>
  <c r="BE55" i="52"/>
  <c r="BE24" i="52"/>
  <c r="BE46" i="52"/>
  <c r="BE58" i="52"/>
  <c r="BE59" i="52"/>
  <c r="BE49" i="52"/>
  <c r="BE53" i="52"/>
  <c r="BE60" i="52"/>
  <c r="BE30" i="52"/>
  <c r="BE17" i="52"/>
  <c r="BE52" i="52"/>
  <c r="BF10" i="52"/>
  <c r="BE27" i="52"/>
  <c r="BE51" i="52"/>
  <c r="BE22" i="52"/>
  <c r="BE21" i="52"/>
  <c r="BE47" i="52"/>
  <c r="BE23" i="52"/>
  <c r="BE25" i="52"/>
  <c r="BE56" i="52"/>
  <c r="BE54" i="52"/>
  <c r="BI55" i="52"/>
  <c r="BI58" i="52"/>
  <c r="BI29" i="52"/>
  <c r="BI59" i="52"/>
  <c r="BI31" i="52"/>
  <c r="BI17" i="52"/>
  <c r="BI53" i="52"/>
  <c r="BI50" i="52"/>
  <c r="BI51" i="52"/>
  <c r="BI21" i="52"/>
  <c r="BI60" i="52"/>
  <c r="BJ10" i="52"/>
  <c r="BI22" i="52"/>
  <c r="BI57" i="52"/>
  <c r="BI27" i="52"/>
  <c r="BI56" i="52"/>
  <c r="BI49" i="52"/>
  <c r="BI26" i="52"/>
  <c r="BI25" i="52"/>
  <c r="BI47" i="52"/>
  <c r="BI23" i="52"/>
  <c r="BI48" i="52"/>
  <c r="BI54" i="52"/>
  <c r="BI24" i="52"/>
  <c r="BI52" i="52"/>
  <c r="BI20" i="52"/>
  <c r="BI46" i="52"/>
  <c r="BI30" i="52"/>
  <c r="BI28" i="52"/>
  <c r="BI18" i="52"/>
  <c r="BI19" i="52"/>
  <c r="A47" i="39"/>
  <c r="A48" i="39"/>
  <c r="A49" i="39"/>
  <c r="A50" i="39"/>
  <c r="A51" i="39"/>
  <c r="A52" i="39"/>
  <c r="BN10" i="52"/>
  <c r="BN93" i="40"/>
  <c r="BJ49" i="52"/>
  <c r="BJ59" i="52"/>
  <c r="BJ53" i="52"/>
  <c r="BJ46" i="52"/>
  <c r="BJ27" i="52"/>
  <c r="BJ22" i="52"/>
  <c r="BJ56" i="52"/>
  <c r="BJ51" i="52"/>
  <c r="BJ17" i="52"/>
  <c r="BJ50" i="52"/>
  <c r="BJ47" i="52"/>
  <c r="BJ29" i="52"/>
  <c r="BJ24" i="52"/>
  <c r="BJ23" i="52"/>
  <c r="BJ25" i="52"/>
  <c r="BJ19" i="52"/>
  <c r="BJ30" i="52"/>
  <c r="BJ60" i="52"/>
  <c r="BJ26" i="52"/>
  <c r="BJ54" i="52"/>
  <c r="BJ57" i="52"/>
  <c r="BK10" i="52"/>
  <c r="BJ18" i="52"/>
  <c r="BJ20" i="52"/>
  <c r="BJ31" i="52"/>
  <c r="BJ28" i="52"/>
  <c r="BJ21" i="52"/>
  <c r="BJ55" i="52"/>
  <c r="BJ58" i="52"/>
  <c r="BJ52" i="52"/>
  <c r="BJ48" i="52"/>
  <c r="BF17" i="52"/>
  <c r="BF20" i="52"/>
  <c r="BF58" i="52"/>
  <c r="BF26" i="52"/>
  <c r="BF46" i="52"/>
  <c r="BF53" i="52"/>
  <c r="BF50" i="52"/>
  <c r="BF31" i="52"/>
  <c r="BF28" i="52"/>
  <c r="BF24" i="52"/>
  <c r="BF19" i="52"/>
  <c r="BF22" i="52"/>
  <c r="BF18" i="52"/>
  <c r="BF60" i="52"/>
  <c r="BF51" i="52"/>
  <c r="BF59" i="52"/>
  <c r="BG10" i="52"/>
  <c r="BF49" i="52"/>
  <c r="BF29" i="52"/>
  <c r="BF56" i="52"/>
  <c r="BF30" i="52"/>
  <c r="BF21" i="52"/>
  <c r="BF55" i="52"/>
  <c r="BF23" i="52"/>
  <c r="BF57" i="52"/>
  <c r="BF27" i="52"/>
  <c r="BF54" i="52"/>
  <c r="BF52" i="52"/>
  <c r="BF47" i="52"/>
  <c r="BF48" i="52"/>
  <c r="BF25" i="52"/>
  <c r="BS93" i="40"/>
  <c r="BS10" i="52"/>
  <c r="A53" i="39"/>
  <c r="A54" i="39"/>
  <c r="A55" i="39"/>
  <c r="A56" i="39"/>
  <c r="A57" i="39"/>
  <c r="A58" i="39"/>
  <c r="BN87" i="40"/>
  <c r="BN88" i="40"/>
  <c r="BN86" i="40"/>
  <c r="BN89" i="40"/>
  <c r="BO93" i="40"/>
  <c r="BK93" i="40"/>
  <c r="BJ86" i="40"/>
  <c r="BJ87" i="40"/>
  <c r="BJ88" i="40"/>
  <c r="BJ89" i="40"/>
  <c r="BN47" i="52"/>
  <c r="BN48" i="52"/>
  <c r="BN51" i="52"/>
  <c r="BN57" i="52"/>
  <c r="BO10" i="52"/>
  <c r="BN19" i="52"/>
  <c r="BN53" i="52"/>
  <c r="BN49" i="52"/>
  <c r="BN21" i="52"/>
  <c r="BN31" i="52"/>
  <c r="BN50" i="52"/>
  <c r="BN23" i="52"/>
  <c r="BN26" i="52"/>
  <c r="BN58" i="52"/>
  <c r="BN28" i="52"/>
  <c r="BN30" i="52"/>
  <c r="BN24" i="52"/>
  <c r="BN60" i="52"/>
  <c r="BN52" i="52"/>
  <c r="BN29" i="52"/>
  <c r="BN20" i="52"/>
  <c r="BN46" i="52"/>
  <c r="BN17" i="52"/>
  <c r="BN25" i="52"/>
  <c r="BN22" i="52"/>
  <c r="BN59" i="52"/>
  <c r="BN56" i="52"/>
  <c r="BN18" i="52"/>
  <c r="BN55" i="52"/>
  <c r="BN27" i="52"/>
  <c r="BN54" i="52"/>
  <c r="BG93" i="40"/>
  <c r="BF88" i="40"/>
  <c r="BF89" i="40"/>
  <c r="BF86" i="40"/>
  <c r="BF87" i="40"/>
  <c r="BS20" i="52"/>
  <c r="BS47" i="52"/>
  <c r="BS51" i="52"/>
  <c r="BS58" i="52"/>
  <c r="BS49" i="52"/>
  <c r="BS57" i="52"/>
  <c r="BS29" i="52"/>
  <c r="BS25" i="52"/>
  <c r="BS18" i="52"/>
  <c r="BS22" i="52"/>
  <c r="BS53" i="52"/>
  <c r="BS27" i="52"/>
  <c r="BS31" i="52"/>
  <c r="BS26" i="52"/>
  <c r="BT10" i="52"/>
  <c r="BS19" i="52"/>
  <c r="BS59" i="52"/>
  <c r="BS60" i="52"/>
  <c r="BS48" i="52"/>
  <c r="BS55" i="52"/>
  <c r="BS30" i="52"/>
  <c r="BS23" i="52"/>
  <c r="BS46" i="52"/>
  <c r="BS24" i="52"/>
  <c r="BS21" i="52"/>
  <c r="BS50" i="52"/>
  <c r="BS56" i="52"/>
  <c r="BS28" i="52"/>
  <c r="BS54" i="52"/>
  <c r="BS17" i="52"/>
  <c r="BS52" i="52"/>
  <c r="BG28" i="52"/>
  <c r="BG60" i="52"/>
  <c r="BG24" i="52"/>
  <c r="BG29" i="52"/>
  <c r="BG51" i="52"/>
  <c r="BG18" i="52"/>
  <c r="BG49" i="52"/>
  <c r="BG25" i="52"/>
  <c r="BG17" i="52"/>
  <c r="BG57" i="52"/>
  <c r="BG22" i="52"/>
  <c r="BG53" i="52"/>
  <c r="BG56" i="52"/>
  <c r="BG48" i="52"/>
  <c r="BG59" i="52"/>
  <c r="BG54" i="52"/>
  <c r="BG31" i="52"/>
  <c r="BG47" i="52"/>
  <c r="BG52" i="52"/>
  <c r="BG50" i="52"/>
  <c r="BG46" i="52"/>
  <c r="BG58" i="52"/>
  <c r="BG27" i="52"/>
  <c r="BG20" i="52"/>
  <c r="BH10" i="52"/>
  <c r="BG21" i="52"/>
  <c r="BG23" i="52"/>
  <c r="BG19" i="52"/>
  <c r="BG55" i="52"/>
  <c r="BG30" i="52"/>
  <c r="BG26" i="52"/>
  <c r="BT93" i="40"/>
  <c r="BS86" i="40"/>
  <c r="BS87" i="40"/>
  <c r="BS88" i="40"/>
  <c r="BS89" i="40"/>
  <c r="BH93" i="40"/>
  <c r="BG88" i="40"/>
  <c r="BG87" i="40"/>
  <c r="BG86" i="40"/>
  <c r="BG89" i="40"/>
  <c r="BO23" i="52"/>
  <c r="BO31" i="52"/>
  <c r="BO21" i="52"/>
  <c r="BO57" i="52"/>
  <c r="BO48" i="52"/>
  <c r="BO51" i="52"/>
  <c r="BO25" i="52"/>
  <c r="BO26" i="52"/>
  <c r="BO29" i="52"/>
  <c r="BO56" i="52"/>
  <c r="BO52" i="52"/>
  <c r="BO54" i="52"/>
  <c r="BO17" i="52"/>
  <c r="BO18" i="52"/>
  <c r="BO53" i="52"/>
  <c r="BO27" i="52"/>
  <c r="BO20" i="52"/>
  <c r="BO30" i="52"/>
  <c r="BO28" i="52"/>
  <c r="BO55" i="52"/>
  <c r="BO22" i="52"/>
  <c r="BO50" i="52"/>
  <c r="BO59" i="52"/>
  <c r="BO60" i="52"/>
  <c r="BO47" i="52"/>
  <c r="BO24" i="52"/>
  <c r="BO46" i="52"/>
  <c r="BP10" i="52"/>
  <c r="BO49" i="52"/>
  <c r="BO58" i="52"/>
  <c r="BO19" i="52"/>
  <c r="BK19" i="52"/>
  <c r="BK21" i="52"/>
  <c r="BK22" i="52"/>
  <c r="BK24" i="52"/>
  <c r="BK23" i="52"/>
  <c r="BK59" i="52"/>
  <c r="BK27" i="52"/>
  <c r="BK46" i="52"/>
  <c r="BK49" i="52"/>
  <c r="BK54" i="52"/>
  <c r="BK31" i="52"/>
  <c r="BK28" i="52"/>
  <c r="BK17" i="52"/>
  <c r="BK52" i="52"/>
  <c r="BK50" i="52"/>
  <c r="BK26" i="52"/>
  <c r="BK48" i="52"/>
  <c r="BK55" i="52"/>
  <c r="BK18" i="52"/>
  <c r="BK53" i="52"/>
  <c r="BL10" i="52"/>
  <c r="BK30" i="52"/>
  <c r="BK56" i="52"/>
  <c r="BK47" i="52"/>
  <c r="BK29" i="52"/>
  <c r="BK25" i="52"/>
  <c r="BK20" i="52"/>
  <c r="BK58" i="52"/>
  <c r="BK60" i="52"/>
  <c r="BK51" i="52"/>
  <c r="BK57" i="52"/>
  <c r="BK87" i="40"/>
  <c r="BK89" i="40"/>
  <c r="BK86" i="40"/>
  <c r="BL93" i="40"/>
  <c r="BK88" i="40"/>
  <c r="BP93" i="40"/>
  <c r="BO86" i="40"/>
  <c r="BO89" i="40"/>
  <c r="BO88" i="40"/>
  <c r="BO87" i="40"/>
  <c r="A59" i="39"/>
  <c r="A60" i="39"/>
  <c r="A61" i="39"/>
  <c r="A62" i="39"/>
  <c r="A63" i="39"/>
  <c r="A64" i="39"/>
  <c r="BY93" i="40"/>
  <c r="BY10" i="52"/>
  <c r="BP87" i="40"/>
  <c r="BP89" i="40"/>
  <c r="BQ93" i="40"/>
  <c r="BP86" i="40"/>
  <c r="BP88" i="40"/>
  <c r="BU93" i="40"/>
  <c r="BT86" i="40"/>
  <c r="BT89" i="40"/>
  <c r="BT88" i="40"/>
  <c r="BT87" i="40"/>
  <c r="BH22" i="52"/>
  <c r="BH53" i="52"/>
  <c r="BH58" i="52"/>
  <c r="BH47" i="52"/>
  <c r="BH55" i="52"/>
  <c r="BH31" i="52"/>
  <c r="BH27" i="52"/>
  <c r="BH54" i="52"/>
  <c r="BH29" i="52"/>
  <c r="BH17" i="52"/>
  <c r="BH51" i="52"/>
  <c r="BH24" i="52"/>
  <c r="BH28" i="52"/>
  <c r="BH19" i="52"/>
  <c r="BH18" i="52"/>
  <c r="BH59" i="52"/>
  <c r="BH52" i="52"/>
  <c r="BH30" i="52"/>
  <c r="BH48" i="52"/>
  <c r="BH49" i="52"/>
  <c r="BH21" i="52"/>
  <c r="BH57" i="52"/>
  <c r="BH25" i="52"/>
  <c r="BH50" i="52"/>
  <c r="BH26" i="52"/>
  <c r="BH23" i="52"/>
  <c r="BH60" i="52"/>
  <c r="BH20" i="52"/>
  <c r="BH46" i="52"/>
  <c r="BH56" i="52"/>
  <c r="BY55" i="52"/>
  <c r="BY31" i="52"/>
  <c r="BY21" i="52"/>
  <c r="BY22" i="52"/>
  <c r="BY47" i="52"/>
  <c r="BY25" i="52"/>
  <c r="BZ10" i="52"/>
  <c r="BY56" i="52"/>
  <c r="BY52" i="52"/>
  <c r="BY60" i="52"/>
  <c r="BY49" i="52"/>
  <c r="BY26" i="52"/>
  <c r="BY48" i="52"/>
  <c r="BY53" i="52"/>
  <c r="BY28" i="52"/>
  <c r="BY54" i="52"/>
  <c r="BY23" i="52"/>
  <c r="BY19" i="52"/>
  <c r="BY27" i="52"/>
  <c r="BY17" i="52"/>
  <c r="BY57" i="52"/>
  <c r="BY30" i="52"/>
  <c r="BY51" i="52"/>
  <c r="BY58" i="52"/>
  <c r="BY50" i="52"/>
  <c r="BY59" i="52"/>
  <c r="BY24" i="52"/>
  <c r="BY18" i="52"/>
  <c r="BY20" i="52"/>
  <c r="BY46" i="52"/>
  <c r="BY29" i="52"/>
  <c r="BL89" i="40"/>
  <c r="BL88" i="40"/>
  <c r="BM93" i="40"/>
  <c r="BL87" i="40"/>
  <c r="BL86" i="40"/>
  <c r="BT59" i="52"/>
  <c r="BT29" i="52"/>
  <c r="BT20" i="52"/>
  <c r="BT27" i="52"/>
  <c r="BT46" i="52"/>
  <c r="BT47" i="52"/>
  <c r="BT55" i="52"/>
  <c r="BT48" i="52"/>
  <c r="BT19" i="52"/>
  <c r="BT26" i="52"/>
  <c r="BT30" i="52"/>
  <c r="BT23" i="52"/>
  <c r="BT21" i="52"/>
  <c r="BT17" i="52"/>
  <c r="BT57" i="52"/>
  <c r="BT25" i="52"/>
  <c r="BT60" i="52"/>
  <c r="BU10" i="52"/>
  <c r="BT22" i="52"/>
  <c r="BT31" i="52"/>
  <c r="BT53" i="52"/>
  <c r="BT52" i="52"/>
  <c r="BT24" i="52"/>
  <c r="BT51" i="52"/>
  <c r="BT18" i="52"/>
  <c r="BT56" i="52"/>
  <c r="BT50" i="52"/>
  <c r="BT54" i="52"/>
  <c r="BT49" i="52"/>
  <c r="BT28" i="52"/>
  <c r="BT58" i="52"/>
  <c r="BY89" i="40"/>
  <c r="BY86" i="40"/>
  <c r="BZ93" i="40"/>
  <c r="BY88" i="40"/>
  <c r="BY87" i="40"/>
  <c r="BL52" i="52"/>
  <c r="BL24" i="52"/>
  <c r="BL53" i="52"/>
  <c r="BL50" i="52"/>
  <c r="BL17" i="52"/>
  <c r="BL27" i="52"/>
  <c r="BL56" i="52"/>
  <c r="BL29" i="52"/>
  <c r="BL23" i="52"/>
  <c r="BL21" i="52"/>
  <c r="BM10" i="52"/>
  <c r="BL51" i="52"/>
  <c r="BL26" i="52"/>
  <c r="BL57" i="52"/>
  <c r="BL48" i="52"/>
  <c r="BL59" i="52"/>
  <c r="BL20" i="52"/>
  <c r="BL18" i="52"/>
  <c r="BL19" i="52"/>
  <c r="BL47" i="52"/>
  <c r="BL22" i="52"/>
  <c r="BL58" i="52"/>
  <c r="BL60" i="52"/>
  <c r="BL30" i="52"/>
  <c r="BL46" i="52"/>
  <c r="BL25" i="52"/>
  <c r="BL49" i="52"/>
  <c r="BL31" i="52"/>
  <c r="BL55" i="52"/>
  <c r="BL54" i="52"/>
  <c r="BL28" i="52"/>
  <c r="BP17" i="52"/>
  <c r="BP22" i="52"/>
  <c r="BP26" i="52"/>
  <c r="BP25" i="52"/>
  <c r="BP29" i="52"/>
  <c r="BP23" i="52"/>
  <c r="BP55" i="52"/>
  <c r="BP19" i="52"/>
  <c r="BP28" i="52"/>
  <c r="BP52" i="52"/>
  <c r="BP59" i="52"/>
  <c r="BP60" i="52"/>
  <c r="BP21" i="52"/>
  <c r="BP20" i="52"/>
  <c r="BP31" i="52"/>
  <c r="BP47" i="52"/>
  <c r="BP49" i="52"/>
  <c r="BP57" i="52"/>
  <c r="BP58" i="52"/>
  <c r="BP54" i="52"/>
  <c r="BP50" i="52"/>
  <c r="BP30" i="52"/>
  <c r="BP51" i="52"/>
  <c r="BP18" i="52"/>
  <c r="BP53" i="52"/>
  <c r="BP27" i="52"/>
  <c r="BP56" i="52"/>
  <c r="BP48" i="52"/>
  <c r="BQ10" i="52"/>
  <c r="BP46" i="52"/>
  <c r="BP24" i="52"/>
  <c r="CD10" i="52"/>
  <c r="CD93" i="40"/>
  <c r="A65" i="39"/>
  <c r="A66" i="39"/>
  <c r="A67" i="39"/>
  <c r="A68" i="39"/>
  <c r="A69" i="39"/>
  <c r="A70" i="39"/>
  <c r="BH88" i="40"/>
  <c r="BH86" i="40"/>
  <c r="BH89" i="40"/>
  <c r="BH87" i="40"/>
  <c r="CE93" i="40"/>
  <c r="CD88" i="40"/>
  <c r="CD89" i="40"/>
  <c r="CD87" i="40"/>
  <c r="CD86" i="40"/>
  <c r="BQ21" i="52"/>
  <c r="BQ18" i="52"/>
  <c r="BQ30" i="52"/>
  <c r="BQ19" i="52"/>
  <c r="BQ50" i="52"/>
  <c r="BQ60" i="52"/>
  <c r="BQ46" i="52"/>
  <c r="BQ58" i="52"/>
  <c r="BQ47" i="52"/>
  <c r="BQ28" i="52"/>
  <c r="BQ20" i="52"/>
  <c r="BQ52" i="52"/>
  <c r="BQ59" i="52"/>
  <c r="BQ24" i="52"/>
  <c r="BQ31" i="52"/>
  <c r="BQ23" i="52"/>
  <c r="BQ17" i="52"/>
  <c r="BQ22" i="52"/>
  <c r="BQ25" i="52"/>
  <c r="BQ53" i="52"/>
  <c r="BR10" i="52"/>
  <c r="BQ49" i="52"/>
  <c r="BQ26" i="52"/>
  <c r="BQ27" i="52"/>
  <c r="BQ55" i="52"/>
  <c r="BQ54" i="52"/>
  <c r="BQ48" i="52"/>
  <c r="BQ56" i="52"/>
  <c r="BQ29" i="52"/>
  <c r="BQ51" i="52"/>
  <c r="BQ57" i="52"/>
  <c r="BQ87" i="40"/>
  <c r="BQ86" i="40"/>
  <c r="BQ89" i="40"/>
  <c r="BQ88" i="40"/>
  <c r="BR93" i="40"/>
  <c r="CD54" i="52"/>
  <c r="CD57" i="52"/>
  <c r="CD47" i="52"/>
  <c r="CD60" i="52"/>
  <c r="CD24" i="52"/>
  <c r="CD26" i="52"/>
  <c r="CD30" i="52"/>
  <c r="CD46" i="52"/>
  <c r="CD17" i="52"/>
  <c r="CD49" i="52"/>
  <c r="CD20" i="52"/>
  <c r="CD27" i="52"/>
  <c r="CD55" i="52"/>
  <c r="CD48" i="52"/>
  <c r="CD28" i="52"/>
  <c r="CD22" i="52"/>
  <c r="CD25" i="52"/>
  <c r="CD50" i="52"/>
  <c r="CD58" i="52"/>
  <c r="CD51" i="52"/>
  <c r="CE10" i="52"/>
  <c r="CD29" i="52"/>
  <c r="CD21" i="52"/>
  <c r="CD31" i="52"/>
  <c r="CD52" i="52"/>
  <c r="CD19" i="52"/>
  <c r="CD18" i="52"/>
  <c r="CD23" i="52"/>
  <c r="CD56" i="52"/>
  <c r="CD53" i="52"/>
  <c r="CD59" i="52"/>
  <c r="BM22" i="52"/>
  <c r="BM57" i="52"/>
  <c r="BM52" i="52"/>
  <c r="BM20" i="52"/>
  <c r="BM50" i="52"/>
  <c r="BM46" i="52"/>
  <c r="BM25" i="52"/>
  <c r="BM60" i="52"/>
  <c r="BM48" i="52"/>
  <c r="BM23" i="52"/>
  <c r="BM51" i="52"/>
  <c r="BM27" i="52"/>
  <c r="BM56" i="52"/>
  <c r="BM24" i="52"/>
  <c r="BM29" i="52"/>
  <c r="BM49" i="52"/>
  <c r="BM59" i="52"/>
  <c r="BM31" i="52"/>
  <c r="BM18" i="52"/>
  <c r="BM47" i="52"/>
  <c r="BM28" i="52"/>
  <c r="BM53" i="52"/>
  <c r="BM21" i="52"/>
  <c r="BM19" i="52"/>
  <c r="BM17" i="52"/>
  <c r="BM54" i="52"/>
  <c r="BM58" i="52"/>
  <c r="BM55" i="52"/>
  <c r="BM30" i="52"/>
  <c r="BM26" i="52"/>
  <c r="BU28" i="52"/>
  <c r="BV10" i="52"/>
  <c r="BU53" i="52"/>
  <c r="BU59" i="52"/>
  <c r="BU47" i="52"/>
  <c r="BU46" i="52"/>
  <c r="BU29" i="52"/>
  <c r="BU50" i="52"/>
  <c r="BU25" i="52"/>
  <c r="BU51" i="52"/>
  <c r="BU56" i="52"/>
  <c r="BU55" i="52"/>
  <c r="BU19" i="52"/>
  <c r="BU31" i="52"/>
  <c r="BU30" i="52"/>
  <c r="BU48" i="52"/>
  <c r="BU49" i="52"/>
  <c r="BU17" i="52"/>
  <c r="BU54" i="52"/>
  <c r="BU24" i="52"/>
  <c r="BU26" i="52"/>
  <c r="BU18" i="52"/>
  <c r="BU20" i="52"/>
  <c r="BU52" i="52"/>
  <c r="BU21" i="52"/>
  <c r="BU60" i="52"/>
  <c r="BU23" i="52"/>
  <c r="BU27" i="52"/>
  <c r="BU22" i="52"/>
  <c r="BU58" i="52"/>
  <c r="BU57" i="52"/>
  <c r="BM89" i="40"/>
  <c r="BM88" i="40"/>
  <c r="BM87" i="40"/>
  <c r="BM86" i="40"/>
  <c r="BU86" i="40"/>
  <c r="BU87" i="40"/>
  <c r="BV93" i="40"/>
  <c r="BU89" i="40"/>
  <c r="BU88" i="40"/>
  <c r="DS93" i="40"/>
  <c r="A71" i="39"/>
  <c r="A72" i="39"/>
  <c r="A73" i="39"/>
  <c r="A74" i="39"/>
  <c r="A75" i="39"/>
  <c r="A76" i="39"/>
  <c r="A77" i="39"/>
  <c r="DS10" i="52"/>
  <c r="BZ88" i="40"/>
  <c r="BZ89" i="40"/>
  <c r="BZ87" i="40"/>
  <c r="BZ86" i="40"/>
  <c r="CA93" i="40"/>
  <c r="BZ19" i="52"/>
  <c r="BZ31" i="52"/>
  <c r="BZ20" i="52"/>
  <c r="BZ24" i="52"/>
  <c r="BZ22" i="52"/>
  <c r="BZ27" i="52"/>
  <c r="BZ48" i="52"/>
  <c r="BZ21" i="52"/>
  <c r="BZ26" i="52"/>
  <c r="BZ59" i="52"/>
  <c r="BZ25" i="52"/>
  <c r="BZ23" i="52"/>
  <c r="BZ28" i="52"/>
  <c r="BZ60" i="52"/>
  <c r="BZ49" i="52"/>
  <c r="BZ18" i="52"/>
  <c r="BZ30" i="52"/>
  <c r="BZ55" i="52"/>
  <c r="BZ58" i="52"/>
  <c r="BZ47" i="52"/>
  <c r="CA10" i="52"/>
  <c r="BZ53" i="52"/>
  <c r="BZ54" i="52"/>
  <c r="BZ56" i="52"/>
  <c r="BZ57" i="52"/>
  <c r="BZ50" i="52"/>
  <c r="BZ29" i="52"/>
  <c r="BZ52" i="52"/>
  <c r="BZ17" i="52"/>
  <c r="BZ51" i="52"/>
  <c r="BZ46" i="52"/>
  <c r="DS87" i="40"/>
  <c r="DT93" i="40"/>
  <c r="DS89" i="40"/>
  <c r="DS86" i="40"/>
  <c r="DS88" i="40"/>
  <c r="BR88" i="40"/>
  <c r="BR86" i="40"/>
  <c r="BR89" i="40"/>
  <c r="BR87" i="40"/>
  <c r="E10" i="52"/>
  <c r="E93" i="75"/>
  <c r="N77" i="57"/>
  <c r="E93" i="40"/>
  <c r="L77" i="57"/>
  <c r="J77" i="57"/>
  <c r="P77" i="57"/>
  <c r="A78" i="39"/>
  <c r="A79" i="39"/>
  <c r="A80" i="39"/>
  <c r="A81" i="39"/>
  <c r="A82" i="39"/>
  <c r="CA25" i="52"/>
  <c r="CA60" i="52"/>
  <c r="CA56" i="52"/>
  <c r="CA57" i="52"/>
  <c r="CA17" i="52"/>
  <c r="CA27" i="52"/>
  <c r="CA23" i="52"/>
  <c r="CA55" i="52"/>
  <c r="CA31" i="52"/>
  <c r="CA28" i="52"/>
  <c r="CA18" i="52"/>
  <c r="CA54" i="52"/>
  <c r="CA48" i="52"/>
  <c r="CA24" i="52"/>
  <c r="CA50" i="52"/>
  <c r="CA30" i="52"/>
  <c r="CA19" i="52"/>
  <c r="CA46" i="52"/>
  <c r="CB10" i="52"/>
  <c r="CA20" i="52"/>
  <c r="CA52" i="52"/>
  <c r="CA58" i="52"/>
  <c r="CA53" i="52"/>
  <c r="CA49" i="52"/>
  <c r="CA29" i="52"/>
  <c r="CA26" i="52"/>
  <c r="CA51" i="52"/>
  <c r="CA47" i="52"/>
  <c r="CA59" i="52"/>
  <c r="CA21" i="52"/>
  <c r="CA22" i="52"/>
  <c r="BV87" i="40"/>
  <c r="BV86" i="40"/>
  <c r="BV89" i="40"/>
  <c r="BV88" i="40"/>
  <c r="BW93" i="40"/>
  <c r="BV29" i="52"/>
  <c r="BW10" i="52"/>
  <c r="BV18" i="52"/>
  <c r="BV22" i="52"/>
  <c r="BV25" i="52"/>
  <c r="BV56" i="52"/>
  <c r="BV30" i="52"/>
  <c r="BV23" i="52"/>
  <c r="BV17" i="52"/>
  <c r="BV51" i="52"/>
  <c r="BV47" i="52"/>
  <c r="BV55" i="52"/>
  <c r="BV26" i="52"/>
  <c r="BV31" i="52"/>
  <c r="BV53" i="52"/>
  <c r="BV24" i="52"/>
  <c r="BV57" i="52"/>
  <c r="BV59" i="52"/>
  <c r="BV19" i="52"/>
  <c r="BV46" i="52"/>
  <c r="BV48" i="52"/>
  <c r="BV27" i="52"/>
  <c r="BV28" i="52"/>
  <c r="BV50" i="52"/>
  <c r="BV20" i="52"/>
  <c r="BV21" i="52"/>
  <c r="BV52" i="52"/>
  <c r="BV58" i="52"/>
  <c r="BV49" i="52"/>
  <c r="BV54" i="52"/>
  <c r="BV60" i="52"/>
  <c r="CE57" i="52"/>
  <c r="CE31" i="52"/>
  <c r="CE18" i="52"/>
  <c r="CE51" i="52"/>
  <c r="CE29" i="52"/>
  <c r="CE49" i="52"/>
  <c r="CE53" i="52"/>
  <c r="CE26" i="52"/>
  <c r="CE21" i="52"/>
  <c r="CE56" i="52"/>
  <c r="CF10" i="52"/>
  <c r="CE25" i="52"/>
  <c r="CE59" i="52"/>
  <c r="CE48" i="52"/>
  <c r="CE58" i="52"/>
  <c r="CE50" i="52"/>
  <c r="CE55" i="52"/>
  <c r="CE27" i="52"/>
  <c r="CE19" i="52"/>
  <c r="CE17" i="52"/>
  <c r="CE28" i="52"/>
  <c r="CE60" i="52"/>
  <c r="CE22" i="52"/>
  <c r="CE23" i="52"/>
  <c r="CE30" i="52"/>
  <c r="CE46" i="52"/>
  <c r="CE24" i="52"/>
  <c r="CE52" i="52"/>
  <c r="CE54" i="52"/>
  <c r="CE47" i="52"/>
  <c r="CE20" i="52"/>
  <c r="CB93" i="40"/>
  <c r="CA88" i="40"/>
  <c r="CA87" i="40"/>
  <c r="CA86" i="40"/>
  <c r="CA89" i="40"/>
  <c r="DS28" i="52"/>
  <c r="DS46" i="52"/>
  <c r="DS19" i="52"/>
  <c r="DS55" i="52"/>
  <c r="DS53" i="52"/>
  <c r="DS57" i="52"/>
  <c r="DS22" i="52"/>
  <c r="DS52" i="52"/>
  <c r="DS31" i="52"/>
  <c r="DS21" i="52"/>
  <c r="DS49" i="52"/>
  <c r="DS23" i="52"/>
  <c r="DS17" i="52"/>
  <c r="DS25" i="52"/>
  <c r="DS20" i="52"/>
  <c r="DS48" i="52"/>
  <c r="DS59" i="52"/>
  <c r="DS18" i="52"/>
  <c r="DS27" i="52"/>
  <c r="DT10" i="52"/>
  <c r="DS30" i="52"/>
  <c r="DS54" i="52"/>
  <c r="DS47" i="52"/>
  <c r="DS24" i="52"/>
  <c r="DS60" i="52"/>
  <c r="DS58" i="52"/>
  <c r="DS51" i="52"/>
  <c r="DS29" i="52"/>
  <c r="DS26" i="52"/>
  <c r="DS56" i="52"/>
  <c r="DS50" i="52"/>
  <c r="BR60" i="52"/>
  <c r="BR27" i="52"/>
  <c r="BR18" i="52"/>
  <c r="BR53" i="52"/>
  <c r="BR51" i="52"/>
  <c r="BR19" i="52"/>
  <c r="BR47" i="52"/>
  <c r="BR30" i="52"/>
  <c r="BR22" i="52"/>
  <c r="BR57" i="52"/>
  <c r="BR23" i="52"/>
  <c r="BR56" i="52"/>
  <c r="BR17" i="52"/>
  <c r="BR59" i="52"/>
  <c r="BR52" i="52"/>
  <c r="BR25" i="52"/>
  <c r="BR58" i="52"/>
  <c r="BR54" i="52"/>
  <c r="BR49" i="52"/>
  <c r="BR28" i="52"/>
  <c r="BR50" i="52"/>
  <c r="BR26" i="52"/>
  <c r="BR55" i="52"/>
  <c r="BR31" i="52"/>
  <c r="BR48" i="52"/>
  <c r="BR24" i="52"/>
  <c r="BR20" i="52"/>
  <c r="BR21" i="52"/>
  <c r="BR29" i="52"/>
  <c r="BR46" i="52"/>
  <c r="CE88" i="40"/>
  <c r="CE89" i="40"/>
  <c r="CE87" i="40"/>
  <c r="CF93" i="40"/>
  <c r="CE86" i="40"/>
  <c r="Q77" i="57"/>
  <c r="M77" i="57"/>
  <c r="K77" i="57"/>
  <c r="CF86" i="40"/>
  <c r="CF89" i="40"/>
  <c r="CF87" i="40"/>
  <c r="CF88" i="40"/>
  <c r="CG93" i="40"/>
  <c r="BW86" i="40"/>
  <c r="BW87" i="40"/>
  <c r="BW89" i="40"/>
  <c r="BW88" i="40"/>
  <c r="CB56" i="52"/>
  <c r="CB24" i="52"/>
  <c r="CB26" i="52"/>
  <c r="CB51" i="52"/>
  <c r="CB29" i="52"/>
  <c r="CB53" i="52"/>
  <c r="CB22" i="52"/>
  <c r="CB48" i="52"/>
  <c r="CB52" i="52"/>
  <c r="CB46" i="52"/>
  <c r="CB27" i="52"/>
  <c r="CB23" i="52"/>
  <c r="CB19" i="52"/>
  <c r="CB31" i="52"/>
  <c r="CB25" i="52"/>
  <c r="CB28" i="52"/>
  <c r="CB20" i="52"/>
  <c r="CB17" i="52"/>
  <c r="CB50" i="52"/>
  <c r="CB60" i="52"/>
  <c r="CB30" i="52"/>
  <c r="CC10" i="52"/>
  <c r="CB54" i="52"/>
  <c r="CB18" i="52"/>
  <c r="CB59" i="52"/>
  <c r="CB58" i="52"/>
  <c r="CB21" i="52"/>
  <c r="CB55" i="52"/>
  <c r="CB49" i="52"/>
  <c r="CB47" i="52"/>
  <c r="CB57" i="52"/>
  <c r="CB89" i="40"/>
  <c r="CB88" i="40"/>
  <c r="CB86" i="40"/>
  <c r="CB87" i="40"/>
  <c r="CC93" i="40"/>
  <c r="E88" i="40"/>
  <c r="E87" i="40"/>
  <c r="E86" i="40"/>
  <c r="E89" i="40"/>
  <c r="DT88" i="40"/>
  <c r="DT87" i="40"/>
  <c r="DT89" i="40"/>
  <c r="DT86" i="40"/>
  <c r="DU93" i="40"/>
  <c r="DT31" i="52"/>
  <c r="DT24" i="52"/>
  <c r="DT59" i="52"/>
  <c r="DT17" i="52"/>
  <c r="DT25" i="52"/>
  <c r="DU10" i="52"/>
  <c r="DT57" i="52"/>
  <c r="DT26" i="52"/>
  <c r="DT30" i="52"/>
  <c r="DT29" i="52"/>
  <c r="DT19" i="52"/>
  <c r="DT48" i="52"/>
  <c r="DT47" i="52"/>
  <c r="DT55" i="52"/>
  <c r="DT18" i="52"/>
  <c r="DT28" i="52"/>
  <c r="DT60" i="52"/>
  <c r="DT22" i="52"/>
  <c r="DT49" i="52"/>
  <c r="DT21" i="52"/>
  <c r="DT52" i="52"/>
  <c r="DT46" i="52"/>
  <c r="DT53" i="52"/>
  <c r="DT50" i="52"/>
  <c r="DT51" i="52"/>
  <c r="DT54" i="52"/>
  <c r="DT58" i="52"/>
  <c r="DT20" i="52"/>
  <c r="DT56" i="52"/>
  <c r="DT23" i="52"/>
  <c r="DT27" i="52"/>
  <c r="CF27" i="52"/>
  <c r="CF17" i="52"/>
  <c r="CF49" i="52"/>
  <c r="CF55" i="52"/>
  <c r="CF53" i="52"/>
  <c r="CF23" i="52"/>
  <c r="CF19" i="52"/>
  <c r="CF46" i="52"/>
  <c r="CF60" i="52"/>
  <c r="CF50" i="52"/>
  <c r="CF26" i="52"/>
  <c r="CF25" i="52"/>
  <c r="CF58" i="52"/>
  <c r="CG10" i="52"/>
  <c r="CF51" i="52"/>
  <c r="CF56" i="52"/>
  <c r="CF29" i="52"/>
  <c r="CF21" i="52"/>
  <c r="CF20" i="52"/>
  <c r="CF31" i="52"/>
  <c r="CF30" i="52"/>
  <c r="CF57" i="52"/>
  <c r="CF24" i="52"/>
  <c r="CF54" i="52"/>
  <c r="CF48" i="52"/>
  <c r="CF28" i="52"/>
  <c r="CF52" i="52"/>
  <c r="CF47" i="52"/>
  <c r="CF18" i="52"/>
  <c r="CF22" i="52"/>
  <c r="CF59" i="52"/>
  <c r="BW27" i="52"/>
  <c r="BW58" i="52"/>
  <c r="BW18" i="52"/>
  <c r="BW52" i="52"/>
  <c r="BW60" i="52"/>
  <c r="BW59" i="52"/>
  <c r="BW21" i="52"/>
  <c r="BW17" i="52"/>
  <c r="BW19" i="52"/>
  <c r="BW56" i="52"/>
  <c r="BW30" i="52"/>
  <c r="BW48" i="52"/>
  <c r="BW28" i="52"/>
  <c r="BW54" i="52"/>
  <c r="BW22" i="52"/>
  <c r="BW55" i="52"/>
  <c r="BW24" i="52"/>
  <c r="BW47" i="52"/>
  <c r="BW25" i="52"/>
  <c r="BW20" i="52"/>
  <c r="BW26" i="52"/>
  <c r="BW50" i="52"/>
  <c r="BW46" i="52"/>
  <c r="BW23" i="52"/>
  <c r="BW31" i="52"/>
  <c r="BW49" i="52"/>
  <c r="BW53" i="52"/>
  <c r="BW51" i="52"/>
  <c r="BW29" i="52"/>
  <c r="BW57" i="52"/>
  <c r="I77" i="57"/>
  <c r="J93" i="75"/>
  <c r="J10" i="52"/>
  <c r="A83" i="39"/>
  <c r="A84" i="39"/>
  <c r="J93" i="40"/>
  <c r="H77" i="57"/>
  <c r="E86" i="75"/>
  <c r="E106" i="75"/>
  <c r="E110" i="75"/>
  <c r="E87" i="75"/>
  <c r="E101" i="75"/>
  <c r="E107" i="75"/>
  <c r="E105" i="75"/>
  <c r="E89" i="75"/>
  <c r="E102" i="75"/>
  <c r="E88" i="75"/>
  <c r="E104" i="75"/>
  <c r="E109" i="75"/>
  <c r="J55" i="52"/>
  <c r="CK55" i="52" s="1"/>
  <c r="J17" i="52"/>
  <c r="CK17" i="52" s="1"/>
  <c r="J23" i="52"/>
  <c r="CK23" i="52" s="1"/>
  <c r="J48" i="52"/>
  <c r="CK48" i="52" s="1"/>
  <c r="J18" i="52"/>
  <c r="CK18" i="52" s="1"/>
  <c r="J19" i="52"/>
  <c r="CK19" i="52" s="1"/>
  <c r="J60" i="52"/>
  <c r="CK60" i="52" s="1"/>
  <c r="J20" i="52"/>
  <c r="CK20" i="52" s="1"/>
  <c r="J30" i="52"/>
  <c r="CK30" i="52" s="1"/>
  <c r="J53" i="52"/>
  <c r="CK53" i="52" s="1"/>
  <c r="J46" i="52"/>
  <c r="CK46" i="52" s="1"/>
  <c r="J31" i="52"/>
  <c r="CK31" i="52" s="1"/>
  <c r="J29" i="52"/>
  <c r="CK29" i="52" s="1"/>
  <c r="J56" i="52"/>
  <c r="CK56" i="52" s="1"/>
  <c r="J54" i="52"/>
  <c r="CK54" i="52" s="1"/>
  <c r="J21" i="52"/>
  <c r="CK21" i="52" s="1"/>
  <c r="J25" i="52"/>
  <c r="CK25" i="52" s="1"/>
  <c r="J50" i="52"/>
  <c r="CK50" i="52" s="1"/>
  <c r="J57" i="52"/>
  <c r="CK57" i="52" s="1"/>
  <c r="J28" i="52"/>
  <c r="CK28" i="52" s="1"/>
  <c r="J27" i="52"/>
  <c r="CK27" i="52" s="1"/>
  <c r="J24" i="52"/>
  <c r="CK24" i="52" s="1"/>
  <c r="J59" i="52"/>
  <c r="CK59" i="52" s="1"/>
  <c r="J47" i="52"/>
  <c r="CK47" i="52" s="1"/>
  <c r="J58" i="52"/>
  <c r="CK58" i="52" s="1"/>
  <c r="J52" i="52"/>
  <c r="CK52" i="52" s="1"/>
  <c r="J26" i="52"/>
  <c r="CK26" i="52" s="1"/>
  <c r="K10" i="52"/>
  <c r="J22" i="52"/>
  <c r="CK22" i="52" s="1"/>
  <c r="J49" i="52"/>
  <c r="CK49" i="52" s="1"/>
  <c r="J51" i="52"/>
  <c r="CK51" i="52" s="1"/>
  <c r="DU87" i="40"/>
  <c r="DU88" i="40"/>
  <c r="DU86" i="40"/>
  <c r="DU89" i="40"/>
  <c r="DV93" i="40"/>
  <c r="CG89" i="40"/>
  <c r="CG86" i="40"/>
  <c r="CG88" i="40"/>
  <c r="CH93" i="40"/>
  <c r="CG87" i="40"/>
  <c r="O93" i="75"/>
  <c r="A85" i="39"/>
  <c r="O93" i="40"/>
  <c r="O10" i="52"/>
  <c r="J104" i="75"/>
  <c r="J89" i="75"/>
  <c r="J101" i="75"/>
  <c r="J102" i="75"/>
  <c r="K93" i="75"/>
  <c r="J110" i="75"/>
  <c r="J109" i="75"/>
  <c r="J87" i="75"/>
  <c r="J86" i="75"/>
  <c r="J112" i="75"/>
  <c r="J105" i="75"/>
  <c r="J108" i="75"/>
  <c r="J106" i="75"/>
  <c r="J111" i="75"/>
  <c r="J88" i="75"/>
  <c r="J107" i="75"/>
  <c r="J103" i="75"/>
  <c r="CC87" i="40"/>
  <c r="CC86" i="40"/>
  <c r="CC88" i="40"/>
  <c r="CC89" i="40"/>
  <c r="CG29" i="52"/>
  <c r="CG59" i="52"/>
  <c r="CG27" i="52"/>
  <c r="CG56" i="52"/>
  <c r="CG21" i="52"/>
  <c r="CG60" i="52"/>
  <c r="CG55" i="52"/>
  <c r="CG24" i="52"/>
  <c r="CG50" i="52"/>
  <c r="CG47" i="52"/>
  <c r="CG52" i="52"/>
  <c r="CG28" i="52"/>
  <c r="CG58" i="52"/>
  <c r="CG25" i="52"/>
  <c r="CG54" i="52"/>
  <c r="CH10" i="52"/>
  <c r="CG57" i="52"/>
  <c r="CG18" i="52"/>
  <c r="CG26" i="52"/>
  <c r="CG23" i="52"/>
  <c r="CG22" i="52"/>
  <c r="CG49" i="52"/>
  <c r="CG46" i="52"/>
  <c r="CG20" i="52"/>
  <c r="CG30" i="52"/>
  <c r="CG48" i="52"/>
  <c r="CG19" i="52"/>
  <c r="CG31" i="52"/>
  <c r="CG51" i="52"/>
  <c r="CG17" i="52"/>
  <c r="CG53" i="52"/>
  <c r="J89" i="40"/>
  <c r="CK89" i="40" s="1"/>
  <c r="J87" i="40"/>
  <c r="CK87" i="40" s="1"/>
  <c r="J88" i="40"/>
  <c r="CK88" i="40" s="1"/>
  <c r="K93" i="40"/>
  <c r="J86" i="40"/>
  <c r="CK86" i="40" s="1"/>
  <c r="DU60" i="52"/>
  <c r="DU55" i="52"/>
  <c r="DU52" i="52"/>
  <c r="DU47" i="52"/>
  <c r="DU17" i="52"/>
  <c r="DU20" i="52"/>
  <c r="DU28" i="52"/>
  <c r="DU48" i="52"/>
  <c r="DU18" i="52"/>
  <c r="DU46" i="52"/>
  <c r="DU21" i="52"/>
  <c r="DU27" i="52"/>
  <c r="DU31" i="52"/>
  <c r="DU22" i="52"/>
  <c r="DU58" i="52"/>
  <c r="DU51" i="52"/>
  <c r="DU59" i="52"/>
  <c r="DU49" i="52"/>
  <c r="DU53" i="52"/>
  <c r="DU30" i="52"/>
  <c r="DU56" i="52"/>
  <c r="DU23" i="52"/>
  <c r="DU57" i="52"/>
  <c r="DV10" i="52"/>
  <c r="DU25" i="52"/>
  <c r="DU19" i="52"/>
  <c r="DU29" i="52"/>
  <c r="DU26" i="52"/>
  <c r="DU24" i="52"/>
  <c r="DU50" i="52"/>
  <c r="DU54" i="52"/>
  <c r="CC23" i="52"/>
  <c r="CC19" i="52"/>
  <c r="CC28" i="52"/>
  <c r="CC56" i="52"/>
  <c r="CC24" i="52"/>
  <c r="CC58" i="52"/>
  <c r="CC47" i="52"/>
  <c r="CC55" i="52"/>
  <c r="CC52" i="52"/>
  <c r="CC21" i="52"/>
  <c r="CC18" i="52"/>
  <c r="CC31" i="52"/>
  <c r="CC22" i="52"/>
  <c r="CC51" i="52"/>
  <c r="CC25" i="52"/>
  <c r="CC50" i="52"/>
  <c r="CC46" i="52"/>
  <c r="CC48" i="52"/>
  <c r="CC17" i="52"/>
  <c r="CC20" i="52"/>
  <c r="CC29" i="52"/>
  <c r="CC57" i="52"/>
  <c r="CC54" i="52"/>
  <c r="CC26" i="52"/>
  <c r="CC53" i="52"/>
  <c r="CC59" i="52"/>
  <c r="CC49" i="52"/>
  <c r="CC27" i="52"/>
  <c r="CC60" i="52"/>
  <c r="CC30" i="52"/>
  <c r="CH17" i="52"/>
  <c r="CH19" i="52"/>
  <c r="CH31" i="52"/>
  <c r="CH50" i="52"/>
  <c r="CH57" i="52"/>
  <c r="CH60" i="52"/>
  <c r="CH23" i="52"/>
  <c r="CH25" i="52"/>
  <c r="CH18" i="52"/>
  <c r="CH52" i="52"/>
  <c r="CH59" i="52"/>
  <c r="CH30" i="52"/>
  <c r="CH48" i="52"/>
  <c r="CH24" i="52"/>
  <c r="CH56" i="52"/>
  <c r="CH53" i="52"/>
  <c r="CH46" i="52"/>
  <c r="CH54" i="52"/>
  <c r="CH27" i="52"/>
  <c r="CH47" i="52"/>
  <c r="CH20" i="52"/>
  <c r="CH22" i="52"/>
  <c r="CH49" i="52"/>
  <c r="CH58" i="52"/>
  <c r="CH26" i="52"/>
  <c r="CH29" i="52"/>
  <c r="CH51" i="52"/>
  <c r="CH21" i="52"/>
  <c r="CH55" i="52"/>
  <c r="CH28" i="52"/>
  <c r="O56" i="52"/>
  <c r="O17" i="52"/>
  <c r="O29" i="52"/>
  <c r="O30" i="52"/>
  <c r="O49" i="52"/>
  <c r="O22" i="52"/>
  <c r="O23" i="52"/>
  <c r="O55" i="52"/>
  <c r="O51" i="52"/>
  <c r="O50" i="52"/>
  <c r="O20" i="52"/>
  <c r="O25" i="52"/>
  <c r="O60" i="52"/>
  <c r="O59" i="52"/>
  <c r="O21" i="52"/>
  <c r="O24" i="52"/>
  <c r="O27" i="52"/>
  <c r="O47" i="52"/>
  <c r="O53" i="52"/>
  <c r="O26" i="52"/>
  <c r="O31" i="52"/>
  <c r="O46" i="52"/>
  <c r="O52" i="52"/>
  <c r="O28" i="52"/>
  <c r="O48" i="52"/>
  <c r="O54" i="52"/>
  <c r="O19" i="52"/>
  <c r="O18" i="52"/>
  <c r="O57" i="52"/>
  <c r="O58" i="52"/>
  <c r="DV87" i="40"/>
  <c r="DV88" i="40"/>
  <c r="DV86" i="40"/>
  <c r="DV89" i="40"/>
  <c r="DW93" i="40"/>
  <c r="DV22" i="52"/>
  <c r="DV56" i="52"/>
  <c r="DV46" i="52"/>
  <c r="DV26" i="52"/>
  <c r="DV47" i="52"/>
  <c r="DV59" i="52"/>
  <c r="DV49" i="52"/>
  <c r="DV23" i="52"/>
  <c r="DV58" i="52"/>
  <c r="DV54" i="52"/>
  <c r="DV30" i="52"/>
  <c r="DW10" i="52"/>
  <c r="DV60" i="52"/>
  <c r="DV48" i="52"/>
  <c r="DV24" i="52"/>
  <c r="DV17" i="52"/>
  <c r="DV29" i="52"/>
  <c r="DV31" i="52"/>
  <c r="DV50" i="52"/>
  <c r="DV28" i="52"/>
  <c r="DV25" i="52"/>
  <c r="DV52" i="52"/>
  <c r="DV57" i="52"/>
  <c r="DV18" i="52"/>
  <c r="DV53" i="52"/>
  <c r="DV51" i="52"/>
  <c r="DV21" i="52"/>
  <c r="DV19" i="52"/>
  <c r="DV55" i="52"/>
  <c r="DV20" i="52"/>
  <c r="DV27" i="52"/>
  <c r="O86" i="40"/>
  <c r="O88" i="40"/>
  <c r="O87" i="40"/>
  <c r="O89" i="40"/>
  <c r="K86" i="40"/>
  <c r="CL86" i="40" s="1"/>
  <c r="K88" i="40"/>
  <c r="CL88" i="40" s="1"/>
  <c r="K89" i="40"/>
  <c r="CL89" i="40" s="1"/>
  <c r="K87" i="40"/>
  <c r="CL87" i="40" s="1"/>
  <c r="L93" i="40"/>
  <c r="K106" i="75"/>
  <c r="K111" i="75"/>
  <c r="K107" i="75"/>
  <c r="K102" i="75"/>
  <c r="L93" i="75"/>
  <c r="K89" i="75"/>
  <c r="K103" i="75"/>
  <c r="K101" i="75"/>
  <c r="K86" i="75"/>
  <c r="K88" i="75"/>
  <c r="K109" i="75"/>
  <c r="K108" i="75"/>
  <c r="K87" i="75"/>
  <c r="K112" i="75"/>
  <c r="K110" i="75"/>
  <c r="K105" i="75"/>
  <c r="K104" i="75"/>
  <c r="P93" i="75"/>
  <c r="A86" i="39"/>
  <c r="A87" i="39"/>
  <c r="A88" i="39"/>
  <c r="A89" i="39"/>
  <c r="P93" i="40"/>
  <c r="P10" i="52"/>
  <c r="O108" i="75"/>
  <c r="O86" i="75"/>
  <c r="O112" i="75"/>
  <c r="O105" i="75"/>
  <c r="O102" i="75"/>
  <c r="O89" i="75"/>
  <c r="O103" i="75"/>
  <c r="O101" i="75"/>
  <c r="O88" i="75"/>
  <c r="O107" i="75"/>
  <c r="O109" i="75"/>
  <c r="O111" i="75"/>
  <c r="O87" i="75"/>
  <c r="O104" i="75"/>
  <c r="O110" i="75"/>
  <c r="O106" i="75"/>
  <c r="CH86" i="40"/>
  <c r="CH88" i="40"/>
  <c r="CH89" i="40"/>
  <c r="CH87" i="40"/>
  <c r="K21" i="52"/>
  <c r="CL21" i="52" s="1"/>
  <c r="K59" i="52"/>
  <c r="CL59" i="52" s="1"/>
  <c r="K49" i="52"/>
  <c r="CL49" i="52" s="1"/>
  <c r="K24" i="52"/>
  <c r="CL24" i="52" s="1"/>
  <c r="K18" i="52"/>
  <c r="CL18" i="52" s="1"/>
  <c r="K47" i="52"/>
  <c r="K51" i="52"/>
  <c r="CL51" i="52" s="1"/>
  <c r="K28" i="52"/>
  <c r="CL28" i="52" s="1"/>
  <c r="K19" i="52"/>
  <c r="CL19" i="52" s="1"/>
  <c r="K53" i="52"/>
  <c r="CL53" i="52" s="1"/>
  <c r="K60" i="52"/>
  <c r="CL60" i="52" s="1"/>
  <c r="K17" i="52"/>
  <c r="CL17" i="52" s="1"/>
  <c r="K27" i="52"/>
  <c r="CL27" i="52" s="1"/>
  <c r="K56" i="52"/>
  <c r="CL56" i="52" s="1"/>
  <c r="K52" i="52"/>
  <c r="CL52" i="52" s="1"/>
  <c r="K20" i="52"/>
  <c r="CL20" i="52" s="1"/>
  <c r="K26" i="52"/>
  <c r="CL26" i="52" s="1"/>
  <c r="K50" i="52"/>
  <c r="CL50" i="52" s="1"/>
  <c r="K58" i="52"/>
  <c r="CL58" i="52" s="1"/>
  <c r="K22" i="52"/>
  <c r="CL22" i="52" s="1"/>
  <c r="K31" i="52"/>
  <c r="CL31" i="52" s="1"/>
  <c r="K54" i="52"/>
  <c r="CL54" i="52" s="1"/>
  <c r="K48" i="52"/>
  <c r="CL48" i="52" s="1"/>
  <c r="K30" i="52"/>
  <c r="K23" i="52"/>
  <c r="CL23" i="52" s="1"/>
  <c r="K55" i="52"/>
  <c r="K57" i="52"/>
  <c r="CL57" i="52" s="1"/>
  <c r="K29" i="52"/>
  <c r="K25" i="52"/>
  <c r="CL25" i="52" s="1"/>
  <c r="K46" i="52"/>
  <c r="CL46" i="52" s="1"/>
  <c r="L10" i="52"/>
  <c r="A90" i="39"/>
  <c r="H89" i="39"/>
  <c r="R48" i="52" s="1"/>
  <c r="CQ48" i="52" s="1"/>
  <c r="J89" i="39"/>
  <c r="R201" i="40" s="1"/>
  <c r="I89" i="39"/>
  <c r="K89" i="39"/>
  <c r="L89" i="39"/>
  <c r="R301" i="40" s="1"/>
  <c r="N89" i="39"/>
  <c r="R401" i="40" s="1"/>
  <c r="M89" i="39"/>
  <c r="P89" i="39"/>
  <c r="R501" i="40" s="1"/>
  <c r="O89" i="39"/>
  <c r="Q89" i="39"/>
  <c r="Q89" i="57" s="1"/>
  <c r="P55" i="52"/>
  <c r="P17" i="52"/>
  <c r="P21" i="52"/>
  <c r="P31" i="52"/>
  <c r="P23" i="52"/>
  <c r="P59" i="52"/>
  <c r="P50" i="52"/>
  <c r="P29" i="52"/>
  <c r="P27" i="52"/>
  <c r="P54" i="52"/>
  <c r="P46" i="52"/>
  <c r="P58" i="52"/>
  <c r="P60" i="52"/>
  <c r="P18" i="52"/>
  <c r="P30" i="52"/>
  <c r="P56" i="52"/>
  <c r="P49" i="52"/>
  <c r="P28" i="52"/>
  <c r="P20" i="52"/>
  <c r="P48" i="52"/>
  <c r="P52" i="52"/>
  <c r="P19" i="52"/>
  <c r="P22" i="52"/>
  <c r="P57" i="52"/>
  <c r="P53" i="52"/>
  <c r="P51" i="52"/>
  <c r="P26" i="52"/>
  <c r="P47" i="52"/>
  <c r="P25" i="52"/>
  <c r="P24" i="52"/>
  <c r="P88" i="40"/>
  <c r="P86" i="40"/>
  <c r="P87" i="40"/>
  <c r="P89" i="40"/>
  <c r="L28" i="52"/>
  <c r="L56" i="52"/>
  <c r="CM56" i="52" s="1"/>
  <c r="L23" i="52"/>
  <c r="CM23" i="52" s="1"/>
  <c r="L47" i="52"/>
  <c r="CM47" i="52" s="1"/>
  <c r="L19" i="52"/>
  <c r="CM19" i="52" s="1"/>
  <c r="L48" i="52"/>
  <c r="CM48" i="52" s="1"/>
  <c r="L46" i="52"/>
  <c r="CM46" i="52" s="1"/>
  <c r="L52" i="52"/>
  <c r="CM52" i="52" s="1"/>
  <c r="L53" i="52"/>
  <c r="CM53" i="52" s="1"/>
  <c r="L27" i="52"/>
  <c r="CM27" i="52" s="1"/>
  <c r="L20" i="52"/>
  <c r="CM20" i="52" s="1"/>
  <c r="L30" i="52"/>
  <c r="CM30" i="52" s="1"/>
  <c r="L50" i="52"/>
  <c r="CM50" i="52" s="1"/>
  <c r="L57" i="52"/>
  <c r="CM57" i="52" s="1"/>
  <c r="L25" i="52"/>
  <c r="CM25" i="52" s="1"/>
  <c r="L24" i="52"/>
  <c r="CM24" i="52" s="1"/>
  <c r="L51" i="52"/>
  <c r="CM51" i="52" s="1"/>
  <c r="L21" i="52"/>
  <c r="CM21" i="52" s="1"/>
  <c r="L22" i="52"/>
  <c r="CM22" i="52" s="1"/>
  <c r="L58" i="52"/>
  <c r="CM58" i="52" s="1"/>
  <c r="L60" i="52"/>
  <c r="CM60" i="52" s="1"/>
  <c r="L26" i="52"/>
  <c r="CM26" i="52" s="1"/>
  <c r="M10" i="52"/>
  <c r="L49" i="52"/>
  <c r="CM49" i="52" s="1"/>
  <c r="L59" i="52"/>
  <c r="CM59" i="52" s="1"/>
  <c r="L54" i="52"/>
  <c r="CM54" i="52" s="1"/>
  <c r="L29" i="52"/>
  <c r="CM29" i="52" s="1"/>
  <c r="L55" i="52"/>
  <c r="CM55" i="52" s="1"/>
  <c r="L31" i="52"/>
  <c r="CM31" i="52" s="1"/>
  <c r="L18" i="52"/>
  <c r="CM18" i="52" s="1"/>
  <c r="L17" i="52"/>
  <c r="CM17" i="52" s="1"/>
  <c r="Q93" i="75"/>
  <c r="K88" i="39"/>
  <c r="L88" i="39"/>
  <c r="O88" i="39"/>
  <c r="Q10" i="52"/>
  <c r="Q93" i="40"/>
  <c r="M88" i="39"/>
  <c r="M88" i="57" s="1"/>
  <c r="Q88" i="39"/>
  <c r="J88" i="39"/>
  <c r="Q201" i="40" s="1"/>
  <c r="J88" i="57"/>
  <c r="N88" i="39"/>
  <c r="Q401" i="40" s="1"/>
  <c r="H88" i="39"/>
  <c r="I88" i="39"/>
  <c r="P88" i="39"/>
  <c r="Q501" i="40" s="1"/>
  <c r="DW25" i="52"/>
  <c r="DW56" i="52"/>
  <c r="DW60" i="52"/>
  <c r="DW47" i="52"/>
  <c r="DW24" i="52"/>
  <c r="DW57" i="52"/>
  <c r="DW52" i="52"/>
  <c r="DW21" i="52"/>
  <c r="DW20" i="52"/>
  <c r="DW46" i="52"/>
  <c r="DW55" i="52"/>
  <c r="DW27" i="52"/>
  <c r="DW59" i="52"/>
  <c r="DW23" i="52"/>
  <c r="DW53" i="52"/>
  <c r="DW29" i="52"/>
  <c r="DW54" i="52"/>
  <c r="DW48" i="52"/>
  <c r="DW31" i="52"/>
  <c r="DW26" i="52"/>
  <c r="DW50" i="52"/>
  <c r="DW19" i="52"/>
  <c r="DW49" i="52"/>
  <c r="DW18" i="52"/>
  <c r="DW22" i="52"/>
  <c r="DW28" i="52"/>
  <c r="DW51" i="52"/>
  <c r="DW58" i="52"/>
  <c r="DW17" i="52"/>
  <c r="DW30" i="52"/>
  <c r="DW87" i="40"/>
  <c r="DW86" i="40"/>
  <c r="DW89" i="40"/>
  <c r="DW88" i="40"/>
  <c r="L101" i="75"/>
  <c r="L103" i="75"/>
  <c r="L102" i="75"/>
  <c r="L111" i="75"/>
  <c r="L106" i="75"/>
  <c r="L112" i="75"/>
  <c r="L109" i="75"/>
  <c r="L108" i="75"/>
  <c r="L88" i="75"/>
  <c r="L89" i="75"/>
  <c r="L104" i="75"/>
  <c r="L87" i="75"/>
  <c r="L110" i="75"/>
  <c r="L107" i="75"/>
  <c r="M93" i="75"/>
  <c r="L105" i="75"/>
  <c r="L86" i="75"/>
  <c r="L86" i="40"/>
  <c r="CM86" i="40" s="1"/>
  <c r="L89" i="40"/>
  <c r="CM89" i="40" s="1"/>
  <c r="M93" i="40"/>
  <c r="L87" i="40"/>
  <c r="CM87" i="40" s="1"/>
  <c r="L88" i="40"/>
  <c r="CM88" i="40" s="1"/>
  <c r="P105" i="75"/>
  <c r="P86" i="75"/>
  <c r="P88" i="75"/>
  <c r="P101" i="75"/>
  <c r="P104" i="75"/>
  <c r="P111" i="75"/>
  <c r="P106" i="75"/>
  <c r="P102" i="75"/>
  <c r="P110" i="75"/>
  <c r="P109" i="75"/>
  <c r="P107" i="75"/>
  <c r="P108" i="75"/>
  <c r="P87" i="75"/>
  <c r="P112" i="75"/>
  <c r="P103" i="75"/>
  <c r="P89" i="75"/>
  <c r="A91" i="39"/>
  <c r="J90" i="39"/>
  <c r="S201" i="40" s="1"/>
  <c r="H90" i="39"/>
  <c r="H90" i="57" s="1"/>
  <c r="K90" i="39"/>
  <c r="I90" i="39"/>
  <c r="S102" i="75" s="1"/>
  <c r="L90" i="39"/>
  <c r="S301" i="40" s="1"/>
  <c r="N90" i="39"/>
  <c r="S401" i="40" s="1"/>
  <c r="M90" i="39"/>
  <c r="O90" i="39"/>
  <c r="O90" i="57" s="1"/>
  <c r="P90" i="39"/>
  <c r="S501" i="40" s="1"/>
  <c r="Q90" i="39"/>
  <c r="Q88" i="57"/>
  <c r="O88" i="57"/>
  <c r="H88" i="57"/>
  <c r="M58" i="52"/>
  <c r="CN58" i="52" s="1"/>
  <c r="M24" i="52"/>
  <c r="CN24" i="52" s="1"/>
  <c r="M17" i="52"/>
  <c r="CN17" i="52" s="1"/>
  <c r="M50" i="52"/>
  <c r="CN50" i="52" s="1"/>
  <c r="M60" i="52"/>
  <c r="CN60" i="52" s="1"/>
  <c r="M28" i="52"/>
  <c r="CN28" i="52" s="1"/>
  <c r="M30" i="52"/>
  <c r="CN30" i="52" s="1"/>
  <c r="M53" i="52"/>
  <c r="CN53" i="52" s="1"/>
  <c r="M46" i="52"/>
  <c r="M55" i="52"/>
  <c r="CN55" i="52" s="1"/>
  <c r="M22" i="52"/>
  <c r="CN22" i="52" s="1"/>
  <c r="M49" i="52"/>
  <c r="CN49" i="52" s="1"/>
  <c r="M52" i="52"/>
  <c r="CN52" i="52" s="1"/>
  <c r="M25" i="52"/>
  <c r="CN25" i="52" s="1"/>
  <c r="M20" i="52"/>
  <c r="CN20" i="52" s="1"/>
  <c r="M56" i="52"/>
  <c r="CN56" i="52" s="1"/>
  <c r="M23" i="52"/>
  <c r="CN23" i="52" s="1"/>
  <c r="M29" i="52"/>
  <c r="CN29" i="52" s="1"/>
  <c r="M59" i="52"/>
  <c r="CN59" i="52" s="1"/>
  <c r="M27" i="52"/>
  <c r="CN27" i="52" s="1"/>
  <c r="N10" i="52"/>
  <c r="M31" i="52"/>
  <c r="CN31" i="52" s="1"/>
  <c r="M19" i="52"/>
  <c r="CN19" i="52" s="1"/>
  <c r="M51" i="52"/>
  <c r="CN51" i="52" s="1"/>
  <c r="M48" i="52"/>
  <c r="CN48" i="52" s="1"/>
  <c r="M21" i="52"/>
  <c r="CN21" i="52" s="1"/>
  <c r="M18" i="52"/>
  <c r="CN18" i="52" s="1"/>
  <c r="M47" i="52"/>
  <c r="CN47" i="52" s="1"/>
  <c r="M26" i="52"/>
  <c r="CN26" i="52" s="1"/>
  <c r="M57" i="52"/>
  <c r="CN57" i="52" s="1"/>
  <c r="M54" i="52"/>
  <c r="CN54" i="52" s="1"/>
  <c r="M102" i="75"/>
  <c r="M101" i="75"/>
  <c r="N93" i="75"/>
  <c r="M112" i="75"/>
  <c r="M111" i="75"/>
  <c r="M108" i="75"/>
  <c r="M104" i="75"/>
  <c r="M86" i="75"/>
  <c r="M87" i="75"/>
  <c r="M107" i="75"/>
  <c r="M106" i="75"/>
  <c r="M110" i="75"/>
  <c r="M105" i="75"/>
  <c r="M103" i="75"/>
  <c r="M88" i="75"/>
  <c r="M109" i="75"/>
  <c r="M89" i="75"/>
  <c r="O89" i="57"/>
  <c r="K89" i="57"/>
  <c r="M89" i="57"/>
  <c r="J89" i="57"/>
  <c r="P89" i="57"/>
  <c r="Q86" i="40"/>
  <c r="Q87" i="40"/>
  <c r="Q89" i="40"/>
  <c r="R93" i="40"/>
  <c r="Q88" i="40"/>
  <c r="M88" i="40"/>
  <c r="CN88" i="40" s="1"/>
  <c r="M86" i="40"/>
  <c r="CN86" i="40" s="1"/>
  <c r="M89" i="40"/>
  <c r="CN89" i="40" s="1"/>
  <c r="M87" i="40"/>
  <c r="CN87" i="40" s="1"/>
  <c r="N93" i="40"/>
  <c r="I88" i="57"/>
  <c r="Q50" i="52"/>
  <c r="Q48" i="52"/>
  <c r="Q23" i="52"/>
  <c r="Q58" i="52"/>
  <c r="Q46" i="52"/>
  <c r="Q26" i="52"/>
  <c r="Q49" i="52"/>
  <c r="Q53" i="52"/>
  <c r="R10" i="52"/>
  <c r="Q57" i="52"/>
  <c r="Q47" i="52"/>
  <c r="Q18" i="52"/>
  <c r="Q24" i="52"/>
  <c r="Q17" i="52"/>
  <c r="Q19" i="52"/>
  <c r="Q86" i="75"/>
  <c r="R93" i="75"/>
  <c r="Q87" i="75"/>
  <c r="Q88" i="75"/>
  <c r="Q103" i="75"/>
  <c r="Q110" i="75"/>
  <c r="Q104" i="75"/>
  <c r="Q101" i="75"/>
  <c r="Q89" i="75"/>
  <c r="Q102" i="75"/>
  <c r="Q108" i="75"/>
  <c r="I91" i="39"/>
  <c r="A92" i="39"/>
  <c r="H91" i="39"/>
  <c r="H91" i="57" s="1"/>
  <c r="J91" i="39"/>
  <c r="T201" i="40" s="1"/>
  <c r="K91" i="39"/>
  <c r="L91" i="39"/>
  <c r="T301" i="40" s="1"/>
  <c r="M91" i="39"/>
  <c r="T106" i="75" s="1"/>
  <c r="N91" i="39"/>
  <c r="T401" i="40" s="1"/>
  <c r="O91" i="39"/>
  <c r="P91" i="39"/>
  <c r="T501" i="40" s="1"/>
  <c r="Q91" i="39"/>
  <c r="Q91" i="57" s="1"/>
  <c r="S10" i="52"/>
  <c r="R25" i="52"/>
  <c r="CQ25" i="52" s="1"/>
  <c r="R28" i="52"/>
  <c r="CQ28" i="52" s="1"/>
  <c r="R30" i="52"/>
  <c r="CQ30" i="52" s="1"/>
  <c r="R29" i="52"/>
  <c r="CQ29" i="52" s="1"/>
  <c r="R17" i="52"/>
  <c r="CQ17" i="52" s="1"/>
  <c r="R54" i="52"/>
  <c r="CQ54" i="52" s="1"/>
  <c r="R56" i="52"/>
  <c r="CQ56" i="52" s="1"/>
  <c r="R59" i="52"/>
  <c r="CQ59" i="52" s="1"/>
  <c r="R31" i="52"/>
  <c r="CQ31" i="52" s="1"/>
  <c r="R19" i="52"/>
  <c r="CQ19" i="52" s="1"/>
  <c r="R55" i="52"/>
  <c r="CQ55" i="52" s="1"/>
  <c r="R60" i="52"/>
  <c r="CQ60" i="52" s="1"/>
  <c r="R21" i="52"/>
  <c r="CQ21" i="52" s="1"/>
  <c r="R58" i="52"/>
  <c r="CQ58" i="52" s="1"/>
  <c r="J90" i="57"/>
  <c r="M90" i="57"/>
  <c r="L90" i="57"/>
  <c r="K90" i="57"/>
  <c r="P90" i="57"/>
  <c r="Q90" i="57"/>
  <c r="N88" i="75"/>
  <c r="N89" i="75"/>
  <c r="N109" i="75"/>
  <c r="N108" i="75"/>
  <c r="N101" i="75"/>
  <c r="N106" i="75"/>
  <c r="N107" i="75"/>
  <c r="N112" i="75"/>
  <c r="N105" i="75"/>
  <c r="N111" i="75"/>
  <c r="N103" i="75"/>
  <c r="N87" i="75"/>
  <c r="N104" i="75"/>
  <c r="N102" i="75"/>
  <c r="N86" i="75"/>
  <c r="N110" i="75"/>
  <c r="S93" i="75"/>
  <c r="R87" i="75"/>
  <c r="R102" i="75"/>
  <c r="R109" i="75"/>
  <c r="R86" i="75"/>
  <c r="R106" i="75"/>
  <c r="R107" i="75"/>
  <c r="R88" i="75"/>
  <c r="R105" i="75"/>
  <c r="R108" i="75"/>
  <c r="R104" i="75"/>
  <c r="R89" i="75"/>
  <c r="R101" i="75"/>
  <c r="N88" i="40"/>
  <c r="CO88" i="40" s="1"/>
  <c r="N89" i="40"/>
  <c r="CO89" i="40" s="1"/>
  <c r="N86" i="40"/>
  <c r="CO86" i="40" s="1"/>
  <c r="N87" i="40"/>
  <c r="CO87" i="40" s="1"/>
  <c r="I48" i="58"/>
  <c r="I89" i="57"/>
  <c r="N23" i="52"/>
  <c r="CO23" i="52" s="1"/>
  <c r="N58" i="52"/>
  <c r="CO58" i="52" s="1"/>
  <c r="N56" i="52"/>
  <c r="CO56" i="52" s="1"/>
  <c r="N22" i="52"/>
  <c r="CO22" i="52" s="1"/>
  <c r="N31" i="52"/>
  <c r="CO31" i="52" s="1"/>
  <c r="N24" i="52"/>
  <c r="CO24" i="52" s="1"/>
  <c r="N29" i="52"/>
  <c r="CO29" i="52" s="1"/>
  <c r="N55" i="52"/>
  <c r="CO55" i="52" s="1"/>
  <c r="N26" i="52"/>
  <c r="CO26" i="52" s="1"/>
  <c r="N50" i="52"/>
  <c r="CO50" i="52" s="1"/>
  <c r="N20" i="52"/>
  <c r="CO20" i="52" s="1"/>
  <c r="N46" i="52"/>
  <c r="CO46" i="52" s="1"/>
  <c r="N53" i="52"/>
  <c r="CO53" i="52" s="1"/>
  <c r="N17" i="52"/>
  <c r="CO17" i="52" s="1"/>
  <c r="N27" i="52"/>
  <c r="CO27" i="52" s="1"/>
  <c r="N52" i="52"/>
  <c r="CO52" i="52" s="1"/>
  <c r="N49" i="52"/>
  <c r="CO49" i="52" s="1"/>
  <c r="N21" i="52"/>
  <c r="CO21" i="52" s="1"/>
  <c r="N19" i="52"/>
  <c r="CO19" i="52" s="1"/>
  <c r="N60" i="52"/>
  <c r="CO60" i="52" s="1"/>
  <c r="N25" i="52"/>
  <c r="CO25" i="52" s="1"/>
  <c r="N48" i="52"/>
  <c r="CO48" i="52" s="1"/>
  <c r="N59" i="52"/>
  <c r="CO59" i="52" s="1"/>
  <c r="N51" i="52"/>
  <c r="CO51" i="52" s="1"/>
  <c r="N18" i="52"/>
  <c r="CO18" i="52" s="1"/>
  <c r="N28" i="52"/>
  <c r="CO28" i="52" s="1"/>
  <c r="N54" i="52"/>
  <c r="CO54" i="52" s="1"/>
  <c r="N57" i="52"/>
  <c r="CO57" i="52" s="1"/>
  <c r="N47" i="52"/>
  <c r="CO47" i="52" s="1"/>
  <c r="N30" i="52"/>
  <c r="CO30" i="52" s="1"/>
  <c r="R88" i="40"/>
  <c r="CQ88" i="40" s="1"/>
  <c r="R89" i="40"/>
  <c r="CQ89" i="40" s="1"/>
  <c r="R87" i="40"/>
  <c r="CQ87" i="40" s="1"/>
  <c r="R86" i="40"/>
  <c r="CQ86" i="40" s="1"/>
  <c r="S93" i="40"/>
  <c r="A93" i="39"/>
  <c r="F48" i="58"/>
  <c r="N91" i="57"/>
  <c r="J91" i="57"/>
  <c r="P91" i="57"/>
  <c r="K91" i="57"/>
  <c r="S89" i="40"/>
  <c r="CR89" i="40" s="1"/>
  <c r="S87" i="40"/>
  <c r="CR87" i="40" s="1"/>
  <c r="S88" i="40"/>
  <c r="CR88" i="40" s="1"/>
  <c r="S86" i="40"/>
  <c r="T93" i="40"/>
  <c r="S88" i="75"/>
  <c r="S101" i="75"/>
  <c r="S110" i="75"/>
  <c r="S108" i="75"/>
  <c r="S87" i="75"/>
  <c r="S103" i="75"/>
  <c r="S106" i="75"/>
  <c r="S89" i="75"/>
  <c r="S104" i="75"/>
  <c r="T93" i="75"/>
  <c r="S86" i="75"/>
  <c r="S105" i="75"/>
  <c r="S109" i="75"/>
  <c r="I90" i="57"/>
  <c r="S50" i="52"/>
  <c r="CR50" i="52" s="1"/>
  <c r="S46" i="52"/>
  <c r="CR46" i="52" s="1"/>
  <c r="S51" i="52"/>
  <c r="CR51" i="52" s="1"/>
  <c r="S54" i="52"/>
  <c r="CR54" i="52" s="1"/>
  <c r="S28" i="52"/>
  <c r="CR28" i="52" s="1"/>
  <c r="S56" i="52"/>
  <c r="CR56" i="52" s="1"/>
  <c r="S30" i="52"/>
  <c r="CR30" i="52" s="1"/>
  <c r="T10" i="52"/>
  <c r="S49" i="52"/>
  <c r="CR49" i="52" s="1"/>
  <c r="S21" i="52"/>
  <c r="CR21" i="52" s="1"/>
  <c r="S25" i="52"/>
  <c r="CR25" i="52" s="1"/>
  <c r="S59" i="52"/>
  <c r="CR59" i="52" s="1"/>
  <c r="S58" i="52"/>
  <c r="CR58" i="52" s="1"/>
  <c r="S20" i="52"/>
  <c r="CR20" i="52" s="1"/>
  <c r="S22" i="52"/>
  <c r="CR22" i="52" s="1"/>
  <c r="S47" i="52"/>
  <c r="CR47" i="52" s="1"/>
  <c r="S52" i="52"/>
  <c r="CR52" i="52" s="1"/>
  <c r="S55" i="52"/>
  <c r="CR55" i="52" s="1"/>
  <c r="S60" i="52"/>
  <c r="CR60" i="52" s="1"/>
  <c r="S24" i="52"/>
  <c r="CR24" i="52" s="1"/>
  <c r="S17" i="52"/>
  <c r="CR17" i="52" s="1"/>
  <c r="S48" i="52"/>
  <c r="CR48" i="52" s="1"/>
  <c r="S18" i="52"/>
  <c r="CR18" i="52" s="1"/>
  <c r="S53" i="52"/>
  <c r="CR53" i="52" s="1"/>
  <c r="S23" i="52"/>
  <c r="CR23" i="52" s="1"/>
  <c r="S57" i="52"/>
  <c r="CR57" i="52" s="1"/>
  <c r="S31" i="52"/>
  <c r="CR31" i="52" s="1"/>
  <c r="S29" i="52"/>
  <c r="T104" i="75"/>
  <c r="T103" i="75"/>
  <c r="U93" i="75"/>
  <c r="T88" i="75"/>
  <c r="T89" i="75"/>
  <c r="T108" i="75"/>
  <c r="T86" i="75"/>
  <c r="T87" i="75"/>
  <c r="T107" i="75"/>
  <c r="T105" i="75"/>
  <c r="T86" i="40"/>
  <c r="CS86" i="40" s="1"/>
  <c r="T87" i="40"/>
  <c r="CS87" i="40" s="1"/>
  <c r="U93" i="40"/>
  <c r="T88" i="40"/>
  <c r="CS88" i="40" s="1"/>
  <c r="T89" i="40"/>
  <c r="CS89" i="40" s="1"/>
  <c r="U10" i="52"/>
  <c r="T22" i="52"/>
  <c r="CS22" i="52" s="1"/>
  <c r="T25" i="52"/>
  <c r="CS25" i="52" s="1"/>
  <c r="T57" i="52"/>
  <c r="CS57" i="52" s="1"/>
  <c r="T26" i="52"/>
  <c r="CS26" i="52" s="1"/>
  <c r="T23" i="52"/>
  <c r="CS23" i="52" s="1"/>
  <c r="T46" i="52"/>
  <c r="CS46" i="52" s="1"/>
  <c r="T50" i="52"/>
  <c r="CS50" i="52" s="1"/>
  <c r="T24" i="52"/>
  <c r="CS24" i="52" s="1"/>
  <c r="T27" i="52"/>
  <c r="CS27" i="52" s="1"/>
  <c r="T28" i="52"/>
  <c r="CS28" i="52" s="1"/>
  <c r="T51" i="52"/>
  <c r="CS51" i="52" s="1"/>
  <c r="T49" i="52"/>
  <c r="CS49" i="52" s="1"/>
  <c r="T21" i="52"/>
  <c r="CS21" i="52" s="1"/>
  <c r="T20" i="52"/>
  <c r="CS20" i="52" s="1"/>
  <c r="T19" i="52"/>
  <c r="CS19" i="52" s="1"/>
  <c r="T53" i="52"/>
  <c r="CS53" i="52" s="1"/>
  <c r="T56" i="52"/>
  <c r="CS56" i="52" s="1"/>
  <c r="T55" i="52"/>
  <c r="CS55" i="52" s="1"/>
  <c r="U89" i="75"/>
  <c r="U88" i="75"/>
  <c r="U106" i="75"/>
  <c r="V93" i="75"/>
  <c r="U102" i="75"/>
  <c r="U86" i="75"/>
  <c r="U105" i="75"/>
  <c r="U103" i="75"/>
  <c r="U107" i="75"/>
  <c r="U110" i="75"/>
  <c r="U87" i="75"/>
  <c r="U108" i="75"/>
  <c r="Q92" i="57"/>
  <c r="N92" i="57"/>
  <c r="J92" i="57"/>
  <c r="O92" i="57"/>
  <c r="U87" i="40"/>
  <c r="CT87" i="40" s="1"/>
  <c r="U86" i="40"/>
  <c r="CT86" i="40" s="1"/>
  <c r="V93" i="40"/>
  <c r="U88" i="40"/>
  <c r="CT88" i="40" s="1"/>
  <c r="U89" i="40"/>
  <c r="M92" i="57"/>
  <c r="L92" i="57"/>
  <c r="I92" i="57"/>
  <c r="U51" i="52"/>
  <c r="CT51" i="52" s="1"/>
  <c r="U53" i="52"/>
  <c r="CT53" i="52" s="1"/>
  <c r="U49" i="52"/>
  <c r="CT49" i="52" s="1"/>
  <c r="U28" i="52"/>
  <c r="CT28" i="52" s="1"/>
  <c r="U21" i="52"/>
  <c r="CT21" i="52" s="1"/>
  <c r="U22" i="52"/>
  <c r="CT22" i="52" s="1"/>
  <c r="U24" i="52"/>
  <c r="CT24" i="52" s="1"/>
  <c r="U57" i="52"/>
  <c r="CT57" i="52" s="1"/>
  <c r="U55" i="52"/>
  <c r="CT55" i="52" s="1"/>
  <c r="U18" i="52"/>
  <c r="CT18" i="52" s="1"/>
  <c r="U54" i="52"/>
  <c r="CT54" i="52" s="1"/>
  <c r="V10" i="52"/>
  <c r="U46" i="52"/>
  <c r="CT46" i="52" s="1"/>
  <c r="U23" i="52"/>
  <c r="U25" i="52"/>
  <c r="CT25" i="52" s="1"/>
  <c r="U27" i="52"/>
  <c r="U50" i="52"/>
  <c r="CT50" i="52" s="1"/>
  <c r="U48" i="52"/>
  <c r="U26" i="52"/>
  <c r="CT26" i="52" s="1"/>
  <c r="U56" i="52"/>
  <c r="U20" i="52"/>
  <c r="CT20" i="52" s="1"/>
  <c r="U17" i="52"/>
  <c r="U52" i="52"/>
  <c r="CT52" i="52" s="1"/>
  <c r="J93" i="57"/>
  <c r="M93" i="57"/>
  <c r="K93" i="57"/>
  <c r="A94" i="39"/>
  <c r="P93" i="57"/>
  <c r="L93" i="57"/>
  <c r="O93" i="57"/>
  <c r="K92" i="57"/>
  <c r="V22" i="52"/>
  <c r="V18" i="52"/>
  <c r="V53" i="52"/>
  <c r="CU53" i="52" s="1"/>
  <c r="V24" i="52"/>
  <c r="CU24" i="52" s="1"/>
  <c r="V27" i="52"/>
  <c r="CU27" i="52" s="1"/>
  <c r="V60" i="52"/>
  <c r="CU60" i="52" s="1"/>
  <c r="V29" i="52"/>
  <c r="CU29" i="52" s="1"/>
  <c r="V54" i="52"/>
  <c r="CU54" i="52" s="1"/>
  <c r="V46" i="52"/>
  <c r="CU46" i="52" s="1"/>
  <c r="V17" i="52"/>
  <c r="CU17" i="52" s="1"/>
  <c r="V47" i="52"/>
  <c r="CU47" i="52" s="1"/>
  <c r="V52" i="52"/>
  <c r="CU52" i="52" s="1"/>
  <c r="V56" i="52"/>
  <c r="CU56" i="52" s="1"/>
  <c r="V59" i="52"/>
  <c r="V48" i="52"/>
  <c r="CU48" i="52" s="1"/>
  <c r="V21" i="52"/>
  <c r="CU21" i="52" s="1"/>
  <c r="V19" i="52"/>
  <c r="CU19" i="52" s="1"/>
  <c r="V25" i="52"/>
  <c r="CU25" i="52" s="1"/>
  <c r="V31" i="52"/>
  <c r="CU31" i="52" s="1"/>
  <c r="V30" i="52"/>
  <c r="CU30" i="52" s="1"/>
  <c r="V50" i="52"/>
  <c r="CU50" i="52" s="1"/>
  <c r="V20" i="52"/>
  <c r="CU20" i="52" s="1"/>
  <c r="V51" i="52"/>
  <c r="CU51" i="52" s="1"/>
  <c r="V23" i="52"/>
  <c r="CU23" i="52" s="1"/>
  <c r="V58" i="52"/>
  <c r="CU58" i="52" s="1"/>
  <c r="V49" i="52"/>
  <c r="CU49" i="52" s="1"/>
  <c r="V89" i="40"/>
  <c r="CU89" i="40" s="1"/>
  <c r="V87" i="40"/>
  <c r="CU87" i="40" s="1"/>
  <c r="V88" i="40"/>
  <c r="CU88" i="40" s="1"/>
  <c r="V86" i="40"/>
  <c r="V103" i="75"/>
  <c r="V108" i="75"/>
  <c r="V104" i="75"/>
  <c r="V89" i="75"/>
  <c r="V87" i="75"/>
  <c r="V107" i="75"/>
  <c r="V88" i="75"/>
  <c r="V105" i="75"/>
  <c r="V109" i="75"/>
  <c r="V86" i="75"/>
  <c r="V101" i="75"/>
  <c r="V106" i="75"/>
  <c r="V102" i="75"/>
  <c r="W93" i="40"/>
  <c r="J94" i="39"/>
  <c r="W50" i="52" s="1"/>
  <c r="H94" i="39"/>
  <c r="W93" i="75"/>
  <c r="I94" i="39"/>
  <c r="I94" i="57" s="1"/>
  <c r="O94" i="39"/>
  <c r="O94" i="57" s="1"/>
  <c r="M94" i="39"/>
  <c r="M94" i="57" s="1"/>
  <c r="K94" i="39"/>
  <c r="K95" i="39" s="1"/>
  <c r="N94" i="39"/>
  <c r="W57" i="52" s="1"/>
  <c r="A95" i="39"/>
  <c r="W10" i="52"/>
  <c r="L94" i="39"/>
  <c r="W301" i="40" s="1"/>
  <c r="H93" i="57"/>
  <c r="W19" i="52"/>
  <c r="W47" i="52"/>
  <c r="W31" i="52"/>
  <c r="W60" i="52"/>
  <c r="W46" i="52"/>
  <c r="W58" i="52"/>
  <c r="W17" i="52"/>
  <c r="W48" i="52"/>
  <c r="W59" i="52"/>
  <c r="W29" i="52"/>
  <c r="W18" i="52"/>
  <c r="W30" i="52"/>
  <c r="M95" i="39"/>
  <c r="X106" i="75" s="1"/>
  <c r="H94" i="57"/>
  <c r="H95" i="39"/>
  <c r="X18" i="52" s="1"/>
  <c r="O95" i="39"/>
  <c r="P94" i="57"/>
  <c r="P95" i="39"/>
  <c r="X501" i="40" s="1"/>
  <c r="N95" i="39"/>
  <c r="X28" i="52" s="1"/>
  <c r="W86" i="40"/>
  <c r="W88" i="40"/>
  <c r="W89" i="40"/>
  <c r="W87" i="40"/>
  <c r="Q94" i="57"/>
  <c r="Q95" i="39"/>
  <c r="A96" i="39"/>
  <c r="A97" i="39"/>
  <c r="A98" i="39"/>
  <c r="X93" i="40"/>
  <c r="X93" i="75"/>
  <c r="X10" i="52"/>
  <c r="W89" i="75"/>
  <c r="W101" i="75"/>
  <c r="W107" i="75"/>
  <c r="W110" i="75"/>
  <c r="W88" i="75"/>
  <c r="W106" i="75"/>
  <c r="W86" i="75"/>
  <c r="W87" i="75"/>
  <c r="W108" i="75"/>
  <c r="W109" i="75"/>
  <c r="X88" i="75"/>
  <c r="X86" i="75"/>
  <c r="X87" i="75"/>
  <c r="X89" i="75"/>
  <c r="X108" i="75"/>
  <c r="X86" i="40"/>
  <c r="X87" i="40"/>
  <c r="X89" i="40"/>
  <c r="X88" i="40"/>
  <c r="M95" i="57"/>
  <c r="AL10" i="52"/>
  <c r="A99" i="39"/>
  <c r="AL93" i="40"/>
  <c r="AK10" i="52"/>
  <c r="AK93" i="40"/>
  <c r="O95" i="57"/>
  <c r="P108" i="57"/>
  <c r="L108" i="57"/>
  <c r="AL20" i="52"/>
  <c r="AL58" i="52"/>
  <c r="AL29" i="52"/>
  <c r="AL46" i="52"/>
  <c r="AL17" i="52"/>
  <c r="AL23" i="52"/>
  <c r="AL55" i="52"/>
  <c r="AL52" i="52"/>
  <c r="AL26" i="52"/>
  <c r="N98" i="57"/>
  <c r="K98" i="57"/>
  <c r="O98" i="57"/>
  <c r="H98" i="57"/>
  <c r="Q98" i="57"/>
  <c r="I98" i="57"/>
  <c r="L98" i="57"/>
  <c r="P98" i="57"/>
  <c r="AK17" i="52"/>
  <c r="AK23" i="52"/>
  <c r="AK29" i="52"/>
  <c r="AK58" i="52"/>
  <c r="AK20" i="52"/>
  <c r="AK52" i="52"/>
  <c r="AK26" i="52"/>
  <c r="AK55" i="52"/>
  <c r="AK46" i="52"/>
  <c r="Y93" i="40"/>
  <c r="A100" i="39"/>
  <c r="A101" i="39"/>
  <c r="Y10" i="52"/>
  <c r="Y93" i="75"/>
  <c r="AA601" i="40"/>
  <c r="R108" i="57"/>
  <c r="G48" i="58"/>
  <c r="IO93" i="40"/>
  <c r="F93" i="40"/>
  <c r="F93" i="75"/>
  <c r="A102" i="39"/>
  <c r="F10" i="52"/>
  <c r="Y88" i="40"/>
  <c r="Y86" i="40"/>
  <c r="Y89" i="40"/>
  <c r="Y87" i="40"/>
  <c r="Y86" i="75"/>
  <c r="Y87" i="75"/>
  <c r="Y88" i="75"/>
  <c r="Y89" i="75"/>
  <c r="IP93" i="40"/>
  <c r="G93" i="40"/>
  <c r="G10" i="52"/>
  <c r="A103" i="39"/>
  <c r="G93" i="75"/>
  <c r="F107" i="75"/>
  <c r="F103" i="75"/>
  <c r="F104" i="75"/>
  <c r="F112" i="75"/>
  <c r="F111" i="75"/>
  <c r="F101" i="75"/>
  <c r="F102" i="75"/>
  <c r="F89" i="75"/>
  <c r="F110" i="75"/>
  <c r="F109" i="75"/>
  <c r="F106" i="75"/>
  <c r="F108" i="75"/>
  <c r="F105" i="75"/>
  <c r="F86" i="75"/>
  <c r="F88" i="75"/>
  <c r="F87" i="75"/>
  <c r="F86" i="40"/>
  <c r="F87" i="40"/>
  <c r="F88" i="40"/>
  <c r="F89" i="40"/>
  <c r="J48" i="58"/>
  <c r="G89" i="75"/>
  <c r="G111" i="75"/>
  <c r="G102" i="75"/>
  <c r="G86" i="75"/>
  <c r="G112" i="75"/>
  <c r="G108" i="75"/>
  <c r="G110" i="75"/>
  <c r="G109" i="75"/>
  <c r="G101" i="75"/>
  <c r="G87" i="75"/>
  <c r="G105" i="75"/>
  <c r="G106" i="75"/>
  <c r="G88" i="75"/>
  <c r="G103" i="75"/>
  <c r="G107" i="75"/>
  <c r="G104" i="75"/>
  <c r="A104" i="39"/>
  <c r="H10" i="52"/>
  <c r="H93" i="40"/>
  <c r="H93" i="75"/>
  <c r="IQ93" i="40"/>
  <c r="G51" i="52"/>
  <c r="G56" i="52"/>
  <c r="G29" i="52"/>
  <c r="G27" i="52"/>
  <c r="G46" i="52"/>
  <c r="G58" i="52"/>
  <c r="G24" i="52"/>
  <c r="G17" i="52"/>
  <c r="G60" i="52"/>
  <c r="G22" i="52"/>
  <c r="G54" i="52"/>
  <c r="G50" i="52"/>
  <c r="G28" i="52"/>
  <c r="G31" i="52"/>
  <c r="G55" i="52"/>
  <c r="G49" i="52"/>
  <c r="G21" i="52"/>
  <c r="G23" i="52"/>
  <c r="G52" i="52"/>
  <c r="G47" i="52"/>
  <c r="G19" i="52"/>
  <c r="G25" i="52"/>
  <c r="G57" i="52"/>
  <c r="G59" i="52"/>
  <c r="G53" i="52"/>
  <c r="G48" i="52"/>
  <c r="G26" i="52"/>
  <c r="G18" i="52"/>
  <c r="G20" i="52"/>
  <c r="G30" i="52"/>
  <c r="G89" i="40"/>
  <c r="G87" i="40"/>
  <c r="G88" i="40"/>
  <c r="G86" i="40"/>
  <c r="H89" i="75"/>
  <c r="H101" i="75"/>
  <c r="H105" i="75"/>
  <c r="H108" i="75"/>
  <c r="H109" i="75"/>
  <c r="H104" i="75"/>
  <c r="H87" i="75"/>
  <c r="H112" i="75"/>
  <c r="H107" i="75"/>
  <c r="H102" i="75"/>
  <c r="H106" i="75"/>
  <c r="H88" i="75"/>
  <c r="H111" i="75"/>
  <c r="H103" i="75"/>
  <c r="H86" i="75"/>
  <c r="H110" i="75"/>
  <c r="I10" i="52"/>
  <c r="A105" i="39"/>
  <c r="A106" i="39"/>
  <c r="I93" i="75"/>
  <c r="I93" i="40"/>
  <c r="H87" i="40"/>
  <c r="H86" i="40"/>
  <c r="H89" i="40"/>
  <c r="H88" i="40"/>
  <c r="I88" i="40"/>
  <c r="I86" i="40"/>
  <c r="I89" i="40"/>
  <c r="I87" i="40"/>
  <c r="I86" i="75"/>
  <c r="I88" i="75"/>
  <c r="I112" i="75"/>
  <c r="I107" i="75"/>
  <c r="I102" i="75"/>
  <c r="I105" i="75"/>
  <c r="I101" i="75"/>
  <c r="I89" i="75"/>
  <c r="I109" i="75"/>
  <c r="I108" i="75"/>
  <c r="I111" i="75"/>
  <c r="I87" i="75"/>
  <c r="I110" i="75"/>
  <c r="I106" i="75"/>
  <c r="I103" i="75"/>
  <c r="I104" i="75"/>
  <c r="J106" i="39"/>
  <c r="Z201" i="40" s="1"/>
  <c r="H106" i="39"/>
  <c r="L106" i="39"/>
  <c r="Z301" i="40" s="1"/>
  <c r="P106" i="39"/>
  <c r="Z501" i="40" s="1"/>
  <c r="O106" i="39"/>
  <c r="O106" i="57" s="1"/>
  <c r="Z93" i="75"/>
  <c r="Z93" i="40"/>
  <c r="M106" i="39"/>
  <c r="A105" i="75" s="1"/>
  <c r="Q106" i="39"/>
  <c r="Z110" i="75" s="1"/>
  <c r="I106" i="39"/>
  <c r="Z10" i="52"/>
  <c r="A107" i="39"/>
  <c r="A108" i="39"/>
  <c r="N106" i="39"/>
  <c r="K106" i="39"/>
  <c r="Z104" i="75" s="1"/>
  <c r="H106" i="57"/>
  <c r="Z51" i="52"/>
  <c r="Z19" i="52"/>
  <c r="Z20" i="52"/>
  <c r="Z48" i="52"/>
  <c r="Z22" i="52"/>
  <c r="Z53" i="52"/>
  <c r="Z21" i="52"/>
  <c r="Z25" i="52"/>
  <c r="Z88" i="40"/>
  <c r="Z87" i="40"/>
  <c r="Z89" i="40"/>
  <c r="Z86" i="40"/>
  <c r="Z86" i="75"/>
  <c r="Z89" i="75"/>
  <c r="Z102" i="75"/>
  <c r="Z87" i="75"/>
  <c r="Z108" i="75"/>
  <c r="Z88" i="75"/>
  <c r="N106" i="57"/>
  <c r="A104" i="75"/>
  <c r="A109" i="39"/>
  <c r="A110" i="39"/>
  <c r="A111" i="39"/>
  <c r="AA10" i="52"/>
  <c r="AA93" i="75"/>
  <c r="AA93" i="40"/>
  <c r="AA86" i="40"/>
  <c r="AA88" i="40"/>
  <c r="AA87" i="40"/>
  <c r="AB93" i="40"/>
  <c r="AA98" i="40"/>
  <c r="AA89" i="40"/>
  <c r="AA86" i="75"/>
  <c r="AA87" i="75"/>
  <c r="AA111" i="75"/>
  <c r="AA88" i="75"/>
  <c r="AB93" i="75"/>
  <c r="AA98" i="75"/>
  <c r="AA105" i="75"/>
  <c r="AA109" i="75"/>
  <c r="AA89" i="75"/>
  <c r="AA106" i="75"/>
  <c r="AB10" i="52"/>
  <c r="AA53" i="52"/>
  <c r="AA60" i="52"/>
  <c r="AA52" i="52"/>
  <c r="AA58" i="52"/>
  <c r="AA24" i="52"/>
  <c r="AA59" i="52"/>
  <c r="AA25" i="52"/>
  <c r="AA54" i="52"/>
  <c r="AA23" i="52"/>
  <c r="AA29" i="52"/>
  <c r="AA31" i="52"/>
  <c r="AA14" i="52"/>
  <c r="AA30" i="52"/>
  <c r="A112" i="39"/>
  <c r="A113" i="39"/>
  <c r="A114" i="39"/>
  <c r="AC93" i="40"/>
  <c r="AC93" i="75"/>
  <c r="AC10" i="52"/>
  <c r="AB48" i="52"/>
  <c r="AB20" i="52"/>
  <c r="AB30" i="52"/>
  <c r="AB23" i="52"/>
  <c r="AB58" i="52"/>
  <c r="AB51" i="52"/>
  <c r="AB55" i="52"/>
  <c r="AB49" i="52"/>
  <c r="AB47" i="52"/>
  <c r="AB60" i="52"/>
  <c r="AB57" i="52"/>
  <c r="AB29" i="52"/>
  <c r="AB31" i="52"/>
  <c r="AB25" i="52"/>
  <c r="AB21" i="52"/>
  <c r="AB18" i="52"/>
  <c r="AB52" i="52"/>
  <c r="AB53" i="52"/>
  <c r="AB22" i="52"/>
  <c r="AB24" i="52"/>
  <c r="AB17" i="52"/>
  <c r="AB28" i="52"/>
  <c r="AB56" i="52"/>
  <c r="AB46" i="52"/>
  <c r="AB19" i="52"/>
  <c r="AB26" i="52"/>
  <c r="AB59" i="52"/>
  <c r="AB50" i="52"/>
  <c r="AB27" i="52"/>
  <c r="AB54" i="52"/>
  <c r="AC87" i="75"/>
  <c r="AC103" i="75"/>
  <c r="AC105" i="75"/>
  <c r="AC88" i="75"/>
  <c r="AC101" i="75"/>
  <c r="AC183" i="75" s="1"/>
  <c r="AC98" i="75"/>
  <c r="AC102" i="75"/>
  <c r="AC106" i="75"/>
  <c r="AD93" i="75"/>
  <c r="AC89" i="75"/>
  <c r="AC104" i="75"/>
  <c r="AC86" i="75"/>
  <c r="AD10" i="52"/>
  <c r="AC14" i="52"/>
  <c r="AC86" i="40"/>
  <c r="AC89" i="40"/>
  <c r="AC98" i="40"/>
  <c r="AD93" i="40"/>
  <c r="AC87" i="40"/>
  <c r="AC88" i="40"/>
  <c r="AB87" i="75"/>
  <c r="AB88" i="75"/>
  <c r="AB107" i="75"/>
  <c r="AB104" i="75"/>
  <c r="AB89" i="75"/>
  <c r="AB109" i="75"/>
  <c r="AB101" i="75"/>
  <c r="AB102" i="75"/>
  <c r="AB86" i="75"/>
  <c r="AB112" i="75"/>
  <c r="AB103" i="75"/>
  <c r="AB106" i="75"/>
  <c r="AB108" i="75"/>
  <c r="AB110" i="75"/>
  <c r="AB111" i="75"/>
  <c r="AB105" i="75"/>
  <c r="AB87" i="40"/>
  <c r="AB86" i="40"/>
  <c r="AB88" i="40"/>
  <c r="AB89" i="40"/>
  <c r="AE93" i="75"/>
  <c r="AE93" i="40"/>
  <c r="A115" i="39"/>
  <c r="A116" i="39"/>
  <c r="A117" i="39"/>
  <c r="AE10" i="52"/>
  <c r="AG10" i="52"/>
  <c r="A118" i="39"/>
  <c r="A119" i="39"/>
  <c r="A120" i="39"/>
  <c r="AG93" i="75"/>
  <c r="AG93" i="40"/>
  <c r="AE14" i="52"/>
  <c r="AF10" i="52"/>
  <c r="AD103" i="75"/>
  <c r="AD108" i="75"/>
  <c r="AD88" i="75"/>
  <c r="AD105" i="75"/>
  <c r="AD86" i="75"/>
  <c r="AD87" i="75"/>
  <c r="AD102" i="75"/>
  <c r="AD89" i="75"/>
  <c r="AD101" i="75"/>
  <c r="AD104" i="75"/>
  <c r="AD106" i="75"/>
  <c r="AD86" i="40"/>
  <c r="AD89" i="40"/>
  <c r="AD87" i="40"/>
  <c r="AD88" i="40"/>
  <c r="AE86" i="40"/>
  <c r="AE87" i="40"/>
  <c r="AF93" i="40"/>
  <c r="AE89" i="40"/>
  <c r="AE98" i="40"/>
  <c r="AE88" i="40"/>
  <c r="AE98" i="75"/>
  <c r="AF93" i="75"/>
  <c r="AE89" i="75"/>
  <c r="AE109" i="75"/>
  <c r="AE103" i="75"/>
  <c r="AE112" i="75"/>
  <c r="AE86" i="75"/>
  <c r="AE104" i="75"/>
  <c r="AE88" i="75"/>
  <c r="AE101" i="75"/>
  <c r="AE108" i="75"/>
  <c r="AE111" i="75"/>
  <c r="AE106" i="75"/>
  <c r="AE87" i="75"/>
  <c r="AE107" i="75"/>
  <c r="AE102" i="75"/>
  <c r="AE110" i="75"/>
  <c r="AE105" i="75"/>
  <c r="O48" i="58"/>
  <c r="K48" i="58"/>
  <c r="AG20" i="52"/>
  <c r="AG58" i="52"/>
  <c r="AG31" i="52"/>
  <c r="AG50" i="52"/>
  <c r="AG52" i="52"/>
  <c r="AG23" i="52"/>
  <c r="AG22" i="52"/>
  <c r="AG53" i="52"/>
  <c r="AG56" i="52"/>
  <c r="AG25" i="52"/>
  <c r="AG24" i="52"/>
  <c r="AG54" i="52"/>
  <c r="AG28" i="52"/>
  <c r="AG19" i="52"/>
  <c r="AG51" i="52"/>
  <c r="AG57" i="52"/>
  <c r="AG29" i="52"/>
  <c r="AH10" i="52"/>
  <c r="AG30" i="52"/>
  <c r="AG48" i="52"/>
  <c r="AG26" i="52"/>
  <c r="AG46" i="52"/>
  <c r="AG17" i="52"/>
  <c r="AG59" i="52"/>
  <c r="AG55" i="52"/>
  <c r="AG21" i="52"/>
  <c r="AG27" i="52"/>
  <c r="AG18" i="52"/>
  <c r="AG60" i="52"/>
  <c r="AG49" i="52"/>
  <c r="AG14" i="52"/>
  <c r="AG47" i="52"/>
  <c r="AG87" i="40"/>
  <c r="AG86" i="40"/>
  <c r="AG98" i="40"/>
  <c r="AG89" i="40"/>
  <c r="AG88" i="40"/>
  <c r="AH93" i="40"/>
  <c r="AF87" i="40"/>
  <c r="AF86" i="40"/>
  <c r="AF88" i="40"/>
  <c r="AF89" i="40"/>
  <c r="AH93" i="75"/>
  <c r="AG87" i="75"/>
  <c r="AG101" i="75"/>
  <c r="AG104" i="75"/>
  <c r="AG112" i="75"/>
  <c r="AG111" i="75"/>
  <c r="AG106" i="75"/>
  <c r="AG107" i="75"/>
  <c r="AG105" i="75"/>
  <c r="AG88" i="75"/>
  <c r="AG108" i="75"/>
  <c r="AG109" i="75"/>
  <c r="AG110" i="75"/>
  <c r="AG98" i="75"/>
  <c r="AG103" i="75"/>
  <c r="AG89" i="75"/>
  <c r="AG86" i="75"/>
  <c r="AG102" i="75"/>
  <c r="AF104" i="75"/>
  <c r="AF88" i="75"/>
  <c r="AF107" i="75"/>
  <c r="AF110" i="75"/>
  <c r="AF87" i="75"/>
  <c r="AF105" i="75"/>
  <c r="AF86" i="75"/>
  <c r="AF89" i="75"/>
  <c r="AF101" i="75"/>
  <c r="AF103" i="75"/>
  <c r="AF112" i="75"/>
  <c r="AF102" i="75"/>
  <c r="AF106" i="75"/>
  <c r="AF108" i="75"/>
  <c r="AI93" i="75"/>
  <c r="AI93" i="40"/>
  <c r="AI10" i="52"/>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H88" i="75"/>
  <c r="AH111" i="75"/>
  <c r="AH102" i="75"/>
  <c r="AH108" i="75"/>
  <c r="AH103" i="75"/>
  <c r="AH105" i="75"/>
  <c r="AH86" i="75"/>
  <c r="AH110" i="75"/>
  <c r="AH107" i="75"/>
  <c r="AH101" i="75"/>
  <c r="AH109" i="75"/>
  <c r="AH104" i="75"/>
  <c r="AH87" i="75"/>
  <c r="AH89" i="75"/>
  <c r="AH60" i="52"/>
  <c r="AH53" i="52"/>
  <c r="AH28" i="52"/>
  <c r="AH31" i="52"/>
  <c r="AH22" i="52"/>
  <c r="AH25" i="52"/>
  <c r="AH18" i="52"/>
  <c r="AH46" i="52"/>
  <c r="AH17" i="52"/>
  <c r="AH57" i="52"/>
  <c r="AH48" i="52"/>
  <c r="AH56" i="52"/>
  <c r="AH54" i="52"/>
  <c r="AH51" i="52"/>
  <c r="AH23" i="52"/>
  <c r="AH27" i="52"/>
  <c r="AH50" i="52"/>
  <c r="AH52" i="52"/>
  <c r="AH59" i="52"/>
  <c r="AH47" i="52"/>
  <c r="AH20" i="52"/>
  <c r="AH21" i="52"/>
  <c r="AH26" i="52"/>
  <c r="AH49" i="52"/>
  <c r="AH55" i="52"/>
  <c r="AH19" i="52"/>
  <c r="AH58" i="52"/>
  <c r="AH24" i="52"/>
  <c r="AH30" i="52"/>
  <c r="AH29" i="52"/>
  <c r="AI14" i="52"/>
  <c r="AJ10" i="52"/>
  <c r="L48" i="58"/>
  <c r="AI89" i="40"/>
  <c r="AJ93" i="40"/>
  <c r="AI87" i="40"/>
  <c r="AI86" i="40"/>
  <c r="AI98" i="40"/>
  <c r="AI88" i="40"/>
  <c r="AH89" i="40"/>
  <c r="AH87" i="40"/>
  <c r="AH88" i="40"/>
  <c r="AH86" i="40"/>
  <c r="AJ93" i="75"/>
  <c r="AI102" i="75"/>
  <c r="AI111" i="75"/>
  <c r="AI103" i="75"/>
  <c r="AI105" i="75"/>
  <c r="AI86" i="75"/>
  <c r="AI110" i="75"/>
  <c r="AI101" i="75"/>
  <c r="AI183" i="75" s="1"/>
  <c r="AI104" i="75"/>
  <c r="AI112" i="75"/>
  <c r="AI108" i="75"/>
  <c r="AI87" i="75"/>
  <c r="AI98" i="75"/>
  <c r="AI106" i="75"/>
  <c r="AI89" i="75"/>
  <c r="AI109" i="75"/>
  <c r="AI88" i="75"/>
  <c r="AI107" i="75"/>
  <c r="AJ86" i="40"/>
  <c r="AJ87" i="40"/>
  <c r="AJ89" i="40"/>
  <c r="AJ88" i="40"/>
  <c r="AJ88" i="75"/>
  <c r="AJ103" i="75"/>
  <c r="AJ86" i="75"/>
  <c r="AJ106" i="75"/>
  <c r="AJ110" i="75"/>
  <c r="AJ107" i="75"/>
  <c r="AJ108" i="75"/>
  <c r="AJ87" i="75"/>
  <c r="AJ112" i="75"/>
  <c r="AJ101" i="75"/>
  <c r="AJ104" i="75"/>
  <c r="AJ89" i="75"/>
  <c r="AJ102" i="75"/>
  <c r="AJ105" i="75"/>
  <c r="AE48" i="58"/>
  <c r="AF48" i="58"/>
  <c r="AC54" i="52" l="1"/>
  <c r="W20" i="52"/>
  <c r="T29" i="52"/>
  <c r="CS29" i="52" s="1"/>
  <c r="T59" i="52"/>
  <c r="CS59" i="52" s="1"/>
  <c r="T31" i="52"/>
  <c r="CS31" i="52" s="1"/>
  <c r="R24" i="52"/>
  <c r="CQ24" i="52" s="1"/>
  <c r="R53" i="52"/>
  <c r="CQ53" i="52" s="1"/>
  <c r="R23" i="52"/>
  <c r="CQ23" i="52" s="1"/>
  <c r="L89" i="57"/>
  <c r="HL60" i="52"/>
  <c r="P25" i="39"/>
  <c r="HK57" i="52"/>
  <c r="HJ29" i="52"/>
  <c r="HJ48" i="52"/>
  <c r="R29" i="39"/>
  <c r="W49" i="52"/>
  <c r="T52" i="52"/>
  <c r="CS52" i="52" s="1"/>
  <c r="L106" i="57"/>
  <c r="Z60" i="52"/>
  <c r="P95" i="57"/>
  <c r="T58" i="52"/>
  <c r="CS58" i="52" s="1"/>
  <c r="T60" i="52"/>
  <c r="CS60" i="52" s="1"/>
  <c r="S27" i="52"/>
  <c r="CR27" i="52" s="1"/>
  <c r="S19" i="52"/>
  <c r="CR19" i="52" s="1"/>
  <c r="S26" i="52"/>
  <c r="CR26" i="52" s="1"/>
  <c r="L91" i="57"/>
  <c r="H89" i="57"/>
  <c r="N90" i="57"/>
  <c r="R46" i="52"/>
  <c r="CQ46" i="52" s="1"/>
  <c r="R52" i="52"/>
  <c r="CQ52" i="52" s="1"/>
  <c r="R18" i="52"/>
  <c r="CQ18" i="52" s="1"/>
  <c r="Q20" i="52"/>
  <c r="HL30" i="52"/>
  <c r="HK28" i="52"/>
  <c r="HK56" i="52"/>
  <c r="HJ59" i="52"/>
  <c r="HJ60" i="52"/>
  <c r="HJ47" i="52"/>
  <c r="HJ18" i="52"/>
  <c r="E22" i="52"/>
  <c r="E31" i="52"/>
  <c r="J95" i="39"/>
  <c r="X21" i="52" s="1"/>
  <c r="Z105" i="75"/>
  <c r="Z52" i="52"/>
  <c r="DB52" i="52" s="1"/>
  <c r="W103" i="75"/>
  <c r="Z23" i="52"/>
  <c r="Z24" i="52"/>
  <c r="Z54" i="52"/>
  <c r="DB54" i="52" s="1"/>
  <c r="X101" i="75"/>
  <c r="X19" i="52"/>
  <c r="L94" i="57"/>
  <c r="W24" i="52"/>
  <c r="W56" i="52"/>
  <c r="T54" i="52"/>
  <c r="CS54" i="52" s="1"/>
  <c r="T30" i="52"/>
  <c r="CS30" i="52" s="1"/>
  <c r="T109" i="75"/>
  <c r="S107" i="75"/>
  <c r="R47" i="52"/>
  <c r="CQ47" i="52" s="1"/>
  <c r="Q60" i="52"/>
  <c r="Q21" i="52"/>
  <c r="Q51" i="52"/>
  <c r="Q22" i="52"/>
  <c r="HL59" i="52"/>
  <c r="H25" i="39"/>
  <c r="HK27" i="52"/>
  <c r="HJ30" i="52"/>
  <c r="E50" i="52"/>
  <c r="E58" i="52"/>
  <c r="A183" i="75"/>
  <c r="Q106" i="57"/>
  <c r="W112" i="75"/>
  <c r="S94" i="57"/>
  <c r="Q111" i="57"/>
  <c r="AC110" i="75"/>
  <c r="L88" i="57"/>
  <c r="Q301" i="40"/>
  <c r="AD54" i="52"/>
  <c r="CI54" i="52" s="1"/>
  <c r="P106" i="57"/>
  <c r="J106" i="57"/>
  <c r="Z106" i="75"/>
  <c r="Z103" i="75"/>
  <c r="Z31" i="52"/>
  <c r="Z49" i="52"/>
  <c r="DB49" i="52" s="1"/>
  <c r="Z30" i="52"/>
  <c r="DB30" i="52" s="1"/>
  <c r="Z59" i="52"/>
  <c r="DB59" i="52" s="1"/>
  <c r="AL49" i="52"/>
  <c r="J98" i="57"/>
  <c r="IY302" i="40"/>
  <c r="X109" i="75"/>
  <c r="X30" i="52"/>
  <c r="X60" i="52"/>
  <c r="X29" i="52"/>
  <c r="W102" i="75"/>
  <c r="I95" i="39"/>
  <c r="W54" i="52"/>
  <c r="V57" i="52"/>
  <c r="CU57" i="52" s="1"/>
  <c r="V26" i="52"/>
  <c r="CU26" i="52" s="1"/>
  <c r="Q93" i="57"/>
  <c r="U59" i="52"/>
  <c r="CT59" i="52" s="1"/>
  <c r="U19" i="52"/>
  <c r="CT19" i="52" s="1"/>
  <c r="P92" i="57"/>
  <c r="U101" i="75"/>
  <c r="T47" i="52"/>
  <c r="CS47" i="52" s="1"/>
  <c r="T101" i="75"/>
  <c r="R51" i="52"/>
  <c r="CQ51" i="52" s="1"/>
  <c r="R26" i="52"/>
  <c r="CQ26" i="52" s="1"/>
  <c r="R50" i="52"/>
  <c r="CQ50" i="52" s="1"/>
  <c r="Q106" i="75"/>
  <c r="Q107" i="75"/>
  <c r="Q109" i="75"/>
  <c r="Q27" i="52"/>
  <c r="Q30" i="52"/>
  <c r="Q54" i="52"/>
  <c r="CP54" i="52" s="1"/>
  <c r="Q29" i="52"/>
  <c r="E108" i="75"/>
  <c r="HL57" i="52"/>
  <c r="HL54" i="52"/>
  <c r="J25" i="39"/>
  <c r="HK21" i="52"/>
  <c r="HK22" i="52"/>
  <c r="HJ24" i="52"/>
  <c r="HJ53" i="52"/>
  <c r="AD23" i="52"/>
  <c r="AD51" i="52"/>
  <c r="R27" i="39"/>
  <c r="R90" i="39" s="1"/>
  <c r="AD52" i="52"/>
  <c r="E49" i="52"/>
  <c r="E201" i="40"/>
  <c r="AC108" i="75"/>
  <c r="R106" i="39"/>
  <c r="Z109" i="75"/>
  <c r="Z58" i="52"/>
  <c r="DB58" i="52" s="1"/>
  <c r="Z50" i="52"/>
  <c r="DB50" i="52" s="1"/>
  <c r="Z29" i="52"/>
  <c r="Z26" i="52"/>
  <c r="DB26" i="52" s="1"/>
  <c r="Z401" i="40"/>
  <c r="DB401" i="40" s="1"/>
  <c r="A102" i="75"/>
  <c r="X58" i="52"/>
  <c r="W25" i="52"/>
  <c r="W23" i="52"/>
  <c r="X49" i="52"/>
  <c r="X201" i="40"/>
  <c r="W22" i="52"/>
  <c r="W201" i="40"/>
  <c r="CU201" i="40" s="1"/>
  <c r="V55" i="52"/>
  <c r="CU55" i="52" s="1"/>
  <c r="H92" i="57"/>
  <c r="N93" i="57"/>
  <c r="U60" i="52"/>
  <c r="U30" i="52"/>
  <c r="CT30" i="52" s="1"/>
  <c r="U58" i="52"/>
  <c r="CT58" i="52" s="1"/>
  <c r="U29" i="52"/>
  <c r="CT29" i="52" s="1"/>
  <c r="T48" i="52"/>
  <c r="CS48" i="52" s="1"/>
  <c r="R57" i="52"/>
  <c r="CQ57" i="52" s="1"/>
  <c r="R22" i="52"/>
  <c r="CQ22" i="52" s="1"/>
  <c r="S91" i="39"/>
  <c r="T602" i="40" s="1"/>
  <c r="CR602" i="40" s="1"/>
  <c r="Q105" i="75"/>
  <c r="Q56" i="52"/>
  <c r="Q59" i="52"/>
  <c r="Q28" i="52"/>
  <c r="N89" i="57"/>
  <c r="R88" i="39"/>
  <c r="S89" i="39"/>
  <c r="E103" i="75"/>
  <c r="HL28" i="52"/>
  <c r="HL53" i="52"/>
  <c r="L25" i="39"/>
  <c r="HK20" i="52"/>
  <c r="HK49" i="52"/>
  <c r="HK51" i="52"/>
  <c r="HJ54" i="52"/>
  <c r="IX301" i="40"/>
  <c r="R92" i="39"/>
  <c r="U301" i="40"/>
  <c r="CS301" i="40" s="1"/>
  <c r="R94" i="39"/>
  <c r="E20" i="52"/>
  <c r="AD22" i="52"/>
  <c r="HL26" i="52"/>
  <c r="M106" i="57"/>
  <c r="AD24" i="52"/>
  <c r="AD53" i="52"/>
  <c r="X59" i="52"/>
  <c r="X31" i="52"/>
  <c r="W105" i="75"/>
  <c r="L95" i="39"/>
  <c r="X56" i="52"/>
  <c r="X401" i="40"/>
  <c r="W52" i="52"/>
  <c r="W53" i="52"/>
  <c r="W28" i="52"/>
  <c r="W401" i="40"/>
  <c r="V28" i="52"/>
  <c r="CU28" i="52" s="1"/>
  <c r="U31" i="52"/>
  <c r="CT31" i="52" s="1"/>
  <c r="U109" i="75"/>
  <c r="R91" i="39"/>
  <c r="T601" i="40" s="1"/>
  <c r="R103" i="75"/>
  <c r="R27" i="52"/>
  <c r="CQ27" i="52" s="1"/>
  <c r="R49" i="52"/>
  <c r="CQ49" i="52" s="1"/>
  <c r="R20" i="52"/>
  <c r="CQ20" i="52" s="1"/>
  <c r="Q25" i="52"/>
  <c r="Q31" i="52"/>
  <c r="Q55" i="52"/>
  <c r="Q52" i="52"/>
  <c r="P88" i="57"/>
  <c r="N88" i="57"/>
  <c r="HL27" i="52"/>
  <c r="HL24" i="52"/>
  <c r="N25" i="39"/>
  <c r="O111" i="57"/>
  <c r="L112" i="57"/>
  <c r="AD21" i="52"/>
  <c r="AD25" i="52"/>
  <c r="AJ401" i="40"/>
  <c r="IY699" i="40"/>
  <c r="AF602" i="40"/>
  <c r="JI692" i="40"/>
  <c r="JH700" i="40"/>
  <c r="R602" i="40"/>
  <c r="BM602" i="40"/>
  <c r="CE402" i="40"/>
  <c r="DT102" i="40"/>
  <c r="CB102" i="40"/>
  <c r="BQ102" i="40"/>
  <c r="L102" i="40"/>
  <c r="CL102" i="40" s="1"/>
  <c r="BB602" i="40"/>
  <c r="DU602" i="40"/>
  <c r="BG602" i="40"/>
  <c r="AN16" i="62"/>
  <c r="HM700" i="40"/>
  <c r="JO402" i="40"/>
  <c r="DV602" i="40"/>
  <c r="CB602" i="40"/>
  <c r="IY695" i="40"/>
  <c r="A502" i="40"/>
  <c r="HO700" i="40"/>
  <c r="AN14" i="58"/>
  <c r="HO689" i="40"/>
  <c r="HM694" i="40"/>
  <c r="HM696" i="40"/>
  <c r="HO698" i="40"/>
  <c r="CH602" i="40"/>
  <c r="BE602" i="40"/>
  <c r="AY602" i="40"/>
  <c r="IY689" i="40"/>
  <c r="IM689" i="40" s="1"/>
  <c r="BZ602" i="40"/>
  <c r="CC602" i="40"/>
  <c r="AW602" i="40"/>
  <c r="BL602" i="40"/>
  <c r="BS602" i="40"/>
  <c r="BK602" i="40"/>
  <c r="BR602" i="40"/>
  <c r="BU602" i="40"/>
  <c r="DT602" i="40"/>
  <c r="BD602" i="40"/>
  <c r="CE602" i="40"/>
  <c r="IM699" i="40"/>
  <c r="DM602" i="40"/>
  <c r="BV602" i="40"/>
  <c r="BF602" i="40"/>
  <c r="CG602" i="40"/>
  <c r="BQ602" i="40"/>
  <c r="BA602" i="40"/>
  <c r="CF602" i="40"/>
  <c r="BP602" i="40"/>
  <c r="AZ602" i="40"/>
  <c r="L602" i="40"/>
  <c r="CL602" i="40" s="1"/>
  <c r="G602" i="40"/>
  <c r="BW602" i="40"/>
  <c r="BC602" i="40"/>
  <c r="AC602" i="40"/>
  <c r="JH690" i="40"/>
  <c r="JK692" i="40"/>
  <c r="IM693" i="40"/>
  <c r="IL700" i="40"/>
  <c r="KN602" i="40"/>
  <c r="CD602" i="40"/>
  <c r="BN602" i="40"/>
  <c r="AX602" i="40"/>
  <c r="N602" i="40"/>
  <c r="CN602" i="40" s="1"/>
  <c r="BY602" i="40"/>
  <c r="BI602" i="40"/>
  <c r="M602" i="40"/>
  <c r="CM602" i="40" s="1"/>
  <c r="BX602" i="40"/>
  <c r="BH602" i="40"/>
  <c r="C603" i="40"/>
  <c r="G603" i="40" s="1"/>
  <c r="DS602" i="40"/>
  <c r="BO602" i="40"/>
  <c r="K602" i="40"/>
  <c r="CK602" i="40" s="1"/>
  <c r="AE602" i="40"/>
  <c r="IX690" i="40"/>
  <c r="B103" i="40"/>
  <c r="B104" i="40" s="1"/>
  <c r="B105" i="40" s="1"/>
  <c r="B106" i="40" s="1"/>
  <c r="B107" i="40" s="1"/>
  <c r="B108" i="40" s="1"/>
  <c r="B109" i="40" s="1"/>
  <c r="B110" i="40" s="1"/>
  <c r="B111" i="40" s="1"/>
  <c r="B112" i="40" s="1"/>
  <c r="B113" i="40" s="1"/>
  <c r="B114" i="40" s="1"/>
  <c r="B115" i="40" s="1"/>
  <c r="B116" i="40" s="1"/>
  <c r="B117" i="40" s="1"/>
  <c r="B118" i="40" s="1"/>
  <c r="B119" i="40" s="1"/>
  <c r="B120" i="40" s="1"/>
  <c r="B121" i="40" s="1"/>
  <c r="B122" i="40" s="1"/>
  <c r="B123" i="40" s="1"/>
  <c r="B124" i="40" s="1"/>
  <c r="B125" i="40" s="1"/>
  <c r="B126" i="40" s="1"/>
  <c r="B127" i="40" s="1"/>
  <c r="B128" i="40" s="1"/>
  <c r="B129" i="40" s="1"/>
  <c r="B130" i="40" s="1"/>
  <c r="B131" i="40" s="1"/>
  <c r="B132" i="40" s="1"/>
  <c r="B133" i="40" s="1"/>
  <c r="B134" i="40" s="1"/>
  <c r="B135" i="40" s="1"/>
  <c r="B136" i="40" s="1"/>
  <c r="B137" i="40" s="1"/>
  <c r="B138" i="40" s="1"/>
  <c r="B139" i="40" s="1"/>
  <c r="B140" i="40" s="1"/>
  <c r="B141" i="40" s="1"/>
  <c r="B142" i="40" s="1"/>
  <c r="B143" i="40" s="1"/>
  <c r="B144" i="40" s="1"/>
  <c r="B145" i="40" s="1"/>
  <c r="B146" i="40" s="1"/>
  <c r="B147" i="40" s="1"/>
  <c r="B148" i="40" s="1"/>
  <c r="B149" i="40" s="1"/>
  <c r="B150" i="40" s="1"/>
  <c r="B151" i="40" s="1"/>
  <c r="B152" i="40" s="1"/>
  <c r="B153" i="40" s="1"/>
  <c r="B154" i="40" s="1"/>
  <c r="B155" i="40" s="1"/>
  <c r="B156" i="40" s="1"/>
  <c r="B157" i="40" s="1"/>
  <c r="B158" i="40" s="1"/>
  <c r="B159" i="40" s="1"/>
  <c r="B160" i="40" s="1"/>
  <c r="B161" i="40" s="1"/>
  <c r="B162" i="40" s="1"/>
  <c r="B163" i="40" s="1"/>
  <c r="B164" i="40" s="1"/>
  <c r="B165" i="40" s="1"/>
  <c r="B166" i="40" s="1"/>
  <c r="B167" i="40" s="1"/>
  <c r="B168" i="40" s="1"/>
  <c r="B169" i="40" s="1"/>
  <c r="B170" i="40" s="1"/>
  <c r="B171" i="40" s="1"/>
  <c r="B172" i="40" s="1"/>
  <c r="B173" i="40" s="1"/>
  <c r="B174" i="40" s="1"/>
  <c r="B175" i="40" s="1"/>
  <c r="B176" i="40" s="1"/>
  <c r="B177" i="40" s="1"/>
  <c r="B178" i="40" s="1"/>
  <c r="B179" i="40" s="1"/>
  <c r="B180" i="40" s="1"/>
  <c r="B181" i="40" s="1"/>
  <c r="B182" i="40" s="1"/>
  <c r="B183" i="40" s="1"/>
  <c r="B184" i="40" s="1"/>
  <c r="B185" i="40" s="1"/>
  <c r="B186" i="40" s="1"/>
  <c r="B187" i="40" s="1"/>
  <c r="B188" i="40" s="1"/>
  <c r="B189" i="40" s="1"/>
  <c r="B190" i="40" s="1"/>
  <c r="B191" i="40" s="1"/>
  <c r="B192" i="40" s="1"/>
  <c r="B193" i="40" s="1"/>
  <c r="B194" i="40" s="1"/>
  <c r="B195" i="40" s="1"/>
  <c r="B196" i="40" s="1"/>
  <c r="B197" i="40" s="1"/>
  <c r="B198" i="40" s="1"/>
  <c r="B199" i="40" s="1"/>
  <c r="B200" i="40" s="1"/>
  <c r="K102" i="40"/>
  <c r="CK102" i="40" s="1"/>
  <c r="AD102" i="40"/>
  <c r="IX688" i="40"/>
  <c r="HM688" i="40"/>
  <c r="C503" i="40"/>
  <c r="A503" i="40" s="1"/>
  <c r="KF503" i="40" s="1"/>
  <c r="G502" i="40"/>
  <c r="K502" i="40"/>
  <c r="CK502" i="40" s="1"/>
  <c r="O502" i="40"/>
  <c r="CO502" i="40" s="1"/>
  <c r="S502" i="40"/>
  <c r="W502" i="40"/>
  <c r="CU502" i="40" s="1"/>
  <c r="AA502" i="40"/>
  <c r="AE502" i="40"/>
  <c r="AI502" i="40"/>
  <c r="H502" i="40"/>
  <c r="P502" i="40"/>
  <c r="X502" i="40"/>
  <c r="AB502" i="40"/>
  <c r="AJ502" i="40"/>
  <c r="L502" i="40"/>
  <c r="CL502" i="40" s="1"/>
  <c r="T502" i="40"/>
  <c r="AF502" i="40"/>
  <c r="E502" i="40"/>
  <c r="I502" i="40"/>
  <c r="M502" i="40"/>
  <c r="CM502" i="40" s="1"/>
  <c r="Q502" i="40"/>
  <c r="U502" i="40"/>
  <c r="AC502" i="40"/>
  <c r="AG502" i="40"/>
  <c r="N502" i="40"/>
  <c r="CN502" i="40" s="1"/>
  <c r="AD502" i="40"/>
  <c r="J502" i="40"/>
  <c r="R502" i="40"/>
  <c r="AH502" i="40"/>
  <c r="F502" i="40"/>
  <c r="V502" i="40"/>
  <c r="CT502" i="40" s="1"/>
  <c r="Z502" i="40"/>
  <c r="BA502" i="40"/>
  <c r="BF502" i="40"/>
  <c r="BL502" i="40"/>
  <c r="BQ502" i="40"/>
  <c r="BV502" i="40"/>
  <c r="CB502" i="40"/>
  <c r="CG502" i="40"/>
  <c r="DT502" i="40"/>
  <c r="AW502" i="40"/>
  <c r="BB502" i="40"/>
  <c r="BH502" i="40"/>
  <c r="BM502" i="40"/>
  <c r="BR502" i="40"/>
  <c r="BX502" i="40"/>
  <c r="CC502" i="40"/>
  <c r="CH502" i="40"/>
  <c r="DV502" i="40"/>
  <c r="AX502" i="40"/>
  <c r="BD502" i="40"/>
  <c r="BI502" i="40"/>
  <c r="BN502" i="40"/>
  <c r="BT502" i="40"/>
  <c r="BY502" i="40"/>
  <c r="CD502" i="40"/>
  <c r="DM502" i="40"/>
  <c r="DW502" i="40"/>
  <c r="IZ688" i="40"/>
  <c r="IN688" i="40" s="1"/>
  <c r="HO688" i="40"/>
  <c r="B604" i="40"/>
  <c r="B605" i="40" s="1"/>
  <c r="B606" i="40" s="1"/>
  <c r="B607" i="40" s="1"/>
  <c r="B608" i="40" s="1"/>
  <c r="B609" i="40" s="1"/>
  <c r="B610" i="40" s="1"/>
  <c r="B611" i="40" s="1"/>
  <c r="B612" i="40" s="1"/>
  <c r="B613" i="40" s="1"/>
  <c r="B614" i="40" s="1"/>
  <c r="B615" i="40" s="1"/>
  <c r="B616" i="40" s="1"/>
  <c r="B617" i="40" s="1"/>
  <c r="B618" i="40" s="1"/>
  <c r="B619" i="40" s="1"/>
  <c r="B620" i="40" s="1"/>
  <c r="B621" i="40" s="1"/>
  <c r="B622" i="40" s="1"/>
  <c r="B623" i="40" s="1"/>
  <c r="B624" i="40" s="1"/>
  <c r="B625" i="40" s="1"/>
  <c r="B626" i="40" s="1"/>
  <c r="B627" i="40" s="1"/>
  <c r="B628" i="40" s="1"/>
  <c r="B629" i="40" s="1"/>
  <c r="B630" i="40" s="1"/>
  <c r="B631" i="40" s="1"/>
  <c r="B632" i="40" s="1"/>
  <c r="B633" i="40" s="1"/>
  <c r="B634" i="40" s="1"/>
  <c r="B635" i="40" s="1"/>
  <c r="B636" i="40" s="1"/>
  <c r="B637" i="40" s="1"/>
  <c r="B638" i="40" s="1"/>
  <c r="B639" i="40" s="1"/>
  <c r="B640" i="40" s="1"/>
  <c r="B641" i="40" s="1"/>
  <c r="B642" i="40" s="1"/>
  <c r="B643" i="40" s="1"/>
  <c r="B644" i="40" s="1"/>
  <c r="B645" i="40" s="1"/>
  <c r="B646" i="40" s="1"/>
  <c r="B647" i="40" s="1"/>
  <c r="B648" i="40" s="1"/>
  <c r="B649" i="40" s="1"/>
  <c r="B650" i="40" s="1"/>
  <c r="B651" i="40" s="1"/>
  <c r="B652" i="40" s="1"/>
  <c r="B653" i="40" s="1"/>
  <c r="B654" i="40" s="1"/>
  <c r="B655" i="40" s="1"/>
  <c r="B656" i="40" s="1"/>
  <c r="B657" i="40" s="1"/>
  <c r="B658" i="40" s="1"/>
  <c r="B659" i="40" s="1"/>
  <c r="B660" i="40" s="1"/>
  <c r="B661" i="40" s="1"/>
  <c r="B662" i="40" s="1"/>
  <c r="B663" i="40" s="1"/>
  <c r="B664" i="40" s="1"/>
  <c r="B665" i="40" s="1"/>
  <c r="B666" i="40" s="1"/>
  <c r="B667" i="40" s="1"/>
  <c r="B668" i="40" s="1"/>
  <c r="B669" i="40" s="1"/>
  <c r="B670" i="40" s="1"/>
  <c r="B671" i="40" s="1"/>
  <c r="B672" i="40" s="1"/>
  <c r="B673" i="40" s="1"/>
  <c r="B674" i="40" s="1"/>
  <c r="B675" i="40" s="1"/>
  <c r="B676" i="40" s="1"/>
  <c r="B677" i="40" s="1"/>
  <c r="B678" i="40" s="1"/>
  <c r="B679" i="40" s="1"/>
  <c r="B680" i="40" s="1"/>
  <c r="B681" i="40" s="1"/>
  <c r="B682" i="40" s="1"/>
  <c r="B683" i="40" s="1"/>
  <c r="B684" i="40" s="1"/>
  <c r="B685" i="40" s="1"/>
  <c r="B686" i="40" s="1"/>
  <c r="B687" i="40" s="1"/>
  <c r="B688" i="40" s="1"/>
  <c r="B689" i="40" s="1"/>
  <c r="B690" i="40" s="1"/>
  <c r="B691" i="40" s="1"/>
  <c r="B692" i="40" s="1"/>
  <c r="B693" i="40" s="1"/>
  <c r="B694" i="40" s="1"/>
  <c r="B695" i="40" s="1"/>
  <c r="B696" i="40" s="1"/>
  <c r="B697" i="40" s="1"/>
  <c r="B698" i="40" s="1"/>
  <c r="B699" i="40" s="1"/>
  <c r="B700" i="40" s="1"/>
  <c r="KN102" i="40"/>
  <c r="KN103" i="40" s="1"/>
  <c r="KN104" i="40" s="1"/>
  <c r="KN105" i="40" s="1"/>
  <c r="KN106" i="40" s="1"/>
  <c r="KN107" i="40" s="1"/>
  <c r="KN108" i="40" s="1"/>
  <c r="KN109" i="40" s="1"/>
  <c r="KN110" i="40" s="1"/>
  <c r="KN111" i="40" s="1"/>
  <c r="KN112" i="40" s="1"/>
  <c r="KN113" i="40" s="1"/>
  <c r="KN114" i="40" s="1"/>
  <c r="KN115" i="40" s="1"/>
  <c r="KN116" i="40" s="1"/>
  <c r="KN117" i="40" s="1"/>
  <c r="KN118" i="40" s="1"/>
  <c r="KN119" i="40" s="1"/>
  <c r="KN120" i="40" s="1"/>
  <c r="KN121" i="40" s="1"/>
  <c r="KN122" i="40" s="1"/>
  <c r="KN123" i="40" s="1"/>
  <c r="KN124" i="40" s="1"/>
  <c r="KN125" i="40" s="1"/>
  <c r="KN126" i="40" s="1"/>
  <c r="KN127" i="40" s="1"/>
  <c r="KN128" i="40" s="1"/>
  <c r="KN129" i="40" s="1"/>
  <c r="KN130" i="40" s="1"/>
  <c r="KN131" i="40" s="1"/>
  <c r="KN132" i="40" s="1"/>
  <c r="KN133" i="40" s="1"/>
  <c r="KN134" i="40" s="1"/>
  <c r="KN135" i="40" s="1"/>
  <c r="KN136" i="40" s="1"/>
  <c r="KN137" i="40" s="1"/>
  <c r="KN138" i="40" s="1"/>
  <c r="KN139" i="40" s="1"/>
  <c r="KN140" i="40" s="1"/>
  <c r="KN141" i="40" s="1"/>
  <c r="KN142" i="40" s="1"/>
  <c r="KN143" i="40" s="1"/>
  <c r="KN144" i="40" s="1"/>
  <c r="KN145" i="40" s="1"/>
  <c r="KN146" i="40" s="1"/>
  <c r="KN147" i="40" s="1"/>
  <c r="KN148" i="40" s="1"/>
  <c r="KN149" i="40" s="1"/>
  <c r="KN150" i="40" s="1"/>
  <c r="KN151" i="40" s="1"/>
  <c r="KN152" i="40" s="1"/>
  <c r="KN153" i="40" s="1"/>
  <c r="KN154" i="40" s="1"/>
  <c r="KN155" i="40" s="1"/>
  <c r="KN156" i="40" s="1"/>
  <c r="KN157" i="40" s="1"/>
  <c r="KN158" i="40" s="1"/>
  <c r="KN159" i="40" s="1"/>
  <c r="KN160" i="40" s="1"/>
  <c r="KN161" i="40" s="1"/>
  <c r="KN162" i="40" s="1"/>
  <c r="KN163" i="40" s="1"/>
  <c r="KN164" i="40" s="1"/>
  <c r="KN165" i="40" s="1"/>
  <c r="KN166" i="40" s="1"/>
  <c r="KN167" i="40" s="1"/>
  <c r="KN168" i="40" s="1"/>
  <c r="KN169" i="40" s="1"/>
  <c r="KN170" i="40" s="1"/>
  <c r="KN171" i="40" s="1"/>
  <c r="KN172" i="40" s="1"/>
  <c r="KN173" i="40" s="1"/>
  <c r="KN174" i="40" s="1"/>
  <c r="KN175" i="40" s="1"/>
  <c r="KN176" i="40" s="1"/>
  <c r="KN177" i="40" s="1"/>
  <c r="KN178" i="40" s="1"/>
  <c r="KN179" i="40" s="1"/>
  <c r="KN180" i="40" s="1"/>
  <c r="KN181" i="40" s="1"/>
  <c r="KN182" i="40" s="1"/>
  <c r="KN183" i="40" s="1"/>
  <c r="KN184" i="40" s="1"/>
  <c r="KN185" i="40" s="1"/>
  <c r="KN186" i="40" s="1"/>
  <c r="KN187" i="40" s="1"/>
  <c r="AN14" i="62"/>
  <c r="AN16" i="58"/>
  <c r="HN691" i="40"/>
  <c r="IY691" i="40"/>
  <c r="IM691" i="40" s="1"/>
  <c r="JX696" i="40"/>
  <c r="JK696" i="40"/>
  <c r="JA697" i="40"/>
  <c r="IE697" i="40"/>
  <c r="JD697" i="40" s="1"/>
  <c r="JS697" i="40" s="1"/>
  <c r="AE102" i="40"/>
  <c r="IZ696" i="40"/>
  <c r="IN696" i="40" s="1"/>
  <c r="HO696" i="40"/>
  <c r="F602" i="40"/>
  <c r="AJ602" i="40"/>
  <c r="I602" i="40"/>
  <c r="G402" i="40"/>
  <c r="K402" i="40"/>
  <c r="CK402" i="40" s="1"/>
  <c r="O402" i="40"/>
  <c r="CO402" i="40" s="1"/>
  <c r="S402" i="40"/>
  <c r="W402" i="40"/>
  <c r="CU402" i="40" s="1"/>
  <c r="AA402" i="40"/>
  <c r="AE402" i="40"/>
  <c r="AI402" i="40"/>
  <c r="H402" i="40"/>
  <c r="P402" i="40"/>
  <c r="T402" i="40"/>
  <c r="CR402" i="40" s="1"/>
  <c r="AB402" i="40"/>
  <c r="AJ402" i="40"/>
  <c r="F402" i="40"/>
  <c r="N402" i="40"/>
  <c r="CN402" i="40" s="1"/>
  <c r="Z402" i="40"/>
  <c r="L402" i="40"/>
  <c r="CL402" i="40" s="1"/>
  <c r="X402" i="40"/>
  <c r="AF402" i="40"/>
  <c r="R402" i="40"/>
  <c r="AD402" i="40"/>
  <c r="E402" i="40"/>
  <c r="I402" i="40"/>
  <c r="M402" i="40"/>
  <c r="CM402" i="40" s="1"/>
  <c r="Q402" i="40"/>
  <c r="U402" i="40"/>
  <c r="AC402" i="40"/>
  <c r="AG402" i="40"/>
  <c r="J402" i="40"/>
  <c r="V402" i="40"/>
  <c r="CT402" i="40" s="1"/>
  <c r="AH402" i="40"/>
  <c r="I102" i="40"/>
  <c r="JP602" i="40"/>
  <c r="JH692" i="40"/>
  <c r="J602" i="40"/>
  <c r="AB602" i="40"/>
  <c r="DM603" i="40"/>
  <c r="CA602" i="40"/>
  <c r="CJ602" i="40"/>
  <c r="AI602" i="40"/>
  <c r="H602" i="40"/>
  <c r="BZ402" i="40"/>
  <c r="BD402" i="40"/>
  <c r="DW102" i="40"/>
  <c r="DM102" i="40"/>
  <c r="CD102" i="40"/>
  <c r="BY102" i="40"/>
  <c r="BT102" i="40"/>
  <c r="BN102" i="40"/>
  <c r="BI102" i="40"/>
  <c r="BD102" i="40"/>
  <c r="AX102" i="40"/>
  <c r="AJ102" i="40"/>
  <c r="P102" i="40"/>
  <c r="H102" i="40"/>
  <c r="C203" i="40"/>
  <c r="C204" i="40" s="1"/>
  <c r="H202" i="40"/>
  <c r="L202" i="40"/>
  <c r="CL202" i="40" s="1"/>
  <c r="P202" i="40"/>
  <c r="T202" i="40"/>
  <c r="CR202" i="40" s="1"/>
  <c r="X202" i="40"/>
  <c r="AB202" i="40"/>
  <c r="AF202" i="40"/>
  <c r="AJ202" i="40"/>
  <c r="F202" i="40"/>
  <c r="J202" i="40"/>
  <c r="N202" i="40"/>
  <c r="CN202" i="40" s="1"/>
  <c r="R202" i="40"/>
  <c r="V202" i="40"/>
  <c r="CT202" i="40" s="1"/>
  <c r="Z202" i="40"/>
  <c r="AD202" i="40"/>
  <c r="AH202" i="40"/>
  <c r="I202" i="40"/>
  <c r="Q202" i="40"/>
  <c r="AG202" i="40"/>
  <c r="O202" i="40"/>
  <c r="CO202" i="40" s="1"/>
  <c r="K202" i="40"/>
  <c r="CK202" i="40" s="1"/>
  <c r="S202" i="40"/>
  <c r="AA202" i="40"/>
  <c r="AI202" i="40"/>
  <c r="W202" i="40"/>
  <c r="CU202" i="40" s="1"/>
  <c r="E202" i="40"/>
  <c r="M202" i="40"/>
  <c r="CM202" i="40" s="1"/>
  <c r="U202" i="40"/>
  <c r="AC202" i="40"/>
  <c r="G202" i="40"/>
  <c r="AE202" i="40"/>
  <c r="JO602" i="40"/>
  <c r="JJ690" i="40"/>
  <c r="JJ700" i="40"/>
  <c r="A602" i="40"/>
  <c r="AG602" i="40"/>
  <c r="P602" i="40"/>
  <c r="AY603" i="40"/>
  <c r="O602" i="40"/>
  <c r="CO602" i="40" s="1"/>
  <c r="BT402" i="40"/>
  <c r="AY402" i="40"/>
  <c r="A402" i="40"/>
  <c r="BA202" i="40"/>
  <c r="DV102" i="40"/>
  <c r="CH102" i="40"/>
  <c r="CC102" i="40"/>
  <c r="BX102" i="40"/>
  <c r="BR102" i="40"/>
  <c r="BM102" i="40"/>
  <c r="BH102" i="40"/>
  <c r="BB102" i="40"/>
  <c r="AW102" i="40"/>
  <c r="AI102" i="40"/>
  <c r="O102" i="40"/>
  <c r="CO102" i="40" s="1"/>
  <c r="G102" i="40"/>
  <c r="G302" i="40"/>
  <c r="K302" i="40"/>
  <c r="CK302" i="40" s="1"/>
  <c r="O302" i="40"/>
  <c r="CO302" i="40" s="1"/>
  <c r="S302" i="40"/>
  <c r="W302" i="40"/>
  <c r="CU302" i="40" s="1"/>
  <c r="AA302" i="40"/>
  <c r="AE302" i="40"/>
  <c r="AI302" i="40"/>
  <c r="H302" i="40"/>
  <c r="L302" i="40"/>
  <c r="CL302" i="40" s="1"/>
  <c r="P302" i="40"/>
  <c r="T302" i="40"/>
  <c r="CR302" i="40" s="1"/>
  <c r="AB302" i="40"/>
  <c r="AF302" i="40"/>
  <c r="J302" i="40"/>
  <c r="V302" i="40"/>
  <c r="CT302" i="40" s="1"/>
  <c r="AH302" i="40"/>
  <c r="X302" i="40"/>
  <c r="AJ302" i="40"/>
  <c r="R302" i="40"/>
  <c r="AD302" i="40"/>
  <c r="E302" i="40"/>
  <c r="I302" i="40"/>
  <c r="M302" i="40"/>
  <c r="CM302" i="40" s="1"/>
  <c r="Q302" i="40"/>
  <c r="U302" i="40"/>
  <c r="AC302" i="40"/>
  <c r="AG302" i="40"/>
  <c r="F302" i="40"/>
  <c r="N302" i="40"/>
  <c r="CN302" i="40" s="1"/>
  <c r="Z302" i="40"/>
  <c r="C103" i="40"/>
  <c r="CF103" i="40" s="1"/>
  <c r="JI690" i="40"/>
  <c r="JJ692" i="40"/>
  <c r="JI696" i="40"/>
  <c r="JI700" i="40"/>
  <c r="Q68" i="68"/>
  <c r="DV402" i="40"/>
  <c r="CJ402" i="40"/>
  <c r="CD402" i="40"/>
  <c r="BX402" i="40"/>
  <c r="BS402" i="40"/>
  <c r="BN402" i="40"/>
  <c r="BH402" i="40"/>
  <c r="BC402" i="40"/>
  <c r="AX402" i="40"/>
  <c r="CC302" i="40"/>
  <c r="BM302" i="40"/>
  <c r="AW302" i="40"/>
  <c r="CC202" i="40"/>
  <c r="BM202" i="40"/>
  <c r="AW202" i="40"/>
  <c r="IE693" i="40"/>
  <c r="JD693" i="40" s="1"/>
  <c r="JS693" i="40" s="1"/>
  <c r="HO694" i="40"/>
  <c r="JH696" i="40"/>
  <c r="JJ698" i="40"/>
  <c r="IN698" i="40"/>
  <c r="IN694" i="40"/>
  <c r="IN690" i="40"/>
  <c r="IN700" i="40"/>
  <c r="AK302" i="40"/>
  <c r="DU402" i="40"/>
  <c r="CH402" i="40"/>
  <c r="CB402" i="40"/>
  <c r="BW402" i="40"/>
  <c r="BR402" i="40"/>
  <c r="BL402" i="40"/>
  <c r="BG402" i="40"/>
  <c r="BB402" i="40"/>
  <c r="DW302" i="40"/>
  <c r="BY302" i="40"/>
  <c r="BI302" i="40"/>
  <c r="DW202" i="40"/>
  <c r="BY202" i="40"/>
  <c r="BI202" i="40"/>
  <c r="C403" i="40"/>
  <c r="DV403" i="40" s="1"/>
  <c r="HO690" i="40"/>
  <c r="IF692" i="40"/>
  <c r="IG697" i="40"/>
  <c r="JI698" i="40"/>
  <c r="JK700" i="40"/>
  <c r="IE699" i="40"/>
  <c r="JD699" i="40" s="1"/>
  <c r="JS699" i="40" s="1"/>
  <c r="JO202" i="40"/>
  <c r="DT402" i="40"/>
  <c r="CF402" i="40"/>
  <c r="CA402" i="40"/>
  <c r="BV402" i="40"/>
  <c r="BP402" i="40"/>
  <c r="BK402" i="40"/>
  <c r="BF402" i="40"/>
  <c r="AZ402" i="40"/>
  <c r="DS302" i="40"/>
  <c r="BU302" i="40"/>
  <c r="BE302" i="40"/>
  <c r="DS202" i="40"/>
  <c r="BU202" i="40"/>
  <c r="BE202" i="40"/>
  <c r="JK690" i="40"/>
  <c r="IG693" i="40"/>
  <c r="IM695" i="40"/>
  <c r="JJ696" i="40"/>
  <c r="IM697" i="40"/>
  <c r="JH698" i="40"/>
  <c r="HJ583" i="40"/>
  <c r="BL203" i="40"/>
  <c r="CC203" i="40"/>
  <c r="BM203" i="40"/>
  <c r="CD203" i="40"/>
  <c r="DV203" i="40"/>
  <c r="BS203" i="40"/>
  <c r="HJ383" i="40"/>
  <c r="B504" i="40"/>
  <c r="HJ183" i="40"/>
  <c r="HJ283" i="40"/>
  <c r="IF700" i="40"/>
  <c r="AK202" i="40"/>
  <c r="HJ483" i="40"/>
  <c r="DV302" i="40"/>
  <c r="DM302" i="40"/>
  <c r="CF302" i="40"/>
  <c r="CB302" i="40"/>
  <c r="BX302" i="40"/>
  <c r="BT302" i="40"/>
  <c r="BP302" i="40"/>
  <c r="BL302" i="40"/>
  <c r="BH302" i="40"/>
  <c r="BD302" i="40"/>
  <c r="AZ302" i="40"/>
  <c r="A302" i="40"/>
  <c r="DV202" i="40"/>
  <c r="DM202" i="40"/>
  <c r="CF202" i="40"/>
  <c r="CB202" i="40"/>
  <c r="BX202" i="40"/>
  <c r="BT202" i="40"/>
  <c r="BP202" i="40"/>
  <c r="BL202" i="40"/>
  <c r="BH202" i="40"/>
  <c r="BD202" i="40"/>
  <c r="AZ202" i="40"/>
  <c r="A202" i="40"/>
  <c r="JI689" i="40"/>
  <c r="HN693" i="40"/>
  <c r="JI695" i="40"/>
  <c r="HN697" i="40"/>
  <c r="AK502" i="40"/>
  <c r="AK102" i="40"/>
  <c r="DU302" i="40"/>
  <c r="CJ302" i="40"/>
  <c r="CE302" i="40"/>
  <c r="CA302" i="40"/>
  <c r="BW302" i="40"/>
  <c r="BS302" i="40"/>
  <c r="BO302" i="40"/>
  <c r="BK302" i="40"/>
  <c r="BG302" i="40"/>
  <c r="BC302" i="40"/>
  <c r="AY302" i="40"/>
  <c r="DU202" i="40"/>
  <c r="CJ202" i="40"/>
  <c r="CE202" i="40"/>
  <c r="CA202" i="40"/>
  <c r="BW202" i="40"/>
  <c r="BS202" i="40"/>
  <c r="BO202" i="40"/>
  <c r="BK202" i="40"/>
  <c r="BG202" i="40"/>
  <c r="BC202" i="40"/>
  <c r="AY202" i="40"/>
  <c r="AG102" i="40"/>
  <c r="AC102" i="40"/>
  <c r="N102" i="40"/>
  <c r="CN102" i="40" s="1"/>
  <c r="J102" i="40"/>
  <c r="F102" i="40"/>
  <c r="C303" i="40"/>
  <c r="HZ303" i="40" s="1"/>
  <c r="IG689" i="40"/>
  <c r="HM692" i="40"/>
  <c r="JJ693" i="40"/>
  <c r="HO695" i="40"/>
  <c r="HO699" i="40"/>
  <c r="IN692" i="40"/>
  <c r="IE700" i="40"/>
  <c r="JD700" i="40" s="1"/>
  <c r="JO302" i="40"/>
  <c r="JO102" i="40"/>
  <c r="AK402" i="40"/>
  <c r="DM503" i="40"/>
  <c r="BS503" i="40"/>
  <c r="BC503" i="40"/>
  <c r="DU502" i="40"/>
  <c r="CJ502" i="40"/>
  <c r="CE502" i="40"/>
  <c r="CA502" i="40"/>
  <c r="BW502" i="40"/>
  <c r="BS502" i="40"/>
  <c r="BO502" i="40"/>
  <c r="BK502" i="40"/>
  <c r="BG502" i="40"/>
  <c r="BC502" i="40"/>
  <c r="AY502" i="40"/>
  <c r="BR403" i="40"/>
  <c r="DW402" i="40"/>
  <c r="DS402" i="40"/>
  <c r="CG402" i="40"/>
  <c r="CC402" i="40"/>
  <c r="BY402" i="40"/>
  <c r="BU402" i="40"/>
  <c r="BQ402" i="40"/>
  <c r="BM402" i="40"/>
  <c r="BI402" i="40"/>
  <c r="BE402" i="40"/>
  <c r="BA402" i="40"/>
  <c r="AW402" i="40"/>
  <c r="DT302" i="40"/>
  <c r="CH302" i="40"/>
  <c r="CD302" i="40"/>
  <c r="BZ302" i="40"/>
  <c r="BV302" i="40"/>
  <c r="BR302" i="40"/>
  <c r="BN302" i="40"/>
  <c r="BJ302" i="40"/>
  <c r="BF302" i="40"/>
  <c r="BB302" i="40"/>
  <c r="AX302" i="40"/>
  <c r="DT202" i="40"/>
  <c r="CH202" i="40"/>
  <c r="CD202" i="40"/>
  <c r="BZ202" i="40"/>
  <c r="BV202" i="40"/>
  <c r="BR202" i="40"/>
  <c r="BN202" i="40"/>
  <c r="BJ202" i="40"/>
  <c r="BF202" i="40"/>
  <c r="BB202" i="40"/>
  <c r="AX202" i="40"/>
  <c r="DU102" i="40"/>
  <c r="CJ102" i="40"/>
  <c r="CE102" i="40"/>
  <c r="CA102" i="40"/>
  <c r="BW102" i="40"/>
  <c r="BS102" i="40"/>
  <c r="BO102" i="40"/>
  <c r="BK102" i="40"/>
  <c r="BG102" i="40"/>
  <c r="BC102" i="40"/>
  <c r="AY102" i="40"/>
  <c r="AF102" i="40"/>
  <c r="AB102" i="40"/>
  <c r="M102" i="40"/>
  <c r="CM102" i="40" s="1"/>
  <c r="JK688" i="40"/>
  <c r="IE689" i="40"/>
  <c r="JD689" i="40" s="1"/>
  <c r="HO691" i="40"/>
  <c r="JH691" i="40"/>
  <c r="IE691" i="40"/>
  <c r="JD691" i="40" s="1"/>
  <c r="JK694" i="40"/>
  <c r="JK698" i="40"/>
  <c r="IG700" i="40"/>
  <c r="Y52" i="69"/>
  <c r="B184" i="75"/>
  <c r="IY688" i="40"/>
  <c r="IM688" i="40" s="1"/>
  <c r="HN688" i="40"/>
  <c r="JJ688" i="40"/>
  <c r="JI688" i="40"/>
  <c r="JH688" i="40"/>
  <c r="IY694" i="40"/>
  <c r="IM694" i="40" s="1"/>
  <c r="HN694" i="40"/>
  <c r="JJ694" i="40"/>
  <c r="JI694" i="40"/>
  <c r="JH694" i="40"/>
  <c r="JA696" i="40"/>
  <c r="IL696" i="40" s="1"/>
  <c r="IG696" i="40"/>
  <c r="IE696" i="40"/>
  <c r="JD696" i="40" s="1"/>
  <c r="IF696" i="40"/>
  <c r="IZ697" i="40"/>
  <c r="IN697" i="40" s="1"/>
  <c r="HO697" i="40"/>
  <c r="JA698" i="40"/>
  <c r="IL698" i="40" s="1"/>
  <c r="IG698" i="40"/>
  <c r="IE698" i="40"/>
  <c r="JD698" i="40" s="1"/>
  <c r="IF698" i="40"/>
  <c r="IX689" i="40"/>
  <c r="IL689" i="40" s="1"/>
  <c r="HM689" i="40"/>
  <c r="JC695" i="40"/>
  <c r="IN695" i="40" s="1"/>
  <c r="IG695" i="40"/>
  <c r="IE695" i="40"/>
  <c r="JD695" i="40" s="1"/>
  <c r="JF102" i="40"/>
  <c r="HN102" i="40" s="1"/>
  <c r="HQ102" i="40" s="1"/>
  <c r="II102" i="40"/>
  <c r="IL102" i="40" s="1"/>
  <c r="IJ102" i="40"/>
  <c r="IM102" i="40" s="1"/>
  <c r="IK102" i="40"/>
  <c r="IN102" i="40" s="1"/>
  <c r="JH689" i="40"/>
  <c r="JA690" i="40"/>
  <c r="IL690" i="40" s="1"/>
  <c r="IG690" i="40"/>
  <c r="IE690" i="40"/>
  <c r="JD690" i="40" s="1"/>
  <c r="IY692" i="40"/>
  <c r="IM692" i="40" s="1"/>
  <c r="HN692" i="40"/>
  <c r="JI693" i="40"/>
  <c r="IX693" i="40"/>
  <c r="HM693" i="40"/>
  <c r="JH695" i="40"/>
  <c r="JJ697" i="40"/>
  <c r="JJ699" i="40"/>
  <c r="IX699" i="40"/>
  <c r="IL699" i="40" s="1"/>
  <c r="HM699" i="40"/>
  <c r="JC691" i="40"/>
  <c r="IN691" i="40" s="1"/>
  <c r="IG691" i="40"/>
  <c r="JF101" i="40"/>
  <c r="HN101" i="40" s="1"/>
  <c r="HQ101" i="40" s="1"/>
  <c r="IK101" i="40"/>
  <c r="IN101" i="40" s="1"/>
  <c r="II101" i="40"/>
  <c r="IL101" i="40" s="1"/>
  <c r="IJ101" i="40"/>
  <c r="IM101" i="40" s="1"/>
  <c r="JA688" i="40"/>
  <c r="IL688" i="40" s="1"/>
  <c r="IG688" i="40"/>
  <c r="IE688" i="40"/>
  <c r="JD688" i="40" s="1"/>
  <c r="IF690" i="40"/>
  <c r="JJ691" i="40"/>
  <c r="IX691" i="40"/>
  <c r="IL691" i="40" s="1"/>
  <c r="HM691" i="40"/>
  <c r="JH693" i="40"/>
  <c r="IL693" i="40"/>
  <c r="JA694" i="40"/>
  <c r="IL694" i="40" s="1"/>
  <c r="IG694" i="40"/>
  <c r="IE694" i="40"/>
  <c r="JD694" i="40" s="1"/>
  <c r="IY696" i="40"/>
  <c r="IM696" i="40" s="1"/>
  <c r="HN696" i="40"/>
  <c r="JI697" i="40"/>
  <c r="IX697" i="40"/>
  <c r="IL697" i="40" s="1"/>
  <c r="HM697" i="40"/>
  <c r="IY698" i="40"/>
  <c r="IM698" i="40" s="1"/>
  <c r="HN698" i="40"/>
  <c r="JI699" i="40"/>
  <c r="IN693" i="40"/>
  <c r="A102" i="40"/>
  <c r="IF688" i="40"/>
  <c r="JJ689" i="40"/>
  <c r="IY690" i="40"/>
  <c r="IM690" i="40" s="1"/>
  <c r="HN690" i="40"/>
  <c r="JI691" i="40"/>
  <c r="JA692" i="40"/>
  <c r="IL692" i="40" s="1"/>
  <c r="IG692" i="40"/>
  <c r="IE692" i="40"/>
  <c r="JD692" i="40" s="1"/>
  <c r="IF694" i="40"/>
  <c r="JJ695" i="40"/>
  <c r="IX695" i="40"/>
  <c r="IL695" i="40" s="1"/>
  <c r="HM695" i="40"/>
  <c r="JH697" i="40"/>
  <c r="JH699" i="40"/>
  <c r="JC699" i="40"/>
  <c r="IN699" i="40" s="1"/>
  <c r="IG699" i="40"/>
  <c r="IN689" i="40"/>
  <c r="JK689" i="40"/>
  <c r="IF689" i="40"/>
  <c r="JK691" i="40"/>
  <c r="IF691" i="40"/>
  <c r="JK693" i="40"/>
  <c r="IF693" i="40"/>
  <c r="JK695" i="40"/>
  <c r="IF695" i="40"/>
  <c r="JK697" i="40"/>
  <c r="IF697" i="40"/>
  <c r="JK699" i="40"/>
  <c r="IF699" i="40"/>
  <c r="IY700" i="40"/>
  <c r="IM700" i="40" s="1"/>
  <c r="Y34" i="71"/>
  <c r="AC34" i="71" s="1"/>
  <c r="AD34" i="71" s="1"/>
  <c r="Q64" i="71"/>
  <c r="AA66" i="69"/>
  <c r="AA56" i="68"/>
  <c r="AA70" i="67"/>
  <c r="Z52" i="58"/>
  <c r="AH112" i="75"/>
  <c r="Z60" i="58"/>
  <c r="S64" i="68"/>
  <c r="Z66" i="66"/>
  <c r="R52" i="67"/>
  <c r="Z52" i="67" s="1"/>
  <c r="Z68" i="67"/>
  <c r="Q60" i="68"/>
  <c r="R54" i="68"/>
  <c r="Z54" i="68" s="1"/>
  <c r="Z58" i="66"/>
  <c r="Q50" i="67"/>
  <c r="Y50" i="67" s="1"/>
  <c r="AH602" i="40"/>
  <c r="Y52" i="58"/>
  <c r="AC52" i="58" s="1"/>
  <c r="AD52" i="58" s="1"/>
  <c r="R62" i="68"/>
  <c r="Y64" i="66"/>
  <c r="AC64" i="66" s="1"/>
  <c r="AD64" i="66" s="1"/>
  <c r="S58" i="69"/>
  <c r="Q68" i="58"/>
  <c r="S52" i="66"/>
  <c r="AA52" i="66" s="1"/>
  <c r="M118" i="57"/>
  <c r="AH106" i="75"/>
  <c r="S66" i="58"/>
  <c r="AA66" i="58"/>
  <c r="Y66" i="58"/>
  <c r="AC66" i="58" s="1"/>
  <c r="AD66" i="58" s="1"/>
  <c r="Q66" i="58"/>
  <c r="R64" i="66"/>
  <c r="Z64" i="66"/>
  <c r="AA70" i="68"/>
  <c r="S70" i="68"/>
  <c r="R62" i="69"/>
  <c r="Z62" i="69"/>
  <c r="Y60" i="69"/>
  <c r="AC60" i="69" s="1"/>
  <c r="AD60" i="69" s="1"/>
  <c r="Q60" i="69"/>
  <c r="Y50" i="71"/>
  <c r="AC50" i="71" s="1"/>
  <c r="AD50" i="71" s="1"/>
  <c r="AH102" i="40"/>
  <c r="Y58" i="62"/>
  <c r="AC58" i="62" s="1"/>
  <c r="AD58" i="62" s="1"/>
  <c r="R58" i="62"/>
  <c r="Z50" i="58"/>
  <c r="AA52" i="67"/>
  <c r="I118" i="57"/>
  <c r="S64" i="71"/>
  <c r="Q62" i="58"/>
  <c r="R62" i="58"/>
  <c r="Y68" i="67"/>
  <c r="AC68" i="67" s="1"/>
  <c r="AD68" i="67" s="1"/>
  <c r="Z70" i="58"/>
  <c r="Y68" i="69"/>
  <c r="AC68" i="69" s="1"/>
  <c r="AD68" i="69" s="1"/>
  <c r="Z68" i="68"/>
  <c r="Z60" i="68"/>
  <c r="AA64" i="69"/>
  <c r="R58" i="58"/>
  <c r="Z70" i="69"/>
  <c r="AA68" i="66"/>
  <c r="S60" i="66"/>
  <c r="AA62" i="67"/>
  <c r="Y66" i="67"/>
  <c r="AC66" i="67" s="1"/>
  <c r="AD66" i="67" s="1"/>
  <c r="R70" i="68"/>
  <c r="S60" i="67"/>
  <c r="Q70" i="66"/>
  <c r="S60" i="58"/>
  <c r="Q58" i="58"/>
  <c r="Z56" i="66"/>
  <c r="Y60" i="58"/>
  <c r="AC60" i="58" s="1"/>
  <c r="AD60" i="58" s="1"/>
  <c r="R60" i="67"/>
  <c r="Z56" i="69"/>
  <c r="Y58" i="67"/>
  <c r="S58" i="58"/>
  <c r="Y64" i="67"/>
  <c r="AC64" i="67" s="1"/>
  <c r="AD64" i="67" s="1"/>
  <c r="Z68" i="58"/>
  <c r="Y50" i="58"/>
  <c r="AC50" i="58" s="1"/>
  <c r="AD50" i="58" s="1"/>
  <c r="AA54" i="68"/>
  <c r="S56" i="69"/>
  <c r="AA56" i="69" s="1"/>
  <c r="S58" i="71"/>
  <c r="AD68" i="71"/>
  <c r="Q70" i="71"/>
  <c r="AA60" i="68"/>
  <c r="AA66" i="62"/>
  <c r="R48" i="58"/>
  <c r="Y60" i="62"/>
  <c r="AC60" i="62" s="1"/>
  <c r="AD60" i="62" s="1"/>
  <c r="S60" i="71"/>
  <c r="Q62" i="67"/>
  <c r="AA56" i="66"/>
  <c r="AD62" i="69"/>
  <c r="S52" i="58"/>
  <c r="AA52" i="68"/>
  <c r="Y52" i="68"/>
  <c r="S52" i="71"/>
  <c r="Z66" i="71"/>
  <c r="Y66" i="71"/>
  <c r="AC66" i="71" s="1"/>
  <c r="AD66" i="71" s="1"/>
  <c r="Y54" i="66"/>
  <c r="Z36" i="71"/>
  <c r="Q62" i="69"/>
  <c r="S54" i="67"/>
  <c r="AA54" i="67" s="1"/>
  <c r="Y70" i="69"/>
  <c r="AC70" i="69" s="1"/>
  <c r="AD70" i="69" s="1"/>
  <c r="Y56" i="66"/>
  <c r="AC56" i="66" s="1"/>
  <c r="AD56" i="66" s="1"/>
  <c r="Z64" i="69"/>
  <c r="Y64" i="58"/>
  <c r="AC64" i="58" s="1"/>
  <c r="AD64" i="58" s="1"/>
  <c r="R52" i="68"/>
  <c r="Z52" i="68" s="1"/>
  <c r="S58" i="66"/>
  <c r="AA58" i="66" s="1"/>
  <c r="R64" i="58"/>
  <c r="S50" i="66"/>
  <c r="AA50" i="66" s="1"/>
  <c r="R50" i="66"/>
  <c r="Z50" i="66" s="1"/>
  <c r="Y64" i="68"/>
  <c r="AC64" i="68" s="1"/>
  <c r="AD64" i="68" s="1"/>
  <c r="Y64" i="62"/>
  <c r="AC64" i="62" s="1"/>
  <c r="AD64" i="62" s="1"/>
  <c r="R66" i="68"/>
  <c r="S54" i="69"/>
  <c r="AA54" i="69" s="1"/>
  <c r="R58" i="68"/>
  <c r="Q48" i="58"/>
  <c r="Y36" i="71"/>
  <c r="AC36" i="71" s="1"/>
  <c r="AD36" i="71" s="1"/>
  <c r="S56" i="58"/>
  <c r="R56" i="67"/>
  <c r="Z56" i="67" s="1"/>
  <c r="AA66" i="67"/>
  <c r="AD70" i="62"/>
  <c r="Y66" i="69"/>
  <c r="AC66" i="69" s="1"/>
  <c r="AD66" i="69" s="1"/>
  <c r="AA48" i="58"/>
  <c r="Q58" i="71"/>
  <c r="AA38" i="71"/>
  <c r="Z68" i="71"/>
  <c r="R54" i="66"/>
  <c r="Z54" i="66" s="1"/>
  <c r="Z60" i="69"/>
  <c r="Y54" i="67"/>
  <c r="Z64" i="67"/>
  <c r="S50" i="67"/>
  <c r="AA50" i="67" s="1"/>
  <c r="R56" i="58"/>
  <c r="R50" i="68"/>
  <c r="Z50" i="68" s="1"/>
  <c r="Q52" i="62"/>
  <c r="Z68" i="69"/>
  <c r="AA68" i="68"/>
  <c r="S58" i="67"/>
  <c r="AA58" i="67" s="1"/>
  <c r="Y68" i="66"/>
  <c r="AC68" i="66" s="1"/>
  <c r="AD68" i="66" s="1"/>
  <c r="Q42" i="71"/>
  <c r="S64" i="58"/>
  <c r="S70" i="71"/>
  <c r="Z50" i="69"/>
  <c r="AA54" i="58"/>
  <c r="Y60" i="67"/>
  <c r="AC60" i="67" s="1"/>
  <c r="AD60" i="67" s="1"/>
  <c r="DB60" i="52"/>
  <c r="AD64" i="71"/>
  <c r="Q70" i="58"/>
  <c r="S60" i="69"/>
  <c r="S68" i="58"/>
  <c r="AA68" i="58"/>
  <c r="S50" i="69"/>
  <c r="AA50" i="69" s="1"/>
  <c r="Y54" i="69"/>
  <c r="Q54" i="69"/>
  <c r="R60" i="62"/>
  <c r="Z50" i="71"/>
  <c r="AA50" i="62"/>
  <c r="Y56" i="71"/>
  <c r="AC56" i="71" s="1"/>
  <c r="AD56" i="71" s="1"/>
  <c r="Q46" i="71"/>
  <c r="Z70" i="67"/>
  <c r="AA64" i="62"/>
  <c r="AD68" i="68"/>
  <c r="AA66" i="68"/>
  <c r="AF57" i="52"/>
  <c r="AF27" i="52"/>
  <c r="AF55" i="52"/>
  <c r="AA66" i="66"/>
  <c r="S66" i="66"/>
  <c r="Q62" i="66"/>
  <c r="Y62" i="66"/>
  <c r="AC62" i="66" s="1"/>
  <c r="AD62" i="66" s="1"/>
  <c r="Q56" i="67"/>
  <c r="Y56" i="67"/>
  <c r="AA62" i="68"/>
  <c r="S62" i="68"/>
  <c r="Q66" i="68"/>
  <c r="Y66" i="68"/>
  <c r="AC66" i="68" s="1"/>
  <c r="AD66" i="68" s="1"/>
  <c r="AM51" i="52"/>
  <c r="Q70" i="62"/>
  <c r="Q68" i="71"/>
  <c r="R34" i="71"/>
  <c r="Q56" i="62"/>
  <c r="Y66" i="62"/>
  <c r="AC66" i="62" s="1"/>
  <c r="AD66" i="62" s="1"/>
  <c r="Y40" i="71"/>
  <c r="AC40" i="71" s="1"/>
  <c r="AD40" i="71" s="1"/>
  <c r="Z62" i="71"/>
  <c r="Z54" i="69"/>
  <c r="AA70" i="58"/>
  <c r="R50" i="67"/>
  <c r="Z50" i="67" s="1"/>
  <c r="Z52" i="66"/>
  <c r="R66" i="67"/>
  <c r="Y62" i="68"/>
  <c r="AC62" i="68" s="1"/>
  <c r="AD62" i="68" s="1"/>
  <c r="S50" i="68"/>
  <c r="AA50" i="68" s="1"/>
  <c r="Q50" i="68"/>
  <c r="Y50" i="68" s="1"/>
  <c r="Z66" i="58"/>
  <c r="S68" i="67"/>
  <c r="AD42" i="71"/>
  <c r="R66" i="62"/>
  <c r="R54" i="62"/>
  <c r="S58" i="62"/>
  <c r="S50" i="58"/>
  <c r="Y66" i="66"/>
  <c r="AC66" i="66" s="1"/>
  <c r="AD66" i="66" s="1"/>
  <c r="Y58" i="68"/>
  <c r="AC58" i="68" s="1"/>
  <c r="AD58" i="68" s="1"/>
  <c r="AQ19" i="52"/>
  <c r="AR22" i="52"/>
  <c r="Q60" i="71"/>
  <c r="R70" i="71"/>
  <c r="R58" i="71"/>
  <c r="Z60" i="66"/>
  <c r="AA54" i="62"/>
  <c r="S58" i="68"/>
  <c r="R58" i="67"/>
  <c r="Z58" i="67" s="1"/>
  <c r="AD70" i="66"/>
  <c r="AD58" i="71"/>
  <c r="AA62" i="66"/>
  <c r="S56" i="71"/>
  <c r="S34" i="71"/>
  <c r="Q52" i="71"/>
  <c r="S70" i="62"/>
  <c r="Z58" i="69"/>
  <c r="AR23" i="52"/>
  <c r="AM89" i="40"/>
  <c r="AR18" i="52"/>
  <c r="DB25" i="52"/>
  <c r="CV89" i="40"/>
  <c r="CV86" i="40"/>
  <c r="AD52" i="71"/>
  <c r="AD60" i="71"/>
  <c r="AD70" i="71"/>
  <c r="AD60" i="68"/>
  <c r="S48" i="71"/>
  <c r="AA48" i="71"/>
  <c r="AA40" i="71"/>
  <c r="S40" i="71"/>
  <c r="R68" i="62"/>
  <c r="Z68" i="62"/>
  <c r="Q62" i="62"/>
  <c r="Y62" i="62"/>
  <c r="AC62" i="62" s="1"/>
  <c r="AD62" i="62" s="1"/>
  <c r="AA62" i="58"/>
  <c r="S62" i="58"/>
  <c r="R54" i="58"/>
  <c r="Z54" i="58"/>
  <c r="Q54" i="58"/>
  <c r="Y54" i="58"/>
  <c r="AC54" i="58" s="1"/>
  <c r="AD54" i="58" s="1"/>
  <c r="AA70" i="66"/>
  <c r="S70" i="66"/>
  <c r="S54" i="66"/>
  <c r="AA54" i="66" s="1"/>
  <c r="R68" i="66"/>
  <c r="Z68" i="66"/>
  <c r="Q58" i="66"/>
  <c r="Y58" i="66" s="1"/>
  <c r="AC58" i="66" s="1"/>
  <c r="AD58" i="66" s="1"/>
  <c r="Q50" i="66"/>
  <c r="Y50" i="66"/>
  <c r="AA64" i="67"/>
  <c r="S64" i="67"/>
  <c r="S56" i="67"/>
  <c r="AA56" i="67"/>
  <c r="R62" i="67"/>
  <c r="Z62" i="67"/>
  <c r="Z54" i="67"/>
  <c r="R54" i="67"/>
  <c r="Q52" i="67"/>
  <c r="Y52" i="67"/>
  <c r="R64" i="68"/>
  <c r="Z64" i="68"/>
  <c r="R56" i="68"/>
  <c r="Z56" i="68"/>
  <c r="Q70" i="68"/>
  <c r="Y70" i="68"/>
  <c r="AC70" i="68" s="1"/>
  <c r="AD70" i="68" s="1"/>
  <c r="Q54" i="68"/>
  <c r="Y54" i="68"/>
  <c r="S68" i="69"/>
  <c r="AA68" i="69"/>
  <c r="S52" i="69"/>
  <c r="AA52" i="69" s="1"/>
  <c r="Z66" i="69"/>
  <c r="R66" i="69"/>
  <c r="Q64" i="69"/>
  <c r="Y64" i="69"/>
  <c r="AC64" i="69" s="1"/>
  <c r="AD64" i="69" s="1"/>
  <c r="Q56" i="69"/>
  <c r="Y56" i="69"/>
  <c r="CP87" i="40"/>
  <c r="S44" i="71"/>
  <c r="AA44" i="71"/>
  <c r="CN46" i="52"/>
  <c r="AM46" i="52"/>
  <c r="CR29" i="52"/>
  <c r="R50" i="62"/>
  <c r="Z50" i="62"/>
  <c r="Z70" i="62"/>
  <c r="R70" i="62"/>
  <c r="AA50" i="71"/>
  <c r="S50" i="71"/>
  <c r="Y54" i="71"/>
  <c r="AC54" i="71" s="1"/>
  <c r="AD54" i="71" s="1"/>
  <c r="Q54" i="71"/>
  <c r="Y62" i="71"/>
  <c r="AC62" i="71" s="1"/>
  <c r="AD62" i="71" s="1"/>
  <c r="Q62" i="71"/>
  <c r="Z64" i="71"/>
  <c r="R64" i="71"/>
  <c r="AA66" i="71"/>
  <c r="S66" i="71"/>
  <c r="AA68" i="71"/>
  <c r="S68" i="71"/>
  <c r="CI86" i="40"/>
  <c r="DB21" i="52"/>
  <c r="DB19" i="52"/>
  <c r="AD68" i="58"/>
  <c r="DB20" i="52"/>
  <c r="S46" i="71"/>
  <c r="AD38" i="71"/>
  <c r="CI89" i="40"/>
  <c r="AR58" i="52"/>
  <c r="AM23" i="52"/>
  <c r="S68" i="62"/>
  <c r="AA54" i="71"/>
  <c r="Z62" i="62"/>
  <c r="S62" i="62"/>
  <c r="Z42" i="71"/>
  <c r="AD70" i="58"/>
  <c r="DB29" i="52"/>
  <c r="DB48" i="52"/>
  <c r="DB22" i="52"/>
  <c r="AO86" i="40"/>
  <c r="AM88" i="40"/>
  <c r="Y68" i="62"/>
  <c r="AC68" i="62" s="1"/>
  <c r="AD68" i="62" s="1"/>
  <c r="Z52" i="71"/>
  <c r="S62" i="71"/>
  <c r="Z48" i="71"/>
  <c r="R60" i="71"/>
  <c r="Z38" i="71"/>
  <c r="Z52" i="62"/>
  <c r="AD62" i="58"/>
  <c r="AQ48" i="52"/>
  <c r="AR52" i="52"/>
  <c r="AP86" i="40"/>
  <c r="AD62" i="67"/>
  <c r="AQ47" i="52"/>
  <c r="AQ49" i="52"/>
  <c r="AQ50" i="52"/>
  <c r="AM401" i="40"/>
  <c r="AQ17" i="52"/>
  <c r="AQ18" i="52"/>
  <c r="Y18" i="52"/>
  <c r="AQ86" i="40"/>
  <c r="AA52" i="62"/>
  <c r="S52" i="62"/>
  <c r="Y54" i="62"/>
  <c r="AC54" i="62" s="1"/>
  <c r="AD54" i="62" s="1"/>
  <c r="Q54" i="62"/>
  <c r="DB23" i="52"/>
  <c r="DB88" i="40"/>
  <c r="DB87" i="40"/>
  <c r="AN88" i="40"/>
  <c r="AR54" i="52"/>
  <c r="AM19" i="52"/>
  <c r="AM56" i="52"/>
  <c r="AM57" i="52"/>
  <c r="AM18" i="52"/>
  <c r="Z64" i="62"/>
  <c r="AD58" i="58"/>
  <c r="Z54" i="71"/>
  <c r="R54" i="71"/>
  <c r="Q56" i="58"/>
  <c r="Y56" i="58"/>
  <c r="AC56" i="58" s="1"/>
  <c r="AD56" i="58" s="1"/>
  <c r="S64" i="66"/>
  <c r="AA64" i="66"/>
  <c r="R70" i="66"/>
  <c r="Z70" i="66"/>
  <c r="R62" i="66"/>
  <c r="Z62" i="66"/>
  <c r="Q60" i="66"/>
  <c r="Y60" i="66"/>
  <c r="AC60" i="66" s="1"/>
  <c r="AD60" i="66" s="1"/>
  <c r="Q52" i="66"/>
  <c r="Y52" i="66" s="1"/>
  <c r="AC52" i="66" s="1"/>
  <c r="AD52" i="66" s="1"/>
  <c r="Y70" i="67"/>
  <c r="AC70" i="67" s="1"/>
  <c r="AD70" i="67" s="1"/>
  <c r="Q70" i="67"/>
  <c r="Q56" i="68"/>
  <c r="Y56" i="68" s="1"/>
  <c r="AC56" i="68" s="1"/>
  <c r="AD56" i="68" s="1"/>
  <c r="S70" i="69"/>
  <c r="AA70" i="69"/>
  <c r="AA62" i="69"/>
  <c r="S62" i="69"/>
  <c r="R52" i="69"/>
  <c r="Z52" i="69" s="1"/>
  <c r="Y58" i="69"/>
  <c r="AC58" i="69" s="1"/>
  <c r="AD58" i="69" s="1"/>
  <c r="Q58" i="69"/>
  <c r="Q50" i="69"/>
  <c r="Y50" i="69" s="1"/>
  <c r="AC50" i="69" s="1"/>
  <c r="AD50" i="69" s="1"/>
  <c r="CL601" i="40"/>
  <c r="AM601" i="40"/>
  <c r="CI87" i="40"/>
  <c r="CP86" i="40"/>
  <c r="AM54" i="52"/>
  <c r="Z56" i="62"/>
  <c r="Y50" i="62"/>
  <c r="AC50" i="62" s="1"/>
  <c r="AD50" i="62" s="1"/>
  <c r="AA60" i="62"/>
  <c r="R56" i="71"/>
  <c r="AA56" i="62"/>
  <c r="R46" i="71"/>
  <c r="Z46" i="71"/>
  <c r="CV88" i="40"/>
  <c r="AR17" i="52"/>
  <c r="DB53" i="52"/>
  <c r="CI88" i="40"/>
  <c r="CP89" i="40"/>
  <c r="AN87" i="40"/>
  <c r="AN89" i="40"/>
  <c r="Z44" i="71"/>
  <c r="AA42" i="71"/>
  <c r="R40" i="71"/>
  <c r="AD46" i="71"/>
  <c r="AC20" i="52"/>
  <c r="AC21" i="52"/>
  <c r="AC22" i="52"/>
  <c r="AC23" i="52"/>
  <c r="AC24" i="52"/>
  <c r="CI24" i="52" s="1"/>
  <c r="AC25" i="52"/>
  <c r="AC51" i="52"/>
  <c r="AC52" i="52"/>
  <c r="CI52" i="52" s="1"/>
  <c r="CV26" i="52"/>
  <c r="Y24" i="52"/>
  <c r="AC401" i="40"/>
  <c r="AC53" i="52"/>
  <c r="Y30" i="52"/>
  <c r="AM501" i="40"/>
  <c r="AM201" i="40"/>
  <c r="CR601" i="40"/>
  <c r="DB51" i="52"/>
  <c r="DB24" i="52"/>
  <c r="DB31" i="52"/>
  <c r="A111" i="75"/>
  <c r="Z47" i="52"/>
  <c r="DB47" i="52" s="1"/>
  <c r="Z56" i="52"/>
  <c r="DB56" i="52" s="1"/>
  <c r="Z17" i="52"/>
  <c r="DB17" i="52" s="1"/>
  <c r="DB201" i="40"/>
  <c r="N95" i="57"/>
  <c r="J95" i="57"/>
  <c r="X20" i="52"/>
  <c r="X51" i="52"/>
  <c r="X47" i="52"/>
  <c r="X57" i="52"/>
  <c r="X17" i="52"/>
  <c r="X25" i="52"/>
  <c r="X50" i="52"/>
  <c r="AN50" i="52" s="1"/>
  <c r="N94" i="57"/>
  <c r="AR50" i="52"/>
  <c r="W27" i="52"/>
  <c r="W26" i="52"/>
  <c r="W55" i="52"/>
  <c r="W51" i="52"/>
  <c r="J94" i="57"/>
  <c r="AR49" i="52"/>
  <c r="AR25" i="52"/>
  <c r="CU22" i="52"/>
  <c r="CU18" i="52"/>
  <c r="CU301" i="40"/>
  <c r="AP88" i="40"/>
  <c r="AR56" i="52"/>
  <c r="R91" i="57"/>
  <c r="T17" i="52"/>
  <c r="T18" i="52"/>
  <c r="AM17" i="52"/>
  <c r="AM21" i="52"/>
  <c r="CR301" i="40"/>
  <c r="AM55" i="52"/>
  <c r="AM47" i="52"/>
  <c r="DB89" i="40"/>
  <c r="A112" i="75"/>
  <c r="Z101" i="75"/>
  <c r="Z46" i="52"/>
  <c r="DB46" i="52" s="1"/>
  <c r="Z55" i="52"/>
  <c r="DB55" i="52" s="1"/>
  <c r="Z18" i="52"/>
  <c r="DB18" i="52" s="1"/>
  <c r="Z27" i="52"/>
  <c r="DB27" i="52" s="1"/>
  <c r="A106" i="75"/>
  <c r="DB501" i="40"/>
  <c r="CP88" i="40"/>
  <c r="AQ88" i="40"/>
  <c r="X107" i="75"/>
  <c r="H95" i="57"/>
  <c r="X46" i="52"/>
  <c r="AO46" i="52" s="1"/>
  <c r="X26" i="52"/>
  <c r="X48" i="52"/>
  <c r="X22" i="52"/>
  <c r="X52" i="52"/>
  <c r="W21" i="52"/>
  <c r="AR46" i="52"/>
  <c r="W101" i="40"/>
  <c r="CU101" i="40" s="1"/>
  <c r="T603" i="40"/>
  <c r="AM50" i="52"/>
  <c r="AN86" i="40"/>
  <c r="AM58" i="52"/>
  <c r="S101" i="40"/>
  <c r="CQ101" i="40" s="1"/>
  <c r="DB86" i="40"/>
  <c r="Z107" i="75"/>
  <c r="Z57" i="52"/>
  <c r="DB57" i="52" s="1"/>
  <c r="Z28" i="52"/>
  <c r="DB28" i="52" s="1"/>
  <c r="DB301" i="40"/>
  <c r="AQ87" i="40"/>
  <c r="L95" i="57"/>
  <c r="X103" i="75"/>
  <c r="X55" i="52"/>
  <c r="X27" i="52"/>
  <c r="CU86" i="40"/>
  <c r="AR53" i="52"/>
  <c r="AR27" i="52"/>
  <c r="AR51" i="52"/>
  <c r="AR48" i="52"/>
  <c r="AP89" i="40"/>
  <c r="T111" i="75"/>
  <c r="AM87" i="40"/>
  <c r="CR401" i="40"/>
  <c r="CR201" i="40"/>
  <c r="CQ501" i="40"/>
  <c r="CQ301" i="40"/>
  <c r="Q101" i="40"/>
  <c r="Q103" i="40"/>
  <c r="AM28" i="52"/>
  <c r="R101" i="40"/>
  <c r="AM29" i="52"/>
  <c r="AM30" i="52"/>
  <c r="Z101" i="40"/>
  <c r="DB101" i="40" s="1"/>
  <c r="X101" i="40"/>
  <c r="CU401" i="40"/>
  <c r="T101" i="40"/>
  <c r="T103" i="40"/>
  <c r="CR103" i="40" s="1"/>
  <c r="IZ402" i="40"/>
  <c r="IX102" i="40"/>
  <c r="IX101" i="40"/>
  <c r="IZ302" i="40"/>
  <c r="IZ101" i="40"/>
  <c r="IZ102" i="40"/>
  <c r="AD44" i="71"/>
  <c r="IX202" i="40"/>
  <c r="IZ202" i="40"/>
  <c r="IZ203" i="40"/>
  <c r="AD48" i="71"/>
  <c r="U601" i="40"/>
  <c r="CS601" i="40" s="1"/>
  <c r="CS201" i="40"/>
  <c r="CV23" i="52"/>
  <c r="E101" i="40"/>
  <c r="CI101" i="40" s="1"/>
  <c r="HZ301" i="40"/>
  <c r="HZ302" i="40"/>
  <c r="HY401" i="40"/>
  <c r="HY402" i="40"/>
  <c r="AK301" i="40"/>
  <c r="AL301" i="40"/>
  <c r="IA302" i="40"/>
  <c r="IA301" i="40"/>
  <c r="IA102" i="40"/>
  <c r="IA101" i="40"/>
  <c r="W601" i="40"/>
  <c r="CU601" i="40" s="1"/>
  <c r="W603" i="40"/>
  <c r="CU603" i="40" s="1"/>
  <c r="R93" i="39"/>
  <c r="CT201" i="40"/>
  <c r="CS501" i="40"/>
  <c r="U101" i="40"/>
  <c r="CS101" i="40" s="1"/>
  <c r="CU501" i="40"/>
  <c r="S92" i="39"/>
  <c r="U602" i="40" s="1"/>
  <c r="E46" i="52"/>
  <c r="E51" i="52"/>
  <c r="E59" i="52"/>
  <c r="HZ202" i="40"/>
  <c r="HZ201" i="40"/>
  <c r="HY302" i="40"/>
  <c r="HY301" i="40"/>
  <c r="AK201" i="40"/>
  <c r="AL201" i="40"/>
  <c r="R28" i="39"/>
  <c r="Y27" i="52"/>
  <c r="IA202" i="40"/>
  <c r="IA203" i="40"/>
  <c r="IA201" i="40"/>
  <c r="IA501" i="40"/>
  <c r="CT501" i="40"/>
  <c r="V101" i="40"/>
  <c r="CT101" i="40" s="1"/>
  <c r="CS401" i="40"/>
  <c r="E29" i="52"/>
  <c r="E30" i="52"/>
  <c r="CV17" i="52"/>
  <c r="E60" i="52"/>
  <c r="HZ501" i="40"/>
  <c r="HZ502" i="40"/>
  <c r="HZ101" i="40"/>
  <c r="HZ102" i="40"/>
  <c r="HY201" i="40"/>
  <c r="HY202" i="40"/>
  <c r="AK501" i="40"/>
  <c r="AL501" i="40"/>
  <c r="AL101" i="40"/>
  <c r="AK101" i="40"/>
  <c r="HL29" i="52"/>
  <c r="IA401" i="40"/>
  <c r="IA402" i="40"/>
  <c r="HL23" i="52"/>
  <c r="HL17" i="52"/>
  <c r="IA502" i="40"/>
  <c r="HY501" i="40"/>
  <c r="CT401" i="40"/>
  <c r="HZ401" i="40"/>
  <c r="HZ402" i="40"/>
  <c r="HY102" i="40"/>
  <c r="HY101" i="40"/>
  <c r="AK401" i="40"/>
  <c r="AL401" i="40"/>
  <c r="HY502" i="40"/>
  <c r="AM301" i="40"/>
  <c r="AM101" i="40"/>
  <c r="IQ101" i="40"/>
  <c r="IO101" i="40"/>
  <c r="AD48" i="58"/>
  <c r="AA102" i="40"/>
  <c r="AA102" i="75"/>
  <c r="I108" i="57"/>
  <c r="Z102" i="40"/>
  <c r="AL87" i="40"/>
  <c r="AK87" i="40"/>
  <c r="CR502" i="40"/>
  <c r="S93" i="39"/>
  <c r="E102" i="40"/>
  <c r="AQ46" i="52"/>
  <c r="CV87" i="40"/>
  <c r="A101" i="75"/>
  <c r="AL89" i="40"/>
  <c r="AK89" i="40"/>
  <c r="AO87" i="40"/>
  <c r="AO89" i="40"/>
  <c r="X104" i="75"/>
  <c r="K94" i="57"/>
  <c r="AR47" i="52"/>
  <c r="AP87" i="40"/>
  <c r="AR20" i="52"/>
  <c r="AR21" i="52"/>
  <c r="AR24" i="52"/>
  <c r="CT89" i="40"/>
  <c r="CU59" i="52"/>
  <c r="CT17" i="52"/>
  <c r="CT56" i="52"/>
  <c r="CT48" i="52"/>
  <c r="CT27" i="52"/>
  <c r="CT23" i="52"/>
  <c r="CR86" i="40"/>
  <c r="T102" i="75"/>
  <c r="AM48" i="52"/>
  <c r="AM86" i="40"/>
  <c r="AM60" i="52"/>
  <c r="M91" i="57"/>
  <c r="AM22" i="52"/>
  <c r="AM49" i="52"/>
  <c r="AM31" i="52"/>
  <c r="AM24" i="52"/>
  <c r="AM52" i="52"/>
  <c r="S89" i="57"/>
  <c r="S88" i="39"/>
  <c r="CM28" i="52"/>
  <c r="R102" i="40"/>
  <c r="CL29" i="52"/>
  <c r="CL55" i="52"/>
  <c r="CL30" i="52"/>
  <c r="CL47" i="52"/>
  <c r="Q44" i="71"/>
  <c r="Q48" i="71"/>
  <c r="S95" i="39"/>
  <c r="W602" i="40"/>
  <c r="CU602" i="40" s="1"/>
  <c r="Y21" i="52"/>
  <c r="HM20" i="52" s="1"/>
  <c r="Y49" i="52" s="1"/>
  <c r="CV20" i="52"/>
  <c r="AK86" i="40"/>
  <c r="AL86" i="40"/>
  <c r="M108" i="57"/>
  <c r="Q95" i="57"/>
  <c r="X102" i="40"/>
  <c r="AM25" i="52"/>
  <c r="AM53" i="52"/>
  <c r="AM59" i="52"/>
  <c r="AM20" i="52"/>
  <c r="T102" i="40"/>
  <c r="CR102" i="40" s="1"/>
  <c r="AQ89" i="40"/>
  <c r="A103" i="75"/>
  <c r="K106" i="57"/>
  <c r="I106" i="57"/>
  <c r="AK88" i="40"/>
  <c r="AL88" i="40"/>
  <c r="AO88" i="40"/>
  <c r="X110" i="75"/>
  <c r="K95" i="57"/>
  <c r="W104" i="75"/>
  <c r="W102" i="40"/>
  <c r="CU102" i="40" s="1"/>
  <c r="T110" i="75"/>
  <c r="I91" i="57"/>
  <c r="R112" i="75"/>
  <c r="AM27" i="52"/>
  <c r="O91" i="57"/>
  <c r="AM26" i="52"/>
  <c r="R110" i="75"/>
  <c r="S90" i="39"/>
  <c r="K88" i="57"/>
  <c r="S102" i="40"/>
  <c r="Q102" i="40"/>
  <c r="S36" i="71"/>
  <c r="Q38" i="71"/>
  <c r="U102" i="40"/>
  <c r="V102" i="40"/>
  <c r="CT102" i="40" s="1"/>
  <c r="S98" i="39"/>
  <c r="CM401" i="40"/>
  <c r="CK201" i="40"/>
  <c r="IP101" i="40"/>
  <c r="AC56" i="69" l="1"/>
  <c r="AD56" i="69" s="1"/>
  <c r="AC54" i="69"/>
  <c r="AD54" i="69" s="1"/>
  <c r="AC52" i="69"/>
  <c r="AD52" i="69" s="1"/>
  <c r="AC54" i="68"/>
  <c r="AD54" i="68" s="1"/>
  <c r="AC52" i="68"/>
  <c r="AD52" i="68" s="1"/>
  <c r="AC50" i="68"/>
  <c r="AD50" i="68" s="1"/>
  <c r="AC58" i="67"/>
  <c r="AD58" i="67" s="1"/>
  <c r="AC56" i="67"/>
  <c r="AD56" i="67" s="1"/>
  <c r="AC54" i="67"/>
  <c r="AD54" i="67" s="1"/>
  <c r="AC52" i="67"/>
  <c r="AD52" i="67" s="1"/>
  <c r="AC50" i="67"/>
  <c r="AD50" i="67" s="1"/>
  <c r="AC54" i="66"/>
  <c r="AD54" i="66" s="1"/>
  <c r="AC50" i="66"/>
  <c r="AD50" i="66" s="1"/>
  <c r="J33" i="58"/>
  <c r="J69" i="58" s="1"/>
  <c r="AQ54" i="52"/>
  <c r="AO30" i="52"/>
  <c r="CI102" i="40"/>
  <c r="AR55" i="52"/>
  <c r="AR26" i="52"/>
  <c r="AR30" i="52"/>
  <c r="AP30" i="52"/>
  <c r="AO49" i="52"/>
  <c r="CI23" i="52"/>
  <c r="A107" i="75"/>
  <c r="CI25" i="52"/>
  <c r="AN28" i="52"/>
  <c r="AN49" i="52"/>
  <c r="CI53" i="52"/>
  <c r="AO59" i="52"/>
  <c r="AP49" i="52"/>
  <c r="AP59" i="52"/>
  <c r="AO28" i="52"/>
  <c r="AO25" i="52"/>
  <c r="AR59" i="52"/>
  <c r="AN59" i="52"/>
  <c r="AN20" i="52"/>
  <c r="AN31" i="52"/>
  <c r="IO102" i="40"/>
  <c r="JA102" i="40" s="1"/>
  <c r="D7" i="44" s="1"/>
  <c r="AP60" i="52"/>
  <c r="AO22" i="52"/>
  <c r="IP102" i="40"/>
  <c r="AN56" i="52"/>
  <c r="CT60" i="52"/>
  <c r="AR60" i="52"/>
  <c r="AO56" i="52"/>
  <c r="AR31" i="52"/>
  <c r="CV27" i="52"/>
  <c r="IQ102" i="40"/>
  <c r="JC102" i="40" s="1"/>
  <c r="AO48" i="52"/>
  <c r="AO60" i="52"/>
  <c r="AP56" i="52"/>
  <c r="AP19" i="52"/>
  <c r="AN60" i="52"/>
  <c r="AO31" i="52"/>
  <c r="AO58" i="52"/>
  <c r="AN58" i="52"/>
  <c r="AQ51" i="52"/>
  <c r="AP58" i="52"/>
  <c r="AR57" i="52"/>
  <c r="AP31" i="52"/>
  <c r="AN30" i="52"/>
  <c r="S111" i="75"/>
  <c r="S601" i="40"/>
  <c r="CQ601" i="40" s="1"/>
  <c r="R90" i="57"/>
  <c r="AN19" i="52"/>
  <c r="T112" i="75"/>
  <c r="T174" i="75" s="1"/>
  <c r="AR29" i="52"/>
  <c r="JP303" i="40"/>
  <c r="AO29" i="52"/>
  <c r="AJ501" i="40"/>
  <c r="AJ60" i="52"/>
  <c r="AJ59" i="52"/>
  <c r="AJ58" i="52"/>
  <c r="AJ31" i="52"/>
  <c r="AJ109" i="75"/>
  <c r="AJ29" i="52"/>
  <c r="AJ30" i="52"/>
  <c r="P121" i="57"/>
  <c r="AD401" i="40"/>
  <c r="N112" i="57"/>
  <c r="AD107" i="75"/>
  <c r="AD28" i="52"/>
  <c r="AD26" i="52"/>
  <c r="AD57" i="52"/>
  <c r="AD56" i="52"/>
  <c r="AD55" i="52"/>
  <c r="AD27" i="52"/>
  <c r="R94" i="57"/>
  <c r="R95" i="39"/>
  <c r="W111" i="75"/>
  <c r="Z111" i="75"/>
  <c r="Z601" i="40"/>
  <c r="DB601" i="40" s="1"/>
  <c r="S106" i="39"/>
  <c r="R106" i="57"/>
  <c r="R89" i="39"/>
  <c r="AC112" i="75"/>
  <c r="S111" i="57"/>
  <c r="S91" i="57"/>
  <c r="IX302" i="40"/>
  <c r="AR19" i="52"/>
  <c r="AN52" i="52"/>
  <c r="AO19" i="52"/>
  <c r="IY301" i="40"/>
  <c r="AR28" i="52"/>
  <c r="AP28" i="52"/>
  <c r="Q601" i="40"/>
  <c r="Q111" i="75"/>
  <c r="R88" i="57"/>
  <c r="I95" i="57"/>
  <c r="X102" i="75"/>
  <c r="AP29" i="52"/>
  <c r="AN29" i="52"/>
  <c r="X105" i="75"/>
  <c r="X301" i="40"/>
  <c r="AP301" i="40" s="1"/>
  <c r="X24" i="52"/>
  <c r="X54" i="52"/>
  <c r="X23" i="52"/>
  <c r="X53" i="52"/>
  <c r="R92" i="57"/>
  <c r="U111" i="75"/>
  <c r="BH403" i="40"/>
  <c r="N603" i="40"/>
  <c r="CN603" i="40" s="1"/>
  <c r="JO603" i="40"/>
  <c r="CC603" i="40"/>
  <c r="JP603" i="40"/>
  <c r="BG403" i="40"/>
  <c r="DW403" i="40"/>
  <c r="BD603" i="40"/>
  <c r="BL603" i="40"/>
  <c r="C604" i="40"/>
  <c r="J604" i="40" s="1"/>
  <c r="K603" i="40"/>
  <c r="CK603" i="40" s="1"/>
  <c r="AM602" i="40"/>
  <c r="IJ103" i="40"/>
  <c r="IM103" i="40" s="1"/>
  <c r="BG503" i="40"/>
  <c r="BW503" i="40"/>
  <c r="DV503" i="40"/>
  <c r="JO503" i="40"/>
  <c r="HZ503" i="40"/>
  <c r="IA503" i="40"/>
  <c r="BY103" i="40"/>
  <c r="BK503" i="40"/>
  <c r="CB503" i="40"/>
  <c r="CA203" i="40"/>
  <c r="AW203" i="40"/>
  <c r="HY503" i="40"/>
  <c r="C104" i="40"/>
  <c r="AY503" i="40"/>
  <c r="BO503" i="40"/>
  <c r="CF503" i="40"/>
  <c r="JO103" i="40"/>
  <c r="BJ203" i="40"/>
  <c r="JO203" i="40"/>
  <c r="DB202" i="40"/>
  <c r="HZ103" i="40"/>
  <c r="V103" i="40"/>
  <c r="CT103" i="40" s="1"/>
  <c r="E103" i="40"/>
  <c r="X603" i="40"/>
  <c r="U603" i="40"/>
  <c r="CS603" i="40" s="1"/>
  <c r="R103" i="40"/>
  <c r="W104" i="40"/>
  <c r="CU104" i="40" s="1"/>
  <c r="T604" i="40"/>
  <c r="CR604" i="40" s="1"/>
  <c r="II103" i="40"/>
  <c r="IL103" i="40" s="1"/>
  <c r="BN103" i="40"/>
  <c r="AJ603" i="40"/>
  <c r="L603" i="40"/>
  <c r="CL603" i="40" s="1"/>
  <c r="DV603" i="40"/>
  <c r="CG603" i="40"/>
  <c r="AZ603" i="40"/>
  <c r="I603" i="40"/>
  <c r="CA603" i="40"/>
  <c r="BV603" i="40"/>
  <c r="BM603" i="40"/>
  <c r="AI603" i="40"/>
  <c r="Z603" i="40"/>
  <c r="HY103" i="40"/>
  <c r="HZ104" i="40"/>
  <c r="U104" i="40"/>
  <c r="CS104" i="40" s="1"/>
  <c r="IZ104" i="40"/>
  <c r="IZ103" i="40"/>
  <c r="IX104" i="40"/>
  <c r="Z104" i="40"/>
  <c r="W103" i="40"/>
  <c r="CU103" i="40" s="1"/>
  <c r="IK103" i="40"/>
  <c r="IN103" i="40" s="1"/>
  <c r="P103" i="40"/>
  <c r="J103" i="40"/>
  <c r="F603" i="40"/>
  <c r="CE603" i="40"/>
  <c r="BZ603" i="40"/>
  <c r="BQ603" i="40"/>
  <c r="BK603" i="40"/>
  <c r="BF603" i="40"/>
  <c r="AW603" i="40"/>
  <c r="CB603" i="40"/>
  <c r="AG603" i="40"/>
  <c r="AH603" i="40"/>
  <c r="HY104" i="40"/>
  <c r="U103" i="40"/>
  <c r="CS103" i="40" s="1"/>
  <c r="IA103" i="40"/>
  <c r="IX103" i="40"/>
  <c r="T104" i="40"/>
  <c r="CR104" i="40" s="1"/>
  <c r="X103" i="40"/>
  <c r="Z103" i="40"/>
  <c r="S103" i="40"/>
  <c r="CQ103" i="40" s="1"/>
  <c r="JF103" i="40"/>
  <c r="HN103" i="40" s="1"/>
  <c r="HQ103" i="40" s="1"/>
  <c r="AD103" i="40"/>
  <c r="BQ103" i="40"/>
  <c r="BG103" i="40"/>
  <c r="CJ603" i="40"/>
  <c r="BO603" i="40"/>
  <c r="BJ603" i="40"/>
  <c r="BA603" i="40"/>
  <c r="AB603" i="40"/>
  <c r="O603" i="40"/>
  <c r="CO603" i="40" s="1"/>
  <c r="J603" i="40"/>
  <c r="BT603" i="40"/>
  <c r="AE603" i="40"/>
  <c r="H603" i="40"/>
  <c r="A603" i="40"/>
  <c r="BD103" i="40"/>
  <c r="DS103" i="40"/>
  <c r="AE103" i="40"/>
  <c r="BU103" i="40"/>
  <c r="M103" i="40"/>
  <c r="CM103" i="40" s="1"/>
  <c r="CE103" i="40"/>
  <c r="BW103" i="40"/>
  <c r="BX103" i="40"/>
  <c r="BH103" i="40"/>
  <c r="DW103" i="40"/>
  <c r="BA103" i="40"/>
  <c r="CH103" i="40"/>
  <c r="AX103" i="40"/>
  <c r="CJ103" i="40"/>
  <c r="N103" i="40"/>
  <c r="CN103" i="40" s="1"/>
  <c r="O103" i="40"/>
  <c r="CO103" i="40" s="1"/>
  <c r="BT103" i="40"/>
  <c r="BE103" i="40"/>
  <c r="DT103" i="40"/>
  <c r="BB103" i="40"/>
  <c r="AB103" i="40"/>
  <c r="BR103" i="40"/>
  <c r="AM202" i="40"/>
  <c r="DW603" i="40"/>
  <c r="BG603" i="40"/>
  <c r="BR603" i="40"/>
  <c r="DU603" i="40"/>
  <c r="BE603" i="40"/>
  <c r="BP603" i="40"/>
  <c r="DS603" i="40"/>
  <c r="BC603" i="40"/>
  <c r="BN603" i="40"/>
  <c r="BY603" i="40"/>
  <c r="DT603" i="40"/>
  <c r="CF603" i="40"/>
  <c r="BW603" i="40"/>
  <c r="CH603" i="40"/>
  <c r="BB603" i="40"/>
  <c r="BU603" i="40"/>
  <c r="BH603" i="40"/>
  <c r="AA603" i="40"/>
  <c r="KN603" i="40"/>
  <c r="P603" i="40"/>
  <c r="BS603" i="40"/>
  <c r="CD603" i="40"/>
  <c r="AX603" i="40"/>
  <c r="BI603" i="40"/>
  <c r="BX603" i="40"/>
  <c r="Q603" i="40"/>
  <c r="S603" i="40"/>
  <c r="CQ603" i="40" s="1"/>
  <c r="M603" i="40"/>
  <c r="CM603" i="40" s="1"/>
  <c r="H204" i="40"/>
  <c r="L204" i="40"/>
  <c r="CL204" i="40" s="1"/>
  <c r="P204" i="40"/>
  <c r="T204" i="40"/>
  <c r="CR204" i="40" s="1"/>
  <c r="X204" i="40"/>
  <c r="AB204" i="40"/>
  <c r="AF204" i="40"/>
  <c r="AJ204" i="40"/>
  <c r="F204" i="40"/>
  <c r="J204" i="40"/>
  <c r="N204" i="40"/>
  <c r="CN204" i="40" s="1"/>
  <c r="R204" i="40"/>
  <c r="V204" i="40"/>
  <c r="CT204" i="40" s="1"/>
  <c r="Z204" i="40"/>
  <c r="AD204" i="40"/>
  <c r="AH204" i="40"/>
  <c r="I204" i="40"/>
  <c r="Q204" i="40"/>
  <c r="AG204" i="40"/>
  <c r="W204" i="40"/>
  <c r="CU204" i="40" s="1"/>
  <c r="K204" i="40"/>
  <c r="CK204" i="40" s="1"/>
  <c r="S204" i="40"/>
  <c r="CQ204" i="40" s="1"/>
  <c r="AA204" i="40"/>
  <c r="AI204" i="40"/>
  <c r="G204" i="40"/>
  <c r="AE204" i="40"/>
  <c r="E204" i="40"/>
  <c r="M204" i="40"/>
  <c r="CM204" i="40" s="1"/>
  <c r="U204" i="40"/>
  <c r="CS204" i="40" s="1"/>
  <c r="AC204" i="40"/>
  <c r="O204" i="40"/>
  <c r="CO204" i="40" s="1"/>
  <c r="HY204" i="40"/>
  <c r="IZ204" i="40"/>
  <c r="IX204" i="40"/>
  <c r="HZ204" i="40"/>
  <c r="IA204" i="40"/>
  <c r="G303" i="40"/>
  <c r="K303" i="40"/>
  <c r="O303" i="40"/>
  <c r="CO303" i="40" s="1"/>
  <c r="S303" i="40"/>
  <c r="CQ303" i="40" s="1"/>
  <c r="W303" i="40"/>
  <c r="CU303" i="40" s="1"/>
  <c r="AA303" i="40"/>
  <c r="AE303" i="40"/>
  <c r="AI303" i="40"/>
  <c r="H303" i="40"/>
  <c r="P303" i="40"/>
  <c r="X303" i="40"/>
  <c r="AF303" i="40"/>
  <c r="R303" i="40"/>
  <c r="AD303" i="40"/>
  <c r="L303" i="40"/>
  <c r="CL303" i="40" s="1"/>
  <c r="T303" i="40"/>
  <c r="CR303" i="40" s="1"/>
  <c r="AB303" i="40"/>
  <c r="AJ303" i="40"/>
  <c r="J303" i="40"/>
  <c r="Z303" i="40"/>
  <c r="E303" i="40"/>
  <c r="I303" i="40"/>
  <c r="M303" i="40"/>
  <c r="CM303" i="40" s="1"/>
  <c r="Q303" i="40"/>
  <c r="U303" i="40"/>
  <c r="CS303" i="40" s="1"/>
  <c r="AC303" i="40"/>
  <c r="AG303" i="40"/>
  <c r="F303" i="40"/>
  <c r="N303" i="40"/>
  <c r="CN303" i="40" s="1"/>
  <c r="V303" i="40"/>
  <c r="CT303" i="40" s="1"/>
  <c r="AH303" i="40"/>
  <c r="CG403" i="40"/>
  <c r="G403" i="40"/>
  <c r="K403" i="40"/>
  <c r="CK403" i="40" s="1"/>
  <c r="O403" i="40"/>
  <c r="CO403" i="40" s="1"/>
  <c r="S403" i="40"/>
  <c r="CQ403" i="40" s="1"/>
  <c r="W403" i="40"/>
  <c r="CU403" i="40" s="1"/>
  <c r="AA403" i="40"/>
  <c r="AE403" i="40"/>
  <c r="AI403" i="40"/>
  <c r="H403" i="40"/>
  <c r="P403" i="40"/>
  <c r="X403" i="40"/>
  <c r="AF403" i="40"/>
  <c r="AJ403" i="40"/>
  <c r="F403" i="40"/>
  <c r="R403" i="40"/>
  <c r="L403" i="40"/>
  <c r="CL403" i="40" s="1"/>
  <c r="T403" i="40"/>
  <c r="CR403" i="40" s="1"/>
  <c r="AB403" i="40"/>
  <c r="J403" i="40"/>
  <c r="V403" i="40"/>
  <c r="CT403" i="40" s="1"/>
  <c r="E403" i="40"/>
  <c r="I403" i="40"/>
  <c r="M403" i="40"/>
  <c r="CM403" i="40" s="1"/>
  <c r="Q403" i="40"/>
  <c r="U403" i="40"/>
  <c r="CS403" i="40" s="1"/>
  <c r="AC403" i="40"/>
  <c r="AG403" i="40"/>
  <c r="N403" i="40"/>
  <c r="CN403" i="40" s="1"/>
  <c r="Z403" i="40"/>
  <c r="AD403" i="40"/>
  <c r="AH403" i="40"/>
  <c r="IX203" i="40"/>
  <c r="BV403" i="40"/>
  <c r="BK403" i="40"/>
  <c r="BT403" i="40"/>
  <c r="AY203" i="40"/>
  <c r="BK203" i="40"/>
  <c r="CF203" i="40"/>
  <c r="DU203" i="40"/>
  <c r="BV203" i="40"/>
  <c r="BF203" i="40"/>
  <c r="BZ203" i="40"/>
  <c r="BI203" i="40"/>
  <c r="DW203" i="40"/>
  <c r="BY203" i="40"/>
  <c r="BH203" i="40"/>
  <c r="A203" i="40"/>
  <c r="KF203" i="40" s="1"/>
  <c r="A103" i="40"/>
  <c r="KF103" i="40" s="1"/>
  <c r="BC103" i="40"/>
  <c r="BS103" i="40"/>
  <c r="AC103" i="40"/>
  <c r="DM103" i="40"/>
  <c r="L604" i="40"/>
  <c r="CL604" i="40" s="1"/>
  <c r="M604" i="40"/>
  <c r="CM604" i="40" s="1"/>
  <c r="N604" i="40"/>
  <c r="CN604" i="40" s="1"/>
  <c r="HZ403" i="40"/>
  <c r="HY203" i="40"/>
  <c r="W604" i="40"/>
  <c r="CU604" i="40" s="1"/>
  <c r="HY403" i="40"/>
  <c r="U604" i="40"/>
  <c r="CS604" i="40" s="1"/>
  <c r="IZ303" i="40"/>
  <c r="M33" i="58"/>
  <c r="M53" i="58" s="1"/>
  <c r="G103" i="40"/>
  <c r="AH103" i="40"/>
  <c r="BL103" i="40"/>
  <c r="CC103" i="40"/>
  <c r="BB403" i="40"/>
  <c r="CJ403" i="40"/>
  <c r="JO403" i="40"/>
  <c r="H103" i="40"/>
  <c r="AI103" i="40"/>
  <c r="BI103" i="40"/>
  <c r="BZ103" i="40"/>
  <c r="BW403" i="40"/>
  <c r="AF103" i="40"/>
  <c r="BF103" i="40"/>
  <c r="BV103" i="40"/>
  <c r="DU103" i="40"/>
  <c r="BY403" i="40"/>
  <c r="DM203" i="40"/>
  <c r="BG203" i="40"/>
  <c r="BW203" i="40"/>
  <c r="CJ203" i="40"/>
  <c r="BR203" i="40"/>
  <c r="BB203" i="40"/>
  <c r="DT203" i="40"/>
  <c r="BU203" i="40"/>
  <c r="BE203" i="40"/>
  <c r="DS203" i="40"/>
  <c r="BT203" i="40"/>
  <c r="BD203" i="40"/>
  <c r="F103" i="40"/>
  <c r="DV103" i="40"/>
  <c r="BK103" i="40"/>
  <c r="AY103" i="40"/>
  <c r="Z604" i="40"/>
  <c r="K604" i="40"/>
  <c r="H203" i="40"/>
  <c r="L203" i="40"/>
  <c r="CL203" i="40" s="1"/>
  <c r="P203" i="40"/>
  <c r="T203" i="40"/>
  <c r="CR203" i="40" s="1"/>
  <c r="X203" i="40"/>
  <c r="AB203" i="40"/>
  <c r="AF203" i="40"/>
  <c r="AJ203" i="40"/>
  <c r="F203" i="40"/>
  <c r="J203" i="40"/>
  <c r="N203" i="40"/>
  <c r="CN203" i="40" s="1"/>
  <c r="R203" i="40"/>
  <c r="V203" i="40"/>
  <c r="CT203" i="40" s="1"/>
  <c r="Z203" i="40"/>
  <c r="AD203" i="40"/>
  <c r="AH203" i="40"/>
  <c r="I203" i="40"/>
  <c r="Q203" i="40"/>
  <c r="AG203" i="40"/>
  <c r="G203" i="40"/>
  <c r="AE203" i="40"/>
  <c r="K203" i="40"/>
  <c r="S203" i="40"/>
  <c r="CQ203" i="40" s="1"/>
  <c r="AA203" i="40"/>
  <c r="AI203" i="40"/>
  <c r="O203" i="40"/>
  <c r="CO203" i="40" s="1"/>
  <c r="E203" i="40"/>
  <c r="M203" i="40"/>
  <c r="CM203" i="40" s="1"/>
  <c r="U203" i="40"/>
  <c r="CS203" i="40" s="1"/>
  <c r="AC203" i="40"/>
  <c r="W203" i="40"/>
  <c r="CU203" i="40" s="1"/>
  <c r="AM102" i="40"/>
  <c r="HZ203" i="40"/>
  <c r="X604" i="40"/>
  <c r="A12" i="58"/>
  <c r="K33" i="58"/>
  <c r="K59" i="58" s="1"/>
  <c r="K103" i="40"/>
  <c r="CK103" i="40" s="1"/>
  <c r="AZ103" i="40"/>
  <c r="BP103" i="40"/>
  <c r="CG103" i="40"/>
  <c r="BF403" i="40"/>
  <c r="DU403" i="40"/>
  <c r="L103" i="40"/>
  <c r="CL103" i="40" s="1"/>
  <c r="AW103" i="40"/>
  <c r="BM103" i="40"/>
  <c r="CD103" i="40"/>
  <c r="CB403" i="40"/>
  <c r="I103" i="40"/>
  <c r="AJ103" i="40"/>
  <c r="BJ103" i="40"/>
  <c r="CA103" i="40"/>
  <c r="BD403" i="40"/>
  <c r="DS403" i="40"/>
  <c r="CB203" i="40"/>
  <c r="BC203" i="40"/>
  <c r="BO203" i="40"/>
  <c r="CE203" i="40"/>
  <c r="BN203" i="40"/>
  <c r="AX203" i="40"/>
  <c r="CH203" i="40"/>
  <c r="BQ203" i="40"/>
  <c r="BA203" i="40"/>
  <c r="BX203" i="40"/>
  <c r="CG203" i="40"/>
  <c r="BP203" i="40"/>
  <c r="AZ203" i="40"/>
  <c r="AG103" i="40"/>
  <c r="CB103" i="40"/>
  <c r="BO103" i="40"/>
  <c r="I604" i="40"/>
  <c r="CB604" i="40"/>
  <c r="BL604" i="40"/>
  <c r="AB604" i="40"/>
  <c r="DS604" i="40"/>
  <c r="BS604" i="40"/>
  <c r="BC604" i="40"/>
  <c r="DV604" i="40"/>
  <c r="BZ604" i="40"/>
  <c r="BJ604" i="40"/>
  <c r="A604" i="40"/>
  <c r="AG604" i="40"/>
  <c r="DU604" i="40"/>
  <c r="BU604" i="40"/>
  <c r="S604" i="40"/>
  <c r="CQ604" i="40" s="1"/>
  <c r="AA604" i="40"/>
  <c r="JO604" i="40"/>
  <c r="AE604" i="40"/>
  <c r="BX604" i="40"/>
  <c r="BH604" i="40"/>
  <c r="P604" i="40"/>
  <c r="CE604" i="40"/>
  <c r="BO604" i="40"/>
  <c r="AY604" i="40"/>
  <c r="DM604" i="40"/>
  <c r="BV604" i="40"/>
  <c r="BF604" i="40"/>
  <c r="CG604" i="40"/>
  <c r="CC604" i="40"/>
  <c r="BE604" i="40"/>
  <c r="R604" i="40"/>
  <c r="JP604" i="40"/>
  <c r="AI604" i="40"/>
  <c r="F604" i="40"/>
  <c r="DT604" i="40"/>
  <c r="BT604" i="40"/>
  <c r="BD604" i="40"/>
  <c r="C605" i="40"/>
  <c r="CA604" i="40"/>
  <c r="BK604" i="40"/>
  <c r="O604" i="40"/>
  <c r="CO604" i="40" s="1"/>
  <c r="CH604" i="40"/>
  <c r="BR604" i="40"/>
  <c r="BB604" i="40"/>
  <c r="BQ604" i="40"/>
  <c r="BM604" i="40"/>
  <c r="BY604" i="40"/>
  <c r="AH604" i="40"/>
  <c r="KN604" i="40"/>
  <c r="AJ604" i="40"/>
  <c r="AZ604" i="40"/>
  <c r="G604" i="40"/>
  <c r="BA604" i="40"/>
  <c r="DW604" i="40"/>
  <c r="CD604" i="40"/>
  <c r="AW604" i="40"/>
  <c r="H604" i="40"/>
  <c r="BG604" i="40"/>
  <c r="CJ604" i="40"/>
  <c r="CF604" i="40"/>
  <c r="BW604" i="40"/>
  <c r="BN604" i="40"/>
  <c r="BI604" i="40"/>
  <c r="BP604" i="40"/>
  <c r="AX604" i="40"/>
  <c r="C504" i="40"/>
  <c r="G503" i="40"/>
  <c r="K503" i="40"/>
  <c r="CK503" i="40" s="1"/>
  <c r="O503" i="40"/>
  <c r="CO503" i="40" s="1"/>
  <c r="S503" i="40"/>
  <c r="CQ503" i="40" s="1"/>
  <c r="W503" i="40"/>
  <c r="CU503" i="40" s="1"/>
  <c r="AA503" i="40"/>
  <c r="AE503" i="40"/>
  <c r="AI503" i="40"/>
  <c r="L503" i="40"/>
  <c r="CL503" i="40" s="1"/>
  <c r="T503" i="40"/>
  <c r="CR503" i="40" s="1"/>
  <c r="AB503" i="40"/>
  <c r="AJ503" i="40"/>
  <c r="H503" i="40"/>
  <c r="P503" i="40"/>
  <c r="X503" i="40"/>
  <c r="AF503" i="40"/>
  <c r="E503" i="40"/>
  <c r="I503" i="40"/>
  <c r="M503" i="40"/>
  <c r="CM503" i="40" s="1"/>
  <c r="Q503" i="40"/>
  <c r="U503" i="40"/>
  <c r="CS503" i="40" s="1"/>
  <c r="AG503" i="40"/>
  <c r="N503" i="40"/>
  <c r="CN503" i="40" s="1"/>
  <c r="J503" i="40"/>
  <c r="R503" i="40"/>
  <c r="AH503" i="40"/>
  <c r="F503" i="40"/>
  <c r="V503" i="40"/>
  <c r="CT503" i="40" s="1"/>
  <c r="Z503" i="40"/>
  <c r="AX503" i="40"/>
  <c r="BD503" i="40"/>
  <c r="BI503" i="40"/>
  <c r="BN503" i="40"/>
  <c r="BT503" i="40"/>
  <c r="BZ503" i="40"/>
  <c r="CE503" i="40"/>
  <c r="DS503" i="40"/>
  <c r="AZ503" i="40"/>
  <c r="BE503" i="40"/>
  <c r="BJ503" i="40"/>
  <c r="BP503" i="40"/>
  <c r="BU503" i="40"/>
  <c r="CA503" i="40"/>
  <c r="CG503" i="40"/>
  <c r="DT503" i="40"/>
  <c r="BA503" i="40"/>
  <c r="BF503" i="40"/>
  <c r="BL503" i="40"/>
  <c r="BQ503" i="40"/>
  <c r="BV503" i="40"/>
  <c r="CC503" i="40"/>
  <c r="CH503" i="40"/>
  <c r="DU503" i="40"/>
  <c r="BM503" i="40"/>
  <c r="CJ503" i="40"/>
  <c r="AW503" i="40"/>
  <c r="BR503" i="40"/>
  <c r="DW503" i="40"/>
  <c r="BX503" i="40"/>
  <c r="BH503" i="40"/>
  <c r="CD503" i="40"/>
  <c r="BB503" i="40"/>
  <c r="BY503" i="40"/>
  <c r="AM402" i="40"/>
  <c r="DB302" i="40"/>
  <c r="IZ403" i="40"/>
  <c r="X104" i="40"/>
  <c r="JS689" i="40"/>
  <c r="AX403" i="40"/>
  <c r="BN403" i="40"/>
  <c r="CE403" i="40"/>
  <c r="BC403" i="40"/>
  <c r="BS403" i="40"/>
  <c r="DM403" i="40"/>
  <c r="A403" i="40"/>
  <c r="KF403" i="40" s="1"/>
  <c r="AZ403" i="40"/>
  <c r="BP403" i="40"/>
  <c r="AM302" i="40"/>
  <c r="C404" i="40"/>
  <c r="BA403" i="40"/>
  <c r="BQ403" i="40"/>
  <c r="CH403" i="40"/>
  <c r="BE403" i="40"/>
  <c r="BU403" i="40"/>
  <c r="DT403" i="40"/>
  <c r="BI403" i="40"/>
  <c r="BZ403" i="40"/>
  <c r="BM403" i="40"/>
  <c r="CD403" i="40"/>
  <c r="AW403" i="40"/>
  <c r="IA403" i="40"/>
  <c r="BJ403" i="40"/>
  <c r="CA403" i="40"/>
  <c r="L33" i="58"/>
  <c r="L67" i="58" s="1"/>
  <c r="BX403" i="40"/>
  <c r="AY403" i="40"/>
  <c r="BO403" i="40"/>
  <c r="CF403" i="40"/>
  <c r="BL403" i="40"/>
  <c r="CC403" i="40"/>
  <c r="BX303" i="40"/>
  <c r="AZ303" i="40"/>
  <c r="BD303" i="40"/>
  <c r="BH303" i="40"/>
  <c r="BL303" i="40"/>
  <c r="BP303" i="40"/>
  <c r="BT303" i="40"/>
  <c r="BY303" i="40"/>
  <c r="CC303" i="40"/>
  <c r="CG303" i="40"/>
  <c r="DM303" i="40"/>
  <c r="DV303" i="40"/>
  <c r="AW303" i="40"/>
  <c r="BA303" i="40"/>
  <c r="BE303" i="40"/>
  <c r="BI303" i="40"/>
  <c r="BM303" i="40"/>
  <c r="BQ303" i="40"/>
  <c r="BU303" i="40"/>
  <c r="BZ303" i="40"/>
  <c r="CD303" i="40"/>
  <c r="CH303" i="40"/>
  <c r="DS303" i="40"/>
  <c r="DW303" i="40"/>
  <c r="JO303" i="40"/>
  <c r="A303" i="40"/>
  <c r="KF303" i="40" s="1"/>
  <c r="AX303" i="40"/>
  <c r="BB303" i="40"/>
  <c r="BF303" i="40"/>
  <c r="BJ303" i="40"/>
  <c r="BN303" i="40"/>
  <c r="BR303" i="40"/>
  <c r="BV303" i="40"/>
  <c r="CA303" i="40"/>
  <c r="CE303" i="40"/>
  <c r="CJ303" i="40"/>
  <c r="DT303" i="40"/>
  <c r="AY303" i="40"/>
  <c r="BO303" i="40"/>
  <c r="CB303" i="40"/>
  <c r="DU303" i="40"/>
  <c r="BC303" i="40"/>
  <c r="BK303" i="40"/>
  <c r="BS303" i="40"/>
  <c r="CF303" i="40"/>
  <c r="BG303" i="40"/>
  <c r="BW303" i="40"/>
  <c r="HJ184" i="40"/>
  <c r="HY303" i="40"/>
  <c r="IY303" i="40"/>
  <c r="JS691" i="40"/>
  <c r="JS700" i="40"/>
  <c r="HJ284" i="40"/>
  <c r="HJ584" i="40"/>
  <c r="B505" i="40"/>
  <c r="AM502" i="40"/>
  <c r="IA303" i="40"/>
  <c r="IX303" i="40"/>
  <c r="C304" i="40"/>
  <c r="AZ304" i="40" s="1"/>
  <c r="HJ484" i="40"/>
  <c r="HJ384" i="40"/>
  <c r="BX204" i="40"/>
  <c r="AZ204" i="40"/>
  <c r="BD204" i="40"/>
  <c r="BH204" i="40"/>
  <c r="BL204" i="40"/>
  <c r="BP204" i="40"/>
  <c r="BT204" i="40"/>
  <c r="BY204" i="40"/>
  <c r="CC204" i="40"/>
  <c r="CG204" i="40"/>
  <c r="DS204" i="40"/>
  <c r="DW204" i="40"/>
  <c r="C205" i="40"/>
  <c r="A204" i="40"/>
  <c r="KF204" i="40" s="1"/>
  <c r="AW204" i="40"/>
  <c r="BA204" i="40"/>
  <c r="BE204" i="40"/>
  <c r="BI204" i="40"/>
  <c r="BM204" i="40"/>
  <c r="BQ204" i="40"/>
  <c r="BU204" i="40"/>
  <c r="BZ204" i="40"/>
  <c r="CD204" i="40"/>
  <c r="CH204" i="40"/>
  <c r="DT204" i="40"/>
  <c r="JO204" i="40"/>
  <c r="AX204" i="40"/>
  <c r="BB204" i="40"/>
  <c r="BF204" i="40"/>
  <c r="BJ204" i="40"/>
  <c r="BN204" i="40"/>
  <c r="BR204" i="40"/>
  <c r="BV204" i="40"/>
  <c r="CA204" i="40"/>
  <c r="CE204" i="40"/>
  <c r="CJ204" i="40"/>
  <c r="DU204" i="40"/>
  <c r="BC204" i="40"/>
  <c r="BG204" i="40"/>
  <c r="BK204" i="40"/>
  <c r="BO204" i="40"/>
  <c r="BW204" i="40"/>
  <c r="CB204" i="40"/>
  <c r="DM204" i="40"/>
  <c r="AY204" i="40"/>
  <c r="BS204" i="40"/>
  <c r="CF204" i="40"/>
  <c r="DV204" i="40"/>
  <c r="HM101" i="40"/>
  <c r="HP101" i="40" s="1"/>
  <c r="HO101" i="40"/>
  <c r="HR101" i="40" s="1"/>
  <c r="HO102" i="40"/>
  <c r="HR102" i="40" s="1"/>
  <c r="HM102" i="40"/>
  <c r="HP102" i="40" s="1"/>
  <c r="B185" i="75"/>
  <c r="JS692" i="40"/>
  <c r="JS694" i="40"/>
  <c r="JS698" i="40"/>
  <c r="N33" i="62"/>
  <c r="H33" i="58"/>
  <c r="H33" i="62"/>
  <c r="L33" i="62"/>
  <c r="M33" i="62"/>
  <c r="N33" i="58"/>
  <c r="O33" i="58"/>
  <c r="K33" i="62"/>
  <c r="A12" i="62"/>
  <c r="F33" i="62"/>
  <c r="JF104" i="40"/>
  <c r="IK104" i="40"/>
  <c r="IN104" i="40" s="1"/>
  <c r="IJ104" i="40"/>
  <c r="IM104" i="40" s="1"/>
  <c r="II104" i="40"/>
  <c r="IL104" i="40" s="1"/>
  <c r="BX104" i="40"/>
  <c r="A104" i="40"/>
  <c r="C105" i="40"/>
  <c r="AA105" i="40" s="1"/>
  <c r="G104" i="40"/>
  <c r="P104" i="40"/>
  <c r="AE104" i="40"/>
  <c r="AI104" i="40"/>
  <c r="AW104" i="40"/>
  <c r="BA104" i="40"/>
  <c r="BE104" i="40"/>
  <c r="BI104" i="40"/>
  <c r="BM104" i="40"/>
  <c r="BQ104" i="40"/>
  <c r="BU104" i="40"/>
  <c r="BZ104" i="40"/>
  <c r="CD104" i="40"/>
  <c r="CH104" i="40"/>
  <c r="DT104" i="40"/>
  <c r="H104" i="40"/>
  <c r="AB104" i="40"/>
  <c r="AF104" i="40"/>
  <c r="AJ104" i="40"/>
  <c r="AX104" i="40"/>
  <c r="BB104" i="40"/>
  <c r="BF104" i="40"/>
  <c r="BJ104" i="40"/>
  <c r="BN104" i="40"/>
  <c r="BR104" i="40"/>
  <c r="BV104" i="40"/>
  <c r="CA104" i="40"/>
  <c r="CE104" i="40"/>
  <c r="CJ104" i="40"/>
  <c r="DU104" i="40"/>
  <c r="I104" i="40"/>
  <c r="AC104" i="40"/>
  <c r="AG104" i="40"/>
  <c r="AY104" i="40"/>
  <c r="BC104" i="40"/>
  <c r="BG104" i="40"/>
  <c r="BK104" i="40"/>
  <c r="BO104" i="40"/>
  <c r="BS104" i="40"/>
  <c r="BW104" i="40"/>
  <c r="CB104" i="40"/>
  <c r="CF104" i="40"/>
  <c r="DM104" i="40"/>
  <c r="DV104" i="40"/>
  <c r="F104" i="40"/>
  <c r="BH104" i="40"/>
  <c r="BY104" i="40"/>
  <c r="DW104" i="40"/>
  <c r="O104" i="40"/>
  <c r="CO104" i="40" s="1"/>
  <c r="BL104" i="40"/>
  <c r="CC104" i="40"/>
  <c r="AD104" i="40"/>
  <c r="AZ104" i="40"/>
  <c r="BP104" i="40"/>
  <c r="CG104" i="40"/>
  <c r="BD104" i="40"/>
  <c r="AH104" i="40"/>
  <c r="BT104" i="40"/>
  <c r="DS104" i="40"/>
  <c r="JO104" i="40"/>
  <c r="JS688" i="40"/>
  <c r="JS690" i="40"/>
  <c r="L104" i="40"/>
  <c r="CL104" i="40" s="1"/>
  <c r="M104" i="40"/>
  <c r="CM104" i="40" s="1"/>
  <c r="J104" i="40"/>
  <c r="K104" i="40"/>
  <c r="JS695" i="40"/>
  <c r="CH304" i="40"/>
  <c r="N104" i="40"/>
  <c r="CN104" i="40" s="1"/>
  <c r="JS696" i="40"/>
  <c r="DB502" i="40"/>
  <c r="DB402" i="40"/>
  <c r="HY602" i="40"/>
  <c r="HY601" i="40"/>
  <c r="HY701" i="40" s="1"/>
  <c r="DB102" i="40"/>
  <c r="JC101" i="40"/>
  <c r="F6" i="44" s="1"/>
  <c r="HM26" i="52"/>
  <c r="Y55" i="52" s="1"/>
  <c r="Y57" i="52" s="1"/>
  <c r="Y28" i="52"/>
  <c r="CV28" i="52" s="1"/>
  <c r="J51" i="58"/>
  <c r="J55" i="58"/>
  <c r="J65" i="58"/>
  <c r="J49" i="58"/>
  <c r="J63" i="58"/>
  <c r="J59" i="58"/>
  <c r="J53" i="58"/>
  <c r="J67" i="58"/>
  <c r="J57" i="58"/>
  <c r="IA601" i="40"/>
  <c r="IA701" i="40" s="1"/>
  <c r="AN55" i="52"/>
  <c r="AN26" i="52"/>
  <c r="AF30" i="52"/>
  <c r="AF60" i="52"/>
  <c r="AF31" i="52"/>
  <c r="AF59" i="52"/>
  <c r="AF58" i="52"/>
  <c r="AF29" i="52"/>
  <c r="P115" i="57"/>
  <c r="AF109" i="75"/>
  <c r="HZ601" i="40"/>
  <c r="HZ701" i="40" s="1"/>
  <c r="HM29" i="52"/>
  <c r="Y58" i="52" s="1"/>
  <c r="Y59" i="52" s="1"/>
  <c r="Y19" i="52"/>
  <c r="AL19" i="52" s="1"/>
  <c r="CV18" i="52"/>
  <c r="AN51" i="52"/>
  <c r="AN17" i="52"/>
  <c r="JA101" i="40"/>
  <c r="D6" i="44" s="1"/>
  <c r="AO27" i="52"/>
  <c r="CP52" i="52"/>
  <c r="AQ24" i="52"/>
  <c r="CP24" i="52"/>
  <c r="AQ20" i="52"/>
  <c r="HZ602" i="40"/>
  <c r="CP301" i="40"/>
  <c r="AQ53" i="52"/>
  <c r="CP53" i="52"/>
  <c r="Y25" i="52"/>
  <c r="CV25" i="52" s="1"/>
  <c r="AQ22" i="52"/>
  <c r="AO17" i="52"/>
  <c r="AQ25" i="52"/>
  <c r="AQ21" i="52"/>
  <c r="AP21" i="52"/>
  <c r="AO21" i="52"/>
  <c r="AP48" i="52"/>
  <c r="AN48" i="52"/>
  <c r="AN501" i="40"/>
  <c r="IA602" i="40"/>
  <c r="CT301" i="40"/>
  <c r="CP23" i="52"/>
  <c r="CR501" i="40"/>
  <c r="AO501" i="40"/>
  <c r="AO50" i="52"/>
  <c r="AP50" i="52"/>
  <c r="AO47" i="52"/>
  <c r="AP47" i="52"/>
  <c r="AN47" i="52"/>
  <c r="J71" i="58"/>
  <c r="J61" i="58"/>
  <c r="AK18" i="52"/>
  <c r="AL18" i="52"/>
  <c r="AC57" i="52"/>
  <c r="N111" i="57"/>
  <c r="AC56" i="52"/>
  <c r="AC501" i="40"/>
  <c r="AC55" i="52"/>
  <c r="AC28" i="52"/>
  <c r="AC27" i="52"/>
  <c r="AC26" i="52"/>
  <c r="A108" i="75"/>
  <c r="AC107" i="75"/>
  <c r="AK24" i="52"/>
  <c r="AL24" i="52"/>
  <c r="CP25" i="52"/>
  <c r="AP501" i="40"/>
  <c r="AP51" i="52"/>
  <c r="AL30" i="52"/>
  <c r="Y31" i="52"/>
  <c r="AK30" i="52"/>
  <c r="CV24" i="52"/>
  <c r="AQ23" i="52"/>
  <c r="AQ52" i="52"/>
  <c r="AD110" i="75"/>
  <c r="Q112" i="57"/>
  <c r="R98" i="39"/>
  <c r="AP201" i="40"/>
  <c r="AO401" i="40"/>
  <c r="CQ401" i="40"/>
  <c r="CR603" i="40"/>
  <c r="AO52" i="52"/>
  <c r="AP52" i="52"/>
  <c r="AO26" i="52"/>
  <c r="AP26" i="52"/>
  <c r="CS18" i="52"/>
  <c r="AN18" i="52"/>
  <c r="AP18" i="52"/>
  <c r="AO18" i="52"/>
  <c r="AO20" i="52"/>
  <c r="AP20" i="52"/>
  <c r="AP27" i="52"/>
  <c r="AO51" i="52"/>
  <c r="AN21" i="52"/>
  <c r="R26" i="39"/>
  <c r="AN101" i="40"/>
  <c r="AP46" i="52"/>
  <c r="AN46" i="52"/>
  <c r="CS17" i="52"/>
  <c r="AP17" i="52"/>
  <c r="AN57" i="52"/>
  <c r="AP57" i="52"/>
  <c r="AO57" i="52"/>
  <c r="S92" i="57"/>
  <c r="U112" i="75"/>
  <c r="AP101" i="40"/>
  <c r="AN27" i="52"/>
  <c r="AO55" i="52"/>
  <c r="AP55" i="52"/>
  <c r="AN22" i="52"/>
  <c r="AP22" i="52"/>
  <c r="CP201" i="40"/>
  <c r="J108" i="57"/>
  <c r="AA49" i="52"/>
  <c r="CP49" i="52" s="1"/>
  <c r="AA50" i="52"/>
  <c r="CP50" i="52" s="1"/>
  <c r="AA20" i="52"/>
  <c r="CP20" i="52" s="1"/>
  <c r="AA22" i="52"/>
  <c r="CP22" i="52" s="1"/>
  <c r="AA51" i="52"/>
  <c r="CP51" i="52" s="1"/>
  <c r="AA21" i="52"/>
  <c r="AA103" i="75"/>
  <c r="AL27" i="52"/>
  <c r="AK27" i="52"/>
  <c r="V605" i="40"/>
  <c r="V604" i="40"/>
  <c r="CT604" i="40" s="1"/>
  <c r="V603" i="40"/>
  <c r="V601" i="40"/>
  <c r="R93" i="57"/>
  <c r="V111" i="75"/>
  <c r="AO101" i="40"/>
  <c r="CR101" i="40"/>
  <c r="AP401" i="40"/>
  <c r="AN201" i="40"/>
  <c r="AO201" i="40"/>
  <c r="CQ201" i="40"/>
  <c r="AA101" i="40"/>
  <c r="CP101" i="40" s="1"/>
  <c r="AA103" i="40"/>
  <c r="AA104" i="40"/>
  <c r="AA101" i="75"/>
  <c r="H108" i="57"/>
  <c r="AA17" i="52"/>
  <c r="AA47" i="52"/>
  <c r="AA19" i="52"/>
  <c r="H22" i="39"/>
  <c r="AA18" i="52"/>
  <c r="AA46" i="52"/>
  <c r="CP46" i="52" s="1"/>
  <c r="AA48" i="52"/>
  <c r="AA28" i="52"/>
  <c r="AA56" i="52"/>
  <c r="AA57" i="52"/>
  <c r="AA26" i="52"/>
  <c r="N108" i="57"/>
  <c r="AA107" i="75"/>
  <c r="AA55" i="52"/>
  <c r="AA27" i="52"/>
  <c r="AN401" i="40"/>
  <c r="AN25" i="52"/>
  <c r="AP25" i="52"/>
  <c r="CS502" i="40"/>
  <c r="Q604" i="40"/>
  <c r="CS602" i="40"/>
  <c r="Q108" i="57"/>
  <c r="AA110" i="75"/>
  <c r="AO502" i="40"/>
  <c r="CQ502" i="40"/>
  <c r="AN202" i="40"/>
  <c r="AO202" i="40"/>
  <c r="CQ202" i="40"/>
  <c r="AP402" i="40"/>
  <c r="AP502" i="40"/>
  <c r="CP102" i="40"/>
  <c r="AN102" i="40"/>
  <c r="I33" i="62"/>
  <c r="I33" i="58"/>
  <c r="AO102" i="40"/>
  <c r="CQ102" i="40"/>
  <c r="S90" i="57"/>
  <c r="S602" i="40"/>
  <c r="S112" i="75"/>
  <c r="X602" i="40"/>
  <c r="X112" i="75"/>
  <c r="S95" i="57"/>
  <c r="AN402" i="40"/>
  <c r="AN502" i="40"/>
  <c r="S88" i="57"/>
  <c r="Q112" i="75"/>
  <c r="Q602" i="40"/>
  <c r="S98" i="57"/>
  <c r="AK602" i="40"/>
  <c r="CS302" i="40"/>
  <c r="CS402" i="40"/>
  <c r="CS102" i="40"/>
  <c r="Q104" i="40"/>
  <c r="CQ402" i="40"/>
  <c r="AO402" i="40"/>
  <c r="R173" i="75"/>
  <c r="R174" i="75"/>
  <c r="R165" i="75"/>
  <c r="R125" i="75"/>
  <c r="R167" i="75"/>
  <c r="R166" i="75"/>
  <c r="R126" i="75"/>
  <c r="R168" i="75"/>
  <c r="CP402" i="40"/>
  <c r="O108" i="57"/>
  <c r="AA108" i="75"/>
  <c r="Y51" i="52"/>
  <c r="Y50" i="52"/>
  <c r="CV49" i="52"/>
  <c r="AP102" i="40"/>
  <c r="AP302" i="40"/>
  <c r="F33" i="58"/>
  <c r="J33" i="62"/>
  <c r="AO302" i="40"/>
  <c r="CQ302" i="40"/>
  <c r="AP202" i="40"/>
  <c r="CS202" i="40"/>
  <c r="AN302" i="40"/>
  <c r="CP302" i="40"/>
  <c r="CP202" i="40"/>
  <c r="AA104" i="75"/>
  <c r="K108" i="57"/>
  <c r="CV21" i="52"/>
  <c r="AK21" i="52"/>
  <c r="AL21" i="52"/>
  <c r="Y22" i="52"/>
  <c r="V602" i="40"/>
  <c r="CT602" i="40" s="1"/>
  <c r="S93" i="57"/>
  <c r="V112" i="75"/>
  <c r="JP301" i="40" l="1"/>
  <c r="AC503" i="40"/>
  <c r="CI28" i="52"/>
  <c r="CI56" i="52"/>
  <c r="CI50" i="52"/>
  <c r="CI27" i="52"/>
  <c r="CI26" i="52"/>
  <c r="CP48" i="52"/>
  <c r="CI48" i="52"/>
  <c r="CP19" i="52"/>
  <c r="CI19" i="52"/>
  <c r="CP21" i="52"/>
  <c r="CI21" i="52"/>
  <c r="CI49" i="52"/>
  <c r="CI22" i="52"/>
  <c r="CI55" i="52"/>
  <c r="CI57" i="52"/>
  <c r="CP47" i="52"/>
  <c r="CI47" i="52"/>
  <c r="CI20" i="52"/>
  <c r="CP18" i="52"/>
  <c r="CI18" i="52"/>
  <c r="CP17" i="52"/>
  <c r="CI17" i="52"/>
  <c r="CI103" i="40"/>
  <c r="CI46" i="52"/>
  <c r="CI51" i="52"/>
  <c r="AO301" i="40"/>
  <c r="AN301" i="40"/>
  <c r="T173" i="75"/>
  <c r="T126" i="75"/>
  <c r="T168" i="75"/>
  <c r="T125" i="75"/>
  <c r="Y56" i="52"/>
  <c r="HM55" i="52" s="1"/>
  <c r="N99" i="39" s="1"/>
  <c r="Y401" i="40" s="1"/>
  <c r="T165" i="75"/>
  <c r="T167" i="75"/>
  <c r="CV30" i="52"/>
  <c r="T166" i="75"/>
  <c r="AP503" i="40"/>
  <c r="CV19" i="52"/>
  <c r="CV29" i="52"/>
  <c r="HZ603" i="40"/>
  <c r="DB103" i="40"/>
  <c r="HM17" i="52"/>
  <c r="Y46" i="52" s="1"/>
  <c r="Y48" i="52" s="1"/>
  <c r="CP28" i="52"/>
  <c r="Q5" i="59"/>
  <c r="AM603" i="40"/>
  <c r="AK19" i="52"/>
  <c r="JP302" i="40"/>
  <c r="HY603" i="40"/>
  <c r="DB204" i="40"/>
  <c r="AO24" i="52"/>
  <c r="AN24" i="52"/>
  <c r="AP24" i="52"/>
  <c r="AP53" i="52"/>
  <c r="AN53" i="52"/>
  <c r="AO53" i="52"/>
  <c r="R89" i="57"/>
  <c r="R601" i="40"/>
  <c r="R111" i="75"/>
  <c r="AD501" i="40"/>
  <c r="AD31" i="52"/>
  <c r="AD29" i="52"/>
  <c r="AD60" i="52"/>
  <c r="P112" i="57"/>
  <c r="AD59" i="52"/>
  <c r="AD58" i="52"/>
  <c r="AD30" i="52"/>
  <c r="AD109" i="75"/>
  <c r="AL28" i="52"/>
  <c r="Y60" i="52"/>
  <c r="CV60" i="52" s="1"/>
  <c r="AD503" i="40"/>
  <c r="AP23" i="52"/>
  <c r="AN23" i="52"/>
  <c r="AO23" i="52"/>
  <c r="S106" i="57"/>
  <c r="Z112" i="75"/>
  <c r="Z602" i="40"/>
  <c r="DB602" i="40" s="1"/>
  <c r="X111" i="75"/>
  <c r="R95" i="57"/>
  <c r="X601" i="40"/>
  <c r="AO601" i="40" s="1"/>
  <c r="AK28" i="52"/>
  <c r="CV58" i="52"/>
  <c r="R603" i="40"/>
  <c r="AN54" i="52"/>
  <c r="AO54" i="52"/>
  <c r="AP54" i="52"/>
  <c r="R121" i="57"/>
  <c r="AJ111" i="75"/>
  <c r="AJ601" i="40"/>
  <c r="AP303" i="40"/>
  <c r="AO103" i="40"/>
  <c r="AN103" i="40"/>
  <c r="S104" i="40"/>
  <c r="CQ104" i="40" s="1"/>
  <c r="V104" i="40"/>
  <c r="CT104" i="40" s="1"/>
  <c r="E104" i="40"/>
  <c r="CI104" i="40" s="1"/>
  <c r="R104" i="40"/>
  <c r="IA104" i="40"/>
  <c r="AP103" i="40"/>
  <c r="AP403" i="40"/>
  <c r="AP204" i="40"/>
  <c r="CP103" i="40"/>
  <c r="HW103" i="40" s="1"/>
  <c r="BY304" i="40"/>
  <c r="AM204" i="40"/>
  <c r="HM103" i="40"/>
  <c r="HP103" i="40" s="1"/>
  <c r="CP303" i="40"/>
  <c r="HO103" i="40"/>
  <c r="HR103" i="40" s="1"/>
  <c r="DB603" i="40"/>
  <c r="AY304" i="40"/>
  <c r="M61" i="58"/>
  <c r="BR304" i="40"/>
  <c r="BS304" i="40"/>
  <c r="BB304" i="40"/>
  <c r="DW304" i="40"/>
  <c r="DB403" i="40"/>
  <c r="CJ304" i="40"/>
  <c r="BQ304" i="40"/>
  <c r="BH304" i="40"/>
  <c r="AM503" i="40"/>
  <c r="BG304" i="40"/>
  <c r="BA304" i="40"/>
  <c r="AM103" i="40"/>
  <c r="M67" i="58"/>
  <c r="IA603" i="40"/>
  <c r="DB604" i="40"/>
  <c r="DB503" i="40"/>
  <c r="AN503" i="40"/>
  <c r="CP203" i="40"/>
  <c r="DB203" i="40"/>
  <c r="M59" i="58"/>
  <c r="M49" i="58"/>
  <c r="M63" i="58"/>
  <c r="M57" i="58"/>
  <c r="M65" i="58"/>
  <c r="M55" i="58"/>
  <c r="M51" i="58"/>
  <c r="M69" i="58"/>
  <c r="M71" i="58"/>
  <c r="L7" i="61"/>
  <c r="Y7" i="61" s="1"/>
  <c r="K55" i="58"/>
  <c r="K51" i="58"/>
  <c r="K57" i="58"/>
  <c r="K69" i="58"/>
  <c r="K53" i="58"/>
  <c r="K49" i="58"/>
  <c r="K67" i="58"/>
  <c r="K61" i="58"/>
  <c r="K71" i="58"/>
  <c r="K63" i="58"/>
  <c r="K65" i="58"/>
  <c r="G504" i="40"/>
  <c r="K504" i="40"/>
  <c r="CK504" i="40" s="1"/>
  <c r="O504" i="40"/>
  <c r="CO504" i="40" s="1"/>
  <c r="S504" i="40"/>
  <c r="CQ504" i="40" s="1"/>
  <c r="W504" i="40"/>
  <c r="CU504" i="40" s="1"/>
  <c r="AA504" i="40"/>
  <c r="AE504" i="40"/>
  <c r="AI504" i="40"/>
  <c r="H504" i="40"/>
  <c r="P504" i="40"/>
  <c r="X504" i="40"/>
  <c r="AF504" i="40"/>
  <c r="L504" i="40"/>
  <c r="CL504" i="40" s="1"/>
  <c r="T504" i="40"/>
  <c r="CR504" i="40" s="1"/>
  <c r="AB504" i="40"/>
  <c r="AJ504" i="40"/>
  <c r="E504" i="40"/>
  <c r="I504" i="40"/>
  <c r="M504" i="40"/>
  <c r="CM504" i="40" s="1"/>
  <c r="Q504" i="40"/>
  <c r="U504" i="40"/>
  <c r="CS504" i="40" s="1"/>
  <c r="AC504" i="40"/>
  <c r="AG504" i="40"/>
  <c r="N504" i="40"/>
  <c r="CN504" i="40" s="1"/>
  <c r="AD504" i="40"/>
  <c r="J504" i="40"/>
  <c r="R504" i="40"/>
  <c r="AH504" i="40"/>
  <c r="F504" i="40"/>
  <c r="V504" i="40"/>
  <c r="CT504" i="40" s="1"/>
  <c r="Z504" i="40"/>
  <c r="BX504" i="40"/>
  <c r="BW504" i="40"/>
  <c r="BH504" i="40"/>
  <c r="DW504" i="40"/>
  <c r="CC504" i="40"/>
  <c r="BS504" i="40"/>
  <c r="CA504" i="40"/>
  <c r="BJ504" i="40"/>
  <c r="A504" i="40"/>
  <c r="KF504" i="40" s="1"/>
  <c r="BZ504" i="40"/>
  <c r="BI504" i="40"/>
  <c r="BK504" i="40"/>
  <c r="CE504" i="40"/>
  <c r="AX504" i="40"/>
  <c r="AY504" i="40"/>
  <c r="CF504" i="40"/>
  <c r="BP504" i="40"/>
  <c r="BD504" i="40"/>
  <c r="DS504" i="40"/>
  <c r="CB504" i="40"/>
  <c r="JO504" i="40"/>
  <c r="DU504" i="40"/>
  <c r="BV504" i="40"/>
  <c r="BF504" i="40"/>
  <c r="DT504" i="40"/>
  <c r="BU504" i="40"/>
  <c r="BE504" i="40"/>
  <c r="HZ504" i="40"/>
  <c r="BN504" i="40"/>
  <c r="BM504" i="40"/>
  <c r="IA504" i="40"/>
  <c r="HY504" i="40"/>
  <c r="BG504" i="40"/>
  <c r="DV504" i="40"/>
  <c r="BY504" i="40"/>
  <c r="BL504" i="40"/>
  <c r="BC504" i="40"/>
  <c r="DM504" i="40"/>
  <c r="CJ504" i="40"/>
  <c r="BR504" i="40"/>
  <c r="BB504" i="40"/>
  <c r="CH504" i="40"/>
  <c r="BQ504" i="40"/>
  <c r="BA504" i="40"/>
  <c r="C505" i="40"/>
  <c r="IZ505" i="40" s="1"/>
  <c r="BO504" i="40"/>
  <c r="AZ504" i="40"/>
  <c r="CG504" i="40"/>
  <c r="BT504" i="40"/>
  <c r="CD504" i="40"/>
  <c r="AW504" i="40"/>
  <c r="AO303" i="40"/>
  <c r="DV304" i="40"/>
  <c r="BC304" i="40"/>
  <c r="CB304" i="40"/>
  <c r="CE304" i="40"/>
  <c r="BN304" i="40"/>
  <c r="AX304" i="40"/>
  <c r="CD304" i="40"/>
  <c r="BM304" i="40"/>
  <c r="AW304" i="40"/>
  <c r="DS304" i="40"/>
  <c r="BT304" i="40"/>
  <c r="BD304" i="40"/>
  <c r="H205" i="40"/>
  <c r="L205" i="40"/>
  <c r="CL205" i="40" s="1"/>
  <c r="P205" i="40"/>
  <c r="T205" i="40"/>
  <c r="CR205" i="40" s="1"/>
  <c r="X205" i="40"/>
  <c r="AB205" i="40"/>
  <c r="AF205" i="40"/>
  <c r="AJ205" i="40"/>
  <c r="F205" i="40"/>
  <c r="J205" i="40"/>
  <c r="N205" i="40"/>
  <c r="CN205" i="40" s="1"/>
  <c r="R205" i="40"/>
  <c r="V205" i="40"/>
  <c r="CT205" i="40" s="1"/>
  <c r="Z205" i="40"/>
  <c r="AD205" i="40"/>
  <c r="AH205" i="40"/>
  <c r="I205" i="40"/>
  <c r="Q205" i="40"/>
  <c r="AG205" i="40"/>
  <c r="O205" i="40"/>
  <c r="CO205" i="40" s="1"/>
  <c r="K205" i="40"/>
  <c r="S205" i="40"/>
  <c r="AA205" i="40"/>
  <c r="AI205" i="40"/>
  <c r="W205" i="40"/>
  <c r="CU205" i="40" s="1"/>
  <c r="E205" i="40"/>
  <c r="M205" i="40"/>
  <c r="CM205" i="40" s="1"/>
  <c r="U205" i="40"/>
  <c r="CS205" i="40" s="1"/>
  <c r="AC205" i="40"/>
  <c r="G205" i="40"/>
  <c r="AE205" i="40"/>
  <c r="AE605" i="40"/>
  <c r="F605" i="40"/>
  <c r="CC605" i="40"/>
  <c r="BM605" i="40"/>
  <c r="AW605" i="40"/>
  <c r="CF605" i="40"/>
  <c r="BP605" i="40"/>
  <c r="AZ605" i="40"/>
  <c r="C606" i="40"/>
  <c r="CA605" i="40"/>
  <c r="BK605" i="40"/>
  <c r="O605" i="40"/>
  <c r="CO605" i="40" s="1"/>
  <c r="BN605" i="40"/>
  <c r="BZ605" i="40"/>
  <c r="BV605" i="40"/>
  <c r="BB605" i="40"/>
  <c r="Q605" i="40"/>
  <c r="JO605" i="40"/>
  <c r="AI605" i="40"/>
  <c r="AD605" i="40"/>
  <c r="BY605" i="40"/>
  <c r="BI605" i="40"/>
  <c r="AG605" i="40"/>
  <c r="CB605" i="40"/>
  <c r="BL605" i="40"/>
  <c r="AB605" i="40"/>
  <c r="DW605" i="40"/>
  <c r="BW605" i="40"/>
  <c r="BG605" i="40"/>
  <c r="K605" i="40"/>
  <c r="AX605" i="40"/>
  <c r="BJ605" i="40"/>
  <c r="BF605" i="40"/>
  <c r="A605" i="40"/>
  <c r="S605" i="40"/>
  <c r="CQ605" i="40" s="1"/>
  <c r="T605" i="40"/>
  <c r="CR605" i="40" s="1"/>
  <c r="AA605" i="40"/>
  <c r="JP605" i="40"/>
  <c r="H605" i="40"/>
  <c r="AJ605" i="40"/>
  <c r="CJ605" i="40"/>
  <c r="DU605" i="40"/>
  <c r="BU605" i="40"/>
  <c r="BE605" i="40"/>
  <c r="M605" i="40"/>
  <c r="CM605" i="40" s="1"/>
  <c r="BX605" i="40"/>
  <c r="BH605" i="40"/>
  <c r="P605" i="40"/>
  <c r="DS605" i="40"/>
  <c r="BS605" i="40"/>
  <c r="BC605" i="40"/>
  <c r="G605" i="40"/>
  <c r="N605" i="40"/>
  <c r="CN605" i="40" s="1"/>
  <c r="J605" i="40"/>
  <c r="DM605" i="40"/>
  <c r="R605" i="40"/>
  <c r="BQ605" i="40"/>
  <c r="BD605" i="40"/>
  <c r="AY605" i="40"/>
  <c r="BR605" i="40"/>
  <c r="BA605" i="40"/>
  <c r="L605" i="40"/>
  <c r="CL605" i="40" s="1"/>
  <c r="CD605" i="40"/>
  <c r="CG605" i="40"/>
  <c r="DV605" i="40"/>
  <c r="KN605" i="40"/>
  <c r="I605" i="40"/>
  <c r="DT605" i="40"/>
  <c r="CE605" i="40"/>
  <c r="CH605" i="40"/>
  <c r="AH605" i="40"/>
  <c r="BT605" i="40"/>
  <c r="BO605" i="40"/>
  <c r="Z605" i="40"/>
  <c r="U605" i="40"/>
  <c r="CS605" i="40" s="1"/>
  <c r="X605" i="40"/>
  <c r="W605" i="40"/>
  <c r="CU605" i="40" s="1"/>
  <c r="IO103" i="40"/>
  <c r="JA103" i="40" s="1"/>
  <c r="D8" i="44" s="1"/>
  <c r="AO503" i="40"/>
  <c r="AO203" i="40"/>
  <c r="AO204" i="40"/>
  <c r="AN203" i="40"/>
  <c r="BW304" i="40"/>
  <c r="CF304" i="40"/>
  <c r="BK304" i="40"/>
  <c r="CA304" i="40"/>
  <c r="BJ304" i="40"/>
  <c r="BX304" i="40"/>
  <c r="BZ304" i="40"/>
  <c r="BI304" i="40"/>
  <c r="CG304" i="40"/>
  <c r="BP304" i="40"/>
  <c r="G404" i="40"/>
  <c r="K404" i="40"/>
  <c r="O404" i="40"/>
  <c r="CO404" i="40" s="1"/>
  <c r="S404" i="40"/>
  <c r="W404" i="40"/>
  <c r="CU404" i="40" s="1"/>
  <c r="AA404" i="40"/>
  <c r="AE404" i="40"/>
  <c r="AI404" i="40"/>
  <c r="L404" i="40"/>
  <c r="CL404" i="40" s="1"/>
  <c r="T404" i="40"/>
  <c r="CR404" i="40" s="1"/>
  <c r="AB404" i="40"/>
  <c r="AJ404" i="40"/>
  <c r="H404" i="40"/>
  <c r="P404" i="40"/>
  <c r="X404" i="40"/>
  <c r="AF404" i="40"/>
  <c r="E404" i="40"/>
  <c r="I404" i="40"/>
  <c r="M404" i="40"/>
  <c r="CM404" i="40" s="1"/>
  <c r="Q404" i="40"/>
  <c r="U404" i="40"/>
  <c r="CS404" i="40" s="1"/>
  <c r="AC404" i="40"/>
  <c r="AG404" i="40"/>
  <c r="N404" i="40"/>
  <c r="CN404" i="40" s="1"/>
  <c r="AD404" i="40"/>
  <c r="R404" i="40"/>
  <c r="AH404" i="40"/>
  <c r="F404" i="40"/>
  <c r="V404" i="40"/>
  <c r="CT404" i="40" s="1"/>
  <c r="J404" i="40"/>
  <c r="Z404" i="40"/>
  <c r="G304" i="40"/>
  <c r="K304" i="40"/>
  <c r="CK304" i="40" s="1"/>
  <c r="O304" i="40"/>
  <c r="CO304" i="40" s="1"/>
  <c r="S304" i="40"/>
  <c r="W304" i="40"/>
  <c r="CU304" i="40" s="1"/>
  <c r="AA304" i="40"/>
  <c r="AE304" i="40"/>
  <c r="AI304" i="40"/>
  <c r="H304" i="40"/>
  <c r="P304" i="40"/>
  <c r="T304" i="40"/>
  <c r="CR304" i="40" s="1"/>
  <c r="AB304" i="40"/>
  <c r="AF304" i="40"/>
  <c r="F304" i="40"/>
  <c r="R304" i="40"/>
  <c r="AD304" i="40"/>
  <c r="L304" i="40"/>
  <c r="X304" i="40"/>
  <c r="AJ304" i="40"/>
  <c r="J304" i="40"/>
  <c r="V304" i="40"/>
  <c r="CT304" i="40" s="1"/>
  <c r="E304" i="40"/>
  <c r="I304" i="40"/>
  <c r="M304" i="40"/>
  <c r="CM304" i="40" s="1"/>
  <c r="Q304" i="40"/>
  <c r="U304" i="40"/>
  <c r="CS304" i="40" s="1"/>
  <c r="AC304" i="40"/>
  <c r="AG304" i="40"/>
  <c r="N304" i="40"/>
  <c r="CN304" i="40" s="1"/>
  <c r="Z304" i="40"/>
  <c r="AH304" i="40"/>
  <c r="AP203" i="40"/>
  <c r="JP304" i="40"/>
  <c r="JO304" i="40"/>
  <c r="DM304" i="40"/>
  <c r="BO304" i="40"/>
  <c r="DU304" i="40"/>
  <c r="BV304" i="40"/>
  <c r="BF304" i="40"/>
  <c r="DT304" i="40"/>
  <c r="BU304" i="40"/>
  <c r="BE304" i="40"/>
  <c r="A304" i="40"/>
  <c r="KF304" i="40" s="1"/>
  <c r="CC304" i="40"/>
  <c r="BL304" i="40"/>
  <c r="C305" i="40"/>
  <c r="AX305" i="40" s="1"/>
  <c r="AM203" i="40"/>
  <c r="CK203" i="40"/>
  <c r="CK604" i="40"/>
  <c r="AM604" i="40"/>
  <c r="IQ103" i="40"/>
  <c r="JC103" i="40" s="1"/>
  <c r="F8" i="44" s="1"/>
  <c r="IP103" i="40"/>
  <c r="L71" i="58"/>
  <c r="L63" i="58"/>
  <c r="L55" i="58"/>
  <c r="AN403" i="40"/>
  <c r="AO403" i="40"/>
  <c r="L51" i="58"/>
  <c r="AN303" i="40"/>
  <c r="L53" i="58"/>
  <c r="L59" i="58"/>
  <c r="L57" i="58"/>
  <c r="AM403" i="40"/>
  <c r="DB303" i="40"/>
  <c r="L61" i="58"/>
  <c r="BA404" i="40"/>
  <c r="BQ404" i="40"/>
  <c r="CH404" i="40"/>
  <c r="BJ404" i="40"/>
  <c r="CA404" i="40"/>
  <c r="JO404" i="40"/>
  <c r="AY404" i="40"/>
  <c r="BO404" i="40"/>
  <c r="CF404" i="40"/>
  <c r="BP404" i="40"/>
  <c r="CG404" i="40"/>
  <c r="HY404" i="40"/>
  <c r="HZ404" i="40"/>
  <c r="BU404" i="40"/>
  <c r="BN404" i="40"/>
  <c r="BS404" i="40"/>
  <c r="BD404" i="40"/>
  <c r="BI404" i="40"/>
  <c r="CJ404" i="40"/>
  <c r="BG404" i="40"/>
  <c r="DV404" i="40"/>
  <c r="BT404" i="40"/>
  <c r="BX404" i="40"/>
  <c r="AW404" i="40"/>
  <c r="BM404" i="40"/>
  <c r="CD404" i="40"/>
  <c r="BF404" i="40"/>
  <c r="BV404" i="40"/>
  <c r="DU404" i="40"/>
  <c r="BK404" i="40"/>
  <c r="CB404" i="40"/>
  <c r="BH404" i="40"/>
  <c r="DS404" i="40"/>
  <c r="BY404" i="40"/>
  <c r="C405" i="40"/>
  <c r="IZ404" i="40"/>
  <c r="IA404" i="40"/>
  <c r="BE404" i="40"/>
  <c r="DT404" i="40"/>
  <c r="AX404" i="40"/>
  <c r="CE404" i="40"/>
  <c r="BC404" i="40"/>
  <c r="DM404" i="40"/>
  <c r="CC404" i="40"/>
  <c r="DW404" i="40"/>
  <c r="A404" i="40"/>
  <c r="KF404" i="40" s="1"/>
  <c r="BZ404" i="40"/>
  <c r="BB404" i="40"/>
  <c r="BR404" i="40"/>
  <c r="BW404" i="40"/>
  <c r="AZ404" i="40"/>
  <c r="BL404" i="40"/>
  <c r="L49" i="58"/>
  <c r="L69" i="58"/>
  <c r="L65" i="58"/>
  <c r="AZ205" i="40"/>
  <c r="BD205" i="40"/>
  <c r="BH205" i="40"/>
  <c r="BL205" i="40"/>
  <c r="BP205" i="40"/>
  <c r="BT205" i="40"/>
  <c r="BY205" i="40"/>
  <c r="CC205" i="40"/>
  <c r="CG205" i="40"/>
  <c r="DS205" i="40"/>
  <c r="DW205" i="40"/>
  <c r="BX205" i="40"/>
  <c r="AW205" i="40"/>
  <c r="BA205" i="40"/>
  <c r="BE205" i="40"/>
  <c r="BI205" i="40"/>
  <c r="BM205" i="40"/>
  <c r="BQ205" i="40"/>
  <c r="BU205" i="40"/>
  <c r="BZ205" i="40"/>
  <c r="CD205" i="40"/>
  <c r="CH205" i="40"/>
  <c r="DT205" i="40"/>
  <c r="AX205" i="40"/>
  <c r="BB205" i="40"/>
  <c r="BF205" i="40"/>
  <c r="BJ205" i="40"/>
  <c r="BN205" i="40"/>
  <c r="BR205" i="40"/>
  <c r="BV205" i="40"/>
  <c r="CA205" i="40"/>
  <c r="CE205" i="40"/>
  <c r="CJ205" i="40"/>
  <c r="DU205" i="40"/>
  <c r="JO205" i="40"/>
  <c r="AY205" i="40"/>
  <c r="CB205" i="40"/>
  <c r="BG205" i="40"/>
  <c r="BO205" i="40"/>
  <c r="BW205" i="40"/>
  <c r="DM205" i="40"/>
  <c r="A205" i="40"/>
  <c r="KF205" i="40" s="1"/>
  <c r="BC205" i="40"/>
  <c r="BK205" i="40"/>
  <c r="BS205" i="40"/>
  <c r="CF205" i="40"/>
  <c r="DV205" i="40"/>
  <c r="IZ205" i="40"/>
  <c r="IX205" i="40"/>
  <c r="C206" i="40"/>
  <c r="HZ205" i="40"/>
  <c r="IA205" i="40"/>
  <c r="HY205" i="40"/>
  <c r="HJ585" i="40"/>
  <c r="CK303" i="40"/>
  <c r="AM303" i="40"/>
  <c r="IX304" i="40"/>
  <c r="IA304" i="40"/>
  <c r="IZ304" i="40"/>
  <c r="HY304" i="40"/>
  <c r="HZ304" i="40"/>
  <c r="IY304" i="40"/>
  <c r="B506" i="40"/>
  <c r="HJ285" i="40"/>
  <c r="HJ185" i="40"/>
  <c r="HJ385" i="40"/>
  <c r="HJ485" i="40"/>
  <c r="HM23" i="52"/>
  <c r="Y52" i="52" s="1"/>
  <c r="Y54" i="52" s="1"/>
  <c r="AK54" i="52" s="1"/>
  <c r="CV55" i="52"/>
  <c r="CP26" i="52"/>
  <c r="V186" i="75"/>
  <c r="V184" i="75"/>
  <c r="U186" i="75"/>
  <c r="U184" i="75"/>
  <c r="AL25" i="52"/>
  <c r="AS18" i="62"/>
  <c r="AU18" i="62"/>
  <c r="CP403" i="40"/>
  <c r="IO104" i="40"/>
  <c r="JA104" i="40" s="1"/>
  <c r="D9" i="44" s="1"/>
  <c r="DB104" i="40"/>
  <c r="N7" i="61"/>
  <c r="AA7" i="61" s="1"/>
  <c r="HM104" i="40"/>
  <c r="HO104" i="40"/>
  <c r="HN104" i="40"/>
  <c r="O57" i="58"/>
  <c r="O63" i="58"/>
  <c r="O67" i="58"/>
  <c r="O59" i="58"/>
  <c r="O53" i="58"/>
  <c r="O55" i="58"/>
  <c r="O61" i="58"/>
  <c r="O49" i="58"/>
  <c r="O65" i="58"/>
  <c r="O71" i="58"/>
  <c r="O51" i="58"/>
  <c r="O69" i="58"/>
  <c r="M57" i="62"/>
  <c r="M63" i="62"/>
  <c r="M53" i="62"/>
  <c r="M67" i="62"/>
  <c r="M51" i="62"/>
  <c r="M65" i="62"/>
  <c r="M55" i="62"/>
  <c r="M69" i="62"/>
  <c r="M61" i="62"/>
  <c r="M59" i="62"/>
  <c r="M71" i="62"/>
  <c r="L69" i="62"/>
  <c r="L59" i="62"/>
  <c r="L57" i="62"/>
  <c r="L67" i="62"/>
  <c r="L63" i="62"/>
  <c r="L53" i="62"/>
  <c r="L71" i="62"/>
  <c r="L55" i="62"/>
  <c r="L51" i="62"/>
  <c r="L65" i="62"/>
  <c r="L61" i="62"/>
  <c r="A305" i="40"/>
  <c r="KF305" i="40" s="1"/>
  <c r="BJ305" i="40"/>
  <c r="CA305" i="40"/>
  <c r="AY305" i="40"/>
  <c r="BO305" i="40"/>
  <c r="CF305" i="40"/>
  <c r="AZ305" i="40"/>
  <c r="BP305" i="40"/>
  <c r="CG305" i="40"/>
  <c r="BZ305" i="40"/>
  <c r="BA305" i="40"/>
  <c r="DT305" i="40"/>
  <c r="IX305" i="40"/>
  <c r="IA305" i="40"/>
  <c r="AM104" i="40"/>
  <c r="CK104" i="40"/>
  <c r="IP104" i="40"/>
  <c r="N63" i="58"/>
  <c r="N67" i="58"/>
  <c r="N69" i="58"/>
  <c r="N51" i="58"/>
  <c r="N71" i="58"/>
  <c r="N61" i="58"/>
  <c r="N55" i="58"/>
  <c r="N53" i="58"/>
  <c r="N59" i="58"/>
  <c r="N49" i="58"/>
  <c r="N65" i="58"/>
  <c r="N57" i="58"/>
  <c r="IQ104" i="40"/>
  <c r="JC104" i="40" s="1"/>
  <c r="F9" i="44" s="1"/>
  <c r="II105" i="40"/>
  <c r="IL105" i="40" s="1"/>
  <c r="IJ105" i="40"/>
  <c r="IM105" i="40" s="1"/>
  <c r="JF105" i="40"/>
  <c r="HN105" i="40" s="1"/>
  <c r="IK105" i="40"/>
  <c r="IN105" i="40" s="1"/>
  <c r="BX105" i="40"/>
  <c r="A105" i="40"/>
  <c r="C106" i="40"/>
  <c r="IY106" i="40" s="1"/>
  <c r="F105" i="40"/>
  <c r="J105" i="40"/>
  <c r="N105" i="40"/>
  <c r="CN105" i="40" s="1"/>
  <c r="AC105" i="40"/>
  <c r="AG105" i="40"/>
  <c r="AX105" i="40"/>
  <c r="BB105" i="40"/>
  <c r="BF105" i="40"/>
  <c r="BJ105" i="40"/>
  <c r="BN105" i="40"/>
  <c r="BR105" i="40"/>
  <c r="BV105" i="40"/>
  <c r="CA105" i="40"/>
  <c r="CE105" i="40"/>
  <c r="CJ105" i="40"/>
  <c r="DT105" i="40"/>
  <c r="G105" i="40"/>
  <c r="K105" i="40"/>
  <c r="O105" i="40"/>
  <c r="CO105" i="40" s="1"/>
  <c r="AD105" i="40"/>
  <c r="AH105" i="40"/>
  <c r="AY105" i="40"/>
  <c r="BC105" i="40"/>
  <c r="BG105" i="40"/>
  <c r="BK105" i="40"/>
  <c r="BO105" i="40"/>
  <c r="BS105" i="40"/>
  <c r="BW105" i="40"/>
  <c r="CB105" i="40"/>
  <c r="CF105" i="40"/>
  <c r="DU105" i="40"/>
  <c r="H105" i="40"/>
  <c r="L105" i="40"/>
  <c r="CL105" i="40" s="1"/>
  <c r="P105" i="40"/>
  <c r="AE105" i="40"/>
  <c r="AI105" i="40"/>
  <c r="AZ105" i="40"/>
  <c r="BD105" i="40"/>
  <c r="BH105" i="40"/>
  <c r="BL105" i="40"/>
  <c r="BP105" i="40"/>
  <c r="BT105" i="40"/>
  <c r="BY105" i="40"/>
  <c r="CC105" i="40"/>
  <c r="CG105" i="40"/>
  <c r="DM105" i="40"/>
  <c r="DV105" i="40"/>
  <c r="AF105" i="40"/>
  <c r="AW105" i="40"/>
  <c r="BM105" i="40"/>
  <c r="CD105" i="40"/>
  <c r="I105" i="40"/>
  <c r="AJ105" i="40"/>
  <c r="BA105" i="40"/>
  <c r="BQ105" i="40"/>
  <c r="CH105" i="40"/>
  <c r="M105" i="40"/>
  <c r="CM105" i="40" s="1"/>
  <c r="BE105" i="40"/>
  <c r="BU105" i="40"/>
  <c r="DS105" i="40"/>
  <c r="AB105" i="40"/>
  <c r="BZ105" i="40"/>
  <c r="DW105" i="40"/>
  <c r="BI105" i="40"/>
  <c r="JO105" i="40"/>
  <c r="R105" i="40"/>
  <c r="IX105" i="40"/>
  <c r="IZ105" i="40"/>
  <c r="E105" i="40"/>
  <c r="W105" i="40"/>
  <c r="CU105" i="40" s="1"/>
  <c r="S105" i="40"/>
  <c r="X105" i="40"/>
  <c r="T105" i="40"/>
  <c r="CR105" i="40" s="1"/>
  <c r="IA105" i="40"/>
  <c r="Q105" i="40"/>
  <c r="U105" i="40"/>
  <c r="CS105" i="40" s="1"/>
  <c r="V105" i="40"/>
  <c r="CT105" i="40" s="1"/>
  <c r="HZ105" i="40"/>
  <c r="HY105" i="40"/>
  <c r="Z105" i="40"/>
  <c r="F59" i="62"/>
  <c r="F55" i="62"/>
  <c r="F61" i="62"/>
  <c r="F53" i="62"/>
  <c r="F57" i="62"/>
  <c r="F67" i="62"/>
  <c r="F71" i="62"/>
  <c r="F63" i="62"/>
  <c r="F65" i="62"/>
  <c r="F69" i="62"/>
  <c r="F51" i="62"/>
  <c r="KF104" i="40"/>
  <c r="K55" i="62"/>
  <c r="K65" i="62"/>
  <c r="K71" i="62"/>
  <c r="K59" i="62"/>
  <c r="K57" i="62"/>
  <c r="K69" i="62"/>
  <c r="K51" i="62"/>
  <c r="K67" i="62"/>
  <c r="K53" i="62"/>
  <c r="K63" i="62"/>
  <c r="K61" i="62"/>
  <c r="N53" i="62"/>
  <c r="N61" i="62"/>
  <c r="N57" i="62"/>
  <c r="N63" i="62"/>
  <c r="N65" i="62"/>
  <c r="N69" i="62"/>
  <c r="N59" i="62"/>
  <c r="N67" i="62"/>
  <c r="N55" i="62"/>
  <c r="N51" i="62"/>
  <c r="N71" i="62"/>
  <c r="AU18" i="58"/>
  <c r="IZ502" i="40"/>
  <c r="IZ503" i="40"/>
  <c r="IZ501" i="40"/>
  <c r="IZ504" i="40"/>
  <c r="AF606" i="40"/>
  <c r="AF604" i="40"/>
  <c r="AF605" i="40"/>
  <c r="AF603" i="40"/>
  <c r="AF601" i="40"/>
  <c r="R115" i="57"/>
  <c r="AF111" i="75"/>
  <c r="AS18" i="58"/>
  <c r="AK25" i="52"/>
  <c r="CP502" i="40"/>
  <c r="CP55" i="52"/>
  <c r="CP57" i="52"/>
  <c r="CP27" i="52"/>
  <c r="F7" i="44"/>
  <c r="CP401" i="40"/>
  <c r="CP56" i="52"/>
  <c r="AL31" i="52"/>
  <c r="AK31" i="52"/>
  <c r="CV31" i="52"/>
  <c r="AQ28" i="52"/>
  <c r="AQ55" i="52"/>
  <c r="AQ57" i="52"/>
  <c r="AD602" i="40"/>
  <c r="S112" i="57"/>
  <c r="AD112" i="75"/>
  <c r="AQ26" i="52"/>
  <c r="AC60" i="52"/>
  <c r="CI60" i="52" s="1"/>
  <c r="AC59" i="52"/>
  <c r="AC29" i="52"/>
  <c r="AC109" i="75"/>
  <c r="P111" i="57"/>
  <c r="A110" i="75"/>
  <c r="AC31" i="52"/>
  <c r="AC58" i="52"/>
  <c r="AC30" i="52"/>
  <c r="A109" i="75"/>
  <c r="IX401" i="40"/>
  <c r="IX404" i="40"/>
  <c r="IX403" i="40"/>
  <c r="IX402" i="40"/>
  <c r="AQ27" i="52"/>
  <c r="AQ56" i="52"/>
  <c r="IY102" i="40"/>
  <c r="IY103" i="40"/>
  <c r="IY101" i="40"/>
  <c r="IY104" i="40"/>
  <c r="IY105" i="40"/>
  <c r="H20" i="39"/>
  <c r="CT605" i="40"/>
  <c r="R77" i="39"/>
  <c r="R25" i="39"/>
  <c r="S77" i="39"/>
  <c r="CT601" i="40"/>
  <c r="U126" i="75"/>
  <c r="U166" i="75"/>
  <c r="U174" i="75"/>
  <c r="U173" i="75"/>
  <c r="U167" i="75"/>
  <c r="U125" i="75"/>
  <c r="U168" i="75"/>
  <c r="U165" i="75"/>
  <c r="R98" i="57"/>
  <c r="AL601" i="40"/>
  <c r="AK601" i="40"/>
  <c r="IY401" i="40"/>
  <c r="IY404" i="40"/>
  <c r="IY402" i="40"/>
  <c r="IY403" i="40"/>
  <c r="CT603" i="40"/>
  <c r="AO603" i="40"/>
  <c r="AO604" i="40"/>
  <c r="AP604" i="40"/>
  <c r="HW101" i="40"/>
  <c r="HX101" i="40"/>
  <c r="HV101" i="40"/>
  <c r="IY203" i="40"/>
  <c r="IY204" i="40"/>
  <c r="IY201" i="40"/>
  <c r="IY202" i="40"/>
  <c r="IY205" i="40"/>
  <c r="AN603" i="40"/>
  <c r="AP603" i="40"/>
  <c r="AN204" i="40"/>
  <c r="CP204" i="40"/>
  <c r="CV59" i="52"/>
  <c r="AK59" i="52"/>
  <c r="AL59" i="52"/>
  <c r="AN602" i="40"/>
  <c r="S108" i="57"/>
  <c r="AA602" i="40"/>
  <c r="AA112" i="75"/>
  <c r="AP602" i="40"/>
  <c r="CQ602" i="40"/>
  <c r="AO602" i="40"/>
  <c r="HX102" i="40"/>
  <c r="HV102" i="40"/>
  <c r="HW102" i="40"/>
  <c r="CV22" i="52"/>
  <c r="AK22" i="52"/>
  <c r="AL22" i="52"/>
  <c r="J61" i="62"/>
  <c r="J57" i="62"/>
  <c r="J67" i="62"/>
  <c r="J55" i="62"/>
  <c r="J65" i="62"/>
  <c r="J63" i="62"/>
  <c r="J53" i="62"/>
  <c r="J69" i="62"/>
  <c r="J71" i="62"/>
  <c r="J59" i="62"/>
  <c r="J51" i="62"/>
  <c r="JH102" i="40"/>
  <c r="I69" i="58"/>
  <c r="I53" i="58"/>
  <c r="I65" i="58"/>
  <c r="I59" i="58"/>
  <c r="I71" i="58"/>
  <c r="I61" i="58"/>
  <c r="I63" i="58"/>
  <c r="I67" i="58"/>
  <c r="I49" i="58"/>
  <c r="I55" i="58"/>
  <c r="I51" i="58"/>
  <c r="I57" i="58"/>
  <c r="HM58" i="52"/>
  <c r="P99" i="39" s="1"/>
  <c r="V173" i="75"/>
  <c r="V174" i="75"/>
  <c r="V166" i="75"/>
  <c r="V126" i="75"/>
  <c r="V165" i="75"/>
  <c r="V122" i="75"/>
  <c r="A122" i="75" s="1"/>
  <c r="V125" i="75"/>
  <c r="V168" i="75"/>
  <c r="V167" i="75"/>
  <c r="F55" i="58"/>
  <c r="F71" i="58"/>
  <c r="F57" i="58"/>
  <c r="F69" i="58"/>
  <c r="F65" i="58"/>
  <c r="F67" i="58"/>
  <c r="F51" i="58"/>
  <c r="F53" i="58"/>
  <c r="F61" i="58"/>
  <c r="F63" i="58"/>
  <c r="F59" i="58"/>
  <c r="F49" i="58"/>
  <c r="CV50" i="52"/>
  <c r="AL50" i="52"/>
  <c r="AK50" i="52"/>
  <c r="HM49" i="52"/>
  <c r="J99" i="39" s="1"/>
  <c r="CP104" i="40"/>
  <c r="CV57" i="52"/>
  <c r="AL57" i="52"/>
  <c r="AK57" i="52"/>
  <c r="I53" i="62"/>
  <c r="I67" i="62"/>
  <c r="I71" i="62"/>
  <c r="I65" i="62"/>
  <c r="I63" i="62"/>
  <c r="I59" i="62"/>
  <c r="I61" i="62"/>
  <c r="I55" i="62"/>
  <c r="I51" i="62"/>
  <c r="I57" i="62"/>
  <c r="I69" i="62"/>
  <c r="G33" i="58"/>
  <c r="AK50" i="58" s="1"/>
  <c r="G33" i="62"/>
  <c r="AL51" i="52"/>
  <c r="CV51" i="52"/>
  <c r="AK51" i="52"/>
  <c r="S173" i="75"/>
  <c r="S174" i="75"/>
  <c r="S165" i="75"/>
  <c r="S125" i="75"/>
  <c r="S167" i="75"/>
  <c r="S166" i="75"/>
  <c r="S126" i="75"/>
  <c r="S168" i="75"/>
  <c r="JH101" i="40"/>
  <c r="AN604" i="40"/>
  <c r="CI59" i="52" l="1"/>
  <c r="CI31" i="52"/>
  <c r="DB404" i="40"/>
  <c r="CI29" i="52"/>
  <c r="CI58" i="52"/>
  <c r="CI105" i="40"/>
  <c r="CI30" i="52"/>
  <c r="CV46" i="52"/>
  <c r="Y47" i="52"/>
  <c r="HM46" i="52" s="1"/>
  <c r="H99" i="39" s="1"/>
  <c r="Y105" i="40" s="1"/>
  <c r="AL60" i="52"/>
  <c r="HV103" i="40"/>
  <c r="HX103" i="40"/>
  <c r="CV56" i="52"/>
  <c r="N99" i="57"/>
  <c r="Y404" i="40"/>
  <c r="Y107" i="75"/>
  <c r="O99" i="39"/>
  <c r="Y402" i="40" s="1"/>
  <c r="AK56" i="52"/>
  <c r="AL56" i="52"/>
  <c r="Y403" i="40"/>
  <c r="CV403" i="40" s="1"/>
  <c r="AN601" i="40"/>
  <c r="AP601" i="40"/>
  <c r="AK60" i="52"/>
  <c r="AN104" i="40"/>
  <c r="A168" i="75"/>
  <c r="A174" i="75"/>
  <c r="HY604" i="40"/>
  <c r="DB304" i="40"/>
  <c r="A186" i="75"/>
  <c r="Y201" i="40"/>
  <c r="Y203" i="40"/>
  <c r="Y204" i="40"/>
  <c r="Y501" i="40"/>
  <c r="Y503" i="40"/>
  <c r="A125" i="75"/>
  <c r="A166" i="75"/>
  <c r="Y205" i="40"/>
  <c r="A167" i="75"/>
  <c r="A126" i="75"/>
  <c r="A184" i="75"/>
  <c r="Y504" i="40"/>
  <c r="AD601" i="40"/>
  <c r="R112" i="57"/>
  <c r="AD111" i="75"/>
  <c r="AD603" i="40"/>
  <c r="AD604" i="40"/>
  <c r="A165" i="75"/>
  <c r="A173" i="75"/>
  <c r="IZ305" i="40"/>
  <c r="IY305" i="40"/>
  <c r="BU305" i="40"/>
  <c r="CD305" i="40"/>
  <c r="BI305" i="40"/>
  <c r="CC305" i="40"/>
  <c r="BL305" i="40"/>
  <c r="BX305" i="40"/>
  <c r="CB305" i="40"/>
  <c r="BK305" i="40"/>
  <c r="DU305" i="40"/>
  <c r="BV305" i="40"/>
  <c r="BF305" i="40"/>
  <c r="C306" i="40"/>
  <c r="AM504" i="40"/>
  <c r="HY305" i="40"/>
  <c r="JO305" i="40"/>
  <c r="CH305" i="40"/>
  <c r="BM305" i="40"/>
  <c r="DW305" i="40"/>
  <c r="BY305" i="40"/>
  <c r="BH305" i="40"/>
  <c r="DV305" i="40"/>
  <c r="BW305" i="40"/>
  <c r="BG305" i="40"/>
  <c r="CJ305" i="40"/>
  <c r="BR305" i="40"/>
  <c r="BB305" i="40"/>
  <c r="AP504" i="40"/>
  <c r="AP104" i="40"/>
  <c r="JZ103" i="40"/>
  <c r="HZ305" i="40"/>
  <c r="BE305" i="40"/>
  <c r="BQ305" i="40"/>
  <c r="AW305" i="40"/>
  <c r="DS305" i="40"/>
  <c r="BT305" i="40"/>
  <c r="BD305" i="40"/>
  <c r="DM305" i="40"/>
  <c r="BS305" i="40"/>
  <c r="BC305" i="40"/>
  <c r="CE305" i="40"/>
  <c r="BN305" i="40"/>
  <c r="AO104" i="40"/>
  <c r="JH103" i="40"/>
  <c r="AP605" i="40"/>
  <c r="DB205" i="40"/>
  <c r="CP304" i="40"/>
  <c r="AP404" i="40"/>
  <c r="DB504" i="40"/>
  <c r="AN504" i="40"/>
  <c r="AO605" i="40"/>
  <c r="AN605" i="40"/>
  <c r="G306" i="40"/>
  <c r="K306" i="40"/>
  <c r="O306" i="40"/>
  <c r="CO306" i="40" s="1"/>
  <c r="S306" i="40"/>
  <c r="W306" i="40"/>
  <c r="CU306" i="40" s="1"/>
  <c r="AA306" i="40"/>
  <c r="AE306" i="40"/>
  <c r="AI306" i="40"/>
  <c r="L306" i="40"/>
  <c r="CL306" i="40" s="1"/>
  <c r="T306" i="40"/>
  <c r="CR306" i="40" s="1"/>
  <c r="X306" i="40"/>
  <c r="AF306" i="40"/>
  <c r="AJ306" i="40"/>
  <c r="N306" i="40"/>
  <c r="CN306" i="40" s="1"/>
  <c r="Z306" i="40"/>
  <c r="H306" i="40"/>
  <c r="P306" i="40"/>
  <c r="AB306" i="40"/>
  <c r="F306" i="40"/>
  <c r="R306" i="40"/>
  <c r="AD306" i="40"/>
  <c r="E306" i="40"/>
  <c r="I306" i="40"/>
  <c r="M306" i="40"/>
  <c r="CM306" i="40" s="1"/>
  <c r="Q306" i="40"/>
  <c r="U306" i="40"/>
  <c r="CS306" i="40" s="1"/>
  <c r="AC306" i="40"/>
  <c r="AG306" i="40"/>
  <c r="J306" i="40"/>
  <c r="V306" i="40"/>
  <c r="CT306" i="40" s="1"/>
  <c r="AH306" i="40"/>
  <c r="HZ604" i="40"/>
  <c r="IY206" i="40"/>
  <c r="H206" i="40"/>
  <c r="L206" i="40"/>
  <c r="CL206" i="40" s="1"/>
  <c r="P206" i="40"/>
  <c r="T206" i="40"/>
  <c r="CR206" i="40" s="1"/>
  <c r="X206" i="40"/>
  <c r="AB206" i="40"/>
  <c r="AF206" i="40"/>
  <c r="AJ206" i="40"/>
  <c r="F206" i="40"/>
  <c r="J206" i="40"/>
  <c r="N206" i="40"/>
  <c r="CN206" i="40" s="1"/>
  <c r="R206" i="40"/>
  <c r="V206" i="40"/>
  <c r="CT206" i="40" s="1"/>
  <c r="Z206" i="40"/>
  <c r="AD206" i="40"/>
  <c r="AH206" i="40"/>
  <c r="I206" i="40"/>
  <c r="Q206" i="40"/>
  <c r="Y206" i="40"/>
  <c r="AG206" i="40"/>
  <c r="G206" i="40"/>
  <c r="AE206" i="40"/>
  <c r="K206" i="40"/>
  <c r="S206" i="40"/>
  <c r="AA206" i="40"/>
  <c r="AI206" i="40"/>
  <c r="W206" i="40"/>
  <c r="CU206" i="40" s="1"/>
  <c r="E206" i="40"/>
  <c r="M206" i="40"/>
  <c r="CM206" i="40" s="1"/>
  <c r="U206" i="40"/>
  <c r="CS206" i="40" s="1"/>
  <c r="AC206" i="40"/>
  <c r="O206" i="40"/>
  <c r="CO206" i="40" s="1"/>
  <c r="G405" i="40"/>
  <c r="K405" i="40"/>
  <c r="O405" i="40"/>
  <c r="CO405" i="40" s="1"/>
  <c r="S405" i="40"/>
  <c r="W405" i="40"/>
  <c r="CU405" i="40" s="1"/>
  <c r="AA405" i="40"/>
  <c r="AE405" i="40"/>
  <c r="AI405" i="40"/>
  <c r="L405" i="40"/>
  <c r="CL405" i="40" s="1"/>
  <c r="P405" i="40"/>
  <c r="X405" i="40"/>
  <c r="AF405" i="40"/>
  <c r="H405" i="40"/>
  <c r="T405" i="40"/>
  <c r="CR405" i="40" s="1"/>
  <c r="AB405" i="40"/>
  <c r="AJ405" i="40"/>
  <c r="E405" i="40"/>
  <c r="I405" i="40"/>
  <c r="M405" i="40"/>
  <c r="CM405" i="40" s="1"/>
  <c r="Q405" i="40"/>
  <c r="U405" i="40"/>
  <c r="CS405" i="40" s="1"/>
  <c r="Y405" i="40"/>
  <c r="AC405" i="40"/>
  <c r="AG405" i="40"/>
  <c r="N405" i="40"/>
  <c r="CN405" i="40" s="1"/>
  <c r="AD405" i="40"/>
  <c r="R405" i="40"/>
  <c r="AH405" i="40"/>
  <c r="F405" i="40"/>
  <c r="V405" i="40"/>
  <c r="CT405" i="40" s="1"/>
  <c r="J405" i="40"/>
  <c r="Z405" i="40"/>
  <c r="DB605" i="40"/>
  <c r="CK605" i="40"/>
  <c r="AM605" i="40"/>
  <c r="AO504" i="40"/>
  <c r="JP305" i="40"/>
  <c r="G305" i="40"/>
  <c r="K305" i="40"/>
  <c r="CK305" i="40" s="1"/>
  <c r="O305" i="40"/>
  <c r="CO305" i="40" s="1"/>
  <c r="S305" i="40"/>
  <c r="W305" i="40"/>
  <c r="CU305" i="40" s="1"/>
  <c r="AA305" i="40"/>
  <c r="AE305" i="40"/>
  <c r="AI305" i="40"/>
  <c r="H305" i="40"/>
  <c r="P305" i="40"/>
  <c r="T305" i="40"/>
  <c r="CR305" i="40" s="1"/>
  <c r="AB305" i="40"/>
  <c r="AJ305" i="40"/>
  <c r="J305" i="40"/>
  <c r="V305" i="40"/>
  <c r="CT305" i="40" s="1"/>
  <c r="AH305" i="40"/>
  <c r="L305" i="40"/>
  <c r="CL305" i="40" s="1"/>
  <c r="X305" i="40"/>
  <c r="AF305" i="40"/>
  <c r="F305" i="40"/>
  <c r="R305" i="40"/>
  <c r="Z305" i="40"/>
  <c r="E305" i="40"/>
  <c r="I305" i="40"/>
  <c r="M305" i="40"/>
  <c r="CM305" i="40" s="1"/>
  <c r="Q305" i="40"/>
  <c r="U305" i="40"/>
  <c r="CS305" i="40" s="1"/>
  <c r="AC305" i="40"/>
  <c r="AG305" i="40"/>
  <c r="N305" i="40"/>
  <c r="CN305" i="40" s="1"/>
  <c r="AD305" i="40"/>
  <c r="AI606" i="40"/>
  <c r="DM606" i="40"/>
  <c r="BV606" i="40"/>
  <c r="BF606" i="40"/>
  <c r="J606" i="40"/>
  <c r="CG606" i="40"/>
  <c r="BQ606" i="40"/>
  <c r="BA606" i="40"/>
  <c r="DT606" i="40"/>
  <c r="BT606" i="40"/>
  <c r="BD606" i="40"/>
  <c r="L606" i="40"/>
  <c r="CL606" i="40" s="1"/>
  <c r="DW606" i="40"/>
  <c r="AY606" i="40"/>
  <c r="CE606" i="40"/>
  <c r="AH606" i="40"/>
  <c r="JO606" i="40"/>
  <c r="H606" i="40"/>
  <c r="AJ606" i="40"/>
  <c r="CJ606" i="40"/>
  <c r="CH606" i="40"/>
  <c r="BR606" i="40"/>
  <c r="BB606" i="40"/>
  <c r="A606" i="40"/>
  <c r="CC606" i="40"/>
  <c r="BM606" i="40"/>
  <c r="AW606" i="40"/>
  <c r="CF606" i="40"/>
  <c r="BP606" i="40"/>
  <c r="AZ606" i="40"/>
  <c r="CA606" i="40"/>
  <c r="BW606" i="40"/>
  <c r="DS606" i="40"/>
  <c r="BO606" i="40"/>
  <c r="Q606" i="40"/>
  <c r="JP606" i="40"/>
  <c r="I606" i="40"/>
  <c r="F606" i="40"/>
  <c r="CD606" i="40"/>
  <c r="BN606" i="40"/>
  <c r="AX606" i="40"/>
  <c r="C607" i="40"/>
  <c r="BY606" i="40"/>
  <c r="BI606" i="40"/>
  <c r="AG606" i="40"/>
  <c r="CB606" i="40"/>
  <c r="BL606" i="40"/>
  <c r="AB606" i="40"/>
  <c r="BK606" i="40"/>
  <c r="BG606" i="40"/>
  <c r="BS606" i="40"/>
  <c r="O606" i="40"/>
  <c r="CO606" i="40" s="1"/>
  <c r="S606" i="40"/>
  <c r="Z606" i="40"/>
  <c r="KN606" i="40"/>
  <c r="N606" i="40"/>
  <c r="CN606" i="40" s="1"/>
  <c r="M606" i="40"/>
  <c r="CM606" i="40" s="1"/>
  <c r="K606" i="40"/>
  <c r="AE606" i="40"/>
  <c r="DV606" i="40"/>
  <c r="DU606" i="40"/>
  <c r="BX606" i="40"/>
  <c r="G606" i="40"/>
  <c r="BZ606" i="40"/>
  <c r="BU606" i="40"/>
  <c r="BH606" i="40"/>
  <c r="BC606" i="40"/>
  <c r="BJ606" i="40"/>
  <c r="AD606" i="40"/>
  <c r="BE606" i="40"/>
  <c r="P606" i="40"/>
  <c r="R606" i="40"/>
  <c r="W606" i="40"/>
  <c r="CU606" i="40" s="1"/>
  <c r="T606" i="40"/>
  <c r="CR606" i="40" s="1"/>
  <c r="U606" i="40"/>
  <c r="CS606" i="40" s="1"/>
  <c r="X606" i="40"/>
  <c r="AA606" i="40"/>
  <c r="V606" i="40"/>
  <c r="CT606" i="40" s="1"/>
  <c r="HZ505" i="40"/>
  <c r="G505" i="40"/>
  <c r="K505" i="40"/>
  <c r="O505" i="40"/>
  <c r="CO505" i="40" s="1"/>
  <c r="S505" i="40"/>
  <c r="CQ505" i="40" s="1"/>
  <c r="W505" i="40"/>
  <c r="CU505" i="40" s="1"/>
  <c r="AA505" i="40"/>
  <c r="AE505" i="40"/>
  <c r="AI505" i="40"/>
  <c r="H505" i="40"/>
  <c r="L505" i="40"/>
  <c r="CL505" i="40" s="1"/>
  <c r="T505" i="40"/>
  <c r="CR505" i="40" s="1"/>
  <c r="AB505" i="40"/>
  <c r="AJ505" i="40"/>
  <c r="P505" i="40"/>
  <c r="X505" i="40"/>
  <c r="AF505" i="40"/>
  <c r="E505" i="40"/>
  <c r="I505" i="40"/>
  <c r="M505" i="40"/>
  <c r="CM505" i="40" s="1"/>
  <c r="Q505" i="40"/>
  <c r="U505" i="40"/>
  <c r="CS505" i="40" s="1"/>
  <c r="Y505" i="40"/>
  <c r="AC505" i="40"/>
  <c r="AG505" i="40"/>
  <c r="N505" i="40"/>
  <c r="CN505" i="40" s="1"/>
  <c r="AD505" i="40"/>
  <c r="J505" i="40"/>
  <c r="R505" i="40"/>
  <c r="AH505" i="40"/>
  <c r="F505" i="40"/>
  <c r="V505" i="40"/>
  <c r="CT505" i="40" s="1"/>
  <c r="Z505" i="40"/>
  <c r="IA505" i="40"/>
  <c r="AZ505" i="40"/>
  <c r="BP505" i="40"/>
  <c r="CG505" i="40"/>
  <c r="BI505" i="40"/>
  <c r="BZ505" i="40"/>
  <c r="BX505" i="40"/>
  <c r="BF505" i="40"/>
  <c r="BV505" i="40"/>
  <c r="DU505" i="40"/>
  <c r="CF505" i="40"/>
  <c r="DM505" i="40"/>
  <c r="DV505" i="40"/>
  <c r="HY505" i="40"/>
  <c r="BL505" i="40"/>
  <c r="CC505" i="40"/>
  <c r="A505" i="40"/>
  <c r="KF505" i="40" s="1"/>
  <c r="BU505" i="40"/>
  <c r="DT505" i="40"/>
  <c r="BB505" i="40"/>
  <c r="CJ505" i="40"/>
  <c r="BO505" i="40"/>
  <c r="BW505" i="40"/>
  <c r="BD505" i="40"/>
  <c r="BT505" i="40"/>
  <c r="DS505" i="40"/>
  <c r="AW505" i="40"/>
  <c r="BM505" i="40"/>
  <c r="CD505" i="40"/>
  <c r="BJ505" i="40"/>
  <c r="CA505" i="40"/>
  <c r="JO505" i="40"/>
  <c r="BK505" i="40"/>
  <c r="CB505" i="40"/>
  <c r="C506" i="40"/>
  <c r="BH505" i="40"/>
  <c r="BY505" i="40"/>
  <c r="DW505" i="40"/>
  <c r="BA505" i="40"/>
  <c r="BQ505" i="40"/>
  <c r="CH505" i="40"/>
  <c r="AX505" i="40"/>
  <c r="BN505" i="40"/>
  <c r="CE505" i="40"/>
  <c r="AY505" i="40"/>
  <c r="BC505" i="40"/>
  <c r="BG505" i="40"/>
  <c r="BE505" i="40"/>
  <c r="BR505" i="40"/>
  <c r="BS505" i="40"/>
  <c r="CL304" i="40"/>
  <c r="AM304" i="40"/>
  <c r="CP404" i="40"/>
  <c r="IZ405" i="40"/>
  <c r="IA405" i="40"/>
  <c r="HZ405" i="40"/>
  <c r="HY405" i="40"/>
  <c r="BX405" i="40"/>
  <c r="BK405" i="40"/>
  <c r="CB405" i="40"/>
  <c r="BL405" i="40"/>
  <c r="CC405" i="40"/>
  <c r="A405" i="40"/>
  <c r="KF405" i="40" s="1"/>
  <c r="BE405" i="40"/>
  <c r="BU405" i="40"/>
  <c r="DT405" i="40"/>
  <c r="CE405" i="40"/>
  <c r="CJ405" i="40"/>
  <c r="DU405" i="40"/>
  <c r="BS405" i="40"/>
  <c r="BT405" i="40"/>
  <c r="BM405" i="40"/>
  <c r="AX405" i="40"/>
  <c r="BF405" i="40"/>
  <c r="C406" i="40"/>
  <c r="JP406" i="40" s="1"/>
  <c r="BG405" i="40"/>
  <c r="BW405" i="40"/>
  <c r="BY405" i="40"/>
  <c r="BQ405" i="40"/>
  <c r="BN405" i="40"/>
  <c r="BV405" i="40"/>
  <c r="AY405" i="40"/>
  <c r="BO405" i="40"/>
  <c r="CF405" i="40"/>
  <c r="AZ405" i="40"/>
  <c r="BP405" i="40"/>
  <c r="CG405" i="40"/>
  <c r="BI405" i="40"/>
  <c r="BZ405" i="40"/>
  <c r="BJ405" i="40"/>
  <c r="BC405" i="40"/>
  <c r="DM405" i="40"/>
  <c r="BD405" i="40"/>
  <c r="DS405" i="40"/>
  <c r="AW405" i="40"/>
  <c r="CD405" i="40"/>
  <c r="BB405" i="40"/>
  <c r="JO405" i="40"/>
  <c r="DV405" i="40"/>
  <c r="BH405" i="40"/>
  <c r="DW405" i="40"/>
  <c r="BA405" i="40"/>
  <c r="CH405" i="40"/>
  <c r="BR405" i="40"/>
  <c r="CA405" i="40"/>
  <c r="IX405" i="40"/>
  <c r="AN304" i="40"/>
  <c r="AN404" i="40"/>
  <c r="IY405" i="40"/>
  <c r="IA604" i="40"/>
  <c r="IZ604" i="40" s="1"/>
  <c r="CP205" i="40"/>
  <c r="AM404" i="40"/>
  <c r="CK404" i="40"/>
  <c r="CQ404" i="40"/>
  <c r="AO404" i="40"/>
  <c r="HJ486" i="40"/>
  <c r="HJ386" i="40"/>
  <c r="HJ186" i="40"/>
  <c r="AN205" i="40"/>
  <c r="CQ304" i="40"/>
  <c r="AO304" i="40"/>
  <c r="IZ206" i="40"/>
  <c r="IA206" i="40"/>
  <c r="HZ206" i="40"/>
  <c r="HY206" i="40"/>
  <c r="IX206" i="40"/>
  <c r="C207" i="40"/>
  <c r="BE206" i="40"/>
  <c r="BU206" i="40"/>
  <c r="DS206" i="40"/>
  <c r="BB206" i="40"/>
  <c r="BR206" i="40"/>
  <c r="CJ206" i="40"/>
  <c r="BC206" i="40"/>
  <c r="BS206" i="40"/>
  <c r="DU206" i="40"/>
  <c r="DM206" i="40"/>
  <c r="BH206" i="40"/>
  <c r="BL206" i="40"/>
  <c r="AZ206" i="40"/>
  <c r="BI206" i="40"/>
  <c r="BZ206" i="40"/>
  <c r="DW206" i="40"/>
  <c r="BF206" i="40"/>
  <c r="BV206" i="40"/>
  <c r="DT206" i="40"/>
  <c r="BG206" i="40"/>
  <c r="BW206" i="40"/>
  <c r="BX206" i="40"/>
  <c r="BY206" i="40"/>
  <c r="CC206" i="40"/>
  <c r="BP206" i="40"/>
  <c r="AW206" i="40"/>
  <c r="BM206" i="40"/>
  <c r="CD206" i="40"/>
  <c r="BJ206" i="40"/>
  <c r="CA206" i="40"/>
  <c r="BK206" i="40"/>
  <c r="CB206" i="40"/>
  <c r="BD206" i="40"/>
  <c r="A206" i="40"/>
  <c r="DV206" i="40"/>
  <c r="JO206" i="40"/>
  <c r="BA206" i="40"/>
  <c r="BQ206" i="40"/>
  <c r="CH206" i="40"/>
  <c r="AX206" i="40"/>
  <c r="BN206" i="40"/>
  <c r="CE206" i="40"/>
  <c r="AY206" i="40"/>
  <c r="BO206" i="40"/>
  <c r="CF206" i="40"/>
  <c r="BT206" i="40"/>
  <c r="CG206" i="40"/>
  <c r="B507" i="40"/>
  <c r="HJ586" i="40"/>
  <c r="CQ205" i="40"/>
  <c r="AO205" i="40"/>
  <c r="HJ286" i="40"/>
  <c r="AP304" i="40"/>
  <c r="AP205" i="40"/>
  <c r="CK205" i="40"/>
  <c r="AM205" i="40"/>
  <c r="Y53" i="52"/>
  <c r="HM52" i="52" s="1"/>
  <c r="L99" i="39" s="1"/>
  <c r="CV52" i="52"/>
  <c r="HM105" i="40"/>
  <c r="HP105" i="40" s="1"/>
  <c r="IP105" i="40"/>
  <c r="JB105" i="40" s="1"/>
  <c r="E10" i="44" s="1"/>
  <c r="AN105" i="40"/>
  <c r="B187" i="75"/>
  <c r="DB105" i="40"/>
  <c r="AP105" i="40"/>
  <c r="HO105" i="40"/>
  <c r="CK105" i="40"/>
  <c r="AM105" i="40"/>
  <c r="HQ104" i="40"/>
  <c r="CQ105" i="40"/>
  <c r="AO105" i="40"/>
  <c r="IO105" i="40"/>
  <c r="JA105" i="40" s="1"/>
  <c r="D10" i="44" s="1"/>
  <c r="C307" i="40"/>
  <c r="AW306" i="40"/>
  <c r="BA306" i="40"/>
  <c r="BE306" i="40"/>
  <c r="BI306" i="40"/>
  <c r="BM306" i="40"/>
  <c r="BQ306" i="40"/>
  <c r="BU306" i="40"/>
  <c r="BZ306" i="40"/>
  <c r="CD306" i="40"/>
  <c r="CH306" i="40"/>
  <c r="DS306" i="40"/>
  <c r="DW306" i="40"/>
  <c r="AX306" i="40"/>
  <c r="BB306" i="40"/>
  <c r="BF306" i="40"/>
  <c r="BJ306" i="40"/>
  <c r="BN306" i="40"/>
  <c r="BR306" i="40"/>
  <c r="BV306" i="40"/>
  <c r="CA306" i="40"/>
  <c r="CE306" i="40"/>
  <c r="CJ306" i="40"/>
  <c r="DT306" i="40"/>
  <c r="BX306" i="40"/>
  <c r="AY306" i="40"/>
  <c r="BC306" i="40"/>
  <c r="BG306" i="40"/>
  <c r="BK306" i="40"/>
  <c r="BO306" i="40"/>
  <c r="BS306" i="40"/>
  <c r="BW306" i="40"/>
  <c r="CB306" i="40"/>
  <c r="CF306" i="40"/>
  <c r="DU306" i="40"/>
  <c r="A306" i="40"/>
  <c r="BH306" i="40"/>
  <c r="BY306" i="40"/>
  <c r="DV306" i="40"/>
  <c r="BL306" i="40"/>
  <c r="CC306" i="40"/>
  <c r="AZ306" i="40"/>
  <c r="BP306" i="40"/>
  <c r="CG306" i="40"/>
  <c r="BT306" i="40"/>
  <c r="DM306" i="40"/>
  <c r="BD306" i="40"/>
  <c r="JO306" i="40"/>
  <c r="IY306" i="40"/>
  <c r="IX306" i="40"/>
  <c r="HY306" i="40"/>
  <c r="IZ306" i="40"/>
  <c r="IA306" i="40"/>
  <c r="HZ306" i="40"/>
  <c r="JP306" i="40"/>
  <c r="HR104" i="40"/>
  <c r="IQ105" i="40"/>
  <c r="JC105" i="40" s="1"/>
  <c r="F10" i="44" s="1"/>
  <c r="IK106" i="40"/>
  <c r="IN106" i="40" s="1"/>
  <c r="JF106" i="40"/>
  <c r="HN106" i="40" s="1"/>
  <c r="II106" i="40"/>
  <c r="IL106" i="40" s="1"/>
  <c r="IJ106" i="40"/>
  <c r="IM106" i="40" s="1"/>
  <c r="BX106" i="40"/>
  <c r="AG106" i="40"/>
  <c r="A106" i="40"/>
  <c r="I106" i="40"/>
  <c r="M106" i="40"/>
  <c r="CM106" i="40" s="1"/>
  <c r="AB106" i="40"/>
  <c r="AF106" i="40"/>
  <c r="AY106" i="40"/>
  <c r="BC106" i="40"/>
  <c r="BG106" i="40"/>
  <c r="BK106" i="40"/>
  <c r="BO106" i="40"/>
  <c r="BS106" i="40"/>
  <c r="BW106" i="40"/>
  <c r="CB106" i="40"/>
  <c r="CF106" i="40"/>
  <c r="DM106" i="40"/>
  <c r="DV106" i="40"/>
  <c r="AH106" i="40"/>
  <c r="F106" i="40"/>
  <c r="IO106" i="40" s="1"/>
  <c r="J106" i="40"/>
  <c r="N106" i="40"/>
  <c r="CN106" i="40" s="1"/>
  <c r="AC106" i="40"/>
  <c r="AI106" i="40"/>
  <c r="AZ106" i="40"/>
  <c r="BD106" i="40"/>
  <c r="BH106" i="40"/>
  <c r="BL106" i="40"/>
  <c r="BP106" i="40"/>
  <c r="BT106" i="40"/>
  <c r="BY106" i="40"/>
  <c r="CC106" i="40"/>
  <c r="CG106" i="40"/>
  <c r="DS106" i="40"/>
  <c r="DW106" i="40"/>
  <c r="C107" i="40"/>
  <c r="JP107" i="40" s="1"/>
  <c r="G106" i="40"/>
  <c r="K106" i="40"/>
  <c r="O106" i="40"/>
  <c r="CO106" i="40" s="1"/>
  <c r="AD106" i="40"/>
  <c r="AJ106" i="40"/>
  <c r="AW106" i="40"/>
  <c r="BA106" i="40"/>
  <c r="BE106" i="40"/>
  <c r="BI106" i="40"/>
  <c r="BM106" i="40"/>
  <c r="BQ106" i="40"/>
  <c r="BU106" i="40"/>
  <c r="BZ106" i="40"/>
  <c r="CD106" i="40"/>
  <c r="CH106" i="40"/>
  <c r="DT106" i="40"/>
  <c r="H106" i="40"/>
  <c r="BF106" i="40"/>
  <c r="BV106" i="40"/>
  <c r="DU106" i="40"/>
  <c r="L106" i="40"/>
  <c r="CL106" i="40" s="1"/>
  <c r="BJ106" i="40"/>
  <c r="CA106" i="40"/>
  <c r="P106" i="40"/>
  <c r="AX106" i="40"/>
  <c r="BN106" i="40"/>
  <c r="CE106" i="40"/>
  <c r="BB106" i="40"/>
  <c r="AE106" i="40"/>
  <c r="BR106" i="40"/>
  <c r="CJ106" i="40"/>
  <c r="JO106" i="40"/>
  <c r="IZ106" i="40"/>
  <c r="IA106" i="40"/>
  <c r="HZ106" i="40"/>
  <c r="R106" i="40"/>
  <c r="W106" i="40"/>
  <c r="CU106" i="40" s="1"/>
  <c r="S106" i="40"/>
  <c r="Z106" i="40"/>
  <c r="T106" i="40"/>
  <c r="CR106" i="40" s="1"/>
  <c r="E106" i="40"/>
  <c r="Q106" i="40"/>
  <c r="X106" i="40"/>
  <c r="IX106" i="40"/>
  <c r="U106" i="40"/>
  <c r="CS106" i="40" s="1"/>
  <c r="V106" i="40"/>
  <c r="CT106" i="40" s="1"/>
  <c r="HY106" i="40"/>
  <c r="AA106" i="40"/>
  <c r="HQ105" i="40"/>
  <c r="CP105" i="40"/>
  <c r="HP104" i="40"/>
  <c r="KF105" i="40"/>
  <c r="IZ601" i="40"/>
  <c r="IZ701" i="40" s="1"/>
  <c r="IZ602" i="40"/>
  <c r="IZ603" i="40"/>
  <c r="CV54" i="52"/>
  <c r="CP504" i="40"/>
  <c r="Q8" i="59"/>
  <c r="AL54" i="52"/>
  <c r="CP602" i="40"/>
  <c r="AQ30" i="52"/>
  <c r="CP30" i="52"/>
  <c r="IX504" i="40"/>
  <c r="IX604" i="40" s="1"/>
  <c r="IX505" i="40"/>
  <c r="IX501" i="40"/>
  <c r="IX503" i="40"/>
  <c r="IX506" i="40"/>
  <c r="IX502" i="40"/>
  <c r="CP60" i="52"/>
  <c r="AQ60" i="52"/>
  <c r="CP58" i="52"/>
  <c r="AQ58" i="52"/>
  <c r="CP503" i="40"/>
  <c r="AC607" i="40"/>
  <c r="AC603" i="40"/>
  <c r="AC604" i="40"/>
  <c r="R111" i="57"/>
  <c r="AC605" i="40"/>
  <c r="CP605" i="40" s="1"/>
  <c r="AC601" i="40"/>
  <c r="AC606" i="40"/>
  <c r="AC111" i="75"/>
  <c r="IY505" i="40"/>
  <c r="IY501" i="40"/>
  <c r="IY502" i="40"/>
  <c r="IY504" i="40"/>
  <c r="IY506" i="40"/>
  <c r="IY503" i="40"/>
  <c r="CP31" i="52"/>
  <c r="AQ31" i="52"/>
  <c r="CP29" i="52"/>
  <c r="AQ29" i="52"/>
  <c r="AQ59" i="52"/>
  <c r="CP59" i="52"/>
  <c r="CP501" i="40"/>
  <c r="JJ101" i="40"/>
  <c r="JP401" i="40"/>
  <c r="JP405" i="40"/>
  <c r="JP402" i="40"/>
  <c r="JP403" i="40"/>
  <c r="JP404" i="40"/>
  <c r="Q6" i="59"/>
  <c r="JP204" i="40"/>
  <c r="JP201" i="40"/>
  <c r="JP205" i="40"/>
  <c r="JP202" i="40"/>
  <c r="JP206" i="40"/>
  <c r="JP203" i="40"/>
  <c r="Q4" i="59"/>
  <c r="E607" i="40"/>
  <c r="E606" i="40"/>
  <c r="E605" i="40"/>
  <c r="E604" i="40"/>
  <c r="E601" i="40"/>
  <c r="E603" i="40"/>
  <c r="E111" i="75"/>
  <c r="R77" i="57"/>
  <c r="JB104" i="40"/>
  <c r="E9" i="44" s="1"/>
  <c r="M9" i="44" s="1"/>
  <c r="E602" i="40"/>
  <c r="E112" i="75"/>
  <c r="S77" i="57"/>
  <c r="JP103" i="40"/>
  <c r="JP104" i="40"/>
  <c r="JP102" i="40"/>
  <c r="JP106" i="40"/>
  <c r="JP101" i="40"/>
  <c r="JP105" i="40"/>
  <c r="JB101" i="40"/>
  <c r="JB103" i="40"/>
  <c r="E8" i="44" s="1"/>
  <c r="M8" i="44" s="1"/>
  <c r="JB102" i="40"/>
  <c r="AK70" i="58"/>
  <c r="AK58" i="58"/>
  <c r="AK52" i="58"/>
  <c r="AK56" i="58"/>
  <c r="AK62" i="58"/>
  <c r="AK66" i="58"/>
  <c r="CV401" i="40"/>
  <c r="JJ102" i="40"/>
  <c r="HX104" i="40"/>
  <c r="HV104" i="40"/>
  <c r="HW104" i="40"/>
  <c r="K99" i="39"/>
  <c r="Y202" i="40" s="1"/>
  <c r="J99" i="57"/>
  <c r="Y103" i="75"/>
  <c r="AK68" i="58"/>
  <c r="AK60" i="58"/>
  <c r="AK54" i="58"/>
  <c r="AK64" i="58"/>
  <c r="CV48" i="52"/>
  <c r="AL48" i="52"/>
  <c r="AK48" i="52"/>
  <c r="AK48" i="58"/>
  <c r="Q99" i="39"/>
  <c r="Y502" i="40" s="1"/>
  <c r="P99" i="57"/>
  <c r="Y109" i="75"/>
  <c r="CV404" i="40"/>
  <c r="Y101" i="75" l="1"/>
  <c r="Y108" i="75"/>
  <c r="Y103" i="40"/>
  <c r="CI106" i="40"/>
  <c r="JJ103" i="40"/>
  <c r="O99" i="57"/>
  <c r="H99" i="57"/>
  <c r="Y106" i="40"/>
  <c r="CV106" i="40" s="1"/>
  <c r="AL47" i="52"/>
  <c r="CP603" i="40"/>
  <c r="I99" i="39"/>
  <c r="I99" i="57" s="1"/>
  <c r="Y101" i="40"/>
  <c r="AK47" i="52"/>
  <c r="Y104" i="40"/>
  <c r="CV104" i="40" s="1"/>
  <c r="CV47" i="52"/>
  <c r="Y105" i="75"/>
  <c r="L99" i="57"/>
  <c r="M99" i="39"/>
  <c r="Y302" i="40" s="1"/>
  <c r="R99" i="39"/>
  <c r="Y606" i="40" s="1"/>
  <c r="CP604" i="40"/>
  <c r="AN505" i="40"/>
  <c r="CP601" i="40"/>
  <c r="DB305" i="40"/>
  <c r="Y301" i="40"/>
  <c r="CV301" i="40" s="1"/>
  <c r="Y303" i="40"/>
  <c r="CV303" i="40" s="1"/>
  <c r="Y304" i="40"/>
  <c r="CV304" i="40" s="1"/>
  <c r="Y305" i="40"/>
  <c r="CV305" i="40" s="1"/>
  <c r="Y306" i="40"/>
  <c r="CV306" i="40" s="1"/>
  <c r="KA103" i="40"/>
  <c r="CP305" i="40"/>
  <c r="HZ605" i="40"/>
  <c r="IY605" i="40" s="1"/>
  <c r="CP505" i="40"/>
  <c r="AN305" i="40"/>
  <c r="CV405" i="40"/>
  <c r="AP305" i="40"/>
  <c r="AM305" i="40"/>
  <c r="HY605" i="40"/>
  <c r="IX605" i="40" s="1"/>
  <c r="Y107" i="40"/>
  <c r="CQ305" i="40"/>
  <c r="AO505" i="40"/>
  <c r="AO305" i="40"/>
  <c r="IA605" i="40"/>
  <c r="IZ605" i="40" s="1"/>
  <c r="CP606" i="40"/>
  <c r="AP606" i="40"/>
  <c r="CK505" i="40"/>
  <c r="AM505" i="40"/>
  <c r="CQ606" i="40"/>
  <c r="AO606" i="40"/>
  <c r="G307" i="40"/>
  <c r="K307" i="40"/>
  <c r="O307" i="40"/>
  <c r="CO307" i="40" s="1"/>
  <c r="S307" i="40"/>
  <c r="W307" i="40"/>
  <c r="CU307" i="40" s="1"/>
  <c r="AA307" i="40"/>
  <c r="AE307" i="40"/>
  <c r="AI307" i="40"/>
  <c r="L307" i="40"/>
  <c r="CL307" i="40" s="1"/>
  <c r="T307" i="40"/>
  <c r="AF307" i="40"/>
  <c r="AJ307" i="40"/>
  <c r="F307" i="40"/>
  <c r="R307" i="40"/>
  <c r="AH307" i="40"/>
  <c r="H307" i="40"/>
  <c r="P307" i="40"/>
  <c r="X307" i="40"/>
  <c r="AB307" i="40"/>
  <c r="J307" i="40"/>
  <c r="V307" i="40"/>
  <c r="CT307" i="40" s="1"/>
  <c r="AD307" i="40"/>
  <c r="E307" i="40"/>
  <c r="I307" i="40"/>
  <c r="M307" i="40"/>
  <c r="CM307" i="40" s="1"/>
  <c r="Q307" i="40"/>
  <c r="U307" i="40"/>
  <c r="CS307" i="40" s="1"/>
  <c r="Y307" i="40"/>
  <c r="AC307" i="40"/>
  <c r="AG307" i="40"/>
  <c r="N307" i="40"/>
  <c r="CN307" i="40" s="1"/>
  <c r="Z307" i="40"/>
  <c r="G406" i="40"/>
  <c r="K406" i="40"/>
  <c r="O406" i="40"/>
  <c r="CO406" i="40" s="1"/>
  <c r="S406" i="40"/>
  <c r="W406" i="40"/>
  <c r="CU406" i="40" s="1"/>
  <c r="AA406" i="40"/>
  <c r="AE406" i="40"/>
  <c r="AI406" i="40"/>
  <c r="H406" i="40"/>
  <c r="P406" i="40"/>
  <c r="T406" i="40"/>
  <c r="AB406" i="40"/>
  <c r="AF406" i="40"/>
  <c r="L406" i="40"/>
  <c r="CL406" i="40" s="1"/>
  <c r="X406" i="40"/>
  <c r="AJ406" i="40"/>
  <c r="E406" i="40"/>
  <c r="I406" i="40"/>
  <c r="M406" i="40"/>
  <c r="CM406" i="40" s="1"/>
  <c r="Q406" i="40"/>
  <c r="U406" i="40"/>
  <c r="CS406" i="40" s="1"/>
  <c r="Y406" i="40"/>
  <c r="AC406" i="40"/>
  <c r="AG406" i="40"/>
  <c r="N406" i="40"/>
  <c r="CN406" i="40" s="1"/>
  <c r="AD406" i="40"/>
  <c r="R406" i="40"/>
  <c r="AH406" i="40"/>
  <c r="F406" i="40"/>
  <c r="V406" i="40"/>
  <c r="CT406" i="40" s="1"/>
  <c r="J406" i="40"/>
  <c r="Z406" i="40"/>
  <c r="DB406" i="40" s="1"/>
  <c r="JZ406" i="40" s="1"/>
  <c r="JP207" i="40"/>
  <c r="H207" i="40"/>
  <c r="L207" i="40"/>
  <c r="CL207" i="40" s="1"/>
  <c r="P207" i="40"/>
  <c r="T207" i="40"/>
  <c r="CR207" i="40" s="1"/>
  <c r="X207" i="40"/>
  <c r="AB207" i="40"/>
  <c r="AF207" i="40"/>
  <c r="AJ207" i="40"/>
  <c r="F207" i="40"/>
  <c r="J207" i="40"/>
  <c r="N207" i="40"/>
  <c r="CN207" i="40" s="1"/>
  <c r="R207" i="40"/>
  <c r="V207" i="40"/>
  <c r="CT207" i="40" s="1"/>
  <c r="Z207" i="40"/>
  <c r="AD207" i="40"/>
  <c r="AH207" i="40"/>
  <c r="I207" i="40"/>
  <c r="Q207" i="40"/>
  <c r="Y207" i="40"/>
  <c r="AG207" i="40"/>
  <c r="W207" i="40"/>
  <c r="CU207" i="40" s="1"/>
  <c r="K207" i="40"/>
  <c r="S207" i="40"/>
  <c r="AA207" i="40"/>
  <c r="AI207" i="40"/>
  <c r="G207" i="40"/>
  <c r="AE207" i="40"/>
  <c r="E207" i="40"/>
  <c r="M207" i="40"/>
  <c r="CM207" i="40" s="1"/>
  <c r="U207" i="40"/>
  <c r="CS207" i="40" s="1"/>
  <c r="AC207" i="40"/>
  <c r="O207" i="40"/>
  <c r="CO207" i="40" s="1"/>
  <c r="DB505" i="40"/>
  <c r="AN606" i="40"/>
  <c r="G506" i="40"/>
  <c r="K506" i="40"/>
  <c r="O506" i="40"/>
  <c r="CO506" i="40" s="1"/>
  <c r="S506" i="40"/>
  <c r="W506" i="40"/>
  <c r="CU506" i="40" s="1"/>
  <c r="AA506" i="40"/>
  <c r="AE506" i="40"/>
  <c r="AI506" i="40"/>
  <c r="L506" i="40"/>
  <c r="CL506" i="40" s="1"/>
  <c r="T506" i="40"/>
  <c r="CR506" i="40" s="1"/>
  <c r="AB506" i="40"/>
  <c r="AJ506" i="40"/>
  <c r="H506" i="40"/>
  <c r="P506" i="40"/>
  <c r="X506" i="40"/>
  <c r="AF506" i="40"/>
  <c r="E506" i="40"/>
  <c r="I506" i="40"/>
  <c r="M506" i="40"/>
  <c r="CM506" i="40" s="1"/>
  <c r="Q506" i="40"/>
  <c r="U506" i="40"/>
  <c r="CS506" i="40" s="1"/>
  <c r="Y506" i="40"/>
  <c r="AC506" i="40"/>
  <c r="AG506" i="40"/>
  <c r="N506" i="40"/>
  <c r="CN506" i="40" s="1"/>
  <c r="AD506" i="40"/>
  <c r="J506" i="40"/>
  <c r="R506" i="40"/>
  <c r="AH506" i="40"/>
  <c r="F506" i="40"/>
  <c r="V506" i="40"/>
  <c r="CT506" i="40" s="1"/>
  <c r="Z506" i="40"/>
  <c r="AW506" i="40"/>
  <c r="BM506" i="40"/>
  <c r="CD506" i="40"/>
  <c r="AX506" i="40"/>
  <c r="BN506" i="40"/>
  <c r="CE506" i="40"/>
  <c r="BK506" i="40"/>
  <c r="CB506" i="40"/>
  <c r="JO506" i="40"/>
  <c r="BT506" i="40"/>
  <c r="BY506" i="40"/>
  <c r="IA506" i="40"/>
  <c r="HY506" i="40"/>
  <c r="BZ506" i="40"/>
  <c r="BG506" i="40"/>
  <c r="BH506" i="40"/>
  <c r="BA506" i="40"/>
  <c r="BQ506" i="40"/>
  <c r="CH506" i="40"/>
  <c r="BB506" i="40"/>
  <c r="BR506" i="40"/>
  <c r="CJ506" i="40"/>
  <c r="AY506" i="40"/>
  <c r="BO506" i="40"/>
  <c r="CF506" i="40"/>
  <c r="AZ506" i="40"/>
  <c r="A506" i="40"/>
  <c r="DS506" i="40"/>
  <c r="DW506" i="40"/>
  <c r="IZ506" i="40"/>
  <c r="BE506" i="40"/>
  <c r="DT506" i="40"/>
  <c r="BF506" i="40"/>
  <c r="BV506" i="40"/>
  <c r="BC506" i="40"/>
  <c r="BS506" i="40"/>
  <c r="BP506" i="40"/>
  <c r="CC506" i="40"/>
  <c r="BL506" i="40"/>
  <c r="HZ506" i="40"/>
  <c r="BI506" i="40"/>
  <c r="BJ506" i="40"/>
  <c r="BX506" i="40"/>
  <c r="BW506" i="40"/>
  <c r="BD506" i="40"/>
  <c r="BU506" i="40"/>
  <c r="DU506" i="40"/>
  <c r="DM506" i="40"/>
  <c r="CA506" i="40"/>
  <c r="CG506" i="40"/>
  <c r="C507" i="40"/>
  <c r="A507" i="40" s="1"/>
  <c r="DV506" i="40"/>
  <c r="AP505" i="40"/>
  <c r="CK606" i="40"/>
  <c r="AM606" i="40"/>
  <c r="DB606" i="40"/>
  <c r="H607" i="40"/>
  <c r="AJ607" i="40"/>
  <c r="F607" i="40"/>
  <c r="CJ607" i="40"/>
  <c r="BY607" i="40"/>
  <c r="BI607" i="40"/>
  <c r="AG607" i="40"/>
  <c r="CB607" i="40"/>
  <c r="BL607" i="40"/>
  <c r="AB607" i="40"/>
  <c r="DW607" i="40"/>
  <c r="BW607" i="40"/>
  <c r="BG607" i="40"/>
  <c r="K607" i="40"/>
  <c r="AX607" i="40"/>
  <c r="J607" i="40"/>
  <c r="BF607" i="40"/>
  <c r="A607" i="40"/>
  <c r="R607" i="40"/>
  <c r="JO607" i="40"/>
  <c r="I607" i="40"/>
  <c r="AD607" i="40"/>
  <c r="W607" i="40"/>
  <c r="CU607" i="40" s="1"/>
  <c r="DU607" i="40"/>
  <c r="BU607" i="40"/>
  <c r="BE607" i="40"/>
  <c r="M607" i="40"/>
  <c r="CM607" i="40" s="1"/>
  <c r="BX607" i="40"/>
  <c r="BH607" i="40"/>
  <c r="P607" i="40"/>
  <c r="DS607" i="40"/>
  <c r="BS607" i="40"/>
  <c r="BC607" i="40"/>
  <c r="G607" i="40"/>
  <c r="N607" i="40"/>
  <c r="CN607" i="40" s="1"/>
  <c r="CH607" i="40"/>
  <c r="DM607" i="40"/>
  <c r="AH607" i="40"/>
  <c r="JP607" i="40"/>
  <c r="AE607" i="40"/>
  <c r="CG607" i="40"/>
  <c r="BQ607" i="40"/>
  <c r="BA607" i="40"/>
  <c r="DT607" i="40"/>
  <c r="BT607" i="40"/>
  <c r="BD607" i="40"/>
  <c r="L607" i="40"/>
  <c r="CL607" i="40" s="1"/>
  <c r="CE607" i="40"/>
  <c r="BO607" i="40"/>
  <c r="AY607" i="40"/>
  <c r="CD607" i="40"/>
  <c r="BZ607" i="40"/>
  <c r="DV607" i="40"/>
  <c r="BR607" i="40"/>
  <c r="Q607" i="40"/>
  <c r="AA607" i="40"/>
  <c r="AI607" i="40"/>
  <c r="CF607" i="40"/>
  <c r="CA607" i="40"/>
  <c r="BJ607" i="40"/>
  <c r="CC607" i="40"/>
  <c r="BP607" i="40"/>
  <c r="BK607" i="40"/>
  <c r="BV607" i="40"/>
  <c r="C608" i="40"/>
  <c r="BN607" i="40"/>
  <c r="KN607" i="40"/>
  <c r="BM607" i="40"/>
  <c r="AZ607" i="40"/>
  <c r="O607" i="40"/>
  <c r="CO607" i="40" s="1"/>
  <c r="BB607" i="40"/>
  <c r="S607" i="40"/>
  <c r="AW607" i="40"/>
  <c r="Z607" i="40"/>
  <c r="X607" i="40"/>
  <c r="U607" i="40"/>
  <c r="CS607" i="40" s="1"/>
  <c r="T607" i="40"/>
  <c r="CR607" i="40" s="1"/>
  <c r="V607" i="40"/>
  <c r="CT607" i="40" s="1"/>
  <c r="AF607" i="40"/>
  <c r="AN405" i="40"/>
  <c r="CP405" i="40"/>
  <c r="CK405" i="40"/>
  <c r="AM405" i="40"/>
  <c r="AP405" i="40"/>
  <c r="DB106" i="40"/>
  <c r="JZ106" i="40" s="1"/>
  <c r="DB405" i="40"/>
  <c r="BX406" i="40"/>
  <c r="BK406" i="40"/>
  <c r="CB406" i="40"/>
  <c r="AZ406" i="40"/>
  <c r="BP406" i="40"/>
  <c r="CG406" i="40"/>
  <c r="A406" i="40"/>
  <c r="BI406" i="40"/>
  <c r="BZ406" i="40"/>
  <c r="CJ406" i="40"/>
  <c r="DU406" i="40"/>
  <c r="CA406" i="40"/>
  <c r="HY406" i="40"/>
  <c r="IY406" i="40"/>
  <c r="AY406" i="40"/>
  <c r="BO406" i="40"/>
  <c r="CF406" i="40"/>
  <c r="BD406" i="40"/>
  <c r="BT406" i="40"/>
  <c r="DS406" i="40"/>
  <c r="AW406" i="40"/>
  <c r="BM406" i="40"/>
  <c r="CD406" i="40"/>
  <c r="AX406" i="40"/>
  <c r="JO406" i="40"/>
  <c r="CR406" i="40"/>
  <c r="IX406" i="40"/>
  <c r="BC406" i="40"/>
  <c r="BS406" i="40"/>
  <c r="DM406" i="40"/>
  <c r="BH406" i="40"/>
  <c r="BY406" i="40"/>
  <c r="DW406" i="40"/>
  <c r="BA406" i="40"/>
  <c r="BQ406" i="40"/>
  <c r="CH406" i="40"/>
  <c r="BN406" i="40"/>
  <c r="BB406" i="40"/>
  <c r="BF406" i="40"/>
  <c r="BJ406" i="40"/>
  <c r="IA406" i="40"/>
  <c r="BW406" i="40"/>
  <c r="CC406" i="40"/>
  <c r="BU406" i="40"/>
  <c r="BV406" i="40"/>
  <c r="IZ406" i="40"/>
  <c r="CE406" i="40"/>
  <c r="BG406" i="40"/>
  <c r="BL406" i="40"/>
  <c r="BR406" i="40"/>
  <c r="C407" i="40"/>
  <c r="DV406" i="40"/>
  <c r="DT406" i="40"/>
  <c r="HZ406" i="40"/>
  <c r="BE406" i="40"/>
  <c r="CQ405" i="40"/>
  <c r="AO405" i="40"/>
  <c r="AN206" i="40"/>
  <c r="CP206" i="40"/>
  <c r="AO206" i="40"/>
  <c r="CQ206" i="40"/>
  <c r="HJ487" i="40"/>
  <c r="CK206" i="40"/>
  <c r="AM206" i="40"/>
  <c r="DB206" i="40"/>
  <c r="JZ206" i="40" s="1"/>
  <c r="HJ387" i="40"/>
  <c r="B508" i="40"/>
  <c r="B509" i="40" s="1"/>
  <c r="B510" i="40" s="1"/>
  <c r="B511" i="40" s="1"/>
  <c r="B512" i="40" s="1"/>
  <c r="B513" i="40" s="1"/>
  <c r="B514" i="40" s="1"/>
  <c r="B515" i="40" s="1"/>
  <c r="B516" i="40" s="1"/>
  <c r="B517" i="40" s="1"/>
  <c r="B518" i="40" s="1"/>
  <c r="B519" i="40" s="1"/>
  <c r="B520" i="40" s="1"/>
  <c r="B521" i="40" s="1"/>
  <c r="B522" i="40" s="1"/>
  <c r="B523" i="40" s="1"/>
  <c r="B524" i="40" s="1"/>
  <c r="B525" i="40" s="1"/>
  <c r="B526" i="40" s="1"/>
  <c r="B527" i="40" s="1"/>
  <c r="B528" i="40" s="1"/>
  <c r="B529" i="40" s="1"/>
  <c r="B530" i="40" s="1"/>
  <c r="B531" i="40" s="1"/>
  <c r="B532" i="40" s="1"/>
  <c r="B533" i="40" s="1"/>
  <c r="B534" i="40" s="1"/>
  <c r="B535" i="40" s="1"/>
  <c r="B536" i="40" s="1"/>
  <c r="B537" i="40" s="1"/>
  <c r="B538" i="40" s="1"/>
  <c r="B539" i="40" s="1"/>
  <c r="B540" i="40" s="1"/>
  <c r="B541" i="40" s="1"/>
  <c r="B542" i="40" s="1"/>
  <c r="B543" i="40" s="1"/>
  <c r="B544" i="40" s="1"/>
  <c r="B545" i="40" s="1"/>
  <c r="B546" i="40" s="1"/>
  <c r="B547" i="40" s="1"/>
  <c r="B548" i="40" s="1"/>
  <c r="B549" i="40" s="1"/>
  <c r="B550" i="40" s="1"/>
  <c r="B551" i="40" s="1"/>
  <c r="B552" i="40" s="1"/>
  <c r="B553" i="40" s="1"/>
  <c r="B554" i="40" s="1"/>
  <c r="B555" i="40" s="1"/>
  <c r="B556" i="40" s="1"/>
  <c r="B557" i="40" s="1"/>
  <c r="B558" i="40" s="1"/>
  <c r="B559" i="40" s="1"/>
  <c r="B560" i="40" s="1"/>
  <c r="B561" i="40" s="1"/>
  <c r="B562" i="40" s="1"/>
  <c r="B563" i="40" s="1"/>
  <c r="B564" i="40" s="1"/>
  <c r="B565" i="40" s="1"/>
  <c r="B566" i="40" s="1"/>
  <c r="B567" i="40" s="1"/>
  <c r="B568" i="40" s="1"/>
  <c r="B569" i="40" s="1"/>
  <c r="B570" i="40" s="1"/>
  <c r="B571" i="40" s="1"/>
  <c r="B572" i="40" s="1"/>
  <c r="B573" i="40" s="1"/>
  <c r="B574" i="40" s="1"/>
  <c r="B575" i="40" s="1"/>
  <c r="B576" i="40" s="1"/>
  <c r="B577" i="40" s="1"/>
  <c r="B578" i="40" s="1"/>
  <c r="B579" i="40" s="1"/>
  <c r="B580" i="40" s="1"/>
  <c r="B581" i="40" s="1"/>
  <c r="B582" i="40" s="1"/>
  <c r="B583" i="40" s="1"/>
  <c r="B584" i="40" s="1"/>
  <c r="B585" i="40" s="1"/>
  <c r="B586" i="40" s="1"/>
  <c r="B587" i="40" s="1"/>
  <c r="B588" i="40" s="1"/>
  <c r="B589" i="40" s="1"/>
  <c r="B590" i="40" s="1"/>
  <c r="B591" i="40" s="1"/>
  <c r="B592" i="40" s="1"/>
  <c r="B593" i="40" s="1"/>
  <c r="B594" i="40" s="1"/>
  <c r="B595" i="40" s="1"/>
  <c r="B596" i="40" s="1"/>
  <c r="B597" i="40" s="1"/>
  <c r="B598" i="40" s="1"/>
  <c r="B599" i="40" s="1"/>
  <c r="BI207" i="40"/>
  <c r="BY207" i="40"/>
  <c r="DW207" i="40"/>
  <c r="BF207" i="40"/>
  <c r="BV207" i="40"/>
  <c r="DT207" i="40"/>
  <c r="BG207" i="40"/>
  <c r="BW207" i="40"/>
  <c r="DU207" i="40"/>
  <c r="CF207" i="40"/>
  <c r="DM207" i="40"/>
  <c r="BX207" i="40"/>
  <c r="BL207" i="40"/>
  <c r="HY207" i="40"/>
  <c r="AW207" i="40"/>
  <c r="BM207" i="40"/>
  <c r="CC207" i="40"/>
  <c r="A207" i="40"/>
  <c r="BJ207" i="40"/>
  <c r="BZ207" i="40"/>
  <c r="BK207" i="40"/>
  <c r="CA207" i="40"/>
  <c r="DV207" i="40"/>
  <c r="JO207" i="40"/>
  <c r="IX207" i="40"/>
  <c r="IZ207" i="40"/>
  <c r="BA207" i="40"/>
  <c r="BQ207" i="40"/>
  <c r="CG207" i="40"/>
  <c r="AX207" i="40"/>
  <c r="BN207" i="40"/>
  <c r="CD207" i="40"/>
  <c r="AY207" i="40"/>
  <c r="BO207" i="40"/>
  <c r="CE207" i="40"/>
  <c r="AZ207" i="40"/>
  <c r="BD207" i="40"/>
  <c r="CB207" i="40"/>
  <c r="HZ207" i="40"/>
  <c r="C208" i="40"/>
  <c r="BE207" i="40"/>
  <c r="BU207" i="40"/>
  <c r="DS207" i="40"/>
  <c r="BB207" i="40"/>
  <c r="BR207" i="40"/>
  <c r="CH207" i="40"/>
  <c r="BC207" i="40"/>
  <c r="BS207" i="40"/>
  <c r="CJ207" i="40"/>
  <c r="BP207" i="40"/>
  <c r="BT207" i="40"/>
  <c r="BH207" i="40"/>
  <c r="IA207" i="40"/>
  <c r="IY207" i="40"/>
  <c r="AP206" i="40"/>
  <c r="HJ187" i="40"/>
  <c r="HJ287" i="40"/>
  <c r="HJ587" i="40"/>
  <c r="IQ106" i="40"/>
  <c r="JC106" i="40" s="1"/>
  <c r="F11" i="44" s="1"/>
  <c r="IP106" i="40"/>
  <c r="JB106" i="40" s="1"/>
  <c r="E11" i="44" s="1"/>
  <c r="CP106" i="40"/>
  <c r="HW106" i="40" s="1"/>
  <c r="DB306" i="40"/>
  <c r="JZ306" i="40" s="1"/>
  <c r="CV53" i="52"/>
  <c r="AL53" i="52"/>
  <c r="AK53" i="52"/>
  <c r="HO106" i="40"/>
  <c r="HR106" i="40" s="1"/>
  <c r="HM106" i="40"/>
  <c r="HP106" i="40" s="1"/>
  <c r="B188" i="75"/>
  <c r="AP306" i="40"/>
  <c r="C308" i="40"/>
  <c r="AW307" i="40"/>
  <c r="BA307" i="40"/>
  <c r="BE307" i="40"/>
  <c r="BI307" i="40"/>
  <c r="BM307" i="40"/>
  <c r="BQ307" i="40"/>
  <c r="BU307" i="40"/>
  <c r="BY307" i="40"/>
  <c r="CC307" i="40"/>
  <c r="CG307" i="40"/>
  <c r="DU307" i="40"/>
  <c r="A307" i="40"/>
  <c r="AX307" i="40"/>
  <c r="BB307" i="40"/>
  <c r="BF307" i="40"/>
  <c r="BJ307" i="40"/>
  <c r="BN307" i="40"/>
  <c r="BR307" i="40"/>
  <c r="BV307" i="40"/>
  <c r="BZ307" i="40"/>
  <c r="CD307" i="40"/>
  <c r="CH307" i="40"/>
  <c r="DM307" i="40"/>
  <c r="DV307" i="40"/>
  <c r="AY307" i="40"/>
  <c r="BC307" i="40"/>
  <c r="BG307" i="40"/>
  <c r="BK307" i="40"/>
  <c r="BO307" i="40"/>
  <c r="BS307" i="40"/>
  <c r="BW307" i="40"/>
  <c r="CA307" i="40"/>
  <c r="CE307" i="40"/>
  <c r="CJ307" i="40"/>
  <c r="DS307" i="40"/>
  <c r="DW307" i="40"/>
  <c r="BD307" i="40"/>
  <c r="BT307" i="40"/>
  <c r="BH307" i="40"/>
  <c r="BX307" i="40"/>
  <c r="DT307" i="40"/>
  <c r="BL307" i="40"/>
  <c r="CB307" i="40"/>
  <c r="BP307" i="40"/>
  <c r="CF307" i="40"/>
  <c r="AZ307" i="40"/>
  <c r="JO307" i="40"/>
  <c r="IY307" i="40"/>
  <c r="CR307" i="40"/>
  <c r="IX307" i="40"/>
  <c r="IZ307" i="40"/>
  <c r="HZ307" i="40"/>
  <c r="IA307" i="40"/>
  <c r="HY307" i="40"/>
  <c r="JP307" i="40"/>
  <c r="HQ106" i="40"/>
  <c r="IK107" i="40"/>
  <c r="IN107" i="40" s="1"/>
  <c r="IJ107" i="40"/>
  <c r="IM107" i="40" s="1"/>
  <c r="JF107" i="40"/>
  <c r="HO107" i="40" s="1"/>
  <c r="II107" i="40"/>
  <c r="IL107" i="40" s="1"/>
  <c r="C108" i="40"/>
  <c r="A107" i="40"/>
  <c r="D21" i="70" s="1"/>
  <c r="H107" i="40"/>
  <c r="L107" i="40"/>
  <c r="CL107" i="40" s="1"/>
  <c r="P107" i="40"/>
  <c r="AE107" i="40"/>
  <c r="AI107" i="40"/>
  <c r="AZ107" i="40"/>
  <c r="BD107" i="40"/>
  <c r="BH107" i="40"/>
  <c r="BL107" i="40"/>
  <c r="BP107" i="40"/>
  <c r="BT107" i="40"/>
  <c r="BX107" i="40"/>
  <c r="CB107" i="40"/>
  <c r="CF107" i="40"/>
  <c r="DM107" i="40"/>
  <c r="DV107" i="40"/>
  <c r="I107" i="40"/>
  <c r="M107" i="40"/>
  <c r="CM107" i="40" s="1"/>
  <c r="AB107" i="40"/>
  <c r="AF107" i="40"/>
  <c r="AJ107" i="40"/>
  <c r="AW107" i="40"/>
  <c r="BA107" i="40"/>
  <c r="BE107" i="40"/>
  <c r="BI107" i="40"/>
  <c r="BM107" i="40"/>
  <c r="BQ107" i="40"/>
  <c r="BU107" i="40"/>
  <c r="BY107" i="40"/>
  <c r="CC107" i="40"/>
  <c r="CG107" i="40"/>
  <c r="DS107" i="40"/>
  <c r="DW107" i="40"/>
  <c r="F107" i="40"/>
  <c r="J107" i="40"/>
  <c r="N107" i="40"/>
  <c r="CN107" i="40" s="1"/>
  <c r="AC107" i="40"/>
  <c r="AG107" i="40"/>
  <c r="AX107" i="40"/>
  <c r="BB107" i="40"/>
  <c r="BF107" i="40"/>
  <c r="BJ107" i="40"/>
  <c r="BN107" i="40"/>
  <c r="BR107" i="40"/>
  <c r="BV107" i="40"/>
  <c r="BZ107" i="40"/>
  <c r="CD107" i="40"/>
  <c r="CH107" i="40"/>
  <c r="DT107" i="40"/>
  <c r="AD107" i="40"/>
  <c r="BC107" i="40"/>
  <c r="BS107" i="40"/>
  <c r="CJ107" i="40"/>
  <c r="G107" i="40"/>
  <c r="AH107" i="40"/>
  <c r="BG107" i="40"/>
  <c r="BW107" i="40"/>
  <c r="DU107" i="40"/>
  <c r="K107" i="40"/>
  <c r="BK107" i="40"/>
  <c r="CA107" i="40"/>
  <c r="O107" i="40"/>
  <c r="CO107" i="40" s="1"/>
  <c r="CE107" i="40"/>
  <c r="AY107" i="40"/>
  <c r="BO107" i="40"/>
  <c r="JO107" i="40"/>
  <c r="Q107" i="40"/>
  <c r="Z107" i="40"/>
  <c r="X107" i="40"/>
  <c r="IA107" i="40"/>
  <c r="U107" i="40"/>
  <c r="CS107" i="40" s="1"/>
  <c r="V107" i="40"/>
  <c r="CT107" i="40" s="1"/>
  <c r="IZ107" i="40"/>
  <c r="R107" i="40"/>
  <c r="HY107" i="40"/>
  <c r="W107" i="40"/>
  <c r="CU107" i="40" s="1"/>
  <c r="S107" i="40"/>
  <c r="T107" i="40"/>
  <c r="CR107" i="40" s="1"/>
  <c r="IX107" i="40"/>
  <c r="E107" i="40"/>
  <c r="HZ107" i="40"/>
  <c r="AA107" i="40"/>
  <c r="IY107" i="40"/>
  <c r="AN306" i="40"/>
  <c r="CP306" i="40"/>
  <c r="M10" i="44"/>
  <c r="JH104" i="40"/>
  <c r="AP106" i="40"/>
  <c r="JA106" i="40"/>
  <c r="D11" i="44" s="1"/>
  <c r="JZ104" i="40"/>
  <c r="HR105" i="40"/>
  <c r="JH105" i="40" s="1"/>
  <c r="HV105" i="40"/>
  <c r="HW105" i="40"/>
  <c r="HX105" i="40"/>
  <c r="AN106" i="40"/>
  <c r="CQ106" i="40"/>
  <c r="AO106" i="40"/>
  <c r="CK106" i="40"/>
  <c r="AM106" i="40"/>
  <c r="CQ306" i="40"/>
  <c r="AO306" i="40"/>
  <c r="CK306" i="40"/>
  <c r="AM306" i="40"/>
  <c r="D20" i="70"/>
  <c r="IY604" i="40"/>
  <c r="IY601" i="40"/>
  <c r="IY701" i="40" s="1"/>
  <c r="IY603" i="40"/>
  <c r="IY602" i="40"/>
  <c r="IX602" i="40"/>
  <c r="IX603" i="40"/>
  <c r="JP507" i="40"/>
  <c r="JP505" i="40"/>
  <c r="JP502" i="40"/>
  <c r="JP504" i="40"/>
  <c r="Q7" i="59"/>
  <c r="JP506" i="40"/>
  <c r="JP503" i="40"/>
  <c r="JP501" i="40"/>
  <c r="IX601" i="40"/>
  <c r="IX701" i="40" s="1"/>
  <c r="E7" i="44"/>
  <c r="M7" i="44" s="1"/>
  <c r="AT18" i="62"/>
  <c r="AT18" i="58"/>
  <c r="M7" i="61"/>
  <c r="Z7" i="61" s="1"/>
  <c r="E6" i="44"/>
  <c r="M6" i="44" s="1"/>
  <c r="K99" i="57"/>
  <c r="Y104" i="75"/>
  <c r="CV206" i="40"/>
  <c r="JJ104" i="40"/>
  <c r="Y106" i="75"/>
  <c r="M99" i="57"/>
  <c r="CV503" i="40"/>
  <c r="CV204" i="40"/>
  <c r="CV205" i="40"/>
  <c r="CV105" i="40"/>
  <c r="Y110" i="75"/>
  <c r="Q99" i="57"/>
  <c r="CV402" i="40"/>
  <c r="CV201" i="40"/>
  <c r="CV103" i="40"/>
  <c r="CV501" i="40"/>
  <c r="CV504" i="40"/>
  <c r="CV505" i="40"/>
  <c r="CV203" i="40"/>
  <c r="AK104" i="40" l="1"/>
  <c r="AL103" i="40"/>
  <c r="Y102" i="40"/>
  <c r="AL102" i="40" s="1"/>
  <c r="CV101" i="40"/>
  <c r="AK106" i="40"/>
  <c r="AK105" i="40"/>
  <c r="AK103" i="40"/>
  <c r="AL104" i="40"/>
  <c r="AL105" i="40"/>
  <c r="AK107" i="40"/>
  <c r="Y102" i="75"/>
  <c r="CI107" i="40"/>
  <c r="AL106" i="40"/>
  <c r="Y108" i="40"/>
  <c r="AL108" i="40" s="1"/>
  <c r="R99" i="57"/>
  <c r="Y601" i="40"/>
  <c r="CV601" i="40" s="1"/>
  <c r="Y603" i="40"/>
  <c r="CV603" i="40" s="1"/>
  <c r="Y605" i="40"/>
  <c r="CV605" i="40" s="1"/>
  <c r="Y604" i="40"/>
  <c r="Y607" i="40"/>
  <c r="CV607" i="40" s="1"/>
  <c r="S99" i="39"/>
  <c r="Y608" i="40" s="1"/>
  <c r="Y111" i="75"/>
  <c r="HV106" i="40"/>
  <c r="HY606" i="40"/>
  <c r="IX606" i="40" s="1"/>
  <c r="IA606" i="40"/>
  <c r="IZ606" i="40" s="1"/>
  <c r="DB207" i="40"/>
  <c r="CV207" i="40"/>
  <c r="CV506" i="40"/>
  <c r="HX106" i="40"/>
  <c r="AL107" i="40"/>
  <c r="CP506" i="40"/>
  <c r="DB607" i="40"/>
  <c r="DB506" i="40"/>
  <c r="JZ506" i="40" s="1"/>
  <c r="AN506" i="40"/>
  <c r="CQ607" i="40"/>
  <c r="AO607" i="40"/>
  <c r="AO506" i="40"/>
  <c r="CQ506" i="40"/>
  <c r="AP607" i="40"/>
  <c r="AN607" i="40"/>
  <c r="G507" i="40"/>
  <c r="K507" i="40"/>
  <c r="CK507" i="40" s="1"/>
  <c r="O507" i="40"/>
  <c r="CO507" i="40" s="1"/>
  <c r="S507" i="40"/>
  <c r="W507" i="40"/>
  <c r="CU507" i="40" s="1"/>
  <c r="AA507" i="40"/>
  <c r="AE507" i="40"/>
  <c r="AI507" i="40"/>
  <c r="L507" i="40"/>
  <c r="CL507" i="40" s="1"/>
  <c r="T507" i="40"/>
  <c r="CR507" i="40" s="1"/>
  <c r="AB507" i="40"/>
  <c r="H507" i="40"/>
  <c r="P507" i="40"/>
  <c r="X507" i="40"/>
  <c r="AF507" i="40"/>
  <c r="AJ507" i="40"/>
  <c r="E507" i="40"/>
  <c r="I507" i="40"/>
  <c r="M507" i="40"/>
  <c r="CM507" i="40" s="1"/>
  <c r="Q507" i="40"/>
  <c r="U507" i="40"/>
  <c r="CS507" i="40" s="1"/>
  <c r="Y507" i="40"/>
  <c r="AC507" i="40"/>
  <c r="AG507" i="40"/>
  <c r="N507" i="40"/>
  <c r="CN507" i="40" s="1"/>
  <c r="AD507" i="40"/>
  <c r="J507" i="40"/>
  <c r="R507" i="40"/>
  <c r="AH507" i="40"/>
  <c r="F507" i="40"/>
  <c r="V507" i="40"/>
  <c r="CT507" i="40" s="1"/>
  <c r="Z507" i="40"/>
  <c r="IZ507" i="40"/>
  <c r="BD507" i="40"/>
  <c r="BT507" i="40"/>
  <c r="DM507" i="40"/>
  <c r="BE507" i="40"/>
  <c r="BU507" i="40"/>
  <c r="DS507" i="40"/>
  <c r="BF507" i="40"/>
  <c r="BV507" i="40"/>
  <c r="DT507" i="40"/>
  <c r="CE507" i="40"/>
  <c r="CJ507" i="40"/>
  <c r="DU507" i="40"/>
  <c r="IX507" i="40"/>
  <c r="BH507" i="40"/>
  <c r="BX507" i="40"/>
  <c r="DV507" i="40"/>
  <c r="BI507" i="40"/>
  <c r="BY507" i="40"/>
  <c r="DW507" i="40"/>
  <c r="BJ507" i="40"/>
  <c r="BZ507" i="40"/>
  <c r="CA507" i="40"/>
  <c r="JO507" i="40"/>
  <c r="BK507" i="40"/>
  <c r="IA507" i="40"/>
  <c r="IY507" i="40"/>
  <c r="C508" i="40"/>
  <c r="BL507" i="40"/>
  <c r="CB507" i="40"/>
  <c r="AW507" i="40"/>
  <c r="BM507" i="40"/>
  <c r="CC507" i="40"/>
  <c r="AX507" i="40"/>
  <c r="BN507" i="40"/>
  <c r="CD507" i="40"/>
  <c r="AY507" i="40"/>
  <c r="BC507" i="40"/>
  <c r="BG507" i="40"/>
  <c r="AZ507" i="40"/>
  <c r="BP507" i="40"/>
  <c r="CF507" i="40"/>
  <c r="BA507" i="40"/>
  <c r="BQ507" i="40"/>
  <c r="CG507" i="40"/>
  <c r="BB507" i="40"/>
  <c r="BR507" i="40"/>
  <c r="CH507" i="40"/>
  <c r="BO507" i="40"/>
  <c r="BS507" i="40"/>
  <c r="BW507" i="40"/>
  <c r="HY507" i="40"/>
  <c r="HZ507" i="40"/>
  <c r="AP506" i="40"/>
  <c r="CV107" i="40"/>
  <c r="CK607" i="40"/>
  <c r="AM607" i="40"/>
  <c r="AM506" i="40"/>
  <c r="CK506" i="40"/>
  <c r="G308" i="40"/>
  <c r="K308" i="40"/>
  <c r="O308" i="40"/>
  <c r="CO308" i="40" s="1"/>
  <c r="S308" i="40"/>
  <c r="W308" i="40"/>
  <c r="AA308" i="40"/>
  <c r="AE308" i="40"/>
  <c r="AI308" i="40"/>
  <c r="H308" i="40"/>
  <c r="L308" i="40"/>
  <c r="CL308" i="40" s="1"/>
  <c r="P308" i="40"/>
  <c r="X308" i="40"/>
  <c r="AB308" i="40"/>
  <c r="AF308" i="40"/>
  <c r="AJ308" i="40"/>
  <c r="N308" i="40"/>
  <c r="CN308" i="40" s="1"/>
  <c r="Z308" i="40"/>
  <c r="T308" i="40"/>
  <c r="CR308" i="40" s="1"/>
  <c r="J308" i="40"/>
  <c r="V308" i="40"/>
  <c r="CT308" i="40" s="1"/>
  <c r="AH308" i="40"/>
  <c r="E308" i="40"/>
  <c r="I308" i="40"/>
  <c r="M308" i="40"/>
  <c r="CM308" i="40" s="1"/>
  <c r="Q308" i="40"/>
  <c r="U308" i="40"/>
  <c r="CS308" i="40" s="1"/>
  <c r="Y308" i="40"/>
  <c r="AC308" i="40"/>
  <c r="AG308" i="40"/>
  <c r="F308" i="40"/>
  <c r="R308" i="40"/>
  <c r="AD308" i="40"/>
  <c r="H208" i="40"/>
  <c r="L208" i="40"/>
  <c r="CL208" i="40" s="1"/>
  <c r="P208" i="40"/>
  <c r="T208" i="40"/>
  <c r="CR208" i="40" s="1"/>
  <c r="X208" i="40"/>
  <c r="AB208" i="40"/>
  <c r="AF208" i="40"/>
  <c r="AJ208" i="40"/>
  <c r="F208" i="40"/>
  <c r="J208" i="40"/>
  <c r="N208" i="40"/>
  <c r="CN208" i="40" s="1"/>
  <c r="R208" i="40"/>
  <c r="V208" i="40"/>
  <c r="CT208" i="40" s="1"/>
  <c r="Z208" i="40"/>
  <c r="AD208" i="40"/>
  <c r="AH208" i="40"/>
  <c r="I208" i="40"/>
  <c r="Q208" i="40"/>
  <c r="Y208" i="40"/>
  <c r="AG208" i="40"/>
  <c r="O208" i="40"/>
  <c r="CO208" i="40" s="1"/>
  <c r="K208" i="40"/>
  <c r="S208" i="40"/>
  <c r="AA208" i="40"/>
  <c r="AI208" i="40"/>
  <c r="W208" i="40"/>
  <c r="CU208" i="40" s="1"/>
  <c r="E208" i="40"/>
  <c r="M208" i="40"/>
  <c r="CM208" i="40" s="1"/>
  <c r="U208" i="40"/>
  <c r="CS208" i="40" s="1"/>
  <c r="AC208" i="40"/>
  <c r="G208" i="40"/>
  <c r="AE208" i="40"/>
  <c r="G407" i="40"/>
  <c r="K407" i="40"/>
  <c r="O407" i="40"/>
  <c r="CO407" i="40" s="1"/>
  <c r="S407" i="40"/>
  <c r="W407" i="40"/>
  <c r="CU407" i="40" s="1"/>
  <c r="AA407" i="40"/>
  <c r="AE407" i="40"/>
  <c r="AI407" i="40"/>
  <c r="H407" i="40"/>
  <c r="P407" i="40"/>
  <c r="X407" i="40"/>
  <c r="AB407" i="40"/>
  <c r="AJ407" i="40"/>
  <c r="L407" i="40"/>
  <c r="CL407" i="40" s="1"/>
  <c r="T407" i="40"/>
  <c r="CR407" i="40" s="1"/>
  <c r="AF407" i="40"/>
  <c r="E407" i="40"/>
  <c r="I407" i="40"/>
  <c r="M407" i="40"/>
  <c r="CM407" i="40" s="1"/>
  <c r="Q407" i="40"/>
  <c r="U407" i="40"/>
  <c r="CS407" i="40" s="1"/>
  <c r="Y407" i="40"/>
  <c r="AC407" i="40"/>
  <c r="AG407" i="40"/>
  <c r="N407" i="40"/>
  <c r="CN407" i="40" s="1"/>
  <c r="AD407" i="40"/>
  <c r="R407" i="40"/>
  <c r="AH407" i="40"/>
  <c r="F407" i="40"/>
  <c r="V407" i="40"/>
  <c r="CT407" i="40" s="1"/>
  <c r="J407" i="40"/>
  <c r="Z407" i="40"/>
  <c r="DB407" i="40" s="1"/>
  <c r="AE608" i="40"/>
  <c r="CD608" i="40"/>
  <c r="BN608" i="40"/>
  <c r="AX608" i="40"/>
  <c r="DU608" i="40"/>
  <c r="BU608" i="40"/>
  <c r="BE608" i="40"/>
  <c r="M608" i="40"/>
  <c r="CM608" i="40" s="1"/>
  <c r="BX608" i="40"/>
  <c r="BH608" i="40"/>
  <c r="P608" i="40"/>
  <c r="BC608" i="40"/>
  <c r="AY608" i="40"/>
  <c r="BK608" i="40"/>
  <c r="G608" i="40"/>
  <c r="JO608" i="40"/>
  <c r="AF608" i="40"/>
  <c r="F608" i="40"/>
  <c r="DV608" i="40"/>
  <c r="BZ608" i="40"/>
  <c r="BJ608" i="40"/>
  <c r="N608" i="40"/>
  <c r="CN608" i="40" s="1"/>
  <c r="CG608" i="40"/>
  <c r="BQ608" i="40"/>
  <c r="BA608" i="40"/>
  <c r="DT608" i="40"/>
  <c r="BT608" i="40"/>
  <c r="BD608" i="40"/>
  <c r="L608" i="40"/>
  <c r="CL608" i="40" s="1"/>
  <c r="C609" i="40"/>
  <c r="O608" i="40"/>
  <c r="CO608" i="40" s="1"/>
  <c r="K608" i="40"/>
  <c r="Z608" i="40"/>
  <c r="JP608" i="40"/>
  <c r="H608" i="40"/>
  <c r="AI608" i="40"/>
  <c r="AC608" i="40"/>
  <c r="DM608" i="40"/>
  <c r="BV608" i="40"/>
  <c r="BF608" i="40"/>
  <c r="J608" i="40"/>
  <c r="CC608" i="40"/>
  <c r="BM608" i="40"/>
  <c r="AW608" i="40"/>
  <c r="CF608" i="40"/>
  <c r="BP608" i="40"/>
  <c r="AZ608" i="40"/>
  <c r="DS608" i="40"/>
  <c r="CE608" i="40"/>
  <c r="BG608" i="40"/>
  <c r="DW608" i="40"/>
  <c r="KN608" i="40"/>
  <c r="A608" i="40"/>
  <c r="CB608" i="40"/>
  <c r="BO608" i="40"/>
  <c r="CJ608" i="40"/>
  <c r="CH608" i="40"/>
  <c r="BY608" i="40"/>
  <c r="BL608" i="40"/>
  <c r="CA608" i="40"/>
  <c r="AG608" i="40"/>
  <c r="I608" i="40"/>
  <c r="BR608" i="40"/>
  <c r="BI608" i="40"/>
  <c r="AB608" i="40"/>
  <c r="BW608" i="40"/>
  <c r="BB608" i="40"/>
  <c r="AJ608" i="40"/>
  <c r="BS608" i="40"/>
  <c r="W608" i="40"/>
  <c r="CU608" i="40" s="1"/>
  <c r="AH608" i="40"/>
  <c r="T608" i="40"/>
  <c r="CR608" i="40" s="1"/>
  <c r="R608" i="40"/>
  <c r="U608" i="40"/>
  <c r="CS608" i="40" s="1"/>
  <c r="S608" i="40"/>
  <c r="V608" i="40"/>
  <c r="CT608" i="40" s="1"/>
  <c r="Q608" i="40"/>
  <c r="X608" i="40"/>
  <c r="AD608" i="40"/>
  <c r="AA608" i="40"/>
  <c r="E608" i="40"/>
  <c r="CP607" i="40"/>
  <c r="AP307" i="40"/>
  <c r="AO406" i="40"/>
  <c r="CQ406" i="40"/>
  <c r="IX407" i="40"/>
  <c r="IY407" i="40"/>
  <c r="BA407" i="40"/>
  <c r="BQ407" i="40"/>
  <c r="CG407" i="40"/>
  <c r="BB407" i="40"/>
  <c r="BR407" i="40"/>
  <c r="CH407" i="40"/>
  <c r="BC407" i="40"/>
  <c r="BS407" i="40"/>
  <c r="CJ407" i="40"/>
  <c r="CB407" i="40"/>
  <c r="CF407" i="40"/>
  <c r="DM407" i="40"/>
  <c r="JO407" i="40"/>
  <c r="IA407" i="40"/>
  <c r="JP407" i="40"/>
  <c r="BI407" i="40"/>
  <c r="BY407" i="40"/>
  <c r="BZ407" i="40"/>
  <c r="CA407" i="40"/>
  <c r="AZ407" i="40"/>
  <c r="DV407" i="40"/>
  <c r="IZ407" i="40"/>
  <c r="AW407" i="40"/>
  <c r="BN407" i="40"/>
  <c r="BO407" i="40"/>
  <c r="CE407" i="40"/>
  <c r="BP407" i="40"/>
  <c r="HY407" i="40"/>
  <c r="C408" i="40"/>
  <c r="BE407" i="40"/>
  <c r="BU407" i="40"/>
  <c r="DS407" i="40"/>
  <c r="BF407" i="40"/>
  <c r="BV407" i="40"/>
  <c r="DT407" i="40"/>
  <c r="BG407" i="40"/>
  <c r="BW407" i="40"/>
  <c r="DU407" i="40"/>
  <c r="BH407" i="40"/>
  <c r="HZ407" i="40"/>
  <c r="DW407" i="40"/>
  <c r="BJ407" i="40"/>
  <c r="A407" i="40"/>
  <c r="BK407" i="40"/>
  <c r="BD407" i="40"/>
  <c r="BX407" i="40"/>
  <c r="BM407" i="40"/>
  <c r="CC407" i="40"/>
  <c r="AX407" i="40"/>
  <c r="CD407" i="40"/>
  <c r="AY407" i="40"/>
  <c r="BL407" i="40"/>
  <c r="BT407" i="40"/>
  <c r="AN406" i="40"/>
  <c r="CP406" i="40"/>
  <c r="CK406" i="40"/>
  <c r="AM406" i="40"/>
  <c r="HZ606" i="40"/>
  <c r="IY606" i="40" s="1"/>
  <c r="CV406" i="40"/>
  <c r="AP406" i="40"/>
  <c r="AN207" i="40"/>
  <c r="CP207" i="40"/>
  <c r="IP107" i="40"/>
  <c r="JB107" i="40" s="1"/>
  <c r="E12" i="44" s="1"/>
  <c r="IO107" i="40"/>
  <c r="JA107" i="40" s="1"/>
  <c r="D12" i="44" s="1"/>
  <c r="CK207" i="40"/>
  <c r="AM207" i="40"/>
  <c r="IY208" i="40"/>
  <c r="AY208" i="40"/>
  <c r="BO208" i="40"/>
  <c r="CE208" i="40"/>
  <c r="BL208" i="40"/>
  <c r="CB208" i="40"/>
  <c r="BI208" i="40"/>
  <c r="BY208" i="40"/>
  <c r="DW208" i="40"/>
  <c r="CD208" i="40"/>
  <c r="CH208" i="40"/>
  <c r="DT208" i="40"/>
  <c r="JO208" i="40"/>
  <c r="IX208" i="40"/>
  <c r="BC208" i="40"/>
  <c r="BS208" i="40"/>
  <c r="CJ208" i="40"/>
  <c r="AZ208" i="40"/>
  <c r="BP208" i="40"/>
  <c r="CF208" i="40"/>
  <c r="AW208" i="40"/>
  <c r="BM208" i="40"/>
  <c r="CC208" i="40"/>
  <c r="BZ208" i="40"/>
  <c r="HZ208" i="40"/>
  <c r="JP208" i="40"/>
  <c r="BG208" i="40"/>
  <c r="BW208" i="40"/>
  <c r="DU208" i="40"/>
  <c r="BD208" i="40"/>
  <c r="BT208" i="40"/>
  <c r="DM208" i="40"/>
  <c r="BA208" i="40"/>
  <c r="BQ208" i="40"/>
  <c r="CG208" i="40"/>
  <c r="AX208" i="40"/>
  <c r="BB208" i="40"/>
  <c r="BF208" i="40"/>
  <c r="IA208" i="40"/>
  <c r="C209" i="40"/>
  <c r="BK208" i="40"/>
  <c r="CA208" i="40"/>
  <c r="A208" i="40"/>
  <c r="BH208" i="40"/>
  <c r="BX208" i="40"/>
  <c r="DV208" i="40"/>
  <c r="BE208" i="40"/>
  <c r="BU208" i="40"/>
  <c r="DS208" i="40"/>
  <c r="BN208" i="40"/>
  <c r="BR208" i="40"/>
  <c r="BV208" i="40"/>
  <c r="BJ208" i="40"/>
  <c r="IZ208" i="40"/>
  <c r="HY208" i="40"/>
  <c r="AP207" i="40"/>
  <c r="CQ207" i="40"/>
  <c r="AO207" i="40"/>
  <c r="CV307" i="40"/>
  <c r="M11" i="44"/>
  <c r="CP107" i="40"/>
  <c r="HX107" i="40" s="1"/>
  <c r="AP107" i="40"/>
  <c r="HN107" i="40"/>
  <c r="HQ107" i="40" s="1"/>
  <c r="JJ105" i="40"/>
  <c r="HM107" i="40"/>
  <c r="HP107" i="40" s="1"/>
  <c r="B189" i="75"/>
  <c r="CQ307" i="40"/>
  <c r="AO307" i="40"/>
  <c r="AO107" i="40"/>
  <c r="CQ107" i="40"/>
  <c r="CK107" i="40"/>
  <c r="AM107" i="40"/>
  <c r="IK108" i="40"/>
  <c r="IN108" i="40" s="1"/>
  <c r="JF108" i="40"/>
  <c r="HO108" i="40" s="1"/>
  <c r="II108" i="40"/>
  <c r="IL108" i="40" s="1"/>
  <c r="IJ108" i="40"/>
  <c r="IM108" i="40" s="1"/>
  <c r="C109" i="40"/>
  <c r="G108" i="40"/>
  <c r="K108" i="40"/>
  <c r="O108" i="40"/>
  <c r="CO108" i="40" s="1"/>
  <c r="AD108" i="40"/>
  <c r="AI108" i="40"/>
  <c r="AZ108" i="40"/>
  <c r="BD108" i="40"/>
  <c r="BH108" i="40"/>
  <c r="BL108" i="40"/>
  <c r="BP108" i="40"/>
  <c r="BT108" i="40"/>
  <c r="BX108" i="40"/>
  <c r="CB108" i="40"/>
  <c r="CF108" i="40"/>
  <c r="DM108" i="40"/>
  <c r="DV108" i="40"/>
  <c r="H108" i="40"/>
  <c r="L108" i="40"/>
  <c r="CL108" i="40" s="1"/>
  <c r="P108" i="40"/>
  <c r="AE108" i="40"/>
  <c r="AJ108" i="40"/>
  <c r="AW108" i="40"/>
  <c r="BA108" i="40"/>
  <c r="BE108" i="40"/>
  <c r="BI108" i="40"/>
  <c r="BM108" i="40"/>
  <c r="BQ108" i="40"/>
  <c r="BU108" i="40"/>
  <c r="BY108" i="40"/>
  <c r="CC108" i="40"/>
  <c r="CG108" i="40"/>
  <c r="DS108" i="40"/>
  <c r="DW108" i="40"/>
  <c r="A108" i="40"/>
  <c r="I108" i="40"/>
  <c r="M108" i="40"/>
  <c r="CM108" i="40" s="1"/>
  <c r="AB108" i="40"/>
  <c r="AF108" i="40"/>
  <c r="AX108" i="40"/>
  <c r="BB108" i="40"/>
  <c r="BF108" i="40"/>
  <c r="BJ108" i="40"/>
  <c r="BN108" i="40"/>
  <c r="BR108" i="40"/>
  <c r="BV108" i="40"/>
  <c r="BZ108" i="40"/>
  <c r="CD108" i="40"/>
  <c r="CH108" i="40"/>
  <c r="DT108" i="40"/>
  <c r="N108" i="40"/>
  <c r="CN108" i="40" s="1"/>
  <c r="AY108" i="40"/>
  <c r="BO108" i="40"/>
  <c r="CE108" i="40"/>
  <c r="AC108" i="40"/>
  <c r="BC108" i="40"/>
  <c r="BS108" i="40"/>
  <c r="CJ108" i="40"/>
  <c r="F108" i="40"/>
  <c r="AG108" i="40"/>
  <c r="BG108" i="40"/>
  <c r="BW108" i="40"/>
  <c r="DU108" i="40"/>
  <c r="CA108" i="40"/>
  <c r="J108" i="40"/>
  <c r="BK108" i="40"/>
  <c r="JO108" i="40"/>
  <c r="AH108" i="40"/>
  <c r="IX108" i="40"/>
  <c r="HZ108" i="40"/>
  <c r="IA108" i="40"/>
  <c r="HY108" i="40"/>
  <c r="IZ108" i="40"/>
  <c r="E108" i="40"/>
  <c r="T108" i="40"/>
  <c r="CR108" i="40" s="1"/>
  <c r="Q108" i="40"/>
  <c r="AA108" i="40"/>
  <c r="Z108" i="40"/>
  <c r="U108" i="40"/>
  <c r="CS108" i="40" s="1"/>
  <c r="R108" i="40"/>
  <c r="X108" i="40"/>
  <c r="W108" i="40"/>
  <c r="CU108" i="40" s="1"/>
  <c r="S108" i="40"/>
  <c r="V108" i="40"/>
  <c r="CT108" i="40" s="1"/>
  <c r="IY108" i="40"/>
  <c r="JP108" i="40"/>
  <c r="AN307" i="40"/>
  <c r="CP307" i="40"/>
  <c r="DB107" i="40"/>
  <c r="C309" i="40"/>
  <c r="AZ308" i="40"/>
  <c r="BD308" i="40"/>
  <c r="BH308" i="40"/>
  <c r="BL308" i="40"/>
  <c r="BP308" i="40"/>
  <c r="BT308" i="40"/>
  <c r="BX308" i="40"/>
  <c r="CB308" i="40"/>
  <c r="CF308" i="40"/>
  <c r="DM308" i="40"/>
  <c r="DV308" i="40"/>
  <c r="AW308" i="40"/>
  <c r="BA308" i="40"/>
  <c r="BE308" i="40"/>
  <c r="BI308" i="40"/>
  <c r="BM308" i="40"/>
  <c r="BQ308" i="40"/>
  <c r="BU308" i="40"/>
  <c r="BY308" i="40"/>
  <c r="CC308" i="40"/>
  <c r="CG308" i="40"/>
  <c r="DS308" i="40"/>
  <c r="DW308" i="40"/>
  <c r="AX308" i="40"/>
  <c r="BB308" i="40"/>
  <c r="BF308" i="40"/>
  <c r="BJ308" i="40"/>
  <c r="BN308" i="40"/>
  <c r="BR308" i="40"/>
  <c r="BV308" i="40"/>
  <c r="BZ308" i="40"/>
  <c r="CD308" i="40"/>
  <c r="CH308" i="40"/>
  <c r="DT308" i="40"/>
  <c r="AY308" i="40"/>
  <c r="BO308" i="40"/>
  <c r="CE308" i="40"/>
  <c r="BC308" i="40"/>
  <c r="BS308" i="40"/>
  <c r="CJ308" i="40"/>
  <c r="A308" i="40"/>
  <c r="BG308" i="40"/>
  <c r="BW308" i="40"/>
  <c r="DU308" i="40"/>
  <c r="BK308" i="40"/>
  <c r="CA308" i="40"/>
  <c r="JO308" i="40"/>
  <c r="IY308" i="40"/>
  <c r="IA308" i="40"/>
  <c r="HZ308" i="40"/>
  <c r="IX308" i="40"/>
  <c r="IZ308" i="40"/>
  <c r="HY308" i="40"/>
  <c r="CU308" i="40"/>
  <c r="JP308" i="40"/>
  <c r="JH106" i="40"/>
  <c r="KA106" i="40" s="1"/>
  <c r="JZ105" i="40"/>
  <c r="KA105" i="40" s="1"/>
  <c r="KA104" i="40"/>
  <c r="AN107" i="40"/>
  <c r="IQ107" i="40"/>
  <c r="JC107" i="40" s="1"/>
  <c r="F12" i="44" s="1"/>
  <c r="HR107" i="40"/>
  <c r="DB307" i="40"/>
  <c r="CK307" i="40"/>
  <c r="AM307" i="40"/>
  <c r="CV606" i="40"/>
  <c r="CV604" i="40"/>
  <c r="CV102" i="40"/>
  <c r="CV502" i="40"/>
  <c r="CV302" i="40"/>
  <c r="CV202" i="40"/>
  <c r="AK108" i="40" l="1"/>
  <c r="S99" i="57"/>
  <c r="Y112" i="75"/>
  <c r="Y602" i="40"/>
  <c r="CV602" i="40" s="1"/>
  <c r="Y609" i="40"/>
  <c r="HY607" i="40"/>
  <c r="IX607" i="40" s="1"/>
  <c r="CI108" i="40"/>
  <c r="JJ106" i="40"/>
  <c r="HW107" i="40"/>
  <c r="DB308" i="40"/>
  <c r="HZ607" i="40"/>
  <c r="IY607" i="40" s="1"/>
  <c r="IA607" i="40"/>
  <c r="IZ607" i="40" s="1"/>
  <c r="DB608" i="40"/>
  <c r="CV208" i="40"/>
  <c r="CV308" i="40"/>
  <c r="HV107" i="40"/>
  <c r="AN507" i="40"/>
  <c r="AM507" i="40"/>
  <c r="CV507" i="40"/>
  <c r="G408" i="40"/>
  <c r="K408" i="40"/>
  <c r="O408" i="40"/>
  <c r="CO408" i="40" s="1"/>
  <c r="S408" i="40"/>
  <c r="W408" i="40"/>
  <c r="CU408" i="40" s="1"/>
  <c r="AA408" i="40"/>
  <c r="AE408" i="40"/>
  <c r="AI408" i="40"/>
  <c r="L408" i="40"/>
  <c r="CL408" i="40" s="1"/>
  <c r="T408" i="40"/>
  <c r="CR408" i="40" s="1"/>
  <c r="AB408" i="40"/>
  <c r="AJ408" i="40"/>
  <c r="H408" i="40"/>
  <c r="P408" i="40"/>
  <c r="X408" i="40"/>
  <c r="AF408" i="40"/>
  <c r="E408" i="40"/>
  <c r="I408" i="40"/>
  <c r="M408" i="40"/>
  <c r="CM408" i="40" s="1"/>
  <c r="Q408" i="40"/>
  <c r="U408" i="40"/>
  <c r="CS408" i="40" s="1"/>
  <c r="Y408" i="40"/>
  <c r="AC408" i="40"/>
  <c r="AG408" i="40"/>
  <c r="N408" i="40"/>
  <c r="CN408" i="40" s="1"/>
  <c r="AD408" i="40"/>
  <c r="R408" i="40"/>
  <c r="AH408" i="40"/>
  <c r="F408" i="40"/>
  <c r="V408" i="40"/>
  <c r="CT408" i="40" s="1"/>
  <c r="J408" i="40"/>
  <c r="Z408" i="40"/>
  <c r="AP608" i="40"/>
  <c r="H609" i="40"/>
  <c r="AI609" i="40"/>
  <c r="AC609" i="40"/>
  <c r="DM609" i="40"/>
  <c r="BV609" i="40"/>
  <c r="BF609" i="40"/>
  <c r="J609" i="40"/>
  <c r="BY609" i="40"/>
  <c r="BI609" i="40"/>
  <c r="AG609" i="40"/>
  <c r="DT609" i="40"/>
  <c r="BP609" i="40"/>
  <c r="AZ609" i="40"/>
  <c r="DW609" i="40"/>
  <c r="DS609" i="40"/>
  <c r="K609" i="40"/>
  <c r="BK609" i="40"/>
  <c r="R609" i="40"/>
  <c r="JO609" i="40"/>
  <c r="I609" i="40"/>
  <c r="AJ609" i="40"/>
  <c r="CH609" i="40"/>
  <c r="BR609" i="40"/>
  <c r="BB609" i="40"/>
  <c r="DU609" i="40"/>
  <c r="BU609" i="40"/>
  <c r="BE609" i="40"/>
  <c r="M609" i="40"/>
  <c r="CM609" i="40" s="1"/>
  <c r="CF609" i="40"/>
  <c r="BL609" i="40"/>
  <c r="AB609" i="40"/>
  <c r="BW609" i="40"/>
  <c r="BS609" i="40"/>
  <c r="CE609" i="40"/>
  <c r="JP609" i="40"/>
  <c r="AE609" i="40"/>
  <c r="BX609" i="40"/>
  <c r="E609" i="40" s="1"/>
  <c r="CJ609" i="40"/>
  <c r="CD609" i="40"/>
  <c r="BN609" i="40"/>
  <c r="AX609" i="40"/>
  <c r="CG609" i="40"/>
  <c r="BQ609" i="40"/>
  <c r="BA609" i="40"/>
  <c r="A609" i="40"/>
  <c r="CB609" i="40"/>
  <c r="BH609" i="40"/>
  <c r="P609" i="40"/>
  <c r="BG609" i="40"/>
  <c r="BC609" i="40"/>
  <c r="BO609" i="40"/>
  <c r="Z609" i="40"/>
  <c r="DV609" i="40"/>
  <c r="CC609" i="40"/>
  <c r="BT609" i="40"/>
  <c r="CA609" i="40"/>
  <c r="AF609" i="40"/>
  <c r="F609" i="40"/>
  <c r="BZ609" i="40"/>
  <c r="BM609" i="40"/>
  <c r="BD609" i="40"/>
  <c r="O609" i="40"/>
  <c r="CO609" i="40" s="1"/>
  <c r="C610" i="40"/>
  <c r="G609" i="40"/>
  <c r="KN609" i="40"/>
  <c r="BJ609" i="40"/>
  <c r="AW609" i="40"/>
  <c r="L609" i="40"/>
  <c r="CL609" i="40" s="1"/>
  <c r="N609" i="40"/>
  <c r="CN609" i="40" s="1"/>
  <c r="U609" i="40"/>
  <c r="CS609" i="40" s="1"/>
  <c r="AH609" i="40"/>
  <c r="W609" i="40"/>
  <c r="CU609" i="40" s="1"/>
  <c r="T609" i="40"/>
  <c r="CR609" i="40" s="1"/>
  <c r="V609" i="40"/>
  <c r="CT609" i="40" s="1"/>
  <c r="Q609" i="40"/>
  <c r="S609" i="40"/>
  <c r="X609" i="40"/>
  <c r="AA609" i="40"/>
  <c r="AD609" i="40"/>
  <c r="AP507" i="40"/>
  <c r="G309" i="40"/>
  <c r="K309" i="40"/>
  <c r="O309" i="40"/>
  <c r="CO309" i="40" s="1"/>
  <c r="S309" i="40"/>
  <c r="W309" i="40"/>
  <c r="CU309" i="40" s="1"/>
  <c r="AA309" i="40"/>
  <c r="AE309" i="40"/>
  <c r="AI309" i="40"/>
  <c r="H309" i="40"/>
  <c r="P309" i="40"/>
  <c r="T309" i="40"/>
  <c r="CR309" i="40" s="1"/>
  <c r="AB309" i="40"/>
  <c r="AF309" i="40"/>
  <c r="F309" i="40"/>
  <c r="R309" i="40"/>
  <c r="AD309" i="40"/>
  <c r="L309" i="40"/>
  <c r="CL309" i="40" s="1"/>
  <c r="X309" i="40"/>
  <c r="AJ309" i="40"/>
  <c r="N309" i="40"/>
  <c r="CN309" i="40" s="1"/>
  <c r="Z309" i="40"/>
  <c r="I309" i="40"/>
  <c r="M309" i="40"/>
  <c r="CM309" i="40" s="1"/>
  <c r="Q309" i="40"/>
  <c r="U309" i="40"/>
  <c r="CS309" i="40" s="1"/>
  <c r="Y309" i="40"/>
  <c r="AC309" i="40"/>
  <c r="AG309" i="40"/>
  <c r="J309" i="40"/>
  <c r="V309" i="40"/>
  <c r="AH309" i="40"/>
  <c r="AN608" i="40"/>
  <c r="CP608" i="40"/>
  <c r="H209" i="40"/>
  <c r="L209" i="40"/>
  <c r="CL209" i="40" s="1"/>
  <c r="P209" i="40"/>
  <c r="T209" i="40"/>
  <c r="CR209" i="40" s="1"/>
  <c r="X209" i="40"/>
  <c r="AB209" i="40"/>
  <c r="AF209" i="40"/>
  <c r="AJ209" i="40"/>
  <c r="F209" i="40"/>
  <c r="J209" i="40"/>
  <c r="N209" i="40"/>
  <c r="CN209" i="40" s="1"/>
  <c r="R209" i="40"/>
  <c r="V209" i="40"/>
  <c r="CT209" i="40" s="1"/>
  <c r="Z209" i="40"/>
  <c r="AD209" i="40"/>
  <c r="AH209" i="40"/>
  <c r="I209" i="40"/>
  <c r="Q209" i="40"/>
  <c r="Y209" i="40"/>
  <c r="AG209" i="40"/>
  <c r="G209" i="40"/>
  <c r="AE209" i="40"/>
  <c r="K209" i="40"/>
  <c r="S209" i="40"/>
  <c r="AA209" i="40"/>
  <c r="AI209" i="40"/>
  <c r="O209" i="40"/>
  <c r="M209" i="40"/>
  <c r="CM209" i="40" s="1"/>
  <c r="U209" i="40"/>
  <c r="CS209" i="40" s="1"/>
  <c r="AC209" i="40"/>
  <c r="W209" i="40"/>
  <c r="CU209" i="40" s="1"/>
  <c r="CK608" i="40"/>
  <c r="AM608" i="40"/>
  <c r="G508" i="40"/>
  <c r="K508" i="40"/>
  <c r="O508" i="40"/>
  <c r="CO508" i="40" s="1"/>
  <c r="S508" i="40"/>
  <c r="W508" i="40"/>
  <c r="CU508" i="40" s="1"/>
  <c r="AA508" i="40"/>
  <c r="AE508" i="40"/>
  <c r="AI508" i="40"/>
  <c r="H508" i="40"/>
  <c r="P508" i="40"/>
  <c r="T508" i="40"/>
  <c r="CR508" i="40" s="1"/>
  <c r="AB508" i="40"/>
  <c r="AJ508" i="40"/>
  <c r="L508" i="40"/>
  <c r="CL508" i="40" s="1"/>
  <c r="X508" i="40"/>
  <c r="AF508" i="40"/>
  <c r="E508" i="40"/>
  <c r="I508" i="40"/>
  <c r="M508" i="40"/>
  <c r="CM508" i="40" s="1"/>
  <c r="Q508" i="40"/>
  <c r="U508" i="40"/>
  <c r="CS508" i="40" s="1"/>
  <c r="Y508" i="40"/>
  <c r="AC508" i="40"/>
  <c r="AG508" i="40"/>
  <c r="N508" i="40"/>
  <c r="CN508" i="40" s="1"/>
  <c r="AD508" i="40"/>
  <c r="Z508" i="40"/>
  <c r="R508" i="40"/>
  <c r="AH508" i="40"/>
  <c r="F508" i="40"/>
  <c r="V508" i="40"/>
  <c r="CT508" i="40" s="1"/>
  <c r="J508" i="40"/>
  <c r="IY508" i="40"/>
  <c r="IX508" i="40"/>
  <c r="C509" i="40"/>
  <c r="BF508" i="40"/>
  <c r="BV508" i="40"/>
  <c r="DT508" i="40"/>
  <c r="BC508" i="40"/>
  <c r="BS508" i="40"/>
  <c r="CJ508" i="40"/>
  <c r="BD508" i="40"/>
  <c r="BT508" i="40"/>
  <c r="DM508" i="40"/>
  <c r="CC508" i="40"/>
  <c r="BQ508" i="40"/>
  <c r="DS508" i="40"/>
  <c r="IA508" i="40"/>
  <c r="BJ508" i="40"/>
  <c r="BZ508" i="40"/>
  <c r="A508" i="40"/>
  <c r="BG508" i="40"/>
  <c r="BW508" i="40"/>
  <c r="DU508" i="40"/>
  <c r="BH508" i="40"/>
  <c r="BX508" i="40"/>
  <c r="DV508" i="40"/>
  <c r="BY508" i="40"/>
  <c r="CG508" i="40"/>
  <c r="JO508" i="40"/>
  <c r="HZ508" i="40"/>
  <c r="AX508" i="40"/>
  <c r="BN508" i="40"/>
  <c r="CD508" i="40"/>
  <c r="BK508" i="40"/>
  <c r="CA508" i="40"/>
  <c r="BL508" i="40"/>
  <c r="CB508" i="40"/>
  <c r="AW508" i="40"/>
  <c r="BE508" i="40"/>
  <c r="BI508" i="40"/>
  <c r="HY508" i="40"/>
  <c r="JP508" i="40"/>
  <c r="BB508" i="40"/>
  <c r="BR508" i="40"/>
  <c r="CH508" i="40"/>
  <c r="AY508" i="40"/>
  <c r="BO508" i="40"/>
  <c r="CE508" i="40"/>
  <c r="AZ508" i="40"/>
  <c r="BP508" i="40"/>
  <c r="CF508" i="40"/>
  <c r="BM508" i="40"/>
  <c r="BA508" i="40"/>
  <c r="BU508" i="40"/>
  <c r="DW508" i="40"/>
  <c r="IZ508" i="40"/>
  <c r="DB507" i="40"/>
  <c r="CP507" i="40"/>
  <c r="CQ507" i="40"/>
  <c r="AO507" i="40"/>
  <c r="CQ608" i="40"/>
  <c r="AO608" i="40"/>
  <c r="JP408" i="40"/>
  <c r="AY408" i="40"/>
  <c r="BO408" i="40"/>
  <c r="CE408" i="40"/>
  <c r="AZ408" i="40"/>
  <c r="BP408" i="40"/>
  <c r="CF408" i="40"/>
  <c r="AW408" i="40"/>
  <c r="BM408" i="40"/>
  <c r="CC408" i="40"/>
  <c r="A408" i="40"/>
  <c r="DT408" i="40"/>
  <c r="JO408" i="40"/>
  <c r="HY408" i="40"/>
  <c r="C409" i="40"/>
  <c r="BK408" i="40"/>
  <c r="CA408" i="40"/>
  <c r="BL408" i="40"/>
  <c r="CB408" i="40"/>
  <c r="BI408" i="40"/>
  <c r="BZ408" i="40"/>
  <c r="CH408" i="40"/>
  <c r="IY408" i="40"/>
  <c r="BC408" i="40"/>
  <c r="BS408" i="40"/>
  <c r="CJ408" i="40"/>
  <c r="BD408" i="40"/>
  <c r="BT408" i="40"/>
  <c r="DM408" i="40"/>
  <c r="BA408" i="40"/>
  <c r="BQ408" i="40"/>
  <c r="CG408" i="40"/>
  <c r="AX408" i="40"/>
  <c r="BB408" i="40"/>
  <c r="HZ408" i="40"/>
  <c r="DW408" i="40"/>
  <c r="BG408" i="40"/>
  <c r="BW408" i="40"/>
  <c r="DU408" i="40"/>
  <c r="BH408" i="40"/>
  <c r="BX408" i="40"/>
  <c r="DV408" i="40"/>
  <c r="BE408" i="40"/>
  <c r="BU408" i="40"/>
  <c r="DS408" i="40"/>
  <c r="BJ408" i="40"/>
  <c r="BN408" i="40"/>
  <c r="BR408" i="40"/>
  <c r="BV408" i="40"/>
  <c r="IA408" i="40"/>
  <c r="IX408" i="40"/>
  <c r="BY408" i="40"/>
  <c r="CD408" i="40"/>
  <c r="BF408" i="40"/>
  <c r="IZ408" i="40"/>
  <c r="AP407" i="40"/>
  <c r="CV407" i="40"/>
  <c r="CK407" i="40"/>
  <c r="AM407" i="40"/>
  <c r="AO407" i="40"/>
  <c r="CQ407" i="40"/>
  <c r="AN407" i="40"/>
  <c r="CP407" i="40"/>
  <c r="CP208" i="40"/>
  <c r="AN208" i="40"/>
  <c r="AM208" i="40"/>
  <c r="CK208" i="40"/>
  <c r="CV108" i="40"/>
  <c r="AP208" i="40"/>
  <c r="JP209" i="40"/>
  <c r="C210" i="40"/>
  <c r="BH209" i="40"/>
  <c r="BY209" i="40"/>
  <c r="DW209" i="40"/>
  <c r="BI209" i="40"/>
  <c r="BZ209" i="40"/>
  <c r="BJ209" i="40"/>
  <c r="CA209" i="40"/>
  <c r="AX209" i="40"/>
  <c r="BC209" i="40"/>
  <c r="A209" i="40"/>
  <c r="IX209" i="40"/>
  <c r="BX209" i="40"/>
  <c r="E209" i="40" s="1"/>
  <c r="BL209" i="40"/>
  <c r="CC209" i="40"/>
  <c r="BM209" i="40"/>
  <c r="CD209" i="40"/>
  <c r="AW209" i="40"/>
  <c r="BN209" i="40"/>
  <c r="CE209" i="40"/>
  <c r="BK209" i="40"/>
  <c r="BO209" i="40"/>
  <c r="BS209" i="40"/>
  <c r="DV209" i="40"/>
  <c r="JO209" i="40"/>
  <c r="HZ209" i="40"/>
  <c r="AZ209" i="40"/>
  <c r="BP209" i="40"/>
  <c r="CG209" i="40"/>
  <c r="BA209" i="40"/>
  <c r="BQ209" i="40"/>
  <c r="CH209" i="40"/>
  <c r="BB209" i="40"/>
  <c r="BR209" i="40"/>
  <c r="CJ209" i="40"/>
  <c r="CB209" i="40"/>
  <c r="CF209" i="40"/>
  <c r="DM209" i="40"/>
  <c r="CO209" i="40"/>
  <c r="IA209" i="40"/>
  <c r="BD209" i="40"/>
  <c r="BT209" i="40"/>
  <c r="DS209" i="40"/>
  <c r="BE209" i="40"/>
  <c r="BU209" i="40"/>
  <c r="DT209" i="40"/>
  <c r="BF209" i="40"/>
  <c r="BV209" i="40"/>
  <c r="DU209" i="40"/>
  <c r="BW209" i="40"/>
  <c r="BG209" i="40"/>
  <c r="IZ209" i="40"/>
  <c r="HY209" i="40"/>
  <c r="IY209" i="40"/>
  <c r="DB208" i="40"/>
  <c r="AO208" i="40"/>
  <c r="CQ208" i="40"/>
  <c r="HN108" i="40"/>
  <c r="HQ108" i="40" s="1"/>
  <c r="HM108" i="40"/>
  <c r="HP108" i="40" s="1"/>
  <c r="DB108" i="40"/>
  <c r="IO108" i="40"/>
  <c r="JA108" i="40" s="1"/>
  <c r="D13" i="44" s="1"/>
  <c r="IQ108" i="40"/>
  <c r="JC108" i="40" s="1"/>
  <c r="F13" i="44" s="1"/>
  <c r="IP108" i="40"/>
  <c r="JB108" i="40" s="1"/>
  <c r="E13" i="44" s="1"/>
  <c r="B190" i="75"/>
  <c r="CQ308" i="40"/>
  <c r="AO308" i="40"/>
  <c r="CK308" i="40"/>
  <c r="AM308" i="40"/>
  <c r="CK108" i="40"/>
  <c r="AM108" i="40"/>
  <c r="CP308" i="40"/>
  <c r="AN308" i="40"/>
  <c r="AP108" i="40"/>
  <c r="M12" i="44"/>
  <c r="A13" i="58"/>
  <c r="AW16" i="62"/>
  <c r="KB101" i="40"/>
  <c r="KB102" i="40" s="1"/>
  <c r="KB103" i="40" s="1"/>
  <c r="A13" i="62"/>
  <c r="AW16" i="58"/>
  <c r="C310" i="40"/>
  <c r="BA309" i="40"/>
  <c r="BE309" i="40"/>
  <c r="BI309" i="40"/>
  <c r="BM309" i="40"/>
  <c r="BQ309" i="40"/>
  <c r="BU309" i="40"/>
  <c r="BZ309" i="40"/>
  <c r="CD309" i="40"/>
  <c r="CH309" i="40"/>
  <c r="DT309" i="40"/>
  <c r="AW309" i="40"/>
  <c r="BB309" i="40"/>
  <c r="BF309" i="40"/>
  <c r="BJ309" i="40"/>
  <c r="BN309" i="40"/>
  <c r="BR309" i="40"/>
  <c r="BV309" i="40"/>
  <c r="CA309" i="40"/>
  <c r="CE309" i="40"/>
  <c r="CJ309" i="40"/>
  <c r="DU309" i="40"/>
  <c r="A309" i="40"/>
  <c r="AX309" i="40"/>
  <c r="BC309" i="40"/>
  <c r="BG309" i="40"/>
  <c r="BK309" i="40"/>
  <c r="BO309" i="40"/>
  <c r="BS309" i="40"/>
  <c r="BW309" i="40"/>
  <c r="CB309" i="40"/>
  <c r="CF309" i="40"/>
  <c r="DM309" i="40"/>
  <c r="DV309" i="40"/>
  <c r="BL309" i="40"/>
  <c r="CC309" i="40"/>
  <c r="AZ309" i="40"/>
  <c r="BP309" i="40"/>
  <c r="CG309" i="40"/>
  <c r="BD309" i="40"/>
  <c r="BT309" i="40"/>
  <c r="DS309" i="40"/>
  <c r="BH309" i="40"/>
  <c r="BY309" i="40"/>
  <c r="BX309" i="40"/>
  <c r="E309" i="40" s="1"/>
  <c r="DW309" i="40"/>
  <c r="JO309" i="40"/>
  <c r="IY309" i="40"/>
  <c r="IA309" i="40"/>
  <c r="HY309" i="40"/>
  <c r="IX309" i="40"/>
  <c r="IZ309" i="40"/>
  <c r="HZ309" i="40"/>
  <c r="CT309" i="40"/>
  <c r="JP309" i="40"/>
  <c r="AN108" i="40"/>
  <c r="CP108" i="40"/>
  <c r="HX108" i="40" s="1"/>
  <c r="HR108" i="40"/>
  <c r="D22" i="70"/>
  <c r="AP308" i="40"/>
  <c r="CQ108" i="40"/>
  <c r="AO108" i="40"/>
  <c r="IK109" i="40"/>
  <c r="IN109" i="40" s="1"/>
  <c r="JF109" i="40"/>
  <c r="HO109" i="40" s="1"/>
  <c r="II109" i="40"/>
  <c r="IL109" i="40" s="1"/>
  <c r="IJ109" i="40"/>
  <c r="IM109" i="40" s="1"/>
  <c r="C110" i="40"/>
  <c r="F109" i="40"/>
  <c r="N109" i="40"/>
  <c r="CN109" i="40" s="1"/>
  <c r="AG109" i="40"/>
  <c r="I109" i="40"/>
  <c r="AD109" i="40"/>
  <c r="AZ109" i="40"/>
  <c r="BD109" i="40"/>
  <c r="BH109" i="40"/>
  <c r="BL109" i="40"/>
  <c r="BP109" i="40"/>
  <c r="BT109" i="40"/>
  <c r="BY109" i="40"/>
  <c r="CC109" i="40"/>
  <c r="CG109" i="40"/>
  <c r="DS109" i="40"/>
  <c r="DW109" i="40"/>
  <c r="K109" i="40"/>
  <c r="P109" i="40"/>
  <c r="AI109" i="40"/>
  <c r="J109" i="40"/>
  <c r="AF109" i="40"/>
  <c r="BA109" i="40"/>
  <c r="BE109" i="40"/>
  <c r="BI109" i="40"/>
  <c r="BM109" i="40"/>
  <c r="BQ109" i="40"/>
  <c r="BU109" i="40"/>
  <c r="BZ109" i="40"/>
  <c r="CD109" i="40"/>
  <c r="CH109" i="40"/>
  <c r="DT109" i="40"/>
  <c r="A109" i="40"/>
  <c r="L109" i="40"/>
  <c r="CL109" i="40" s="1"/>
  <c r="AC109" i="40"/>
  <c r="G109" i="40"/>
  <c r="O109" i="40"/>
  <c r="CO109" i="40" s="1"/>
  <c r="AJ109" i="40"/>
  <c r="AW109" i="40"/>
  <c r="BB109" i="40"/>
  <c r="BF109" i="40"/>
  <c r="BJ109" i="40"/>
  <c r="BN109" i="40"/>
  <c r="BR109" i="40"/>
  <c r="BV109" i="40"/>
  <c r="CA109" i="40"/>
  <c r="CE109" i="40"/>
  <c r="CJ109" i="40"/>
  <c r="DU109" i="40"/>
  <c r="M109" i="40"/>
  <c r="CM109" i="40" s="1"/>
  <c r="BK109" i="40"/>
  <c r="CB109" i="40"/>
  <c r="AE109" i="40"/>
  <c r="AX109" i="40"/>
  <c r="BO109" i="40"/>
  <c r="CF109" i="40"/>
  <c r="H109" i="40"/>
  <c r="BC109" i="40"/>
  <c r="BS109" i="40"/>
  <c r="DM109" i="40"/>
  <c r="BG109" i="40"/>
  <c r="BX109" i="40"/>
  <c r="E109" i="40" s="1"/>
  <c r="BW109" i="40"/>
  <c r="AB109" i="40"/>
  <c r="DV109" i="40"/>
  <c r="AH109" i="40"/>
  <c r="JO109" i="40"/>
  <c r="IZ109" i="40"/>
  <c r="HZ109" i="40"/>
  <c r="IX109" i="40"/>
  <c r="IA109" i="40"/>
  <c r="HY109" i="40"/>
  <c r="U109" i="40"/>
  <c r="CS109" i="40" s="1"/>
  <c r="AA109" i="40"/>
  <c r="R109" i="40"/>
  <c r="X109" i="40"/>
  <c r="T109" i="40"/>
  <c r="CR109" i="40" s="1"/>
  <c r="S109" i="40"/>
  <c r="Q109" i="40"/>
  <c r="V109" i="40"/>
  <c r="CT109" i="40" s="1"/>
  <c r="Z109" i="40"/>
  <c r="W109" i="40"/>
  <c r="CU109" i="40" s="1"/>
  <c r="IY109" i="40"/>
  <c r="JP109" i="40"/>
  <c r="Y109" i="40"/>
  <c r="JH107" i="40"/>
  <c r="CV608" i="40"/>
  <c r="CI109" i="40" l="1"/>
  <c r="JJ107" i="40"/>
  <c r="HY608" i="40"/>
  <c r="IX608" i="40" s="1"/>
  <c r="CV609" i="40"/>
  <c r="IA608" i="40"/>
  <c r="IZ608" i="40" s="1"/>
  <c r="HZ608" i="40"/>
  <c r="IY608" i="40" s="1"/>
  <c r="AN508" i="40"/>
  <c r="CP508" i="40"/>
  <c r="CQ508" i="40"/>
  <c r="AO508" i="40"/>
  <c r="AN609" i="40"/>
  <c r="CP609" i="40"/>
  <c r="AE610" i="40"/>
  <c r="F610" i="40"/>
  <c r="BY610" i="40"/>
  <c r="BI610" i="40"/>
  <c r="AG610" i="40"/>
  <c r="DT610" i="40"/>
  <c r="BP610" i="40"/>
  <c r="AZ610" i="40"/>
  <c r="DW610" i="40"/>
  <c r="BW610" i="40"/>
  <c r="BG610" i="40"/>
  <c r="G610" i="40"/>
  <c r="DV610" i="40"/>
  <c r="N610" i="40"/>
  <c r="CN610" i="40" s="1"/>
  <c r="BB610" i="40"/>
  <c r="AH610" i="40"/>
  <c r="JO610" i="40"/>
  <c r="AF610" i="40"/>
  <c r="AC610" i="40"/>
  <c r="CJ610" i="40"/>
  <c r="DU610" i="40"/>
  <c r="BU610" i="40"/>
  <c r="BE610" i="40"/>
  <c r="M610" i="40"/>
  <c r="CM610" i="40" s="1"/>
  <c r="CF610" i="40"/>
  <c r="BL610" i="40"/>
  <c r="AB610" i="40"/>
  <c r="DS610" i="40"/>
  <c r="BS610" i="40"/>
  <c r="BC610" i="40"/>
  <c r="BZ610" i="40"/>
  <c r="BV610" i="40"/>
  <c r="DM610" i="40"/>
  <c r="CD610" i="40"/>
  <c r="JP610" i="40"/>
  <c r="H610" i="40"/>
  <c r="AI610" i="40"/>
  <c r="CG610" i="40"/>
  <c r="BQ610" i="40"/>
  <c r="BA610" i="40"/>
  <c r="A610" i="40"/>
  <c r="CB610" i="40"/>
  <c r="BH610" i="40"/>
  <c r="P610" i="40"/>
  <c r="CE610" i="40"/>
  <c r="BO610" i="40"/>
  <c r="O610" i="40"/>
  <c r="CO610" i="40" s="1"/>
  <c r="BJ610" i="40"/>
  <c r="BF610" i="40"/>
  <c r="CH610" i="40"/>
  <c r="AX610" i="40"/>
  <c r="KN610" i="40"/>
  <c r="AJ610" i="40"/>
  <c r="BX610" i="40"/>
  <c r="E610" i="40" s="1"/>
  <c r="AW610" i="40"/>
  <c r="L610" i="40"/>
  <c r="CL610" i="40" s="1"/>
  <c r="J610" i="40"/>
  <c r="C611" i="40"/>
  <c r="CA610" i="40"/>
  <c r="BN610" i="40"/>
  <c r="I610" i="40"/>
  <c r="W610" i="40"/>
  <c r="CU610" i="40" s="1"/>
  <c r="K610" i="40"/>
  <c r="CC610" i="40"/>
  <c r="BT610" i="40"/>
  <c r="BK610" i="40"/>
  <c r="BR610" i="40"/>
  <c r="BD610" i="40"/>
  <c r="BM610" i="40"/>
  <c r="Z610" i="40"/>
  <c r="T610" i="40"/>
  <c r="CR610" i="40" s="1"/>
  <c r="U610" i="40"/>
  <c r="CS610" i="40" s="1"/>
  <c r="R610" i="40"/>
  <c r="S610" i="40"/>
  <c r="V610" i="40"/>
  <c r="CT610" i="40" s="1"/>
  <c r="Q610" i="40"/>
  <c r="X610" i="40"/>
  <c r="AA610" i="40"/>
  <c r="AD610" i="40"/>
  <c r="Y610" i="40"/>
  <c r="G509" i="40"/>
  <c r="K509" i="40"/>
  <c r="O509" i="40"/>
  <c r="CO509" i="40" s="1"/>
  <c r="S509" i="40"/>
  <c r="W509" i="40"/>
  <c r="CU509" i="40" s="1"/>
  <c r="AA509" i="40"/>
  <c r="AE509" i="40"/>
  <c r="AI509" i="40"/>
  <c r="L509" i="40"/>
  <c r="CL509" i="40" s="1"/>
  <c r="T509" i="40"/>
  <c r="CR509" i="40" s="1"/>
  <c r="X509" i="40"/>
  <c r="AF509" i="40"/>
  <c r="H509" i="40"/>
  <c r="P509" i="40"/>
  <c r="AB509" i="40"/>
  <c r="AJ509" i="40"/>
  <c r="I509" i="40"/>
  <c r="M509" i="40"/>
  <c r="CM509" i="40" s="1"/>
  <c r="Q509" i="40"/>
  <c r="U509" i="40"/>
  <c r="CS509" i="40" s="1"/>
  <c r="Y509" i="40"/>
  <c r="AC509" i="40"/>
  <c r="AG509" i="40"/>
  <c r="N509" i="40"/>
  <c r="CN509" i="40" s="1"/>
  <c r="AD509" i="40"/>
  <c r="Z509" i="40"/>
  <c r="R509" i="40"/>
  <c r="AH509" i="40"/>
  <c r="F509" i="40"/>
  <c r="V509" i="40"/>
  <c r="CT509" i="40" s="1"/>
  <c r="J509" i="40"/>
  <c r="BL509" i="40"/>
  <c r="CC509" i="40"/>
  <c r="BM509" i="40"/>
  <c r="CD509" i="40"/>
  <c r="AW509" i="40"/>
  <c r="BN509" i="40"/>
  <c r="CE509" i="40"/>
  <c r="BK509" i="40"/>
  <c r="AX509" i="40"/>
  <c r="BC509" i="40"/>
  <c r="DV509" i="40"/>
  <c r="IZ509" i="40"/>
  <c r="AZ509" i="40"/>
  <c r="BP509" i="40"/>
  <c r="CG509" i="40"/>
  <c r="BA509" i="40"/>
  <c r="BQ509" i="40"/>
  <c r="CH509" i="40"/>
  <c r="BB509" i="40"/>
  <c r="BR509" i="40"/>
  <c r="CJ509" i="40"/>
  <c r="CB509" i="40"/>
  <c r="BO509" i="40"/>
  <c r="BS509" i="40"/>
  <c r="HZ509" i="40"/>
  <c r="IX509" i="40"/>
  <c r="C510" i="40"/>
  <c r="BD509" i="40"/>
  <c r="BT509" i="40"/>
  <c r="DS509" i="40"/>
  <c r="BE509" i="40"/>
  <c r="BU509" i="40"/>
  <c r="DT509" i="40"/>
  <c r="BF509" i="40"/>
  <c r="BV509" i="40"/>
  <c r="DU509" i="40"/>
  <c r="CF509" i="40"/>
  <c r="DM509" i="40"/>
  <c r="HY509" i="40"/>
  <c r="IY509" i="40"/>
  <c r="BX509" i="40"/>
  <c r="E509" i="40" s="1"/>
  <c r="BH509" i="40"/>
  <c r="BY509" i="40"/>
  <c r="DW509" i="40"/>
  <c r="BI509" i="40"/>
  <c r="BZ509" i="40"/>
  <c r="A509" i="40"/>
  <c r="BJ509" i="40"/>
  <c r="CA509" i="40"/>
  <c r="BW509" i="40"/>
  <c r="JO509" i="40"/>
  <c r="BG509" i="40"/>
  <c r="IA509" i="40"/>
  <c r="JP509" i="40"/>
  <c r="DB508" i="40"/>
  <c r="AP508" i="40"/>
  <c r="G310" i="40"/>
  <c r="K310" i="40"/>
  <c r="O310" i="40"/>
  <c r="CO310" i="40" s="1"/>
  <c r="S310" i="40"/>
  <c r="W310" i="40"/>
  <c r="CU310" i="40" s="1"/>
  <c r="AA310" i="40"/>
  <c r="AE310" i="40"/>
  <c r="AI310" i="40"/>
  <c r="H310" i="40"/>
  <c r="P310" i="40"/>
  <c r="X310" i="40"/>
  <c r="AB310" i="40"/>
  <c r="J310" i="40"/>
  <c r="V310" i="40"/>
  <c r="CT310" i="40" s="1"/>
  <c r="AD310" i="40"/>
  <c r="L310" i="40"/>
  <c r="CL310" i="40" s="1"/>
  <c r="T310" i="40"/>
  <c r="CR310" i="40" s="1"/>
  <c r="AF310" i="40"/>
  <c r="AJ310" i="40"/>
  <c r="F310" i="40"/>
  <c r="R310" i="40"/>
  <c r="AH310" i="40"/>
  <c r="I310" i="40"/>
  <c r="M310" i="40"/>
  <c r="CM310" i="40" s="1"/>
  <c r="Q310" i="40"/>
  <c r="U310" i="40"/>
  <c r="CS310" i="40" s="1"/>
  <c r="Y310" i="40"/>
  <c r="AC310" i="40"/>
  <c r="AG310" i="40"/>
  <c r="N310" i="40"/>
  <c r="CN310" i="40" s="1"/>
  <c r="Z310" i="40"/>
  <c r="G409" i="40"/>
  <c r="K409" i="40"/>
  <c r="O409" i="40"/>
  <c r="S409" i="40"/>
  <c r="W409" i="40"/>
  <c r="CU409" i="40" s="1"/>
  <c r="AA409" i="40"/>
  <c r="AE409" i="40"/>
  <c r="AI409" i="40"/>
  <c r="L409" i="40"/>
  <c r="CL409" i="40" s="1"/>
  <c r="T409" i="40"/>
  <c r="CR409" i="40" s="1"/>
  <c r="AB409" i="40"/>
  <c r="AJ409" i="40"/>
  <c r="H409" i="40"/>
  <c r="P409" i="40"/>
  <c r="X409" i="40"/>
  <c r="AF409" i="40"/>
  <c r="I409" i="40"/>
  <c r="M409" i="40"/>
  <c r="CM409" i="40" s="1"/>
  <c r="Q409" i="40"/>
  <c r="U409" i="40"/>
  <c r="CS409" i="40" s="1"/>
  <c r="Y409" i="40"/>
  <c r="AC409" i="40"/>
  <c r="AG409" i="40"/>
  <c r="N409" i="40"/>
  <c r="CN409" i="40" s="1"/>
  <c r="AD409" i="40"/>
  <c r="R409" i="40"/>
  <c r="AH409" i="40"/>
  <c r="F409" i="40"/>
  <c r="V409" i="40"/>
  <c r="J409" i="40"/>
  <c r="Z409" i="40"/>
  <c r="CV508" i="40"/>
  <c r="AM508" i="40"/>
  <c r="CK508" i="40"/>
  <c r="AP609" i="40"/>
  <c r="H210" i="40"/>
  <c r="L210" i="40"/>
  <c r="CL210" i="40" s="1"/>
  <c r="P210" i="40"/>
  <c r="T210" i="40"/>
  <c r="CR210" i="40" s="1"/>
  <c r="X210" i="40"/>
  <c r="AB210" i="40"/>
  <c r="AF210" i="40"/>
  <c r="AJ210" i="40"/>
  <c r="F210" i="40"/>
  <c r="J210" i="40"/>
  <c r="N210" i="40"/>
  <c r="CN210" i="40" s="1"/>
  <c r="R210" i="40"/>
  <c r="V210" i="40"/>
  <c r="CT210" i="40" s="1"/>
  <c r="Z210" i="40"/>
  <c r="AD210" i="40"/>
  <c r="AH210" i="40"/>
  <c r="I210" i="40"/>
  <c r="Q210" i="40"/>
  <c r="Y210" i="40"/>
  <c r="AG210" i="40"/>
  <c r="W210" i="40"/>
  <c r="CU210" i="40" s="1"/>
  <c r="K210" i="40"/>
  <c r="S210" i="40"/>
  <c r="AA210" i="40"/>
  <c r="AI210" i="40"/>
  <c r="G210" i="40"/>
  <c r="AE210" i="40"/>
  <c r="M210" i="40"/>
  <c r="CM210" i="40" s="1"/>
  <c r="U210" i="40"/>
  <c r="CS210" i="40" s="1"/>
  <c r="AC210" i="40"/>
  <c r="O210" i="40"/>
  <c r="CO210" i="40" s="1"/>
  <c r="CQ609" i="40"/>
  <c r="AO609" i="40"/>
  <c r="DB609" i="40"/>
  <c r="CK609" i="40"/>
  <c r="AM609" i="40"/>
  <c r="C410" i="40"/>
  <c r="BH409" i="40"/>
  <c r="BY409" i="40"/>
  <c r="DW409" i="40"/>
  <c r="BI409" i="40"/>
  <c r="BZ409" i="40"/>
  <c r="BJ409" i="40"/>
  <c r="CA409" i="40"/>
  <c r="A409" i="40"/>
  <c r="DV409" i="40"/>
  <c r="DM409" i="40"/>
  <c r="BC409" i="40"/>
  <c r="HY409" i="40"/>
  <c r="HY609" i="40" s="1"/>
  <c r="CT409" i="40"/>
  <c r="JP409" i="40"/>
  <c r="DS409" i="40"/>
  <c r="BU409" i="40"/>
  <c r="DU409" i="40"/>
  <c r="CB409" i="40"/>
  <c r="BX409" i="40"/>
  <c r="BL409" i="40"/>
  <c r="CC409" i="40"/>
  <c r="BM409" i="40"/>
  <c r="CD409" i="40"/>
  <c r="AW409" i="40"/>
  <c r="BN409" i="40"/>
  <c r="CE409" i="40"/>
  <c r="CO409" i="40"/>
  <c r="AX409" i="40"/>
  <c r="BS409" i="40"/>
  <c r="HZ409" i="40"/>
  <c r="BD409" i="40"/>
  <c r="BT409" i="40"/>
  <c r="BE409" i="40"/>
  <c r="DT409" i="40"/>
  <c r="BF409" i="40"/>
  <c r="BW409" i="40"/>
  <c r="CF409" i="40"/>
  <c r="IA409" i="40"/>
  <c r="IY409" i="40"/>
  <c r="AZ409" i="40"/>
  <c r="BP409" i="40"/>
  <c r="CG409" i="40"/>
  <c r="BA409" i="40"/>
  <c r="BQ409" i="40"/>
  <c r="CH409" i="40"/>
  <c r="BB409" i="40"/>
  <c r="BR409" i="40"/>
  <c r="CJ409" i="40"/>
  <c r="BG409" i="40"/>
  <c r="BK409" i="40"/>
  <c r="BO409" i="40"/>
  <c r="JO409" i="40"/>
  <c r="IZ409" i="40"/>
  <c r="IX409" i="40"/>
  <c r="BV409" i="40"/>
  <c r="CQ408" i="40"/>
  <c r="AO408" i="40"/>
  <c r="AP408" i="40"/>
  <c r="CP408" i="40"/>
  <c r="AN408" i="40"/>
  <c r="CK408" i="40"/>
  <c r="AM408" i="40"/>
  <c r="AP209" i="40"/>
  <c r="DB408" i="40"/>
  <c r="CV408" i="40"/>
  <c r="CP209" i="40"/>
  <c r="AN209" i="40"/>
  <c r="CK209" i="40"/>
  <c r="AM209" i="40"/>
  <c r="C211" i="40"/>
  <c r="BI210" i="40"/>
  <c r="BZ210" i="40"/>
  <c r="A210" i="40"/>
  <c r="BF210" i="40"/>
  <c r="BV210" i="40"/>
  <c r="DU210" i="40"/>
  <c r="CB210" i="40"/>
  <c r="BD210" i="40"/>
  <c r="DS210" i="40"/>
  <c r="BG210" i="40"/>
  <c r="DV210" i="40"/>
  <c r="DW210" i="40"/>
  <c r="IA210" i="40"/>
  <c r="JP210" i="40"/>
  <c r="BM210" i="40"/>
  <c r="CD210" i="40"/>
  <c r="BJ210" i="40"/>
  <c r="CA210" i="40"/>
  <c r="BX210" i="40"/>
  <c r="E210" i="40" s="1"/>
  <c r="BC210" i="40"/>
  <c r="DM210" i="40"/>
  <c r="BL210" i="40"/>
  <c r="BO210" i="40"/>
  <c r="AZ210" i="40"/>
  <c r="JO210" i="40"/>
  <c r="IZ210" i="40"/>
  <c r="BA210" i="40"/>
  <c r="BQ210" i="40"/>
  <c r="CH210" i="40"/>
  <c r="AW210" i="40"/>
  <c r="BN210" i="40"/>
  <c r="CE210" i="40"/>
  <c r="BK210" i="40"/>
  <c r="BT210" i="40"/>
  <c r="BW210" i="40"/>
  <c r="CG210" i="40"/>
  <c r="BP210" i="40"/>
  <c r="HY210" i="40"/>
  <c r="BE210" i="40"/>
  <c r="BU210" i="40"/>
  <c r="DT210" i="40"/>
  <c r="BB210" i="40"/>
  <c r="BR210" i="40"/>
  <c r="CJ210" i="40"/>
  <c r="BS210" i="40"/>
  <c r="CC210" i="40"/>
  <c r="AX210" i="40"/>
  <c r="CF210" i="40"/>
  <c r="BH210" i="40"/>
  <c r="BY210" i="40"/>
  <c r="IX210" i="40"/>
  <c r="HZ210" i="40"/>
  <c r="IY210" i="40"/>
  <c r="CV209" i="40"/>
  <c r="CQ209" i="40"/>
  <c r="AO209" i="40"/>
  <c r="DB209" i="40"/>
  <c r="IQ109" i="40"/>
  <c r="JC109" i="40" s="1"/>
  <c r="F14" i="44" s="1"/>
  <c r="DB309" i="40"/>
  <c r="IP109" i="40"/>
  <c r="JB109" i="40" s="1"/>
  <c r="E14" i="44" s="1"/>
  <c r="IO109" i="40"/>
  <c r="JA109" i="40" s="1"/>
  <c r="D14" i="44" s="1"/>
  <c r="B191" i="75"/>
  <c r="AO109" i="40"/>
  <c r="CQ109" i="40"/>
  <c r="HM109" i="40"/>
  <c r="HP109" i="40" s="1"/>
  <c r="IK110" i="40"/>
  <c r="IN110" i="40" s="1"/>
  <c r="II110" i="40"/>
  <c r="IL110" i="40" s="1"/>
  <c r="IJ110" i="40"/>
  <c r="IM110" i="40" s="1"/>
  <c r="JF110" i="40"/>
  <c r="HO110" i="40" s="1"/>
  <c r="K110" i="40"/>
  <c r="P110" i="40"/>
  <c r="AI110" i="40"/>
  <c r="J110" i="40"/>
  <c r="AF110" i="40"/>
  <c r="BA110" i="40"/>
  <c r="BE110" i="40"/>
  <c r="BI110" i="40"/>
  <c r="BM110" i="40"/>
  <c r="BQ110" i="40"/>
  <c r="BU110" i="40"/>
  <c r="BZ110" i="40"/>
  <c r="CD110" i="40"/>
  <c r="CH110" i="40"/>
  <c r="DT110" i="40"/>
  <c r="A110" i="40"/>
  <c r="L110" i="40"/>
  <c r="CL110" i="40" s="1"/>
  <c r="AC110" i="40"/>
  <c r="G110" i="40"/>
  <c r="O110" i="40"/>
  <c r="CO110" i="40" s="1"/>
  <c r="AJ110" i="40"/>
  <c r="AW110" i="40"/>
  <c r="BB110" i="40"/>
  <c r="BF110" i="40"/>
  <c r="BJ110" i="40"/>
  <c r="BN110" i="40"/>
  <c r="BR110" i="40"/>
  <c r="BV110" i="40"/>
  <c r="CA110" i="40"/>
  <c r="CE110" i="40"/>
  <c r="CJ110" i="40"/>
  <c r="DU110" i="40"/>
  <c r="BX110" i="40"/>
  <c r="M110" i="40"/>
  <c r="CM110" i="40" s="1"/>
  <c r="AE110" i="40"/>
  <c r="H110" i="40"/>
  <c r="AB110" i="40"/>
  <c r="AX110" i="40"/>
  <c r="BC110" i="40"/>
  <c r="BG110" i="40"/>
  <c r="BK110" i="40"/>
  <c r="BO110" i="40"/>
  <c r="BS110" i="40"/>
  <c r="BW110" i="40"/>
  <c r="CB110" i="40"/>
  <c r="CF110" i="40"/>
  <c r="DM110" i="40"/>
  <c r="DV110" i="40"/>
  <c r="F110" i="40"/>
  <c r="AD110" i="40"/>
  <c r="BH110" i="40"/>
  <c r="BY110" i="40"/>
  <c r="DW110" i="40"/>
  <c r="C111" i="40"/>
  <c r="N110" i="40"/>
  <c r="CN110" i="40" s="1"/>
  <c r="BL110" i="40"/>
  <c r="CC110" i="40"/>
  <c r="AG110" i="40"/>
  <c r="AZ110" i="40"/>
  <c r="BP110" i="40"/>
  <c r="CG110" i="40"/>
  <c r="BD110" i="40"/>
  <c r="BT110" i="40"/>
  <c r="DS110" i="40"/>
  <c r="I110" i="40"/>
  <c r="JO110" i="40"/>
  <c r="AH110" i="40"/>
  <c r="HZ110" i="40"/>
  <c r="HY110" i="40"/>
  <c r="IX110" i="40"/>
  <c r="IZ110" i="40"/>
  <c r="IA110" i="40"/>
  <c r="Z110" i="40"/>
  <c r="W110" i="40"/>
  <c r="CU110" i="40" s="1"/>
  <c r="U110" i="40"/>
  <c r="CS110" i="40" s="1"/>
  <c r="AA110" i="40"/>
  <c r="E110" i="40"/>
  <c r="R110" i="40"/>
  <c r="X110" i="40"/>
  <c r="T110" i="40"/>
  <c r="CR110" i="40" s="1"/>
  <c r="S110" i="40"/>
  <c r="Q110" i="40"/>
  <c r="V110" i="40"/>
  <c r="CT110" i="40" s="1"/>
  <c r="IY110" i="40"/>
  <c r="JP110" i="40"/>
  <c r="Y110" i="40"/>
  <c r="CV309" i="40"/>
  <c r="AO309" i="40"/>
  <c r="CQ309" i="40"/>
  <c r="AL109" i="40"/>
  <c r="AK109" i="40"/>
  <c r="CV109" i="40"/>
  <c r="DB109" i="40"/>
  <c r="HN109" i="40"/>
  <c r="JH108" i="40"/>
  <c r="AP309" i="40"/>
  <c r="HW108" i="40"/>
  <c r="AP109" i="40"/>
  <c r="CK309" i="40"/>
  <c r="AM309" i="40"/>
  <c r="C311" i="40"/>
  <c r="A310" i="40"/>
  <c r="AX310" i="40"/>
  <c r="BC310" i="40"/>
  <c r="BG310" i="40"/>
  <c r="BK310" i="40"/>
  <c r="BO310" i="40"/>
  <c r="BS310" i="40"/>
  <c r="BW310" i="40"/>
  <c r="CB310" i="40"/>
  <c r="CF310" i="40"/>
  <c r="DM310" i="40"/>
  <c r="DV310" i="40"/>
  <c r="BX310" i="40"/>
  <c r="E310" i="40" s="1"/>
  <c r="AZ310" i="40"/>
  <c r="BD310" i="40"/>
  <c r="BH310" i="40"/>
  <c r="BL310" i="40"/>
  <c r="BP310" i="40"/>
  <c r="BT310" i="40"/>
  <c r="BY310" i="40"/>
  <c r="CC310" i="40"/>
  <c r="CG310" i="40"/>
  <c r="DS310" i="40"/>
  <c r="DW310" i="40"/>
  <c r="BA310" i="40"/>
  <c r="BE310" i="40"/>
  <c r="BI310" i="40"/>
  <c r="BM310" i="40"/>
  <c r="BQ310" i="40"/>
  <c r="BU310" i="40"/>
  <c r="BZ310" i="40"/>
  <c r="CD310" i="40"/>
  <c r="CH310" i="40"/>
  <c r="DT310" i="40"/>
  <c r="BJ310" i="40"/>
  <c r="CA310" i="40"/>
  <c r="AW310" i="40"/>
  <c r="BN310" i="40"/>
  <c r="CE310" i="40"/>
  <c r="BB310" i="40"/>
  <c r="BR310" i="40"/>
  <c r="CJ310" i="40"/>
  <c r="BF310" i="40"/>
  <c r="BV310" i="40"/>
  <c r="DU310" i="40"/>
  <c r="JO310" i="40"/>
  <c r="IY310" i="40"/>
  <c r="IA310" i="40"/>
  <c r="HY310" i="40"/>
  <c r="HZ310" i="40"/>
  <c r="IX310" i="40"/>
  <c r="IZ310" i="40"/>
  <c r="JP310" i="40"/>
  <c r="KC103" i="40"/>
  <c r="KB104" i="40"/>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KB183" i="40" s="1"/>
  <c r="KB184" i="40" s="1"/>
  <c r="KB185" i="40" s="1"/>
  <c r="KB186" i="40" s="1"/>
  <c r="KB187" i="40" s="1"/>
  <c r="KD103" i="40"/>
  <c r="HV108" i="40"/>
  <c r="AN109" i="40"/>
  <c r="CP109" i="40"/>
  <c r="HV109" i="40" s="1"/>
  <c r="CK109" i="40"/>
  <c r="AM109" i="40"/>
  <c r="HR109" i="40"/>
  <c r="CP309" i="40"/>
  <c r="AN309" i="40"/>
  <c r="M13" i="44"/>
  <c r="CI110" i="40" l="1"/>
  <c r="IA609" i="40"/>
  <c r="IZ609" i="40" s="1"/>
  <c r="HZ609" i="40"/>
  <c r="IY609" i="40" s="1"/>
  <c r="D109" i="40"/>
  <c r="AY109" i="40" s="1"/>
  <c r="DB210" i="40"/>
  <c r="DB509" i="40"/>
  <c r="DB610" i="40"/>
  <c r="CV610" i="40"/>
  <c r="H211" i="40"/>
  <c r="L211" i="40"/>
  <c r="CL211" i="40" s="1"/>
  <c r="P211" i="40"/>
  <c r="T211" i="40"/>
  <c r="CR211" i="40" s="1"/>
  <c r="X211" i="40"/>
  <c r="AB211" i="40"/>
  <c r="AF211" i="40"/>
  <c r="AJ211" i="40"/>
  <c r="F211" i="40"/>
  <c r="J211" i="40"/>
  <c r="N211" i="40"/>
  <c r="CN211" i="40" s="1"/>
  <c r="R211" i="40"/>
  <c r="V211" i="40"/>
  <c r="CT211" i="40" s="1"/>
  <c r="Z211" i="40"/>
  <c r="AD211" i="40"/>
  <c r="AH211" i="40"/>
  <c r="I211" i="40"/>
  <c r="Q211" i="40"/>
  <c r="Y211" i="40"/>
  <c r="AG211" i="40"/>
  <c r="W211" i="40"/>
  <c r="CU211" i="40" s="1"/>
  <c r="K211" i="40"/>
  <c r="S211" i="40"/>
  <c r="AA211" i="40"/>
  <c r="AI211" i="40"/>
  <c r="O211" i="40"/>
  <c r="CO211" i="40" s="1"/>
  <c r="M211" i="40"/>
  <c r="CM211" i="40" s="1"/>
  <c r="U211" i="40"/>
  <c r="CS211" i="40" s="1"/>
  <c r="AC211" i="40"/>
  <c r="G211" i="40"/>
  <c r="AE211" i="40"/>
  <c r="G510" i="40"/>
  <c r="K510" i="40"/>
  <c r="O510" i="40"/>
  <c r="CO510" i="40" s="1"/>
  <c r="S510" i="40"/>
  <c r="W510" i="40"/>
  <c r="CU510" i="40" s="1"/>
  <c r="AA510" i="40"/>
  <c r="AE510" i="40"/>
  <c r="AI510" i="40"/>
  <c r="H510" i="40"/>
  <c r="P510" i="40"/>
  <c r="T510" i="40"/>
  <c r="CR510" i="40" s="1"/>
  <c r="AB510" i="40"/>
  <c r="AJ510" i="40"/>
  <c r="L510" i="40"/>
  <c r="CL510" i="40" s="1"/>
  <c r="X510" i="40"/>
  <c r="AF510" i="40"/>
  <c r="I510" i="40"/>
  <c r="M510" i="40"/>
  <c r="CM510" i="40" s="1"/>
  <c r="Q510" i="40"/>
  <c r="U510" i="40"/>
  <c r="CS510" i="40" s="1"/>
  <c r="Y510" i="40"/>
  <c r="AC510" i="40"/>
  <c r="AG510" i="40"/>
  <c r="N510" i="40"/>
  <c r="CN510" i="40" s="1"/>
  <c r="AD510" i="40"/>
  <c r="Z510" i="40"/>
  <c r="R510" i="40"/>
  <c r="AH510" i="40"/>
  <c r="F510" i="40"/>
  <c r="V510" i="40"/>
  <c r="CT510" i="40" s="1"/>
  <c r="J510" i="40"/>
  <c r="BB510" i="40"/>
  <c r="BR510" i="40"/>
  <c r="CJ510" i="40"/>
  <c r="BK510" i="40"/>
  <c r="CB510" i="40"/>
  <c r="BX510" i="40"/>
  <c r="E510" i="40" s="1"/>
  <c r="BH510" i="40"/>
  <c r="BY510" i="40"/>
  <c r="DW510" i="40"/>
  <c r="BU510" i="40"/>
  <c r="BA510" i="40"/>
  <c r="DT510" i="40"/>
  <c r="IZ510" i="40"/>
  <c r="BF510" i="40"/>
  <c r="BV510" i="40"/>
  <c r="DU510" i="40"/>
  <c r="AX510" i="40"/>
  <c r="BO510" i="40"/>
  <c r="CF510" i="40"/>
  <c r="BL510" i="40"/>
  <c r="CC510" i="40"/>
  <c r="BI510" i="40"/>
  <c r="BQ510" i="40"/>
  <c r="HY510" i="40"/>
  <c r="IY510" i="40"/>
  <c r="C511" i="40"/>
  <c r="BJ510" i="40"/>
  <c r="CA510" i="40"/>
  <c r="A510" i="40"/>
  <c r="BC510" i="40"/>
  <c r="BS510" i="40"/>
  <c r="DM510" i="40"/>
  <c r="AZ510" i="40"/>
  <c r="BP510" i="40"/>
  <c r="CG510" i="40"/>
  <c r="BZ510" i="40"/>
  <c r="BM510" i="40"/>
  <c r="CH510" i="40"/>
  <c r="IA510" i="40"/>
  <c r="IX510" i="40"/>
  <c r="AW510" i="40"/>
  <c r="BN510" i="40"/>
  <c r="CE510" i="40"/>
  <c r="BG510" i="40"/>
  <c r="BW510" i="40"/>
  <c r="DV510" i="40"/>
  <c r="BD510" i="40"/>
  <c r="BT510" i="40"/>
  <c r="DS510" i="40"/>
  <c r="JO510" i="40"/>
  <c r="CD510" i="40"/>
  <c r="BE510" i="40"/>
  <c r="HZ510" i="40"/>
  <c r="JP510" i="40"/>
  <c r="AP509" i="40"/>
  <c r="AO610" i="40"/>
  <c r="CQ610" i="40"/>
  <c r="H611" i="40"/>
  <c r="AI611" i="40"/>
  <c r="BX611" i="40"/>
  <c r="E611" i="40" s="1"/>
  <c r="CJ611" i="40"/>
  <c r="CB611" i="40"/>
  <c r="BH611" i="40"/>
  <c r="P611" i="40"/>
  <c r="CE611" i="40"/>
  <c r="BO611" i="40"/>
  <c r="O611" i="40"/>
  <c r="CO611" i="40" s="1"/>
  <c r="DM611" i="40"/>
  <c r="BV611" i="40"/>
  <c r="BF611" i="40"/>
  <c r="J611" i="40"/>
  <c r="M611" i="40"/>
  <c r="CM611" i="40" s="1"/>
  <c r="DU611" i="40"/>
  <c r="BQ611" i="40"/>
  <c r="JO611" i="40"/>
  <c r="I611" i="40"/>
  <c r="AJ611" i="40"/>
  <c r="F611" i="40"/>
  <c r="C612" i="40"/>
  <c r="BT611" i="40"/>
  <c r="BD611" i="40"/>
  <c r="L611" i="40"/>
  <c r="CL611" i="40" s="1"/>
  <c r="CA611" i="40"/>
  <c r="BK611" i="40"/>
  <c r="K611" i="40"/>
  <c r="CH611" i="40"/>
  <c r="BR611" i="40"/>
  <c r="BB611" i="40"/>
  <c r="CC611" i="40"/>
  <c r="BY611" i="40"/>
  <c r="BU611" i="40"/>
  <c r="AG611" i="40"/>
  <c r="R611" i="40"/>
  <c r="JP611" i="40"/>
  <c r="AE611" i="40"/>
  <c r="AC611" i="40"/>
  <c r="DT611" i="40"/>
  <c r="BP611" i="40"/>
  <c r="AZ611" i="40"/>
  <c r="DW611" i="40"/>
  <c r="BW611" i="40"/>
  <c r="BG611" i="40"/>
  <c r="G611" i="40"/>
  <c r="CD611" i="40"/>
  <c r="BN611" i="40"/>
  <c r="AX611" i="40"/>
  <c r="BM611" i="40"/>
  <c r="BI611" i="40"/>
  <c r="BE611" i="40"/>
  <c r="A611" i="40"/>
  <c r="CF611" i="40"/>
  <c r="BS611" i="40"/>
  <c r="BJ611" i="40"/>
  <c r="CG611" i="40"/>
  <c r="BL611" i="40"/>
  <c r="BC611" i="40"/>
  <c r="N611" i="40"/>
  <c r="CN611" i="40" s="1"/>
  <c r="DS611" i="40"/>
  <c r="BA611" i="40"/>
  <c r="KN611" i="40"/>
  <c r="AF611" i="40"/>
  <c r="AB611" i="40"/>
  <c r="DV611" i="40"/>
  <c r="AW611" i="40"/>
  <c r="BZ611" i="40"/>
  <c r="T611" i="40"/>
  <c r="CR611" i="40" s="1"/>
  <c r="AH611" i="40"/>
  <c r="W611" i="40"/>
  <c r="CU611" i="40" s="1"/>
  <c r="U611" i="40"/>
  <c r="CS611" i="40" s="1"/>
  <c r="Z611" i="40"/>
  <c r="S611" i="40"/>
  <c r="Q611" i="40"/>
  <c r="V611" i="40"/>
  <c r="CT611" i="40" s="1"/>
  <c r="X611" i="40"/>
  <c r="AD611" i="40"/>
  <c r="AA611" i="40"/>
  <c r="Y611" i="40"/>
  <c r="G311" i="40"/>
  <c r="K311" i="40"/>
  <c r="O311" i="40"/>
  <c r="CO311" i="40" s="1"/>
  <c r="S311" i="40"/>
  <c r="W311" i="40"/>
  <c r="CU311" i="40" s="1"/>
  <c r="AA311" i="40"/>
  <c r="AE311" i="40"/>
  <c r="AI311" i="40"/>
  <c r="H311" i="40"/>
  <c r="P311" i="40"/>
  <c r="T311" i="40"/>
  <c r="CR311" i="40" s="1"/>
  <c r="AB311" i="40"/>
  <c r="J311" i="40"/>
  <c r="V311" i="40"/>
  <c r="CT311" i="40" s="1"/>
  <c r="AH311" i="40"/>
  <c r="L311" i="40"/>
  <c r="CL311" i="40" s="1"/>
  <c r="X311" i="40"/>
  <c r="AF311" i="40"/>
  <c r="AJ311" i="40"/>
  <c r="N311" i="40"/>
  <c r="CN311" i="40" s="1"/>
  <c r="Z311" i="40"/>
  <c r="I311" i="40"/>
  <c r="M311" i="40"/>
  <c r="CM311" i="40" s="1"/>
  <c r="Q311" i="40"/>
  <c r="U311" i="40"/>
  <c r="CS311" i="40" s="1"/>
  <c r="Y311" i="40"/>
  <c r="AC311" i="40"/>
  <c r="AG311" i="40"/>
  <c r="F311" i="40"/>
  <c r="R311" i="40"/>
  <c r="AD311" i="40"/>
  <c r="G410" i="40"/>
  <c r="K410" i="40"/>
  <c r="O410" i="40"/>
  <c r="CO410" i="40" s="1"/>
  <c r="S410" i="40"/>
  <c r="W410" i="40"/>
  <c r="CU410" i="40" s="1"/>
  <c r="AA410" i="40"/>
  <c r="AE410" i="40"/>
  <c r="AI410" i="40"/>
  <c r="L410" i="40"/>
  <c r="CL410" i="40" s="1"/>
  <c r="T410" i="40"/>
  <c r="CR410" i="40" s="1"/>
  <c r="AB410" i="40"/>
  <c r="AJ410" i="40"/>
  <c r="H410" i="40"/>
  <c r="P410" i="40"/>
  <c r="X410" i="40"/>
  <c r="AF410" i="40"/>
  <c r="I410" i="40"/>
  <c r="M410" i="40"/>
  <c r="CM410" i="40" s="1"/>
  <c r="Q410" i="40"/>
  <c r="U410" i="40"/>
  <c r="CS410" i="40" s="1"/>
  <c r="Y410" i="40"/>
  <c r="AC410" i="40"/>
  <c r="AG410" i="40"/>
  <c r="N410" i="40"/>
  <c r="CN410" i="40" s="1"/>
  <c r="AD410" i="40"/>
  <c r="R410" i="40"/>
  <c r="AH410" i="40"/>
  <c r="F410" i="40"/>
  <c r="V410" i="40"/>
  <c r="CT410" i="40" s="1"/>
  <c r="J410" i="40"/>
  <c r="Z410" i="40"/>
  <c r="DB410" i="40" s="1"/>
  <c r="CV509" i="40"/>
  <c r="CK509" i="40"/>
  <c r="AM509" i="40"/>
  <c r="AP610" i="40"/>
  <c r="E409" i="40"/>
  <c r="AN610" i="40"/>
  <c r="CP610" i="40"/>
  <c r="CP509" i="40"/>
  <c r="AN509" i="40"/>
  <c r="AO509" i="40"/>
  <c r="CQ509" i="40"/>
  <c r="CK610" i="40"/>
  <c r="AM610" i="40"/>
  <c r="HN110" i="40"/>
  <c r="HQ110" i="40" s="1"/>
  <c r="DB409" i="40"/>
  <c r="AN409" i="40"/>
  <c r="CP409" i="40"/>
  <c r="AO409" i="40"/>
  <c r="CQ409" i="40"/>
  <c r="AP409" i="40"/>
  <c r="IX609" i="40"/>
  <c r="CV409" i="40"/>
  <c r="CK409" i="40"/>
  <c r="AM409" i="40"/>
  <c r="BB410" i="40"/>
  <c r="BR410" i="40"/>
  <c r="CJ410" i="40"/>
  <c r="BC410" i="40"/>
  <c r="BS410" i="40"/>
  <c r="DM410" i="40"/>
  <c r="BD410" i="40"/>
  <c r="BT410" i="40"/>
  <c r="DS410" i="40"/>
  <c r="BU410" i="40"/>
  <c r="BI410" i="40"/>
  <c r="CD410" i="40"/>
  <c r="BA410" i="40"/>
  <c r="IA410" i="40"/>
  <c r="BW410" i="40"/>
  <c r="C411" i="40"/>
  <c r="BF410" i="40"/>
  <c r="BV410" i="40"/>
  <c r="DU410" i="40"/>
  <c r="BG410" i="40"/>
  <c r="DV410" i="40"/>
  <c r="BH410" i="40"/>
  <c r="BY410" i="40"/>
  <c r="DW410" i="40"/>
  <c r="DT410" i="40"/>
  <c r="BZ410" i="40"/>
  <c r="CH410" i="40"/>
  <c r="BQ410" i="40"/>
  <c r="HZ410" i="40"/>
  <c r="JP410" i="40"/>
  <c r="BJ410" i="40"/>
  <c r="CA410" i="40"/>
  <c r="A410" i="40"/>
  <c r="BK410" i="40"/>
  <c r="CB410" i="40"/>
  <c r="BX410" i="40"/>
  <c r="E410" i="40" s="1"/>
  <c r="BL410" i="40"/>
  <c r="CC410" i="40"/>
  <c r="JO410" i="40"/>
  <c r="IZ410" i="40"/>
  <c r="IX410" i="40"/>
  <c r="AW410" i="40"/>
  <c r="BN410" i="40"/>
  <c r="CE410" i="40"/>
  <c r="AX410" i="40"/>
  <c r="BO410" i="40"/>
  <c r="CF410" i="40"/>
  <c r="AZ410" i="40"/>
  <c r="BP410" i="40"/>
  <c r="CG410" i="40"/>
  <c r="BE410" i="40"/>
  <c r="BM410" i="40"/>
  <c r="HY410" i="40"/>
  <c r="IY410" i="40"/>
  <c r="CK210" i="40"/>
  <c r="AM210" i="40"/>
  <c r="AO210" i="40"/>
  <c r="CQ210" i="40"/>
  <c r="AN210" i="40"/>
  <c r="CP210" i="40"/>
  <c r="DB110" i="40"/>
  <c r="AP210" i="40"/>
  <c r="BC211" i="40"/>
  <c r="BS211" i="40"/>
  <c r="DM211" i="40"/>
  <c r="BH211" i="40"/>
  <c r="BY211" i="40"/>
  <c r="DW211" i="40"/>
  <c r="BM211" i="40"/>
  <c r="CD211" i="40"/>
  <c r="BF211" i="40"/>
  <c r="BJ211" i="40"/>
  <c r="BN211" i="40"/>
  <c r="BB211" i="40"/>
  <c r="IX211" i="40"/>
  <c r="C212" i="40"/>
  <c r="BK211" i="40"/>
  <c r="CB211" i="40"/>
  <c r="AZ211" i="40"/>
  <c r="BP211" i="40"/>
  <c r="CG211" i="40"/>
  <c r="BE211" i="40"/>
  <c r="DT211" i="40"/>
  <c r="CJ211" i="40"/>
  <c r="IA211" i="40"/>
  <c r="BG211" i="40"/>
  <c r="BW211" i="40"/>
  <c r="DV211" i="40"/>
  <c r="BL211" i="40"/>
  <c r="CC211" i="40"/>
  <c r="BA211" i="40"/>
  <c r="BQ211" i="40"/>
  <c r="CH211" i="40"/>
  <c r="BV211" i="40"/>
  <c r="CA211" i="40"/>
  <c r="CE211" i="40"/>
  <c r="BR211" i="40"/>
  <c r="HZ211" i="40"/>
  <c r="IZ211" i="40"/>
  <c r="IY211" i="40"/>
  <c r="BU211" i="40"/>
  <c r="DU211" i="40"/>
  <c r="JO211" i="40"/>
  <c r="JP211" i="40"/>
  <c r="BX211" i="40"/>
  <c r="E211" i="40" s="1"/>
  <c r="A211" i="40"/>
  <c r="AX211" i="40"/>
  <c r="BO211" i="40"/>
  <c r="CF211" i="40"/>
  <c r="BD211" i="40"/>
  <c r="BT211" i="40"/>
  <c r="DS211" i="40"/>
  <c r="BI211" i="40"/>
  <c r="BZ211" i="40"/>
  <c r="AW211" i="40"/>
  <c r="HY211" i="40"/>
  <c r="CV210" i="40"/>
  <c r="DB310" i="40"/>
  <c r="AP310" i="40"/>
  <c r="HM110" i="40"/>
  <c r="HP110" i="40" s="1"/>
  <c r="B192" i="75"/>
  <c r="KE103" i="40"/>
  <c r="CV310" i="40"/>
  <c r="AP110" i="40"/>
  <c r="IO110" i="40"/>
  <c r="JA110" i="40" s="1"/>
  <c r="D15" i="44" s="1"/>
  <c r="CK110" i="40"/>
  <c r="AM110" i="40"/>
  <c r="JJ108" i="40"/>
  <c r="HW109" i="40"/>
  <c r="M14" i="44"/>
  <c r="CV110" i="40"/>
  <c r="AL110" i="40"/>
  <c r="AK110" i="40"/>
  <c r="AN110" i="40"/>
  <c r="CP110" i="40"/>
  <c r="HV110" i="40" s="1"/>
  <c r="IQ110" i="40"/>
  <c r="JC110" i="40" s="1"/>
  <c r="F15" i="44" s="1"/>
  <c r="HR110" i="40"/>
  <c r="AO310" i="40"/>
  <c r="CQ310" i="40"/>
  <c r="CP310" i="40"/>
  <c r="AN310" i="40"/>
  <c r="CK310" i="40"/>
  <c r="AM310" i="40"/>
  <c r="C312" i="40"/>
  <c r="BA311" i="40"/>
  <c r="BE311" i="40"/>
  <c r="BI311" i="40"/>
  <c r="BM311" i="40"/>
  <c r="BQ311" i="40"/>
  <c r="BU311" i="40"/>
  <c r="BZ311" i="40"/>
  <c r="CD311" i="40"/>
  <c r="CH311" i="40"/>
  <c r="DT311" i="40"/>
  <c r="AW311" i="40"/>
  <c r="BB311" i="40"/>
  <c r="BF311" i="40"/>
  <c r="BJ311" i="40"/>
  <c r="BN311" i="40"/>
  <c r="BR311" i="40"/>
  <c r="BV311" i="40"/>
  <c r="CA311" i="40"/>
  <c r="CE311" i="40"/>
  <c r="CJ311" i="40"/>
  <c r="DU311" i="40"/>
  <c r="A311" i="40"/>
  <c r="AX311" i="40"/>
  <c r="BC311" i="40"/>
  <c r="BG311" i="40"/>
  <c r="BK311" i="40"/>
  <c r="BO311" i="40"/>
  <c r="BS311" i="40"/>
  <c r="BW311" i="40"/>
  <c r="CB311" i="40"/>
  <c r="CF311" i="40"/>
  <c r="DM311" i="40"/>
  <c r="DV311" i="40"/>
  <c r="BX311" i="40"/>
  <c r="E311" i="40" s="1"/>
  <c r="BH311" i="40"/>
  <c r="BY311" i="40"/>
  <c r="DW311" i="40"/>
  <c r="BL311" i="40"/>
  <c r="CC311" i="40"/>
  <c r="AZ311" i="40"/>
  <c r="BP311" i="40"/>
  <c r="CG311" i="40"/>
  <c r="BD311" i="40"/>
  <c r="BT311" i="40"/>
  <c r="DS311" i="40"/>
  <c r="JO311" i="40"/>
  <c r="IY311" i="40"/>
  <c r="IA311" i="40"/>
  <c r="HY311" i="40"/>
  <c r="IX311" i="40"/>
  <c r="IZ311" i="40"/>
  <c r="HZ311" i="40"/>
  <c r="JP311" i="40"/>
  <c r="HX109" i="40"/>
  <c r="HQ109" i="40"/>
  <c r="AO110" i="40"/>
  <c r="CQ110" i="40"/>
  <c r="IP110" i="40"/>
  <c r="JB110" i="40" s="1"/>
  <c r="E15" i="44" s="1"/>
  <c r="IK111" i="40"/>
  <c r="IN111" i="40" s="1"/>
  <c r="IJ111" i="40"/>
  <c r="IM111" i="40" s="1"/>
  <c r="JF111" i="40"/>
  <c r="HO111" i="40" s="1"/>
  <c r="II111" i="40"/>
  <c r="IL111" i="40" s="1"/>
  <c r="C112" i="40"/>
  <c r="A111" i="40"/>
  <c r="L111" i="40"/>
  <c r="CL111" i="40" s="1"/>
  <c r="AC111" i="40"/>
  <c r="G111" i="40"/>
  <c r="O111" i="40"/>
  <c r="CO111" i="40" s="1"/>
  <c r="AJ111" i="40"/>
  <c r="AW111" i="40"/>
  <c r="BB111" i="40"/>
  <c r="BF111" i="40"/>
  <c r="BJ111" i="40"/>
  <c r="BN111" i="40"/>
  <c r="BR111" i="40"/>
  <c r="BV111" i="40"/>
  <c r="CA111" i="40"/>
  <c r="CE111" i="40"/>
  <c r="CJ111" i="40"/>
  <c r="DU111" i="40"/>
  <c r="BX111" i="40"/>
  <c r="E111" i="40" s="1"/>
  <c r="M111" i="40"/>
  <c r="CM111" i="40" s="1"/>
  <c r="AE111" i="40"/>
  <c r="H111" i="40"/>
  <c r="AB111" i="40"/>
  <c r="AX111" i="40"/>
  <c r="BC111" i="40"/>
  <c r="BG111" i="40"/>
  <c r="BK111" i="40"/>
  <c r="BO111" i="40"/>
  <c r="BS111" i="40"/>
  <c r="BW111" i="40"/>
  <c r="CB111" i="40"/>
  <c r="CF111" i="40"/>
  <c r="DM111" i="40"/>
  <c r="DV111" i="40"/>
  <c r="F111" i="40"/>
  <c r="N111" i="40"/>
  <c r="CN111" i="40" s="1"/>
  <c r="AG111" i="40"/>
  <c r="I111" i="40"/>
  <c r="AD111" i="40"/>
  <c r="AZ111" i="40"/>
  <c r="BD111" i="40"/>
  <c r="BH111" i="40"/>
  <c r="BL111" i="40"/>
  <c r="BP111" i="40"/>
  <c r="BT111" i="40"/>
  <c r="BY111" i="40"/>
  <c r="CC111" i="40"/>
  <c r="CG111" i="40"/>
  <c r="DS111" i="40"/>
  <c r="DW111" i="40"/>
  <c r="J111" i="40"/>
  <c r="BE111" i="40"/>
  <c r="BU111" i="40"/>
  <c r="DT111" i="40"/>
  <c r="K111" i="40"/>
  <c r="AF111" i="40"/>
  <c r="BI111" i="40"/>
  <c r="BZ111" i="40"/>
  <c r="P111" i="40"/>
  <c r="BM111" i="40"/>
  <c r="CD111" i="40"/>
  <c r="BA111" i="40"/>
  <c r="BQ111" i="40"/>
  <c r="CH111" i="40"/>
  <c r="AI111" i="40"/>
  <c r="JO111" i="40"/>
  <c r="AH111" i="40"/>
  <c r="IX111" i="40"/>
  <c r="IZ111" i="40"/>
  <c r="HZ111" i="40"/>
  <c r="IA111" i="40"/>
  <c r="HY111" i="40"/>
  <c r="Z111" i="40"/>
  <c r="W111" i="40"/>
  <c r="CU111" i="40" s="1"/>
  <c r="U111" i="40"/>
  <c r="CS111" i="40" s="1"/>
  <c r="AA111" i="40"/>
  <c r="R111" i="40"/>
  <c r="X111" i="40"/>
  <c r="T111" i="40"/>
  <c r="CR111" i="40" s="1"/>
  <c r="S111" i="40"/>
  <c r="Q111" i="40"/>
  <c r="V111" i="40"/>
  <c r="CT111" i="40" s="1"/>
  <c r="IY111" i="40"/>
  <c r="JP111" i="40"/>
  <c r="Y111" i="40"/>
  <c r="CI111" i="40" l="1"/>
  <c r="HZ610" i="40"/>
  <c r="IY610" i="40" s="1"/>
  <c r="IA610" i="40"/>
  <c r="IZ610" i="40" s="1"/>
  <c r="AP410" i="40"/>
  <c r="HW110" i="40"/>
  <c r="D23" i="70"/>
  <c r="CP611" i="40"/>
  <c r="AN611" i="40"/>
  <c r="DB510" i="40"/>
  <c r="HY610" i="40"/>
  <c r="IX610" i="40" s="1"/>
  <c r="CV611" i="40"/>
  <c r="AN510" i="40"/>
  <c r="CP510" i="40"/>
  <c r="AO510" i="40"/>
  <c r="CQ510" i="40"/>
  <c r="G312" i="40"/>
  <c r="K312" i="40"/>
  <c r="O312" i="40"/>
  <c r="CO312" i="40" s="1"/>
  <c r="S312" i="40"/>
  <c r="W312" i="40"/>
  <c r="CU312" i="40" s="1"/>
  <c r="AA312" i="40"/>
  <c r="AE312" i="40"/>
  <c r="AI312" i="40"/>
  <c r="H312" i="40"/>
  <c r="T312" i="40"/>
  <c r="CR312" i="40" s="1"/>
  <c r="X312" i="40"/>
  <c r="AF312" i="40"/>
  <c r="AJ312" i="40"/>
  <c r="N312" i="40"/>
  <c r="CN312" i="40" s="1"/>
  <c r="Z312" i="40"/>
  <c r="L312" i="40"/>
  <c r="CL312" i="40" s="1"/>
  <c r="P312" i="40"/>
  <c r="AB312" i="40"/>
  <c r="F312" i="40"/>
  <c r="V312" i="40"/>
  <c r="CT312" i="40" s="1"/>
  <c r="AD312" i="40"/>
  <c r="I312" i="40"/>
  <c r="M312" i="40"/>
  <c r="CM312" i="40" s="1"/>
  <c r="Q312" i="40"/>
  <c r="U312" i="40"/>
  <c r="CS312" i="40" s="1"/>
  <c r="Y312" i="40"/>
  <c r="AC312" i="40"/>
  <c r="AG312" i="40"/>
  <c r="J312" i="40"/>
  <c r="R312" i="40"/>
  <c r="AH312" i="40"/>
  <c r="CQ611" i="40"/>
  <c r="AO611" i="40"/>
  <c r="AE612" i="40"/>
  <c r="DW612" i="40"/>
  <c r="BW612" i="40"/>
  <c r="BG612" i="40"/>
  <c r="G612" i="40"/>
  <c r="CD612" i="40"/>
  <c r="BN612" i="40"/>
  <c r="AX612" i="40"/>
  <c r="CG612" i="40"/>
  <c r="BQ612" i="40"/>
  <c r="BA612" i="40"/>
  <c r="A612" i="40"/>
  <c r="AZ612" i="40"/>
  <c r="AB612" i="40"/>
  <c r="BT612" i="40"/>
  <c r="JO612" i="40"/>
  <c r="AF612" i="40"/>
  <c r="BX612" i="40"/>
  <c r="E612" i="40" s="1"/>
  <c r="DS612" i="40"/>
  <c r="BS612" i="40"/>
  <c r="BC612" i="40"/>
  <c r="DV612" i="40"/>
  <c r="BZ612" i="40"/>
  <c r="BJ612" i="40"/>
  <c r="N612" i="40"/>
  <c r="CN612" i="40" s="1"/>
  <c r="CC612" i="40"/>
  <c r="BM612" i="40"/>
  <c r="AW612" i="40"/>
  <c r="C613" i="40"/>
  <c r="P612" i="40"/>
  <c r="L612" i="40"/>
  <c r="CL612" i="40" s="1"/>
  <c r="BD612" i="40"/>
  <c r="JP612" i="40"/>
  <c r="H612" i="40"/>
  <c r="AI612" i="40"/>
  <c r="F612" i="40"/>
  <c r="CE612" i="40"/>
  <c r="BO612" i="40"/>
  <c r="O612" i="40"/>
  <c r="CO612" i="40" s="1"/>
  <c r="DM612" i="40"/>
  <c r="BV612" i="40"/>
  <c r="BF612" i="40"/>
  <c r="J612" i="40"/>
  <c r="BY612" i="40"/>
  <c r="BI612" i="40"/>
  <c r="AG612" i="40"/>
  <c r="CF612" i="40"/>
  <c r="CB612" i="40"/>
  <c r="BH612" i="40"/>
  <c r="KN612" i="40"/>
  <c r="I612" i="40"/>
  <c r="CJ612" i="40"/>
  <c r="K612" i="40"/>
  <c r="DU612" i="40"/>
  <c r="BP612" i="40"/>
  <c r="AJ612" i="40"/>
  <c r="CH612" i="40"/>
  <c r="BU612" i="40"/>
  <c r="BL612" i="40"/>
  <c r="Z612" i="40"/>
  <c r="AC612" i="40"/>
  <c r="BB612" i="40"/>
  <c r="CA612" i="40"/>
  <c r="BR612" i="40"/>
  <c r="BE612" i="40"/>
  <c r="DT612" i="40"/>
  <c r="BK612" i="40"/>
  <c r="M612" i="40"/>
  <c r="CM612" i="40" s="1"/>
  <c r="T612" i="40"/>
  <c r="CR612" i="40" s="1"/>
  <c r="W612" i="40"/>
  <c r="CU612" i="40" s="1"/>
  <c r="AH612" i="40"/>
  <c r="R612" i="40"/>
  <c r="V612" i="40"/>
  <c r="CT612" i="40" s="1"/>
  <c r="S612" i="40"/>
  <c r="U612" i="40"/>
  <c r="CS612" i="40" s="1"/>
  <c r="X612" i="40"/>
  <c r="Q612" i="40"/>
  <c r="AA612" i="40"/>
  <c r="AD612" i="40"/>
  <c r="Y612" i="40"/>
  <c r="AP510" i="40"/>
  <c r="G411" i="40"/>
  <c r="K411" i="40"/>
  <c r="O411" i="40"/>
  <c r="CO411" i="40" s="1"/>
  <c r="S411" i="40"/>
  <c r="W411" i="40"/>
  <c r="CU411" i="40" s="1"/>
  <c r="AA411" i="40"/>
  <c r="AE411" i="40"/>
  <c r="AI411" i="40"/>
  <c r="L411" i="40"/>
  <c r="CL411" i="40" s="1"/>
  <c r="T411" i="40"/>
  <c r="CR411" i="40" s="1"/>
  <c r="AB411" i="40"/>
  <c r="AJ411" i="40"/>
  <c r="H411" i="40"/>
  <c r="P411" i="40"/>
  <c r="X411" i="40"/>
  <c r="AF411" i="40"/>
  <c r="I411" i="40"/>
  <c r="M411" i="40"/>
  <c r="CM411" i="40" s="1"/>
  <c r="Q411" i="40"/>
  <c r="U411" i="40"/>
  <c r="CS411" i="40" s="1"/>
  <c r="Y411" i="40"/>
  <c r="AC411" i="40"/>
  <c r="AG411" i="40"/>
  <c r="N411" i="40"/>
  <c r="CN411" i="40" s="1"/>
  <c r="AD411" i="40"/>
  <c r="Z411" i="40"/>
  <c r="R411" i="40"/>
  <c r="AH411" i="40"/>
  <c r="F411" i="40"/>
  <c r="V411" i="40"/>
  <c r="CT411" i="40" s="1"/>
  <c r="J411" i="40"/>
  <c r="AP611" i="40"/>
  <c r="DB611" i="40"/>
  <c r="G511" i="40"/>
  <c r="K511" i="40"/>
  <c r="O511" i="40"/>
  <c r="CO511" i="40" s="1"/>
  <c r="S511" i="40"/>
  <c r="W511" i="40"/>
  <c r="CU511" i="40" s="1"/>
  <c r="AA511" i="40"/>
  <c r="AE511" i="40"/>
  <c r="AI511" i="40"/>
  <c r="L511" i="40"/>
  <c r="CL511" i="40" s="1"/>
  <c r="T511" i="40"/>
  <c r="CR511" i="40" s="1"/>
  <c r="AB511" i="40"/>
  <c r="AJ511" i="40"/>
  <c r="H511" i="40"/>
  <c r="P511" i="40"/>
  <c r="X511" i="40"/>
  <c r="AF511" i="40"/>
  <c r="I511" i="40"/>
  <c r="M511" i="40"/>
  <c r="CM511" i="40" s="1"/>
  <c r="Q511" i="40"/>
  <c r="U511" i="40"/>
  <c r="CS511" i="40" s="1"/>
  <c r="Y511" i="40"/>
  <c r="AC511" i="40"/>
  <c r="AG511" i="40"/>
  <c r="N511" i="40"/>
  <c r="CN511" i="40" s="1"/>
  <c r="AD511" i="40"/>
  <c r="Z511" i="40"/>
  <c r="R511" i="40"/>
  <c r="AH511" i="40"/>
  <c r="F511" i="40"/>
  <c r="V511" i="40"/>
  <c r="CT511" i="40" s="1"/>
  <c r="J511" i="40"/>
  <c r="BX511" i="40"/>
  <c r="E511" i="40" s="1"/>
  <c r="BH511" i="40"/>
  <c r="BY511" i="40"/>
  <c r="DW511" i="40"/>
  <c r="BI511" i="40"/>
  <c r="BZ511" i="40"/>
  <c r="AW511" i="40"/>
  <c r="BN511" i="40"/>
  <c r="CE511" i="40"/>
  <c r="BS511" i="40"/>
  <c r="JO511" i="40"/>
  <c r="CF511" i="40"/>
  <c r="HZ511" i="40"/>
  <c r="JP511" i="40"/>
  <c r="BP511" i="40"/>
  <c r="CG511" i="40"/>
  <c r="BA511" i="40"/>
  <c r="BQ511" i="40"/>
  <c r="BF511" i="40"/>
  <c r="DU511" i="40"/>
  <c r="AX511" i="40"/>
  <c r="IA511" i="40"/>
  <c r="IY511" i="40"/>
  <c r="BO511" i="40"/>
  <c r="BL511" i="40"/>
  <c r="CC511" i="40"/>
  <c r="BM511" i="40"/>
  <c r="CD511" i="40"/>
  <c r="BB511" i="40"/>
  <c r="BR511" i="40"/>
  <c r="CJ511" i="40"/>
  <c r="BG511" i="40"/>
  <c r="DM511" i="40"/>
  <c r="BC511" i="40"/>
  <c r="IZ511" i="40"/>
  <c r="AZ511" i="40"/>
  <c r="CH511" i="40"/>
  <c r="BV511" i="40"/>
  <c r="BW511" i="40"/>
  <c r="BK511" i="40"/>
  <c r="C512" i="40"/>
  <c r="BD511" i="40"/>
  <c r="BT511" i="40"/>
  <c r="DS511" i="40"/>
  <c r="BE511" i="40"/>
  <c r="BU511" i="40"/>
  <c r="DT511" i="40"/>
  <c r="BJ511" i="40"/>
  <c r="CA511" i="40"/>
  <c r="A511" i="40"/>
  <c r="DV511" i="40"/>
  <c r="CB511" i="40"/>
  <c r="HY511" i="40"/>
  <c r="IX511" i="40"/>
  <c r="CV510" i="40"/>
  <c r="AM510" i="40"/>
  <c r="CK510" i="40"/>
  <c r="H212" i="40"/>
  <c r="L212" i="40"/>
  <c r="CL212" i="40" s="1"/>
  <c r="P212" i="40"/>
  <c r="T212" i="40"/>
  <c r="CR212" i="40" s="1"/>
  <c r="X212" i="40"/>
  <c r="AB212" i="40"/>
  <c r="AF212" i="40"/>
  <c r="AJ212" i="40"/>
  <c r="F212" i="40"/>
  <c r="J212" i="40"/>
  <c r="N212" i="40"/>
  <c r="CN212" i="40" s="1"/>
  <c r="R212" i="40"/>
  <c r="V212" i="40"/>
  <c r="CT212" i="40" s="1"/>
  <c r="Z212" i="40"/>
  <c r="AD212" i="40"/>
  <c r="AH212" i="40"/>
  <c r="I212" i="40"/>
  <c r="Q212" i="40"/>
  <c r="Y212" i="40"/>
  <c r="AG212" i="40"/>
  <c r="O212" i="40"/>
  <c r="CO212" i="40" s="1"/>
  <c r="K212" i="40"/>
  <c r="S212" i="40"/>
  <c r="AA212" i="40"/>
  <c r="AI212" i="40"/>
  <c r="G212" i="40"/>
  <c r="AE212" i="40"/>
  <c r="M212" i="40"/>
  <c r="CM212" i="40" s="1"/>
  <c r="U212" i="40"/>
  <c r="CS212" i="40" s="1"/>
  <c r="AC212" i="40"/>
  <c r="W212" i="40"/>
  <c r="CK611" i="40"/>
  <c r="AM611" i="40"/>
  <c r="CP410" i="40"/>
  <c r="AN410" i="40"/>
  <c r="CV410" i="40"/>
  <c r="AM410" i="40"/>
  <c r="CK410" i="40"/>
  <c r="CQ410" i="40"/>
  <c r="AO410" i="40"/>
  <c r="BD411" i="40"/>
  <c r="BT411" i="40"/>
  <c r="DS411" i="40"/>
  <c r="BE411" i="40"/>
  <c r="BU411" i="40"/>
  <c r="DT411" i="40"/>
  <c r="BF411" i="40"/>
  <c r="BV411" i="40"/>
  <c r="DU411" i="40"/>
  <c r="DM411" i="40"/>
  <c r="BW411" i="40"/>
  <c r="CB411" i="40"/>
  <c r="BO411" i="40"/>
  <c r="IZ411" i="40"/>
  <c r="IY411" i="40"/>
  <c r="AW411" i="40"/>
  <c r="BP411" i="40"/>
  <c r="BQ411" i="40"/>
  <c r="BR411" i="40"/>
  <c r="BS411" i="40"/>
  <c r="BK411" i="40"/>
  <c r="HZ411" i="40"/>
  <c r="C412" i="40"/>
  <c r="BH411" i="40"/>
  <c r="BY411" i="40"/>
  <c r="DW411" i="40"/>
  <c r="BI411" i="40"/>
  <c r="BZ411" i="40"/>
  <c r="BJ411" i="40"/>
  <c r="CA411" i="40"/>
  <c r="A411" i="40"/>
  <c r="DV411" i="40"/>
  <c r="CF411" i="40"/>
  <c r="AX411" i="40"/>
  <c r="IA411" i="40"/>
  <c r="JP411" i="40"/>
  <c r="IX411" i="40"/>
  <c r="BX411" i="40"/>
  <c r="BL411" i="40"/>
  <c r="CC411" i="40"/>
  <c r="BM411" i="40"/>
  <c r="CD411" i="40"/>
  <c r="BN411" i="40"/>
  <c r="CE411" i="40"/>
  <c r="BC411" i="40"/>
  <c r="HY411" i="40"/>
  <c r="AZ411" i="40"/>
  <c r="CG411" i="40"/>
  <c r="BA411" i="40"/>
  <c r="CH411" i="40"/>
  <c r="BB411" i="40"/>
  <c r="CJ411" i="40"/>
  <c r="BG411" i="40"/>
  <c r="JO411" i="40"/>
  <c r="AP211" i="40"/>
  <c r="M15" i="44"/>
  <c r="CV211" i="40"/>
  <c r="AM211" i="40"/>
  <c r="CK211" i="40"/>
  <c r="C213" i="40"/>
  <c r="BI212" i="40"/>
  <c r="BZ212" i="40"/>
  <c r="BJ212" i="40"/>
  <c r="CA212" i="40"/>
  <c r="A212" i="40"/>
  <c r="BK212" i="40"/>
  <c r="CB212" i="40"/>
  <c r="BX212" i="40"/>
  <c r="E212" i="40" s="1"/>
  <c r="DW212" i="40"/>
  <c r="BP212" i="40"/>
  <c r="JO212" i="40"/>
  <c r="HZ212" i="40"/>
  <c r="BQ212" i="40"/>
  <c r="CH212" i="40"/>
  <c r="BB212" i="40"/>
  <c r="CJ212" i="40"/>
  <c r="BC212" i="40"/>
  <c r="BT212" i="40"/>
  <c r="CG212" i="40"/>
  <c r="IY212" i="40"/>
  <c r="BE212" i="40"/>
  <c r="BU212" i="40"/>
  <c r="DT212" i="40"/>
  <c r="BF212" i="40"/>
  <c r="BV212" i="40"/>
  <c r="DU212" i="40"/>
  <c r="BG212" i="40"/>
  <c r="BW212" i="40"/>
  <c r="DV212" i="40"/>
  <c r="DS212" i="40"/>
  <c r="BY212" i="40"/>
  <c r="CC212" i="40"/>
  <c r="AZ212" i="40"/>
  <c r="IA212" i="40"/>
  <c r="IZ212" i="40"/>
  <c r="JP212" i="40"/>
  <c r="BM212" i="40"/>
  <c r="CD212" i="40"/>
  <c r="AW212" i="40"/>
  <c r="BN212" i="40"/>
  <c r="CE212" i="40"/>
  <c r="AX212" i="40"/>
  <c r="BO212" i="40"/>
  <c r="CF212" i="40"/>
  <c r="BD212" i="40"/>
  <c r="HY212" i="40"/>
  <c r="DM212" i="40"/>
  <c r="BL212" i="40"/>
  <c r="BA212" i="40"/>
  <c r="BR212" i="40"/>
  <c r="BS212" i="40"/>
  <c r="BH212" i="40"/>
  <c r="IX212" i="40"/>
  <c r="CQ211" i="40"/>
  <c r="AO211" i="40"/>
  <c r="CP211" i="40"/>
  <c r="AN211" i="40"/>
  <c r="DB211" i="40"/>
  <c r="HX110" i="40"/>
  <c r="D110" i="40"/>
  <c r="AY110" i="40" s="1"/>
  <c r="DB311" i="40"/>
  <c r="DB111" i="40"/>
  <c r="JJ109" i="40"/>
  <c r="B193" i="75"/>
  <c r="CV111" i="40"/>
  <c r="AK111" i="40"/>
  <c r="AL111" i="40"/>
  <c r="AN111" i="40"/>
  <c r="CP111" i="40"/>
  <c r="HX111" i="40" s="1"/>
  <c r="HM111" i="40"/>
  <c r="HP111" i="40" s="1"/>
  <c r="CK111" i="40"/>
  <c r="AM111" i="40"/>
  <c r="IO111" i="40"/>
  <c r="JA111" i="40" s="1"/>
  <c r="D16" i="44" s="1"/>
  <c r="AO111" i="40"/>
  <c r="CQ111" i="40"/>
  <c r="IQ111" i="40"/>
  <c r="JC111" i="40" s="1"/>
  <c r="F16" i="44" s="1"/>
  <c r="HR111" i="40"/>
  <c r="AO311" i="40"/>
  <c r="CQ311" i="40"/>
  <c r="CP311" i="40"/>
  <c r="AN311" i="40"/>
  <c r="CK311" i="40"/>
  <c r="AM311" i="40"/>
  <c r="C313" i="40"/>
  <c r="A312" i="40"/>
  <c r="AX312" i="40"/>
  <c r="BC312" i="40"/>
  <c r="BG312" i="40"/>
  <c r="BK312" i="40"/>
  <c r="BO312" i="40"/>
  <c r="BS312" i="40"/>
  <c r="BW312" i="40"/>
  <c r="CB312" i="40"/>
  <c r="CF312" i="40"/>
  <c r="DM312" i="40"/>
  <c r="DV312" i="40"/>
  <c r="BX312" i="40"/>
  <c r="E312" i="40" s="1"/>
  <c r="AZ312" i="40"/>
  <c r="BD312" i="40"/>
  <c r="BH312" i="40"/>
  <c r="BL312" i="40"/>
  <c r="BP312" i="40"/>
  <c r="BT312" i="40"/>
  <c r="BY312" i="40"/>
  <c r="CC312" i="40"/>
  <c r="CG312" i="40"/>
  <c r="DS312" i="40"/>
  <c r="DW312" i="40"/>
  <c r="BA312" i="40"/>
  <c r="BE312" i="40"/>
  <c r="BI312" i="40"/>
  <c r="BM312" i="40"/>
  <c r="BQ312" i="40"/>
  <c r="BU312" i="40"/>
  <c r="BZ312" i="40"/>
  <c r="CD312" i="40"/>
  <c r="CH312" i="40"/>
  <c r="DT312" i="40"/>
  <c r="BF312" i="40"/>
  <c r="BV312" i="40"/>
  <c r="DU312" i="40"/>
  <c r="BJ312" i="40"/>
  <c r="CA312" i="40"/>
  <c r="AW312" i="40"/>
  <c r="BN312" i="40"/>
  <c r="CE312" i="40"/>
  <c r="BB312" i="40"/>
  <c r="BR312" i="40"/>
  <c r="CJ312" i="40"/>
  <c r="JO312" i="40"/>
  <c r="IY312" i="40"/>
  <c r="IA312" i="40"/>
  <c r="IZ312" i="40"/>
  <c r="HY312" i="40"/>
  <c r="IX312" i="40"/>
  <c r="HZ312" i="40"/>
  <c r="JP312" i="40"/>
  <c r="IP111" i="40"/>
  <c r="JB111" i="40" s="1"/>
  <c r="E16" i="44" s="1"/>
  <c r="HN111" i="40"/>
  <c r="HQ111" i="40" s="1"/>
  <c r="CV311" i="40"/>
  <c r="AP311" i="40"/>
  <c r="JH109" i="40"/>
  <c r="KC104" i="40"/>
  <c r="KD104" i="40" s="1"/>
  <c r="KE104" i="40" s="1"/>
  <c r="KG103" i="40"/>
  <c r="HS111" i="40" s="1"/>
  <c r="AP111" i="40"/>
  <c r="JF112" i="40"/>
  <c r="HO112" i="40" s="1"/>
  <c r="IK112" i="40"/>
  <c r="IN112" i="40" s="1"/>
  <c r="II112" i="40"/>
  <c r="IL112" i="40" s="1"/>
  <c r="IJ112" i="40"/>
  <c r="IM112" i="40" s="1"/>
  <c r="C113" i="40"/>
  <c r="BX112" i="40"/>
  <c r="M112" i="40"/>
  <c r="CM112" i="40" s="1"/>
  <c r="AE112" i="40"/>
  <c r="H112" i="40"/>
  <c r="AB112" i="40"/>
  <c r="AJ112" i="40"/>
  <c r="AW112" i="40"/>
  <c r="BB112" i="40"/>
  <c r="F112" i="40"/>
  <c r="N112" i="40"/>
  <c r="CN112" i="40" s="1"/>
  <c r="AG112" i="40"/>
  <c r="I112" i="40"/>
  <c r="AD112" i="40"/>
  <c r="AX112" i="40"/>
  <c r="BC112" i="40"/>
  <c r="K112" i="40"/>
  <c r="P112" i="40"/>
  <c r="AI112" i="40"/>
  <c r="J112" i="40"/>
  <c r="AF112" i="40"/>
  <c r="AZ112" i="40"/>
  <c r="BD112" i="40"/>
  <c r="G112" i="40"/>
  <c r="BA112" i="40"/>
  <c r="BH112" i="40"/>
  <c r="BL112" i="40"/>
  <c r="BP112" i="40"/>
  <c r="BT112" i="40"/>
  <c r="BY112" i="40"/>
  <c r="CC112" i="40"/>
  <c r="CG112" i="40"/>
  <c r="DS112" i="40"/>
  <c r="DW112" i="40"/>
  <c r="A112" i="40"/>
  <c r="O112" i="40"/>
  <c r="CO112" i="40" s="1"/>
  <c r="BE112" i="40"/>
  <c r="BI112" i="40"/>
  <c r="BM112" i="40"/>
  <c r="BQ112" i="40"/>
  <c r="BU112" i="40"/>
  <c r="BZ112" i="40"/>
  <c r="CD112" i="40"/>
  <c r="CH112" i="40"/>
  <c r="DT112" i="40"/>
  <c r="L112" i="40"/>
  <c r="CL112" i="40" s="1"/>
  <c r="AH112" i="40"/>
  <c r="BF112" i="40"/>
  <c r="BJ112" i="40"/>
  <c r="BN112" i="40"/>
  <c r="BR112" i="40"/>
  <c r="BV112" i="40"/>
  <c r="CA112" i="40"/>
  <c r="CE112" i="40"/>
  <c r="CJ112" i="40"/>
  <c r="DU112" i="40"/>
  <c r="AC112" i="40"/>
  <c r="BO112" i="40"/>
  <c r="CF112" i="40"/>
  <c r="BS112" i="40"/>
  <c r="DM112" i="40"/>
  <c r="BG112" i="40"/>
  <c r="BW112" i="40"/>
  <c r="DV112" i="40"/>
  <c r="BK112" i="40"/>
  <c r="CB112" i="40"/>
  <c r="JO112" i="40"/>
  <c r="IX112" i="40"/>
  <c r="IZ112" i="40"/>
  <c r="HZ112" i="40"/>
  <c r="HY112" i="40"/>
  <c r="IA112" i="40"/>
  <c r="AA112" i="40"/>
  <c r="E112" i="40"/>
  <c r="R112" i="40"/>
  <c r="X112" i="40"/>
  <c r="T112" i="40"/>
  <c r="CR112" i="40" s="1"/>
  <c r="S112" i="40"/>
  <c r="Q112" i="40"/>
  <c r="V112" i="40"/>
  <c r="CT112" i="40" s="1"/>
  <c r="Z112" i="40"/>
  <c r="W112" i="40"/>
  <c r="CU112" i="40" s="1"/>
  <c r="U112" i="40"/>
  <c r="CS112" i="40" s="1"/>
  <c r="IY112" i="40"/>
  <c r="JP112" i="40"/>
  <c r="Y112" i="40"/>
  <c r="JH110" i="40"/>
  <c r="CI112" i="40" l="1"/>
  <c r="JJ110" i="40"/>
  <c r="HZ611" i="40"/>
  <c r="IY611" i="40" s="1"/>
  <c r="D111" i="40"/>
  <c r="D11" i="70" s="1"/>
  <c r="AY11" i="70" s="1"/>
  <c r="IA611" i="40"/>
  <c r="IZ611" i="40" s="1"/>
  <c r="HY611" i="40"/>
  <c r="IX611" i="40" s="1"/>
  <c r="AP212" i="40"/>
  <c r="CV612" i="40"/>
  <c r="AN612" i="40"/>
  <c r="G512" i="40"/>
  <c r="K512" i="40"/>
  <c r="O512" i="40"/>
  <c r="CO512" i="40" s="1"/>
  <c r="S512" i="40"/>
  <c r="W512" i="40"/>
  <c r="CU512" i="40" s="1"/>
  <c r="AA512" i="40"/>
  <c r="AE512" i="40"/>
  <c r="AI512" i="40"/>
  <c r="L512" i="40"/>
  <c r="CL512" i="40" s="1"/>
  <c r="T512" i="40"/>
  <c r="CR512" i="40" s="1"/>
  <c r="AB512" i="40"/>
  <c r="AJ512" i="40"/>
  <c r="H512" i="40"/>
  <c r="P512" i="40"/>
  <c r="X512" i="40"/>
  <c r="AF512" i="40"/>
  <c r="I512" i="40"/>
  <c r="M512" i="40"/>
  <c r="CM512" i="40" s="1"/>
  <c r="Q512" i="40"/>
  <c r="U512" i="40"/>
  <c r="CS512" i="40" s="1"/>
  <c r="Y512" i="40"/>
  <c r="AC512" i="40"/>
  <c r="AG512" i="40"/>
  <c r="N512" i="40"/>
  <c r="CN512" i="40" s="1"/>
  <c r="AD512" i="40"/>
  <c r="AH512" i="40"/>
  <c r="Z512" i="40"/>
  <c r="R512" i="40"/>
  <c r="F512" i="40"/>
  <c r="V512" i="40"/>
  <c r="CT512" i="40" s="1"/>
  <c r="J512" i="40"/>
  <c r="BK512" i="40"/>
  <c r="CB512" i="40"/>
  <c r="BX512" i="40"/>
  <c r="E512" i="40" s="1"/>
  <c r="BH512" i="40"/>
  <c r="BY512" i="40"/>
  <c r="DW512" i="40"/>
  <c r="BI512" i="40"/>
  <c r="BZ512" i="40"/>
  <c r="BF512" i="40"/>
  <c r="CJ512" i="40"/>
  <c r="BN512" i="40"/>
  <c r="HY512" i="40"/>
  <c r="IX512" i="40"/>
  <c r="A512" i="40"/>
  <c r="AX512" i="40"/>
  <c r="BO512" i="40"/>
  <c r="CF512" i="40"/>
  <c r="BL512" i="40"/>
  <c r="CC512" i="40"/>
  <c r="BM512" i="40"/>
  <c r="CD512" i="40"/>
  <c r="BV512" i="40"/>
  <c r="BJ512" i="40"/>
  <c r="CE512" i="40"/>
  <c r="IA512" i="40"/>
  <c r="IY512" i="40"/>
  <c r="C513" i="40"/>
  <c r="BC512" i="40"/>
  <c r="BS512" i="40"/>
  <c r="DM512" i="40"/>
  <c r="AZ512" i="40"/>
  <c r="BP512" i="40"/>
  <c r="CG512" i="40"/>
  <c r="BA512" i="40"/>
  <c r="BQ512" i="40"/>
  <c r="CH512" i="40"/>
  <c r="DU512" i="40"/>
  <c r="CA512" i="40"/>
  <c r="JO512" i="40"/>
  <c r="HZ512" i="40"/>
  <c r="JP512" i="40"/>
  <c r="BG512" i="40"/>
  <c r="BW512" i="40"/>
  <c r="DV512" i="40"/>
  <c r="BD512" i="40"/>
  <c r="BT512" i="40"/>
  <c r="DS512" i="40"/>
  <c r="BE512" i="40"/>
  <c r="BU512" i="40"/>
  <c r="DT512" i="40"/>
  <c r="BB512" i="40"/>
  <c r="AW512" i="40"/>
  <c r="BR512" i="40"/>
  <c r="IZ512" i="40"/>
  <c r="CU212" i="40"/>
  <c r="CV511" i="40"/>
  <c r="AM511" i="40"/>
  <c r="CK511" i="40"/>
  <c r="CP612" i="40"/>
  <c r="CQ612" i="40"/>
  <c r="AO612" i="40"/>
  <c r="CK612" i="40"/>
  <c r="AM612" i="40"/>
  <c r="H613" i="40"/>
  <c r="AI613" i="40"/>
  <c r="AC613" i="40"/>
  <c r="CH613" i="40"/>
  <c r="BR613" i="40"/>
  <c r="BB613" i="40"/>
  <c r="DU613" i="40"/>
  <c r="BU613" i="40"/>
  <c r="BE613" i="40"/>
  <c r="M613" i="40"/>
  <c r="CM613" i="40" s="1"/>
  <c r="CF613" i="40"/>
  <c r="BP613" i="40"/>
  <c r="AZ613" i="40"/>
  <c r="DS613" i="40"/>
  <c r="BO613" i="40"/>
  <c r="G613" i="40"/>
  <c r="BG613" i="40"/>
  <c r="Z613" i="40"/>
  <c r="JO613" i="40"/>
  <c r="I613" i="40"/>
  <c r="AJ613" i="40"/>
  <c r="CD613" i="40"/>
  <c r="BN613" i="40"/>
  <c r="AX613" i="40"/>
  <c r="CG613" i="40"/>
  <c r="BQ613" i="40"/>
  <c r="BA613" i="40"/>
  <c r="A613" i="40"/>
  <c r="CB613" i="40"/>
  <c r="BL613" i="40"/>
  <c r="AB613" i="40"/>
  <c r="BS613" i="40"/>
  <c r="O613" i="40"/>
  <c r="CO613" i="40" s="1"/>
  <c r="CA613" i="40"/>
  <c r="JP613" i="40"/>
  <c r="AE613" i="40"/>
  <c r="CJ613" i="40"/>
  <c r="DV613" i="40"/>
  <c r="BZ613" i="40"/>
  <c r="BJ613" i="40"/>
  <c r="N613" i="40"/>
  <c r="CN613" i="40" s="1"/>
  <c r="CC613" i="40"/>
  <c r="BM613" i="40"/>
  <c r="AW613" i="40"/>
  <c r="C614" i="40"/>
  <c r="BX613" i="40"/>
  <c r="BH613" i="40"/>
  <c r="P613" i="40"/>
  <c r="BC613" i="40"/>
  <c r="DW613" i="40"/>
  <c r="BK613" i="40"/>
  <c r="R613" i="40"/>
  <c r="BF613" i="40"/>
  <c r="AG613" i="40"/>
  <c r="L613" i="40"/>
  <c r="CL613" i="40" s="1"/>
  <c r="J613" i="40"/>
  <c r="DT613" i="40"/>
  <c r="CE613" i="40"/>
  <c r="BV613" i="40"/>
  <c r="BD613" i="40"/>
  <c r="KN613" i="40"/>
  <c r="F613" i="40"/>
  <c r="DM613" i="40"/>
  <c r="BY613" i="40"/>
  <c r="BT613" i="40"/>
  <c r="BW613" i="40"/>
  <c r="BI613" i="40"/>
  <c r="K613" i="40"/>
  <c r="AF613" i="40"/>
  <c r="AH613" i="40"/>
  <c r="DB613" i="40" s="1"/>
  <c r="T613" i="40"/>
  <c r="CR613" i="40" s="1"/>
  <c r="W613" i="40"/>
  <c r="CU613" i="40" s="1"/>
  <c r="U613" i="40"/>
  <c r="CS613" i="40" s="1"/>
  <c r="Q613" i="40"/>
  <c r="V613" i="40"/>
  <c r="CT613" i="40" s="1"/>
  <c r="S613" i="40"/>
  <c r="X613" i="40"/>
  <c r="AD613" i="40"/>
  <c r="AA613" i="40"/>
  <c r="E613" i="40"/>
  <c r="Y613" i="40"/>
  <c r="G313" i="40"/>
  <c r="K313" i="40"/>
  <c r="O313" i="40"/>
  <c r="CO313" i="40" s="1"/>
  <c r="S313" i="40"/>
  <c r="W313" i="40"/>
  <c r="CU313" i="40" s="1"/>
  <c r="AA313" i="40"/>
  <c r="AE313" i="40"/>
  <c r="AI313" i="40"/>
  <c r="H313" i="40"/>
  <c r="P313" i="40"/>
  <c r="T313" i="40"/>
  <c r="CR313" i="40" s="1"/>
  <c r="AB313" i="40"/>
  <c r="AJ313" i="40"/>
  <c r="J313" i="40"/>
  <c r="R313" i="40"/>
  <c r="AD313" i="40"/>
  <c r="L313" i="40"/>
  <c r="CL313" i="40" s="1"/>
  <c r="X313" i="40"/>
  <c r="AF313" i="40"/>
  <c r="F313" i="40"/>
  <c r="V313" i="40"/>
  <c r="CT313" i="40" s="1"/>
  <c r="AH313" i="40"/>
  <c r="E313" i="40"/>
  <c r="I313" i="40"/>
  <c r="M313" i="40"/>
  <c r="CM313" i="40" s="1"/>
  <c r="Q313" i="40"/>
  <c r="U313" i="40"/>
  <c r="CS313" i="40" s="1"/>
  <c r="Y313" i="40"/>
  <c r="AC313" i="40"/>
  <c r="AG313" i="40"/>
  <c r="N313" i="40"/>
  <c r="CN313" i="40" s="1"/>
  <c r="Z313" i="40"/>
  <c r="HV111" i="40"/>
  <c r="H213" i="40"/>
  <c r="L213" i="40"/>
  <c r="CL213" i="40" s="1"/>
  <c r="P213" i="40"/>
  <c r="T213" i="40"/>
  <c r="CR213" i="40" s="1"/>
  <c r="X213" i="40"/>
  <c r="AB213" i="40"/>
  <c r="AF213" i="40"/>
  <c r="AJ213" i="40"/>
  <c r="F213" i="40"/>
  <c r="J213" i="40"/>
  <c r="N213" i="40"/>
  <c r="CN213" i="40" s="1"/>
  <c r="R213" i="40"/>
  <c r="V213" i="40"/>
  <c r="CT213" i="40" s="1"/>
  <c r="Z213" i="40"/>
  <c r="AD213" i="40"/>
  <c r="AH213" i="40"/>
  <c r="I213" i="40"/>
  <c r="Q213" i="40"/>
  <c r="Y213" i="40"/>
  <c r="AG213" i="40"/>
  <c r="G213" i="40"/>
  <c r="AE213" i="40"/>
  <c r="K213" i="40"/>
  <c r="S213" i="40"/>
  <c r="AA213" i="40"/>
  <c r="AI213" i="40"/>
  <c r="W213" i="40"/>
  <c r="CU213" i="40" s="1"/>
  <c r="E213" i="40"/>
  <c r="M213" i="40"/>
  <c r="CM213" i="40" s="1"/>
  <c r="U213" i="40"/>
  <c r="CS213" i="40" s="1"/>
  <c r="AC213" i="40"/>
  <c r="O213" i="40"/>
  <c r="CO213" i="40" s="1"/>
  <c r="AN511" i="40"/>
  <c r="CP511" i="40"/>
  <c r="AO511" i="40"/>
  <c r="CQ511" i="40"/>
  <c r="AP612" i="40"/>
  <c r="DB612" i="40"/>
  <c r="G412" i="40"/>
  <c r="K412" i="40"/>
  <c r="O412" i="40"/>
  <c r="CO412" i="40" s="1"/>
  <c r="S412" i="40"/>
  <c r="W412" i="40"/>
  <c r="CU412" i="40" s="1"/>
  <c r="AA412" i="40"/>
  <c r="AE412" i="40"/>
  <c r="AI412" i="40"/>
  <c r="L412" i="40"/>
  <c r="CL412" i="40" s="1"/>
  <c r="T412" i="40"/>
  <c r="CR412" i="40" s="1"/>
  <c r="AB412" i="40"/>
  <c r="AJ412" i="40"/>
  <c r="H412" i="40"/>
  <c r="P412" i="40"/>
  <c r="X412" i="40"/>
  <c r="AF412" i="40"/>
  <c r="I412" i="40"/>
  <c r="M412" i="40"/>
  <c r="Q412" i="40"/>
  <c r="U412" i="40"/>
  <c r="CS412" i="40" s="1"/>
  <c r="Y412" i="40"/>
  <c r="AC412" i="40"/>
  <c r="AG412" i="40"/>
  <c r="N412" i="40"/>
  <c r="CN412" i="40" s="1"/>
  <c r="AD412" i="40"/>
  <c r="R412" i="40"/>
  <c r="AH412" i="40"/>
  <c r="F412" i="40"/>
  <c r="V412" i="40"/>
  <c r="CT412" i="40" s="1"/>
  <c r="J412" i="40"/>
  <c r="Z412" i="40"/>
  <c r="DB412" i="40" s="1"/>
  <c r="DB511" i="40"/>
  <c r="AP511" i="40"/>
  <c r="E411" i="40"/>
  <c r="D24" i="70"/>
  <c r="CP411" i="40"/>
  <c r="AN411" i="40"/>
  <c r="AO411" i="40"/>
  <c r="CQ411" i="40"/>
  <c r="DB411" i="40"/>
  <c r="CV411" i="40"/>
  <c r="AP411" i="40"/>
  <c r="AM411" i="40"/>
  <c r="CK411" i="40"/>
  <c r="BJ412" i="40"/>
  <c r="CA412" i="40"/>
  <c r="A412" i="40"/>
  <c r="BK412" i="40"/>
  <c r="CB412" i="40"/>
  <c r="BX412" i="40"/>
  <c r="E412" i="40" s="1"/>
  <c r="BL412" i="40"/>
  <c r="CC412" i="40"/>
  <c r="CD412" i="40"/>
  <c r="IZ412" i="40"/>
  <c r="IY412" i="40"/>
  <c r="BB412" i="40"/>
  <c r="CJ412" i="40"/>
  <c r="BC412" i="40"/>
  <c r="DM412" i="40"/>
  <c r="BT412" i="40"/>
  <c r="DS412" i="40"/>
  <c r="BQ412" i="40"/>
  <c r="C413" i="40"/>
  <c r="BF412" i="40"/>
  <c r="DU412" i="40"/>
  <c r="BG412" i="40"/>
  <c r="DV412" i="40"/>
  <c r="BH412" i="40"/>
  <c r="DW412" i="40"/>
  <c r="DT412" i="40"/>
  <c r="JO412" i="40"/>
  <c r="AW412" i="40"/>
  <c r="BN412" i="40"/>
  <c r="CE412" i="40"/>
  <c r="AX412" i="40"/>
  <c r="BO412" i="40"/>
  <c r="CF412" i="40"/>
  <c r="CM412" i="40"/>
  <c r="AZ412" i="40"/>
  <c r="BP412" i="40"/>
  <c r="CG412" i="40"/>
  <c r="BA412" i="40"/>
  <c r="BE412" i="40"/>
  <c r="BM412" i="40"/>
  <c r="HY412" i="40"/>
  <c r="IX412" i="40"/>
  <c r="BI412" i="40"/>
  <c r="IA412" i="40"/>
  <c r="JP412" i="40"/>
  <c r="BV412" i="40"/>
  <c r="BW412" i="40"/>
  <c r="BY412" i="40"/>
  <c r="CH412" i="40"/>
  <c r="BZ412" i="40"/>
  <c r="HZ412" i="40"/>
  <c r="BR412" i="40"/>
  <c r="BS412" i="40"/>
  <c r="BD412" i="40"/>
  <c r="BU412" i="40"/>
  <c r="DB212" i="40"/>
  <c r="CK212" i="40"/>
  <c r="AM212" i="40"/>
  <c r="AZ213" i="40"/>
  <c r="BP213" i="40"/>
  <c r="CF213" i="40"/>
  <c r="BA213" i="40"/>
  <c r="BQ213" i="40"/>
  <c r="CG213" i="40"/>
  <c r="AW213" i="40"/>
  <c r="BN213" i="40"/>
  <c r="CD213" i="40"/>
  <c r="BC213" i="40"/>
  <c r="BG213" i="40"/>
  <c r="BK213" i="40"/>
  <c r="HY213" i="40"/>
  <c r="BD213" i="40"/>
  <c r="BT213" i="40"/>
  <c r="DM213" i="40"/>
  <c r="BE213" i="40"/>
  <c r="BU213" i="40"/>
  <c r="DS213" i="40"/>
  <c r="BB213" i="40"/>
  <c r="BR213" i="40"/>
  <c r="CH213" i="40"/>
  <c r="BS213" i="40"/>
  <c r="BW213" i="40"/>
  <c r="CA213" i="40"/>
  <c r="CE213" i="40"/>
  <c r="IA213" i="40"/>
  <c r="IZ213" i="40"/>
  <c r="IY213" i="40"/>
  <c r="A213" i="40"/>
  <c r="BL213" i="40"/>
  <c r="CB213" i="40"/>
  <c r="BM213" i="40"/>
  <c r="CC213" i="40"/>
  <c r="BJ213" i="40"/>
  <c r="BZ213" i="40"/>
  <c r="BO213" i="40"/>
  <c r="HZ213" i="40"/>
  <c r="C214" i="40"/>
  <c r="BH213" i="40"/>
  <c r="BX213" i="40"/>
  <c r="DV213" i="40"/>
  <c r="BI213" i="40"/>
  <c r="BY213" i="40"/>
  <c r="DW213" i="40"/>
  <c r="BF213" i="40"/>
  <c r="BV213" i="40"/>
  <c r="DT213" i="40"/>
  <c r="CJ213" i="40"/>
  <c r="DU213" i="40"/>
  <c r="AX213" i="40"/>
  <c r="JO213" i="40"/>
  <c r="IX213" i="40"/>
  <c r="JP213" i="40"/>
  <c r="HW111" i="40"/>
  <c r="CQ212" i="40"/>
  <c r="AO212" i="40"/>
  <c r="AN212" i="40"/>
  <c r="CP212" i="40"/>
  <c r="CV212" i="40"/>
  <c r="IP112" i="40"/>
  <c r="JB112" i="40" s="1"/>
  <c r="E17" i="44" s="1"/>
  <c r="DB312" i="40"/>
  <c r="HN112" i="40"/>
  <c r="HQ112" i="40" s="1"/>
  <c r="M16" i="44"/>
  <c r="B194" i="75"/>
  <c r="DB112" i="40"/>
  <c r="IO112" i="40"/>
  <c r="JA112" i="40" s="1"/>
  <c r="HS112" i="40"/>
  <c r="AM312" i="40"/>
  <c r="CK312" i="40"/>
  <c r="C314" i="40"/>
  <c r="AW313" i="40"/>
  <c r="BB313" i="40"/>
  <c r="BF313" i="40"/>
  <c r="BJ313" i="40"/>
  <c r="BN313" i="40"/>
  <c r="BR313" i="40"/>
  <c r="BV313" i="40"/>
  <c r="BZ313" i="40"/>
  <c r="CD313" i="40"/>
  <c r="CH313" i="40"/>
  <c r="DT313" i="40"/>
  <c r="AX313" i="40"/>
  <c r="BC313" i="40"/>
  <c r="BG313" i="40"/>
  <c r="BK313" i="40"/>
  <c r="BO313" i="40"/>
  <c r="BS313" i="40"/>
  <c r="BW313" i="40"/>
  <c r="CA313" i="40"/>
  <c r="CE313" i="40"/>
  <c r="CJ313" i="40"/>
  <c r="DU313" i="40"/>
  <c r="A313" i="40"/>
  <c r="AZ313" i="40"/>
  <c r="BD313" i="40"/>
  <c r="BH313" i="40"/>
  <c r="BL313" i="40"/>
  <c r="BP313" i="40"/>
  <c r="BT313" i="40"/>
  <c r="BX313" i="40"/>
  <c r="CB313" i="40"/>
  <c r="CF313" i="40"/>
  <c r="DM313" i="40"/>
  <c r="DV313" i="40"/>
  <c r="BE313" i="40"/>
  <c r="BU313" i="40"/>
  <c r="DS313" i="40"/>
  <c r="BI313" i="40"/>
  <c r="BY313" i="40"/>
  <c r="DW313" i="40"/>
  <c r="BM313" i="40"/>
  <c r="CC313" i="40"/>
  <c r="BA313" i="40"/>
  <c r="BQ313" i="40"/>
  <c r="CG313" i="40"/>
  <c r="JO313" i="40"/>
  <c r="IY313" i="40"/>
  <c r="HY313" i="40"/>
  <c r="IZ313" i="40"/>
  <c r="IA313" i="40"/>
  <c r="IX313" i="40"/>
  <c r="HZ313" i="40"/>
  <c r="JP313" i="40"/>
  <c r="AP112" i="40"/>
  <c r="CK112" i="40"/>
  <c r="AM112" i="40"/>
  <c r="IQ112" i="40"/>
  <c r="JC112" i="40" s="1"/>
  <c r="HM112" i="40"/>
  <c r="CV312" i="40"/>
  <c r="JH111" i="40"/>
  <c r="AN112" i="40"/>
  <c r="CP112" i="40"/>
  <c r="HW112" i="40" s="1"/>
  <c r="IK113" i="40"/>
  <c r="IN113" i="40" s="1"/>
  <c r="JF113" i="40"/>
  <c r="HO113" i="40" s="1"/>
  <c r="HR113" i="40" s="1"/>
  <c r="II113" i="40"/>
  <c r="IL113" i="40" s="1"/>
  <c r="IJ113" i="40"/>
  <c r="IM113" i="40" s="1"/>
  <c r="C114" i="40"/>
  <c r="L113" i="40"/>
  <c r="CL113" i="40" s="1"/>
  <c r="AC113" i="40"/>
  <c r="G113" i="40"/>
  <c r="O113" i="40"/>
  <c r="CO113" i="40" s="1"/>
  <c r="AJ113" i="40"/>
  <c r="AW113" i="40"/>
  <c r="BB113" i="40"/>
  <c r="BF113" i="40"/>
  <c r="BJ113" i="40"/>
  <c r="BN113" i="40"/>
  <c r="BR113" i="40"/>
  <c r="BV113" i="40"/>
  <c r="BZ113" i="40"/>
  <c r="CD113" i="40"/>
  <c r="CH113" i="40"/>
  <c r="DT113" i="40"/>
  <c r="A113" i="40"/>
  <c r="M113" i="40"/>
  <c r="CM113" i="40" s="1"/>
  <c r="AE113" i="40"/>
  <c r="H113" i="40"/>
  <c r="AB113" i="40"/>
  <c r="AX113" i="40"/>
  <c r="BC113" i="40"/>
  <c r="BG113" i="40"/>
  <c r="BK113" i="40"/>
  <c r="BO113" i="40"/>
  <c r="BS113" i="40"/>
  <c r="BW113" i="40"/>
  <c r="CA113" i="40"/>
  <c r="CE113" i="40"/>
  <c r="CJ113" i="40"/>
  <c r="DU113" i="40"/>
  <c r="F113" i="40"/>
  <c r="N113" i="40"/>
  <c r="CN113" i="40" s="1"/>
  <c r="AG113" i="40"/>
  <c r="I113" i="40"/>
  <c r="AD113" i="40"/>
  <c r="AZ113" i="40"/>
  <c r="BD113" i="40"/>
  <c r="BH113" i="40"/>
  <c r="BL113" i="40"/>
  <c r="BP113" i="40"/>
  <c r="BT113" i="40"/>
  <c r="BX113" i="40"/>
  <c r="CB113" i="40"/>
  <c r="CF113" i="40"/>
  <c r="DM113" i="40"/>
  <c r="DV113" i="40"/>
  <c r="P113" i="40"/>
  <c r="BM113" i="40"/>
  <c r="CC113" i="40"/>
  <c r="AI113" i="40"/>
  <c r="BA113" i="40"/>
  <c r="BQ113" i="40"/>
  <c r="CG113" i="40"/>
  <c r="J113" i="40"/>
  <c r="BE113" i="40"/>
  <c r="BU113" i="40"/>
  <c r="DS113" i="40"/>
  <c r="K113" i="40"/>
  <c r="DW113" i="40"/>
  <c r="AF113" i="40"/>
  <c r="BI113" i="40"/>
  <c r="BY113" i="40"/>
  <c r="JO113" i="40"/>
  <c r="AH113" i="40"/>
  <c r="IX113" i="40"/>
  <c r="HZ113" i="40"/>
  <c r="IA113" i="40"/>
  <c r="IZ113" i="40"/>
  <c r="HY113" i="40"/>
  <c r="Z113" i="40"/>
  <c r="V113" i="40"/>
  <c r="CT113" i="40" s="1"/>
  <c r="T113" i="40"/>
  <c r="CR113" i="40" s="1"/>
  <c r="Q113" i="40"/>
  <c r="AA113" i="40"/>
  <c r="U113" i="40"/>
  <c r="CS113" i="40" s="1"/>
  <c r="E113" i="40"/>
  <c r="R113" i="40"/>
  <c r="X113" i="40"/>
  <c r="W113" i="40"/>
  <c r="CU113" i="40" s="1"/>
  <c r="S113" i="40"/>
  <c r="IY113" i="40"/>
  <c r="JP113" i="40"/>
  <c r="Y113" i="40"/>
  <c r="HR112" i="40"/>
  <c r="HS104" i="40"/>
  <c r="HS106" i="40"/>
  <c r="HS105" i="40"/>
  <c r="HS102" i="40"/>
  <c r="HS110" i="40"/>
  <c r="HS108" i="40"/>
  <c r="HS101" i="40"/>
  <c r="HS109" i="40"/>
  <c r="HS103" i="40"/>
  <c r="HS107" i="40"/>
  <c r="CP312" i="40"/>
  <c r="AN312" i="40"/>
  <c r="AP312" i="40"/>
  <c r="CV112" i="40"/>
  <c r="AK112" i="40"/>
  <c r="AL112" i="40"/>
  <c r="AO112" i="40"/>
  <c r="CQ112" i="40"/>
  <c r="KC105" i="40"/>
  <c r="KD105" i="40" s="1"/>
  <c r="KE105" i="40" s="1"/>
  <c r="KG105" i="40" s="1"/>
  <c r="HU109" i="40" s="1"/>
  <c r="KG104" i="40"/>
  <c r="AO312" i="40"/>
  <c r="CQ312" i="40"/>
  <c r="D25" i="70" l="1"/>
  <c r="AY111" i="40"/>
  <c r="CI113" i="40"/>
  <c r="IA612" i="40"/>
  <c r="IZ612" i="40" s="1"/>
  <c r="HZ612" i="40"/>
  <c r="IY612" i="40" s="1"/>
  <c r="HY612" i="40"/>
  <c r="IX612" i="40" s="1"/>
  <c r="CV613" i="40"/>
  <c r="AP613" i="40"/>
  <c r="CV512" i="40"/>
  <c r="JJ111" i="40"/>
  <c r="H214" i="40"/>
  <c r="L214" i="40"/>
  <c r="CL214" i="40" s="1"/>
  <c r="P214" i="40"/>
  <c r="T214" i="40"/>
  <c r="CR214" i="40" s="1"/>
  <c r="X214" i="40"/>
  <c r="AB214" i="40"/>
  <c r="AF214" i="40"/>
  <c r="AJ214" i="40"/>
  <c r="F214" i="40"/>
  <c r="J214" i="40"/>
  <c r="N214" i="40"/>
  <c r="CN214" i="40" s="1"/>
  <c r="R214" i="40"/>
  <c r="V214" i="40"/>
  <c r="CT214" i="40" s="1"/>
  <c r="Z214" i="40"/>
  <c r="AD214" i="40"/>
  <c r="AH214" i="40"/>
  <c r="I214" i="40"/>
  <c r="Q214" i="40"/>
  <c r="Y214" i="40"/>
  <c r="AG214" i="40"/>
  <c r="W214" i="40"/>
  <c r="CU214" i="40" s="1"/>
  <c r="K214" i="40"/>
  <c r="S214" i="40"/>
  <c r="AA214" i="40"/>
  <c r="AI214" i="40"/>
  <c r="O214" i="40"/>
  <c r="CO214" i="40" s="1"/>
  <c r="E214" i="40"/>
  <c r="M214" i="40"/>
  <c r="CM214" i="40" s="1"/>
  <c r="U214" i="40"/>
  <c r="CS214" i="40" s="1"/>
  <c r="AC214" i="40"/>
  <c r="G214" i="40"/>
  <c r="AE214" i="40"/>
  <c r="G413" i="40"/>
  <c r="K413" i="40"/>
  <c r="O413" i="40"/>
  <c r="CO413" i="40" s="1"/>
  <c r="S413" i="40"/>
  <c r="W413" i="40"/>
  <c r="CU413" i="40" s="1"/>
  <c r="AA413" i="40"/>
  <c r="AE413" i="40"/>
  <c r="AI413" i="40"/>
  <c r="L413" i="40"/>
  <c r="CL413" i="40" s="1"/>
  <c r="P413" i="40"/>
  <c r="X413" i="40"/>
  <c r="AB413" i="40"/>
  <c r="AF413" i="40"/>
  <c r="H413" i="40"/>
  <c r="T413" i="40"/>
  <c r="CR413" i="40" s="1"/>
  <c r="AJ413" i="40"/>
  <c r="E413" i="40"/>
  <c r="I413" i="40"/>
  <c r="M413" i="40"/>
  <c r="CM413" i="40" s="1"/>
  <c r="Q413" i="40"/>
  <c r="U413" i="40"/>
  <c r="CS413" i="40" s="1"/>
  <c r="Y413" i="40"/>
  <c r="AC413" i="40"/>
  <c r="AG413" i="40"/>
  <c r="N413" i="40"/>
  <c r="CN413" i="40" s="1"/>
  <c r="AD413" i="40"/>
  <c r="R413" i="40"/>
  <c r="AH413" i="40"/>
  <c r="F413" i="40"/>
  <c r="V413" i="40"/>
  <c r="CT413" i="40" s="1"/>
  <c r="J413" i="40"/>
  <c r="Z413" i="40"/>
  <c r="AE614" i="40"/>
  <c r="CC614" i="40"/>
  <c r="BM614" i="40"/>
  <c r="AW614" i="40"/>
  <c r="C615" i="40"/>
  <c r="BX614" i="40"/>
  <c r="BH614" i="40"/>
  <c r="P614" i="40"/>
  <c r="CE614" i="40"/>
  <c r="BO614" i="40"/>
  <c r="O614" i="40"/>
  <c r="CO614" i="40" s="1"/>
  <c r="BV614" i="40"/>
  <c r="BR614" i="40"/>
  <c r="BN614" i="40"/>
  <c r="J614" i="40"/>
  <c r="JO614" i="40"/>
  <c r="AF614" i="40"/>
  <c r="F614" i="40"/>
  <c r="CJ614" i="40"/>
  <c r="BY614" i="40"/>
  <c r="BI614" i="40"/>
  <c r="AG614" i="40"/>
  <c r="DT614" i="40"/>
  <c r="BT614" i="40"/>
  <c r="BD614" i="40"/>
  <c r="L614" i="40"/>
  <c r="CL614" i="40" s="1"/>
  <c r="CA614" i="40"/>
  <c r="BK614" i="40"/>
  <c r="K614" i="40"/>
  <c r="BF614" i="40"/>
  <c r="BB614" i="40"/>
  <c r="AX614" i="40"/>
  <c r="AH614" i="40"/>
  <c r="JP614" i="40"/>
  <c r="H614" i="40"/>
  <c r="AI614" i="40"/>
  <c r="AC614" i="40"/>
  <c r="W614" i="40"/>
  <c r="CU614" i="40" s="1"/>
  <c r="DU614" i="40"/>
  <c r="BU614" i="40"/>
  <c r="BE614" i="40"/>
  <c r="M614" i="40"/>
  <c r="CM614" i="40" s="1"/>
  <c r="CF614" i="40"/>
  <c r="BP614" i="40"/>
  <c r="AZ614" i="40"/>
  <c r="DW614" i="40"/>
  <c r="BW614" i="40"/>
  <c r="BG614" i="40"/>
  <c r="G614" i="40"/>
  <c r="DM614" i="40"/>
  <c r="BJ614" i="40"/>
  <c r="N614" i="40"/>
  <c r="CN614" i="40" s="1"/>
  <c r="KN614" i="40"/>
  <c r="BQ614" i="40"/>
  <c r="BL614" i="40"/>
  <c r="BC614" i="40"/>
  <c r="BZ614" i="40"/>
  <c r="I614" i="40"/>
  <c r="BA614" i="40"/>
  <c r="AB614" i="40"/>
  <c r="DV614" i="40"/>
  <c r="CG614" i="40"/>
  <c r="BS614" i="40"/>
  <c r="AJ614" i="40"/>
  <c r="A614" i="40"/>
  <c r="DS614" i="40"/>
  <c r="CH614" i="40"/>
  <c r="CB614" i="40"/>
  <c r="CD614" i="40"/>
  <c r="U614" i="40"/>
  <c r="CS614" i="40" s="1"/>
  <c r="Z614" i="40"/>
  <c r="T614" i="40"/>
  <c r="CR614" i="40" s="1"/>
  <c r="R614" i="40"/>
  <c r="S614" i="40"/>
  <c r="X614" i="40"/>
  <c r="Q614" i="40"/>
  <c r="V614" i="40"/>
  <c r="CT614" i="40" s="1"/>
  <c r="AD614" i="40"/>
  <c r="AA614" i="40"/>
  <c r="E614" i="40"/>
  <c r="Y614" i="40"/>
  <c r="DB512" i="40"/>
  <c r="CP512" i="40"/>
  <c r="AN512" i="40"/>
  <c r="AO512" i="40"/>
  <c r="CQ512" i="40"/>
  <c r="AO613" i="40"/>
  <c r="CQ613" i="40"/>
  <c r="CK613" i="40"/>
  <c r="AM613" i="40"/>
  <c r="G513" i="40"/>
  <c r="K513" i="40"/>
  <c r="O513" i="40"/>
  <c r="CO513" i="40" s="1"/>
  <c r="S513" i="40"/>
  <c r="W513" i="40"/>
  <c r="CU513" i="40" s="1"/>
  <c r="AA513" i="40"/>
  <c r="AE513" i="40"/>
  <c r="AI513" i="40"/>
  <c r="L513" i="40"/>
  <c r="CL513" i="40" s="1"/>
  <c r="P513" i="40"/>
  <c r="X513" i="40"/>
  <c r="AF513" i="40"/>
  <c r="H513" i="40"/>
  <c r="T513" i="40"/>
  <c r="CR513" i="40" s="1"/>
  <c r="AB513" i="40"/>
  <c r="AJ513" i="40"/>
  <c r="E513" i="40"/>
  <c r="I513" i="40"/>
  <c r="M513" i="40"/>
  <c r="CM513" i="40" s="1"/>
  <c r="Q513" i="40"/>
  <c r="U513" i="40"/>
  <c r="CS513" i="40" s="1"/>
  <c r="Y513" i="40"/>
  <c r="AC513" i="40"/>
  <c r="AG513" i="40"/>
  <c r="N513" i="40"/>
  <c r="CN513" i="40" s="1"/>
  <c r="AD513" i="40"/>
  <c r="R513" i="40"/>
  <c r="AH513" i="40"/>
  <c r="Z513" i="40"/>
  <c r="F513" i="40"/>
  <c r="V513" i="40"/>
  <c r="CT513" i="40" s="1"/>
  <c r="J513" i="40"/>
  <c r="C514" i="40"/>
  <c r="BJ513" i="40"/>
  <c r="BZ513" i="40"/>
  <c r="BG513" i="40"/>
  <c r="BW513" i="40"/>
  <c r="DU513" i="40"/>
  <c r="BD513" i="40"/>
  <c r="BT513" i="40"/>
  <c r="DM513" i="40"/>
  <c r="DS513" i="40"/>
  <c r="BY513" i="40"/>
  <c r="BM513" i="40"/>
  <c r="HY513" i="40"/>
  <c r="IX513" i="40"/>
  <c r="AW513" i="40"/>
  <c r="BN513" i="40"/>
  <c r="CD513" i="40"/>
  <c r="BK513" i="40"/>
  <c r="CA513" i="40"/>
  <c r="A513" i="40"/>
  <c r="BH513" i="40"/>
  <c r="BX513" i="40"/>
  <c r="DV513" i="40"/>
  <c r="BA513" i="40"/>
  <c r="DW513" i="40"/>
  <c r="CC513" i="40"/>
  <c r="IA513" i="40"/>
  <c r="JP513" i="40"/>
  <c r="BR513" i="40"/>
  <c r="AX513" i="40"/>
  <c r="CB513" i="40"/>
  <c r="CG513" i="40"/>
  <c r="IZ513" i="40"/>
  <c r="CE513" i="40"/>
  <c r="BF513" i="40"/>
  <c r="BV513" i="40"/>
  <c r="DT513" i="40"/>
  <c r="BC513" i="40"/>
  <c r="BS513" i="40"/>
  <c r="CJ513" i="40"/>
  <c r="AZ513" i="40"/>
  <c r="BP513" i="40"/>
  <c r="CF513" i="40"/>
  <c r="BU513" i="40"/>
  <c r="BI513" i="40"/>
  <c r="HZ513" i="40"/>
  <c r="IY513" i="40"/>
  <c r="BB513" i="40"/>
  <c r="CH513" i="40"/>
  <c r="BO513" i="40"/>
  <c r="BL513" i="40"/>
  <c r="BE513" i="40"/>
  <c r="JO513" i="40"/>
  <c r="BQ513" i="40"/>
  <c r="AP512" i="40"/>
  <c r="CK512" i="40"/>
  <c r="AM512" i="40"/>
  <c r="G314" i="40"/>
  <c r="K314" i="40"/>
  <c r="O314" i="40"/>
  <c r="CO314" i="40" s="1"/>
  <c r="S314" i="40"/>
  <c r="W314" i="40"/>
  <c r="CU314" i="40" s="1"/>
  <c r="AA314" i="40"/>
  <c r="AE314" i="40"/>
  <c r="AI314" i="40"/>
  <c r="H314" i="40"/>
  <c r="P314" i="40"/>
  <c r="X314" i="40"/>
  <c r="AF314" i="40"/>
  <c r="J314" i="40"/>
  <c r="V314" i="40"/>
  <c r="CT314" i="40" s="1"/>
  <c r="AH314" i="40"/>
  <c r="L314" i="40"/>
  <c r="CL314" i="40" s="1"/>
  <c r="T314" i="40"/>
  <c r="CR314" i="40" s="1"/>
  <c r="AB314" i="40"/>
  <c r="AJ314" i="40"/>
  <c r="N314" i="40"/>
  <c r="CN314" i="40" s="1"/>
  <c r="Z314" i="40"/>
  <c r="E314" i="40"/>
  <c r="I314" i="40"/>
  <c r="M314" i="40"/>
  <c r="CM314" i="40" s="1"/>
  <c r="Q314" i="40"/>
  <c r="U314" i="40"/>
  <c r="CS314" i="40" s="1"/>
  <c r="Y314" i="40"/>
  <c r="AC314" i="40"/>
  <c r="AG314" i="40"/>
  <c r="F314" i="40"/>
  <c r="R314" i="40"/>
  <c r="AD314" i="40"/>
  <c r="AN613" i="40"/>
  <c r="CP613" i="40"/>
  <c r="CV412" i="40"/>
  <c r="CP412" i="40"/>
  <c r="AN412" i="40"/>
  <c r="AO412" i="40"/>
  <c r="CQ412" i="40"/>
  <c r="AM412" i="40"/>
  <c r="CK412" i="40"/>
  <c r="BD413" i="40"/>
  <c r="BT413" i="40"/>
  <c r="DM413" i="40"/>
  <c r="BE413" i="40"/>
  <c r="BU413" i="40"/>
  <c r="DS413" i="40"/>
  <c r="BB413" i="40"/>
  <c r="BR413" i="40"/>
  <c r="CH413" i="40"/>
  <c r="BO413" i="40"/>
  <c r="BS413" i="40"/>
  <c r="BG413" i="40"/>
  <c r="HY413" i="40"/>
  <c r="IY413" i="40"/>
  <c r="AZ413" i="40"/>
  <c r="CF413" i="40"/>
  <c r="BA413" i="40"/>
  <c r="CG413" i="40"/>
  <c r="AW413" i="40"/>
  <c r="CD413" i="40"/>
  <c r="BC413" i="40"/>
  <c r="CA413" i="40"/>
  <c r="HZ413" i="40"/>
  <c r="C414" i="40"/>
  <c r="BH413" i="40"/>
  <c r="BX413" i="40"/>
  <c r="DV413" i="40"/>
  <c r="BI413" i="40"/>
  <c r="BY413" i="40"/>
  <c r="DW413" i="40"/>
  <c r="BF413" i="40"/>
  <c r="BV413" i="40"/>
  <c r="DT413" i="40"/>
  <c r="CE413" i="40"/>
  <c r="CJ413" i="40"/>
  <c r="BW413" i="40"/>
  <c r="JO413" i="40"/>
  <c r="IZ413" i="40"/>
  <c r="BP413" i="40"/>
  <c r="BQ413" i="40"/>
  <c r="BN413" i="40"/>
  <c r="AX413" i="40"/>
  <c r="IX413" i="40"/>
  <c r="BL413" i="40"/>
  <c r="CB413" i="40"/>
  <c r="BM413" i="40"/>
  <c r="CC413" i="40"/>
  <c r="BJ413" i="40"/>
  <c r="BZ413" i="40"/>
  <c r="A413" i="40"/>
  <c r="DU413" i="40"/>
  <c r="BK413" i="40"/>
  <c r="IA413" i="40"/>
  <c r="JP413" i="40"/>
  <c r="AP412" i="40"/>
  <c r="CV213" i="40"/>
  <c r="DB213" i="40"/>
  <c r="AN213" i="40"/>
  <c r="CP213" i="40"/>
  <c r="AP213" i="40"/>
  <c r="AO213" i="40"/>
  <c r="CQ213" i="40"/>
  <c r="BB214" i="40"/>
  <c r="BR214" i="40"/>
  <c r="CH214" i="40"/>
  <c r="BG214" i="40"/>
  <c r="BW214" i="40"/>
  <c r="DU214" i="40"/>
  <c r="BH214" i="40"/>
  <c r="BX214" i="40"/>
  <c r="DV214" i="40"/>
  <c r="CG214" i="40"/>
  <c r="DS214" i="40"/>
  <c r="BY214" i="40"/>
  <c r="JO214" i="40"/>
  <c r="HZ214" i="40"/>
  <c r="HY214" i="40"/>
  <c r="IY214" i="40"/>
  <c r="BN214" i="40"/>
  <c r="CJ214" i="40"/>
  <c r="BD214" i="40"/>
  <c r="BQ214" i="40"/>
  <c r="CC214" i="40"/>
  <c r="C215" i="40"/>
  <c r="BF214" i="40"/>
  <c r="BV214" i="40"/>
  <c r="DT214" i="40"/>
  <c r="BK214" i="40"/>
  <c r="CA214" i="40"/>
  <c r="A214" i="40"/>
  <c r="BL214" i="40"/>
  <c r="CB214" i="40"/>
  <c r="DW214" i="40"/>
  <c r="IA214" i="40"/>
  <c r="JP214" i="40"/>
  <c r="BS214" i="40"/>
  <c r="DM214" i="40"/>
  <c r="BI214" i="40"/>
  <c r="IZ214" i="40"/>
  <c r="BJ214" i="40"/>
  <c r="BZ214" i="40"/>
  <c r="AX214" i="40"/>
  <c r="BO214" i="40"/>
  <c r="CE214" i="40"/>
  <c r="AZ214" i="40"/>
  <c r="BP214" i="40"/>
  <c r="CF214" i="40"/>
  <c r="BA214" i="40"/>
  <c r="BE214" i="40"/>
  <c r="BM214" i="40"/>
  <c r="IX214" i="40"/>
  <c r="AW214" i="40"/>
  <c r="CD214" i="40"/>
  <c r="BC214" i="40"/>
  <c r="BT214" i="40"/>
  <c r="BU214" i="40"/>
  <c r="D112" i="40"/>
  <c r="AY112" i="40" s="1"/>
  <c r="AM213" i="40"/>
  <c r="CK213" i="40"/>
  <c r="IP113" i="40"/>
  <c r="JB113" i="40" s="1"/>
  <c r="E18" i="44" s="1"/>
  <c r="IO113" i="40"/>
  <c r="JA113" i="40" s="1"/>
  <c r="HU101" i="40"/>
  <c r="HU104" i="40"/>
  <c r="DB313" i="40"/>
  <c r="HU106" i="40"/>
  <c r="HU105" i="40"/>
  <c r="HU108" i="40"/>
  <c r="HU107" i="40"/>
  <c r="HU110" i="40"/>
  <c r="HU102" i="40"/>
  <c r="HU113" i="40"/>
  <c r="HU112" i="40"/>
  <c r="HU103" i="40"/>
  <c r="HU111" i="40"/>
  <c r="B195" i="75"/>
  <c r="HT110" i="40"/>
  <c r="HT112" i="40"/>
  <c r="HT108" i="40"/>
  <c r="HT104" i="40"/>
  <c r="HT101" i="40"/>
  <c r="HT111" i="40"/>
  <c r="HT107" i="40"/>
  <c r="HT105" i="40"/>
  <c r="HT103" i="40"/>
  <c r="HT102" i="40"/>
  <c r="HT109" i="40"/>
  <c r="JI109" i="40" s="1"/>
  <c r="JK109" i="40" s="1"/>
  <c r="HT106" i="40"/>
  <c r="CV113" i="40"/>
  <c r="AK113" i="40"/>
  <c r="AL113" i="40"/>
  <c r="HT113" i="40"/>
  <c r="AO313" i="40"/>
  <c r="CQ313" i="40"/>
  <c r="C315" i="40"/>
  <c r="A314" i="40"/>
  <c r="AZ314" i="40"/>
  <c r="BD314" i="40"/>
  <c r="BH314" i="40"/>
  <c r="BL314" i="40"/>
  <c r="BP314" i="40"/>
  <c r="BT314" i="40"/>
  <c r="BX314" i="40"/>
  <c r="CB314" i="40"/>
  <c r="CF314" i="40"/>
  <c r="DM314" i="40"/>
  <c r="DV314" i="40"/>
  <c r="BA314" i="40"/>
  <c r="BE314" i="40"/>
  <c r="BI314" i="40"/>
  <c r="BM314" i="40"/>
  <c r="BQ314" i="40"/>
  <c r="BU314" i="40"/>
  <c r="BY314" i="40"/>
  <c r="CC314" i="40"/>
  <c r="CG314" i="40"/>
  <c r="DS314" i="40"/>
  <c r="DW314" i="40"/>
  <c r="AW314" i="40"/>
  <c r="BB314" i="40"/>
  <c r="BF314" i="40"/>
  <c r="BJ314" i="40"/>
  <c r="BN314" i="40"/>
  <c r="BR314" i="40"/>
  <c r="BV314" i="40"/>
  <c r="BZ314" i="40"/>
  <c r="CD314" i="40"/>
  <c r="CH314" i="40"/>
  <c r="DT314" i="40"/>
  <c r="BC314" i="40"/>
  <c r="BS314" i="40"/>
  <c r="CJ314" i="40"/>
  <c r="BG314" i="40"/>
  <c r="BW314" i="40"/>
  <c r="DU314" i="40"/>
  <c r="BK314" i="40"/>
  <c r="CA314" i="40"/>
  <c r="AX314" i="40"/>
  <c r="BO314" i="40"/>
  <c r="JO314" i="40"/>
  <c r="CE314" i="40"/>
  <c r="IY314" i="40"/>
  <c r="IZ314" i="40"/>
  <c r="HZ314" i="40"/>
  <c r="IA314" i="40"/>
  <c r="IX314" i="40"/>
  <c r="HY314" i="40"/>
  <c r="JP314" i="40"/>
  <c r="HV112" i="40"/>
  <c r="AP113" i="40"/>
  <c r="DB113" i="40"/>
  <c r="HN113" i="40"/>
  <c r="HS113" i="40"/>
  <c r="CV313" i="40"/>
  <c r="CP113" i="40"/>
  <c r="HW113" i="40" s="1"/>
  <c r="AN113" i="40"/>
  <c r="HP112" i="40"/>
  <c r="CP313" i="40"/>
  <c r="AN313" i="40"/>
  <c r="HX112" i="40"/>
  <c r="CQ113" i="40"/>
  <c r="AO113" i="40"/>
  <c r="HM113" i="40"/>
  <c r="HP113" i="40" s="1"/>
  <c r="CK113" i="40"/>
  <c r="AM113" i="40"/>
  <c r="IQ113" i="40"/>
  <c r="JC113" i="40" s="1"/>
  <c r="F18" i="44" s="1"/>
  <c r="IK114" i="40"/>
  <c r="IN114" i="40" s="1"/>
  <c r="II114" i="40"/>
  <c r="IL114" i="40" s="1"/>
  <c r="IJ114" i="40"/>
  <c r="IM114" i="40" s="1"/>
  <c r="JF114" i="40"/>
  <c r="HO114" i="40" s="1"/>
  <c r="C115" i="40"/>
  <c r="A114" i="40"/>
  <c r="M114" i="40"/>
  <c r="CM114" i="40" s="1"/>
  <c r="AE114" i="40"/>
  <c r="H114" i="40"/>
  <c r="AB114" i="40"/>
  <c r="AX114" i="40"/>
  <c r="BC114" i="40"/>
  <c r="BG114" i="40"/>
  <c r="BK114" i="40"/>
  <c r="BO114" i="40"/>
  <c r="BS114" i="40"/>
  <c r="BW114" i="40"/>
  <c r="CA114" i="40"/>
  <c r="CE114" i="40"/>
  <c r="CJ114" i="40"/>
  <c r="DU114" i="40"/>
  <c r="F114" i="40"/>
  <c r="N114" i="40"/>
  <c r="CN114" i="40" s="1"/>
  <c r="AG114" i="40"/>
  <c r="I114" i="40"/>
  <c r="AD114" i="40"/>
  <c r="AZ114" i="40"/>
  <c r="BD114" i="40"/>
  <c r="BH114" i="40"/>
  <c r="BL114" i="40"/>
  <c r="BP114" i="40"/>
  <c r="BT114" i="40"/>
  <c r="BX114" i="40"/>
  <c r="CB114" i="40"/>
  <c r="CF114" i="40"/>
  <c r="DM114" i="40"/>
  <c r="DV114" i="40"/>
  <c r="K114" i="40"/>
  <c r="P114" i="40"/>
  <c r="AI114" i="40"/>
  <c r="J114" i="40"/>
  <c r="AF114" i="40"/>
  <c r="BA114" i="40"/>
  <c r="BE114" i="40"/>
  <c r="BI114" i="40"/>
  <c r="BM114" i="40"/>
  <c r="BQ114" i="40"/>
  <c r="BU114" i="40"/>
  <c r="BY114" i="40"/>
  <c r="CC114" i="40"/>
  <c r="CG114" i="40"/>
  <c r="DS114" i="40"/>
  <c r="DW114" i="40"/>
  <c r="L114" i="40"/>
  <c r="CL114" i="40" s="1"/>
  <c r="AJ114" i="40"/>
  <c r="BJ114" i="40"/>
  <c r="BZ114" i="40"/>
  <c r="AC114" i="40"/>
  <c r="AW114" i="40"/>
  <c r="BN114" i="40"/>
  <c r="CD114" i="40"/>
  <c r="G114" i="40"/>
  <c r="BB114" i="40"/>
  <c r="BR114" i="40"/>
  <c r="CH114" i="40"/>
  <c r="DT114" i="40"/>
  <c r="O114" i="40"/>
  <c r="CO114" i="40" s="1"/>
  <c r="BF114" i="40"/>
  <c r="BV114" i="40"/>
  <c r="JO114" i="40"/>
  <c r="AH114" i="40"/>
  <c r="HY114" i="40"/>
  <c r="HZ114" i="40"/>
  <c r="IZ114" i="40"/>
  <c r="IA114" i="40"/>
  <c r="IX114" i="40"/>
  <c r="E114" i="40"/>
  <c r="R114" i="40"/>
  <c r="X114" i="40"/>
  <c r="W114" i="40"/>
  <c r="CU114" i="40" s="1"/>
  <c r="S114" i="40"/>
  <c r="Z114" i="40"/>
  <c r="V114" i="40"/>
  <c r="CT114" i="40" s="1"/>
  <c r="T114" i="40"/>
  <c r="CR114" i="40" s="1"/>
  <c r="Q114" i="40"/>
  <c r="AA114" i="40"/>
  <c r="U114" i="40"/>
  <c r="CS114" i="40" s="1"/>
  <c r="IY114" i="40"/>
  <c r="JP114" i="40"/>
  <c r="Y114" i="40"/>
  <c r="AP313" i="40"/>
  <c r="CK313" i="40"/>
  <c r="AM313" i="40"/>
  <c r="CI114" i="40" l="1"/>
  <c r="IA613" i="40"/>
  <c r="IZ613" i="40" s="1"/>
  <c r="HY613" i="40"/>
  <c r="IX613" i="40" s="1"/>
  <c r="CV214" i="40"/>
  <c r="DB614" i="40"/>
  <c r="CV513" i="40"/>
  <c r="DB513" i="40"/>
  <c r="CP614" i="40"/>
  <c r="AP614" i="40"/>
  <c r="HZ613" i="40"/>
  <c r="IY613" i="40" s="1"/>
  <c r="AN614" i="40"/>
  <c r="AM513" i="40"/>
  <c r="CK513" i="40"/>
  <c r="H215" i="40"/>
  <c r="L215" i="40"/>
  <c r="CL215" i="40" s="1"/>
  <c r="F215" i="40"/>
  <c r="J215" i="40"/>
  <c r="I215" i="40"/>
  <c r="O215" i="40"/>
  <c r="CO215" i="40" s="1"/>
  <c r="S215" i="40"/>
  <c r="W215" i="40"/>
  <c r="CU215" i="40" s="1"/>
  <c r="AA215" i="40"/>
  <c r="AE215" i="40"/>
  <c r="AI215" i="40"/>
  <c r="N215" i="40"/>
  <c r="CN215" i="40" s="1"/>
  <c r="Z215" i="40"/>
  <c r="K215" i="40"/>
  <c r="P215" i="40"/>
  <c r="T215" i="40"/>
  <c r="CR215" i="40" s="1"/>
  <c r="X215" i="40"/>
  <c r="AB215" i="40"/>
  <c r="AF215" i="40"/>
  <c r="AJ215" i="40"/>
  <c r="G215" i="40"/>
  <c r="V215" i="40"/>
  <c r="CT215" i="40" s="1"/>
  <c r="AH215" i="40"/>
  <c r="E215" i="40"/>
  <c r="M215" i="40"/>
  <c r="CM215" i="40" s="1"/>
  <c r="Q215" i="40"/>
  <c r="U215" i="40"/>
  <c r="CS215" i="40" s="1"/>
  <c r="Y215" i="40"/>
  <c r="AC215" i="40"/>
  <c r="AG215" i="40"/>
  <c r="R215" i="40"/>
  <c r="AD215" i="40"/>
  <c r="G414" i="40"/>
  <c r="K414" i="40"/>
  <c r="O414" i="40"/>
  <c r="CO414" i="40" s="1"/>
  <c r="S414" i="40"/>
  <c r="W414" i="40"/>
  <c r="CU414" i="40" s="1"/>
  <c r="AA414" i="40"/>
  <c r="AE414" i="40"/>
  <c r="AI414" i="40"/>
  <c r="H414" i="40"/>
  <c r="P414" i="40"/>
  <c r="X414" i="40"/>
  <c r="AB414" i="40"/>
  <c r="AJ414" i="40"/>
  <c r="L414" i="40"/>
  <c r="CL414" i="40" s="1"/>
  <c r="T414" i="40"/>
  <c r="CR414" i="40" s="1"/>
  <c r="AF414" i="40"/>
  <c r="E414" i="40"/>
  <c r="I414" i="40"/>
  <c r="M414" i="40"/>
  <c r="CM414" i="40" s="1"/>
  <c r="Q414" i="40"/>
  <c r="U414" i="40"/>
  <c r="Y414" i="40"/>
  <c r="AC414" i="40"/>
  <c r="AG414" i="40"/>
  <c r="N414" i="40"/>
  <c r="CN414" i="40" s="1"/>
  <c r="AD414" i="40"/>
  <c r="J414" i="40"/>
  <c r="R414" i="40"/>
  <c r="AH414" i="40"/>
  <c r="F414" i="40"/>
  <c r="V414" i="40"/>
  <c r="CT414" i="40" s="1"/>
  <c r="Z414" i="40"/>
  <c r="G514" i="40"/>
  <c r="K514" i="40"/>
  <c r="O514" i="40"/>
  <c r="CO514" i="40" s="1"/>
  <c r="S514" i="40"/>
  <c r="W514" i="40"/>
  <c r="CU514" i="40" s="1"/>
  <c r="AA514" i="40"/>
  <c r="AE514" i="40"/>
  <c r="AI514" i="40"/>
  <c r="H514" i="40"/>
  <c r="P514" i="40"/>
  <c r="X514" i="40"/>
  <c r="AF514" i="40"/>
  <c r="L514" i="40"/>
  <c r="CL514" i="40" s="1"/>
  <c r="T514" i="40"/>
  <c r="CR514" i="40" s="1"/>
  <c r="AB514" i="40"/>
  <c r="AJ514" i="40"/>
  <c r="E514" i="40"/>
  <c r="I514" i="40"/>
  <c r="M514" i="40"/>
  <c r="CM514" i="40" s="1"/>
  <c r="Q514" i="40"/>
  <c r="U514" i="40"/>
  <c r="CS514" i="40" s="1"/>
  <c r="Y514" i="40"/>
  <c r="AC514" i="40"/>
  <c r="AG514" i="40"/>
  <c r="N514" i="40"/>
  <c r="CN514" i="40" s="1"/>
  <c r="AD514" i="40"/>
  <c r="R514" i="40"/>
  <c r="AH514" i="40"/>
  <c r="F514" i="40"/>
  <c r="V514" i="40"/>
  <c r="CT514" i="40" s="1"/>
  <c r="J514" i="40"/>
  <c r="Z514" i="40"/>
  <c r="DB514" i="40" s="1"/>
  <c r="BL514" i="40"/>
  <c r="CB514" i="40"/>
  <c r="BM514" i="40"/>
  <c r="CC514" i="40"/>
  <c r="AW514" i="40"/>
  <c r="BN514" i="40"/>
  <c r="CD514" i="40"/>
  <c r="BS514" i="40"/>
  <c r="CE514" i="40"/>
  <c r="IZ514" i="40"/>
  <c r="AZ514" i="40"/>
  <c r="BP514" i="40"/>
  <c r="CF514" i="40"/>
  <c r="BA514" i="40"/>
  <c r="BQ514" i="40"/>
  <c r="CG514" i="40"/>
  <c r="BB514" i="40"/>
  <c r="BR514" i="40"/>
  <c r="CH514" i="40"/>
  <c r="CJ514" i="40"/>
  <c r="BG514" i="40"/>
  <c r="BK514" i="40"/>
  <c r="HZ514" i="40"/>
  <c r="IX514" i="40"/>
  <c r="BE514" i="40"/>
  <c r="DT514" i="40"/>
  <c r="CA514" i="40"/>
  <c r="IY514" i="40"/>
  <c r="C515" i="40"/>
  <c r="BD514" i="40"/>
  <c r="BT514" i="40"/>
  <c r="DM514" i="40"/>
  <c r="DS514" i="40"/>
  <c r="BF514" i="40"/>
  <c r="BV514" i="40"/>
  <c r="BW514" i="40"/>
  <c r="A514" i="40"/>
  <c r="BH514" i="40"/>
  <c r="BX514" i="40"/>
  <c r="DV514" i="40"/>
  <c r="BI514" i="40"/>
  <c r="BY514" i="40"/>
  <c r="DW514" i="40"/>
  <c r="BJ514" i="40"/>
  <c r="BZ514" i="40"/>
  <c r="BC514" i="40"/>
  <c r="BO514" i="40"/>
  <c r="DU514" i="40"/>
  <c r="AX514" i="40"/>
  <c r="HY514" i="40"/>
  <c r="JP514" i="40"/>
  <c r="BU514" i="40"/>
  <c r="JO514" i="40"/>
  <c r="IA514" i="40"/>
  <c r="JI101" i="40"/>
  <c r="JK101" i="40" s="1"/>
  <c r="JG101" i="40" s="1"/>
  <c r="G315" i="40"/>
  <c r="K315" i="40"/>
  <c r="O315" i="40"/>
  <c r="CO315" i="40" s="1"/>
  <c r="S315" i="40"/>
  <c r="W315" i="40"/>
  <c r="AA315" i="40"/>
  <c r="AE315" i="40"/>
  <c r="AI315" i="40"/>
  <c r="L315" i="40"/>
  <c r="X315" i="40"/>
  <c r="AB315" i="40"/>
  <c r="AJ315" i="40"/>
  <c r="N315" i="40"/>
  <c r="CN315" i="40" s="1"/>
  <c r="Z315" i="40"/>
  <c r="H315" i="40"/>
  <c r="P315" i="40"/>
  <c r="T315" i="40"/>
  <c r="CR315" i="40" s="1"/>
  <c r="AF315" i="40"/>
  <c r="F315" i="40"/>
  <c r="R315" i="40"/>
  <c r="AD315" i="40"/>
  <c r="E315" i="40"/>
  <c r="I315" i="40"/>
  <c r="M315" i="40"/>
  <c r="CM315" i="40" s="1"/>
  <c r="Q315" i="40"/>
  <c r="U315" i="40"/>
  <c r="CS315" i="40" s="1"/>
  <c r="Y315" i="40"/>
  <c r="AC315" i="40"/>
  <c r="AG315" i="40"/>
  <c r="J315" i="40"/>
  <c r="V315" i="40"/>
  <c r="CT315" i="40" s="1"/>
  <c r="AH315" i="40"/>
  <c r="CP513" i="40"/>
  <c r="AN513" i="40"/>
  <c r="AO513" i="40"/>
  <c r="CQ513" i="40"/>
  <c r="CQ614" i="40"/>
  <c r="AO614" i="40"/>
  <c r="AP513" i="40"/>
  <c r="CV614" i="40"/>
  <c r="CK614" i="40"/>
  <c r="AM614" i="40"/>
  <c r="H615" i="40"/>
  <c r="AI615" i="40"/>
  <c r="AC615" i="40"/>
  <c r="CJ615" i="40"/>
  <c r="CB615" i="40"/>
  <c r="BL615" i="40"/>
  <c r="AB615" i="40"/>
  <c r="DS615" i="40"/>
  <c r="BS615" i="40"/>
  <c r="BC615" i="40"/>
  <c r="DV615" i="40"/>
  <c r="BZ615" i="40"/>
  <c r="BJ615" i="40"/>
  <c r="N615" i="40"/>
  <c r="CN615" i="40" s="1"/>
  <c r="DU615" i="40"/>
  <c r="CG615" i="40"/>
  <c r="A615" i="40"/>
  <c r="JO615" i="40"/>
  <c r="I615" i="40"/>
  <c r="AJ615" i="40"/>
  <c r="C616" i="40"/>
  <c r="BX615" i="40"/>
  <c r="BH615" i="40"/>
  <c r="P615" i="40"/>
  <c r="CE615" i="40"/>
  <c r="BO615" i="40"/>
  <c r="O615" i="40"/>
  <c r="CO615" i="40" s="1"/>
  <c r="DM615" i="40"/>
  <c r="BV615" i="40"/>
  <c r="BF615" i="40"/>
  <c r="J615" i="40"/>
  <c r="BU615" i="40"/>
  <c r="BQ615" i="40"/>
  <c r="CC615" i="40"/>
  <c r="JP615" i="40"/>
  <c r="AE615" i="40"/>
  <c r="DT615" i="40"/>
  <c r="BT615" i="40"/>
  <c r="BD615" i="40"/>
  <c r="L615" i="40"/>
  <c r="CL615" i="40" s="1"/>
  <c r="CA615" i="40"/>
  <c r="BK615" i="40"/>
  <c r="K615" i="40"/>
  <c r="CH615" i="40"/>
  <c r="BR615" i="40"/>
  <c r="BB615" i="40"/>
  <c r="BY615" i="40"/>
  <c r="BE615" i="40"/>
  <c r="BA615" i="40"/>
  <c r="AW615" i="40"/>
  <c r="AF615" i="40"/>
  <c r="DW615" i="40"/>
  <c r="CD615" i="40"/>
  <c r="BM615" i="40"/>
  <c r="R615" i="40"/>
  <c r="F615" i="40"/>
  <c r="CF615" i="40"/>
  <c r="BW615" i="40"/>
  <c r="BN615" i="40"/>
  <c r="AG615" i="40"/>
  <c r="AZ615" i="40"/>
  <c r="BI615" i="40"/>
  <c r="KN615" i="40"/>
  <c r="BP615" i="40"/>
  <c r="BG615" i="40"/>
  <c r="AX615" i="40"/>
  <c r="M615" i="40"/>
  <c r="CM615" i="40" s="1"/>
  <c r="G615" i="40"/>
  <c r="AH615" i="40"/>
  <c r="W615" i="40"/>
  <c r="CU615" i="40" s="1"/>
  <c r="U615" i="40"/>
  <c r="CS615" i="40" s="1"/>
  <c r="Z615" i="40"/>
  <c r="T615" i="40"/>
  <c r="CR615" i="40" s="1"/>
  <c r="Q615" i="40"/>
  <c r="S615" i="40"/>
  <c r="V615" i="40"/>
  <c r="CT615" i="40" s="1"/>
  <c r="X615" i="40"/>
  <c r="AD615" i="40"/>
  <c r="AA615" i="40"/>
  <c r="E615" i="40"/>
  <c r="Y615" i="40"/>
  <c r="JI105" i="40"/>
  <c r="JK105" i="40" s="1"/>
  <c r="JI111" i="40"/>
  <c r="JK111" i="40" s="1"/>
  <c r="JI107" i="40"/>
  <c r="JK107" i="40" s="1"/>
  <c r="CV413" i="40"/>
  <c r="CK413" i="40"/>
  <c r="AM413" i="40"/>
  <c r="BJ414" i="40"/>
  <c r="BZ414" i="40"/>
  <c r="AX414" i="40"/>
  <c r="BO414" i="40"/>
  <c r="CE414" i="40"/>
  <c r="AZ414" i="40"/>
  <c r="BP414" i="40"/>
  <c r="CF414" i="40"/>
  <c r="BM414" i="40"/>
  <c r="BQ414" i="40"/>
  <c r="BU414" i="40"/>
  <c r="IA414" i="40"/>
  <c r="DT414" i="40"/>
  <c r="BK414" i="40"/>
  <c r="JO414" i="40"/>
  <c r="AW414" i="40"/>
  <c r="BN414" i="40"/>
  <c r="CD414" i="40"/>
  <c r="BC414" i="40"/>
  <c r="BS414" i="40"/>
  <c r="CJ414" i="40"/>
  <c r="BD414" i="40"/>
  <c r="BT414" i="40"/>
  <c r="DM414" i="40"/>
  <c r="CC414" i="40"/>
  <c r="CG414" i="40"/>
  <c r="DS414" i="40"/>
  <c r="DW414" i="40"/>
  <c r="HZ414" i="40"/>
  <c r="IY414" i="40"/>
  <c r="BY414" i="40"/>
  <c r="BF414" i="40"/>
  <c r="A414" i="40"/>
  <c r="CB414" i="40"/>
  <c r="BE414" i="40"/>
  <c r="IZ414" i="40"/>
  <c r="BB414" i="40"/>
  <c r="BR414" i="40"/>
  <c r="CH414" i="40"/>
  <c r="BG414" i="40"/>
  <c r="BW414" i="40"/>
  <c r="DU414" i="40"/>
  <c r="BH414" i="40"/>
  <c r="BX414" i="40"/>
  <c r="DV414" i="40"/>
  <c r="BI414" i="40"/>
  <c r="HY414" i="40"/>
  <c r="IX414" i="40"/>
  <c r="C415" i="40"/>
  <c r="BV414" i="40"/>
  <c r="CA414" i="40"/>
  <c r="BL414" i="40"/>
  <c r="BA414" i="40"/>
  <c r="JP414" i="40"/>
  <c r="D26" i="70"/>
  <c r="AP214" i="40"/>
  <c r="AO413" i="40"/>
  <c r="CQ413" i="40"/>
  <c r="DB413" i="40"/>
  <c r="D12" i="70"/>
  <c r="AY12" i="70" s="1"/>
  <c r="D113" i="40"/>
  <c r="AY113" i="40" s="1"/>
  <c r="AN413" i="40"/>
  <c r="CP413" i="40"/>
  <c r="AP413" i="40"/>
  <c r="BD215" i="40"/>
  <c r="BT215" i="40"/>
  <c r="DM215" i="40"/>
  <c r="BE215" i="40"/>
  <c r="BU215" i="40"/>
  <c r="DS215" i="40"/>
  <c r="BB215" i="40"/>
  <c r="BR215" i="40"/>
  <c r="CH215" i="40"/>
  <c r="BO215" i="40"/>
  <c r="BS215" i="40"/>
  <c r="BW215" i="40"/>
  <c r="IZ215" i="40"/>
  <c r="HY215" i="40"/>
  <c r="IY215" i="40"/>
  <c r="AZ215" i="40"/>
  <c r="BP215" i="40"/>
  <c r="CF215" i="40"/>
  <c r="BA215" i="40"/>
  <c r="BQ215" i="40"/>
  <c r="CG215" i="40"/>
  <c r="AW215" i="40"/>
  <c r="BN215" i="40"/>
  <c r="AX215" i="40"/>
  <c r="BC215" i="40"/>
  <c r="CA215" i="40"/>
  <c r="C216" i="40"/>
  <c r="BH215" i="40"/>
  <c r="BX215" i="40"/>
  <c r="DV215" i="40"/>
  <c r="BI215" i="40"/>
  <c r="BY215" i="40"/>
  <c r="DW215" i="40"/>
  <c r="BF215" i="40"/>
  <c r="BV215" i="40"/>
  <c r="DT215" i="40"/>
  <c r="CE215" i="40"/>
  <c r="CJ215" i="40"/>
  <c r="DU215" i="40"/>
  <c r="JO215" i="40"/>
  <c r="IX215" i="40"/>
  <c r="JP215" i="40"/>
  <c r="A215" i="40"/>
  <c r="BL215" i="40"/>
  <c r="CB215" i="40"/>
  <c r="BM215" i="40"/>
  <c r="CC215" i="40"/>
  <c r="BJ215" i="40"/>
  <c r="BZ215" i="40"/>
  <c r="BK215" i="40"/>
  <c r="IA215" i="40"/>
  <c r="CD215" i="40"/>
  <c r="BG215" i="40"/>
  <c r="HZ215" i="40"/>
  <c r="AM214" i="40"/>
  <c r="CK214" i="40"/>
  <c r="AO214" i="40"/>
  <c r="CQ214" i="40"/>
  <c r="AN214" i="40"/>
  <c r="CP214" i="40"/>
  <c r="DB214" i="40"/>
  <c r="JI108" i="40"/>
  <c r="JK108" i="40" s="1"/>
  <c r="DB114" i="40"/>
  <c r="JI106" i="40"/>
  <c r="JK106" i="40" s="1"/>
  <c r="HN114" i="40"/>
  <c r="HQ114" i="40" s="1"/>
  <c r="DB314" i="40"/>
  <c r="B196" i="75"/>
  <c r="IP114" i="40"/>
  <c r="JB114" i="40" s="1"/>
  <c r="E19" i="44" s="1"/>
  <c r="AM114" i="40"/>
  <c r="CK114" i="40"/>
  <c r="IO114" i="40"/>
  <c r="JA114" i="40" s="1"/>
  <c r="HS114" i="40"/>
  <c r="JH112" i="40"/>
  <c r="HV113" i="40"/>
  <c r="CV314" i="40"/>
  <c r="AP314" i="40"/>
  <c r="IC103" i="40"/>
  <c r="JI103" i="40"/>
  <c r="JK103" i="40" s="1"/>
  <c r="IC101" i="40"/>
  <c r="JI110" i="40"/>
  <c r="JK110" i="40" s="1"/>
  <c r="IC110" i="40"/>
  <c r="AP114" i="40"/>
  <c r="HM114" i="40"/>
  <c r="IQ114" i="40"/>
  <c r="JC114" i="40" s="1"/>
  <c r="IK115" i="40"/>
  <c r="IN115" i="40" s="1"/>
  <c r="IJ115" i="40"/>
  <c r="IM115" i="40" s="1"/>
  <c r="JF115" i="40"/>
  <c r="HO115" i="40" s="1"/>
  <c r="II115" i="40"/>
  <c r="IL115" i="40" s="1"/>
  <c r="C116" i="40"/>
  <c r="F115" i="40"/>
  <c r="N115" i="40"/>
  <c r="CN115" i="40" s="1"/>
  <c r="AG115" i="40"/>
  <c r="I115" i="40"/>
  <c r="AD115" i="40"/>
  <c r="AZ115" i="40"/>
  <c r="BD115" i="40"/>
  <c r="BH115" i="40"/>
  <c r="BL115" i="40"/>
  <c r="BP115" i="40"/>
  <c r="BT115" i="40"/>
  <c r="BX115" i="40"/>
  <c r="CB115" i="40"/>
  <c r="CF115" i="40"/>
  <c r="DM115" i="40"/>
  <c r="DV115" i="40"/>
  <c r="K115" i="40"/>
  <c r="P115" i="40"/>
  <c r="AI115" i="40"/>
  <c r="J115" i="40"/>
  <c r="AF115" i="40"/>
  <c r="BA115" i="40"/>
  <c r="BE115" i="40"/>
  <c r="BI115" i="40"/>
  <c r="BM115" i="40"/>
  <c r="BQ115" i="40"/>
  <c r="BU115" i="40"/>
  <c r="BY115" i="40"/>
  <c r="CC115" i="40"/>
  <c r="CG115" i="40"/>
  <c r="DS115" i="40"/>
  <c r="DW115" i="40"/>
  <c r="L115" i="40"/>
  <c r="CL115" i="40" s="1"/>
  <c r="AC115" i="40"/>
  <c r="G115" i="40"/>
  <c r="O115" i="40"/>
  <c r="CO115" i="40" s="1"/>
  <c r="AJ115" i="40"/>
  <c r="AW115" i="40"/>
  <c r="BB115" i="40"/>
  <c r="BF115" i="40"/>
  <c r="BJ115" i="40"/>
  <c r="BN115" i="40"/>
  <c r="BR115" i="40"/>
  <c r="BV115" i="40"/>
  <c r="BZ115" i="40"/>
  <c r="CD115" i="40"/>
  <c r="CH115" i="40"/>
  <c r="DT115" i="40"/>
  <c r="A115" i="40"/>
  <c r="AB115" i="40"/>
  <c r="BG115" i="40"/>
  <c r="BW115" i="40"/>
  <c r="DU115" i="40"/>
  <c r="M115" i="40"/>
  <c r="CM115" i="40" s="1"/>
  <c r="BK115" i="40"/>
  <c r="CA115" i="40"/>
  <c r="AE115" i="40"/>
  <c r="AX115" i="40"/>
  <c r="BO115" i="40"/>
  <c r="CE115" i="40"/>
  <c r="CJ115" i="40"/>
  <c r="H115" i="40"/>
  <c r="BC115" i="40"/>
  <c r="BS115" i="40"/>
  <c r="JO115" i="40"/>
  <c r="AH115" i="40"/>
  <c r="HY115" i="40"/>
  <c r="IX115" i="40"/>
  <c r="HZ115" i="40"/>
  <c r="IA115" i="40"/>
  <c r="IZ115" i="40"/>
  <c r="AA115" i="40"/>
  <c r="U115" i="40"/>
  <c r="CS115" i="40" s="1"/>
  <c r="E115" i="40"/>
  <c r="R115" i="40"/>
  <c r="X115" i="40"/>
  <c r="W115" i="40"/>
  <c r="CU115" i="40" s="1"/>
  <c r="S115" i="40"/>
  <c r="Z115" i="40"/>
  <c r="V115" i="40"/>
  <c r="CT115" i="40" s="1"/>
  <c r="T115" i="40"/>
  <c r="CR115" i="40" s="1"/>
  <c r="Q115" i="40"/>
  <c r="IY115" i="40"/>
  <c r="JP115" i="40"/>
  <c r="Y115" i="40"/>
  <c r="HU114" i="40"/>
  <c r="HQ113" i="40"/>
  <c r="JH113" i="40" s="1"/>
  <c r="JI113" i="40"/>
  <c r="AN314" i="40"/>
  <c r="CP314" i="40"/>
  <c r="CK314" i="40"/>
  <c r="AM314" i="40"/>
  <c r="IC106" i="40"/>
  <c r="IC105" i="40"/>
  <c r="IC104" i="40"/>
  <c r="CV114" i="40"/>
  <c r="AK114" i="40"/>
  <c r="AL114" i="40"/>
  <c r="HR114" i="40"/>
  <c r="HX113" i="40"/>
  <c r="JJ112" i="40"/>
  <c r="C316" i="40"/>
  <c r="AW315" i="40"/>
  <c r="BB315" i="40"/>
  <c r="BF315" i="40"/>
  <c r="BJ315" i="40"/>
  <c r="BN315" i="40"/>
  <c r="BR315" i="40"/>
  <c r="BV315" i="40"/>
  <c r="BZ315" i="40"/>
  <c r="CD315" i="40"/>
  <c r="CH315" i="40"/>
  <c r="DT315" i="40"/>
  <c r="CL315" i="40"/>
  <c r="AX315" i="40"/>
  <c r="BC315" i="40"/>
  <c r="BG315" i="40"/>
  <c r="BK315" i="40"/>
  <c r="BO315" i="40"/>
  <c r="BS315" i="40"/>
  <c r="BW315" i="40"/>
  <c r="CA315" i="40"/>
  <c r="CE315" i="40"/>
  <c r="CJ315" i="40"/>
  <c r="DU315" i="40"/>
  <c r="A315" i="40"/>
  <c r="AZ315" i="40"/>
  <c r="BD315" i="40"/>
  <c r="BH315" i="40"/>
  <c r="BL315" i="40"/>
  <c r="BP315" i="40"/>
  <c r="BT315" i="40"/>
  <c r="BX315" i="40"/>
  <c r="CB315" i="40"/>
  <c r="CF315" i="40"/>
  <c r="DM315" i="40"/>
  <c r="DV315" i="40"/>
  <c r="BA315" i="40"/>
  <c r="BQ315" i="40"/>
  <c r="CG315" i="40"/>
  <c r="BE315" i="40"/>
  <c r="BU315" i="40"/>
  <c r="DS315" i="40"/>
  <c r="BI315" i="40"/>
  <c r="BY315" i="40"/>
  <c r="DW315" i="40"/>
  <c r="BM315" i="40"/>
  <c r="CC315" i="40"/>
  <c r="JO315" i="40"/>
  <c r="IY315" i="40"/>
  <c r="IX315" i="40"/>
  <c r="IZ315" i="40"/>
  <c r="HY315" i="40"/>
  <c r="HZ315" i="40"/>
  <c r="IA315" i="40"/>
  <c r="CU315" i="40"/>
  <c r="JP315" i="40"/>
  <c r="IC109" i="40"/>
  <c r="IC107" i="40"/>
  <c r="IC108" i="40"/>
  <c r="JI104" i="40"/>
  <c r="JK104" i="40" s="1"/>
  <c r="CP114" i="40"/>
  <c r="HW114" i="40" s="1"/>
  <c r="AN114" i="40"/>
  <c r="CQ114" i="40"/>
  <c r="AO114" i="40"/>
  <c r="HT114" i="40"/>
  <c r="CQ314" i="40"/>
  <c r="AO314" i="40"/>
  <c r="IC102" i="40"/>
  <c r="JI102" i="40"/>
  <c r="JK102" i="40" s="1"/>
  <c r="IC111" i="40"/>
  <c r="IC112" i="40"/>
  <c r="JI112" i="40"/>
  <c r="CI115" i="40" l="1"/>
  <c r="HZ614" i="40"/>
  <c r="IY614" i="40" s="1"/>
  <c r="JG102" i="40"/>
  <c r="JL102" i="40" s="1"/>
  <c r="JG105" i="40"/>
  <c r="JL105" i="40" s="1"/>
  <c r="JM105" i="40" s="1"/>
  <c r="JG106" i="40"/>
  <c r="JL106" i="40" s="1"/>
  <c r="JM106" i="40" s="1"/>
  <c r="JG104" i="40"/>
  <c r="JL104" i="40" s="1"/>
  <c r="JM104" i="40" s="1"/>
  <c r="JG109" i="40"/>
  <c r="JG103" i="40"/>
  <c r="JL103" i="40" s="1"/>
  <c r="JG112" i="40"/>
  <c r="AP414" i="40"/>
  <c r="CV215" i="40"/>
  <c r="JG107" i="40"/>
  <c r="JL107" i="40" s="1"/>
  <c r="JM107" i="40" s="1"/>
  <c r="JG113" i="40"/>
  <c r="JG110" i="40"/>
  <c r="JL110" i="40" s="1"/>
  <c r="JG114" i="40"/>
  <c r="JG116" i="40"/>
  <c r="JG108" i="40"/>
  <c r="JL108" i="40" s="1"/>
  <c r="JM108" i="40" s="1"/>
  <c r="JG111" i="40"/>
  <c r="JL111" i="40" s="1"/>
  <c r="JM111" i="40" s="1"/>
  <c r="JG115" i="40"/>
  <c r="HY614" i="40"/>
  <c r="IX614" i="40" s="1"/>
  <c r="IA614" i="40"/>
  <c r="IZ614" i="40" s="1"/>
  <c r="CV615" i="40"/>
  <c r="AP615" i="40"/>
  <c r="AE616" i="40"/>
  <c r="DS616" i="40"/>
  <c r="BS616" i="40"/>
  <c r="BC616" i="40"/>
  <c r="DV616" i="40"/>
  <c r="BZ616" i="40"/>
  <c r="BJ616" i="40"/>
  <c r="N616" i="40"/>
  <c r="CN616" i="40" s="1"/>
  <c r="CC616" i="40"/>
  <c r="BM616" i="40"/>
  <c r="AW616" i="40"/>
  <c r="CB616" i="40"/>
  <c r="BX616" i="40"/>
  <c r="BT616" i="40"/>
  <c r="AZ616" i="40"/>
  <c r="JO616" i="40"/>
  <c r="AF616" i="40"/>
  <c r="F616" i="40"/>
  <c r="CE616" i="40"/>
  <c r="BO616" i="40"/>
  <c r="O616" i="40"/>
  <c r="CO616" i="40" s="1"/>
  <c r="DM616" i="40"/>
  <c r="BV616" i="40"/>
  <c r="BF616" i="40"/>
  <c r="J616" i="40"/>
  <c r="BY616" i="40"/>
  <c r="BI616" i="40"/>
  <c r="AG616" i="40"/>
  <c r="BL616" i="40"/>
  <c r="BH616" i="40"/>
  <c r="BD616" i="40"/>
  <c r="P616" i="40"/>
  <c r="Z616" i="40"/>
  <c r="JP616" i="40"/>
  <c r="H616" i="40"/>
  <c r="AI616" i="40"/>
  <c r="AC616" i="40"/>
  <c r="CA616" i="40"/>
  <c r="BK616" i="40"/>
  <c r="K616" i="40"/>
  <c r="CH616" i="40"/>
  <c r="BR616" i="40"/>
  <c r="BB616" i="40"/>
  <c r="DU616" i="40"/>
  <c r="BU616" i="40"/>
  <c r="BE616" i="40"/>
  <c r="M616" i="40"/>
  <c r="CM616" i="40" s="1"/>
  <c r="AB616" i="40"/>
  <c r="BP616" i="40"/>
  <c r="C617" i="40"/>
  <c r="KN616" i="40"/>
  <c r="DW616" i="40"/>
  <c r="CD616" i="40"/>
  <c r="BQ616" i="40"/>
  <c r="DT616" i="40"/>
  <c r="BW616" i="40"/>
  <c r="BN616" i="40"/>
  <c r="BA616" i="40"/>
  <c r="CF616" i="40"/>
  <c r="AJ616" i="40"/>
  <c r="CJ616" i="40"/>
  <c r="CG616" i="40"/>
  <c r="I616" i="40"/>
  <c r="BG616" i="40"/>
  <c r="AX616" i="40"/>
  <c r="A616" i="40"/>
  <c r="G616" i="40"/>
  <c r="L616" i="40"/>
  <c r="CL616" i="40" s="1"/>
  <c r="T616" i="40"/>
  <c r="CR616" i="40" s="1"/>
  <c r="W616" i="40"/>
  <c r="CU616" i="40" s="1"/>
  <c r="AH616" i="40"/>
  <c r="R616" i="40"/>
  <c r="Q616" i="40"/>
  <c r="V616" i="40"/>
  <c r="CT616" i="40" s="1"/>
  <c r="X616" i="40"/>
  <c r="U616" i="40"/>
  <c r="CS616" i="40" s="1"/>
  <c r="S616" i="40"/>
  <c r="AA616" i="40"/>
  <c r="AD616" i="40"/>
  <c r="E616" i="40"/>
  <c r="Y616" i="40"/>
  <c r="G515" i="40"/>
  <c r="K515" i="40"/>
  <c r="O515" i="40"/>
  <c r="CO515" i="40" s="1"/>
  <c r="S515" i="40"/>
  <c r="W515" i="40"/>
  <c r="CU515" i="40" s="1"/>
  <c r="AA515" i="40"/>
  <c r="AE515" i="40"/>
  <c r="AI515" i="40"/>
  <c r="H515" i="40"/>
  <c r="P515" i="40"/>
  <c r="T515" i="40"/>
  <c r="CR515" i="40" s="1"/>
  <c r="AF515" i="40"/>
  <c r="L515" i="40"/>
  <c r="CL515" i="40" s="1"/>
  <c r="X515" i="40"/>
  <c r="AB515" i="40"/>
  <c r="AJ515" i="40"/>
  <c r="E515" i="40"/>
  <c r="I515" i="40"/>
  <c r="M515" i="40"/>
  <c r="CM515" i="40" s="1"/>
  <c r="Q515" i="40"/>
  <c r="U515" i="40"/>
  <c r="CS515" i="40" s="1"/>
  <c r="Y515" i="40"/>
  <c r="AC515" i="40"/>
  <c r="AG515" i="40"/>
  <c r="N515" i="40"/>
  <c r="CN515" i="40" s="1"/>
  <c r="AD515" i="40"/>
  <c r="R515" i="40"/>
  <c r="AH515" i="40"/>
  <c r="J515" i="40"/>
  <c r="F515" i="40"/>
  <c r="V515" i="40"/>
  <c r="CT515" i="40" s="1"/>
  <c r="Z515" i="40"/>
  <c r="DB515" i="40" s="1"/>
  <c r="C516" i="40"/>
  <c r="BJ515" i="40"/>
  <c r="BZ515" i="40"/>
  <c r="BG515" i="40"/>
  <c r="BW515" i="40"/>
  <c r="DU515" i="40"/>
  <c r="BD515" i="40"/>
  <c r="BT515" i="40"/>
  <c r="DM515" i="40"/>
  <c r="CG515" i="40"/>
  <c r="JO515" i="40"/>
  <c r="BY515" i="40"/>
  <c r="IA515" i="40"/>
  <c r="IX515" i="40"/>
  <c r="IZ515" i="40"/>
  <c r="AW515" i="40"/>
  <c r="BN515" i="40"/>
  <c r="CD515" i="40"/>
  <c r="BK515" i="40"/>
  <c r="CA515" i="40"/>
  <c r="A515" i="40"/>
  <c r="BH515" i="40"/>
  <c r="BX515" i="40"/>
  <c r="DV515" i="40"/>
  <c r="BE515" i="40"/>
  <c r="DW515" i="40"/>
  <c r="HY515" i="40"/>
  <c r="JP515" i="40"/>
  <c r="BB515" i="40"/>
  <c r="BR515" i="40"/>
  <c r="CH515" i="40"/>
  <c r="AX515" i="40"/>
  <c r="BO515" i="40"/>
  <c r="CE515" i="40"/>
  <c r="BL515" i="40"/>
  <c r="CB515" i="40"/>
  <c r="BA515" i="40"/>
  <c r="BU515" i="40"/>
  <c r="CC515" i="40"/>
  <c r="BM515" i="40"/>
  <c r="BF515" i="40"/>
  <c r="BV515" i="40"/>
  <c r="DT515" i="40"/>
  <c r="BC515" i="40"/>
  <c r="CJ515" i="40"/>
  <c r="AZ515" i="40"/>
  <c r="BP515" i="40"/>
  <c r="BQ515" i="40"/>
  <c r="BI515" i="40"/>
  <c r="IY515" i="40"/>
  <c r="BS515" i="40"/>
  <c r="CF515" i="40"/>
  <c r="DS515" i="40"/>
  <c r="HZ515" i="40"/>
  <c r="G216" i="40"/>
  <c r="K216" i="40"/>
  <c r="O216" i="40"/>
  <c r="CO216" i="40" s="1"/>
  <c r="S216" i="40"/>
  <c r="W216" i="40"/>
  <c r="CU216" i="40" s="1"/>
  <c r="AA216" i="40"/>
  <c r="AE216" i="40"/>
  <c r="AI216" i="40"/>
  <c r="F216" i="40"/>
  <c r="R216" i="40"/>
  <c r="AD216" i="40"/>
  <c r="H216" i="40"/>
  <c r="L216" i="40"/>
  <c r="CL216" i="40" s="1"/>
  <c r="P216" i="40"/>
  <c r="T216" i="40"/>
  <c r="CR216" i="40" s="1"/>
  <c r="X216" i="40"/>
  <c r="AB216" i="40"/>
  <c r="AF216" i="40"/>
  <c r="AJ216" i="40"/>
  <c r="N216" i="40"/>
  <c r="CN216" i="40" s="1"/>
  <c r="Z216" i="40"/>
  <c r="AH216" i="40"/>
  <c r="E216" i="40"/>
  <c r="I216" i="40"/>
  <c r="M216" i="40"/>
  <c r="CM216" i="40" s="1"/>
  <c r="Q216" i="40"/>
  <c r="U216" i="40"/>
  <c r="CS216" i="40" s="1"/>
  <c r="Y216" i="40"/>
  <c r="AC216" i="40"/>
  <c r="AG216" i="40"/>
  <c r="J216" i="40"/>
  <c r="V216" i="40"/>
  <c r="CT216" i="40" s="1"/>
  <c r="G415" i="40"/>
  <c r="K415" i="40"/>
  <c r="O415" i="40"/>
  <c r="CO415" i="40" s="1"/>
  <c r="S415" i="40"/>
  <c r="W415" i="40"/>
  <c r="CU415" i="40" s="1"/>
  <c r="AA415" i="40"/>
  <c r="AE415" i="40"/>
  <c r="AI415" i="40"/>
  <c r="L415" i="40"/>
  <c r="CL415" i="40" s="1"/>
  <c r="P415" i="40"/>
  <c r="X415" i="40"/>
  <c r="AF415" i="40"/>
  <c r="H415" i="40"/>
  <c r="T415" i="40"/>
  <c r="CR415" i="40" s="1"/>
  <c r="AB415" i="40"/>
  <c r="AJ415" i="40"/>
  <c r="E415" i="40"/>
  <c r="I415" i="40"/>
  <c r="M415" i="40"/>
  <c r="CM415" i="40" s="1"/>
  <c r="Q415" i="40"/>
  <c r="U415" i="40"/>
  <c r="CS415" i="40" s="1"/>
  <c r="Y415" i="40"/>
  <c r="AC415" i="40"/>
  <c r="AG415" i="40"/>
  <c r="N415" i="40"/>
  <c r="CN415" i="40" s="1"/>
  <c r="AD415" i="40"/>
  <c r="J415" i="40"/>
  <c r="R415" i="40"/>
  <c r="AH415" i="40"/>
  <c r="F415" i="40"/>
  <c r="V415" i="40"/>
  <c r="CT415" i="40" s="1"/>
  <c r="Z415" i="40"/>
  <c r="DB615" i="40"/>
  <c r="AN514" i="40"/>
  <c r="CP514" i="40"/>
  <c r="CQ514" i="40"/>
  <c r="AO514" i="40"/>
  <c r="CS414" i="40"/>
  <c r="CP615" i="40"/>
  <c r="AO615" i="40"/>
  <c r="CQ615" i="40"/>
  <c r="CK615" i="40"/>
  <c r="AM615" i="40"/>
  <c r="AP514" i="40"/>
  <c r="G316" i="40"/>
  <c r="K316" i="40"/>
  <c r="O316" i="40"/>
  <c r="CO316" i="40" s="1"/>
  <c r="S316" i="40"/>
  <c r="W316" i="40"/>
  <c r="CU316" i="40" s="1"/>
  <c r="AA316" i="40"/>
  <c r="AE316" i="40"/>
  <c r="AI316" i="40"/>
  <c r="L316" i="40"/>
  <c r="CL316" i="40" s="1"/>
  <c r="T316" i="40"/>
  <c r="CR316" i="40" s="1"/>
  <c r="AB316" i="40"/>
  <c r="AJ316" i="40"/>
  <c r="F316" i="40"/>
  <c r="R316" i="40"/>
  <c r="AD316" i="40"/>
  <c r="H316" i="40"/>
  <c r="P316" i="40"/>
  <c r="X316" i="40"/>
  <c r="AF316" i="40"/>
  <c r="J316" i="40"/>
  <c r="V316" i="40"/>
  <c r="CT316" i="40" s="1"/>
  <c r="AH316" i="40"/>
  <c r="E316" i="40"/>
  <c r="I316" i="40"/>
  <c r="M316" i="40"/>
  <c r="CM316" i="40" s="1"/>
  <c r="Q316" i="40"/>
  <c r="U316" i="40"/>
  <c r="CS316" i="40" s="1"/>
  <c r="Y316" i="40"/>
  <c r="AC316" i="40"/>
  <c r="AG316" i="40"/>
  <c r="N316" i="40"/>
  <c r="CN316" i="40" s="1"/>
  <c r="Z316" i="40"/>
  <c r="AN615" i="40"/>
  <c r="CV514" i="40"/>
  <c r="AM514" i="40"/>
  <c r="CK514" i="40"/>
  <c r="D27" i="70"/>
  <c r="AP215" i="40"/>
  <c r="AO414" i="40"/>
  <c r="CQ414" i="40"/>
  <c r="DB414" i="40"/>
  <c r="CP414" i="40"/>
  <c r="AN414" i="40"/>
  <c r="AM414" i="40"/>
  <c r="CK414" i="40"/>
  <c r="A415" i="40"/>
  <c r="BL415" i="40"/>
  <c r="CB415" i="40"/>
  <c r="BM415" i="40"/>
  <c r="CC415" i="40"/>
  <c r="BJ415" i="40"/>
  <c r="BZ415" i="40"/>
  <c r="AX415" i="40"/>
  <c r="BC415" i="40"/>
  <c r="BG415" i="40"/>
  <c r="HY415" i="40"/>
  <c r="JP415" i="40"/>
  <c r="CH415" i="40"/>
  <c r="IZ415" i="40"/>
  <c r="DW415" i="40"/>
  <c r="AZ415" i="40"/>
  <c r="BP415" i="40"/>
  <c r="CF415" i="40"/>
  <c r="BA415" i="40"/>
  <c r="BQ415" i="40"/>
  <c r="CG415" i="40"/>
  <c r="AW415" i="40"/>
  <c r="BN415" i="40"/>
  <c r="CD415" i="40"/>
  <c r="BK415" i="40"/>
  <c r="BO415" i="40"/>
  <c r="BS415" i="40"/>
  <c r="DU415" i="40"/>
  <c r="IA415" i="40"/>
  <c r="IX415" i="40"/>
  <c r="BD415" i="40"/>
  <c r="BT415" i="40"/>
  <c r="DM415" i="40"/>
  <c r="BE415" i="40"/>
  <c r="BU415" i="40"/>
  <c r="DS415" i="40"/>
  <c r="BR415" i="40"/>
  <c r="CA415" i="40"/>
  <c r="CE415" i="40"/>
  <c r="JO415" i="40"/>
  <c r="C416" i="40"/>
  <c r="BH415" i="40"/>
  <c r="BX415" i="40"/>
  <c r="DV415" i="40"/>
  <c r="BI415" i="40"/>
  <c r="BY415" i="40"/>
  <c r="BF415" i="40"/>
  <c r="BV415" i="40"/>
  <c r="DT415" i="40"/>
  <c r="BW415" i="40"/>
  <c r="HZ415" i="40"/>
  <c r="BB415" i="40"/>
  <c r="CJ415" i="40"/>
  <c r="IY415" i="40"/>
  <c r="CV414" i="40"/>
  <c r="AM215" i="40"/>
  <c r="CK215" i="40"/>
  <c r="DB215" i="40"/>
  <c r="AO215" i="40"/>
  <c r="CQ215" i="40"/>
  <c r="CP215" i="40"/>
  <c r="AN215" i="40"/>
  <c r="IO115" i="40"/>
  <c r="JA115" i="40" s="1"/>
  <c r="C217" i="40"/>
  <c r="BF216" i="40"/>
  <c r="BV216" i="40"/>
  <c r="DT216" i="40"/>
  <c r="BK216" i="40"/>
  <c r="CA216" i="40"/>
  <c r="A216" i="40"/>
  <c r="BL216" i="40"/>
  <c r="CB216" i="40"/>
  <c r="BA216" i="40"/>
  <c r="BE216" i="40"/>
  <c r="BI216" i="40"/>
  <c r="JO216" i="40"/>
  <c r="HZ216" i="40"/>
  <c r="JP216" i="40"/>
  <c r="BB216" i="40"/>
  <c r="BR216" i="40"/>
  <c r="CH216" i="40"/>
  <c r="BG216" i="40"/>
  <c r="BW216" i="40"/>
  <c r="DU216" i="40"/>
  <c r="DV216" i="40"/>
  <c r="IY216" i="40"/>
  <c r="BJ216" i="40"/>
  <c r="BZ216" i="40"/>
  <c r="AX216" i="40"/>
  <c r="BO216" i="40"/>
  <c r="CE216" i="40"/>
  <c r="AZ216" i="40"/>
  <c r="BP216" i="40"/>
  <c r="CF216" i="40"/>
  <c r="BM216" i="40"/>
  <c r="BQ216" i="40"/>
  <c r="BU216" i="40"/>
  <c r="BY216" i="40"/>
  <c r="IZ216" i="40"/>
  <c r="BH216" i="40"/>
  <c r="IX216" i="40"/>
  <c r="AW216" i="40"/>
  <c r="BN216" i="40"/>
  <c r="CD216" i="40"/>
  <c r="BC216" i="40"/>
  <c r="BS216" i="40"/>
  <c r="CJ216" i="40"/>
  <c r="BD216" i="40"/>
  <c r="BT216" i="40"/>
  <c r="DM216" i="40"/>
  <c r="CC216" i="40"/>
  <c r="CG216" i="40"/>
  <c r="DS216" i="40"/>
  <c r="DW216" i="40"/>
  <c r="IA216" i="40"/>
  <c r="BX216" i="40"/>
  <c r="HY216" i="40"/>
  <c r="HM115" i="40"/>
  <c r="HP115" i="40" s="1"/>
  <c r="DB115" i="40"/>
  <c r="JK112" i="40"/>
  <c r="IC114" i="40"/>
  <c r="IP115" i="40"/>
  <c r="JB115" i="40" s="1"/>
  <c r="E20" i="44" s="1"/>
  <c r="D114" i="40"/>
  <c r="AY114" i="40" s="1"/>
  <c r="HN115" i="40"/>
  <c r="HQ115" i="40" s="1"/>
  <c r="B197" i="75"/>
  <c r="AP315" i="40"/>
  <c r="CK315" i="40"/>
  <c r="AM315" i="40"/>
  <c r="AN115" i="40"/>
  <c r="CP115" i="40"/>
  <c r="HW115" i="40" s="1"/>
  <c r="AO115" i="40"/>
  <c r="CQ115" i="40"/>
  <c r="IK116" i="40"/>
  <c r="IN116" i="40" s="1"/>
  <c r="JF116" i="40"/>
  <c r="HO116" i="40" s="1"/>
  <c r="HR116" i="40" s="1"/>
  <c r="II116" i="40"/>
  <c r="IL116" i="40" s="1"/>
  <c r="IJ116" i="40"/>
  <c r="IM116" i="40" s="1"/>
  <c r="C117" i="40"/>
  <c r="K116" i="40"/>
  <c r="P116" i="40"/>
  <c r="AI116" i="40"/>
  <c r="J116" i="40"/>
  <c r="AF116" i="40"/>
  <c r="BA116" i="40"/>
  <c r="BE116" i="40"/>
  <c r="BI116" i="40"/>
  <c r="BM116" i="40"/>
  <c r="BQ116" i="40"/>
  <c r="BU116" i="40"/>
  <c r="BY116" i="40"/>
  <c r="CC116" i="40"/>
  <c r="CG116" i="40"/>
  <c r="DS116" i="40"/>
  <c r="DW116" i="40"/>
  <c r="L116" i="40"/>
  <c r="CL116" i="40" s="1"/>
  <c r="AC116" i="40"/>
  <c r="G116" i="40"/>
  <c r="O116" i="40"/>
  <c r="CO116" i="40" s="1"/>
  <c r="AJ116" i="40"/>
  <c r="AW116" i="40"/>
  <c r="BB116" i="40"/>
  <c r="BF116" i="40"/>
  <c r="BJ116" i="40"/>
  <c r="BN116" i="40"/>
  <c r="BR116" i="40"/>
  <c r="BV116" i="40"/>
  <c r="BZ116" i="40"/>
  <c r="CD116" i="40"/>
  <c r="CH116" i="40"/>
  <c r="DT116" i="40"/>
  <c r="A116" i="40"/>
  <c r="M116" i="40"/>
  <c r="CM116" i="40" s="1"/>
  <c r="AE116" i="40"/>
  <c r="H116" i="40"/>
  <c r="AB116" i="40"/>
  <c r="AX116" i="40"/>
  <c r="BC116" i="40"/>
  <c r="BG116" i="40"/>
  <c r="BK116" i="40"/>
  <c r="BO116" i="40"/>
  <c r="BS116" i="40"/>
  <c r="BW116" i="40"/>
  <c r="CA116" i="40"/>
  <c r="CE116" i="40"/>
  <c r="CJ116" i="40"/>
  <c r="DU116" i="40"/>
  <c r="I116" i="40"/>
  <c r="BD116" i="40"/>
  <c r="BT116" i="40"/>
  <c r="DM116" i="40"/>
  <c r="F116" i="40"/>
  <c r="AD116" i="40"/>
  <c r="BH116" i="40"/>
  <c r="BX116" i="40"/>
  <c r="DV116" i="40"/>
  <c r="N116" i="40"/>
  <c r="CN116" i="40" s="1"/>
  <c r="BL116" i="40"/>
  <c r="CB116" i="40"/>
  <c r="BP116" i="40"/>
  <c r="AG116" i="40"/>
  <c r="CF116" i="40"/>
  <c r="AZ116" i="40"/>
  <c r="JO116" i="40"/>
  <c r="AH116" i="40"/>
  <c r="IZ116" i="40"/>
  <c r="HY116" i="40"/>
  <c r="IX116" i="40"/>
  <c r="HZ116" i="40"/>
  <c r="IA116" i="40"/>
  <c r="T116" i="40"/>
  <c r="CR116" i="40" s="1"/>
  <c r="Q116" i="40"/>
  <c r="AA116" i="40"/>
  <c r="U116" i="40"/>
  <c r="CS116" i="40" s="1"/>
  <c r="E116" i="40"/>
  <c r="R116" i="40"/>
  <c r="X116" i="40"/>
  <c r="W116" i="40"/>
  <c r="CU116" i="40" s="1"/>
  <c r="S116" i="40"/>
  <c r="Z116" i="40"/>
  <c r="V116" i="40"/>
  <c r="CT116" i="40" s="1"/>
  <c r="IY116" i="40"/>
  <c r="JP116" i="40"/>
  <c r="Y116" i="40"/>
  <c r="HU115" i="40"/>
  <c r="HV114" i="40"/>
  <c r="CP315" i="40"/>
  <c r="AN315" i="40"/>
  <c r="CQ315" i="40"/>
  <c r="AO315" i="40"/>
  <c r="C317" i="40"/>
  <c r="A316" i="40"/>
  <c r="AZ316" i="40"/>
  <c r="BD316" i="40"/>
  <c r="BH316" i="40"/>
  <c r="BL316" i="40"/>
  <c r="BP316" i="40"/>
  <c r="BT316" i="40"/>
  <c r="BX316" i="40"/>
  <c r="CB316" i="40"/>
  <c r="CF316" i="40"/>
  <c r="DM316" i="40"/>
  <c r="DV316" i="40"/>
  <c r="BA316" i="40"/>
  <c r="BE316" i="40"/>
  <c r="BI316" i="40"/>
  <c r="BM316" i="40"/>
  <c r="BQ316" i="40"/>
  <c r="BU316" i="40"/>
  <c r="BY316" i="40"/>
  <c r="CC316" i="40"/>
  <c r="CG316" i="40"/>
  <c r="DS316" i="40"/>
  <c r="DW316" i="40"/>
  <c r="AW316" i="40"/>
  <c r="BB316" i="40"/>
  <c r="BF316" i="40"/>
  <c r="BJ316" i="40"/>
  <c r="BN316" i="40"/>
  <c r="BR316" i="40"/>
  <c r="BV316" i="40"/>
  <c r="BZ316" i="40"/>
  <c r="CD316" i="40"/>
  <c r="CH316" i="40"/>
  <c r="DT316" i="40"/>
  <c r="AX316" i="40"/>
  <c r="BO316" i="40"/>
  <c r="CE316" i="40"/>
  <c r="BC316" i="40"/>
  <c r="BS316" i="40"/>
  <c r="CJ316" i="40"/>
  <c r="BG316" i="40"/>
  <c r="BW316" i="40"/>
  <c r="DU316" i="40"/>
  <c r="BK316" i="40"/>
  <c r="CA316" i="40"/>
  <c r="JO316" i="40"/>
  <c r="IY316" i="40"/>
  <c r="IX316" i="40"/>
  <c r="IZ316" i="40"/>
  <c r="HY316" i="40"/>
  <c r="HZ316" i="40"/>
  <c r="IA316" i="40"/>
  <c r="JP316" i="40"/>
  <c r="CV115" i="40"/>
  <c r="AK115" i="40"/>
  <c r="AL115" i="40"/>
  <c r="HS115" i="40"/>
  <c r="HX114" i="40"/>
  <c r="CV315" i="40"/>
  <c r="AP115" i="40"/>
  <c r="IQ115" i="40"/>
  <c r="JC115" i="40" s="1"/>
  <c r="HR115" i="40"/>
  <c r="HP114" i="40"/>
  <c r="DB315" i="40"/>
  <c r="IC113" i="40"/>
  <c r="CK115" i="40"/>
  <c r="AM115" i="40"/>
  <c r="HT115" i="40"/>
  <c r="JJ113" i="40"/>
  <c r="JK113" i="40" s="1"/>
  <c r="JI114" i="40"/>
  <c r="JL109" i="40"/>
  <c r="JL101" i="40"/>
  <c r="CI116" i="40" l="1"/>
  <c r="HZ615" i="40"/>
  <c r="JL112" i="40"/>
  <c r="JM112" i="40" s="1"/>
  <c r="M26" i="70" s="1"/>
  <c r="HY615" i="40"/>
  <c r="IX615" i="40" s="1"/>
  <c r="HX115" i="40"/>
  <c r="JL113" i="40"/>
  <c r="JM113" i="40" s="1"/>
  <c r="M27" i="70" s="1"/>
  <c r="IA615" i="40"/>
  <c r="IZ615" i="40" s="1"/>
  <c r="HV115" i="40"/>
  <c r="DB415" i="40"/>
  <c r="CK616" i="40"/>
  <c r="AM616" i="40"/>
  <c r="G217" i="40"/>
  <c r="K217" i="40"/>
  <c r="O217" i="40"/>
  <c r="CO217" i="40" s="1"/>
  <c r="S217" i="40"/>
  <c r="W217" i="40"/>
  <c r="CU217" i="40" s="1"/>
  <c r="AA217" i="40"/>
  <c r="AE217" i="40"/>
  <c r="AI217" i="40"/>
  <c r="T217" i="40"/>
  <c r="CR217" i="40" s="1"/>
  <c r="J217" i="40"/>
  <c r="V217" i="40"/>
  <c r="CT217" i="40" s="1"/>
  <c r="AH217" i="40"/>
  <c r="H217" i="40"/>
  <c r="L217" i="40"/>
  <c r="CL217" i="40" s="1"/>
  <c r="P217" i="40"/>
  <c r="X217" i="40"/>
  <c r="AB217" i="40"/>
  <c r="AF217" i="40"/>
  <c r="AJ217" i="40"/>
  <c r="N217" i="40"/>
  <c r="CN217" i="40" s="1"/>
  <c r="Z217" i="40"/>
  <c r="E217" i="40"/>
  <c r="I217" i="40"/>
  <c r="M217" i="40"/>
  <c r="CM217" i="40" s="1"/>
  <c r="Q217" i="40"/>
  <c r="U217" i="40"/>
  <c r="CS217" i="40" s="1"/>
  <c r="Y217" i="40"/>
  <c r="AC217" i="40"/>
  <c r="AG217" i="40"/>
  <c r="F217" i="40"/>
  <c r="R217" i="40"/>
  <c r="AD217" i="40"/>
  <c r="G416" i="40"/>
  <c r="K416" i="40"/>
  <c r="O416" i="40"/>
  <c r="CO416" i="40" s="1"/>
  <c r="S416" i="40"/>
  <c r="W416" i="40"/>
  <c r="CU416" i="40" s="1"/>
  <c r="AA416" i="40"/>
  <c r="AE416" i="40"/>
  <c r="AI416" i="40"/>
  <c r="H416" i="40"/>
  <c r="P416" i="40"/>
  <c r="X416" i="40"/>
  <c r="AB416" i="40"/>
  <c r="AJ416" i="40"/>
  <c r="L416" i="40"/>
  <c r="CL416" i="40" s="1"/>
  <c r="T416" i="40"/>
  <c r="CR416" i="40" s="1"/>
  <c r="AF416" i="40"/>
  <c r="E416" i="40"/>
  <c r="I416" i="40"/>
  <c r="M416" i="40"/>
  <c r="Q416" i="40"/>
  <c r="U416" i="40"/>
  <c r="CS416" i="40" s="1"/>
  <c r="Y416" i="40"/>
  <c r="AC416" i="40"/>
  <c r="AG416" i="40"/>
  <c r="N416" i="40"/>
  <c r="CN416" i="40" s="1"/>
  <c r="AD416" i="40"/>
  <c r="J416" i="40"/>
  <c r="R416" i="40"/>
  <c r="AH416" i="40"/>
  <c r="F416" i="40"/>
  <c r="V416" i="40"/>
  <c r="CT416" i="40" s="1"/>
  <c r="Z416" i="40"/>
  <c r="CV515" i="40"/>
  <c r="AP515" i="40"/>
  <c r="CK515" i="40"/>
  <c r="AM515" i="40"/>
  <c r="AP616" i="40"/>
  <c r="DB616" i="40"/>
  <c r="G516" i="40"/>
  <c r="K516" i="40"/>
  <c r="O516" i="40"/>
  <c r="CO516" i="40" s="1"/>
  <c r="S516" i="40"/>
  <c r="W516" i="40"/>
  <c r="CU516" i="40" s="1"/>
  <c r="AA516" i="40"/>
  <c r="AE516" i="40"/>
  <c r="AI516" i="40"/>
  <c r="H516" i="40"/>
  <c r="P516" i="40"/>
  <c r="X516" i="40"/>
  <c r="AF516" i="40"/>
  <c r="AJ516" i="40"/>
  <c r="L516" i="40"/>
  <c r="CL516" i="40" s="1"/>
  <c r="T516" i="40"/>
  <c r="CR516" i="40" s="1"/>
  <c r="AB516" i="40"/>
  <c r="E516" i="40"/>
  <c r="I516" i="40"/>
  <c r="M516" i="40"/>
  <c r="CM516" i="40" s="1"/>
  <c r="Q516" i="40"/>
  <c r="U516" i="40"/>
  <c r="CS516" i="40" s="1"/>
  <c r="Y516" i="40"/>
  <c r="AC516" i="40"/>
  <c r="AG516" i="40"/>
  <c r="N516" i="40"/>
  <c r="CN516" i="40" s="1"/>
  <c r="AD516" i="40"/>
  <c r="R516" i="40"/>
  <c r="AH516" i="40"/>
  <c r="J516" i="40"/>
  <c r="F516" i="40"/>
  <c r="V516" i="40"/>
  <c r="CT516" i="40" s="1"/>
  <c r="Z516" i="40"/>
  <c r="C517" i="40"/>
  <c r="BD516" i="40"/>
  <c r="BT516" i="40"/>
  <c r="DM516" i="40"/>
  <c r="BE516" i="40"/>
  <c r="BU516" i="40"/>
  <c r="DS516" i="40"/>
  <c r="BF516" i="40"/>
  <c r="BV516" i="40"/>
  <c r="DT516" i="40"/>
  <c r="CJ516" i="40"/>
  <c r="BW516" i="40"/>
  <c r="IA516" i="40"/>
  <c r="IY516" i="40"/>
  <c r="AZ516" i="40"/>
  <c r="BQ516" i="40"/>
  <c r="BB516" i="40"/>
  <c r="CE516" i="40"/>
  <c r="A516" i="40"/>
  <c r="BH516" i="40"/>
  <c r="BX516" i="40"/>
  <c r="DV516" i="40"/>
  <c r="BI516" i="40"/>
  <c r="BY516" i="40"/>
  <c r="DW516" i="40"/>
  <c r="BJ516" i="40"/>
  <c r="BZ516" i="40"/>
  <c r="AX516" i="40"/>
  <c r="CA516" i="40"/>
  <c r="BK516" i="40"/>
  <c r="DU516" i="40"/>
  <c r="HY516" i="40"/>
  <c r="JP516" i="40"/>
  <c r="BA516" i="40"/>
  <c r="CH516" i="40"/>
  <c r="BG516" i="40"/>
  <c r="BL516" i="40"/>
  <c r="CB516" i="40"/>
  <c r="BM516" i="40"/>
  <c r="CC516" i="40"/>
  <c r="AW516" i="40"/>
  <c r="BN516" i="40"/>
  <c r="CD516" i="40"/>
  <c r="BO516" i="40"/>
  <c r="BC516" i="40"/>
  <c r="JO516" i="40"/>
  <c r="IZ516" i="40"/>
  <c r="BP516" i="40"/>
  <c r="CF516" i="40"/>
  <c r="CG516" i="40"/>
  <c r="BR516" i="40"/>
  <c r="BS516" i="40"/>
  <c r="IX516" i="40"/>
  <c r="HZ516" i="40"/>
  <c r="CP616" i="40"/>
  <c r="H617" i="40"/>
  <c r="AI617" i="40"/>
  <c r="AC617" i="40"/>
  <c r="DM617" i="40"/>
  <c r="BV617" i="40"/>
  <c r="BF617" i="40"/>
  <c r="J617" i="40"/>
  <c r="BY617" i="40"/>
  <c r="BI617" i="40"/>
  <c r="AG617" i="40"/>
  <c r="DT617" i="40"/>
  <c r="BT617" i="40"/>
  <c r="BD617" i="40"/>
  <c r="L617" i="40"/>
  <c r="CL617" i="40" s="1"/>
  <c r="CA617" i="40"/>
  <c r="BC617" i="40"/>
  <c r="G617" i="40"/>
  <c r="R617" i="40"/>
  <c r="JO617" i="40"/>
  <c r="I617" i="40"/>
  <c r="AJ617" i="40"/>
  <c r="CH617" i="40"/>
  <c r="BR617" i="40"/>
  <c r="BB617" i="40"/>
  <c r="DU617" i="40"/>
  <c r="BU617" i="40"/>
  <c r="BE617" i="40"/>
  <c r="M617" i="40"/>
  <c r="CM617" i="40" s="1"/>
  <c r="CF617" i="40"/>
  <c r="BP617" i="40"/>
  <c r="AZ617" i="40"/>
  <c r="CE617" i="40"/>
  <c r="BK617" i="40"/>
  <c r="DW617" i="40"/>
  <c r="BS617" i="40"/>
  <c r="JP617" i="40"/>
  <c r="AE617" i="40"/>
  <c r="CJ617" i="40"/>
  <c r="CD617" i="40"/>
  <c r="BN617" i="40"/>
  <c r="AX617" i="40"/>
  <c r="CG617" i="40"/>
  <c r="BQ617" i="40"/>
  <c r="BA617" i="40"/>
  <c r="A617" i="40"/>
  <c r="CB617" i="40"/>
  <c r="BL617" i="40"/>
  <c r="AB617" i="40"/>
  <c r="BO617" i="40"/>
  <c r="K617" i="40"/>
  <c r="BW617" i="40"/>
  <c r="Z617" i="40"/>
  <c r="F617" i="40"/>
  <c r="BZ617" i="40"/>
  <c r="BM617" i="40"/>
  <c r="BH617" i="40"/>
  <c r="BG617" i="40"/>
  <c r="AF617" i="40"/>
  <c r="BJ617" i="40"/>
  <c r="AW617" i="40"/>
  <c r="P617" i="40"/>
  <c r="BX617" i="40"/>
  <c r="KN617" i="40"/>
  <c r="N617" i="40"/>
  <c r="CN617" i="40" s="1"/>
  <c r="C618" i="40"/>
  <c r="O617" i="40"/>
  <c r="CO617" i="40" s="1"/>
  <c r="CC617" i="40"/>
  <c r="DV617" i="40"/>
  <c r="DS617" i="40"/>
  <c r="W617" i="40"/>
  <c r="CU617" i="40" s="1"/>
  <c r="T617" i="40"/>
  <c r="CR617" i="40" s="1"/>
  <c r="U617" i="40"/>
  <c r="CS617" i="40" s="1"/>
  <c r="AH617" i="40"/>
  <c r="Q617" i="40"/>
  <c r="X617" i="40"/>
  <c r="S617" i="40"/>
  <c r="V617" i="40"/>
  <c r="CT617" i="40" s="1"/>
  <c r="AA617" i="40"/>
  <c r="AD617" i="40"/>
  <c r="E617" i="40"/>
  <c r="Y617" i="40"/>
  <c r="G317" i="40"/>
  <c r="K317" i="40"/>
  <c r="O317" i="40"/>
  <c r="CO317" i="40" s="1"/>
  <c r="S317" i="40"/>
  <c r="W317" i="40"/>
  <c r="CU317" i="40" s="1"/>
  <c r="AA317" i="40"/>
  <c r="AE317" i="40"/>
  <c r="AI317" i="40"/>
  <c r="L317" i="40"/>
  <c r="CL317" i="40" s="1"/>
  <c r="P317" i="40"/>
  <c r="X317" i="40"/>
  <c r="AF317" i="40"/>
  <c r="J317" i="40"/>
  <c r="V317" i="40"/>
  <c r="CT317" i="40" s="1"/>
  <c r="AH317" i="40"/>
  <c r="H317" i="40"/>
  <c r="T317" i="40"/>
  <c r="CR317" i="40" s="1"/>
  <c r="AB317" i="40"/>
  <c r="AJ317" i="40"/>
  <c r="R317" i="40"/>
  <c r="AD317" i="40"/>
  <c r="E317" i="40"/>
  <c r="I317" i="40"/>
  <c r="M317" i="40"/>
  <c r="CM317" i="40" s="1"/>
  <c r="Q317" i="40"/>
  <c r="U317" i="40"/>
  <c r="CS317" i="40" s="1"/>
  <c r="Y317" i="40"/>
  <c r="AC317" i="40"/>
  <c r="AG317" i="40"/>
  <c r="F317" i="40"/>
  <c r="N317" i="40"/>
  <c r="CN317" i="40" s="1"/>
  <c r="Z317" i="40"/>
  <c r="IY615" i="40"/>
  <c r="AN515" i="40"/>
  <c r="CP515" i="40"/>
  <c r="CQ515" i="40"/>
  <c r="AO515" i="40"/>
  <c r="CV616" i="40"/>
  <c r="CQ616" i="40"/>
  <c r="AO616" i="40"/>
  <c r="AN616" i="40"/>
  <c r="CP415" i="40"/>
  <c r="AN415" i="40"/>
  <c r="CV415" i="40"/>
  <c r="BC416" i="40"/>
  <c r="BS416" i="40"/>
  <c r="CJ416" i="40"/>
  <c r="BH416" i="40"/>
  <c r="BX416" i="40"/>
  <c r="DV416" i="40"/>
  <c r="BE416" i="40"/>
  <c r="BU416" i="40"/>
  <c r="DS416" i="40"/>
  <c r="BJ416" i="40"/>
  <c r="BN416" i="40"/>
  <c r="BR416" i="40"/>
  <c r="BF416" i="40"/>
  <c r="IA416" i="40"/>
  <c r="IY416" i="40"/>
  <c r="CF416" i="40"/>
  <c r="BV416" i="40"/>
  <c r="AX416" i="40"/>
  <c r="BO416" i="40"/>
  <c r="CE416" i="40"/>
  <c r="BD416" i="40"/>
  <c r="BT416" i="40"/>
  <c r="DM416" i="40"/>
  <c r="BA416" i="40"/>
  <c r="CG416" i="40"/>
  <c r="AW416" i="40"/>
  <c r="BB416" i="40"/>
  <c r="IZ416" i="40"/>
  <c r="BG416" i="40"/>
  <c r="BW416" i="40"/>
  <c r="DU416" i="40"/>
  <c r="BL416" i="40"/>
  <c r="CB416" i="40"/>
  <c r="A416" i="40"/>
  <c r="BI416" i="40"/>
  <c r="BY416" i="40"/>
  <c r="DW416" i="40"/>
  <c r="BZ416" i="40"/>
  <c r="CD416" i="40"/>
  <c r="CH416" i="40"/>
  <c r="HZ416" i="40"/>
  <c r="IX416" i="40"/>
  <c r="BK416" i="40"/>
  <c r="CA416" i="40"/>
  <c r="CM416" i="40"/>
  <c r="AZ416" i="40"/>
  <c r="BP416" i="40"/>
  <c r="BM416" i="40"/>
  <c r="CC416" i="40"/>
  <c r="JO416" i="40"/>
  <c r="HY416" i="40"/>
  <c r="JP416" i="40"/>
  <c r="BQ416" i="40"/>
  <c r="DT416" i="40"/>
  <c r="C417" i="40"/>
  <c r="AP415" i="40"/>
  <c r="AO415" i="40"/>
  <c r="CQ415" i="40"/>
  <c r="CK415" i="40"/>
  <c r="AM415" i="40"/>
  <c r="CP216" i="40"/>
  <c r="AN216" i="40"/>
  <c r="AM216" i="40"/>
  <c r="CK216" i="40"/>
  <c r="DB216" i="40"/>
  <c r="AP216" i="40"/>
  <c r="CV216" i="40"/>
  <c r="CQ216" i="40"/>
  <c r="AO216" i="40"/>
  <c r="AZ217" i="40"/>
  <c r="BP217" i="40"/>
  <c r="CF217" i="40"/>
  <c r="BA217" i="40"/>
  <c r="BQ217" i="40"/>
  <c r="CG217" i="40"/>
  <c r="AW217" i="40"/>
  <c r="BN217" i="40"/>
  <c r="CD217" i="40"/>
  <c r="BK217" i="40"/>
  <c r="BO217" i="40"/>
  <c r="BS217" i="40"/>
  <c r="BW217" i="40"/>
  <c r="IX217" i="40"/>
  <c r="C218" i="40"/>
  <c r="BH217" i="40"/>
  <c r="BX217" i="40"/>
  <c r="DV217" i="40"/>
  <c r="BI217" i="40"/>
  <c r="BY217" i="40"/>
  <c r="BF217" i="40"/>
  <c r="BV217" i="40"/>
  <c r="HY217" i="40"/>
  <c r="JP217" i="40"/>
  <c r="BL217" i="40"/>
  <c r="BM217" i="40"/>
  <c r="CC217" i="40"/>
  <c r="BZ217" i="40"/>
  <c r="AX217" i="40"/>
  <c r="BG217" i="40"/>
  <c r="IZ217" i="40"/>
  <c r="BD217" i="40"/>
  <c r="BT217" i="40"/>
  <c r="DM217" i="40"/>
  <c r="BE217" i="40"/>
  <c r="BU217" i="40"/>
  <c r="DS217" i="40"/>
  <c r="BB217" i="40"/>
  <c r="BR217" i="40"/>
  <c r="CH217" i="40"/>
  <c r="CA217" i="40"/>
  <c r="CE217" i="40"/>
  <c r="CJ217" i="40"/>
  <c r="DU217" i="40"/>
  <c r="HZ217" i="40"/>
  <c r="IA217" i="40"/>
  <c r="IY217" i="40"/>
  <c r="DW217" i="40"/>
  <c r="DT217" i="40"/>
  <c r="JO217" i="40"/>
  <c r="A217" i="40"/>
  <c r="CB217" i="40"/>
  <c r="BJ217" i="40"/>
  <c r="BC217" i="40"/>
  <c r="D115" i="40"/>
  <c r="AY115" i="40" s="1"/>
  <c r="IO116" i="40"/>
  <c r="JA116" i="40" s="1"/>
  <c r="D28" i="70"/>
  <c r="JH115" i="40"/>
  <c r="B198" i="75"/>
  <c r="B199" i="75" s="1"/>
  <c r="HM116" i="40"/>
  <c r="HP116" i="40" s="1"/>
  <c r="JH114" i="40"/>
  <c r="JI115" i="40"/>
  <c r="AN316" i="40"/>
  <c r="CP316" i="40"/>
  <c r="AP116" i="40"/>
  <c r="IQ116" i="40"/>
  <c r="JC116" i="40" s="1"/>
  <c r="IK117" i="40"/>
  <c r="IN117" i="40" s="1"/>
  <c r="JF117" i="40"/>
  <c r="HO117" i="40" s="1"/>
  <c r="HR117" i="40" s="1"/>
  <c r="II117" i="40"/>
  <c r="IL117" i="40" s="1"/>
  <c r="IJ117" i="40"/>
  <c r="IM117" i="40" s="1"/>
  <c r="C118" i="40"/>
  <c r="L117" i="40"/>
  <c r="CL117" i="40" s="1"/>
  <c r="AC117" i="40"/>
  <c r="G117" i="40"/>
  <c r="O117" i="40"/>
  <c r="CO117" i="40" s="1"/>
  <c r="AJ117" i="40"/>
  <c r="AW117" i="40"/>
  <c r="BB117" i="40"/>
  <c r="BF117" i="40"/>
  <c r="BJ117" i="40"/>
  <c r="BN117" i="40"/>
  <c r="BR117" i="40"/>
  <c r="BV117" i="40"/>
  <c r="BZ117" i="40"/>
  <c r="CD117" i="40"/>
  <c r="CH117" i="40"/>
  <c r="DT117" i="40"/>
  <c r="A117" i="40"/>
  <c r="M117" i="40"/>
  <c r="CM117" i="40" s="1"/>
  <c r="AE117" i="40"/>
  <c r="H117" i="40"/>
  <c r="AB117" i="40"/>
  <c r="AX117" i="40"/>
  <c r="BC117" i="40"/>
  <c r="BG117" i="40"/>
  <c r="BK117" i="40"/>
  <c r="BO117" i="40"/>
  <c r="BS117" i="40"/>
  <c r="BW117" i="40"/>
  <c r="CA117" i="40"/>
  <c r="CE117" i="40"/>
  <c r="CJ117" i="40"/>
  <c r="DU117" i="40"/>
  <c r="F117" i="40"/>
  <c r="N117" i="40"/>
  <c r="CN117" i="40" s="1"/>
  <c r="AG117" i="40"/>
  <c r="I117" i="40"/>
  <c r="AD117" i="40"/>
  <c r="AZ117" i="40"/>
  <c r="BD117" i="40"/>
  <c r="BH117" i="40"/>
  <c r="BL117" i="40"/>
  <c r="BP117" i="40"/>
  <c r="BT117" i="40"/>
  <c r="BX117" i="40"/>
  <c r="CB117" i="40"/>
  <c r="CF117" i="40"/>
  <c r="DM117" i="40"/>
  <c r="DV117" i="40"/>
  <c r="AI117" i="40"/>
  <c r="BA117" i="40"/>
  <c r="BQ117" i="40"/>
  <c r="CG117" i="40"/>
  <c r="J117" i="40"/>
  <c r="BE117" i="40"/>
  <c r="BU117" i="40"/>
  <c r="DS117" i="40"/>
  <c r="K117" i="40"/>
  <c r="AF117" i="40"/>
  <c r="BI117" i="40"/>
  <c r="BY117" i="40"/>
  <c r="DW117" i="40"/>
  <c r="BM117" i="40"/>
  <c r="CC117" i="40"/>
  <c r="P117" i="40"/>
  <c r="JO117" i="40"/>
  <c r="AH117" i="40"/>
  <c r="HY117" i="40"/>
  <c r="IX117" i="40"/>
  <c r="HZ117" i="40"/>
  <c r="IZ117" i="40"/>
  <c r="IA117" i="40"/>
  <c r="Z117" i="40"/>
  <c r="V117" i="40"/>
  <c r="CT117" i="40" s="1"/>
  <c r="T117" i="40"/>
  <c r="CR117" i="40" s="1"/>
  <c r="Q117" i="40"/>
  <c r="AA117" i="40"/>
  <c r="U117" i="40"/>
  <c r="CS117" i="40" s="1"/>
  <c r="E117" i="40"/>
  <c r="R117" i="40"/>
  <c r="X117" i="40"/>
  <c r="W117" i="40"/>
  <c r="CU117" i="40" s="1"/>
  <c r="S117" i="40"/>
  <c r="IY117" i="40"/>
  <c r="JP117" i="40"/>
  <c r="Y117" i="40"/>
  <c r="JG117" i="40"/>
  <c r="HU116" i="40"/>
  <c r="AP316" i="40"/>
  <c r="AM316" i="40"/>
  <c r="CK316" i="40"/>
  <c r="CV116" i="40"/>
  <c r="AL116" i="40"/>
  <c r="AK116" i="40"/>
  <c r="DB116" i="40"/>
  <c r="CP116" i="40"/>
  <c r="HW116" i="40" s="1"/>
  <c r="AN116" i="40"/>
  <c r="HN116" i="40"/>
  <c r="IP116" i="40"/>
  <c r="JB116" i="40" s="1"/>
  <c r="HT116" i="40"/>
  <c r="IC115" i="40"/>
  <c r="DB316" i="40"/>
  <c r="C318" i="40"/>
  <c r="AW317" i="40"/>
  <c r="BB317" i="40"/>
  <c r="BF317" i="40"/>
  <c r="BJ317" i="40"/>
  <c r="AX317" i="40"/>
  <c r="BC317" i="40"/>
  <c r="A317" i="40"/>
  <c r="AZ317" i="40"/>
  <c r="BD317" i="40"/>
  <c r="BH317" i="40"/>
  <c r="BI317" i="40"/>
  <c r="BN317" i="40"/>
  <c r="BR317" i="40"/>
  <c r="BV317" i="40"/>
  <c r="BZ317" i="40"/>
  <c r="CD317" i="40"/>
  <c r="CH317" i="40"/>
  <c r="DT317" i="40"/>
  <c r="BA317" i="40"/>
  <c r="BK317" i="40"/>
  <c r="BO317" i="40"/>
  <c r="BS317" i="40"/>
  <c r="BW317" i="40"/>
  <c r="CA317" i="40"/>
  <c r="CE317" i="40"/>
  <c r="CJ317" i="40"/>
  <c r="DU317" i="40"/>
  <c r="BE317" i="40"/>
  <c r="BL317" i="40"/>
  <c r="BP317" i="40"/>
  <c r="BT317" i="40"/>
  <c r="BX317" i="40"/>
  <c r="CB317" i="40"/>
  <c r="CF317" i="40"/>
  <c r="DM317" i="40"/>
  <c r="DV317" i="40"/>
  <c r="BQ317" i="40"/>
  <c r="CG317" i="40"/>
  <c r="BU317" i="40"/>
  <c r="DS317" i="40"/>
  <c r="BG317" i="40"/>
  <c r="BY317" i="40"/>
  <c r="DW317" i="40"/>
  <c r="CC317" i="40"/>
  <c r="JO317" i="40"/>
  <c r="BM317" i="40"/>
  <c r="IY317" i="40"/>
  <c r="HY317" i="40"/>
  <c r="IA317" i="40"/>
  <c r="IZ317" i="40"/>
  <c r="IX317" i="40"/>
  <c r="HZ317" i="40"/>
  <c r="JP317" i="40"/>
  <c r="AO116" i="40"/>
  <c r="CQ116" i="40"/>
  <c r="HS116" i="40"/>
  <c r="CV316" i="40"/>
  <c r="AO316" i="40"/>
  <c r="CQ316" i="40"/>
  <c r="JJ114" i="40"/>
  <c r="AM116" i="40"/>
  <c r="CK116" i="40"/>
  <c r="JX101" i="40"/>
  <c r="M22" i="70"/>
  <c r="M20" i="70"/>
  <c r="M12" i="70"/>
  <c r="M11" i="70"/>
  <c r="M25" i="70"/>
  <c r="M21" i="70"/>
  <c r="JM101" i="40"/>
  <c r="JX107" i="40"/>
  <c r="JM103" i="40"/>
  <c r="JM102" i="40"/>
  <c r="JM110" i="40"/>
  <c r="JM109" i="40"/>
  <c r="CI201" i="40" l="1"/>
  <c r="CI301" i="40"/>
  <c r="DB516" i="40"/>
  <c r="CI117" i="40"/>
  <c r="CI401" i="40"/>
  <c r="JJ115" i="40"/>
  <c r="IA616" i="40"/>
  <c r="IZ616" i="40" s="1"/>
  <c r="HZ616" i="40"/>
  <c r="IY616" i="40" s="1"/>
  <c r="HY616" i="40"/>
  <c r="IX616" i="40" s="1"/>
  <c r="CV416" i="40"/>
  <c r="CV217" i="40"/>
  <c r="DB217" i="40"/>
  <c r="HV116" i="40"/>
  <c r="G218" i="40"/>
  <c r="K218" i="40"/>
  <c r="O218" i="40"/>
  <c r="CO218" i="40" s="1"/>
  <c r="S218" i="40"/>
  <c r="W218" i="40"/>
  <c r="CU218" i="40" s="1"/>
  <c r="AA218" i="40"/>
  <c r="AE218" i="40"/>
  <c r="AI218" i="40"/>
  <c r="P218" i="40"/>
  <c r="X218" i="40"/>
  <c r="AJ218" i="40"/>
  <c r="N218" i="40"/>
  <c r="CN218" i="40" s="1"/>
  <c r="Z218" i="40"/>
  <c r="H218" i="40"/>
  <c r="L218" i="40"/>
  <c r="CL218" i="40" s="1"/>
  <c r="T218" i="40"/>
  <c r="CR218" i="40" s="1"/>
  <c r="AB218" i="40"/>
  <c r="AF218" i="40"/>
  <c r="F218" i="40"/>
  <c r="R218" i="40"/>
  <c r="AD218" i="40"/>
  <c r="E218" i="40"/>
  <c r="I218" i="40"/>
  <c r="M218" i="40"/>
  <c r="CM218" i="40" s="1"/>
  <c r="Q218" i="40"/>
  <c r="U218" i="40"/>
  <c r="CS218" i="40" s="1"/>
  <c r="Y218" i="40"/>
  <c r="AC218" i="40"/>
  <c r="AG218" i="40"/>
  <c r="J218" i="40"/>
  <c r="V218" i="40"/>
  <c r="CT218" i="40" s="1"/>
  <c r="AH218" i="40"/>
  <c r="AO617" i="40"/>
  <c r="CQ617" i="40"/>
  <c r="AN516" i="40"/>
  <c r="CP516" i="40"/>
  <c r="CQ516" i="40"/>
  <c r="AO516" i="40"/>
  <c r="G318" i="40"/>
  <c r="K318" i="40"/>
  <c r="O318" i="40"/>
  <c r="CO318" i="40" s="1"/>
  <c r="S318" i="40"/>
  <c r="W318" i="40"/>
  <c r="CU318" i="40" s="1"/>
  <c r="AA318" i="40"/>
  <c r="AE318" i="40"/>
  <c r="AI318" i="40"/>
  <c r="H318" i="40"/>
  <c r="P318" i="40"/>
  <c r="X318" i="40"/>
  <c r="AF318" i="40"/>
  <c r="N318" i="40"/>
  <c r="CN318" i="40" s="1"/>
  <c r="Z318" i="40"/>
  <c r="L318" i="40"/>
  <c r="CL318" i="40" s="1"/>
  <c r="T318" i="40"/>
  <c r="CR318" i="40" s="1"/>
  <c r="AB318" i="40"/>
  <c r="AJ318" i="40"/>
  <c r="J318" i="40"/>
  <c r="V318" i="40"/>
  <c r="CT318" i="40" s="1"/>
  <c r="AH318" i="40"/>
  <c r="E318" i="40"/>
  <c r="I318" i="40"/>
  <c r="M318" i="40"/>
  <c r="CM318" i="40" s="1"/>
  <c r="Q318" i="40"/>
  <c r="U318" i="40"/>
  <c r="CS318" i="40" s="1"/>
  <c r="Y318" i="40"/>
  <c r="AC318" i="40"/>
  <c r="AG318" i="40"/>
  <c r="F318" i="40"/>
  <c r="R318" i="40"/>
  <c r="AD318" i="40"/>
  <c r="AP617" i="40"/>
  <c r="AP516" i="40"/>
  <c r="AN617" i="40"/>
  <c r="CP617" i="40"/>
  <c r="CK617" i="40"/>
  <c r="AM617" i="40"/>
  <c r="CV516" i="40"/>
  <c r="AM516" i="40"/>
  <c r="CK516" i="40"/>
  <c r="G417" i="40"/>
  <c r="K417" i="40"/>
  <c r="O417" i="40"/>
  <c r="CO417" i="40" s="1"/>
  <c r="S417" i="40"/>
  <c r="W417" i="40"/>
  <c r="CU417" i="40" s="1"/>
  <c r="AA417" i="40"/>
  <c r="AE417" i="40"/>
  <c r="AI417" i="40"/>
  <c r="H417" i="40"/>
  <c r="P417" i="40"/>
  <c r="X417" i="40"/>
  <c r="AF417" i="40"/>
  <c r="AJ417" i="40"/>
  <c r="L417" i="40"/>
  <c r="CL417" i="40" s="1"/>
  <c r="T417" i="40"/>
  <c r="CR417" i="40" s="1"/>
  <c r="AB417" i="40"/>
  <c r="E417" i="40"/>
  <c r="I417" i="40"/>
  <c r="M417" i="40"/>
  <c r="CM417" i="40" s="1"/>
  <c r="Q417" i="40"/>
  <c r="U417" i="40"/>
  <c r="CS417" i="40" s="1"/>
  <c r="Y417" i="40"/>
  <c r="AC417" i="40"/>
  <c r="AG417" i="40"/>
  <c r="N417" i="40"/>
  <c r="CN417" i="40" s="1"/>
  <c r="AD417" i="40"/>
  <c r="J417" i="40"/>
  <c r="R417" i="40"/>
  <c r="AH417" i="40"/>
  <c r="F417" i="40"/>
  <c r="V417" i="40"/>
  <c r="CT417" i="40" s="1"/>
  <c r="Z417" i="40"/>
  <c r="CV617" i="40"/>
  <c r="DB617" i="40"/>
  <c r="AE618" i="40"/>
  <c r="DU618" i="40"/>
  <c r="BU618" i="40"/>
  <c r="BE618" i="40"/>
  <c r="M618" i="40"/>
  <c r="CM618" i="40" s="1"/>
  <c r="CF618" i="40"/>
  <c r="BP618" i="40"/>
  <c r="AZ618" i="40"/>
  <c r="DW618" i="40"/>
  <c r="BW618" i="40"/>
  <c r="BG618" i="40"/>
  <c r="G618" i="40"/>
  <c r="BB618" i="40"/>
  <c r="N618" i="40"/>
  <c r="CN618" i="40" s="1"/>
  <c r="BJ618" i="40"/>
  <c r="JO618" i="40"/>
  <c r="AF618" i="40"/>
  <c r="F618" i="40"/>
  <c r="W618" i="40"/>
  <c r="CU618" i="40" s="1"/>
  <c r="CJ618" i="40"/>
  <c r="CG618" i="40"/>
  <c r="BQ618" i="40"/>
  <c r="BA618" i="40"/>
  <c r="A618" i="40"/>
  <c r="CB618" i="40"/>
  <c r="BL618" i="40"/>
  <c r="AB618" i="40"/>
  <c r="DS618" i="40"/>
  <c r="BS618" i="40"/>
  <c r="BC618" i="40"/>
  <c r="DM618" i="40"/>
  <c r="CD618" i="40"/>
  <c r="DV618" i="40"/>
  <c r="J618" i="40"/>
  <c r="JP618" i="40"/>
  <c r="H618" i="40"/>
  <c r="AI618" i="40"/>
  <c r="AC618" i="40"/>
  <c r="CC618" i="40"/>
  <c r="BM618" i="40"/>
  <c r="AW618" i="40"/>
  <c r="C619" i="40"/>
  <c r="BX618" i="40"/>
  <c r="BH618" i="40"/>
  <c r="P618" i="40"/>
  <c r="CE618" i="40"/>
  <c r="BO618" i="40"/>
  <c r="O618" i="40"/>
  <c r="CO618" i="40" s="1"/>
  <c r="CH618" i="40"/>
  <c r="BN618" i="40"/>
  <c r="BF618" i="40"/>
  <c r="BV618" i="40"/>
  <c r="AH618" i="40"/>
  <c r="KN618" i="40"/>
  <c r="AJ618" i="40"/>
  <c r="BI618" i="40"/>
  <c r="BD618" i="40"/>
  <c r="K618" i="40"/>
  <c r="AG618" i="40"/>
  <c r="L618" i="40"/>
  <c r="CL618" i="40" s="1"/>
  <c r="BR618" i="40"/>
  <c r="I618" i="40"/>
  <c r="BY618" i="40"/>
  <c r="BZ618" i="40"/>
  <c r="DT618" i="40"/>
  <c r="CA618" i="40"/>
  <c r="AX618" i="40"/>
  <c r="BT618" i="40"/>
  <c r="BK618" i="40"/>
  <c r="Z618" i="40"/>
  <c r="T618" i="40"/>
  <c r="CR618" i="40" s="1"/>
  <c r="R618" i="40"/>
  <c r="U618" i="40"/>
  <c r="CS618" i="40" s="1"/>
  <c r="X618" i="40"/>
  <c r="S618" i="40"/>
  <c r="V618" i="40"/>
  <c r="CT618" i="40" s="1"/>
  <c r="Q618" i="40"/>
  <c r="AD618" i="40"/>
  <c r="AA618" i="40"/>
  <c r="E618" i="40"/>
  <c r="Y618" i="40"/>
  <c r="G517" i="40"/>
  <c r="K517" i="40"/>
  <c r="O517" i="40"/>
  <c r="CO517" i="40" s="1"/>
  <c r="S517" i="40"/>
  <c r="W517" i="40"/>
  <c r="CU517" i="40" s="1"/>
  <c r="AA517" i="40"/>
  <c r="AE517" i="40"/>
  <c r="AI517" i="40"/>
  <c r="L517" i="40"/>
  <c r="CL517" i="40" s="1"/>
  <c r="T517" i="40"/>
  <c r="CR517" i="40" s="1"/>
  <c r="AB517" i="40"/>
  <c r="AJ517" i="40"/>
  <c r="H517" i="40"/>
  <c r="P517" i="40"/>
  <c r="X517" i="40"/>
  <c r="AF517" i="40"/>
  <c r="E517" i="40"/>
  <c r="I517" i="40"/>
  <c r="M517" i="40"/>
  <c r="CM517" i="40" s="1"/>
  <c r="Q517" i="40"/>
  <c r="U517" i="40"/>
  <c r="CS517" i="40" s="1"/>
  <c r="Y517" i="40"/>
  <c r="AC517" i="40"/>
  <c r="AG517" i="40"/>
  <c r="N517" i="40"/>
  <c r="CN517" i="40" s="1"/>
  <c r="AD517" i="40"/>
  <c r="R517" i="40"/>
  <c r="AH517" i="40"/>
  <c r="J517" i="40"/>
  <c r="F517" i="40"/>
  <c r="V517" i="40"/>
  <c r="CT517" i="40" s="1"/>
  <c r="Z517" i="40"/>
  <c r="DB517" i="40" s="1"/>
  <c r="BF517" i="40"/>
  <c r="BV517" i="40"/>
  <c r="DT517" i="40"/>
  <c r="BC517" i="40"/>
  <c r="BS517" i="40"/>
  <c r="CJ517" i="40"/>
  <c r="AZ517" i="40"/>
  <c r="BP517" i="40"/>
  <c r="CF517" i="40"/>
  <c r="BM517" i="40"/>
  <c r="BQ517" i="40"/>
  <c r="BU517" i="40"/>
  <c r="HY517" i="40"/>
  <c r="IX517" i="40"/>
  <c r="BT517" i="40"/>
  <c r="DS517" i="40"/>
  <c r="BR517" i="40"/>
  <c r="BL517" i="40"/>
  <c r="BA517" i="40"/>
  <c r="IZ517" i="40"/>
  <c r="C518" i="40"/>
  <c r="BJ517" i="40"/>
  <c r="BZ517" i="40"/>
  <c r="BG517" i="40"/>
  <c r="BW517" i="40"/>
  <c r="DU517" i="40"/>
  <c r="BD517" i="40"/>
  <c r="DM517" i="40"/>
  <c r="CC517" i="40"/>
  <c r="CG517" i="40"/>
  <c r="IA517" i="40"/>
  <c r="IY517" i="40"/>
  <c r="CE517" i="40"/>
  <c r="AW517" i="40"/>
  <c r="BN517" i="40"/>
  <c r="CD517" i="40"/>
  <c r="BK517" i="40"/>
  <c r="CA517" i="40"/>
  <c r="A517" i="40"/>
  <c r="BH517" i="40"/>
  <c r="BX517" i="40"/>
  <c r="DV517" i="40"/>
  <c r="DW517" i="40"/>
  <c r="BI517" i="40"/>
  <c r="BY517" i="40"/>
  <c r="HZ517" i="40"/>
  <c r="JP517" i="40"/>
  <c r="CH517" i="40"/>
  <c r="BO517" i="40"/>
  <c r="CB517" i="40"/>
  <c r="BE517" i="40"/>
  <c r="BB517" i="40"/>
  <c r="AX517" i="40"/>
  <c r="JO517" i="40"/>
  <c r="BA417" i="40"/>
  <c r="BQ417" i="40"/>
  <c r="CG417" i="40"/>
  <c r="AW417" i="40"/>
  <c r="BN417" i="40"/>
  <c r="CD417" i="40"/>
  <c r="BC417" i="40"/>
  <c r="BS417" i="40"/>
  <c r="CJ417" i="40"/>
  <c r="BH417" i="40"/>
  <c r="BL417" i="40"/>
  <c r="BP417" i="40"/>
  <c r="HZ417" i="40"/>
  <c r="IX417" i="40"/>
  <c r="BZ417" i="40"/>
  <c r="AX417" i="40"/>
  <c r="AZ417" i="40"/>
  <c r="JP417" i="40"/>
  <c r="BE417" i="40"/>
  <c r="BU417" i="40"/>
  <c r="DS417" i="40"/>
  <c r="BB417" i="40"/>
  <c r="BR417" i="40"/>
  <c r="CH417" i="40"/>
  <c r="BG417" i="40"/>
  <c r="BW417" i="40"/>
  <c r="DU417" i="40"/>
  <c r="BX417" i="40"/>
  <c r="CB417" i="40"/>
  <c r="CF417" i="40"/>
  <c r="BD417" i="40"/>
  <c r="IZ417" i="40"/>
  <c r="IY417" i="40"/>
  <c r="CE417" i="40"/>
  <c r="C418" i="40"/>
  <c r="BI417" i="40"/>
  <c r="BY417" i="40"/>
  <c r="DW417" i="40"/>
  <c r="BF417" i="40"/>
  <c r="BV417" i="40"/>
  <c r="DT417" i="40"/>
  <c r="BK417" i="40"/>
  <c r="CA417" i="40"/>
  <c r="A417" i="40"/>
  <c r="DV417" i="40"/>
  <c r="BT417" i="40"/>
  <c r="JO417" i="40"/>
  <c r="HY417" i="40"/>
  <c r="BM417" i="40"/>
  <c r="CC417" i="40"/>
  <c r="BJ417" i="40"/>
  <c r="BO417" i="40"/>
  <c r="DM417" i="40"/>
  <c r="IA417" i="40"/>
  <c r="AP416" i="40"/>
  <c r="DB416" i="40"/>
  <c r="CQ416" i="40"/>
  <c r="AO416" i="40"/>
  <c r="D116" i="40"/>
  <c r="AY116" i="40" s="1"/>
  <c r="AM416" i="40"/>
  <c r="CK416" i="40"/>
  <c r="AN416" i="40"/>
  <c r="CP416" i="40"/>
  <c r="HN117" i="40"/>
  <c r="HQ117" i="40" s="1"/>
  <c r="BB218" i="40"/>
  <c r="BR218" i="40"/>
  <c r="CH218" i="40"/>
  <c r="BG218" i="40"/>
  <c r="BW218" i="40"/>
  <c r="DU218" i="40"/>
  <c r="BH218" i="40"/>
  <c r="BX218" i="40"/>
  <c r="DV218" i="40"/>
  <c r="BY218" i="40"/>
  <c r="CC218" i="40"/>
  <c r="CG218" i="40"/>
  <c r="DS218" i="40"/>
  <c r="IX218" i="40"/>
  <c r="IA218" i="40"/>
  <c r="IY218" i="40"/>
  <c r="A218" i="40"/>
  <c r="IZ218" i="40"/>
  <c r="JP218" i="40"/>
  <c r="C219" i="40"/>
  <c r="BF218" i="40"/>
  <c r="BV218" i="40"/>
  <c r="DT218" i="40"/>
  <c r="BK218" i="40"/>
  <c r="CA218" i="40"/>
  <c r="BL218" i="40"/>
  <c r="CB218" i="40"/>
  <c r="DW218" i="40"/>
  <c r="JO218" i="40"/>
  <c r="BJ218" i="40"/>
  <c r="BZ218" i="40"/>
  <c r="AX218" i="40"/>
  <c r="BO218" i="40"/>
  <c r="CE218" i="40"/>
  <c r="AZ218" i="40"/>
  <c r="BP218" i="40"/>
  <c r="CF218" i="40"/>
  <c r="BA218" i="40"/>
  <c r="BE218" i="40"/>
  <c r="HY218" i="40"/>
  <c r="AW218" i="40"/>
  <c r="BN218" i="40"/>
  <c r="CD218" i="40"/>
  <c r="BC218" i="40"/>
  <c r="BS218" i="40"/>
  <c r="CJ218" i="40"/>
  <c r="BD218" i="40"/>
  <c r="BT218" i="40"/>
  <c r="DM218" i="40"/>
  <c r="BI218" i="40"/>
  <c r="BM218" i="40"/>
  <c r="BQ218" i="40"/>
  <c r="BU218" i="40"/>
  <c r="HZ218" i="40"/>
  <c r="AO217" i="40"/>
  <c r="CQ217" i="40"/>
  <c r="AM217" i="40"/>
  <c r="CK217" i="40"/>
  <c r="AP217" i="40"/>
  <c r="AN217" i="40"/>
  <c r="CP217" i="40"/>
  <c r="DB117" i="40"/>
  <c r="HM117" i="40"/>
  <c r="HP117" i="40" s="1"/>
  <c r="HX116" i="40"/>
  <c r="AP117" i="40"/>
  <c r="JK114" i="40"/>
  <c r="JL114" i="40" s="1"/>
  <c r="JM114" i="40" s="1"/>
  <c r="H28" i="70" s="1"/>
  <c r="B200" i="75"/>
  <c r="E21" i="44"/>
  <c r="AM317" i="40"/>
  <c r="CK317" i="40"/>
  <c r="HQ116" i="40"/>
  <c r="JH116" i="40" s="1"/>
  <c r="HS117" i="40"/>
  <c r="DB317" i="40"/>
  <c r="C319" i="40"/>
  <c r="A318" i="40"/>
  <c r="AZ318" i="40"/>
  <c r="BD318" i="40"/>
  <c r="BH318" i="40"/>
  <c r="BL318" i="40"/>
  <c r="BP318" i="40"/>
  <c r="BT318" i="40"/>
  <c r="BX318" i="40"/>
  <c r="CB318" i="40"/>
  <c r="CF318" i="40"/>
  <c r="DM318" i="40"/>
  <c r="DV318" i="40"/>
  <c r="BA318" i="40"/>
  <c r="BE318" i="40"/>
  <c r="BI318" i="40"/>
  <c r="BM318" i="40"/>
  <c r="BQ318" i="40"/>
  <c r="BU318" i="40"/>
  <c r="BY318" i="40"/>
  <c r="CC318" i="40"/>
  <c r="CG318" i="40"/>
  <c r="DS318" i="40"/>
  <c r="DW318" i="40"/>
  <c r="AW318" i="40"/>
  <c r="BB318" i="40"/>
  <c r="BF318" i="40"/>
  <c r="BJ318" i="40"/>
  <c r="BN318" i="40"/>
  <c r="BR318" i="40"/>
  <c r="BV318" i="40"/>
  <c r="BZ318" i="40"/>
  <c r="CD318" i="40"/>
  <c r="CH318" i="40"/>
  <c r="DT318" i="40"/>
  <c r="AX318" i="40"/>
  <c r="BO318" i="40"/>
  <c r="CE318" i="40"/>
  <c r="BC318" i="40"/>
  <c r="BS318" i="40"/>
  <c r="CJ318" i="40"/>
  <c r="BG318" i="40"/>
  <c r="BW318" i="40"/>
  <c r="DU318" i="40"/>
  <c r="CA318" i="40"/>
  <c r="JO318" i="40"/>
  <c r="BK318" i="40"/>
  <c r="IY318" i="40"/>
  <c r="IX318" i="40"/>
  <c r="HY318" i="40"/>
  <c r="IZ318" i="40"/>
  <c r="HZ318" i="40"/>
  <c r="IA318" i="40"/>
  <c r="JP318" i="40"/>
  <c r="JI116" i="40"/>
  <c r="AN117" i="40"/>
  <c r="CP117" i="40"/>
  <c r="HX117" i="40" s="1"/>
  <c r="AM117" i="40"/>
  <c r="CK117" i="40"/>
  <c r="IO117" i="40"/>
  <c r="JA117" i="40" s="1"/>
  <c r="AO317" i="40"/>
  <c r="CQ317" i="40"/>
  <c r="AO117" i="40"/>
  <c r="CQ117" i="40"/>
  <c r="IQ117" i="40"/>
  <c r="JC117" i="40" s="1"/>
  <c r="IK118" i="40"/>
  <c r="IN118" i="40" s="1"/>
  <c r="II118" i="40"/>
  <c r="IL118" i="40" s="1"/>
  <c r="IJ118" i="40"/>
  <c r="IM118" i="40" s="1"/>
  <c r="JF118" i="40"/>
  <c r="HO118" i="40" s="1"/>
  <c r="C119" i="40"/>
  <c r="A118" i="40"/>
  <c r="M118" i="40"/>
  <c r="CM118" i="40" s="1"/>
  <c r="AE118" i="40"/>
  <c r="H118" i="40"/>
  <c r="AB118" i="40"/>
  <c r="AX118" i="40"/>
  <c r="BC118" i="40"/>
  <c r="BG118" i="40"/>
  <c r="BK118" i="40"/>
  <c r="BO118" i="40"/>
  <c r="BS118" i="40"/>
  <c r="BW118" i="40"/>
  <c r="CA118" i="40"/>
  <c r="CE118" i="40"/>
  <c r="CJ118" i="40"/>
  <c r="DU118" i="40"/>
  <c r="F118" i="40"/>
  <c r="N118" i="40"/>
  <c r="CN118" i="40" s="1"/>
  <c r="AG118" i="40"/>
  <c r="I118" i="40"/>
  <c r="AD118" i="40"/>
  <c r="AZ118" i="40"/>
  <c r="BD118" i="40"/>
  <c r="BH118" i="40"/>
  <c r="BL118" i="40"/>
  <c r="BP118" i="40"/>
  <c r="BT118" i="40"/>
  <c r="BX118" i="40"/>
  <c r="CB118" i="40"/>
  <c r="CF118" i="40"/>
  <c r="DM118" i="40"/>
  <c r="DV118" i="40"/>
  <c r="K118" i="40"/>
  <c r="P118" i="40"/>
  <c r="AI118" i="40"/>
  <c r="J118" i="40"/>
  <c r="AF118" i="40"/>
  <c r="BA118" i="40"/>
  <c r="BE118" i="40"/>
  <c r="BI118" i="40"/>
  <c r="BM118" i="40"/>
  <c r="BQ118" i="40"/>
  <c r="BU118" i="40"/>
  <c r="BY118" i="40"/>
  <c r="CC118" i="40"/>
  <c r="CG118" i="40"/>
  <c r="DS118" i="40"/>
  <c r="DW118" i="40"/>
  <c r="AC118" i="40"/>
  <c r="AW118" i="40"/>
  <c r="BN118" i="40"/>
  <c r="CD118" i="40"/>
  <c r="G118" i="40"/>
  <c r="BB118" i="40"/>
  <c r="BR118" i="40"/>
  <c r="CH118" i="40"/>
  <c r="O118" i="40"/>
  <c r="CO118" i="40" s="1"/>
  <c r="BF118" i="40"/>
  <c r="BV118" i="40"/>
  <c r="DT118" i="40"/>
  <c r="BJ118" i="40"/>
  <c r="BZ118" i="40"/>
  <c r="L118" i="40"/>
  <c r="CL118" i="40" s="1"/>
  <c r="AJ118" i="40"/>
  <c r="JO118" i="40"/>
  <c r="AH118" i="40"/>
  <c r="IA118" i="40"/>
  <c r="IX118" i="40"/>
  <c r="HY118" i="40"/>
  <c r="IZ118" i="40"/>
  <c r="HZ118" i="40"/>
  <c r="E118" i="40"/>
  <c r="R118" i="40"/>
  <c r="X118" i="40"/>
  <c r="W118" i="40"/>
  <c r="CU118" i="40" s="1"/>
  <c r="S118" i="40"/>
  <c r="Z118" i="40"/>
  <c r="V118" i="40"/>
  <c r="CT118" i="40" s="1"/>
  <c r="T118" i="40"/>
  <c r="CR118" i="40" s="1"/>
  <c r="Q118" i="40"/>
  <c r="AA118" i="40"/>
  <c r="CI202" i="40" s="1"/>
  <c r="U118" i="40"/>
  <c r="CS118" i="40" s="1"/>
  <c r="IY118" i="40"/>
  <c r="JP118" i="40"/>
  <c r="Y118" i="40"/>
  <c r="JG118" i="40"/>
  <c r="HU117" i="40"/>
  <c r="JK115" i="40"/>
  <c r="JL115" i="40" s="1"/>
  <c r="CV317" i="40"/>
  <c r="CP317" i="40"/>
  <c r="AN317" i="40"/>
  <c r="AP317" i="40"/>
  <c r="CV117" i="40"/>
  <c r="AK117" i="40"/>
  <c r="AL117" i="40"/>
  <c r="IP117" i="40"/>
  <c r="JB117" i="40" s="1"/>
  <c r="HT117" i="40"/>
  <c r="M23" i="70"/>
  <c r="KO109" i="40"/>
  <c r="H23" i="70"/>
  <c r="H24" i="70"/>
  <c r="M24" i="70"/>
  <c r="KO110" i="40"/>
  <c r="KO105" i="40"/>
  <c r="KO113" i="40"/>
  <c r="H25" i="70"/>
  <c r="KO104" i="40"/>
  <c r="KO107" i="40"/>
  <c r="KO112" i="40"/>
  <c r="H20" i="70"/>
  <c r="KO108" i="40"/>
  <c r="H22" i="70"/>
  <c r="AE33" i="58"/>
  <c r="KO102" i="40"/>
  <c r="AE33" i="62"/>
  <c r="H27" i="70"/>
  <c r="H12" i="70"/>
  <c r="BC12" i="70" s="1"/>
  <c r="KO103" i="40"/>
  <c r="KO101" i="40"/>
  <c r="H21" i="70"/>
  <c r="KO111" i="40"/>
  <c r="H11" i="70"/>
  <c r="BC11" i="70" s="1"/>
  <c r="H26" i="70"/>
  <c r="KO106" i="40"/>
  <c r="CI118" i="40" l="1"/>
  <c r="CI302" i="40"/>
  <c r="CI501" i="40"/>
  <c r="CI601" i="40"/>
  <c r="CI402" i="40"/>
  <c r="HY617" i="40"/>
  <c r="IX617" i="40" s="1"/>
  <c r="IA617" i="40"/>
  <c r="IZ617" i="40" s="1"/>
  <c r="DB417" i="40"/>
  <c r="HZ617" i="40"/>
  <c r="IY617" i="40" s="1"/>
  <c r="JJ116" i="40"/>
  <c r="JK116" i="40" s="1"/>
  <c r="JL116" i="40" s="1"/>
  <c r="AP618" i="40"/>
  <c r="DB618" i="40"/>
  <c r="CV618" i="40"/>
  <c r="G518" i="40"/>
  <c r="K518" i="40"/>
  <c r="O518" i="40"/>
  <c r="CO518" i="40" s="1"/>
  <c r="S518" i="40"/>
  <c r="W518" i="40"/>
  <c r="CU518" i="40" s="1"/>
  <c r="AA518" i="40"/>
  <c r="AE518" i="40"/>
  <c r="AI518" i="40"/>
  <c r="H518" i="40"/>
  <c r="P518" i="40"/>
  <c r="X518" i="40"/>
  <c r="AF518" i="40"/>
  <c r="AJ518" i="40"/>
  <c r="L518" i="40"/>
  <c r="CL518" i="40" s="1"/>
  <c r="T518" i="40"/>
  <c r="CR518" i="40" s="1"/>
  <c r="AB518" i="40"/>
  <c r="E518" i="40"/>
  <c r="I518" i="40"/>
  <c r="M518" i="40"/>
  <c r="CM518" i="40" s="1"/>
  <c r="Q518" i="40"/>
  <c r="U518" i="40"/>
  <c r="CS518" i="40" s="1"/>
  <c r="Y518" i="40"/>
  <c r="AC518" i="40"/>
  <c r="AG518" i="40"/>
  <c r="N518" i="40"/>
  <c r="CN518" i="40" s="1"/>
  <c r="AD518" i="40"/>
  <c r="R518" i="40"/>
  <c r="AH518" i="40"/>
  <c r="J518" i="40"/>
  <c r="F518" i="40"/>
  <c r="V518" i="40"/>
  <c r="CT518" i="40" s="1"/>
  <c r="Z518" i="40"/>
  <c r="DB518" i="40" s="1"/>
  <c r="AZ518" i="40"/>
  <c r="BP518" i="40"/>
  <c r="CF518" i="40"/>
  <c r="BA518" i="40"/>
  <c r="BQ518" i="40"/>
  <c r="CG518" i="40"/>
  <c r="BB518" i="40"/>
  <c r="BR518" i="40"/>
  <c r="CH518" i="40"/>
  <c r="CA518" i="40"/>
  <c r="BO518" i="40"/>
  <c r="BS518" i="40"/>
  <c r="HY518" i="40"/>
  <c r="IY518" i="40"/>
  <c r="C519" i="40"/>
  <c r="BD518" i="40"/>
  <c r="BT518" i="40"/>
  <c r="DM518" i="40"/>
  <c r="BE518" i="40"/>
  <c r="BU518" i="40"/>
  <c r="DS518" i="40"/>
  <c r="BF518" i="40"/>
  <c r="BV518" i="40"/>
  <c r="DT518" i="40"/>
  <c r="JO518" i="40"/>
  <c r="CE518" i="40"/>
  <c r="CJ518" i="40"/>
  <c r="HZ518" i="40"/>
  <c r="IX518" i="40"/>
  <c r="A518" i="40"/>
  <c r="BH518" i="40"/>
  <c r="BX518" i="40"/>
  <c r="DV518" i="40"/>
  <c r="BI518" i="40"/>
  <c r="BY518" i="40"/>
  <c r="DW518" i="40"/>
  <c r="BJ518" i="40"/>
  <c r="BZ518" i="40"/>
  <c r="BW518" i="40"/>
  <c r="BG518" i="40"/>
  <c r="IA518" i="40"/>
  <c r="JP518" i="40"/>
  <c r="BM518" i="40"/>
  <c r="AW518" i="40"/>
  <c r="CD518" i="40"/>
  <c r="AX518" i="40"/>
  <c r="DU518" i="40"/>
  <c r="IZ518" i="40"/>
  <c r="BL518" i="40"/>
  <c r="CB518" i="40"/>
  <c r="CC518" i="40"/>
  <c r="BN518" i="40"/>
  <c r="BK518" i="40"/>
  <c r="BC518" i="40"/>
  <c r="CK618" i="40"/>
  <c r="AM618" i="40"/>
  <c r="H619" i="40"/>
  <c r="AI619" i="40"/>
  <c r="AC619" i="40"/>
  <c r="CJ619" i="40"/>
  <c r="CF619" i="40"/>
  <c r="BP619" i="40"/>
  <c r="AZ619" i="40"/>
  <c r="C620" i="40"/>
  <c r="CA619" i="40"/>
  <c r="BK619" i="40"/>
  <c r="K619" i="40"/>
  <c r="CH619" i="40"/>
  <c r="BR619" i="40"/>
  <c r="BB619" i="40"/>
  <c r="DU619" i="40"/>
  <c r="BQ619" i="40"/>
  <c r="BY619" i="40"/>
  <c r="M619" i="40"/>
  <c r="CM619" i="40" s="1"/>
  <c r="AH619" i="40"/>
  <c r="JO619" i="40"/>
  <c r="I619" i="40"/>
  <c r="AJ619" i="40"/>
  <c r="CB619" i="40"/>
  <c r="BL619" i="40"/>
  <c r="AB619" i="40"/>
  <c r="DW619" i="40"/>
  <c r="BW619" i="40"/>
  <c r="BG619" i="40"/>
  <c r="G619" i="40"/>
  <c r="CD619" i="40"/>
  <c r="BN619" i="40"/>
  <c r="AX619" i="40"/>
  <c r="BU619" i="40"/>
  <c r="BA619" i="40"/>
  <c r="CC619" i="40"/>
  <c r="BI619" i="40"/>
  <c r="R619" i="40"/>
  <c r="JP619" i="40"/>
  <c r="AE619" i="40"/>
  <c r="BX619" i="40"/>
  <c r="BH619" i="40"/>
  <c r="P619" i="40"/>
  <c r="DS619" i="40"/>
  <c r="BS619" i="40"/>
  <c r="BC619" i="40"/>
  <c r="DV619" i="40"/>
  <c r="BZ619" i="40"/>
  <c r="BJ619" i="40"/>
  <c r="N619" i="40"/>
  <c r="CN619" i="40" s="1"/>
  <c r="BE619" i="40"/>
  <c r="AG619" i="40"/>
  <c r="BM619" i="40"/>
  <c r="BT619" i="40"/>
  <c r="BO619" i="40"/>
  <c r="BF619" i="40"/>
  <c r="AW619" i="40"/>
  <c r="BD619" i="40"/>
  <c r="O619" i="40"/>
  <c r="CO619" i="40" s="1"/>
  <c r="J619" i="40"/>
  <c r="DT619" i="40"/>
  <c r="KN619" i="40"/>
  <c r="AF619" i="40"/>
  <c r="L619" i="40"/>
  <c r="CL619" i="40" s="1"/>
  <c r="DM619" i="40"/>
  <c r="CG619" i="40"/>
  <c r="CE619" i="40"/>
  <c r="A619" i="40"/>
  <c r="F619" i="40"/>
  <c r="BV619" i="40"/>
  <c r="Z619" i="40"/>
  <c r="T619" i="40"/>
  <c r="CR619" i="40" s="1"/>
  <c r="W619" i="40"/>
  <c r="CU619" i="40" s="1"/>
  <c r="U619" i="40"/>
  <c r="CS619" i="40" s="1"/>
  <c r="X619" i="40"/>
  <c r="S619" i="40"/>
  <c r="Q619" i="40"/>
  <c r="V619" i="40"/>
  <c r="CT619" i="40" s="1"/>
  <c r="AA619" i="40"/>
  <c r="AD619" i="40"/>
  <c r="E619" i="40"/>
  <c r="Y619" i="40"/>
  <c r="CP517" i="40"/>
  <c r="AN517" i="40"/>
  <c r="AO517" i="40"/>
  <c r="CQ517" i="40"/>
  <c r="AN618" i="40"/>
  <c r="CP618" i="40"/>
  <c r="G319" i="40"/>
  <c r="K319" i="40"/>
  <c r="O319" i="40"/>
  <c r="CO319" i="40" s="1"/>
  <c r="S319" i="40"/>
  <c r="W319" i="40"/>
  <c r="CU319" i="40" s="1"/>
  <c r="AA319" i="40"/>
  <c r="H319" i="40"/>
  <c r="P319" i="40"/>
  <c r="X319" i="40"/>
  <c r="AB319" i="40"/>
  <c r="AJ319" i="40"/>
  <c r="F319" i="40"/>
  <c r="R319" i="40"/>
  <c r="AD319" i="40"/>
  <c r="L319" i="40"/>
  <c r="CL319" i="40" s="1"/>
  <c r="T319" i="40"/>
  <c r="CR319" i="40" s="1"/>
  <c r="N319" i="40"/>
  <c r="Z319" i="40"/>
  <c r="E319" i="40"/>
  <c r="I319" i="40"/>
  <c r="M319" i="40"/>
  <c r="Q319" i="40"/>
  <c r="U319" i="40"/>
  <c r="CS319" i="40" s="1"/>
  <c r="Y319" i="40"/>
  <c r="J319" i="40"/>
  <c r="V319" i="40"/>
  <c r="CT319" i="40" s="1"/>
  <c r="AH319" i="40"/>
  <c r="AP517" i="40"/>
  <c r="G219" i="40"/>
  <c r="K219" i="40"/>
  <c r="O219" i="40"/>
  <c r="CO219" i="40" s="1"/>
  <c r="S219" i="40"/>
  <c r="W219" i="40"/>
  <c r="CU219" i="40" s="1"/>
  <c r="AA219" i="40"/>
  <c r="AE219" i="40"/>
  <c r="AI219" i="40"/>
  <c r="L219" i="40"/>
  <c r="P219" i="40"/>
  <c r="X219" i="40"/>
  <c r="AB219" i="40"/>
  <c r="AJ219" i="40"/>
  <c r="J219" i="40"/>
  <c r="V219" i="40"/>
  <c r="CT219" i="40" s="1"/>
  <c r="AH219" i="40"/>
  <c r="H219" i="40"/>
  <c r="T219" i="40"/>
  <c r="CR219" i="40" s="1"/>
  <c r="AF219" i="40"/>
  <c r="F219" i="40"/>
  <c r="R219" i="40"/>
  <c r="AD219" i="40"/>
  <c r="E219" i="40"/>
  <c r="I219" i="40"/>
  <c r="M219" i="40"/>
  <c r="CM219" i="40" s="1"/>
  <c r="Q219" i="40"/>
  <c r="U219" i="40"/>
  <c r="CS219" i="40" s="1"/>
  <c r="Y219" i="40"/>
  <c r="AC219" i="40"/>
  <c r="AG219" i="40"/>
  <c r="N219" i="40"/>
  <c r="CN219" i="40" s="1"/>
  <c r="Z219" i="40"/>
  <c r="G418" i="40"/>
  <c r="K418" i="40"/>
  <c r="O418" i="40"/>
  <c r="CO418" i="40" s="1"/>
  <c r="S418" i="40"/>
  <c r="W418" i="40"/>
  <c r="CU418" i="40" s="1"/>
  <c r="AA418" i="40"/>
  <c r="AE418" i="40"/>
  <c r="AI418" i="40"/>
  <c r="L418" i="40"/>
  <c r="CL418" i="40" s="1"/>
  <c r="T418" i="40"/>
  <c r="CR418" i="40" s="1"/>
  <c r="AB418" i="40"/>
  <c r="AJ418" i="40"/>
  <c r="H418" i="40"/>
  <c r="P418" i="40"/>
  <c r="X418" i="40"/>
  <c r="AF418" i="40"/>
  <c r="E418" i="40"/>
  <c r="I418" i="40"/>
  <c r="M418" i="40"/>
  <c r="CM418" i="40" s="1"/>
  <c r="Q418" i="40"/>
  <c r="U418" i="40"/>
  <c r="CS418" i="40" s="1"/>
  <c r="Y418" i="40"/>
  <c r="AC418" i="40"/>
  <c r="AG418" i="40"/>
  <c r="N418" i="40"/>
  <c r="CN418" i="40" s="1"/>
  <c r="AD418" i="40"/>
  <c r="J418" i="40"/>
  <c r="R418" i="40"/>
  <c r="AH418" i="40"/>
  <c r="F418" i="40"/>
  <c r="V418" i="40"/>
  <c r="CT418" i="40" s="1"/>
  <c r="Z418" i="40"/>
  <c r="CV517" i="40"/>
  <c r="CK517" i="40"/>
  <c r="AM517" i="40"/>
  <c r="CQ618" i="40"/>
  <c r="AO618" i="40"/>
  <c r="AO417" i="40"/>
  <c r="CQ417" i="40"/>
  <c r="AN417" i="40"/>
  <c r="CP417" i="40"/>
  <c r="CV417" i="40"/>
  <c r="AM417" i="40"/>
  <c r="CK417" i="40"/>
  <c r="BG418" i="40"/>
  <c r="BW418" i="40"/>
  <c r="DU418" i="40"/>
  <c r="BH418" i="40"/>
  <c r="BX418" i="40"/>
  <c r="DV418" i="40"/>
  <c r="BI418" i="40"/>
  <c r="BY418" i="40"/>
  <c r="DW418" i="40"/>
  <c r="DT418" i="40"/>
  <c r="BZ418" i="40"/>
  <c r="CD418" i="40"/>
  <c r="CH418" i="40"/>
  <c r="IZ418" i="40"/>
  <c r="IY418" i="40"/>
  <c r="C419" i="40"/>
  <c r="BK418" i="40"/>
  <c r="CA418" i="40"/>
  <c r="A418" i="40"/>
  <c r="BL418" i="40"/>
  <c r="CB418" i="40"/>
  <c r="BM418" i="40"/>
  <c r="CC418" i="40"/>
  <c r="BR418" i="40"/>
  <c r="HZ418" i="40"/>
  <c r="JP418" i="40"/>
  <c r="BS418" i="40"/>
  <c r="BT418" i="40"/>
  <c r="BE418" i="40"/>
  <c r="BV418" i="40"/>
  <c r="BB418" i="40"/>
  <c r="BC418" i="40"/>
  <c r="BD418" i="40"/>
  <c r="DS418" i="40"/>
  <c r="BN418" i="40"/>
  <c r="IA418" i="40"/>
  <c r="IX418" i="40"/>
  <c r="AX418" i="40"/>
  <c r="BO418" i="40"/>
  <c r="CE418" i="40"/>
  <c r="AZ418" i="40"/>
  <c r="BP418" i="40"/>
  <c r="CF418" i="40"/>
  <c r="BA418" i="40"/>
  <c r="BQ418" i="40"/>
  <c r="CG418" i="40"/>
  <c r="BF418" i="40"/>
  <c r="AW418" i="40"/>
  <c r="JO418" i="40"/>
  <c r="HY418" i="40"/>
  <c r="CJ418" i="40"/>
  <c r="DM418" i="40"/>
  <c r="BU418" i="40"/>
  <c r="BJ418" i="40"/>
  <c r="AP417" i="40"/>
  <c r="CQ218" i="40"/>
  <c r="AO218" i="40"/>
  <c r="AM218" i="40"/>
  <c r="CK218" i="40"/>
  <c r="BG219" i="40"/>
  <c r="BW219" i="40"/>
  <c r="DU219" i="40"/>
  <c r="BL219" i="40"/>
  <c r="CB219" i="40"/>
  <c r="BA219" i="40"/>
  <c r="BQ219" i="40"/>
  <c r="CG219" i="40"/>
  <c r="BJ219" i="40"/>
  <c r="BN219" i="40"/>
  <c r="BR219" i="40"/>
  <c r="BV219" i="40"/>
  <c r="IA219" i="40"/>
  <c r="IX219" i="40"/>
  <c r="IY219" i="40"/>
  <c r="BC219" i="40"/>
  <c r="C220" i="40"/>
  <c r="BK219" i="40"/>
  <c r="CA219" i="40"/>
  <c r="AZ219" i="40"/>
  <c r="BP219" i="40"/>
  <c r="CF219" i="40"/>
  <c r="BE219" i="40"/>
  <c r="BU219" i="40"/>
  <c r="DS219" i="40"/>
  <c r="BZ219" i="40"/>
  <c r="CD219" i="40"/>
  <c r="CH219" i="40"/>
  <c r="DT219" i="40"/>
  <c r="IZ219" i="40"/>
  <c r="JP219" i="40"/>
  <c r="A219" i="40"/>
  <c r="AX219" i="40"/>
  <c r="BO219" i="40"/>
  <c r="CE219" i="40"/>
  <c r="BD219" i="40"/>
  <c r="BT219" i="40"/>
  <c r="DM219" i="40"/>
  <c r="BI219" i="40"/>
  <c r="BY219" i="40"/>
  <c r="DW219" i="40"/>
  <c r="CL219" i="40"/>
  <c r="JO219" i="40"/>
  <c r="HZ219" i="40"/>
  <c r="BS219" i="40"/>
  <c r="CJ219" i="40"/>
  <c r="BH219" i="40"/>
  <c r="BX219" i="40"/>
  <c r="DV219" i="40"/>
  <c r="BM219" i="40"/>
  <c r="CC219" i="40"/>
  <c r="AW219" i="40"/>
  <c r="BB219" i="40"/>
  <c r="BF219" i="40"/>
  <c r="HY219" i="40"/>
  <c r="AN218" i="40"/>
  <c r="CP218" i="40"/>
  <c r="AP218" i="40"/>
  <c r="DB218" i="40"/>
  <c r="KO114" i="40"/>
  <c r="IO118" i="40"/>
  <c r="JA118" i="40" s="1"/>
  <c r="CV218" i="40"/>
  <c r="D117" i="40"/>
  <c r="AY117" i="40" s="1"/>
  <c r="DB118" i="40"/>
  <c r="DB318" i="40"/>
  <c r="HM118" i="40"/>
  <c r="HP118" i="40" s="1"/>
  <c r="E22" i="44"/>
  <c r="JI117" i="40"/>
  <c r="IP118" i="40"/>
  <c r="JB118" i="40" s="1"/>
  <c r="AM118" i="40"/>
  <c r="CK118" i="40"/>
  <c r="HS118" i="40"/>
  <c r="JH117" i="40"/>
  <c r="AO318" i="40"/>
  <c r="CQ318" i="40"/>
  <c r="AM318" i="40"/>
  <c r="CK318" i="40"/>
  <c r="HW117" i="40"/>
  <c r="IC117" i="40" s="1"/>
  <c r="M28" i="70"/>
  <c r="AP118" i="40"/>
  <c r="HN118" i="40"/>
  <c r="HQ118" i="40" s="1"/>
  <c r="IQ118" i="40"/>
  <c r="JC118" i="40" s="1"/>
  <c r="IK119" i="40"/>
  <c r="IN119" i="40" s="1"/>
  <c r="IJ119" i="40"/>
  <c r="IM119" i="40" s="1"/>
  <c r="JF119" i="40"/>
  <c r="HO119" i="40" s="1"/>
  <c r="II119" i="40"/>
  <c r="IL119" i="40" s="1"/>
  <c r="C120" i="40"/>
  <c r="F119" i="40"/>
  <c r="N119" i="40"/>
  <c r="CN119" i="40" s="1"/>
  <c r="H119" i="40"/>
  <c r="AB119" i="40"/>
  <c r="AX119" i="40"/>
  <c r="BC119" i="40"/>
  <c r="BG119" i="40"/>
  <c r="BK119" i="40"/>
  <c r="BO119" i="40"/>
  <c r="BS119" i="40"/>
  <c r="BW119" i="40"/>
  <c r="CA119" i="40"/>
  <c r="CE119" i="40"/>
  <c r="CJ119" i="40"/>
  <c r="DU119" i="40"/>
  <c r="K119" i="40"/>
  <c r="P119" i="40"/>
  <c r="I119" i="40"/>
  <c r="AD119" i="40"/>
  <c r="AZ119" i="40"/>
  <c r="BD119" i="40"/>
  <c r="BH119" i="40"/>
  <c r="BL119" i="40"/>
  <c r="BP119" i="40"/>
  <c r="BT119" i="40"/>
  <c r="BX119" i="40"/>
  <c r="CB119" i="40"/>
  <c r="CF119" i="40"/>
  <c r="DM119" i="40"/>
  <c r="DV119" i="40"/>
  <c r="L119" i="40"/>
  <c r="CL119" i="40" s="1"/>
  <c r="AG119" i="40"/>
  <c r="J119" i="40"/>
  <c r="AF119" i="40"/>
  <c r="BA119" i="40"/>
  <c r="BE119" i="40"/>
  <c r="BI119" i="40"/>
  <c r="BM119" i="40"/>
  <c r="BQ119" i="40"/>
  <c r="BU119" i="40"/>
  <c r="BY119" i="40"/>
  <c r="CC119" i="40"/>
  <c r="CG119" i="40"/>
  <c r="DS119" i="40"/>
  <c r="DW119" i="40"/>
  <c r="M119" i="40"/>
  <c r="CM119" i="40" s="1"/>
  <c r="AW119" i="40"/>
  <c r="BN119" i="40"/>
  <c r="CD119" i="40"/>
  <c r="G119" i="40"/>
  <c r="BB119" i="40"/>
  <c r="BR119" i="40"/>
  <c r="CH119" i="40"/>
  <c r="O119" i="40"/>
  <c r="CO119" i="40" s="1"/>
  <c r="BF119" i="40"/>
  <c r="BV119" i="40"/>
  <c r="DT119" i="40"/>
  <c r="BJ119" i="40"/>
  <c r="BZ119" i="40"/>
  <c r="A119" i="40"/>
  <c r="AJ119" i="40"/>
  <c r="JO119" i="40"/>
  <c r="AC119" i="40"/>
  <c r="AI119" i="40"/>
  <c r="AE119" i="40"/>
  <c r="AH119" i="40"/>
  <c r="IA119" i="40"/>
  <c r="IX119" i="40"/>
  <c r="IZ119" i="40"/>
  <c r="HY119" i="40"/>
  <c r="HZ119" i="40"/>
  <c r="AA119" i="40"/>
  <c r="CI203" i="40" s="1"/>
  <c r="U119" i="40"/>
  <c r="CS119" i="40" s="1"/>
  <c r="E119" i="40"/>
  <c r="R119" i="40"/>
  <c r="X119" i="40"/>
  <c r="W119" i="40"/>
  <c r="CU119" i="40" s="1"/>
  <c r="S119" i="40"/>
  <c r="Z119" i="40"/>
  <c r="V119" i="40"/>
  <c r="CT119" i="40" s="1"/>
  <c r="T119" i="40"/>
  <c r="CR119" i="40" s="1"/>
  <c r="Q119" i="40"/>
  <c r="IY119" i="40"/>
  <c r="JP119" i="40"/>
  <c r="Y119" i="40"/>
  <c r="JG119" i="40"/>
  <c r="HU118" i="40"/>
  <c r="CP318" i="40"/>
  <c r="AN318" i="40"/>
  <c r="AP318" i="40"/>
  <c r="C320" i="40"/>
  <c r="BA319" i="40"/>
  <c r="BE319" i="40"/>
  <c r="BI319" i="40"/>
  <c r="BM319" i="40"/>
  <c r="BQ319" i="40"/>
  <c r="BU319" i="40"/>
  <c r="BY319" i="40"/>
  <c r="CC319" i="40"/>
  <c r="CG319" i="40"/>
  <c r="DS319" i="40"/>
  <c r="DW319" i="40"/>
  <c r="AW319" i="40"/>
  <c r="BB319" i="40"/>
  <c r="BF319" i="40"/>
  <c r="BJ319" i="40"/>
  <c r="BN319" i="40"/>
  <c r="BR319" i="40"/>
  <c r="BV319" i="40"/>
  <c r="BZ319" i="40"/>
  <c r="CD319" i="40"/>
  <c r="CH319" i="40"/>
  <c r="DT319" i="40"/>
  <c r="A319" i="40"/>
  <c r="CM319" i="40"/>
  <c r="AX319" i="40"/>
  <c r="BC319" i="40"/>
  <c r="BG319" i="40"/>
  <c r="BK319" i="40"/>
  <c r="BO319" i="40"/>
  <c r="BS319" i="40"/>
  <c r="BW319" i="40"/>
  <c r="CA319" i="40"/>
  <c r="CE319" i="40"/>
  <c r="CJ319" i="40"/>
  <c r="DU319" i="40"/>
  <c r="CN319" i="40"/>
  <c r="AZ319" i="40"/>
  <c r="BP319" i="40"/>
  <c r="CF319" i="40"/>
  <c r="BD319" i="40"/>
  <c r="BT319" i="40"/>
  <c r="DM319" i="40"/>
  <c r="BH319" i="40"/>
  <c r="BX319" i="40"/>
  <c r="DV319" i="40"/>
  <c r="CB319" i="40"/>
  <c r="BL319" i="40"/>
  <c r="JO319" i="40"/>
  <c r="IY319" i="40"/>
  <c r="HZ319" i="40"/>
  <c r="IX319" i="40"/>
  <c r="IZ319" i="40"/>
  <c r="HY319" i="40"/>
  <c r="IA319" i="40"/>
  <c r="JP319" i="40"/>
  <c r="HV117" i="40"/>
  <c r="IC116" i="40"/>
  <c r="CV118" i="40"/>
  <c r="AK118" i="40"/>
  <c r="AL118" i="40"/>
  <c r="HR118" i="40"/>
  <c r="JM115" i="40"/>
  <c r="AN118" i="40"/>
  <c r="CP118" i="40"/>
  <c r="HW118" i="40" s="1"/>
  <c r="AO118" i="40"/>
  <c r="CQ118" i="40"/>
  <c r="HT118" i="40"/>
  <c r="CV318" i="40"/>
  <c r="AE55" i="58"/>
  <c r="AI55" i="58" s="1"/>
  <c r="AE51" i="58"/>
  <c r="AI51" i="58" s="1"/>
  <c r="AE67" i="58"/>
  <c r="AI67" i="58" s="1"/>
  <c r="AE57" i="58"/>
  <c r="AI57" i="58" s="1"/>
  <c r="AE63" i="58"/>
  <c r="AI63" i="58" s="1"/>
  <c r="AE59" i="58"/>
  <c r="AI59" i="58" s="1"/>
  <c r="AE71" i="58"/>
  <c r="AI71" i="58" s="1"/>
  <c r="AE53" i="58"/>
  <c r="AI53" i="58" s="1"/>
  <c r="AE69" i="58"/>
  <c r="AI69" i="58" s="1"/>
  <c r="AE65" i="58"/>
  <c r="AI65" i="58" s="1"/>
  <c r="AE61" i="58"/>
  <c r="AI61" i="58" s="1"/>
  <c r="AE49" i="58"/>
  <c r="AI49" i="58" s="1"/>
  <c r="AE55" i="62"/>
  <c r="AI55" i="62" s="1"/>
  <c r="AE53" i="62"/>
  <c r="AI53" i="62" s="1"/>
  <c r="AE57" i="62"/>
  <c r="AI57" i="62" s="1"/>
  <c r="AE67" i="62"/>
  <c r="AI67" i="62" s="1"/>
  <c r="AE71" i="62"/>
  <c r="AI71" i="62" s="1"/>
  <c r="AE65" i="62"/>
  <c r="AI65" i="62" s="1"/>
  <c r="AE61" i="62"/>
  <c r="AI61" i="62" s="1"/>
  <c r="AE63" i="62"/>
  <c r="AI63" i="62" s="1"/>
  <c r="AE51" i="62"/>
  <c r="AI51" i="62" s="1"/>
  <c r="AE69" i="62"/>
  <c r="AI69" i="62" s="1"/>
  <c r="AE59" i="62"/>
  <c r="AI59" i="62" s="1"/>
  <c r="CI602" i="40" l="1"/>
  <c r="CI502" i="40"/>
  <c r="CI303" i="40"/>
  <c r="CI403" i="40"/>
  <c r="CI119" i="40"/>
  <c r="IA618" i="40"/>
  <c r="IZ618" i="40" s="1"/>
  <c r="HY618" i="40"/>
  <c r="IX618" i="40" s="1"/>
  <c r="DB619" i="40"/>
  <c r="D118" i="40"/>
  <c r="AY118" i="40" s="1"/>
  <c r="V220" i="40"/>
  <c r="CT220" i="40" s="1"/>
  <c r="R220" i="40"/>
  <c r="U220" i="40"/>
  <c r="CS220" i="40" s="1"/>
  <c r="T220" i="40"/>
  <c r="CR220" i="40" s="1"/>
  <c r="W220" i="40"/>
  <c r="CU220" i="40" s="1"/>
  <c r="S220" i="40"/>
  <c r="T320" i="40"/>
  <c r="CR320" i="40" s="1"/>
  <c r="W320" i="40"/>
  <c r="CU320" i="40" s="1"/>
  <c r="S320" i="40"/>
  <c r="V320" i="40"/>
  <c r="CT320" i="40" s="1"/>
  <c r="R320" i="40"/>
  <c r="U320" i="40"/>
  <c r="CS320" i="40" s="1"/>
  <c r="V620" i="40"/>
  <c r="CT620" i="40" s="1"/>
  <c r="R620" i="40"/>
  <c r="U620" i="40"/>
  <c r="CS620" i="40" s="1"/>
  <c r="T620" i="40"/>
  <c r="CR620" i="40" s="1"/>
  <c r="W620" i="40"/>
  <c r="CU620" i="40" s="1"/>
  <c r="S620" i="40"/>
  <c r="HZ618" i="40"/>
  <c r="IY618" i="40" s="1"/>
  <c r="W120" i="40"/>
  <c r="CU120" i="40" s="1"/>
  <c r="V120" i="40"/>
  <c r="CT120" i="40" s="1"/>
  <c r="AP418" i="40"/>
  <c r="CV619" i="40"/>
  <c r="AP619" i="40"/>
  <c r="AN619" i="40"/>
  <c r="CP619" i="40"/>
  <c r="AE620" i="40"/>
  <c r="CF620" i="40"/>
  <c r="BP620" i="40"/>
  <c r="AZ620" i="40"/>
  <c r="C621" i="40"/>
  <c r="CA620" i="40"/>
  <c r="BK620" i="40"/>
  <c r="K620" i="40"/>
  <c r="CH620" i="40"/>
  <c r="BR620" i="40"/>
  <c r="BB620" i="40"/>
  <c r="J620" i="40"/>
  <c r="BU620" i="40"/>
  <c r="CG620" i="40"/>
  <c r="A620" i="40"/>
  <c r="JO620" i="40"/>
  <c r="AF620" i="40"/>
  <c r="F620" i="40"/>
  <c r="CB620" i="40"/>
  <c r="BL620" i="40"/>
  <c r="AB620" i="40"/>
  <c r="DW620" i="40"/>
  <c r="BW620" i="40"/>
  <c r="BG620" i="40"/>
  <c r="G620" i="40"/>
  <c r="CD620" i="40"/>
  <c r="BN620" i="40"/>
  <c r="AX620" i="40"/>
  <c r="BY620" i="40"/>
  <c r="BE620" i="40"/>
  <c r="BQ620" i="40"/>
  <c r="BM620" i="40"/>
  <c r="JP620" i="40"/>
  <c r="H620" i="40"/>
  <c r="AI620" i="40"/>
  <c r="AC620" i="40"/>
  <c r="BX620" i="40"/>
  <c r="BH620" i="40"/>
  <c r="P620" i="40"/>
  <c r="DS620" i="40"/>
  <c r="BS620" i="40"/>
  <c r="BC620" i="40"/>
  <c r="DV620" i="40"/>
  <c r="BZ620" i="40"/>
  <c r="BJ620" i="40"/>
  <c r="AH620" i="40"/>
  <c r="BI620" i="40"/>
  <c r="CC620" i="40"/>
  <c r="BA620" i="40"/>
  <c r="M620" i="40"/>
  <c r="CM620" i="40" s="1"/>
  <c r="KN620" i="40"/>
  <c r="I620" i="40"/>
  <c r="BD620" i="40"/>
  <c r="O620" i="40"/>
  <c r="CO620" i="40" s="1"/>
  <c r="N620" i="40"/>
  <c r="CN620" i="40" s="1"/>
  <c r="AJ620" i="40"/>
  <c r="L620" i="40"/>
  <c r="CL620" i="40" s="1"/>
  <c r="DM620" i="40"/>
  <c r="DU620" i="40"/>
  <c r="BF620" i="40"/>
  <c r="CJ620" i="40"/>
  <c r="DT620" i="40"/>
  <c r="CE620" i="40"/>
  <c r="BV620" i="40"/>
  <c r="AW620" i="40"/>
  <c r="Z620" i="40"/>
  <c r="BO620" i="40"/>
  <c r="AG620" i="40"/>
  <c r="BT620" i="40"/>
  <c r="X620" i="40"/>
  <c r="Q620" i="40"/>
  <c r="AA620" i="40"/>
  <c r="AD620" i="40"/>
  <c r="E620" i="40"/>
  <c r="Y620" i="40"/>
  <c r="CP518" i="40"/>
  <c r="AN518" i="40"/>
  <c r="AO518" i="40"/>
  <c r="CQ518" i="40"/>
  <c r="CQ619" i="40"/>
  <c r="AO619" i="40"/>
  <c r="AM619" i="40"/>
  <c r="CK619" i="40"/>
  <c r="G519" i="40"/>
  <c r="K519" i="40"/>
  <c r="O519" i="40"/>
  <c r="CO519" i="40" s="1"/>
  <c r="S519" i="40"/>
  <c r="W519" i="40"/>
  <c r="CU519" i="40" s="1"/>
  <c r="AA519" i="40"/>
  <c r="AE519" i="40"/>
  <c r="AI519" i="40"/>
  <c r="L519" i="40"/>
  <c r="CL519" i="40" s="1"/>
  <c r="T519" i="40"/>
  <c r="CR519" i="40" s="1"/>
  <c r="AB519" i="40"/>
  <c r="AJ519" i="40"/>
  <c r="H519" i="40"/>
  <c r="P519" i="40"/>
  <c r="X519" i="40"/>
  <c r="AF519" i="40"/>
  <c r="E519" i="40"/>
  <c r="I519" i="40"/>
  <c r="M519" i="40"/>
  <c r="CM519" i="40" s="1"/>
  <c r="Q519" i="40"/>
  <c r="U519" i="40"/>
  <c r="CS519" i="40" s="1"/>
  <c r="Y519" i="40"/>
  <c r="AC519" i="40"/>
  <c r="AG519" i="40"/>
  <c r="N519" i="40"/>
  <c r="CN519" i="40" s="1"/>
  <c r="AD519" i="40"/>
  <c r="R519" i="40"/>
  <c r="AH519" i="40"/>
  <c r="F519" i="40"/>
  <c r="J519" i="40"/>
  <c r="V519" i="40"/>
  <c r="CT519" i="40" s="1"/>
  <c r="Z519" i="40"/>
  <c r="BI519" i="40"/>
  <c r="BY519" i="40"/>
  <c r="DW519" i="40"/>
  <c r="BF519" i="40"/>
  <c r="BV519" i="40"/>
  <c r="DT519" i="40"/>
  <c r="AX519" i="40"/>
  <c r="BO519" i="40"/>
  <c r="CE519" i="40"/>
  <c r="CB519" i="40"/>
  <c r="BP519" i="40"/>
  <c r="BD519" i="40"/>
  <c r="HY519" i="40"/>
  <c r="IX519" i="40"/>
  <c r="C520" i="40"/>
  <c r="BM519" i="40"/>
  <c r="CC519" i="40"/>
  <c r="BJ519" i="40"/>
  <c r="A519" i="40"/>
  <c r="BC519" i="40"/>
  <c r="BS519" i="40"/>
  <c r="CJ519" i="40"/>
  <c r="CF519" i="40"/>
  <c r="HZ519" i="40"/>
  <c r="BZ519" i="40"/>
  <c r="BX519" i="40"/>
  <c r="BT519" i="40"/>
  <c r="IY519" i="40"/>
  <c r="BA519" i="40"/>
  <c r="BQ519" i="40"/>
  <c r="CG519" i="40"/>
  <c r="AW519" i="40"/>
  <c r="BN519" i="40"/>
  <c r="CD519" i="40"/>
  <c r="BG519" i="40"/>
  <c r="BW519" i="40"/>
  <c r="DU519" i="40"/>
  <c r="JO519" i="40"/>
  <c r="DM519" i="40"/>
  <c r="IA519" i="40"/>
  <c r="JP519" i="40"/>
  <c r="BE519" i="40"/>
  <c r="BU519" i="40"/>
  <c r="DS519" i="40"/>
  <c r="BB519" i="40"/>
  <c r="BR519" i="40"/>
  <c r="CH519" i="40"/>
  <c r="BK519" i="40"/>
  <c r="CA519" i="40"/>
  <c r="BL519" i="40"/>
  <c r="AZ519" i="40"/>
  <c r="BH519" i="40"/>
  <c r="DV519" i="40"/>
  <c r="IZ519" i="40"/>
  <c r="AP518" i="40"/>
  <c r="G320" i="40"/>
  <c r="K320" i="40"/>
  <c r="O320" i="40"/>
  <c r="CO320" i="40" s="1"/>
  <c r="AA320" i="40"/>
  <c r="AE320" i="40"/>
  <c r="AI320" i="40"/>
  <c r="H320" i="40"/>
  <c r="P320" i="40"/>
  <c r="X320" i="40"/>
  <c r="AB320" i="40"/>
  <c r="AJ320" i="40"/>
  <c r="J320" i="40"/>
  <c r="AH320" i="40"/>
  <c r="L320" i="40"/>
  <c r="CL320" i="40" s="1"/>
  <c r="AF320" i="40"/>
  <c r="F320" i="40"/>
  <c r="AD320" i="40"/>
  <c r="E320" i="40"/>
  <c r="I320" i="40"/>
  <c r="M320" i="40"/>
  <c r="CM320" i="40" s="1"/>
  <c r="Q320" i="40"/>
  <c r="Y320" i="40"/>
  <c r="AC320" i="40"/>
  <c r="AG320" i="40"/>
  <c r="N320" i="40"/>
  <c r="CN320" i="40" s="1"/>
  <c r="Z320" i="40"/>
  <c r="G220" i="40"/>
  <c r="K220" i="40"/>
  <c r="O220" i="40"/>
  <c r="CO220" i="40" s="1"/>
  <c r="AA220" i="40"/>
  <c r="AE220" i="40"/>
  <c r="AI220" i="40"/>
  <c r="H220" i="40"/>
  <c r="P220" i="40"/>
  <c r="X220" i="40"/>
  <c r="AF220" i="40"/>
  <c r="N220" i="40"/>
  <c r="CN220" i="40" s="1"/>
  <c r="Z220" i="40"/>
  <c r="L220" i="40"/>
  <c r="CL220" i="40" s="1"/>
  <c r="AB220" i="40"/>
  <c r="AJ220" i="40"/>
  <c r="J220" i="40"/>
  <c r="AH220" i="40"/>
  <c r="E220" i="40"/>
  <c r="I220" i="40"/>
  <c r="M220" i="40"/>
  <c r="CM220" i="40" s="1"/>
  <c r="Q220" i="40"/>
  <c r="Y220" i="40"/>
  <c r="AC220" i="40"/>
  <c r="AG220" i="40"/>
  <c r="F220" i="40"/>
  <c r="AD220" i="40"/>
  <c r="G419" i="40"/>
  <c r="K419" i="40"/>
  <c r="O419" i="40"/>
  <c r="CO419" i="40" s="1"/>
  <c r="S419" i="40"/>
  <c r="W419" i="40"/>
  <c r="CU419" i="40" s="1"/>
  <c r="AA419" i="40"/>
  <c r="AE419" i="40"/>
  <c r="AI419" i="40"/>
  <c r="H419" i="40"/>
  <c r="P419" i="40"/>
  <c r="X419" i="40"/>
  <c r="AF419" i="40"/>
  <c r="L419" i="40"/>
  <c r="CL419" i="40" s="1"/>
  <c r="T419" i="40"/>
  <c r="CR419" i="40" s="1"/>
  <c r="AB419" i="40"/>
  <c r="AJ419" i="40"/>
  <c r="E419" i="40"/>
  <c r="I419" i="40"/>
  <c r="M419" i="40"/>
  <c r="CM419" i="40" s="1"/>
  <c r="Q419" i="40"/>
  <c r="U419" i="40"/>
  <c r="CS419" i="40" s="1"/>
  <c r="Y419" i="40"/>
  <c r="AC419" i="40"/>
  <c r="AG419" i="40"/>
  <c r="N419" i="40"/>
  <c r="CN419" i="40" s="1"/>
  <c r="AD419" i="40"/>
  <c r="J419" i="40"/>
  <c r="R419" i="40"/>
  <c r="AH419" i="40"/>
  <c r="F419" i="40"/>
  <c r="V419" i="40"/>
  <c r="CT419" i="40" s="1"/>
  <c r="Z419" i="40"/>
  <c r="CV518" i="40"/>
  <c r="CK518" i="40"/>
  <c r="AM518" i="40"/>
  <c r="AO418" i="40"/>
  <c r="CQ418" i="40"/>
  <c r="AN418" i="40"/>
  <c r="CP418" i="40"/>
  <c r="CV418" i="40"/>
  <c r="AM418" i="40"/>
  <c r="CK418" i="40"/>
  <c r="AX419" i="40"/>
  <c r="BO419" i="40"/>
  <c r="CE419" i="40"/>
  <c r="BD419" i="40"/>
  <c r="BT419" i="40"/>
  <c r="DM419" i="40"/>
  <c r="BI419" i="40"/>
  <c r="BY419" i="40"/>
  <c r="DW419" i="40"/>
  <c r="DT419" i="40"/>
  <c r="BZ419" i="40"/>
  <c r="CD419" i="40"/>
  <c r="BB419" i="40"/>
  <c r="HY419" i="40"/>
  <c r="JP419" i="40"/>
  <c r="BC419" i="40"/>
  <c r="BS419" i="40"/>
  <c r="CJ419" i="40"/>
  <c r="BH419" i="40"/>
  <c r="BX419" i="40"/>
  <c r="DV419" i="40"/>
  <c r="BM419" i="40"/>
  <c r="CC419" i="40"/>
  <c r="A419" i="40"/>
  <c r="BR419" i="40"/>
  <c r="HZ419" i="40"/>
  <c r="IX419" i="40"/>
  <c r="BG419" i="40"/>
  <c r="BW419" i="40"/>
  <c r="DU419" i="40"/>
  <c r="BL419" i="40"/>
  <c r="CB419" i="40"/>
  <c r="BA419" i="40"/>
  <c r="BQ419" i="40"/>
  <c r="CG419" i="40"/>
  <c r="BF419" i="40"/>
  <c r="AW419" i="40"/>
  <c r="CH419" i="40"/>
  <c r="IA419" i="40"/>
  <c r="IY419" i="40"/>
  <c r="C420" i="40"/>
  <c r="BK419" i="40"/>
  <c r="CA419" i="40"/>
  <c r="AZ419" i="40"/>
  <c r="BP419" i="40"/>
  <c r="CF419" i="40"/>
  <c r="BE419" i="40"/>
  <c r="BU419" i="40"/>
  <c r="DS419" i="40"/>
  <c r="BV419" i="40"/>
  <c r="BJ419" i="40"/>
  <c r="BN419" i="40"/>
  <c r="JO419" i="40"/>
  <c r="IZ419" i="40"/>
  <c r="DB418" i="40"/>
  <c r="BA220" i="40"/>
  <c r="BQ220" i="40"/>
  <c r="CG220" i="40"/>
  <c r="AW220" i="40"/>
  <c r="BN220" i="40"/>
  <c r="CD220" i="40"/>
  <c r="BC220" i="40"/>
  <c r="BS220" i="40"/>
  <c r="CJ220" i="40"/>
  <c r="BH220" i="40"/>
  <c r="BL220" i="40"/>
  <c r="BP220" i="40"/>
  <c r="BT220" i="40"/>
  <c r="HY220" i="40"/>
  <c r="BE220" i="40"/>
  <c r="BU220" i="40"/>
  <c r="DS220" i="40"/>
  <c r="BB220" i="40"/>
  <c r="BR220" i="40"/>
  <c r="CH220" i="40"/>
  <c r="BG220" i="40"/>
  <c r="BW220" i="40"/>
  <c r="DU220" i="40"/>
  <c r="BX220" i="40"/>
  <c r="CB220" i="40"/>
  <c r="CF220" i="40"/>
  <c r="DM220" i="40"/>
  <c r="IX220" i="40"/>
  <c r="HZ220" i="40"/>
  <c r="IY220" i="40"/>
  <c r="BM220" i="40"/>
  <c r="BJ220" i="40"/>
  <c r="AX220" i="40"/>
  <c r="CE220" i="40"/>
  <c r="AZ220" i="40"/>
  <c r="C221" i="40"/>
  <c r="BI220" i="40"/>
  <c r="BY220" i="40"/>
  <c r="DW220" i="40"/>
  <c r="BF220" i="40"/>
  <c r="BV220" i="40"/>
  <c r="DT220" i="40"/>
  <c r="BK220" i="40"/>
  <c r="CA220" i="40"/>
  <c r="A220" i="40"/>
  <c r="DV220" i="40"/>
  <c r="JO220" i="40"/>
  <c r="IA220" i="40"/>
  <c r="JP220" i="40"/>
  <c r="CC220" i="40"/>
  <c r="BZ220" i="40"/>
  <c r="BO220" i="40"/>
  <c r="BD220" i="40"/>
  <c r="IZ220" i="40"/>
  <c r="AP219" i="40"/>
  <c r="CV219" i="40"/>
  <c r="AO219" i="40"/>
  <c r="CQ219" i="40"/>
  <c r="DB219" i="40"/>
  <c r="AN219" i="40"/>
  <c r="CP219" i="40"/>
  <c r="AM219" i="40"/>
  <c r="CK219" i="40"/>
  <c r="IO119" i="40"/>
  <c r="JA119" i="40" s="1"/>
  <c r="DB119" i="40"/>
  <c r="HN119" i="40"/>
  <c r="HQ119" i="40" s="1"/>
  <c r="HM119" i="40"/>
  <c r="HP119" i="40" s="1"/>
  <c r="E23" i="44"/>
  <c r="JJ117" i="40"/>
  <c r="JK117" i="40" s="1"/>
  <c r="JL117" i="40" s="1"/>
  <c r="CV319" i="40"/>
  <c r="AN319" i="40"/>
  <c r="CP319" i="40"/>
  <c r="CV119" i="40"/>
  <c r="AK119" i="40"/>
  <c r="AL119" i="40"/>
  <c r="IQ119" i="40"/>
  <c r="JC119" i="40" s="1"/>
  <c r="HS119" i="40"/>
  <c r="JM116" i="40"/>
  <c r="HV118" i="40"/>
  <c r="AP319" i="40"/>
  <c r="AP119" i="40"/>
  <c r="IP119" i="40"/>
  <c r="JB119" i="40" s="1"/>
  <c r="E24" i="44" s="1"/>
  <c r="HR119" i="40"/>
  <c r="HX118" i="40"/>
  <c r="M29" i="70"/>
  <c r="M13" i="70"/>
  <c r="H13" i="70"/>
  <c r="BC13" i="70" s="1"/>
  <c r="KO115" i="40"/>
  <c r="H29" i="70"/>
  <c r="AM319" i="40"/>
  <c r="CK319" i="40"/>
  <c r="JI118" i="40"/>
  <c r="HT119" i="40"/>
  <c r="IC118" i="40"/>
  <c r="JH118" i="40"/>
  <c r="DB319" i="40"/>
  <c r="AO319" i="40"/>
  <c r="CQ319" i="40"/>
  <c r="C321" i="40"/>
  <c r="A320" i="40"/>
  <c r="AZ320" i="40"/>
  <c r="BD320" i="40"/>
  <c r="BH320" i="40"/>
  <c r="BL320" i="40"/>
  <c r="BP320" i="40"/>
  <c r="BT320" i="40"/>
  <c r="BX320" i="40"/>
  <c r="CB320" i="40"/>
  <c r="CF320" i="40"/>
  <c r="DM320" i="40"/>
  <c r="DV320" i="40"/>
  <c r="BA320" i="40"/>
  <c r="BE320" i="40"/>
  <c r="BI320" i="40"/>
  <c r="BM320" i="40"/>
  <c r="BQ320" i="40"/>
  <c r="BU320" i="40"/>
  <c r="BY320" i="40"/>
  <c r="CC320" i="40"/>
  <c r="CG320" i="40"/>
  <c r="DS320" i="40"/>
  <c r="DW320" i="40"/>
  <c r="AW320" i="40"/>
  <c r="BB320" i="40"/>
  <c r="BF320" i="40"/>
  <c r="BJ320" i="40"/>
  <c r="BN320" i="40"/>
  <c r="BR320" i="40"/>
  <c r="BV320" i="40"/>
  <c r="BZ320" i="40"/>
  <c r="CD320" i="40"/>
  <c r="CH320" i="40"/>
  <c r="DT320" i="40"/>
  <c r="AX320" i="40"/>
  <c r="BO320" i="40"/>
  <c r="CE320" i="40"/>
  <c r="BC320" i="40"/>
  <c r="BS320" i="40"/>
  <c r="CJ320" i="40"/>
  <c r="BG320" i="40"/>
  <c r="BW320" i="40"/>
  <c r="DU320" i="40"/>
  <c r="CA320" i="40"/>
  <c r="BK320" i="40"/>
  <c r="JO320" i="40"/>
  <c r="IY320" i="40"/>
  <c r="HZ320" i="40"/>
  <c r="IX320" i="40"/>
  <c r="IA320" i="40"/>
  <c r="HY320" i="40"/>
  <c r="IZ320" i="40"/>
  <c r="JP320" i="40"/>
  <c r="F23" i="44"/>
  <c r="CP119" i="40"/>
  <c r="HV119" i="40" s="1"/>
  <c r="AN119" i="40"/>
  <c r="CQ119" i="40"/>
  <c r="AO119" i="40"/>
  <c r="AM119" i="40"/>
  <c r="CK119" i="40"/>
  <c r="IK120" i="40"/>
  <c r="IN120" i="40" s="1"/>
  <c r="JF120" i="40"/>
  <c r="HO120" i="40" s="1"/>
  <c r="II120" i="40"/>
  <c r="IL120" i="40" s="1"/>
  <c r="IJ120" i="40"/>
  <c r="IM120" i="40" s="1"/>
  <c r="C121" i="40"/>
  <c r="F120" i="40"/>
  <c r="N120" i="40"/>
  <c r="CN120" i="40" s="1"/>
  <c r="AG120" i="40"/>
  <c r="I120" i="40"/>
  <c r="AD120" i="40"/>
  <c r="AZ120" i="40"/>
  <c r="BD120" i="40"/>
  <c r="BH120" i="40"/>
  <c r="BL120" i="40"/>
  <c r="BP120" i="40"/>
  <c r="BT120" i="40"/>
  <c r="BX120" i="40"/>
  <c r="CB120" i="40"/>
  <c r="CF120" i="40"/>
  <c r="DM120" i="40"/>
  <c r="DV120" i="40"/>
  <c r="K120" i="40"/>
  <c r="P120" i="40"/>
  <c r="AI120" i="40"/>
  <c r="J120" i="40"/>
  <c r="AF120" i="40"/>
  <c r="BA120" i="40"/>
  <c r="BE120" i="40"/>
  <c r="BI120" i="40"/>
  <c r="BM120" i="40"/>
  <c r="BQ120" i="40"/>
  <c r="BU120" i="40"/>
  <c r="BY120" i="40"/>
  <c r="CC120" i="40"/>
  <c r="CG120" i="40"/>
  <c r="DS120" i="40"/>
  <c r="DW120" i="40"/>
  <c r="L120" i="40"/>
  <c r="CL120" i="40" s="1"/>
  <c r="AC120" i="40"/>
  <c r="G120" i="40"/>
  <c r="O120" i="40"/>
  <c r="CO120" i="40" s="1"/>
  <c r="AJ120" i="40"/>
  <c r="AW120" i="40"/>
  <c r="BB120" i="40"/>
  <c r="BF120" i="40"/>
  <c r="BJ120" i="40"/>
  <c r="BN120" i="40"/>
  <c r="BR120" i="40"/>
  <c r="BV120" i="40"/>
  <c r="BZ120" i="40"/>
  <c r="CD120" i="40"/>
  <c r="CH120" i="40"/>
  <c r="DT120" i="40"/>
  <c r="M120" i="40"/>
  <c r="CM120" i="40" s="1"/>
  <c r="BK120" i="40"/>
  <c r="CA120" i="40"/>
  <c r="AE120" i="40"/>
  <c r="AX120" i="40"/>
  <c r="BO120" i="40"/>
  <c r="CE120" i="40"/>
  <c r="H120" i="40"/>
  <c r="BC120" i="40"/>
  <c r="BS120" i="40"/>
  <c r="CJ120" i="40"/>
  <c r="BG120" i="40"/>
  <c r="BW120" i="40"/>
  <c r="A120" i="40"/>
  <c r="DU120" i="40"/>
  <c r="AB120" i="40"/>
  <c r="JO120" i="40"/>
  <c r="AH120" i="40"/>
  <c r="IA120" i="40"/>
  <c r="IX120" i="40"/>
  <c r="IZ120" i="40"/>
  <c r="HZ120" i="40"/>
  <c r="HY120" i="40"/>
  <c r="T120" i="40"/>
  <c r="CR120" i="40" s="1"/>
  <c r="Q120" i="40"/>
  <c r="AA120" i="40"/>
  <c r="U120" i="40"/>
  <c r="CS120" i="40" s="1"/>
  <c r="E120" i="40"/>
  <c r="R120" i="40"/>
  <c r="X120" i="40"/>
  <c r="S120" i="40"/>
  <c r="Z120" i="40"/>
  <c r="IY120" i="40"/>
  <c r="JP120" i="40"/>
  <c r="Y120" i="40"/>
  <c r="JG120" i="40"/>
  <c r="HU119" i="40"/>
  <c r="CI404" i="40" l="1"/>
  <c r="CI204" i="40"/>
  <c r="CI603" i="40"/>
  <c r="CI120" i="40"/>
  <c r="CI503" i="40"/>
  <c r="CI304" i="40"/>
  <c r="HY619" i="40"/>
  <c r="IX619" i="40" s="1"/>
  <c r="IA619" i="40"/>
  <c r="IZ619" i="40" s="1"/>
  <c r="CV620" i="40"/>
  <c r="CV419" i="40"/>
  <c r="T520" i="40"/>
  <c r="CR520" i="40" s="1"/>
  <c r="W520" i="40"/>
  <c r="CU520" i="40" s="1"/>
  <c r="S520" i="40"/>
  <c r="V520" i="40"/>
  <c r="CT520" i="40" s="1"/>
  <c r="R520" i="40"/>
  <c r="U520" i="40"/>
  <c r="CS520" i="40" s="1"/>
  <c r="V420" i="40"/>
  <c r="CT420" i="40" s="1"/>
  <c r="R420" i="40"/>
  <c r="U420" i="40"/>
  <c r="CS420" i="40" s="1"/>
  <c r="T420" i="40"/>
  <c r="W420" i="40"/>
  <c r="CU420" i="40" s="1"/>
  <c r="S420" i="40"/>
  <c r="HZ619" i="40"/>
  <c r="IY619" i="40" s="1"/>
  <c r="CV519" i="40"/>
  <c r="DB519" i="40"/>
  <c r="DB620" i="40"/>
  <c r="D119" i="40"/>
  <c r="AY119" i="40" s="1"/>
  <c r="AH321" i="40"/>
  <c r="AD321" i="40"/>
  <c r="Z321" i="40"/>
  <c r="V321" i="40"/>
  <c r="CT321" i="40" s="1"/>
  <c r="R321" i="40"/>
  <c r="N321" i="40"/>
  <c r="CN321" i="40" s="1"/>
  <c r="J321" i="40"/>
  <c r="F321" i="40"/>
  <c r="AG321" i="40"/>
  <c r="AC321" i="40"/>
  <c r="Y321" i="40"/>
  <c r="U321" i="40"/>
  <c r="CS321" i="40" s="1"/>
  <c r="Q321" i="40"/>
  <c r="M321" i="40"/>
  <c r="CM321" i="40" s="1"/>
  <c r="I321" i="40"/>
  <c r="E321" i="40"/>
  <c r="AJ321" i="40"/>
  <c r="AF321" i="40"/>
  <c r="AB321" i="40"/>
  <c r="X321" i="40"/>
  <c r="T321" i="40"/>
  <c r="CR321" i="40" s="1"/>
  <c r="P321" i="40"/>
  <c r="L321" i="40"/>
  <c r="CL321" i="40" s="1"/>
  <c r="H321" i="40"/>
  <c r="AA321" i="40"/>
  <c r="K321" i="40"/>
  <c r="W321" i="40"/>
  <c r="CU321" i="40" s="1"/>
  <c r="G321" i="40"/>
  <c r="AI321" i="40"/>
  <c r="S321" i="40"/>
  <c r="AE321" i="40"/>
  <c r="O321" i="40"/>
  <c r="CO321" i="40" s="1"/>
  <c r="CP620" i="40"/>
  <c r="AN620" i="40"/>
  <c r="AI121" i="40"/>
  <c r="AG121" i="40"/>
  <c r="CP519" i="40"/>
  <c r="AN519" i="40"/>
  <c r="AO519" i="40"/>
  <c r="CQ519" i="40"/>
  <c r="AP620" i="40"/>
  <c r="AI621" i="40"/>
  <c r="AG621" i="40"/>
  <c r="AE621" i="40"/>
  <c r="AF621" i="40"/>
  <c r="I621" i="40"/>
  <c r="AC621" i="40"/>
  <c r="BX621" i="40"/>
  <c r="BH621" i="40"/>
  <c r="P621" i="40"/>
  <c r="DS621" i="40"/>
  <c r="BS621" i="40"/>
  <c r="BC621" i="40"/>
  <c r="DV621" i="40"/>
  <c r="BZ621" i="40"/>
  <c r="BJ621" i="40"/>
  <c r="N621" i="40"/>
  <c r="CN621" i="40" s="1"/>
  <c r="AW621" i="40"/>
  <c r="CG621" i="40"/>
  <c r="BU621" i="40"/>
  <c r="JO621" i="40"/>
  <c r="AJ621" i="40"/>
  <c r="DT621" i="40"/>
  <c r="BT621" i="40"/>
  <c r="BD621" i="40"/>
  <c r="L621" i="40"/>
  <c r="CL621" i="40" s="1"/>
  <c r="CE621" i="40"/>
  <c r="BO621" i="40"/>
  <c r="O621" i="40"/>
  <c r="CO621" i="40" s="1"/>
  <c r="DM621" i="40"/>
  <c r="BV621" i="40"/>
  <c r="BF621" i="40"/>
  <c r="J621" i="40"/>
  <c r="M621" i="40"/>
  <c r="CM621" i="40" s="1"/>
  <c r="BQ621" i="40"/>
  <c r="BE621" i="40"/>
  <c r="W621" i="40"/>
  <c r="CU621" i="40" s="1"/>
  <c r="JP621" i="40"/>
  <c r="CJ621" i="40"/>
  <c r="CF621" i="40"/>
  <c r="BP621" i="40"/>
  <c r="AZ621" i="40"/>
  <c r="C622" i="40"/>
  <c r="CA621" i="40"/>
  <c r="BK621" i="40"/>
  <c r="K621" i="40"/>
  <c r="CH621" i="40"/>
  <c r="BR621" i="40"/>
  <c r="BB621" i="40"/>
  <c r="CC621" i="40"/>
  <c r="BY621" i="40"/>
  <c r="A621" i="40"/>
  <c r="BA621" i="40"/>
  <c r="R621" i="40"/>
  <c r="DW621" i="40"/>
  <c r="CD621" i="40"/>
  <c r="BI621" i="40"/>
  <c r="CB621" i="40"/>
  <c r="BW621" i="40"/>
  <c r="BN621" i="40"/>
  <c r="DU621" i="40"/>
  <c r="G621" i="40"/>
  <c r="KN621" i="40"/>
  <c r="F621" i="40"/>
  <c r="BL621" i="40"/>
  <c r="BG621" i="40"/>
  <c r="AX621" i="40"/>
  <c r="AB621" i="40"/>
  <c r="H621" i="40"/>
  <c r="BM621" i="40"/>
  <c r="AH621" i="40"/>
  <c r="Z621" i="40"/>
  <c r="T621" i="40"/>
  <c r="CR621" i="40" s="1"/>
  <c r="S621" i="40"/>
  <c r="X621" i="40"/>
  <c r="U621" i="40"/>
  <c r="CS621" i="40" s="1"/>
  <c r="Q621" i="40"/>
  <c r="V621" i="40"/>
  <c r="CT621" i="40" s="1"/>
  <c r="AD621" i="40"/>
  <c r="AA621" i="40"/>
  <c r="E621" i="40"/>
  <c r="Y621" i="40"/>
  <c r="G520" i="40"/>
  <c r="K520" i="40"/>
  <c r="O520" i="40"/>
  <c r="CO520" i="40" s="1"/>
  <c r="AA520" i="40"/>
  <c r="AE520" i="40"/>
  <c r="AI520" i="40"/>
  <c r="L520" i="40"/>
  <c r="CL520" i="40" s="1"/>
  <c r="AB520" i="40"/>
  <c r="AJ520" i="40"/>
  <c r="H520" i="40"/>
  <c r="P520" i="40"/>
  <c r="X520" i="40"/>
  <c r="AF520" i="40"/>
  <c r="E520" i="40"/>
  <c r="I520" i="40"/>
  <c r="M520" i="40"/>
  <c r="CM520" i="40" s="1"/>
  <c r="Q520" i="40"/>
  <c r="Y520" i="40"/>
  <c r="AC520" i="40"/>
  <c r="AG520" i="40"/>
  <c r="N520" i="40"/>
  <c r="CN520" i="40" s="1"/>
  <c r="AD520" i="40"/>
  <c r="AH520" i="40"/>
  <c r="F520" i="40"/>
  <c r="J520" i="40"/>
  <c r="Z520" i="40"/>
  <c r="BG520" i="40"/>
  <c r="BW520" i="40"/>
  <c r="DU520" i="40"/>
  <c r="BD520" i="40"/>
  <c r="BT520" i="40"/>
  <c r="DM520" i="40"/>
  <c r="BE520" i="40"/>
  <c r="BU520" i="40"/>
  <c r="DS520" i="40"/>
  <c r="BF520" i="40"/>
  <c r="DT520" i="40"/>
  <c r="JO520" i="40"/>
  <c r="HZ520" i="40"/>
  <c r="JP520" i="40"/>
  <c r="BK520" i="40"/>
  <c r="CA520" i="40"/>
  <c r="A520" i="40"/>
  <c r="BH520" i="40"/>
  <c r="BX520" i="40"/>
  <c r="DV520" i="40"/>
  <c r="BI520" i="40"/>
  <c r="BY520" i="40"/>
  <c r="DW520" i="40"/>
  <c r="AW520" i="40"/>
  <c r="BB520" i="40"/>
  <c r="BV520" i="40"/>
  <c r="IZ520" i="40"/>
  <c r="C521" i="40"/>
  <c r="BC520" i="40"/>
  <c r="BS520" i="40"/>
  <c r="CJ520" i="40"/>
  <c r="AZ520" i="40"/>
  <c r="BP520" i="40"/>
  <c r="CF520" i="40"/>
  <c r="BQ520" i="40"/>
  <c r="CG520" i="40"/>
  <c r="BZ520" i="40"/>
  <c r="CD520" i="40"/>
  <c r="HY520" i="40"/>
  <c r="IY520" i="40"/>
  <c r="AX520" i="40"/>
  <c r="BO520" i="40"/>
  <c r="CE520" i="40"/>
  <c r="BL520" i="40"/>
  <c r="CB520" i="40"/>
  <c r="BM520" i="40"/>
  <c r="CC520" i="40"/>
  <c r="BJ520" i="40"/>
  <c r="BN520" i="40"/>
  <c r="BR520" i="40"/>
  <c r="IA520" i="40"/>
  <c r="IX520" i="40"/>
  <c r="BA520" i="40"/>
  <c r="CH520" i="40"/>
  <c r="AP519" i="40"/>
  <c r="CK620" i="40"/>
  <c r="AM620" i="40"/>
  <c r="AG221" i="40"/>
  <c r="AC221" i="40"/>
  <c r="Y221" i="40"/>
  <c r="U221" i="40"/>
  <c r="CS221" i="40" s="1"/>
  <c r="Q221" i="40"/>
  <c r="M221" i="40"/>
  <c r="CM221" i="40" s="1"/>
  <c r="I221" i="40"/>
  <c r="E221" i="40"/>
  <c r="AJ221" i="40"/>
  <c r="AF221" i="40"/>
  <c r="AB221" i="40"/>
  <c r="X221" i="40"/>
  <c r="T221" i="40"/>
  <c r="CR221" i="40" s="1"/>
  <c r="P221" i="40"/>
  <c r="L221" i="40"/>
  <c r="CL221" i="40" s="1"/>
  <c r="H221" i="40"/>
  <c r="AI221" i="40"/>
  <c r="AE221" i="40"/>
  <c r="AA221" i="40"/>
  <c r="CI305" i="40" s="1"/>
  <c r="W221" i="40"/>
  <c r="CU221" i="40" s="1"/>
  <c r="S221" i="40"/>
  <c r="O221" i="40"/>
  <c r="CO221" i="40" s="1"/>
  <c r="K221" i="40"/>
  <c r="G221" i="40"/>
  <c r="AH221" i="40"/>
  <c r="R221" i="40"/>
  <c r="AD221" i="40"/>
  <c r="N221" i="40"/>
  <c r="CN221" i="40" s="1"/>
  <c r="Z221" i="40"/>
  <c r="J221" i="40"/>
  <c r="V221" i="40"/>
  <c r="CT221" i="40" s="1"/>
  <c r="F221" i="40"/>
  <c r="G420" i="40"/>
  <c r="K420" i="40"/>
  <c r="O420" i="40"/>
  <c r="CO420" i="40" s="1"/>
  <c r="AA420" i="40"/>
  <c r="AE420" i="40"/>
  <c r="AI420" i="40"/>
  <c r="H420" i="40"/>
  <c r="P420" i="40"/>
  <c r="X420" i="40"/>
  <c r="AB420" i="40"/>
  <c r="L420" i="40"/>
  <c r="CL420" i="40" s="1"/>
  <c r="CR420" i="40"/>
  <c r="AF420" i="40"/>
  <c r="AJ420" i="40"/>
  <c r="E420" i="40"/>
  <c r="I420" i="40"/>
  <c r="M420" i="40"/>
  <c r="CM420" i="40" s="1"/>
  <c r="Q420" i="40"/>
  <c r="Y420" i="40"/>
  <c r="AC420" i="40"/>
  <c r="AG420" i="40"/>
  <c r="N420" i="40"/>
  <c r="CN420" i="40" s="1"/>
  <c r="AD420" i="40"/>
  <c r="J420" i="40"/>
  <c r="AH420" i="40"/>
  <c r="F420" i="40"/>
  <c r="Z420" i="40"/>
  <c r="CK519" i="40"/>
  <c r="AM519" i="40"/>
  <c r="CQ620" i="40"/>
  <c r="AO620" i="40"/>
  <c r="CV220" i="40"/>
  <c r="AO419" i="40"/>
  <c r="CQ419" i="40"/>
  <c r="AM419" i="40"/>
  <c r="CK419" i="40"/>
  <c r="C421" i="40"/>
  <c r="BI420" i="40"/>
  <c r="BY420" i="40"/>
  <c r="DW420" i="40"/>
  <c r="BF420" i="40"/>
  <c r="BV420" i="40"/>
  <c r="DT420" i="40"/>
  <c r="BK420" i="40"/>
  <c r="CA420" i="40"/>
  <c r="A420" i="40"/>
  <c r="DV420" i="40"/>
  <c r="BP420" i="40"/>
  <c r="AZ420" i="40"/>
  <c r="HZ420" i="40"/>
  <c r="JP420" i="40"/>
  <c r="BM420" i="40"/>
  <c r="CC420" i="40"/>
  <c r="BJ420" i="40"/>
  <c r="BZ420" i="40"/>
  <c r="AX420" i="40"/>
  <c r="BO420" i="40"/>
  <c r="CE420" i="40"/>
  <c r="BD420" i="40"/>
  <c r="CF420" i="40"/>
  <c r="HY420" i="40"/>
  <c r="BA420" i="40"/>
  <c r="BQ420" i="40"/>
  <c r="CG420" i="40"/>
  <c r="AW420" i="40"/>
  <c r="BN420" i="40"/>
  <c r="CD420" i="40"/>
  <c r="BC420" i="40"/>
  <c r="BS420" i="40"/>
  <c r="CJ420" i="40"/>
  <c r="BT420" i="40"/>
  <c r="BH420" i="40"/>
  <c r="BL420" i="40"/>
  <c r="IA420" i="40"/>
  <c r="IX420" i="40"/>
  <c r="BE420" i="40"/>
  <c r="BU420" i="40"/>
  <c r="DS420" i="40"/>
  <c r="BB420" i="40"/>
  <c r="BR420" i="40"/>
  <c r="CH420" i="40"/>
  <c r="BG420" i="40"/>
  <c r="BW420" i="40"/>
  <c r="DU420" i="40"/>
  <c r="DM420" i="40"/>
  <c r="BX420" i="40"/>
  <c r="CB420" i="40"/>
  <c r="JO420" i="40"/>
  <c r="IZ420" i="40"/>
  <c r="IY420" i="40"/>
  <c r="AP419" i="40"/>
  <c r="DB419" i="40"/>
  <c r="CP419" i="40"/>
  <c r="AN419" i="40"/>
  <c r="AM220" i="40"/>
  <c r="CK220" i="40"/>
  <c r="DB220" i="40"/>
  <c r="AO220" i="40"/>
  <c r="CQ220" i="40"/>
  <c r="AX221" i="40"/>
  <c r="BO221" i="40"/>
  <c r="CE221" i="40"/>
  <c r="AZ221" i="40"/>
  <c r="BP221" i="40"/>
  <c r="CF221" i="40"/>
  <c r="BA221" i="40"/>
  <c r="BQ221" i="40"/>
  <c r="CG221" i="40"/>
  <c r="BF221" i="40"/>
  <c r="AW221" i="40"/>
  <c r="BB221" i="40"/>
  <c r="IA221" i="40"/>
  <c r="CB221" i="40"/>
  <c r="IZ221" i="40"/>
  <c r="BC221" i="40"/>
  <c r="BS221" i="40"/>
  <c r="CJ221" i="40"/>
  <c r="BD221" i="40"/>
  <c r="BT221" i="40"/>
  <c r="DM221" i="40"/>
  <c r="BE221" i="40"/>
  <c r="BU221" i="40"/>
  <c r="DS221" i="40"/>
  <c r="BV221" i="40"/>
  <c r="BJ221" i="40"/>
  <c r="BN221" i="40"/>
  <c r="BR221" i="40"/>
  <c r="HZ221" i="40"/>
  <c r="C222" i="40"/>
  <c r="BK221" i="40"/>
  <c r="A221" i="40"/>
  <c r="BL221" i="40"/>
  <c r="CC221" i="40"/>
  <c r="BG221" i="40"/>
  <c r="BW221" i="40"/>
  <c r="DU221" i="40"/>
  <c r="BH221" i="40"/>
  <c r="BX221" i="40"/>
  <c r="DV221" i="40"/>
  <c r="BI221" i="40"/>
  <c r="BY221" i="40"/>
  <c r="DW221" i="40"/>
  <c r="DT221" i="40"/>
  <c r="BZ221" i="40"/>
  <c r="CD221" i="40"/>
  <c r="CH221" i="40"/>
  <c r="IX221" i="40"/>
  <c r="HY221" i="40"/>
  <c r="IY221" i="40"/>
  <c r="CA221" i="40"/>
  <c r="BM221" i="40"/>
  <c r="JO221" i="40"/>
  <c r="JP221" i="40"/>
  <c r="AN220" i="40"/>
  <c r="CP220" i="40"/>
  <c r="AP220" i="40"/>
  <c r="IQ120" i="40"/>
  <c r="JC120" i="40" s="1"/>
  <c r="DB320" i="40"/>
  <c r="IO120" i="40"/>
  <c r="JA120" i="40" s="1"/>
  <c r="HM120" i="40"/>
  <c r="HP120" i="40" s="1"/>
  <c r="DB120" i="40"/>
  <c r="HN120" i="40"/>
  <c r="HQ120" i="40" s="1"/>
  <c r="AO120" i="40"/>
  <c r="CQ120" i="40"/>
  <c r="HS120" i="40"/>
  <c r="AN320" i="40"/>
  <c r="CP320" i="40"/>
  <c r="CK320" i="40"/>
  <c r="AM320" i="40"/>
  <c r="HX119" i="40"/>
  <c r="JI119" i="40"/>
  <c r="CK120" i="40"/>
  <c r="AM120" i="40"/>
  <c r="HR120" i="40"/>
  <c r="AO320" i="40"/>
  <c r="CQ320" i="40"/>
  <c r="AP320" i="40"/>
  <c r="C322" i="40"/>
  <c r="AW321" i="40"/>
  <c r="BB321" i="40"/>
  <c r="BF321" i="40"/>
  <c r="BJ321" i="40"/>
  <c r="BN321" i="40"/>
  <c r="BR321" i="40"/>
  <c r="BV321" i="40"/>
  <c r="BZ321" i="40"/>
  <c r="CD321" i="40"/>
  <c r="CH321" i="40"/>
  <c r="DT321" i="40"/>
  <c r="AX321" i="40"/>
  <c r="BC321" i="40"/>
  <c r="BG321" i="40"/>
  <c r="BK321" i="40"/>
  <c r="BO321" i="40"/>
  <c r="BS321" i="40"/>
  <c r="BW321" i="40"/>
  <c r="CA321" i="40"/>
  <c r="CE321" i="40"/>
  <c r="CJ321" i="40"/>
  <c r="DU321" i="40"/>
  <c r="A321" i="40"/>
  <c r="AZ321" i="40"/>
  <c r="BD321" i="40"/>
  <c r="BH321" i="40"/>
  <c r="BL321" i="40"/>
  <c r="BP321" i="40"/>
  <c r="BT321" i="40"/>
  <c r="BX321" i="40"/>
  <c r="CB321" i="40"/>
  <c r="CF321" i="40"/>
  <c r="DM321" i="40"/>
  <c r="DV321" i="40"/>
  <c r="BM321" i="40"/>
  <c r="CC321" i="40"/>
  <c r="BA321" i="40"/>
  <c r="BQ321" i="40"/>
  <c r="CG321" i="40"/>
  <c r="BE321" i="40"/>
  <c r="BU321" i="40"/>
  <c r="DS321" i="40"/>
  <c r="BY321" i="40"/>
  <c r="DW321" i="40"/>
  <c r="BI321" i="40"/>
  <c r="JO321" i="40"/>
  <c r="IY321" i="40"/>
  <c r="IA321" i="40"/>
  <c r="IZ321" i="40"/>
  <c r="IX321" i="40"/>
  <c r="HZ321" i="40"/>
  <c r="HY321" i="40"/>
  <c r="JP321" i="40"/>
  <c r="JJ118" i="40"/>
  <c r="JK118" i="40" s="1"/>
  <c r="JL118" i="40" s="1"/>
  <c r="M30" i="70"/>
  <c r="KO116" i="40"/>
  <c r="H30" i="70"/>
  <c r="HW119" i="40"/>
  <c r="JH119" i="40"/>
  <c r="AP120" i="40"/>
  <c r="IK121" i="40"/>
  <c r="IN121" i="40" s="1"/>
  <c r="JF121" i="40"/>
  <c r="HO121" i="40" s="1"/>
  <c r="HR121" i="40" s="1"/>
  <c r="II121" i="40"/>
  <c r="IL121" i="40" s="1"/>
  <c r="IJ121" i="40"/>
  <c r="IM121" i="40" s="1"/>
  <c r="C122" i="40"/>
  <c r="K121" i="40"/>
  <c r="P121" i="40"/>
  <c r="J121" i="40"/>
  <c r="AF121" i="40"/>
  <c r="BA121" i="40"/>
  <c r="BE121" i="40"/>
  <c r="BI121" i="40"/>
  <c r="BM121" i="40"/>
  <c r="BQ121" i="40"/>
  <c r="BU121" i="40"/>
  <c r="BY121" i="40"/>
  <c r="CC121" i="40"/>
  <c r="CG121" i="40"/>
  <c r="DS121" i="40"/>
  <c r="DW121" i="40"/>
  <c r="L121" i="40"/>
  <c r="CL121" i="40" s="1"/>
  <c r="AC121" i="40"/>
  <c r="G121" i="40"/>
  <c r="O121" i="40"/>
  <c r="CO121" i="40" s="1"/>
  <c r="AJ121" i="40"/>
  <c r="AW121" i="40"/>
  <c r="BB121" i="40"/>
  <c r="BF121" i="40"/>
  <c r="BJ121" i="40"/>
  <c r="BN121" i="40"/>
  <c r="BR121" i="40"/>
  <c r="BV121" i="40"/>
  <c r="BZ121" i="40"/>
  <c r="CD121" i="40"/>
  <c r="CH121" i="40"/>
  <c r="DT121" i="40"/>
  <c r="A121" i="40"/>
  <c r="M121" i="40"/>
  <c r="CM121" i="40" s="1"/>
  <c r="AE121" i="40"/>
  <c r="H121" i="40"/>
  <c r="AB121" i="40"/>
  <c r="AX121" i="40"/>
  <c r="BC121" i="40"/>
  <c r="BG121" i="40"/>
  <c r="BK121" i="40"/>
  <c r="BO121" i="40"/>
  <c r="BS121" i="40"/>
  <c r="BW121" i="40"/>
  <c r="CA121" i="40"/>
  <c r="CE121" i="40"/>
  <c r="CJ121" i="40"/>
  <c r="DU121" i="40"/>
  <c r="F121" i="40"/>
  <c r="AD121" i="40"/>
  <c r="BH121" i="40"/>
  <c r="BX121" i="40"/>
  <c r="DV121" i="40"/>
  <c r="N121" i="40"/>
  <c r="CN121" i="40" s="1"/>
  <c r="BL121" i="40"/>
  <c r="CB121" i="40"/>
  <c r="AZ121" i="40"/>
  <c r="BP121" i="40"/>
  <c r="CF121" i="40"/>
  <c r="BD121" i="40"/>
  <c r="BT121" i="40"/>
  <c r="I121" i="40"/>
  <c r="DM121" i="40"/>
  <c r="JO121" i="40"/>
  <c r="AH121" i="40"/>
  <c r="IX121" i="40"/>
  <c r="IZ121" i="40"/>
  <c r="HZ121" i="40"/>
  <c r="IA121" i="40"/>
  <c r="HY121" i="40"/>
  <c r="Z121" i="40"/>
  <c r="V121" i="40"/>
  <c r="CT121" i="40" s="1"/>
  <c r="T121" i="40"/>
  <c r="CR121" i="40" s="1"/>
  <c r="Q121" i="40"/>
  <c r="AA121" i="40"/>
  <c r="U121" i="40"/>
  <c r="CS121" i="40" s="1"/>
  <c r="E121" i="40"/>
  <c r="R121" i="40"/>
  <c r="X121" i="40"/>
  <c r="W121" i="40"/>
  <c r="CU121" i="40" s="1"/>
  <c r="S121" i="40"/>
  <c r="IY121" i="40"/>
  <c r="JP121" i="40"/>
  <c r="Y121" i="40"/>
  <c r="JG121" i="40"/>
  <c r="HU120" i="40"/>
  <c r="CV320" i="40"/>
  <c r="JM117" i="40"/>
  <c r="CV120" i="40"/>
  <c r="AK120" i="40"/>
  <c r="AL120" i="40"/>
  <c r="CP120" i="40"/>
  <c r="HV120" i="40" s="1"/>
  <c r="AN120" i="40"/>
  <c r="IP120" i="40"/>
  <c r="JB120" i="40" s="1"/>
  <c r="E25" i="44" s="1"/>
  <c r="HT120" i="40"/>
  <c r="CI121" i="40" l="1"/>
  <c r="CI504" i="40"/>
  <c r="CI604" i="40"/>
  <c r="CI205" i="40"/>
  <c r="CI405" i="40"/>
  <c r="HZ620" i="40"/>
  <c r="IY620" i="40" s="1"/>
  <c r="IA620" i="40"/>
  <c r="IZ620" i="40" s="1"/>
  <c r="CV621" i="40"/>
  <c r="DB520" i="40"/>
  <c r="HY620" i="40"/>
  <c r="IX620" i="40" s="1"/>
  <c r="AP420" i="40"/>
  <c r="DB420" i="40"/>
  <c r="AH322" i="40"/>
  <c r="AD322" i="40"/>
  <c r="Z322" i="40"/>
  <c r="V322" i="40"/>
  <c r="CT322" i="40" s="1"/>
  <c r="R322" i="40"/>
  <c r="N322" i="40"/>
  <c r="CN322" i="40" s="1"/>
  <c r="J322" i="40"/>
  <c r="F322" i="40"/>
  <c r="AG322" i="40"/>
  <c r="AC322" i="40"/>
  <c r="Y322" i="40"/>
  <c r="U322" i="40"/>
  <c r="CS322" i="40" s="1"/>
  <c r="Q322" i="40"/>
  <c r="M322" i="40"/>
  <c r="CM322" i="40" s="1"/>
  <c r="I322" i="40"/>
  <c r="E322" i="40"/>
  <c r="AJ322" i="40"/>
  <c r="AF322" i="40"/>
  <c r="AB322" i="40"/>
  <c r="X322" i="40"/>
  <c r="T322" i="40"/>
  <c r="CR322" i="40" s="1"/>
  <c r="P322" i="40"/>
  <c r="L322" i="40"/>
  <c r="H322" i="40"/>
  <c r="AA322" i="40"/>
  <c r="K322" i="40"/>
  <c r="W322" i="40"/>
  <c r="CU322" i="40" s="1"/>
  <c r="G322" i="40"/>
  <c r="AI322" i="40"/>
  <c r="S322" i="40"/>
  <c r="AE322" i="40"/>
  <c r="O322" i="40"/>
  <c r="CO322" i="40" s="1"/>
  <c r="AP621" i="40"/>
  <c r="AF622" i="40"/>
  <c r="CF622" i="40"/>
  <c r="BP622" i="40"/>
  <c r="AZ622" i="40"/>
  <c r="C623" i="40"/>
  <c r="CA622" i="40"/>
  <c r="BK622" i="40"/>
  <c r="K622" i="40"/>
  <c r="CH622" i="40"/>
  <c r="BR622" i="40"/>
  <c r="BB622" i="40"/>
  <c r="CG622" i="40"/>
  <c r="A622" i="40"/>
  <c r="M622" i="40"/>
  <c r="CM622" i="40" s="1"/>
  <c r="DU622" i="40"/>
  <c r="JO622" i="40"/>
  <c r="H622" i="40"/>
  <c r="AI622" i="40"/>
  <c r="F622" i="40"/>
  <c r="CJ622" i="40"/>
  <c r="CB622" i="40"/>
  <c r="BL622" i="40"/>
  <c r="AB622" i="40"/>
  <c r="DW622" i="40"/>
  <c r="BW622" i="40"/>
  <c r="BG622" i="40"/>
  <c r="G622" i="40"/>
  <c r="CD622" i="40"/>
  <c r="BN622" i="40"/>
  <c r="AX622" i="40"/>
  <c r="BQ622" i="40"/>
  <c r="CC622" i="40"/>
  <c r="BE622" i="40"/>
  <c r="BU622" i="40"/>
  <c r="JP622" i="40"/>
  <c r="I622" i="40"/>
  <c r="AJ622" i="40"/>
  <c r="AC622" i="40"/>
  <c r="BX622" i="40"/>
  <c r="BH622" i="40"/>
  <c r="P622" i="40"/>
  <c r="DS622" i="40"/>
  <c r="BS622" i="40"/>
  <c r="BC622" i="40"/>
  <c r="DV622" i="40"/>
  <c r="BZ622" i="40"/>
  <c r="BJ622" i="40"/>
  <c r="N622" i="40"/>
  <c r="CN622" i="40" s="1"/>
  <c r="BA622" i="40"/>
  <c r="BM622" i="40"/>
  <c r="BY622" i="40"/>
  <c r="KN622" i="40"/>
  <c r="L622" i="40"/>
  <c r="CL622" i="40" s="1"/>
  <c r="DM622" i="40"/>
  <c r="AG622" i="40"/>
  <c r="DT622" i="40"/>
  <c r="CE622" i="40"/>
  <c r="BV622" i="40"/>
  <c r="AW622" i="40"/>
  <c r="O622" i="40"/>
  <c r="CO622" i="40" s="1"/>
  <c r="AE622" i="40"/>
  <c r="BT622" i="40"/>
  <c r="BO622" i="40"/>
  <c r="BF622" i="40"/>
  <c r="BI622" i="40"/>
  <c r="BD622" i="40"/>
  <c r="J622" i="40"/>
  <c r="W622" i="40"/>
  <c r="CU622" i="40" s="1"/>
  <c r="T622" i="40"/>
  <c r="CR622" i="40" s="1"/>
  <c r="Z622" i="40"/>
  <c r="AH622" i="40"/>
  <c r="R622" i="40"/>
  <c r="Q622" i="40"/>
  <c r="S622" i="40"/>
  <c r="U622" i="40"/>
  <c r="CS622" i="40" s="1"/>
  <c r="X622" i="40"/>
  <c r="AA622" i="40"/>
  <c r="AD622" i="40"/>
  <c r="V622" i="40"/>
  <c r="CT622" i="40" s="1"/>
  <c r="E622" i="40"/>
  <c r="Y622" i="40"/>
  <c r="AI421" i="40"/>
  <c r="AE421" i="40"/>
  <c r="AA421" i="40"/>
  <c r="W421" i="40"/>
  <c r="CU421" i="40" s="1"/>
  <c r="S421" i="40"/>
  <c r="O421" i="40"/>
  <c r="CO421" i="40" s="1"/>
  <c r="K421" i="40"/>
  <c r="G421" i="40"/>
  <c r="AH421" i="40"/>
  <c r="AD421" i="40"/>
  <c r="Z421" i="40"/>
  <c r="V421" i="40"/>
  <c r="R421" i="40"/>
  <c r="N421" i="40"/>
  <c r="CN421" i="40" s="1"/>
  <c r="J421" i="40"/>
  <c r="F421" i="40"/>
  <c r="AG421" i="40"/>
  <c r="AC421" i="40"/>
  <c r="Y421" i="40"/>
  <c r="U421" i="40"/>
  <c r="Q421" i="40"/>
  <c r="M421" i="40"/>
  <c r="CM421" i="40" s="1"/>
  <c r="I421" i="40"/>
  <c r="E421" i="40"/>
  <c r="AJ421" i="40"/>
  <c r="T421" i="40"/>
  <c r="CR421" i="40" s="1"/>
  <c r="AF421" i="40"/>
  <c r="P421" i="40"/>
  <c r="AB421" i="40"/>
  <c r="L421" i="40"/>
  <c r="CL421" i="40" s="1"/>
  <c r="X421" i="40"/>
  <c r="H421" i="40"/>
  <c r="AJ521" i="40"/>
  <c r="AF521" i="40"/>
  <c r="AB521" i="40"/>
  <c r="X521" i="40"/>
  <c r="T521" i="40"/>
  <c r="CR521" i="40" s="1"/>
  <c r="P521" i="40"/>
  <c r="L521" i="40"/>
  <c r="CL521" i="40" s="1"/>
  <c r="H521" i="40"/>
  <c r="AH521" i="40"/>
  <c r="AD521" i="40"/>
  <c r="Z521" i="40"/>
  <c r="V521" i="40"/>
  <c r="CT521" i="40" s="1"/>
  <c r="R521" i="40"/>
  <c r="N521" i="40"/>
  <c r="CN521" i="40" s="1"/>
  <c r="J521" i="40"/>
  <c r="F521" i="40"/>
  <c r="AI521" i="40"/>
  <c r="AA521" i="40"/>
  <c r="S521" i="40"/>
  <c r="K521" i="40"/>
  <c r="AG521" i="40"/>
  <c r="Y521" i="40"/>
  <c r="Q521" i="40"/>
  <c r="I521" i="40"/>
  <c r="AE521" i="40"/>
  <c r="W521" i="40"/>
  <c r="CU521" i="40" s="1"/>
  <c r="O521" i="40"/>
  <c r="CO521" i="40" s="1"/>
  <c r="G521" i="40"/>
  <c r="U521" i="40"/>
  <c r="CS521" i="40" s="1"/>
  <c r="M521" i="40"/>
  <c r="CM521" i="40" s="1"/>
  <c r="E521" i="40"/>
  <c r="AC521" i="40"/>
  <c r="BE521" i="40"/>
  <c r="BU521" i="40"/>
  <c r="DS521" i="40"/>
  <c r="BF521" i="40"/>
  <c r="BV521" i="40"/>
  <c r="DT521" i="40"/>
  <c r="BC521" i="40"/>
  <c r="BS521" i="40"/>
  <c r="CJ521" i="40"/>
  <c r="BX521" i="40"/>
  <c r="BL521" i="40"/>
  <c r="AZ521" i="40"/>
  <c r="IA521" i="40"/>
  <c r="IY521" i="40"/>
  <c r="C522" i="40"/>
  <c r="BI521" i="40"/>
  <c r="BY521" i="40"/>
  <c r="DW521" i="40"/>
  <c r="BJ521" i="40"/>
  <c r="BZ521" i="40"/>
  <c r="BG521" i="40"/>
  <c r="BW521" i="40"/>
  <c r="DU521" i="40"/>
  <c r="DV521" i="40"/>
  <c r="CB521" i="40"/>
  <c r="BP521" i="40"/>
  <c r="HY521" i="40"/>
  <c r="IX521" i="40"/>
  <c r="BM521" i="40"/>
  <c r="CC521" i="40"/>
  <c r="AW521" i="40"/>
  <c r="BN521" i="40"/>
  <c r="CD521" i="40"/>
  <c r="BK521" i="40"/>
  <c r="CA521" i="40"/>
  <c r="A521" i="40"/>
  <c r="DM521" i="40"/>
  <c r="BT521" i="40"/>
  <c r="CF521" i="40"/>
  <c r="HZ521" i="40"/>
  <c r="JP521" i="40"/>
  <c r="BA521" i="40"/>
  <c r="BQ521" i="40"/>
  <c r="CG521" i="40"/>
  <c r="BB521" i="40"/>
  <c r="BR521" i="40"/>
  <c r="CH521" i="40"/>
  <c r="AX521" i="40"/>
  <c r="BO521" i="40"/>
  <c r="CE521" i="40"/>
  <c r="BH521" i="40"/>
  <c r="JO521" i="40"/>
  <c r="BD521" i="40"/>
  <c r="IZ521" i="40"/>
  <c r="CP520" i="40"/>
  <c r="AN520" i="40"/>
  <c r="AO520" i="40"/>
  <c r="CQ520" i="40"/>
  <c r="CQ621" i="40"/>
  <c r="AO621" i="40"/>
  <c r="CK621" i="40"/>
  <c r="AM621" i="40"/>
  <c r="AP520" i="40"/>
  <c r="AN621" i="40"/>
  <c r="CP621" i="40"/>
  <c r="AG122" i="40"/>
  <c r="AC122" i="40"/>
  <c r="Y122" i="40"/>
  <c r="U122" i="40"/>
  <c r="CS122" i="40" s="1"/>
  <c r="Q122" i="40"/>
  <c r="M122" i="40"/>
  <c r="I122" i="40"/>
  <c r="E122" i="40"/>
  <c r="AI122" i="40"/>
  <c r="AE122" i="40"/>
  <c r="AA122" i="40"/>
  <c r="W122" i="40"/>
  <c r="CU122" i="40" s="1"/>
  <c r="S122" i="40"/>
  <c r="O122" i="40"/>
  <c r="K122" i="40"/>
  <c r="G122" i="40"/>
  <c r="AF122" i="40"/>
  <c r="X122" i="40"/>
  <c r="P122" i="40"/>
  <c r="H122" i="40"/>
  <c r="Z122" i="40"/>
  <c r="AD122" i="40"/>
  <c r="V122" i="40"/>
  <c r="CT122" i="40" s="1"/>
  <c r="N122" i="40"/>
  <c r="CN122" i="40" s="1"/>
  <c r="F122" i="40"/>
  <c r="AH122" i="40"/>
  <c r="J122" i="40"/>
  <c r="AJ122" i="40"/>
  <c r="AB122" i="40"/>
  <c r="T122" i="40"/>
  <c r="L122" i="40"/>
  <c r="CL122" i="40" s="1"/>
  <c r="R122" i="40"/>
  <c r="AG222" i="40"/>
  <c r="AC222" i="40"/>
  <c r="Y222" i="40"/>
  <c r="U222" i="40"/>
  <c r="CS222" i="40" s="1"/>
  <c r="Q222" i="40"/>
  <c r="M222" i="40"/>
  <c r="CM222" i="40" s="1"/>
  <c r="I222" i="40"/>
  <c r="E222" i="40"/>
  <c r="AJ222" i="40"/>
  <c r="AF222" i="40"/>
  <c r="AB222" i="40"/>
  <c r="X222" i="40"/>
  <c r="T222" i="40"/>
  <c r="CR222" i="40" s="1"/>
  <c r="P222" i="40"/>
  <c r="L222" i="40"/>
  <c r="CL222" i="40" s="1"/>
  <c r="H222" i="40"/>
  <c r="AI222" i="40"/>
  <c r="AE222" i="40"/>
  <c r="AA222" i="40"/>
  <c r="CI306" i="40" s="1"/>
  <c r="W222" i="40"/>
  <c r="CU222" i="40" s="1"/>
  <c r="S222" i="40"/>
  <c r="O222" i="40"/>
  <c r="CO222" i="40" s="1"/>
  <c r="K222" i="40"/>
  <c r="G222" i="40"/>
  <c r="AH222" i="40"/>
  <c r="R222" i="40"/>
  <c r="AD222" i="40"/>
  <c r="N222" i="40"/>
  <c r="CN222" i="40" s="1"/>
  <c r="Z222" i="40"/>
  <c r="J222" i="40"/>
  <c r="V222" i="40"/>
  <c r="CT222" i="40" s="1"/>
  <c r="F222" i="40"/>
  <c r="CV520" i="40"/>
  <c r="AM520" i="40"/>
  <c r="CK520" i="40"/>
  <c r="DB621" i="40"/>
  <c r="AM420" i="40"/>
  <c r="CK420" i="40"/>
  <c r="AN420" i="40"/>
  <c r="CP420" i="40"/>
  <c r="AO420" i="40"/>
  <c r="CQ420" i="40"/>
  <c r="AX421" i="40"/>
  <c r="BO421" i="40"/>
  <c r="CE421" i="40"/>
  <c r="AZ421" i="40"/>
  <c r="BP421" i="40"/>
  <c r="CF421" i="40"/>
  <c r="BA421" i="40"/>
  <c r="BQ421" i="40"/>
  <c r="CG421" i="40"/>
  <c r="BB421" i="40"/>
  <c r="BF421" i="40"/>
  <c r="AW421" i="40"/>
  <c r="HY421" i="40"/>
  <c r="BC421" i="40"/>
  <c r="BS421" i="40"/>
  <c r="CJ421" i="40"/>
  <c r="BD421" i="40"/>
  <c r="BT421" i="40"/>
  <c r="DM421" i="40"/>
  <c r="BE421" i="40"/>
  <c r="BU421" i="40"/>
  <c r="DS421" i="40"/>
  <c r="BR421" i="40"/>
  <c r="BV421" i="40"/>
  <c r="BJ421" i="40"/>
  <c r="JO421" i="40"/>
  <c r="IZ421" i="40"/>
  <c r="IY421" i="40"/>
  <c r="BG421" i="40"/>
  <c r="BW421" i="40"/>
  <c r="DU421" i="40"/>
  <c r="BH421" i="40"/>
  <c r="BX421" i="40"/>
  <c r="DV421" i="40"/>
  <c r="BI421" i="40"/>
  <c r="BY421" i="40"/>
  <c r="DW421" i="40"/>
  <c r="CH421" i="40"/>
  <c r="DT421" i="40"/>
  <c r="BZ421" i="40"/>
  <c r="CD421" i="40"/>
  <c r="IA421" i="40"/>
  <c r="CT421" i="40"/>
  <c r="IX421" i="40"/>
  <c r="C422" i="40"/>
  <c r="BK421" i="40"/>
  <c r="CA421" i="40"/>
  <c r="A421" i="40"/>
  <c r="BL421" i="40"/>
  <c r="CB421" i="40"/>
  <c r="BM421" i="40"/>
  <c r="CC421" i="40"/>
  <c r="BN421" i="40"/>
  <c r="HZ421" i="40"/>
  <c r="CS421" i="40"/>
  <c r="JP421" i="40"/>
  <c r="CV420" i="40"/>
  <c r="AM221" i="40"/>
  <c r="CK221" i="40"/>
  <c r="CV221" i="40"/>
  <c r="AN221" i="40"/>
  <c r="CP221" i="40"/>
  <c r="DB221" i="40"/>
  <c r="AP221" i="40"/>
  <c r="BM222" i="40"/>
  <c r="CC222" i="40"/>
  <c r="BJ222" i="40"/>
  <c r="BZ222" i="40"/>
  <c r="AX222" i="40"/>
  <c r="BO222" i="40"/>
  <c r="CE222" i="40"/>
  <c r="BD222" i="40"/>
  <c r="AZ222" i="40"/>
  <c r="IA222" i="40"/>
  <c r="BA222" i="40"/>
  <c r="BQ222" i="40"/>
  <c r="CG222" i="40"/>
  <c r="AW222" i="40"/>
  <c r="BN222" i="40"/>
  <c r="CD222" i="40"/>
  <c r="BC222" i="40"/>
  <c r="BS222" i="40"/>
  <c r="CJ222" i="40"/>
  <c r="BT222" i="40"/>
  <c r="BH222" i="40"/>
  <c r="BL222" i="40"/>
  <c r="BP222" i="40"/>
  <c r="IX222" i="40"/>
  <c r="IY222" i="40"/>
  <c r="BE222" i="40"/>
  <c r="BU222" i="40"/>
  <c r="DS222" i="40"/>
  <c r="BB222" i="40"/>
  <c r="BR222" i="40"/>
  <c r="CH222" i="40"/>
  <c r="BG222" i="40"/>
  <c r="BW222" i="40"/>
  <c r="DU222" i="40"/>
  <c r="DM222" i="40"/>
  <c r="BX222" i="40"/>
  <c r="CB222" i="40"/>
  <c r="CF222" i="40"/>
  <c r="HZ222" i="40"/>
  <c r="HY222" i="40"/>
  <c r="JP222" i="40"/>
  <c r="C223" i="40"/>
  <c r="BI222" i="40"/>
  <c r="BY222" i="40"/>
  <c r="DW222" i="40"/>
  <c r="BF222" i="40"/>
  <c r="BV222" i="40"/>
  <c r="DT222" i="40"/>
  <c r="BK222" i="40"/>
  <c r="CA222" i="40"/>
  <c r="A222" i="40"/>
  <c r="DV222" i="40"/>
  <c r="JO222" i="40"/>
  <c r="IZ222" i="40"/>
  <c r="CQ221" i="40"/>
  <c r="AO221" i="40"/>
  <c r="JJ119" i="40"/>
  <c r="JK119" i="40" s="1"/>
  <c r="JL119" i="40" s="1"/>
  <c r="AP121" i="40"/>
  <c r="JH120" i="40"/>
  <c r="IO121" i="40"/>
  <c r="JA121" i="40" s="1"/>
  <c r="D120" i="40"/>
  <c r="AY120" i="40" s="1"/>
  <c r="AP321" i="40"/>
  <c r="IC119" i="40"/>
  <c r="JM118" i="40"/>
  <c r="CV121" i="40"/>
  <c r="AK121" i="40"/>
  <c r="AL121" i="40"/>
  <c r="HN121" i="40"/>
  <c r="HQ121" i="40" s="1"/>
  <c r="IP121" i="40"/>
  <c r="JB121" i="40" s="1"/>
  <c r="E26" i="44" s="1"/>
  <c r="HT121" i="40"/>
  <c r="DB321" i="40"/>
  <c r="C323" i="40"/>
  <c r="A322" i="40"/>
  <c r="AZ322" i="40"/>
  <c r="BD322" i="40"/>
  <c r="BH322" i="40"/>
  <c r="BL322" i="40"/>
  <c r="BP322" i="40"/>
  <c r="BT322" i="40"/>
  <c r="BX322" i="40"/>
  <c r="CB322" i="40"/>
  <c r="CF322" i="40"/>
  <c r="DM322" i="40"/>
  <c r="DV322" i="40"/>
  <c r="BA322" i="40"/>
  <c r="BE322" i="40"/>
  <c r="BI322" i="40"/>
  <c r="BM322" i="40"/>
  <c r="BQ322" i="40"/>
  <c r="BU322" i="40"/>
  <c r="BY322" i="40"/>
  <c r="CC322" i="40"/>
  <c r="CG322" i="40"/>
  <c r="DS322" i="40"/>
  <c r="DW322" i="40"/>
  <c r="AW322" i="40"/>
  <c r="BB322" i="40"/>
  <c r="BF322" i="40"/>
  <c r="BJ322" i="40"/>
  <c r="BN322" i="40"/>
  <c r="BR322" i="40"/>
  <c r="BV322" i="40"/>
  <c r="BZ322" i="40"/>
  <c r="CD322" i="40"/>
  <c r="CH322" i="40"/>
  <c r="DT322" i="40"/>
  <c r="CL322" i="40"/>
  <c r="BK322" i="40"/>
  <c r="CA322" i="40"/>
  <c r="AX322" i="40"/>
  <c r="BO322" i="40"/>
  <c r="CE322" i="40"/>
  <c r="BC322" i="40"/>
  <c r="BS322" i="40"/>
  <c r="CJ322" i="40"/>
  <c r="BW322" i="40"/>
  <c r="DU322" i="40"/>
  <c r="BG322" i="40"/>
  <c r="JO322" i="40"/>
  <c r="IY322" i="40"/>
  <c r="HY322" i="40"/>
  <c r="IZ322" i="40"/>
  <c r="IA322" i="40"/>
  <c r="IX322" i="40"/>
  <c r="HZ322" i="40"/>
  <c r="JP322" i="40"/>
  <c r="HX120" i="40"/>
  <c r="M15" i="70"/>
  <c r="M31" i="70"/>
  <c r="KO117" i="40"/>
  <c r="H31" i="70"/>
  <c r="H15" i="70"/>
  <c r="BC15" i="70" s="1"/>
  <c r="DB121" i="40"/>
  <c r="HS121" i="40"/>
  <c r="AN321" i="40"/>
  <c r="CP321" i="40"/>
  <c r="CQ321" i="40"/>
  <c r="AO321" i="40"/>
  <c r="JI120" i="40"/>
  <c r="CP121" i="40"/>
  <c r="HV121" i="40" s="1"/>
  <c r="AN121" i="40"/>
  <c r="CK121" i="40"/>
  <c r="AM121" i="40"/>
  <c r="CV321" i="40"/>
  <c r="HW120" i="40"/>
  <c r="CQ121" i="40"/>
  <c r="AO121" i="40"/>
  <c r="HM121" i="40"/>
  <c r="HP121" i="40" s="1"/>
  <c r="IQ121" i="40"/>
  <c r="JC121" i="40" s="1"/>
  <c r="IK122" i="40"/>
  <c r="IN122" i="40" s="1"/>
  <c r="II122" i="40"/>
  <c r="IL122" i="40" s="1"/>
  <c r="IJ122" i="40"/>
  <c r="IM122" i="40" s="1"/>
  <c r="JF122" i="40"/>
  <c r="HO122" i="40" s="1"/>
  <c r="C123" i="40"/>
  <c r="CO122" i="40"/>
  <c r="AW122" i="40"/>
  <c r="BB122" i="40"/>
  <c r="BF122" i="40"/>
  <c r="BJ122" i="40"/>
  <c r="A122" i="40"/>
  <c r="CM122" i="40"/>
  <c r="AX122" i="40"/>
  <c r="BC122" i="40"/>
  <c r="BG122" i="40"/>
  <c r="BK122" i="40"/>
  <c r="BO122" i="40"/>
  <c r="BS122" i="40"/>
  <c r="BW122" i="40"/>
  <c r="CA122" i="40"/>
  <c r="CE122" i="40"/>
  <c r="CJ122" i="40"/>
  <c r="DU122" i="40"/>
  <c r="AZ122" i="40"/>
  <c r="BD122" i="40"/>
  <c r="BH122" i="40"/>
  <c r="BL122" i="40"/>
  <c r="BP122" i="40"/>
  <c r="BT122" i="40"/>
  <c r="BX122" i="40"/>
  <c r="CB122" i="40"/>
  <c r="CF122" i="40"/>
  <c r="DM122" i="40"/>
  <c r="DV122" i="40"/>
  <c r="BE122" i="40"/>
  <c r="BQ122" i="40"/>
  <c r="BY122" i="40"/>
  <c r="CG122" i="40"/>
  <c r="DW122" i="40"/>
  <c r="BI122" i="40"/>
  <c r="BR122" i="40"/>
  <c r="BZ122" i="40"/>
  <c r="CH122" i="40"/>
  <c r="BM122" i="40"/>
  <c r="BU122" i="40"/>
  <c r="CC122" i="40"/>
  <c r="DS122" i="40"/>
  <c r="CD122" i="40"/>
  <c r="BA122" i="40"/>
  <c r="DT122" i="40"/>
  <c r="BN122" i="40"/>
  <c r="BV122" i="40"/>
  <c r="JO122" i="40"/>
  <c r="IZ122" i="40"/>
  <c r="IA122" i="40"/>
  <c r="HY122" i="40"/>
  <c r="HZ122" i="40"/>
  <c r="IX122" i="40"/>
  <c r="CR122" i="40"/>
  <c r="IY122" i="40"/>
  <c r="JP122" i="40"/>
  <c r="JG122" i="40"/>
  <c r="HU121" i="40"/>
  <c r="CK321" i="40"/>
  <c r="AM321" i="40"/>
  <c r="CI122" i="40" l="1"/>
  <c r="CI206" i="40"/>
  <c r="CI505" i="40"/>
  <c r="CI406" i="40"/>
  <c r="CI605" i="40"/>
  <c r="HZ621" i="40"/>
  <c r="IY621" i="40" s="1"/>
  <c r="IA621" i="40"/>
  <c r="IZ621" i="40" s="1"/>
  <c r="DB521" i="40"/>
  <c r="DB421" i="40"/>
  <c r="CV521" i="40"/>
  <c r="AP622" i="40"/>
  <c r="HY621" i="40"/>
  <c r="IX621" i="40" s="1"/>
  <c r="DB622" i="40"/>
  <c r="CV622" i="40"/>
  <c r="AG123" i="40"/>
  <c r="AC123" i="40"/>
  <c r="Y123" i="40"/>
  <c r="U123" i="40"/>
  <c r="CS123" i="40" s="1"/>
  <c r="Q123" i="40"/>
  <c r="M123" i="40"/>
  <c r="CM123" i="40" s="1"/>
  <c r="I123" i="40"/>
  <c r="E123" i="40"/>
  <c r="AI123" i="40"/>
  <c r="AE123" i="40"/>
  <c r="AA123" i="40"/>
  <c r="W123" i="40"/>
  <c r="CU123" i="40" s="1"/>
  <c r="S123" i="40"/>
  <c r="O123" i="40"/>
  <c r="CO123" i="40" s="1"/>
  <c r="K123" i="40"/>
  <c r="G123" i="40"/>
  <c r="AF123" i="40"/>
  <c r="X123" i="40"/>
  <c r="P123" i="40"/>
  <c r="H123" i="40"/>
  <c r="F123" i="40"/>
  <c r="R123" i="40"/>
  <c r="AD123" i="40"/>
  <c r="V123" i="40"/>
  <c r="CT123" i="40" s="1"/>
  <c r="N123" i="40"/>
  <c r="CN123" i="40" s="1"/>
  <c r="Z123" i="40"/>
  <c r="AJ123" i="40"/>
  <c r="AB123" i="40"/>
  <c r="T123" i="40"/>
  <c r="CR123" i="40" s="1"/>
  <c r="L123" i="40"/>
  <c r="CL123" i="40" s="1"/>
  <c r="AH123" i="40"/>
  <c r="J123" i="40"/>
  <c r="CQ622" i="40"/>
  <c r="AO622" i="40"/>
  <c r="CK521" i="40"/>
  <c r="AM521" i="40"/>
  <c r="AP521" i="40"/>
  <c r="CP622" i="40"/>
  <c r="AN622" i="40"/>
  <c r="I623" i="40"/>
  <c r="AJ623" i="40"/>
  <c r="AC623" i="40"/>
  <c r="CJ623" i="40"/>
  <c r="CF623" i="40"/>
  <c r="BP623" i="40"/>
  <c r="AZ623" i="40"/>
  <c r="C624" i="40"/>
  <c r="CA623" i="40"/>
  <c r="BK623" i="40"/>
  <c r="K623" i="40"/>
  <c r="CH623" i="40"/>
  <c r="BR623" i="40"/>
  <c r="BB623" i="40"/>
  <c r="DU623" i="40"/>
  <c r="BQ623" i="40"/>
  <c r="BY623" i="40"/>
  <c r="M623" i="40"/>
  <c r="CM623" i="40" s="1"/>
  <c r="JO623" i="40"/>
  <c r="AE623" i="40"/>
  <c r="CB623" i="40"/>
  <c r="BL623" i="40"/>
  <c r="AB623" i="40"/>
  <c r="DW623" i="40"/>
  <c r="BW623" i="40"/>
  <c r="BG623" i="40"/>
  <c r="G623" i="40"/>
  <c r="CD623" i="40"/>
  <c r="BN623" i="40"/>
  <c r="AX623" i="40"/>
  <c r="BU623" i="40"/>
  <c r="BA623" i="40"/>
  <c r="CC623" i="40"/>
  <c r="BI623" i="40"/>
  <c r="JP623" i="40"/>
  <c r="AF623" i="40"/>
  <c r="BX623" i="40"/>
  <c r="BH623" i="40"/>
  <c r="P623" i="40"/>
  <c r="DS623" i="40"/>
  <c r="BS623" i="40"/>
  <c r="BC623" i="40"/>
  <c r="DV623" i="40"/>
  <c r="BZ623" i="40"/>
  <c r="BJ623" i="40"/>
  <c r="N623" i="40"/>
  <c r="CN623" i="40" s="1"/>
  <c r="BE623" i="40"/>
  <c r="AG623" i="40"/>
  <c r="BM623" i="40"/>
  <c r="W623" i="40"/>
  <c r="CU623" i="40" s="1"/>
  <c r="H623" i="40"/>
  <c r="DT623" i="40"/>
  <c r="CE623" i="40"/>
  <c r="BV623" i="40"/>
  <c r="A623" i="40"/>
  <c r="AI623" i="40"/>
  <c r="F623" i="40"/>
  <c r="BT623" i="40"/>
  <c r="BO623" i="40"/>
  <c r="BF623" i="40"/>
  <c r="AW623" i="40"/>
  <c r="R623" i="40"/>
  <c r="L623" i="40"/>
  <c r="CL623" i="40" s="1"/>
  <c r="KN623" i="40"/>
  <c r="BD623" i="40"/>
  <c r="O623" i="40"/>
  <c r="CO623" i="40" s="1"/>
  <c r="J623" i="40"/>
  <c r="DM623" i="40"/>
  <c r="CG623" i="40"/>
  <c r="Z623" i="40"/>
  <c r="T623" i="40"/>
  <c r="CR623" i="40" s="1"/>
  <c r="AH623" i="40"/>
  <c r="X623" i="40"/>
  <c r="S623" i="40"/>
  <c r="V623" i="40"/>
  <c r="CT623" i="40" s="1"/>
  <c r="U623" i="40"/>
  <c r="CS623" i="40" s="1"/>
  <c r="Q623" i="40"/>
  <c r="AA623" i="40"/>
  <c r="AD623" i="40"/>
  <c r="E623" i="40"/>
  <c r="Y623" i="40"/>
  <c r="AH323" i="40"/>
  <c r="AD323" i="40"/>
  <c r="Z323" i="40"/>
  <c r="V323" i="40"/>
  <c r="CT323" i="40" s="1"/>
  <c r="R323" i="40"/>
  <c r="N323" i="40"/>
  <c r="CN323" i="40" s="1"/>
  <c r="J323" i="40"/>
  <c r="F323" i="40"/>
  <c r="AG323" i="40"/>
  <c r="AC323" i="40"/>
  <c r="Y323" i="40"/>
  <c r="U323" i="40"/>
  <c r="CS323" i="40" s="1"/>
  <c r="Q323" i="40"/>
  <c r="M323" i="40"/>
  <c r="CM323" i="40" s="1"/>
  <c r="I323" i="40"/>
  <c r="E323" i="40"/>
  <c r="AJ323" i="40"/>
  <c r="AF323" i="40"/>
  <c r="AB323" i="40"/>
  <c r="X323" i="40"/>
  <c r="T323" i="40"/>
  <c r="CR323" i="40" s="1"/>
  <c r="P323" i="40"/>
  <c r="L323" i="40"/>
  <c r="H323" i="40"/>
  <c r="AA323" i="40"/>
  <c r="K323" i="40"/>
  <c r="W323" i="40"/>
  <c r="G323" i="40"/>
  <c r="AI323" i="40"/>
  <c r="S323" i="40"/>
  <c r="AE323" i="40"/>
  <c r="O323" i="40"/>
  <c r="CO323" i="40" s="1"/>
  <c r="AG223" i="40"/>
  <c r="AC223" i="40"/>
  <c r="Y223" i="40"/>
  <c r="U223" i="40"/>
  <c r="CS223" i="40" s="1"/>
  <c r="Q223" i="40"/>
  <c r="M223" i="40"/>
  <c r="CM223" i="40" s="1"/>
  <c r="I223" i="40"/>
  <c r="E223" i="40"/>
  <c r="AJ223" i="40"/>
  <c r="AF223" i="40"/>
  <c r="AB223" i="40"/>
  <c r="X223" i="40"/>
  <c r="T223" i="40"/>
  <c r="CR223" i="40" s="1"/>
  <c r="P223" i="40"/>
  <c r="L223" i="40"/>
  <c r="CL223" i="40" s="1"/>
  <c r="H223" i="40"/>
  <c r="AI223" i="40"/>
  <c r="AE223" i="40"/>
  <c r="AA223" i="40"/>
  <c r="CI307" i="40" s="1"/>
  <c r="W223" i="40"/>
  <c r="CU223" i="40" s="1"/>
  <c r="S223" i="40"/>
  <c r="O223" i="40"/>
  <c r="CO223" i="40" s="1"/>
  <c r="K223" i="40"/>
  <c r="G223" i="40"/>
  <c r="AH223" i="40"/>
  <c r="R223" i="40"/>
  <c r="AD223" i="40"/>
  <c r="N223" i="40"/>
  <c r="CN223" i="40" s="1"/>
  <c r="Z223" i="40"/>
  <c r="DB223" i="40" s="1"/>
  <c r="J223" i="40"/>
  <c r="V223" i="40"/>
  <c r="CT223" i="40" s="1"/>
  <c r="F223" i="40"/>
  <c r="AI422" i="40"/>
  <c r="AE422" i="40"/>
  <c r="AA422" i="40"/>
  <c r="W422" i="40"/>
  <c r="CU422" i="40" s="1"/>
  <c r="S422" i="40"/>
  <c r="O422" i="40"/>
  <c r="CO422" i="40" s="1"/>
  <c r="K422" i="40"/>
  <c r="G422" i="40"/>
  <c r="AH422" i="40"/>
  <c r="AD422" i="40"/>
  <c r="Z422" i="40"/>
  <c r="V422" i="40"/>
  <c r="CT422" i="40" s="1"/>
  <c r="R422" i="40"/>
  <c r="N422" i="40"/>
  <c r="CN422" i="40" s="1"/>
  <c r="J422" i="40"/>
  <c r="F422" i="40"/>
  <c r="AG422" i="40"/>
  <c r="AC422" i="40"/>
  <c r="Y422" i="40"/>
  <c r="U422" i="40"/>
  <c r="CS422" i="40" s="1"/>
  <c r="Q422" i="40"/>
  <c r="M422" i="40"/>
  <c r="CM422" i="40" s="1"/>
  <c r="I422" i="40"/>
  <c r="E422" i="40"/>
  <c r="AJ422" i="40"/>
  <c r="T422" i="40"/>
  <c r="CR422" i="40" s="1"/>
  <c r="AF422" i="40"/>
  <c r="P422" i="40"/>
  <c r="AB422" i="40"/>
  <c r="L422" i="40"/>
  <c r="CL422" i="40" s="1"/>
  <c r="H422" i="40"/>
  <c r="X422" i="40"/>
  <c r="AJ522" i="40"/>
  <c r="AF522" i="40"/>
  <c r="AB522" i="40"/>
  <c r="X522" i="40"/>
  <c r="T522" i="40"/>
  <c r="CR522" i="40" s="1"/>
  <c r="P522" i="40"/>
  <c r="L522" i="40"/>
  <c r="CL522" i="40" s="1"/>
  <c r="H522" i="40"/>
  <c r="AH522" i="40"/>
  <c r="AD522" i="40"/>
  <c r="Z522" i="40"/>
  <c r="V522" i="40"/>
  <c r="CT522" i="40" s="1"/>
  <c r="R522" i="40"/>
  <c r="N522" i="40"/>
  <c r="CN522" i="40" s="1"/>
  <c r="J522" i="40"/>
  <c r="F522" i="40"/>
  <c r="AI522" i="40"/>
  <c r="AA522" i="40"/>
  <c r="S522" i="40"/>
  <c r="K522" i="40"/>
  <c r="AG522" i="40"/>
  <c r="Y522" i="40"/>
  <c r="Q522" i="40"/>
  <c r="I522" i="40"/>
  <c r="AE522" i="40"/>
  <c r="W522" i="40"/>
  <c r="CU522" i="40" s="1"/>
  <c r="O522" i="40"/>
  <c r="CO522" i="40" s="1"/>
  <c r="G522" i="40"/>
  <c r="U522" i="40"/>
  <c r="CS522" i="40" s="1"/>
  <c r="M522" i="40"/>
  <c r="CM522" i="40" s="1"/>
  <c r="E522" i="40"/>
  <c r="AC522" i="40"/>
  <c r="AW522" i="40"/>
  <c r="BN522" i="40"/>
  <c r="CD522" i="40"/>
  <c r="BK522" i="40"/>
  <c r="CA522" i="40"/>
  <c r="BL522" i="40"/>
  <c r="CB522" i="40"/>
  <c r="BE522" i="40"/>
  <c r="BA522" i="40"/>
  <c r="DW522" i="40"/>
  <c r="HY522" i="40"/>
  <c r="IX522" i="40"/>
  <c r="C523" i="40"/>
  <c r="BB522" i="40"/>
  <c r="BR522" i="40"/>
  <c r="CH522" i="40"/>
  <c r="AX522" i="40"/>
  <c r="BO522" i="40"/>
  <c r="CE522" i="40"/>
  <c r="AZ522" i="40"/>
  <c r="BP522" i="40"/>
  <c r="CF522" i="40"/>
  <c r="BU522" i="40"/>
  <c r="CG522" i="40"/>
  <c r="BQ522" i="40"/>
  <c r="HZ522" i="40"/>
  <c r="BF522" i="40"/>
  <c r="BV522" i="40"/>
  <c r="DT522" i="40"/>
  <c r="BC522" i="40"/>
  <c r="BS522" i="40"/>
  <c r="CJ522" i="40"/>
  <c r="BD522" i="40"/>
  <c r="BT522" i="40"/>
  <c r="DM522" i="40"/>
  <c r="DS522" i="40"/>
  <c r="BI522" i="40"/>
  <c r="BM522" i="40"/>
  <c r="IA522" i="40"/>
  <c r="IZ522" i="40"/>
  <c r="JP522" i="40"/>
  <c r="BJ522" i="40"/>
  <c r="BZ522" i="40"/>
  <c r="A522" i="40"/>
  <c r="BG522" i="40"/>
  <c r="BW522" i="40"/>
  <c r="DU522" i="40"/>
  <c r="BH522" i="40"/>
  <c r="BX522" i="40"/>
  <c r="DV522" i="40"/>
  <c r="JO522" i="40"/>
  <c r="BY522" i="40"/>
  <c r="CC522" i="40"/>
  <c r="IY522" i="40"/>
  <c r="AN521" i="40"/>
  <c r="CP521" i="40"/>
  <c r="AO521" i="40"/>
  <c r="CQ521" i="40"/>
  <c r="CK622" i="40"/>
  <c r="AM622" i="40"/>
  <c r="JJ120" i="40"/>
  <c r="JK120" i="40" s="1"/>
  <c r="JL120" i="40" s="1"/>
  <c r="D121" i="40"/>
  <c r="AY121" i="40" s="1"/>
  <c r="AO421" i="40"/>
  <c r="CQ421" i="40"/>
  <c r="CK421" i="40"/>
  <c r="AM421" i="40"/>
  <c r="AP421" i="40"/>
  <c r="DB222" i="40"/>
  <c r="CV421" i="40"/>
  <c r="BE422" i="40"/>
  <c r="BU422" i="40"/>
  <c r="DS422" i="40"/>
  <c r="BB422" i="40"/>
  <c r="BR422" i="40"/>
  <c r="CH422" i="40"/>
  <c r="BG422" i="40"/>
  <c r="BW422" i="40"/>
  <c r="DU422" i="40"/>
  <c r="CF422" i="40"/>
  <c r="DM422" i="40"/>
  <c r="BX422" i="40"/>
  <c r="CB422" i="40"/>
  <c r="IA422" i="40"/>
  <c r="BA422" i="40"/>
  <c r="BN422" i="40"/>
  <c r="BS422" i="40"/>
  <c r="BP422" i="40"/>
  <c r="JO422" i="40"/>
  <c r="C423" i="40"/>
  <c r="BI422" i="40"/>
  <c r="BY422" i="40"/>
  <c r="DW422" i="40"/>
  <c r="BF422" i="40"/>
  <c r="BV422" i="40"/>
  <c r="DT422" i="40"/>
  <c r="BK422" i="40"/>
  <c r="CA422" i="40"/>
  <c r="A422" i="40"/>
  <c r="DV422" i="40"/>
  <c r="HZ422" i="40"/>
  <c r="JP422" i="40"/>
  <c r="BM422" i="40"/>
  <c r="CC422" i="40"/>
  <c r="BJ422" i="40"/>
  <c r="BZ422" i="40"/>
  <c r="AX422" i="40"/>
  <c r="BO422" i="40"/>
  <c r="CE422" i="40"/>
  <c r="AZ422" i="40"/>
  <c r="BD422" i="40"/>
  <c r="BL422" i="40"/>
  <c r="IZ422" i="40"/>
  <c r="IX422" i="40"/>
  <c r="BQ422" i="40"/>
  <c r="AW422" i="40"/>
  <c r="CD422" i="40"/>
  <c r="BC422" i="40"/>
  <c r="CJ422" i="40"/>
  <c r="BH422" i="40"/>
  <c r="HY422" i="40"/>
  <c r="IY422" i="40"/>
  <c r="CG422" i="40"/>
  <c r="BT422" i="40"/>
  <c r="CP421" i="40"/>
  <c r="AN421" i="40"/>
  <c r="AP222" i="40"/>
  <c r="CP222" i="40"/>
  <c r="AN222" i="40"/>
  <c r="CV222" i="40"/>
  <c r="AX223" i="40"/>
  <c r="BO223" i="40"/>
  <c r="CE223" i="40"/>
  <c r="AZ223" i="40"/>
  <c r="BP223" i="40"/>
  <c r="CF223" i="40"/>
  <c r="BA223" i="40"/>
  <c r="BQ223" i="40"/>
  <c r="CG223" i="40"/>
  <c r="BB223" i="40"/>
  <c r="BF223" i="40"/>
  <c r="AW223" i="40"/>
  <c r="IA223" i="40"/>
  <c r="BC223" i="40"/>
  <c r="BS223" i="40"/>
  <c r="CJ223" i="40"/>
  <c r="BD223" i="40"/>
  <c r="BT223" i="40"/>
  <c r="DM223" i="40"/>
  <c r="BE223" i="40"/>
  <c r="BU223" i="40"/>
  <c r="DS223" i="40"/>
  <c r="BR223" i="40"/>
  <c r="BV223" i="40"/>
  <c r="BJ223" i="40"/>
  <c r="BN223" i="40"/>
  <c r="HZ223" i="40"/>
  <c r="BG223" i="40"/>
  <c r="BW223" i="40"/>
  <c r="DU223" i="40"/>
  <c r="BH223" i="40"/>
  <c r="BX223" i="40"/>
  <c r="DV223" i="40"/>
  <c r="BI223" i="40"/>
  <c r="BY223" i="40"/>
  <c r="DW223" i="40"/>
  <c r="CH223" i="40"/>
  <c r="DT223" i="40"/>
  <c r="BZ223" i="40"/>
  <c r="CD223" i="40"/>
  <c r="IX223" i="40"/>
  <c r="HY223" i="40"/>
  <c r="IY223" i="40"/>
  <c r="C224" i="40"/>
  <c r="BK223" i="40"/>
  <c r="CA223" i="40"/>
  <c r="A223" i="40"/>
  <c r="BL223" i="40"/>
  <c r="CB223" i="40"/>
  <c r="BM223" i="40"/>
  <c r="CC223" i="40"/>
  <c r="JO223" i="40"/>
  <c r="IZ223" i="40"/>
  <c r="JP223" i="40"/>
  <c r="CQ222" i="40"/>
  <c r="AO222" i="40"/>
  <c r="AM222" i="40"/>
  <c r="CK222" i="40"/>
  <c r="IO122" i="40"/>
  <c r="JA122" i="40" s="1"/>
  <c r="HM122" i="40"/>
  <c r="HP122" i="40" s="1"/>
  <c r="HN122" i="40"/>
  <c r="HQ122" i="40" s="1"/>
  <c r="AP122" i="40"/>
  <c r="CQ122" i="40"/>
  <c r="AO122" i="40"/>
  <c r="HT122" i="40"/>
  <c r="JH121" i="40"/>
  <c r="JI121" i="40"/>
  <c r="CK322" i="40"/>
  <c r="AM322" i="40"/>
  <c r="H32" i="70"/>
  <c r="H16" i="70"/>
  <c r="BC16" i="70" s="1"/>
  <c r="KO118" i="40"/>
  <c r="M32" i="70"/>
  <c r="M16" i="70"/>
  <c r="CP122" i="40"/>
  <c r="HW122" i="40" s="1"/>
  <c r="AN122" i="40"/>
  <c r="IQ122" i="40"/>
  <c r="JC122" i="40" s="1"/>
  <c r="HS122" i="40"/>
  <c r="JM119" i="40"/>
  <c r="HX121" i="40"/>
  <c r="DB322" i="40"/>
  <c r="CP322" i="40"/>
  <c r="AN322" i="40"/>
  <c r="C324" i="40"/>
  <c r="AW323" i="40"/>
  <c r="BB323" i="40"/>
  <c r="BF323" i="40"/>
  <c r="BJ323" i="40"/>
  <c r="BN323" i="40"/>
  <c r="BR323" i="40"/>
  <c r="BV323" i="40"/>
  <c r="BZ323" i="40"/>
  <c r="CD323" i="40"/>
  <c r="CH323" i="40"/>
  <c r="DT323" i="40"/>
  <c r="CL323" i="40"/>
  <c r="AX323" i="40"/>
  <c r="BC323" i="40"/>
  <c r="BG323" i="40"/>
  <c r="BK323" i="40"/>
  <c r="BO323" i="40"/>
  <c r="BS323" i="40"/>
  <c r="BW323" i="40"/>
  <c r="CA323" i="40"/>
  <c r="CE323" i="40"/>
  <c r="CJ323" i="40"/>
  <c r="DU323" i="40"/>
  <c r="A323" i="40"/>
  <c r="AZ323" i="40"/>
  <c r="BD323" i="40"/>
  <c r="BH323" i="40"/>
  <c r="BL323" i="40"/>
  <c r="BP323" i="40"/>
  <c r="BT323" i="40"/>
  <c r="BX323" i="40"/>
  <c r="CB323" i="40"/>
  <c r="CF323" i="40"/>
  <c r="DM323" i="40"/>
  <c r="DV323" i="40"/>
  <c r="BI323" i="40"/>
  <c r="BY323" i="40"/>
  <c r="DW323" i="40"/>
  <c r="BM323" i="40"/>
  <c r="CC323" i="40"/>
  <c r="BA323" i="40"/>
  <c r="BQ323" i="40"/>
  <c r="CG323" i="40"/>
  <c r="BU323" i="40"/>
  <c r="DS323" i="40"/>
  <c r="BE323" i="40"/>
  <c r="JO323" i="40"/>
  <c r="IY323" i="40"/>
  <c r="IX323" i="40"/>
  <c r="IZ323" i="40"/>
  <c r="HY323" i="40"/>
  <c r="IA323" i="40"/>
  <c r="HZ323" i="40"/>
  <c r="CU323" i="40"/>
  <c r="JP323" i="40"/>
  <c r="CK122" i="40"/>
  <c r="AM122" i="40"/>
  <c r="IK123" i="40"/>
  <c r="IN123" i="40" s="1"/>
  <c r="JF123" i="40"/>
  <c r="HO123" i="40" s="1"/>
  <c r="HR123" i="40" s="1"/>
  <c r="IJ123" i="40"/>
  <c r="IM123" i="40" s="1"/>
  <c r="II123" i="40"/>
  <c r="IL123" i="40" s="1"/>
  <c r="C124" i="40"/>
  <c r="AZ123" i="40"/>
  <c r="BD123" i="40"/>
  <c r="BH123" i="40"/>
  <c r="BL123" i="40"/>
  <c r="BP123" i="40"/>
  <c r="BT123" i="40"/>
  <c r="BX123" i="40"/>
  <c r="CB123" i="40"/>
  <c r="CF123" i="40"/>
  <c r="DM123" i="40"/>
  <c r="DV123" i="40"/>
  <c r="BA123" i="40"/>
  <c r="BE123" i="40"/>
  <c r="BI123" i="40"/>
  <c r="BM123" i="40"/>
  <c r="BQ123" i="40"/>
  <c r="BU123" i="40"/>
  <c r="BY123" i="40"/>
  <c r="CC123" i="40"/>
  <c r="CG123" i="40"/>
  <c r="DS123" i="40"/>
  <c r="DW123" i="40"/>
  <c r="AW123" i="40"/>
  <c r="BF123" i="40"/>
  <c r="BN123" i="40"/>
  <c r="BV123" i="40"/>
  <c r="CD123" i="40"/>
  <c r="DT123" i="40"/>
  <c r="A123" i="40"/>
  <c r="AX123" i="40"/>
  <c r="BG123" i="40"/>
  <c r="BO123" i="40"/>
  <c r="BW123" i="40"/>
  <c r="CE123" i="40"/>
  <c r="DU123" i="40"/>
  <c r="BB123" i="40"/>
  <c r="BJ123" i="40"/>
  <c r="BR123" i="40"/>
  <c r="BZ123" i="40"/>
  <c r="CH123" i="40"/>
  <c r="CA123" i="40"/>
  <c r="BC123" i="40"/>
  <c r="CJ123" i="40"/>
  <c r="BK123" i="40"/>
  <c r="BS123" i="40"/>
  <c r="JO123" i="40"/>
  <c r="HY123" i="40"/>
  <c r="IZ123" i="40"/>
  <c r="HZ123" i="40"/>
  <c r="IA123" i="40"/>
  <c r="IX123" i="40"/>
  <c r="IY123" i="40"/>
  <c r="JP123" i="40"/>
  <c r="JG123" i="40"/>
  <c r="HU122" i="40"/>
  <c r="IC120" i="40"/>
  <c r="HW121" i="40"/>
  <c r="IC121" i="40" s="1"/>
  <c r="CV322" i="40"/>
  <c r="CQ322" i="40"/>
  <c r="AO322" i="40"/>
  <c r="AP322" i="40"/>
  <c r="CV122" i="40"/>
  <c r="AL122" i="40"/>
  <c r="AK122" i="40"/>
  <c r="DB122" i="40"/>
  <c r="IP122" i="40"/>
  <c r="JB122" i="40" s="1"/>
  <c r="E27" i="44" s="1"/>
  <c r="HR122" i="40"/>
  <c r="CI606" i="40" l="1"/>
  <c r="HY622" i="40"/>
  <c r="CI407" i="40"/>
  <c r="CI123" i="40"/>
  <c r="CI506" i="40"/>
  <c r="CI207" i="40"/>
  <c r="IA622" i="40"/>
  <c r="DB623" i="40"/>
  <c r="HZ622" i="40"/>
  <c r="IY622" i="40" s="1"/>
  <c r="CV422" i="40"/>
  <c r="AP223" i="40"/>
  <c r="CV623" i="40"/>
  <c r="AH324" i="40"/>
  <c r="AD324" i="40"/>
  <c r="Z324" i="40"/>
  <c r="V324" i="40"/>
  <c r="CT324" i="40" s="1"/>
  <c r="R324" i="40"/>
  <c r="N324" i="40"/>
  <c r="CN324" i="40" s="1"/>
  <c r="J324" i="40"/>
  <c r="F324" i="40"/>
  <c r="AG324" i="40"/>
  <c r="AC324" i="40"/>
  <c r="Y324" i="40"/>
  <c r="U324" i="40"/>
  <c r="CS324" i="40" s="1"/>
  <c r="Q324" i="40"/>
  <c r="M324" i="40"/>
  <c r="CM324" i="40" s="1"/>
  <c r="I324" i="40"/>
  <c r="E324" i="40"/>
  <c r="AJ324" i="40"/>
  <c r="AF324" i="40"/>
  <c r="AB324" i="40"/>
  <c r="X324" i="40"/>
  <c r="T324" i="40"/>
  <c r="CR324" i="40" s="1"/>
  <c r="P324" i="40"/>
  <c r="L324" i="40"/>
  <c r="H324" i="40"/>
  <c r="AA324" i="40"/>
  <c r="K324" i="40"/>
  <c r="W324" i="40"/>
  <c r="G324" i="40"/>
  <c r="AI324" i="40"/>
  <c r="S324" i="40"/>
  <c r="AE324" i="40"/>
  <c r="O324" i="40"/>
  <c r="CO324" i="40" s="1"/>
  <c r="CK522" i="40"/>
  <c r="AM522" i="40"/>
  <c r="AP522" i="40"/>
  <c r="AN623" i="40"/>
  <c r="CP623" i="40"/>
  <c r="AP623" i="40"/>
  <c r="CP522" i="40"/>
  <c r="AN522" i="40"/>
  <c r="AO522" i="40"/>
  <c r="CQ522" i="40"/>
  <c r="DB522" i="40"/>
  <c r="AF624" i="40"/>
  <c r="CF624" i="40"/>
  <c r="BP624" i="40"/>
  <c r="AZ624" i="40"/>
  <c r="C625" i="40"/>
  <c r="CA624" i="40"/>
  <c r="BK624" i="40"/>
  <c r="K624" i="40"/>
  <c r="CH624" i="40"/>
  <c r="BR624" i="40"/>
  <c r="BB624" i="40"/>
  <c r="J624" i="40"/>
  <c r="BU624" i="40"/>
  <c r="CG624" i="40"/>
  <c r="A624" i="40"/>
  <c r="JO624" i="40"/>
  <c r="H624" i="40"/>
  <c r="AI624" i="40"/>
  <c r="F624" i="40"/>
  <c r="CB624" i="40"/>
  <c r="BL624" i="40"/>
  <c r="AB624" i="40"/>
  <c r="DW624" i="40"/>
  <c r="BW624" i="40"/>
  <c r="BG624" i="40"/>
  <c r="G624" i="40"/>
  <c r="CD624" i="40"/>
  <c r="BN624" i="40"/>
  <c r="AX624" i="40"/>
  <c r="BY624" i="40"/>
  <c r="BE624" i="40"/>
  <c r="BQ624" i="40"/>
  <c r="BM624" i="40"/>
  <c r="JP624" i="40"/>
  <c r="I624" i="40"/>
  <c r="AJ624" i="40"/>
  <c r="AC624" i="40"/>
  <c r="BX624" i="40"/>
  <c r="BH624" i="40"/>
  <c r="P624" i="40"/>
  <c r="DS624" i="40"/>
  <c r="BS624" i="40"/>
  <c r="BC624" i="40"/>
  <c r="DV624" i="40"/>
  <c r="BZ624" i="40"/>
  <c r="BJ624" i="40"/>
  <c r="AH624" i="40"/>
  <c r="BI624" i="40"/>
  <c r="CC624" i="40"/>
  <c r="BA624" i="40"/>
  <c r="M624" i="40"/>
  <c r="CM624" i="40" s="1"/>
  <c r="KN624" i="40"/>
  <c r="L624" i="40"/>
  <c r="CL624" i="40" s="1"/>
  <c r="DM624" i="40"/>
  <c r="DU624" i="40"/>
  <c r="CJ624" i="40"/>
  <c r="DT624" i="40"/>
  <c r="CE624" i="40"/>
  <c r="BV624" i="40"/>
  <c r="AW624" i="40"/>
  <c r="W624" i="40"/>
  <c r="CU624" i="40" s="1"/>
  <c r="AE624" i="40"/>
  <c r="O624" i="40"/>
  <c r="CO624" i="40" s="1"/>
  <c r="BT624" i="40"/>
  <c r="BO624" i="40"/>
  <c r="BF624" i="40"/>
  <c r="AG624" i="40"/>
  <c r="BD624" i="40"/>
  <c r="N624" i="40"/>
  <c r="CN624" i="40" s="1"/>
  <c r="Z624" i="40"/>
  <c r="T624" i="40"/>
  <c r="CR624" i="40" s="1"/>
  <c r="R624" i="40"/>
  <c r="U624" i="40"/>
  <c r="CS624" i="40" s="1"/>
  <c r="S624" i="40"/>
  <c r="V624" i="40"/>
  <c r="CT624" i="40" s="1"/>
  <c r="X624" i="40"/>
  <c r="Q624" i="40"/>
  <c r="AD624" i="40"/>
  <c r="AA624" i="40"/>
  <c r="E624" i="40"/>
  <c r="Y624" i="40"/>
  <c r="AG224" i="40"/>
  <c r="AC224" i="40"/>
  <c r="Y224" i="40"/>
  <c r="U224" i="40"/>
  <c r="CS224" i="40" s="1"/>
  <c r="Q224" i="40"/>
  <c r="M224" i="40"/>
  <c r="CM224" i="40" s="1"/>
  <c r="I224" i="40"/>
  <c r="E224" i="40"/>
  <c r="AJ224" i="40"/>
  <c r="AF224" i="40"/>
  <c r="AB224" i="40"/>
  <c r="X224" i="40"/>
  <c r="T224" i="40"/>
  <c r="CR224" i="40" s="1"/>
  <c r="P224" i="40"/>
  <c r="L224" i="40"/>
  <c r="CL224" i="40" s="1"/>
  <c r="H224" i="40"/>
  <c r="AI224" i="40"/>
  <c r="AE224" i="40"/>
  <c r="AA224" i="40"/>
  <c r="CI308" i="40" s="1"/>
  <c r="W224" i="40"/>
  <c r="CU224" i="40" s="1"/>
  <c r="S224" i="40"/>
  <c r="O224" i="40"/>
  <c r="CO224" i="40" s="1"/>
  <c r="K224" i="40"/>
  <c r="G224" i="40"/>
  <c r="AH224" i="40"/>
  <c r="R224" i="40"/>
  <c r="AD224" i="40"/>
  <c r="N224" i="40"/>
  <c r="CN224" i="40" s="1"/>
  <c r="Z224" i="40"/>
  <c r="J224" i="40"/>
  <c r="V224" i="40"/>
  <c r="CT224" i="40" s="1"/>
  <c r="F224" i="40"/>
  <c r="CV522" i="40"/>
  <c r="CK623" i="40"/>
  <c r="AM623" i="40"/>
  <c r="AG124" i="40"/>
  <c r="AC124" i="40"/>
  <c r="Y124" i="40"/>
  <c r="U124" i="40"/>
  <c r="CS124" i="40" s="1"/>
  <c r="Q124" i="40"/>
  <c r="M124" i="40"/>
  <c r="CM124" i="40" s="1"/>
  <c r="I124" i="40"/>
  <c r="E124" i="40"/>
  <c r="AI124" i="40"/>
  <c r="AE124" i="40"/>
  <c r="AA124" i="40"/>
  <c r="W124" i="40"/>
  <c r="CU124" i="40" s="1"/>
  <c r="S124" i="40"/>
  <c r="O124" i="40"/>
  <c r="CO124" i="40" s="1"/>
  <c r="K124" i="40"/>
  <c r="G124" i="40"/>
  <c r="AF124" i="40"/>
  <c r="X124" i="40"/>
  <c r="P124" i="40"/>
  <c r="H124" i="40"/>
  <c r="AH124" i="40"/>
  <c r="J124" i="40"/>
  <c r="AD124" i="40"/>
  <c r="V124" i="40"/>
  <c r="CT124" i="40" s="1"/>
  <c r="N124" i="40"/>
  <c r="CN124" i="40" s="1"/>
  <c r="F124" i="40"/>
  <c r="R124" i="40"/>
  <c r="AJ124" i="40"/>
  <c r="AB124" i="40"/>
  <c r="T124" i="40"/>
  <c r="CR124" i="40" s="1"/>
  <c r="L124" i="40"/>
  <c r="CL124" i="40" s="1"/>
  <c r="Z124" i="40"/>
  <c r="AI423" i="40"/>
  <c r="AE423" i="40"/>
  <c r="AA423" i="40"/>
  <c r="W423" i="40"/>
  <c r="CU423" i="40" s="1"/>
  <c r="S423" i="40"/>
  <c r="O423" i="40"/>
  <c r="CO423" i="40" s="1"/>
  <c r="K423" i="40"/>
  <c r="G423" i="40"/>
  <c r="AH423" i="40"/>
  <c r="AD423" i="40"/>
  <c r="Z423" i="40"/>
  <c r="V423" i="40"/>
  <c r="CT423" i="40" s="1"/>
  <c r="R423" i="40"/>
  <c r="N423" i="40"/>
  <c r="CN423" i="40" s="1"/>
  <c r="J423" i="40"/>
  <c r="F423" i="40"/>
  <c r="AG423" i="40"/>
  <c r="AC423" i="40"/>
  <c r="Y423" i="40"/>
  <c r="U423" i="40"/>
  <c r="CS423" i="40" s="1"/>
  <c r="Q423" i="40"/>
  <c r="M423" i="40"/>
  <c r="CM423" i="40" s="1"/>
  <c r="I423" i="40"/>
  <c r="E423" i="40"/>
  <c r="AJ423" i="40"/>
  <c r="T423" i="40"/>
  <c r="CR423" i="40" s="1"/>
  <c r="AF423" i="40"/>
  <c r="P423" i="40"/>
  <c r="AB423" i="40"/>
  <c r="L423" i="40"/>
  <c r="CL423" i="40" s="1"/>
  <c r="X423" i="40"/>
  <c r="H423" i="40"/>
  <c r="AJ523" i="40"/>
  <c r="AF523" i="40"/>
  <c r="AB523" i="40"/>
  <c r="X523" i="40"/>
  <c r="T523" i="40"/>
  <c r="CR523" i="40" s="1"/>
  <c r="P523" i="40"/>
  <c r="L523" i="40"/>
  <c r="CL523" i="40" s="1"/>
  <c r="H523" i="40"/>
  <c r="AI523" i="40"/>
  <c r="AE523" i="40"/>
  <c r="AA523" i="40"/>
  <c r="CI607" i="40" s="1"/>
  <c r="W523" i="40"/>
  <c r="CU523" i="40" s="1"/>
  <c r="AH523" i="40"/>
  <c r="AD523" i="40"/>
  <c r="Z523" i="40"/>
  <c r="V523" i="40"/>
  <c r="CT523" i="40" s="1"/>
  <c r="R523" i="40"/>
  <c r="N523" i="40"/>
  <c r="CN523" i="40" s="1"/>
  <c r="J523" i="40"/>
  <c r="F523" i="40"/>
  <c r="AG523" i="40"/>
  <c r="S523" i="40"/>
  <c r="K523" i="40"/>
  <c r="AC523" i="40"/>
  <c r="Q523" i="40"/>
  <c r="I523" i="40"/>
  <c r="Y523" i="40"/>
  <c r="O523" i="40"/>
  <c r="CO523" i="40" s="1"/>
  <c r="G523" i="40"/>
  <c r="U523" i="40"/>
  <c r="CS523" i="40" s="1"/>
  <c r="M523" i="40"/>
  <c r="CM523" i="40" s="1"/>
  <c r="E523" i="40"/>
  <c r="BC523" i="40"/>
  <c r="BL523" i="40"/>
  <c r="CB523" i="40"/>
  <c r="BM523" i="40"/>
  <c r="CC523" i="40"/>
  <c r="AW523" i="40"/>
  <c r="BN523" i="40"/>
  <c r="CD523" i="40"/>
  <c r="BS523" i="40"/>
  <c r="BG523" i="40"/>
  <c r="AX523" i="40"/>
  <c r="CE523" i="40"/>
  <c r="IZ523" i="40"/>
  <c r="A523" i="40"/>
  <c r="JO523" i="40"/>
  <c r="JP523" i="40"/>
  <c r="AZ523" i="40"/>
  <c r="BP523" i="40"/>
  <c r="CF523" i="40"/>
  <c r="BA523" i="40"/>
  <c r="BQ523" i="40"/>
  <c r="CG523" i="40"/>
  <c r="BB523" i="40"/>
  <c r="BR523" i="40"/>
  <c r="CH523" i="40"/>
  <c r="CJ523" i="40"/>
  <c r="BW523" i="40"/>
  <c r="HZ523" i="40"/>
  <c r="IX523" i="40"/>
  <c r="C524" i="40"/>
  <c r="BD523" i="40"/>
  <c r="BT523" i="40"/>
  <c r="DM523" i="40"/>
  <c r="BE523" i="40"/>
  <c r="BU523" i="40"/>
  <c r="DS523" i="40"/>
  <c r="BF523" i="40"/>
  <c r="BV523" i="40"/>
  <c r="DT523" i="40"/>
  <c r="BO523" i="40"/>
  <c r="DU523" i="40"/>
  <c r="BK523" i="40"/>
  <c r="IA523" i="40"/>
  <c r="IY523" i="40"/>
  <c r="BH523" i="40"/>
  <c r="BX523" i="40"/>
  <c r="DV523" i="40"/>
  <c r="BI523" i="40"/>
  <c r="BY523" i="40"/>
  <c r="DW523" i="40"/>
  <c r="BJ523" i="40"/>
  <c r="BZ523" i="40"/>
  <c r="CA523" i="40"/>
  <c r="HY523" i="40"/>
  <c r="AO623" i="40"/>
  <c r="CQ623" i="40"/>
  <c r="IZ622" i="40"/>
  <c r="IX622" i="40"/>
  <c r="BC423" i="40"/>
  <c r="BS423" i="40"/>
  <c r="CJ423" i="40"/>
  <c r="BD423" i="40"/>
  <c r="BT423" i="40"/>
  <c r="DM423" i="40"/>
  <c r="BE423" i="40"/>
  <c r="BU423" i="40"/>
  <c r="DS423" i="40"/>
  <c r="BN423" i="40"/>
  <c r="BR423" i="40"/>
  <c r="BV423" i="40"/>
  <c r="JO423" i="40"/>
  <c r="IA423" i="40"/>
  <c r="IY423" i="40"/>
  <c r="CE423" i="40"/>
  <c r="BP423" i="40"/>
  <c r="BQ423" i="40"/>
  <c r="BB423" i="40"/>
  <c r="BG423" i="40"/>
  <c r="BW423" i="40"/>
  <c r="DU423" i="40"/>
  <c r="BH423" i="40"/>
  <c r="BX423" i="40"/>
  <c r="DV423" i="40"/>
  <c r="BI423" i="40"/>
  <c r="BY423" i="40"/>
  <c r="DW423" i="40"/>
  <c r="CD423" i="40"/>
  <c r="CH423" i="40"/>
  <c r="DT423" i="40"/>
  <c r="HY423" i="40"/>
  <c r="IX423" i="40"/>
  <c r="AX423" i="40"/>
  <c r="AW423" i="40"/>
  <c r="BZ423" i="40"/>
  <c r="C424" i="40"/>
  <c r="BK423" i="40"/>
  <c r="CA423" i="40"/>
  <c r="A423" i="40"/>
  <c r="BL423" i="40"/>
  <c r="CB423" i="40"/>
  <c r="BM423" i="40"/>
  <c r="CC423" i="40"/>
  <c r="BJ423" i="40"/>
  <c r="HZ423" i="40"/>
  <c r="JP423" i="40"/>
  <c r="BO423" i="40"/>
  <c r="AZ423" i="40"/>
  <c r="CF423" i="40"/>
  <c r="BA423" i="40"/>
  <c r="CG423" i="40"/>
  <c r="BF423" i="40"/>
  <c r="IZ423" i="40"/>
  <c r="CK422" i="40"/>
  <c r="AM422" i="40"/>
  <c r="JH122" i="40"/>
  <c r="AN422" i="40"/>
  <c r="CP422" i="40"/>
  <c r="AP422" i="40"/>
  <c r="AO422" i="40"/>
  <c r="CQ422" i="40"/>
  <c r="DB422" i="40"/>
  <c r="AM223" i="40"/>
  <c r="CK223" i="40"/>
  <c r="CV223" i="40"/>
  <c r="A224" i="40"/>
  <c r="BF224" i="40"/>
  <c r="BV224" i="40"/>
  <c r="DT224" i="40"/>
  <c r="BK224" i="40"/>
  <c r="CA224" i="40"/>
  <c r="AZ224" i="40"/>
  <c r="BP224" i="40"/>
  <c r="CF224" i="40"/>
  <c r="BA224" i="40"/>
  <c r="BE224" i="40"/>
  <c r="IX224" i="40"/>
  <c r="BJ224" i="40"/>
  <c r="BZ224" i="40"/>
  <c r="AX224" i="40"/>
  <c r="BO224" i="40"/>
  <c r="CE224" i="40"/>
  <c r="BD224" i="40"/>
  <c r="BT224" i="40"/>
  <c r="DM224" i="40"/>
  <c r="BQ224" i="40"/>
  <c r="BU224" i="40"/>
  <c r="BI224" i="40"/>
  <c r="BM224" i="40"/>
  <c r="HZ224" i="40"/>
  <c r="AW224" i="40"/>
  <c r="BN224" i="40"/>
  <c r="CD224" i="40"/>
  <c r="BC224" i="40"/>
  <c r="BS224" i="40"/>
  <c r="CJ224" i="40"/>
  <c r="BH224" i="40"/>
  <c r="BX224" i="40"/>
  <c r="DV224" i="40"/>
  <c r="CG224" i="40"/>
  <c r="DS224" i="40"/>
  <c r="BY224" i="40"/>
  <c r="CC224" i="40"/>
  <c r="IZ224" i="40"/>
  <c r="IA224" i="40"/>
  <c r="IY224" i="40"/>
  <c r="C225" i="40"/>
  <c r="BB224" i="40"/>
  <c r="BR224" i="40"/>
  <c r="CH224" i="40"/>
  <c r="BG224" i="40"/>
  <c r="BW224" i="40"/>
  <c r="DU224" i="40"/>
  <c r="BL224" i="40"/>
  <c r="CB224" i="40"/>
  <c r="DW224" i="40"/>
  <c r="JO224" i="40"/>
  <c r="HY224" i="40"/>
  <c r="JP224" i="40"/>
  <c r="AO223" i="40"/>
  <c r="CQ223" i="40"/>
  <c r="AN223" i="40"/>
  <c r="CP223" i="40"/>
  <c r="HM123" i="40"/>
  <c r="HP123" i="40" s="1"/>
  <c r="DB123" i="40"/>
  <c r="IO123" i="40"/>
  <c r="JA123" i="40" s="1"/>
  <c r="IQ123" i="40"/>
  <c r="JC123" i="40" s="1"/>
  <c r="HN123" i="40"/>
  <c r="HQ123" i="40" s="1"/>
  <c r="HV122" i="40"/>
  <c r="HX122" i="40"/>
  <c r="D122" i="40"/>
  <c r="AY122" i="40" s="1"/>
  <c r="IC122" i="40"/>
  <c r="AP323" i="40"/>
  <c r="AP123" i="40"/>
  <c r="HT123" i="40"/>
  <c r="AO323" i="40"/>
  <c r="CQ323" i="40"/>
  <c r="CK323" i="40"/>
  <c r="AM323" i="40"/>
  <c r="JM120" i="40"/>
  <c r="CK123" i="40"/>
  <c r="AM123" i="40"/>
  <c r="C325" i="40"/>
  <c r="A324" i="40"/>
  <c r="AZ324" i="40"/>
  <c r="BD324" i="40"/>
  <c r="BH324" i="40"/>
  <c r="BL324" i="40"/>
  <c r="BP324" i="40"/>
  <c r="BT324" i="40"/>
  <c r="BX324" i="40"/>
  <c r="CB324" i="40"/>
  <c r="CF324" i="40"/>
  <c r="DM324" i="40"/>
  <c r="DV324" i="40"/>
  <c r="BA324" i="40"/>
  <c r="BE324" i="40"/>
  <c r="BI324" i="40"/>
  <c r="BM324" i="40"/>
  <c r="BQ324" i="40"/>
  <c r="BU324" i="40"/>
  <c r="BY324" i="40"/>
  <c r="CC324" i="40"/>
  <c r="CG324" i="40"/>
  <c r="DS324" i="40"/>
  <c r="DW324" i="40"/>
  <c r="AW324" i="40"/>
  <c r="BB324" i="40"/>
  <c r="BF324" i="40"/>
  <c r="BJ324" i="40"/>
  <c r="BN324" i="40"/>
  <c r="BR324" i="40"/>
  <c r="BV324" i="40"/>
  <c r="BZ324" i="40"/>
  <c r="CD324" i="40"/>
  <c r="CH324" i="40"/>
  <c r="DT324" i="40"/>
  <c r="BG324" i="40"/>
  <c r="BW324" i="40"/>
  <c r="DU324" i="40"/>
  <c r="CL324" i="40"/>
  <c r="BK324" i="40"/>
  <c r="CA324" i="40"/>
  <c r="AX324" i="40"/>
  <c r="BO324" i="40"/>
  <c r="CE324" i="40"/>
  <c r="BS324" i="40"/>
  <c r="CJ324" i="40"/>
  <c r="BC324" i="40"/>
  <c r="JO324" i="40"/>
  <c r="IY324" i="40"/>
  <c r="IX324" i="40"/>
  <c r="HZ324" i="40"/>
  <c r="IZ324" i="40"/>
  <c r="HY324" i="40"/>
  <c r="IA324" i="40"/>
  <c r="CU324" i="40"/>
  <c r="JP324" i="40"/>
  <c r="KO119" i="40"/>
  <c r="H17" i="70"/>
  <c r="BC17" i="70" s="1"/>
  <c r="M17" i="70"/>
  <c r="M33" i="70"/>
  <c r="H33" i="70"/>
  <c r="JI122" i="40"/>
  <c r="AN123" i="40"/>
  <c r="CP123" i="40"/>
  <c r="HW123" i="40" s="1"/>
  <c r="AO123" i="40"/>
  <c r="CQ123" i="40"/>
  <c r="IK124" i="40"/>
  <c r="IN124" i="40" s="1"/>
  <c r="JF124" i="40"/>
  <c r="HO124" i="40" s="1"/>
  <c r="II124" i="40"/>
  <c r="IL124" i="40" s="1"/>
  <c r="C125" i="40"/>
  <c r="IJ124" i="40"/>
  <c r="IM124" i="40" s="1"/>
  <c r="BA124" i="40"/>
  <c r="BE124" i="40"/>
  <c r="BI124" i="40"/>
  <c r="BM124" i="40"/>
  <c r="BQ124" i="40"/>
  <c r="BU124" i="40"/>
  <c r="BY124" i="40"/>
  <c r="CC124" i="40"/>
  <c r="CG124" i="40"/>
  <c r="DS124" i="40"/>
  <c r="DW124" i="40"/>
  <c r="AW124" i="40"/>
  <c r="BB124" i="40"/>
  <c r="BF124" i="40"/>
  <c r="BJ124" i="40"/>
  <c r="BN124" i="40"/>
  <c r="BR124" i="40"/>
  <c r="BV124" i="40"/>
  <c r="BZ124" i="40"/>
  <c r="CD124" i="40"/>
  <c r="CH124" i="40"/>
  <c r="DT124" i="40"/>
  <c r="BC124" i="40"/>
  <c r="BK124" i="40"/>
  <c r="BS124" i="40"/>
  <c r="CA124" i="40"/>
  <c r="CJ124" i="40"/>
  <c r="BD124" i="40"/>
  <c r="BL124" i="40"/>
  <c r="BT124" i="40"/>
  <c r="CB124" i="40"/>
  <c r="DM124" i="40"/>
  <c r="A124" i="40"/>
  <c r="AX124" i="40"/>
  <c r="BG124" i="40"/>
  <c r="BO124" i="40"/>
  <c r="BW124" i="40"/>
  <c r="CE124" i="40"/>
  <c r="DU124" i="40"/>
  <c r="BP124" i="40"/>
  <c r="BX124" i="40"/>
  <c r="AZ124" i="40"/>
  <c r="CF124" i="40"/>
  <c r="BH124" i="40"/>
  <c r="DV124" i="40"/>
  <c r="JO124" i="40"/>
  <c r="IX124" i="40"/>
  <c r="HY124" i="40"/>
  <c r="IZ124" i="40"/>
  <c r="IA124" i="40"/>
  <c r="HZ124" i="40"/>
  <c r="IY124" i="40"/>
  <c r="JP124" i="40"/>
  <c r="JG124" i="40"/>
  <c r="HU123" i="40"/>
  <c r="CV323" i="40"/>
  <c r="DB323" i="40"/>
  <c r="JJ121" i="40"/>
  <c r="JK121" i="40" s="1"/>
  <c r="JL121" i="40" s="1"/>
  <c r="CV123" i="40"/>
  <c r="AK123" i="40"/>
  <c r="AL123" i="40"/>
  <c r="IP123" i="40"/>
  <c r="JB123" i="40" s="1"/>
  <c r="HS123" i="40"/>
  <c r="CP323" i="40"/>
  <c r="AN323" i="40"/>
  <c r="CI408" i="40" l="1"/>
  <c r="CI124" i="40"/>
  <c r="CI507" i="40"/>
  <c r="CI208" i="40"/>
  <c r="HZ623" i="40"/>
  <c r="IY623" i="40" s="1"/>
  <c r="HX123" i="40"/>
  <c r="HV123" i="40"/>
  <c r="IA623" i="40"/>
  <c r="IZ623" i="40" s="1"/>
  <c r="CV523" i="40"/>
  <c r="DB523" i="40"/>
  <c r="AP423" i="40"/>
  <c r="CV624" i="40"/>
  <c r="HY623" i="40"/>
  <c r="AG125" i="40"/>
  <c r="AC125" i="40"/>
  <c r="Y125" i="40"/>
  <c r="U125" i="40"/>
  <c r="Q125" i="40"/>
  <c r="M125" i="40"/>
  <c r="CM125" i="40" s="1"/>
  <c r="I125" i="40"/>
  <c r="E125" i="40"/>
  <c r="AI125" i="40"/>
  <c r="AE125" i="40"/>
  <c r="AA125" i="40"/>
  <c r="W125" i="40"/>
  <c r="S125" i="40"/>
  <c r="O125" i="40"/>
  <c r="CO125" i="40" s="1"/>
  <c r="K125" i="40"/>
  <c r="G125" i="40"/>
  <c r="AF125" i="40"/>
  <c r="X125" i="40"/>
  <c r="P125" i="40"/>
  <c r="H125" i="40"/>
  <c r="Z125" i="40"/>
  <c r="AD125" i="40"/>
  <c r="V125" i="40"/>
  <c r="CT125" i="40" s="1"/>
  <c r="N125" i="40"/>
  <c r="F125" i="40"/>
  <c r="AH125" i="40"/>
  <c r="J125" i="40"/>
  <c r="AJ125" i="40"/>
  <c r="AB125" i="40"/>
  <c r="T125" i="40"/>
  <c r="CR125" i="40" s="1"/>
  <c r="L125" i="40"/>
  <c r="CL125" i="40" s="1"/>
  <c r="R125" i="40"/>
  <c r="CK523" i="40"/>
  <c r="AM523" i="40"/>
  <c r="AG225" i="40"/>
  <c r="AC225" i="40"/>
  <c r="Y225" i="40"/>
  <c r="U225" i="40"/>
  <c r="CS225" i="40" s="1"/>
  <c r="Q225" i="40"/>
  <c r="M225" i="40"/>
  <c r="I225" i="40"/>
  <c r="E225" i="40"/>
  <c r="AJ225" i="40"/>
  <c r="AF225" i="40"/>
  <c r="AB225" i="40"/>
  <c r="X225" i="40"/>
  <c r="T225" i="40"/>
  <c r="CR225" i="40" s="1"/>
  <c r="P225" i="40"/>
  <c r="L225" i="40"/>
  <c r="CL225" i="40" s="1"/>
  <c r="H225" i="40"/>
  <c r="AI225" i="40"/>
  <c r="AE225" i="40"/>
  <c r="AA225" i="40"/>
  <c r="CI309" i="40" s="1"/>
  <c r="W225" i="40"/>
  <c r="S225" i="40"/>
  <c r="O225" i="40"/>
  <c r="CO225" i="40" s="1"/>
  <c r="K225" i="40"/>
  <c r="G225" i="40"/>
  <c r="AH225" i="40"/>
  <c r="R225" i="40"/>
  <c r="AD225" i="40"/>
  <c r="N225" i="40"/>
  <c r="CN225" i="40" s="1"/>
  <c r="Z225" i="40"/>
  <c r="J225" i="40"/>
  <c r="V225" i="40"/>
  <c r="CT225" i="40" s="1"/>
  <c r="F225" i="40"/>
  <c r="AJ524" i="40"/>
  <c r="AF524" i="40"/>
  <c r="AB524" i="40"/>
  <c r="X524" i="40"/>
  <c r="T524" i="40"/>
  <c r="CR524" i="40" s="1"/>
  <c r="P524" i="40"/>
  <c r="L524" i="40"/>
  <c r="CL524" i="40" s="1"/>
  <c r="H524" i="40"/>
  <c r="AI524" i="40"/>
  <c r="AE524" i="40"/>
  <c r="AA524" i="40"/>
  <c r="CI608" i="40" s="1"/>
  <c r="W524" i="40"/>
  <c r="CU524" i="40" s="1"/>
  <c r="S524" i="40"/>
  <c r="O524" i="40"/>
  <c r="CO524" i="40" s="1"/>
  <c r="K524" i="40"/>
  <c r="G524" i="40"/>
  <c r="AH524" i="40"/>
  <c r="AD524" i="40"/>
  <c r="Z524" i="40"/>
  <c r="V524" i="40"/>
  <c r="CT524" i="40" s="1"/>
  <c r="R524" i="40"/>
  <c r="N524" i="40"/>
  <c r="CN524" i="40" s="1"/>
  <c r="J524" i="40"/>
  <c r="F524" i="40"/>
  <c r="AG524" i="40"/>
  <c r="Q524" i="40"/>
  <c r="AC524" i="40"/>
  <c r="M524" i="40"/>
  <c r="CM524" i="40" s="1"/>
  <c r="Y524" i="40"/>
  <c r="I524" i="40"/>
  <c r="U524" i="40"/>
  <c r="CS524" i="40" s="1"/>
  <c r="E524" i="40"/>
  <c r="BF524" i="40"/>
  <c r="BV524" i="40"/>
  <c r="DT524" i="40"/>
  <c r="BC524" i="40"/>
  <c r="BS524" i="40"/>
  <c r="CJ524" i="40"/>
  <c r="AZ524" i="40"/>
  <c r="BP524" i="40"/>
  <c r="CF524" i="40"/>
  <c r="BQ524" i="40"/>
  <c r="DS524" i="40"/>
  <c r="BY524" i="40"/>
  <c r="HZ524" i="40"/>
  <c r="IY524" i="40"/>
  <c r="C525" i="40"/>
  <c r="BG524" i="40"/>
  <c r="DU524" i="40"/>
  <c r="BT524" i="40"/>
  <c r="CG524" i="40"/>
  <c r="DW524" i="40"/>
  <c r="IX524" i="40"/>
  <c r="BJ524" i="40"/>
  <c r="BZ524" i="40"/>
  <c r="BW524" i="40"/>
  <c r="BD524" i="40"/>
  <c r="DM524" i="40"/>
  <c r="IA524" i="40"/>
  <c r="AW524" i="40"/>
  <c r="BN524" i="40"/>
  <c r="CD524" i="40"/>
  <c r="BK524" i="40"/>
  <c r="CA524" i="40"/>
  <c r="A524" i="40"/>
  <c r="BH524" i="40"/>
  <c r="BX524" i="40"/>
  <c r="DV524" i="40"/>
  <c r="BE524" i="40"/>
  <c r="CC524" i="40"/>
  <c r="JO524" i="40"/>
  <c r="HY524" i="40"/>
  <c r="JP524" i="40"/>
  <c r="BB524" i="40"/>
  <c r="BR524" i="40"/>
  <c r="CH524" i="40"/>
  <c r="AX524" i="40"/>
  <c r="BO524" i="40"/>
  <c r="CE524" i="40"/>
  <c r="BL524" i="40"/>
  <c r="CB524" i="40"/>
  <c r="BA524" i="40"/>
  <c r="BU524" i="40"/>
  <c r="BI524" i="40"/>
  <c r="BM524" i="40"/>
  <c r="IZ524" i="40"/>
  <c r="CQ523" i="40"/>
  <c r="AO523" i="40"/>
  <c r="CQ624" i="40"/>
  <c r="AO624" i="40"/>
  <c r="DB624" i="40"/>
  <c r="AI424" i="40"/>
  <c r="AE424" i="40"/>
  <c r="AA424" i="40"/>
  <c r="W424" i="40"/>
  <c r="CU424" i="40" s="1"/>
  <c r="S424" i="40"/>
  <c r="O424" i="40"/>
  <c r="CO424" i="40" s="1"/>
  <c r="K424" i="40"/>
  <c r="G424" i="40"/>
  <c r="AH424" i="40"/>
  <c r="AD424" i="40"/>
  <c r="Z424" i="40"/>
  <c r="V424" i="40"/>
  <c r="CT424" i="40" s="1"/>
  <c r="R424" i="40"/>
  <c r="N424" i="40"/>
  <c r="CN424" i="40" s="1"/>
  <c r="J424" i="40"/>
  <c r="F424" i="40"/>
  <c r="AG424" i="40"/>
  <c r="AC424" i="40"/>
  <c r="Y424" i="40"/>
  <c r="U424" i="40"/>
  <c r="CS424" i="40" s="1"/>
  <c r="Q424" i="40"/>
  <c r="M424" i="40"/>
  <c r="CM424" i="40" s="1"/>
  <c r="I424" i="40"/>
  <c r="E424" i="40"/>
  <c r="AJ424" i="40"/>
  <c r="T424" i="40"/>
  <c r="CR424" i="40" s="1"/>
  <c r="AF424" i="40"/>
  <c r="P424" i="40"/>
  <c r="AB424" i="40"/>
  <c r="L424" i="40"/>
  <c r="CL424" i="40" s="1"/>
  <c r="H424" i="40"/>
  <c r="X424" i="40"/>
  <c r="AN523" i="40"/>
  <c r="CP523" i="40"/>
  <c r="AN624" i="40"/>
  <c r="CP624" i="40"/>
  <c r="I625" i="40"/>
  <c r="AJ625" i="40"/>
  <c r="AC625" i="40"/>
  <c r="CB625" i="40"/>
  <c r="BL625" i="40"/>
  <c r="AB625" i="40"/>
  <c r="DW625" i="40"/>
  <c r="BW625" i="40"/>
  <c r="BG625" i="40"/>
  <c r="G625" i="40"/>
  <c r="CD625" i="40"/>
  <c r="BN625" i="40"/>
  <c r="AX625" i="40"/>
  <c r="BM625" i="40"/>
  <c r="BI625" i="40"/>
  <c r="DU625" i="40"/>
  <c r="AG625" i="40"/>
  <c r="W625" i="40"/>
  <c r="CU625" i="40" s="1"/>
  <c r="JO625" i="40"/>
  <c r="AE625" i="40"/>
  <c r="BX625" i="40"/>
  <c r="BH625" i="40"/>
  <c r="P625" i="40"/>
  <c r="DS625" i="40"/>
  <c r="BS625" i="40"/>
  <c r="BC625" i="40"/>
  <c r="DV625" i="40"/>
  <c r="BZ625" i="40"/>
  <c r="BJ625" i="40"/>
  <c r="N625" i="40"/>
  <c r="CN625" i="40" s="1"/>
  <c r="AW625" i="40"/>
  <c r="CG625" i="40"/>
  <c r="BU625" i="40"/>
  <c r="JP625" i="40"/>
  <c r="AF625" i="40"/>
  <c r="CJ625" i="40"/>
  <c r="DT625" i="40"/>
  <c r="BT625" i="40"/>
  <c r="BD625" i="40"/>
  <c r="L625" i="40"/>
  <c r="CL625" i="40" s="1"/>
  <c r="CE625" i="40"/>
  <c r="BO625" i="40"/>
  <c r="O625" i="40"/>
  <c r="CO625" i="40" s="1"/>
  <c r="DM625" i="40"/>
  <c r="BV625" i="40"/>
  <c r="BF625" i="40"/>
  <c r="J625" i="40"/>
  <c r="M625" i="40"/>
  <c r="CM625" i="40" s="1"/>
  <c r="BA625" i="40"/>
  <c r="BE625" i="40"/>
  <c r="F625" i="40"/>
  <c r="AZ625" i="40"/>
  <c r="K625" i="40"/>
  <c r="CC625" i="40"/>
  <c r="H625" i="40"/>
  <c r="C626" i="40"/>
  <c r="CH625" i="40"/>
  <c r="BY625" i="40"/>
  <c r="BB625" i="40"/>
  <c r="KN625" i="40"/>
  <c r="AI625" i="40"/>
  <c r="CF625" i="40"/>
  <c r="CA625" i="40"/>
  <c r="BR625" i="40"/>
  <c r="A625" i="40"/>
  <c r="BP625" i="40"/>
  <c r="BQ625" i="40"/>
  <c r="BK625" i="40"/>
  <c r="AH625" i="40"/>
  <c r="Z625" i="40"/>
  <c r="X625" i="40"/>
  <c r="Q625" i="40"/>
  <c r="AA625" i="40"/>
  <c r="T625" i="40"/>
  <c r="CR625" i="40" s="1"/>
  <c r="R625" i="40"/>
  <c r="AD625" i="40"/>
  <c r="E625" i="40"/>
  <c r="V625" i="40"/>
  <c r="CT625" i="40" s="1"/>
  <c r="U625" i="40"/>
  <c r="CS625" i="40" s="1"/>
  <c r="S625" i="40"/>
  <c r="Y625" i="40"/>
  <c r="AJ325" i="40"/>
  <c r="AF325" i="40"/>
  <c r="AB325" i="40"/>
  <c r="X325" i="40"/>
  <c r="T325" i="40"/>
  <c r="CR325" i="40" s="1"/>
  <c r="AH325" i="40"/>
  <c r="AC325" i="40"/>
  <c r="W325" i="40"/>
  <c r="CU325" i="40" s="1"/>
  <c r="R325" i="40"/>
  <c r="N325" i="40"/>
  <c r="CN325" i="40" s="1"/>
  <c r="J325" i="40"/>
  <c r="F325" i="40"/>
  <c r="AG325" i="40"/>
  <c r="AA325" i="40"/>
  <c r="V325" i="40"/>
  <c r="CT325" i="40" s="1"/>
  <c r="Q325" i="40"/>
  <c r="M325" i="40"/>
  <c r="CM325" i="40" s="1"/>
  <c r="I325" i="40"/>
  <c r="E325" i="40"/>
  <c r="AE325" i="40"/>
  <c r="Z325" i="40"/>
  <c r="U325" i="40"/>
  <c r="CS325" i="40" s="1"/>
  <c r="P325" i="40"/>
  <c r="L325" i="40"/>
  <c r="CL325" i="40" s="1"/>
  <c r="H325" i="40"/>
  <c r="AD325" i="40"/>
  <c r="K325" i="40"/>
  <c r="Y325" i="40"/>
  <c r="G325" i="40"/>
  <c r="S325" i="40"/>
  <c r="AI325" i="40"/>
  <c r="O325" i="40"/>
  <c r="CO325" i="40" s="1"/>
  <c r="IX623" i="40"/>
  <c r="AP523" i="40"/>
  <c r="AP624" i="40"/>
  <c r="CK624" i="40"/>
  <c r="AM624" i="40"/>
  <c r="JJ122" i="40"/>
  <c r="JK122" i="40" s="1"/>
  <c r="JL122" i="40" s="1"/>
  <c r="C425" i="40"/>
  <c r="BI424" i="40"/>
  <c r="BY424" i="40"/>
  <c r="DW424" i="40"/>
  <c r="BF424" i="40"/>
  <c r="BV424" i="40"/>
  <c r="DT424" i="40"/>
  <c r="BK424" i="40"/>
  <c r="CA424" i="40"/>
  <c r="AZ424" i="40"/>
  <c r="BD424" i="40"/>
  <c r="JO424" i="40"/>
  <c r="IA424" i="40"/>
  <c r="JP424" i="40"/>
  <c r="DS424" i="40"/>
  <c r="BR424" i="40"/>
  <c r="BW424" i="40"/>
  <c r="DV424" i="40"/>
  <c r="IY424" i="40"/>
  <c r="BM424" i="40"/>
  <c r="CC424" i="40"/>
  <c r="BJ424" i="40"/>
  <c r="BZ424" i="40"/>
  <c r="AX424" i="40"/>
  <c r="BO424" i="40"/>
  <c r="CE424" i="40"/>
  <c r="BL424" i="40"/>
  <c r="BP424" i="40"/>
  <c r="BT424" i="40"/>
  <c r="BX424" i="40"/>
  <c r="HZ424" i="40"/>
  <c r="BA424" i="40"/>
  <c r="BQ424" i="40"/>
  <c r="CG424" i="40"/>
  <c r="AW424" i="40"/>
  <c r="BN424" i="40"/>
  <c r="CD424" i="40"/>
  <c r="BC424" i="40"/>
  <c r="BS424" i="40"/>
  <c r="CB424" i="40"/>
  <c r="CF424" i="40"/>
  <c r="DM424" i="40"/>
  <c r="A424" i="40"/>
  <c r="HY424" i="40"/>
  <c r="IX424" i="40"/>
  <c r="BH424" i="40"/>
  <c r="CJ424" i="40"/>
  <c r="BE424" i="40"/>
  <c r="BU424" i="40"/>
  <c r="BB424" i="40"/>
  <c r="CH424" i="40"/>
  <c r="BG424" i="40"/>
  <c r="DU424" i="40"/>
  <c r="IZ424" i="40"/>
  <c r="CP423" i="40"/>
  <c r="AN423" i="40"/>
  <c r="CV423" i="40"/>
  <c r="CQ423" i="40"/>
  <c r="AO423" i="40"/>
  <c r="CK423" i="40"/>
  <c r="AM423" i="40"/>
  <c r="DB423" i="40"/>
  <c r="JH123" i="40"/>
  <c r="BD225" i="40"/>
  <c r="BT225" i="40"/>
  <c r="DM225" i="40"/>
  <c r="BE225" i="40"/>
  <c r="BU225" i="40"/>
  <c r="DS225" i="40"/>
  <c r="BB225" i="40"/>
  <c r="BR225" i="40"/>
  <c r="CH225" i="40"/>
  <c r="BO225" i="40"/>
  <c r="BS225" i="40"/>
  <c r="BW225" i="40"/>
  <c r="CA225" i="40"/>
  <c r="IZ225" i="40"/>
  <c r="IA225" i="40"/>
  <c r="CU225" i="40"/>
  <c r="JP225" i="40"/>
  <c r="HY225" i="40"/>
  <c r="C226" i="40"/>
  <c r="BH225" i="40"/>
  <c r="BX225" i="40"/>
  <c r="DV225" i="40"/>
  <c r="BI225" i="40"/>
  <c r="BY225" i="40"/>
  <c r="DW225" i="40"/>
  <c r="BF225" i="40"/>
  <c r="BV225" i="40"/>
  <c r="DT225" i="40"/>
  <c r="CE225" i="40"/>
  <c r="CJ225" i="40"/>
  <c r="DU225" i="40"/>
  <c r="JO225" i="40"/>
  <c r="CG225" i="40"/>
  <c r="AX225" i="40"/>
  <c r="IY225" i="40"/>
  <c r="A225" i="40"/>
  <c r="BL225" i="40"/>
  <c r="CB225" i="40"/>
  <c r="BM225" i="40"/>
  <c r="CC225" i="40"/>
  <c r="BJ225" i="40"/>
  <c r="BZ225" i="40"/>
  <c r="IX225" i="40"/>
  <c r="CM225" i="40"/>
  <c r="AZ225" i="40"/>
  <c r="BP225" i="40"/>
  <c r="CF225" i="40"/>
  <c r="BA225" i="40"/>
  <c r="BQ225" i="40"/>
  <c r="AW225" i="40"/>
  <c r="BN225" i="40"/>
  <c r="CD225" i="40"/>
  <c r="BC225" i="40"/>
  <c r="BG225" i="40"/>
  <c r="BK225" i="40"/>
  <c r="HZ225" i="40"/>
  <c r="DB224" i="40"/>
  <c r="AP224" i="40"/>
  <c r="AN224" i="40"/>
  <c r="CP224" i="40"/>
  <c r="CK224" i="40"/>
  <c r="AM224" i="40"/>
  <c r="CQ224" i="40"/>
  <c r="AO224" i="40"/>
  <c r="CV224" i="40"/>
  <c r="D123" i="40"/>
  <c r="AY123" i="40" s="1"/>
  <c r="DB124" i="40"/>
  <c r="IC123" i="40"/>
  <c r="AP324" i="40"/>
  <c r="E28" i="44"/>
  <c r="JM121" i="40"/>
  <c r="JI123" i="40"/>
  <c r="HT124" i="40"/>
  <c r="HR124" i="40"/>
  <c r="AP124" i="40"/>
  <c r="HM124" i="40"/>
  <c r="IO124" i="40"/>
  <c r="JA124" i="40" s="1"/>
  <c r="IP124" i="40"/>
  <c r="JB124" i="40" s="1"/>
  <c r="IK125" i="40"/>
  <c r="IN125" i="40" s="1"/>
  <c r="II125" i="40"/>
  <c r="IL125" i="40" s="1"/>
  <c r="IJ125" i="40"/>
  <c r="IM125" i="40" s="1"/>
  <c r="JF125" i="40"/>
  <c r="HO125" i="40" s="1"/>
  <c r="C126" i="40"/>
  <c r="AW125" i="40"/>
  <c r="BB125" i="40"/>
  <c r="BF125" i="40"/>
  <c r="BJ125" i="40"/>
  <c r="BN125" i="40"/>
  <c r="BR125" i="40"/>
  <c r="BV125" i="40"/>
  <c r="BZ125" i="40"/>
  <c r="CD125" i="40"/>
  <c r="CH125" i="40"/>
  <c r="DT125" i="40"/>
  <c r="A125" i="40"/>
  <c r="AX125" i="40"/>
  <c r="BC125" i="40"/>
  <c r="BG125" i="40"/>
  <c r="BK125" i="40"/>
  <c r="BO125" i="40"/>
  <c r="BS125" i="40"/>
  <c r="BW125" i="40"/>
  <c r="CA125" i="40"/>
  <c r="CE125" i="40"/>
  <c r="CJ125" i="40"/>
  <c r="DU125" i="40"/>
  <c r="AZ125" i="40"/>
  <c r="BH125" i="40"/>
  <c r="BP125" i="40"/>
  <c r="BX125" i="40"/>
  <c r="CF125" i="40"/>
  <c r="DV125" i="40"/>
  <c r="BA125" i="40"/>
  <c r="BI125" i="40"/>
  <c r="BQ125" i="40"/>
  <c r="BY125" i="40"/>
  <c r="CG125" i="40"/>
  <c r="DW125" i="40"/>
  <c r="CN125" i="40"/>
  <c r="BD125" i="40"/>
  <c r="BL125" i="40"/>
  <c r="BT125" i="40"/>
  <c r="CB125" i="40"/>
  <c r="DM125" i="40"/>
  <c r="BM125" i="40"/>
  <c r="BU125" i="40"/>
  <c r="CC125" i="40"/>
  <c r="BE125" i="40"/>
  <c r="DS125" i="40"/>
  <c r="JO125" i="40"/>
  <c r="IZ125" i="40"/>
  <c r="HY125" i="40"/>
  <c r="IX125" i="40"/>
  <c r="HZ125" i="40"/>
  <c r="IA125" i="40"/>
  <c r="CU125" i="40"/>
  <c r="IY125" i="40"/>
  <c r="JP125" i="40"/>
  <c r="CS125" i="40"/>
  <c r="JG125" i="40"/>
  <c r="HU124" i="40"/>
  <c r="DB324" i="40"/>
  <c r="CK324" i="40"/>
  <c r="AM324" i="40"/>
  <c r="CV124" i="40"/>
  <c r="AK124" i="40"/>
  <c r="AL124" i="40"/>
  <c r="CP124" i="40"/>
  <c r="HV124" i="40" s="1"/>
  <c r="AN124" i="40"/>
  <c r="IQ124" i="40"/>
  <c r="JC124" i="40" s="1"/>
  <c r="HN124" i="40"/>
  <c r="AN324" i="40"/>
  <c r="CP324" i="40"/>
  <c r="C326" i="40"/>
  <c r="AW325" i="40"/>
  <c r="BB325" i="40"/>
  <c r="BF325" i="40"/>
  <c r="BJ325" i="40"/>
  <c r="BN325" i="40"/>
  <c r="BR325" i="40"/>
  <c r="BV325" i="40"/>
  <c r="BZ325" i="40"/>
  <c r="CD325" i="40"/>
  <c r="CH325" i="40"/>
  <c r="DT325" i="40"/>
  <c r="AX325" i="40"/>
  <c r="BC325" i="40"/>
  <c r="BG325" i="40"/>
  <c r="BK325" i="40"/>
  <c r="BO325" i="40"/>
  <c r="BS325" i="40"/>
  <c r="BW325" i="40"/>
  <c r="CA325" i="40"/>
  <c r="CE325" i="40"/>
  <c r="CJ325" i="40"/>
  <c r="DU325" i="40"/>
  <c r="A325" i="40"/>
  <c r="AZ325" i="40"/>
  <c r="BD325" i="40"/>
  <c r="BH325" i="40"/>
  <c r="BL325" i="40"/>
  <c r="BP325" i="40"/>
  <c r="BT325" i="40"/>
  <c r="BX325" i="40"/>
  <c r="CB325" i="40"/>
  <c r="CF325" i="40"/>
  <c r="DM325" i="40"/>
  <c r="DV325" i="40"/>
  <c r="BE325" i="40"/>
  <c r="BU325" i="40"/>
  <c r="DS325" i="40"/>
  <c r="BI325" i="40"/>
  <c r="BY325" i="40"/>
  <c r="DW325" i="40"/>
  <c r="BM325" i="40"/>
  <c r="CC325" i="40"/>
  <c r="BQ325" i="40"/>
  <c r="CG325" i="40"/>
  <c r="BA325" i="40"/>
  <c r="JO325" i="40"/>
  <c r="IY325" i="40"/>
  <c r="IA325" i="40"/>
  <c r="HZ325" i="40"/>
  <c r="IZ325" i="40"/>
  <c r="IX325" i="40"/>
  <c r="HY325" i="40"/>
  <c r="JP325" i="40"/>
  <c r="KO120" i="40"/>
  <c r="H34" i="70"/>
  <c r="M34" i="70"/>
  <c r="JJ123" i="40"/>
  <c r="AO124" i="40"/>
  <c r="CQ124" i="40"/>
  <c r="CK124" i="40"/>
  <c r="AM124" i="40"/>
  <c r="HS124" i="40"/>
  <c r="CV324" i="40"/>
  <c r="AO324" i="40"/>
  <c r="CQ324" i="40"/>
  <c r="CI209" i="40" l="1"/>
  <c r="CI409" i="40"/>
  <c r="CI508" i="40"/>
  <c r="CI125" i="40"/>
  <c r="IA624" i="40"/>
  <c r="IZ624" i="40" s="1"/>
  <c r="HY624" i="40"/>
  <c r="IX624" i="40" s="1"/>
  <c r="HZ624" i="40"/>
  <c r="IY624" i="40" s="1"/>
  <c r="CV225" i="40"/>
  <c r="AP225" i="40"/>
  <c r="CV625" i="40"/>
  <c r="CP625" i="40"/>
  <c r="HX124" i="40"/>
  <c r="AJ326" i="40"/>
  <c r="AF326" i="40"/>
  <c r="AB326" i="40"/>
  <c r="X326" i="40"/>
  <c r="T326" i="40"/>
  <c r="CR326" i="40" s="1"/>
  <c r="P326" i="40"/>
  <c r="L326" i="40"/>
  <c r="CL326" i="40" s="1"/>
  <c r="H326" i="40"/>
  <c r="AH326" i="40"/>
  <c r="AC326" i="40"/>
  <c r="W326" i="40"/>
  <c r="CU326" i="40" s="1"/>
  <c r="R326" i="40"/>
  <c r="M326" i="40"/>
  <c r="CM326" i="40" s="1"/>
  <c r="G326" i="40"/>
  <c r="AG326" i="40"/>
  <c r="AA326" i="40"/>
  <c r="V326" i="40"/>
  <c r="CT326" i="40" s="1"/>
  <c r="Q326" i="40"/>
  <c r="K326" i="40"/>
  <c r="F326" i="40"/>
  <c r="AE326" i="40"/>
  <c r="Z326" i="40"/>
  <c r="U326" i="40"/>
  <c r="CS326" i="40" s="1"/>
  <c r="O326" i="40"/>
  <c r="CO326" i="40" s="1"/>
  <c r="J326" i="40"/>
  <c r="E326" i="40"/>
  <c r="S326" i="40"/>
  <c r="AI326" i="40"/>
  <c r="N326" i="40"/>
  <c r="CN326" i="40" s="1"/>
  <c r="AD326" i="40"/>
  <c r="I326" i="40"/>
  <c r="Y326" i="40"/>
  <c r="AP625" i="40"/>
  <c r="CP524" i="40"/>
  <c r="AN524" i="40"/>
  <c r="AG126" i="40"/>
  <c r="AC126" i="40"/>
  <c r="Y126" i="40"/>
  <c r="U126" i="40"/>
  <c r="CS126" i="40" s="1"/>
  <c r="Q126" i="40"/>
  <c r="M126" i="40"/>
  <c r="CM126" i="40" s="1"/>
  <c r="I126" i="40"/>
  <c r="E126" i="40"/>
  <c r="AI126" i="40"/>
  <c r="AE126" i="40"/>
  <c r="AA126" i="40"/>
  <c r="W126" i="40"/>
  <c r="CU126" i="40" s="1"/>
  <c r="S126" i="40"/>
  <c r="O126" i="40"/>
  <c r="CO126" i="40" s="1"/>
  <c r="K126" i="40"/>
  <c r="G126" i="40"/>
  <c r="AF126" i="40"/>
  <c r="X126" i="40"/>
  <c r="P126" i="40"/>
  <c r="H126" i="40"/>
  <c r="Z126" i="40"/>
  <c r="AD126" i="40"/>
  <c r="V126" i="40"/>
  <c r="CT126" i="40" s="1"/>
  <c r="N126" i="40"/>
  <c r="F126" i="40"/>
  <c r="R126" i="40"/>
  <c r="AJ126" i="40"/>
  <c r="AB126" i="40"/>
  <c r="T126" i="40"/>
  <c r="CR126" i="40" s="1"/>
  <c r="L126" i="40"/>
  <c r="CL126" i="40" s="1"/>
  <c r="AH126" i="40"/>
  <c r="J126" i="40"/>
  <c r="DB625" i="40"/>
  <c r="CV524" i="40"/>
  <c r="AO524" i="40"/>
  <c r="CQ524" i="40"/>
  <c r="AG226" i="40"/>
  <c r="AC226" i="40"/>
  <c r="Y226" i="40"/>
  <c r="U226" i="40"/>
  <c r="CS226" i="40" s="1"/>
  <c r="Q226" i="40"/>
  <c r="M226" i="40"/>
  <c r="CM226" i="40" s="1"/>
  <c r="I226" i="40"/>
  <c r="E226" i="40"/>
  <c r="AJ226" i="40"/>
  <c r="AF226" i="40"/>
  <c r="AB226" i="40"/>
  <c r="X226" i="40"/>
  <c r="T226" i="40"/>
  <c r="CR226" i="40" s="1"/>
  <c r="P226" i="40"/>
  <c r="L226" i="40"/>
  <c r="CL226" i="40" s="1"/>
  <c r="H226" i="40"/>
  <c r="AI226" i="40"/>
  <c r="AE226" i="40"/>
  <c r="AA226" i="40"/>
  <c r="CI310" i="40" s="1"/>
  <c r="W226" i="40"/>
  <c r="S226" i="40"/>
  <c r="O226" i="40"/>
  <c r="CO226" i="40" s="1"/>
  <c r="K226" i="40"/>
  <c r="G226" i="40"/>
  <c r="AH226" i="40"/>
  <c r="R226" i="40"/>
  <c r="AD226" i="40"/>
  <c r="N226" i="40"/>
  <c r="Z226" i="40"/>
  <c r="J226" i="40"/>
  <c r="V226" i="40"/>
  <c r="CT226" i="40" s="1"/>
  <c r="F226" i="40"/>
  <c r="AI425" i="40"/>
  <c r="AE425" i="40"/>
  <c r="AA425" i="40"/>
  <c r="W425" i="40"/>
  <c r="CU425" i="40" s="1"/>
  <c r="S425" i="40"/>
  <c r="O425" i="40"/>
  <c r="CO425" i="40" s="1"/>
  <c r="K425" i="40"/>
  <c r="G425" i="40"/>
  <c r="AH425" i="40"/>
  <c r="AD425" i="40"/>
  <c r="Z425" i="40"/>
  <c r="V425" i="40"/>
  <c r="CT425" i="40" s="1"/>
  <c r="R425" i="40"/>
  <c r="N425" i="40"/>
  <c r="CN425" i="40" s="1"/>
  <c r="J425" i="40"/>
  <c r="F425" i="40"/>
  <c r="AG425" i="40"/>
  <c r="AC425" i="40"/>
  <c r="Y425" i="40"/>
  <c r="U425" i="40"/>
  <c r="CS425" i="40" s="1"/>
  <c r="Q425" i="40"/>
  <c r="M425" i="40"/>
  <c r="CM425" i="40" s="1"/>
  <c r="I425" i="40"/>
  <c r="E425" i="40"/>
  <c r="AJ425" i="40"/>
  <c r="T425" i="40"/>
  <c r="CR425" i="40" s="1"/>
  <c r="AF425" i="40"/>
  <c r="P425" i="40"/>
  <c r="AB425" i="40"/>
  <c r="L425" i="40"/>
  <c r="CL425" i="40" s="1"/>
  <c r="X425" i="40"/>
  <c r="H425" i="40"/>
  <c r="CK625" i="40"/>
  <c r="AM625" i="40"/>
  <c r="AP524" i="40"/>
  <c r="CQ625" i="40"/>
  <c r="AO625" i="40"/>
  <c r="AN625" i="40"/>
  <c r="AF626" i="40"/>
  <c r="BX626" i="40"/>
  <c r="BH626" i="40"/>
  <c r="P626" i="40"/>
  <c r="DS626" i="40"/>
  <c r="BS626" i="40"/>
  <c r="BC626" i="40"/>
  <c r="DV626" i="40"/>
  <c r="BZ626" i="40"/>
  <c r="BJ626" i="40"/>
  <c r="N626" i="40"/>
  <c r="CN626" i="40" s="1"/>
  <c r="BA626" i="40"/>
  <c r="BM626" i="40"/>
  <c r="BI626" i="40"/>
  <c r="JO626" i="40"/>
  <c r="H626" i="40"/>
  <c r="AI626" i="40"/>
  <c r="F626" i="40"/>
  <c r="CJ626" i="40"/>
  <c r="DT626" i="40"/>
  <c r="BT626" i="40"/>
  <c r="BD626" i="40"/>
  <c r="L626" i="40"/>
  <c r="CL626" i="40" s="1"/>
  <c r="CE626" i="40"/>
  <c r="BO626" i="40"/>
  <c r="O626" i="40"/>
  <c r="CO626" i="40" s="1"/>
  <c r="DM626" i="40"/>
  <c r="BV626" i="40"/>
  <c r="BF626" i="40"/>
  <c r="J626" i="40"/>
  <c r="AG626" i="40"/>
  <c r="AW626" i="40"/>
  <c r="DU626" i="40"/>
  <c r="W626" i="40"/>
  <c r="CU626" i="40" s="1"/>
  <c r="JP626" i="40"/>
  <c r="I626" i="40"/>
  <c r="AJ626" i="40"/>
  <c r="AC626" i="40"/>
  <c r="CF626" i="40"/>
  <c r="BP626" i="40"/>
  <c r="AZ626" i="40"/>
  <c r="C627" i="40"/>
  <c r="CA626" i="40"/>
  <c r="BK626" i="40"/>
  <c r="K626" i="40"/>
  <c r="CH626" i="40"/>
  <c r="BR626" i="40"/>
  <c r="BB626" i="40"/>
  <c r="CG626" i="40"/>
  <c r="A626" i="40"/>
  <c r="M626" i="40"/>
  <c r="CM626" i="40" s="1"/>
  <c r="BU626" i="40"/>
  <c r="KN626" i="40"/>
  <c r="AE626" i="40"/>
  <c r="AB626" i="40"/>
  <c r="G626" i="40"/>
  <c r="BQ626" i="40"/>
  <c r="DW626" i="40"/>
  <c r="CD626" i="40"/>
  <c r="CC626" i="40"/>
  <c r="BG626" i="40"/>
  <c r="CB626" i="40"/>
  <c r="BW626" i="40"/>
  <c r="BN626" i="40"/>
  <c r="BY626" i="40"/>
  <c r="BL626" i="40"/>
  <c r="BE626" i="40"/>
  <c r="AX626" i="40"/>
  <c r="AH626" i="40"/>
  <c r="Z626" i="40"/>
  <c r="X626" i="40"/>
  <c r="Q626" i="40"/>
  <c r="R626" i="40"/>
  <c r="T626" i="40"/>
  <c r="CR626" i="40" s="1"/>
  <c r="AD626" i="40"/>
  <c r="AA626" i="40"/>
  <c r="E626" i="40"/>
  <c r="S626" i="40"/>
  <c r="V626" i="40"/>
  <c r="CT626" i="40" s="1"/>
  <c r="U626" i="40"/>
  <c r="CS626" i="40" s="1"/>
  <c r="Y626" i="40"/>
  <c r="AJ525" i="40"/>
  <c r="AF525" i="40"/>
  <c r="AB525" i="40"/>
  <c r="X525" i="40"/>
  <c r="T525" i="40"/>
  <c r="CR525" i="40" s="1"/>
  <c r="P525" i="40"/>
  <c r="L525" i="40"/>
  <c r="CL525" i="40" s="1"/>
  <c r="H525" i="40"/>
  <c r="AI525" i="40"/>
  <c r="AE525" i="40"/>
  <c r="AA525" i="40"/>
  <c r="CI609" i="40" s="1"/>
  <c r="W525" i="40"/>
  <c r="CU525" i="40" s="1"/>
  <c r="S525" i="40"/>
  <c r="O525" i="40"/>
  <c r="CO525" i="40" s="1"/>
  <c r="K525" i="40"/>
  <c r="G525" i="40"/>
  <c r="AH525" i="40"/>
  <c r="AD525" i="40"/>
  <c r="Z525" i="40"/>
  <c r="V525" i="40"/>
  <c r="CT525" i="40" s="1"/>
  <c r="R525" i="40"/>
  <c r="N525" i="40"/>
  <c r="CN525" i="40" s="1"/>
  <c r="J525" i="40"/>
  <c r="F525" i="40"/>
  <c r="AG525" i="40"/>
  <c r="Q525" i="40"/>
  <c r="AC525" i="40"/>
  <c r="M525" i="40"/>
  <c r="CM525" i="40" s="1"/>
  <c r="Y525" i="40"/>
  <c r="I525" i="40"/>
  <c r="U525" i="40"/>
  <c r="CS525" i="40" s="1"/>
  <c r="E525" i="40"/>
  <c r="AZ525" i="40"/>
  <c r="BP525" i="40"/>
  <c r="CF525" i="40"/>
  <c r="BA525" i="40"/>
  <c r="BQ525" i="40"/>
  <c r="CG525" i="40"/>
  <c r="BB525" i="40"/>
  <c r="BR525" i="40"/>
  <c r="CH525" i="40"/>
  <c r="CE525" i="40"/>
  <c r="BC525" i="40"/>
  <c r="BG525" i="40"/>
  <c r="HY525" i="40"/>
  <c r="IZ525" i="40"/>
  <c r="C526" i="40"/>
  <c r="BD525" i="40"/>
  <c r="BT525" i="40"/>
  <c r="DM525" i="40"/>
  <c r="BE525" i="40"/>
  <c r="BU525" i="40"/>
  <c r="DS525" i="40"/>
  <c r="BF525" i="40"/>
  <c r="BV525" i="40"/>
  <c r="DT525" i="40"/>
  <c r="BS525" i="40"/>
  <c r="BW525" i="40"/>
  <c r="IA525" i="40"/>
  <c r="IX525" i="40"/>
  <c r="A525" i="40"/>
  <c r="BH525" i="40"/>
  <c r="BX525" i="40"/>
  <c r="DV525" i="40"/>
  <c r="BI525" i="40"/>
  <c r="BY525" i="40"/>
  <c r="DW525" i="40"/>
  <c r="BJ525" i="40"/>
  <c r="BZ525" i="40"/>
  <c r="AX525" i="40"/>
  <c r="CA525" i="40"/>
  <c r="CJ525" i="40"/>
  <c r="DU525" i="40"/>
  <c r="HZ525" i="40"/>
  <c r="IY525" i="40"/>
  <c r="JP525" i="40"/>
  <c r="BL525" i="40"/>
  <c r="CB525" i="40"/>
  <c r="BM525" i="40"/>
  <c r="CC525" i="40"/>
  <c r="AW525" i="40"/>
  <c r="BN525" i="40"/>
  <c r="CD525" i="40"/>
  <c r="BO525" i="40"/>
  <c r="JO525" i="40"/>
  <c r="BK525" i="40"/>
  <c r="DB524" i="40"/>
  <c r="CK524" i="40"/>
  <c r="AM524" i="40"/>
  <c r="HW124" i="40"/>
  <c r="CV424" i="40"/>
  <c r="AP424" i="40"/>
  <c r="CP424" i="40"/>
  <c r="AN424" i="40"/>
  <c r="CK424" i="40"/>
  <c r="AM424" i="40"/>
  <c r="DB424" i="40"/>
  <c r="CQ424" i="40"/>
  <c r="AO424" i="40"/>
  <c r="C426" i="40"/>
  <c r="BK425" i="40"/>
  <c r="CA425" i="40"/>
  <c r="A425" i="40"/>
  <c r="BL425" i="40"/>
  <c r="CB425" i="40"/>
  <c r="BM425" i="40"/>
  <c r="CC425" i="40"/>
  <c r="BF425" i="40"/>
  <c r="HZ425" i="40"/>
  <c r="BI425" i="40"/>
  <c r="DT425" i="40"/>
  <c r="AX425" i="40"/>
  <c r="BO425" i="40"/>
  <c r="CE425" i="40"/>
  <c r="AZ425" i="40"/>
  <c r="BP425" i="40"/>
  <c r="CF425" i="40"/>
  <c r="BA425" i="40"/>
  <c r="BQ425" i="40"/>
  <c r="CG425" i="40"/>
  <c r="AW425" i="40"/>
  <c r="BB425" i="40"/>
  <c r="BV425" i="40"/>
  <c r="IZ425" i="40"/>
  <c r="JP425" i="40"/>
  <c r="BG425" i="40"/>
  <c r="DU425" i="40"/>
  <c r="BH425" i="40"/>
  <c r="DV425" i="40"/>
  <c r="BY425" i="40"/>
  <c r="BZ425" i="40"/>
  <c r="CH425" i="40"/>
  <c r="IX425" i="40"/>
  <c r="BC425" i="40"/>
  <c r="BS425" i="40"/>
  <c r="CJ425" i="40"/>
  <c r="BD425" i="40"/>
  <c r="BT425" i="40"/>
  <c r="DM425" i="40"/>
  <c r="BE425" i="40"/>
  <c r="BU425" i="40"/>
  <c r="DS425" i="40"/>
  <c r="BJ425" i="40"/>
  <c r="BN425" i="40"/>
  <c r="BR425" i="40"/>
  <c r="JO425" i="40"/>
  <c r="HY425" i="40"/>
  <c r="IY425" i="40"/>
  <c r="BW425" i="40"/>
  <c r="BX425" i="40"/>
  <c r="DW425" i="40"/>
  <c r="CD425" i="40"/>
  <c r="IA425" i="40"/>
  <c r="CP225" i="40"/>
  <c r="AN225" i="40"/>
  <c r="DB225" i="40"/>
  <c r="CQ225" i="40"/>
  <c r="AO225" i="40"/>
  <c r="BA226" i="40"/>
  <c r="BQ226" i="40"/>
  <c r="CG226" i="40"/>
  <c r="AW226" i="40"/>
  <c r="BN226" i="40"/>
  <c r="CD226" i="40"/>
  <c r="AX226" i="40"/>
  <c r="BO226" i="40"/>
  <c r="CE226" i="40"/>
  <c r="BL226" i="40"/>
  <c r="BP226" i="40"/>
  <c r="BT226" i="40"/>
  <c r="IZ226" i="40"/>
  <c r="IY226" i="40"/>
  <c r="BE226" i="40"/>
  <c r="BU226" i="40"/>
  <c r="DS226" i="40"/>
  <c r="BB226" i="40"/>
  <c r="BR226" i="40"/>
  <c r="CH226" i="40"/>
  <c r="BC226" i="40"/>
  <c r="BS226" i="40"/>
  <c r="CJ226" i="40"/>
  <c r="CB226" i="40"/>
  <c r="CF226" i="40"/>
  <c r="DM226" i="40"/>
  <c r="BH226" i="40"/>
  <c r="IX226" i="40"/>
  <c r="IA226" i="40"/>
  <c r="JP226" i="40"/>
  <c r="C227" i="40"/>
  <c r="BI226" i="40"/>
  <c r="BY226" i="40"/>
  <c r="DW226" i="40"/>
  <c r="BF226" i="40"/>
  <c r="BV226" i="40"/>
  <c r="DT226" i="40"/>
  <c r="BG226" i="40"/>
  <c r="BW226" i="40"/>
  <c r="DU226" i="40"/>
  <c r="BX226" i="40"/>
  <c r="HZ226" i="40"/>
  <c r="CU226" i="40"/>
  <c r="BM226" i="40"/>
  <c r="CC226" i="40"/>
  <c r="BJ226" i="40"/>
  <c r="BZ226" i="40"/>
  <c r="A226" i="40"/>
  <c r="BK226" i="40"/>
  <c r="CA226" i="40"/>
  <c r="CN226" i="40"/>
  <c r="AZ226" i="40"/>
  <c r="BD226" i="40"/>
  <c r="DV226" i="40"/>
  <c r="JO226" i="40"/>
  <c r="HY226" i="40"/>
  <c r="CK225" i="40"/>
  <c r="AM225" i="40"/>
  <c r="DB125" i="40"/>
  <c r="D124" i="40"/>
  <c r="AY124" i="40" s="1"/>
  <c r="HN125" i="40"/>
  <c r="HQ125" i="40" s="1"/>
  <c r="HM125" i="40"/>
  <c r="HP125" i="40" s="1"/>
  <c r="AP325" i="40"/>
  <c r="AP125" i="40"/>
  <c r="E29" i="44"/>
  <c r="CP325" i="40"/>
  <c r="AN325" i="40"/>
  <c r="DB325" i="40"/>
  <c r="C327" i="40"/>
  <c r="A326" i="40"/>
  <c r="AZ326" i="40"/>
  <c r="BD326" i="40"/>
  <c r="BH326" i="40"/>
  <c r="BL326" i="40"/>
  <c r="BP326" i="40"/>
  <c r="BT326" i="40"/>
  <c r="BX326" i="40"/>
  <c r="CB326" i="40"/>
  <c r="CF326" i="40"/>
  <c r="DM326" i="40"/>
  <c r="DV326" i="40"/>
  <c r="BA326" i="40"/>
  <c r="BE326" i="40"/>
  <c r="BI326" i="40"/>
  <c r="BM326" i="40"/>
  <c r="BQ326" i="40"/>
  <c r="BU326" i="40"/>
  <c r="BY326" i="40"/>
  <c r="CC326" i="40"/>
  <c r="CG326" i="40"/>
  <c r="DS326" i="40"/>
  <c r="DW326" i="40"/>
  <c r="AW326" i="40"/>
  <c r="BB326" i="40"/>
  <c r="BF326" i="40"/>
  <c r="BJ326" i="40"/>
  <c r="BN326" i="40"/>
  <c r="BR326" i="40"/>
  <c r="BV326" i="40"/>
  <c r="BZ326" i="40"/>
  <c r="CD326" i="40"/>
  <c r="CH326" i="40"/>
  <c r="DT326" i="40"/>
  <c r="BC326" i="40"/>
  <c r="BS326" i="40"/>
  <c r="CJ326" i="40"/>
  <c r="BG326" i="40"/>
  <c r="BW326" i="40"/>
  <c r="DU326" i="40"/>
  <c r="BK326" i="40"/>
  <c r="CA326" i="40"/>
  <c r="BO326" i="40"/>
  <c r="CE326" i="40"/>
  <c r="AX326" i="40"/>
  <c r="JO326" i="40"/>
  <c r="IY326" i="40"/>
  <c r="IX326" i="40"/>
  <c r="HZ326" i="40"/>
  <c r="IA326" i="40"/>
  <c r="IZ326" i="40"/>
  <c r="HY326" i="40"/>
  <c r="JP326" i="40"/>
  <c r="CV125" i="40"/>
  <c r="AL125" i="40"/>
  <c r="AK125" i="40"/>
  <c r="CP125" i="40"/>
  <c r="HV125" i="40" s="1"/>
  <c r="AN125" i="40"/>
  <c r="IP125" i="40"/>
  <c r="JB125" i="40" s="1"/>
  <c r="HR125" i="40"/>
  <c r="HP124" i="40"/>
  <c r="CV325" i="40"/>
  <c r="CQ125" i="40"/>
  <c r="AO125" i="40"/>
  <c r="CK125" i="40"/>
  <c r="AM125" i="40"/>
  <c r="HT125" i="40"/>
  <c r="JK123" i="40"/>
  <c r="JL123" i="40" s="1"/>
  <c r="KO121" i="40"/>
  <c r="H35" i="70"/>
  <c r="M35" i="70"/>
  <c r="JM122" i="40"/>
  <c r="IO125" i="40"/>
  <c r="JA125" i="40" s="1"/>
  <c r="HS125" i="40"/>
  <c r="JI124" i="40"/>
  <c r="CQ325" i="40"/>
  <c r="AO325" i="40"/>
  <c r="CK325" i="40"/>
  <c r="AM325" i="40"/>
  <c r="HQ124" i="40"/>
  <c r="IQ125" i="40"/>
  <c r="JC125" i="40" s="1"/>
  <c r="IK126" i="40"/>
  <c r="IN126" i="40" s="1"/>
  <c r="IJ126" i="40"/>
  <c r="IM126" i="40" s="1"/>
  <c r="JF126" i="40"/>
  <c r="HO126" i="40" s="1"/>
  <c r="HR126" i="40" s="1"/>
  <c r="II126" i="40"/>
  <c r="IL126" i="40" s="1"/>
  <c r="A126" i="40"/>
  <c r="AX126" i="40"/>
  <c r="BC126" i="40"/>
  <c r="BG126" i="40"/>
  <c r="BK126" i="40"/>
  <c r="BO126" i="40"/>
  <c r="BS126" i="40"/>
  <c r="BW126" i="40"/>
  <c r="CA126" i="40"/>
  <c r="CE126" i="40"/>
  <c r="CJ126" i="40"/>
  <c r="DU126" i="40"/>
  <c r="C127" i="40"/>
  <c r="CN126" i="40"/>
  <c r="AZ126" i="40"/>
  <c r="BD126" i="40"/>
  <c r="BH126" i="40"/>
  <c r="BL126" i="40"/>
  <c r="BP126" i="40"/>
  <c r="BT126" i="40"/>
  <c r="BX126" i="40"/>
  <c r="CB126" i="40"/>
  <c r="CF126" i="40"/>
  <c r="DM126" i="40"/>
  <c r="DV126" i="40"/>
  <c r="BE126" i="40"/>
  <c r="BM126" i="40"/>
  <c r="BU126" i="40"/>
  <c r="CC126" i="40"/>
  <c r="DS126" i="40"/>
  <c r="AW126" i="40"/>
  <c r="BF126" i="40"/>
  <c r="BN126" i="40"/>
  <c r="BV126" i="40"/>
  <c r="CD126" i="40"/>
  <c r="DT126" i="40"/>
  <c r="BA126" i="40"/>
  <c r="BI126" i="40"/>
  <c r="BQ126" i="40"/>
  <c r="BY126" i="40"/>
  <c r="CG126" i="40"/>
  <c r="DW126" i="40"/>
  <c r="BJ126" i="40"/>
  <c r="BR126" i="40"/>
  <c r="BZ126" i="40"/>
  <c r="BB126" i="40"/>
  <c r="CH126" i="40"/>
  <c r="JO126" i="40"/>
  <c r="IA126" i="40"/>
  <c r="IX126" i="40"/>
  <c r="IZ126" i="40"/>
  <c r="HZ126" i="40"/>
  <c r="HY126" i="40"/>
  <c r="IY126" i="40"/>
  <c r="JP126" i="40"/>
  <c r="JG126" i="40"/>
  <c r="HU125" i="40"/>
  <c r="HY625" i="40" l="1"/>
  <c r="IX625" i="40" s="1"/>
  <c r="CI509" i="40"/>
  <c r="CI210" i="40"/>
  <c r="CI410" i="40"/>
  <c r="CI126" i="40"/>
  <c r="IA625" i="40"/>
  <c r="IZ625" i="40" s="1"/>
  <c r="JJ124" i="40"/>
  <c r="DB525" i="40"/>
  <c r="CV226" i="40"/>
  <c r="CV626" i="40"/>
  <c r="HZ625" i="40"/>
  <c r="IY625" i="40" s="1"/>
  <c r="CP626" i="40"/>
  <c r="AG127" i="40"/>
  <c r="AC127" i="40"/>
  <c r="Y127" i="40"/>
  <c r="U127" i="40"/>
  <c r="CS127" i="40" s="1"/>
  <c r="Q127" i="40"/>
  <c r="M127" i="40"/>
  <c r="CM127" i="40" s="1"/>
  <c r="I127" i="40"/>
  <c r="E127" i="40"/>
  <c r="AI127" i="40"/>
  <c r="AE127" i="40"/>
  <c r="AA127" i="40"/>
  <c r="W127" i="40"/>
  <c r="CU127" i="40" s="1"/>
  <c r="S127" i="40"/>
  <c r="O127" i="40"/>
  <c r="CO127" i="40" s="1"/>
  <c r="K127" i="40"/>
  <c r="G127" i="40"/>
  <c r="AF127" i="40"/>
  <c r="X127" i="40"/>
  <c r="P127" i="40"/>
  <c r="H127" i="40"/>
  <c r="AH127" i="40"/>
  <c r="J127" i="40"/>
  <c r="AD127" i="40"/>
  <c r="V127" i="40"/>
  <c r="CT127" i="40" s="1"/>
  <c r="N127" i="40"/>
  <c r="CN127" i="40" s="1"/>
  <c r="F127" i="40"/>
  <c r="R127" i="40"/>
  <c r="AJ127" i="40"/>
  <c r="AB127" i="40"/>
  <c r="T127" i="40"/>
  <c r="CR127" i="40" s="1"/>
  <c r="L127" i="40"/>
  <c r="CL127" i="40" s="1"/>
  <c r="Z127" i="40"/>
  <c r="AJ526" i="40"/>
  <c r="AF526" i="40"/>
  <c r="AB526" i="40"/>
  <c r="X526" i="40"/>
  <c r="T526" i="40"/>
  <c r="CR526" i="40" s="1"/>
  <c r="P526" i="40"/>
  <c r="L526" i="40"/>
  <c r="CL526" i="40" s="1"/>
  <c r="H526" i="40"/>
  <c r="AI526" i="40"/>
  <c r="AE526" i="40"/>
  <c r="AA526" i="40"/>
  <c r="CI610" i="40" s="1"/>
  <c r="W526" i="40"/>
  <c r="CU526" i="40" s="1"/>
  <c r="S526" i="40"/>
  <c r="O526" i="40"/>
  <c r="CO526" i="40" s="1"/>
  <c r="K526" i="40"/>
  <c r="G526" i="40"/>
  <c r="AH526" i="40"/>
  <c r="AD526" i="40"/>
  <c r="Z526" i="40"/>
  <c r="V526" i="40"/>
  <c r="CT526" i="40" s="1"/>
  <c r="R526" i="40"/>
  <c r="N526" i="40"/>
  <c r="CN526" i="40" s="1"/>
  <c r="J526" i="40"/>
  <c r="F526" i="40"/>
  <c r="AG526" i="40"/>
  <c r="Q526" i="40"/>
  <c r="AC526" i="40"/>
  <c r="M526" i="40"/>
  <c r="CM526" i="40" s="1"/>
  <c r="Y526" i="40"/>
  <c r="I526" i="40"/>
  <c r="U526" i="40"/>
  <c r="CS526" i="40" s="1"/>
  <c r="E526" i="40"/>
  <c r="AW526" i="40"/>
  <c r="BN526" i="40"/>
  <c r="CD526" i="40"/>
  <c r="BK526" i="40"/>
  <c r="CA526" i="40"/>
  <c r="A526" i="40"/>
  <c r="BH526" i="40"/>
  <c r="BX526" i="40"/>
  <c r="DV526" i="40"/>
  <c r="JO526" i="40"/>
  <c r="CG526" i="40"/>
  <c r="DS526" i="40"/>
  <c r="IA526" i="40"/>
  <c r="BB526" i="40"/>
  <c r="BR526" i="40"/>
  <c r="CH526" i="40"/>
  <c r="AX526" i="40"/>
  <c r="BO526" i="40"/>
  <c r="CE526" i="40"/>
  <c r="BL526" i="40"/>
  <c r="CB526" i="40"/>
  <c r="BI526" i="40"/>
  <c r="BY526" i="40"/>
  <c r="DW526" i="40"/>
  <c r="IX526" i="40"/>
  <c r="JP526" i="40"/>
  <c r="BF526" i="40"/>
  <c r="BV526" i="40"/>
  <c r="DT526" i="40"/>
  <c r="BC526" i="40"/>
  <c r="BS526" i="40"/>
  <c r="CJ526" i="40"/>
  <c r="AZ526" i="40"/>
  <c r="BP526" i="40"/>
  <c r="CF526" i="40"/>
  <c r="BM526" i="40"/>
  <c r="BA526" i="40"/>
  <c r="BE526" i="40"/>
  <c r="HY526" i="40"/>
  <c r="C527" i="40"/>
  <c r="BJ526" i="40"/>
  <c r="BZ526" i="40"/>
  <c r="BG526" i="40"/>
  <c r="BW526" i="40"/>
  <c r="DU526" i="40"/>
  <c r="BD526" i="40"/>
  <c r="BT526" i="40"/>
  <c r="DM526" i="40"/>
  <c r="CC526" i="40"/>
  <c r="BQ526" i="40"/>
  <c r="BU526" i="40"/>
  <c r="HZ526" i="40"/>
  <c r="IZ526" i="40"/>
  <c r="IY526" i="40"/>
  <c r="AM525" i="40"/>
  <c r="CK525" i="40"/>
  <c r="AN626" i="40"/>
  <c r="AJ327" i="40"/>
  <c r="AF327" i="40"/>
  <c r="AB327" i="40"/>
  <c r="X327" i="40"/>
  <c r="T327" i="40"/>
  <c r="CR327" i="40" s="1"/>
  <c r="P327" i="40"/>
  <c r="L327" i="40"/>
  <c r="CL327" i="40" s="1"/>
  <c r="H327" i="40"/>
  <c r="AH327" i="40"/>
  <c r="AC327" i="40"/>
  <c r="W327" i="40"/>
  <c r="CU327" i="40" s="1"/>
  <c r="R327" i="40"/>
  <c r="M327" i="40"/>
  <c r="CM327" i="40" s="1"/>
  <c r="G327" i="40"/>
  <c r="AG327" i="40"/>
  <c r="AA327" i="40"/>
  <c r="V327" i="40"/>
  <c r="CT327" i="40" s="1"/>
  <c r="Q327" i="40"/>
  <c r="K327" i="40"/>
  <c r="F327" i="40"/>
  <c r="AE327" i="40"/>
  <c r="Z327" i="40"/>
  <c r="U327" i="40"/>
  <c r="CS327" i="40" s="1"/>
  <c r="O327" i="40"/>
  <c r="CO327" i="40" s="1"/>
  <c r="J327" i="40"/>
  <c r="E327" i="40"/>
  <c r="AD327" i="40"/>
  <c r="I327" i="40"/>
  <c r="Y327" i="40"/>
  <c r="S327" i="40"/>
  <c r="N327" i="40"/>
  <c r="CN327" i="40" s="1"/>
  <c r="AI327" i="40"/>
  <c r="CP525" i="40"/>
  <c r="AN525" i="40"/>
  <c r="AP626" i="40"/>
  <c r="AG227" i="40"/>
  <c r="AC227" i="40"/>
  <c r="Y227" i="40"/>
  <c r="U227" i="40"/>
  <c r="CS227" i="40" s="1"/>
  <c r="Q227" i="40"/>
  <c r="M227" i="40"/>
  <c r="CM227" i="40" s="1"/>
  <c r="I227" i="40"/>
  <c r="E227" i="40"/>
  <c r="AJ227" i="40"/>
  <c r="AF227" i="40"/>
  <c r="AB227" i="40"/>
  <c r="X227" i="40"/>
  <c r="T227" i="40"/>
  <c r="CR227" i="40" s="1"/>
  <c r="P227" i="40"/>
  <c r="L227" i="40"/>
  <c r="CL227" i="40" s="1"/>
  <c r="H227" i="40"/>
  <c r="AI227" i="40"/>
  <c r="AE227" i="40"/>
  <c r="AA227" i="40"/>
  <c r="CI311" i="40" s="1"/>
  <c r="W227" i="40"/>
  <c r="CU227" i="40" s="1"/>
  <c r="S227" i="40"/>
  <c r="O227" i="40"/>
  <c r="CO227" i="40" s="1"/>
  <c r="K227" i="40"/>
  <c r="G227" i="40"/>
  <c r="AH227" i="40"/>
  <c r="R227" i="40"/>
  <c r="AD227" i="40"/>
  <c r="N227" i="40"/>
  <c r="CN227" i="40" s="1"/>
  <c r="Z227" i="40"/>
  <c r="J227" i="40"/>
  <c r="V227" i="40"/>
  <c r="CT227" i="40" s="1"/>
  <c r="F227" i="40"/>
  <c r="AI426" i="40"/>
  <c r="AE426" i="40"/>
  <c r="AA426" i="40"/>
  <c r="W426" i="40"/>
  <c r="CU426" i="40" s="1"/>
  <c r="S426" i="40"/>
  <c r="O426" i="40"/>
  <c r="CO426" i="40" s="1"/>
  <c r="K426" i="40"/>
  <c r="G426" i="40"/>
  <c r="AH426" i="40"/>
  <c r="AD426" i="40"/>
  <c r="Z426" i="40"/>
  <c r="V426" i="40"/>
  <c r="CT426" i="40" s="1"/>
  <c r="R426" i="40"/>
  <c r="N426" i="40"/>
  <c r="CN426" i="40" s="1"/>
  <c r="J426" i="40"/>
  <c r="F426" i="40"/>
  <c r="AG426" i="40"/>
  <c r="AC426" i="40"/>
  <c r="Y426" i="40"/>
  <c r="U426" i="40"/>
  <c r="CS426" i="40" s="1"/>
  <c r="Q426" i="40"/>
  <c r="M426" i="40"/>
  <c r="CM426" i="40" s="1"/>
  <c r="I426" i="40"/>
  <c r="E426" i="40"/>
  <c r="AJ426" i="40"/>
  <c r="T426" i="40"/>
  <c r="CR426" i="40" s="1"/>
  <c r="AF426" i="40"/>
  <c r="P426" i="40"/>
  <c r="AB426" i="40"/>
  <c r="L426" i="40"/>
  <c r="CL426" i="40" s="1"/>
  <c r="H426" i="40"/>
  <c r="X426" i="40"/>
  <c r="CV525" i="40"/>
  <c r="CQ525" i="40"/>
  <c r="AO525" i="40"/>
  <c r="CQ626" i="40"/>
  <c r="AO626" i="40"/>
  <c r="DB626" i="40"/>
  <c r="I627" i="40"/>
  <c r="AJ627" i="40"/>
  <c r="AC627" i="40"/>
  <c r="CJ627" i="40"/>
  <c r="BX627" i="40"/>
  <c r="BH627" i="40"/>
  <c r="P627" i="40"/>
  <c r="DS627" i="40"/>
  <c r="BS627" i="40"/>
  <c r="BC627" i="40"/>
  <c r="DV627" i="40"/>
  <c r="BZ627" i="40"/>
  <c r="BJ627" i="40"/>
  <c r="AH627" i="40"/>
  <c r="BU627" i="40"/>
  <c r="BA627" i="40"/>
  <c r="BM627" i="40"/>
  <c r="BI627" i="40"/>
  <c r="R627" i="40"/>
  <c r="W627" i="40"/>
  <c r="CU627" i="40" s="1"/>
  <c r="JO627" i="40"/>
  <c r="AE627" i="40"/>
  <c r="DT627" i="40"/>
  <c r="BT627" i="40"/>
  <c r="BD627" i="40"/>
  <c r="L627" i="40"/>
  <c r="CL627" i="40" s="1"/>
  <c r="CE627" i="40"/>
  <c r="BO627" i="40"/>
  <c r="O627" i="40"/>
  <c r="CO627" i="40" s="1"/>
  <c r="DM627" i="40"/>
  <c r="BV627" i="40"/>
  <c r="BF627" i="40"/>
  <c r="N627" i="40"/>
  <c r="CN627" i="40" s="1"/>
  <c r="BE627" i="40"/>
  <c r="AG627" i="40"/>
  <c r="AW627" i="40"/>
  <c r="JP627" i="40"/>
  <c r="AF627" i="40"/>
  <c r="CF627" i="40"/>
  <c r="BP627" i="40"/>
  <c r="AZ627" i="40"/>
  <c r="C628" i="40"/>
  <c r="CA627" i="40"/>
  <c r="BK627" i="40"/>
  <c r="K627" i="40"/>
  <c r="CH627" i="40"/>
  <c r="BR627" i="40"/>
  <c r="BB627" i="40"/>
  <c r="J627" i="40"/>
  <c r="CG627" i="40"/>
  <c r="A627" i="40"/>
  <c r="M627" i="40"/>
  <c r="CM627" i="40" s="1"/>
  <c r="DW627" i="40"/>
  <c r="CD627" i="40"/>
  <c r="BQ627" i="40"/>
  <c r="CB627" i="40"/>
  <c r="BW627" i="40"/>
  <c r="BN627" i="40"/>
  <c r="CC627" i="40"/>
  <c r="F627" i="40"/>
  <c r="AB627" i="40"/>
  <c r="KN627" i="40"/>
  <c r="H627" i="40"/>
  <c r="BL627" i="40"/>
  <c r="BG627" i="40"/>
  <c r="AX627" i="40"/>
  <c r="BY627" i="40"/>
  <c r="AI627" i="40"/>
  <c r="G627" i="40"/>
  <c r="DU627" i="40"/>
  <c r="T627" i="40"/>
  <c r="CR627" i="40" s="1"/>
  <c r="Z627" i="40"/>
  <c r="U627" i="40"/>
  <c r="CS627" i="40" s="1"/>
  <c r="Q627" i="40"/>
  <c r="V627" i="40"/>
  <c r="CT627" i="40" s="1"/>
  <c r="S627" i="40"/>
  <c r="X627" i="40"/>
  <c r="AD627" i="40"/>
  <c r="AA627" i="40"/>
  <c r="E627" i="40"/>
  <c r="Y627" i="40"/>
  <c r="AP525" i="40"/>
  <c r="CK626" i="40"/>
  <c r="AM626" i="40"/>
  <c r="D125" i="40"/>
  <c r="AY125" i="40" s="1"/>
  <c r="AO425" i="40"/>
  <c r="CQ425" i="40"/>
  <c r="CK425" i="40"/>
  <c r="AM425" i="40"/>
  <c r="BD426" i="40"/>
  <c r="BT426" i="40"/>
  <c r="DM426" i="40"/>
  <c r="BE426" i="40"/>
  <c r="BU426" i="40"/>
  <c r="DS426" i="40"/>
  <c r="BB426" i="40"/>
  <c r="BR426" i="40"/>
  <c r="CH426" i="40"/>
  <c r="BG426" i="40"/>
  <c r="BK426" i="40"/>
  <c r="BO426" i="40"/>
  <c r="HY426" i="40"/>
  <c r="IY426" i="40"/>
  <c r="C427" i="40"/>
  <c r="BH426" i="40"/>
  <c r="BX426" i="40"/>
  <c r="DV426" i="40"/>
  <c r="BI426" i="40"/>
  <c r="BY426" i="40"/>
  <c r="DW426" i="40"/>
  <c r="BF426" i="40"/>
  <c r="BV426" i="40"/>
  <c r="DT426" i="40"/>
  <c r="BW426" i="40"/>
  <c r="CA426" i="40"/>
  <c r="CE426" i="40"/>
  <c r="BS426" i="40"/>
  <c r="IA426" i="40"/>
  <c r="BL426" i="40"/>
  <c r="CB426" i="40"/>
  <c r="BM426" i="40"/>
  <c r="CC426" i="40"/>
  <c r="BZ426" i="40"/>
  <c r="A426" i="40"/>
  <c r="CJ426" i="40"/>
  <c r="AZ426" i="40"/>
  <c r="BP426" i="40"/>
  <c r="CF426" i="40"/>
  <c r="BA426" i="40"/>
  <c r="BQ426" i="40"/>
  <c r="CG426" i="40"/>
  <c r="AW426" i="40"/>
  <c r="BN426" i="40"/>
  <c r="CD426" i="40"/>
  <c r="AX426" i="40"/>
  <c r="JO426" i="40"/>
  <c r="HZ426" i="40"/>
  <c r="IX426" i="40"/>
  <c r="BJ426" i="40"/>
  <c r="DU426" i="40"/>
  <c r="BC426" i="40"/>
  <c r="IZ426" i="40"/>
  <c r="JP426" i="40"/>
  <c r="DB425" i="40"/>
  <c r="CP425" i="40"/>
  <c r="AN425" i="40"/>
  <c r="CV425" i="40"/>
  <c r="AP425" i="40"/>
  <c r="DB226" i="40"/>
  <c r="AX227" i="40"/>
  <c r="BO227" i="40"/>
  <c r="CE227" i="40"/>
  <c r="AZ227" i="40"/>
  <c r="BP227" i="40"/>
  <c r="CF227" i="40"/>
  <c r="BA227" i="40"/>
  <c r="BQ227" i="40"/>
  <c r="CG227" i="40"/>
  <c r="AW227" i="40"/>
  <c r="BB227" i="40"/>
  <c r="HZ227" i="40"/>
  <c r="BC227" i="40"/>
  <c r="BS227" i="40"/>
  <c r="CJ227" i="40"/>
  <c r="BD227" i="40"/>
  <c r="BT227" i="40"/>
  <c r="DM227" i="40"/>
  <c r="BE227" i="40"/>
  <c r="BU227" i="40"/>
  <c r="DS227" i="40"/>
  <c r="BJ227" i="40"/>
  <c r="BN227" i="40"/>
  <c r="BR227" i="40"/>
  <c r="BF227" i="40"/>
  <c r="IA227" i="40"/>
  <c r="BG227" i="40"/>
  <c r="BW227" i="40"/>
  <c r="DU227" i="40"/>
  <c r="BH227" i="40"/>
  <c r="BX227" i="40"/>
  <c r="DV227" i="40"/>
  <c r="BI227" i="40"/>
  <c r="BY227" i="40"/>
  <c r="DW227" i="40"/>
  <c r="BZ227" i="40"/>
  <c r="CD227" i="40"/>
  <c r="CH227" i="40"/>
  <c r="BV227" i="40"/>
  <c r="IX227" i="40"/>
  <c r="HY227" i="40"/>
  <c r="IY227" i="40"/>
  <c r="C228" i="40"/>
  <c r="BK227" i="40"/>
  <c r="CA227" i="40"/>
  <c r="A227" i="40"/>
  <c r="BL227" i="40"/>
  <c r="CB227" i="40"/>
  <c r="BM227" i="40"/>
  <c r="CC227" i="40"/>
  <c r="DT227" i="40"/>
  <c r="JO227" i="40"/>
  <c r="IZ227" i="40"/>
  <c r="JP227" i="40"/>
  <c r="AP226" i="40"/>
  <c r="CQ226" i="40"/>
  <c r="AO226" i="40"/>
  <c r="AM226" i="40"/>
  <c r="CK226" i="40"/>
  <c r="CP226" i="40"/>
  <c r="AN226" i="40"/>
  <c r="IQ126" i="40"/>
  <c r="JC126" i="40" s="1"/>
  <c r="HN126" i="40"/>
  <c r="HQ126" i="40" s="1"/>
  <c r="HM126" i="40"/>
  <c r="HP126" i="40" s="1"/>
  <c r="HX125" i="40"/>
  <c r="HW125" i="40"/>
  <c r="IC125" i="40" s="1"/>
  <c r="CV126" i="40"/>
  <c r="AK126" i="40"/>
  <c r="AL126" i="40"/>
  <c r="JI125" i="40"/>
  <c r="DB126" i="40"/>
  <c r="IO126" i="40"/>
  <c r="JA126" i="40" s="1"/>
  <c r="HT126" i="40"/>
  <c r="JH125" i="40"/>
  <c r="KO122" i="40"/>
  <c r="H36" i="70"/>
  <c r="M36" i="70"/>
  <c r="JM123" i="40"/>
  <c r="CQ326" i="40"/>
  <c r="AO326" i="40"/>
  <c r="AO126" i="40"/>
  <c r="CQ126" i="40"/>
  <c r="CK126" i="40"/>
  <c r="AM126" i="40"/>
  <c r="IK127" i="40"/>
  <c r="IN127" i="40" s="1"/>
  <c r="JF127" i="40"/>
  <c r="HO127" i="40" s="1"/>
  <c r="HR127" i="40" s="1"/>
  <c r="II127" i="40"/>
  <c r="IL127" i="40" s="1"/>
  <c r="IJ127" i="40"/>
  <c r="IM127" i="40" s="1"/>
  <c r="C128" i="40"/>
  <c r="AZ127" i="40"/>
  <c r="BD127" i="40"/>
  <c r="BH127" i="40"/>
  <c r="BL127" i="40"/>
  <c r="BP127" i="40"/>
  <c r="BT127" i="40"/>
  <c r="BX127" i="40"/>
  <c r="CB127" i="40"/>
  <c r="CF127" i="40"/>
  <c r="DM127" i="40"/>
  <c r="AX127" i="40"/>
  <c r="BE127" i="40"/>
  <c r="BJ127" i="40"/>
  <c r="BO127" i="40"/>
  <c r="BU127" i="40"/>
  <c r="BZ127" i="40"/>
  <c r="CE127" i="40"/>
  <c r="DS127" i="40"/>
  <c r="DW127" i="40"/>
  <c r="BA127" i="40"/>
  <c r="BF127" i="40"/>
  <c r="BK127" i="40"/>
  <c r="BQ127" i="40"/>
  <c r="BV127" i="40"/>
  <c r="CA127" i="40"/>
  <c r="CG127" i="40"/>
  <c r="DT127" i="40"/>
  <c r="BB127" i="40"/>
  <c r="BG127" i="40"/>
  <c r="BM127" i="40"/>
  <c r="BR127" i="40"/>
  <c r="BW127" i="40"/>
  <c r="CC127" i="40"/>
  <c r="CH127" i="40"/>
  <c r="DU127" i="40"/>
  <c r="A127" i="40"/>
  <c r="AW127" i="40"/>
  <c r="BS127" i="40"/>
  <c r="DV127" i="40"/>
  <c r="BC127" i="40"/>
  <c r="BY127" i="40"/>
  <c r="BI127" i="40"/>
  <c r="CD127" i="40"/>
  <c r="BN127" i="40"/>
  <c r="CJ127" i="40"/>
  <c r="JO127" i="40"/>
  <c r="IX127" i="40"/>
  <c r="IZ127" i="40"/>
  <c r="IA127" i="40"/>
  <c r="HY127" i="40"/>
  <c r="HZ127" i="40"/>
  <c r="IY127" i="40"/>
  <c r="JP127" i="40"/>
  <c r="JG127" i="40"/>
  <c r="HU126" i="40"/>
  <c r="IC124" i="40"/>
  <c r="CP326" i="40"/>
  <c r="AN326" i="40"/>
  <c r="HS126" i="40"/>
  <c r="E30" i="44"/>
  <c r="JH124" i="40"/>
  <c r="CV326" i="40"/>
  <c r="AP326" i="40"/>
  <c r="CK326" i="40"/>
  <c r="AM326" i="40"/>
  <c r="AP126" i="40"/>
  <c r="IP126" i="40"/>
  <c r="JB126" i="40" s="1"/>
  <c r="E31" i="44" s="1"/>
  <c r="CP126" i="40"/>
  <c r="HV126" i="40" s="1"/>
  <c r="AN126" i="40"/>
  <c r="DB326" i="40"/>
  <c r="C328" i="40"/>
  <c r="AW327" i="40"/>
  <c r="BB327" i="40"/>
  <c r="BF327" i="40"/>
  <c r="BJ327" i="40"/>
  <c r="BN327" i="40"/>
  <c r="BR327" i="40"/>
  <c r="BV327" i="40"/>
  <c r="BZ327" i="40"/>
  <c r="CD327" i="40"/>
  <c r="CH327" i="40"/>
  <c r="DT327" i="40"/>
  <c r="AX327" i="40"/>
  <c r="BC327" i="40"/>
  <c r="BG327" i="40"/>
  <c r="BK327" i="40"/>
  <c r="BO327" i="40"/>
  <c r="BS327" i="40"/>
  <c r="BW327" i="40"/>
  <c r="CA327" i="40"/>
  <c r="CE327" i="40"/>
  <c r="CJ327" i="40"/>
  <c r="DU327" i="40"/>
  <c r="A327" i="40"/>
  <c r="AZ327" i="40"/>
  <c r="BD327" i="40"/>
  <c r="BH327" i="40"/>
  <c r="BL327" i="40"/>
  <c r="BP327" i="40"/>
  <c r="BT327" i="40"/>
  <c r="BX327" i="40"/>
  <c r="CB327" i="40"/>
  <c r="CF327" i="40"/>
  <c r="DM327" i="40"/>
  <c r="DV327" i="40"/>
  <c r="BA327" i="40"/>
  <c r="BQ327" i="40"/>
  <c r="CG327" i="40"/>
  <c r="BE327" i="40"/>
  <c r="BU327" i="40"/>
  <c r="DS327" i="40"/>
  <c r="BI327" i="40"/>
  <c r="BY327" i="40"/>
  <c r="DW327" i="40"/>
  <c r="BM327" i="40"/>
  <c r="CC327" i="40"/>
  <c r="JO327" i="40"/>
  <c r="IY327" i="40"/>
  <c r="HZ327" i="40"/>
  <c r="IA327" i="40"/>
  <c r="IX327" i="40"/>
  <c r="IZ327" i="40"/>
  <c r="HY327" i="40"/>
  <c r="JP327" i="40"/>
  <c r="CI510" i="40" l="1"/>
  <c r="CI211" i="40"/>
  <c r="HY626" i="40"/>
  <c r="CI411" i="40"/>
  <c r="CI127" i="40"/>
  <c r="JK124" i="40"/>
  <c r="JL124" i="40" s="1"/>
  <c r="JM124" i="40" s="1"/>
  <c r="IA626" i="40"/>
  <c r="IZ626" i="40" s="1"/>
  <c r="CV426" i="40"/>
  <c r="CV627" i="40"/>
  <c r="CV526" i="40"/>
  <c r="IX626" i="40"/>
  <c r="AN627" i="40"/>
  <c r="AF628" i="40"/>
  <c r="DS628" i="40"/>
  <c r="BT628" i="40"/>
  <c r="BD628" i="40"/>
  <c r="L628" i="40"/>
  <c r="CL628" i="40" s="1"/>
  <c r="BW628" i="40"/>
  <c r="BG628" i="40"/>
  <c r="G628" i="40"/>
  <c r="BZ628" i="40"/>
  <c r="BJ628" i="40"/>
  <c r="AH628" i="40"/>
  <c r="BI628" i="40"/>
  <c r="M628" i="40"/>
  <c r="CM628" i="40" s="1"/>
  <c r="BA628" i="40"/>
  <c r="AW628" i="40"/>
  <c r="W628" i="40"/>
  <c r="CU628" i="40" s="1"/>
  <c r="JO628" i="40"/>
  <c r="H628" i="40"/>
  <c r="AI628" i="40"/>
  <c r="F628" i="40"/>
  <c r="DT628" i="40"/>
  <c r="CF628" i="40"/>
  <c r="BP628" i="40"/>
  <c r="AZ628" i="40"/>
  <c r="DV628" i="40"/>
  <c r="BS628" i="40"/>
  <c r="BC628" i="40"/>
  <c r="DU628" i="40"/>
  <c r="BV628" i="40"/>
  <c r="BF628" i="40"/>
  <c r="N628" i="40"/>
  <c r="CN628" i="40" s="1"/>
  <c r="BU628" i="40"/>
  <c r="DM628" i="40"/>
  <c r="AG628" i="40"/>
  <c r="JP628" i="40"/>
  <c r="I628" i="40"/>
  <c r="AJ628" i="40"/>
  <c r="AC628" i="40"/>
  <c r="C629" i="40"/>
  <c r="CB628" i="40"/>
  <c r="BL628" i="40"/>
  <c r="AB628" i="40"/>
  <c r="CE628" i="40"/>
  <c r="BO628" i="40"/>
  <c r="O628" i="40"/>
  <c r="CO628" i="40" s="1"/>
  <c r="CH628" i="40"/>
  <c r="BR628" i="40"/>
  <c r="BB628" i="40"/>
  <c r="J628" i="40"/>
  <c r="BE628" i="40"/>
  <c r="CG628" i="40"/>
  <c r="A628" i="40"/>
  <c r="KN628" i="40"/>
  <c r="CJ628" i="40"/>
  <c r="BH628" i="40"/>
  <c r="K628" i="40"/>
  <c r="BY628" i="40"/>
  <c r="AE628" i="40"/>
  <c r="P628" i="40"/>
  <c r="CD628" i="40"/>
  <c r="BM628" i="40"/>
  <c r="BK628" i="40"/>
  <c r="CC628" i="40"/>
  <c r="DW628" i="40"/>
  <c r="CA628" i="40"/>
  <c r="BN628" i="40"/>
  <c r="BQ628" i="40"/>
  <c r="BX628" i="40"/>
  <c r="AX628" i="40"/>
  <c r="T628" i="40"/>
  <c r="CR628" i="40" s="1"/>
  <c r="R628" i="40"/>
  <c r="Z628" i="40"/>
  <c r="U628" i="40"/>
  <c r="CS628" i="40" s="1"/>
  <c r="S628" i="40"/>
  <c r="X628" i="40"/>
  <c r="Q628" i="40"/>
  <c r="V628" i="40"/>
  <c r="CT628" i="40" s="1"/>
  <c r="AD628" i="40"/>
  <c r="AA628" i="40"/>
  <c r="E628" i="40"/>
  <c r="Y628" i="40"/>
  <c r="AJ527" i="40"/>
  <c r="AF527" i="40"/>
  <c r="AB527" i="40"/>
  <c r="X527" i="40"/>
  <c r="T527" i="40"/>
  <c r="CR527" i="40" s="1"/>
  <c r="P527" i="40"/>
  <c r="L527" i="40"/>
  <c r="CL527" i="40" s="1"/>
  <c r="H527" i="40"/>
  <c r="AI527" i="40"/>
  <c r="AE527" i="40"/>
  <c r="AA527" i="40"/>
  <c r="CI611" i="40" s="1"/>
  <c r="W527" i="40"/>
  <c r="CU527" i="40" s="1"/>
  <c r="S527" i="40"/>
  <c r="O527" i="40"/>
  <c r="CO527" i="40" s="1"/>
  <c r="K527" i="40"/>
  <c r="G527" i="40"/>
  <c r="AH527" i="40"/>
  <c r="AD527" i="40"/>
  <c r="Z527" i="40"/>
  <c r="V527" i="40"/>
  <c r="CT527" i="40" s="1"/>
  <c r="R527" i="40"/>
  <c r="N527" i="40"/>
  <c r="CN527" i="40" s="1"/>
  <c r="J527" i="40"/>
  <c r="F527" i="40"/>
  <c r="AG527" i="40"/>
  <c r="Q527" i="40"/>
  <c r="AC527" i="40"/>
  <c r="M527" i="40"/>
  <c r="CM527" i="40" s="1"/>
  <c r="Y527" i="40"/>
  <c r="I527" i="40"/>
  <c r="U527" i="40"/>
  <c r="CS527" i="40" s="1"/>
  <c r="E527" i="40"/>
  <c r="A527" i="40"/>
  <c r="BH527" i="40"/>
  <c r="BX527" i="40"/>
  <c r="DV527" i="40"/>
  <c r="BI527" i="40"/>
  <c r="BY527" i="40"/>
  <c r="DW527" i="40"/>
  <c r="BJ527" i="40"/>
  <c r="BZ527" i="40"/>
  <c r="DU527" i="40"/>
  <c r="JO527" i="40"/>
  <c r="CJ527" i="40"/>
  <c r="IA527" i="40"/>
  <c r="JP527" i="40"/>
  <c r="BT527" i="40"/>
  <c r="CE527" i="40"/>
  <c r="BL527" i="40"/>
  <c r="CB527" i="40"/>
  <c r="BM527" i="40"/>
  <c r="CC527" i="40"/>
  <c r="AW527" i="40"/>
  <c r="BN527" i="40"/>
  <c r="CD527" i="40"/>
  <c r="BK527" i="40"/>
  <c r="AX527" i="40"/>
  <c r="BG527" i="40"/>
  <c r="BW527" i="40"/>
  <c r="IZ527" i="40"/>
  <c r="C528" i="40"/>
  <c r="BD527" i="40"/>
  <c r="DM527" i="40"/>
  <c r="BE527" i="40"/>
  <c r="BU527" i="40"/>
  <c r="DS527" i="40"/>
  <c r="BF527" i="40"/>
  <c r="BV527" i="40"/>
  <c r="DT527" i="40"/>
  <c r="BS527" i="40"/>
  <c r="HY527" i="40"/>
  <c r="IY527" i="40"/>
  <c r="AZ527" i="40"/>
  <c r="BP527" i="40"/>
  <c r="CF527" i="40"/>
  <c r="BA527" i="40"/>
  <c r="BQ527" i="40"/>
  <c r="CG527" i="40"/>
  <c r="BB527" i="40"/>
  <c r="BR527" i="40"/>
  <c r="CH527" i="40"/>
  <c r="CA527" i="40"/>
  <c r="BO527" i="40"/>
  <c r="BC527" i="40"/>
  <c r="HZ527" i="40"/>
  <c r="IX527" i="40"/>
  <c r="AP526" i="40"/>
  <c r="CK627" i="40"/>
  <c r="AM627" i="40"/>
  <c r="DB526" i="40"/>
  <c r="CK526" i="40"/>
  <c r="AM526" i="40"/>
  <c r="AP627" i="40"/>
  <c r="HZ626" i="40"/>
  <c r="IY626" i="40" s="1"/>
  <c r="AG228" i="40"/>
  <c r="AC228" i="40"/>
  <c r="Y228" i="40"/>
  <c r="U228" i="40"/>
  <c r="CS228" i="40" s="1"/>
  <c r="Q228" i="40"/>
  <c r="M228" i="40"/>
  <c r="CM228" i="40" s="1"/>
  <c r="I228" i="40"/>
  <c r="E228" i="40"/>
  <c r="AJ228" i="40"/>
  <c r="AF228" i="40"/>
  <c r="AB228" i="40"/>
  <c r="X228" i="40"/>
  <c r="T228" i="40"/>
  <c r="CR228" i="40" s="1"/>
  <c r="P228" i="40"/>
  <c r="L228" i="40"/>
  <c r="CL228" i="40" s="1"/>
  <c r="H228" i="40"/>
  <c r="AI228" i="40"/>
  <c r="AE228" i="40"/>
  <c r="AA228" i="40"/>
  <c r="CI312" i="40" s="1"/>
  <c r="W228" i="40"/>
  <c r="CU228" i="40" s="1"/>
  <c r="S228" i="40"/>
  <c r="O228" i="40"/>
  <c r="CO228" i="40" s="1"/>
  <c r="K228" i="40"/>
  <c r="G228" i="40"/>
  <c r="AH228" i="40"/>
  <c r="R228" i="40"/>
  <c r="AD228" i="40"/>
  <c r="N228" i="40"/>
  <c r="CN228" i="40" s="1"/>
  <c r="Z228" i="40"/>
  <c r="J228" i="40"/>
  <c r="V228" i="40"/>
  <c r="CT228" i="40" s="1"/>
  <c r="F228" i="40"/>
  <c r="AI427" i="40"/>
  <c r="AE427" i="40"/>
  <c r="AA427" i="40"/>
  <c r="W427" i="40"/>
  <c r="CU427" i="40" s="1"/>
  <c r="S427" i="40"/>
  <c r="O427" i="40"/>
  <c r="CO427" i="40" s="1"/>
  <c r="K427" i="40"/>
  <c r="G427" i="40"/>
  <c r="AH427" i="40"/>
  <c r="AD427" i="40"/>
  <c r="Z427" i="40"/>
  <c r="V427" i="40"/>
  <c r="CT427" i="40" s="1"/>
  <c r="R427" i="40"/>
  <c r="N427" i="40"/>
  <c r="CN427" i="40" s="1"/>
  <c r="J427" i="40"/>
  <c r="F427" i="40"/>
  <c r="AG427" i="40"/>
  <c r="AC427" i="40"/>
  <c r="Y427" i="40"/>
  <c r="U427" i="40"/>
  <c r="CS427" i="40" s="1"/>
  <c r="Q427" i="40"/>
  <c r="M427" i="40"/>
  <c r="CM427" i="40" s="1"/>
  <c r="I427" i="40"/>
  <c r="E427" i="40"/>
  <c r="AJ427" i="40"/>
  <c r="T427" i="40"/>
  <c r="CR427" i="40" s="1"/>
  <c r="AF427" i="40"/>
  <c r="P427" i="40"/>
  <c r="AB427" i="40"/>
  <c r="L427" i="40"/>
  <c r="CL427" i="40" s="1"/>
  <c r="X427" i="40"/>
  <c r="H427" i="40"/>
  <c r="CQ627" i="40"/>
  <c r="AO627" i="40"/>
  <c r="DB627" i="40"/>
  <c r="CP526" i="40"/>
  <c r="AN526" i="40"/>
  <c r="AJ328" i="40"/>
  <c r="AF328" i="40"/>
  <c r="AB328" i="40"/>
  <c r="X328" i="40"/>
  <c r="T328" i="40"/>
  <c r="CR328" i="40" s="1"/>
  <c r="P328" i="40"/>
  <c r="L328" i="40"/>
  <c r="CL328" i="40" s="1"/>
  <c r="H328" i="40"/>
  <c r="AH328" i="40"/>
  <c r="AC328" i="40"/>
  <c r="W328" i="40"/>
  <c r="CU328" i="40" s="1"/>
  <c r="R328" i="40"/>
  <c r="M328" i="40"/>
  <c r="CM328" i="40" s="1"/>
  <c r="G328" i="40"/>
  <c r="AG328" i="40"/>
  <c r="AA328" i="40"/>
  <c r="V328" i="40"/>
  <c r="CT328" i="40" s="1"/>
  <c r="Q328" i="40"/>
  <c r="K328" i="40"/>
  <c r="F328" i="40"/>
  <c r="AE328" i="40"/>
  <c r="Z328" i="40"/>
  <c r="U328" i="40"/>
  <c r="CS328" i="40" s="1"/>
  <c r="O328" i="40"/>
  <c r="CO328" i="40" s="1"/>
  <c r="J328" i="40"/>
  <c r="E328" i="40"/>
  <c r="S328" i="40"/>
  <c r="AI328" i="40"/>
  <c r="N328" i="40"/>
  <c r="CN328" i="40" s="1"/>
  <c r="AD328" i="40"/>
  <c r="I328" i="40"/>
  <c r="Y328" i="40"/>
  <c r="AG128" i="40"/>
  <c r="AC128" i="40"/>
  <c r="Y128" i="40"/>
  <c r="U128" i="40"/>
  <c r="CS128" i="40" s="1"/>
  <c r="Q128" i="40"/>
  <c r="M128" i="40"/>
  <c r="CM128" i="40" s="1"/>
  <c r="I128" i="40"/>
  <c r="E128" i="40"/>
  <c r="AI128" i="40"/>
  <c r="AE128" i="40"/>
  <c r="AA128" i="40"/>
  <c r="W128" i="40"/>
  <c r="CU128" i="40" s="1"/>
  <c r="S128" i="40"/>
  <c r="O128" i="40"/>
  <c r="CO128" i="40" s="1"/>
  <c r="K128" i="40"/>
  <c r="G128" i="40"/>
  <c r="AF128" i="40"/>
  <c r="X128" i="40"/>
  <c r="P128" i="40"/>
  <c r="H128" i="40"/>
  <c r="R128" i="40"/>
  <c r="AD128" i="40"/>
  <c r="V128" i="40"/>
  <c r="CT128" i="40" s="1"/>
  <c r="N128" i="40"/>
  <c r="CN128" i="40" s="1"/>
  <c r="F128" i="40"/>
  <c r="AH128" i="40"/>
  <c r="J128" i="40"/>
  <c r="AJ128" i="40"/>
  <c r="AB128" i="40"/>
  <c r="T128" i="40"/>
  <c r="CR128" i="40" s="1"/>
  <c r="L128" i="40"/>
  <c r="CL128" i="40" s="1"/>
  <c r="Z128" i="40"/>
  <c r="CP627" i="40"/>
  <c r="AO526" i="40"/>
  <c r="CQ526" i="40"/>
  <c r="BB427" i="40"/>
  <c r="BR427" i="40"/>
  <c r="CH427" i="40"/>
  <c r="BG427" i="40"/>
  <c r="BW427" i="40"/>
  <c r="DU427" i="40"/>
  <c r="BH427" i="40"/>
  <c r="BX427" i="40"/>
  <c r="DV427" i="40"/>
  <c r="DS427" i="40"/>
  <c r="BY427" i="40"/>
  <c r="CC427" i="40"/>
  <c r="CG427" i="40"/>
  <c r="IA427" i="40"/>
  <c r="IX427" i="40"/>
  <c r="C428" i="40"/>
  <c r="BF427" i="40"/>
  <c r="BV427" i="40"/>
  <c r="DT427" i="40"/>
  <c r="BK427" i="40"/>
  <c r="CA427" i="40"/>
  <c r="A427" i="40"/>
  <c r="BL427" i="40"/>
  <c r="CB427" i="40"/>
  <c r="DW427" i="40"/>
  <c r="BA427" i="40"/>
  <c r="IZ427" i="40"/>
  <c r="JO427" i="40"/>
  <c r="IY427" i="40"/>
  <c r="BJ427" i="40"/>
  <c r="BZ427" i="40"/>
  <c r="AX427" i="40"/>
  <c r="BO427" i="40"/>
  <c r="CE427" i="40"/>
  <c r="AZ427" i="40"/>
  <c r="BP427" i="40"/>
  <c r="CF427" i="40"/>
  <c r="BE427" i="40"/>
  <c r="BQ427" i="40"/>
  <c r="HY427" i="40"/>
  <c r="JP427" i="40"/>
  <c r="AW427" i="40"/>
  <c r="BN427" i="40"/>
  <c r="CD427" i="40"/>
  <c r="BC427" i="40"/>
  <c r="BS427" i="40"/>
  <c r="CJ427" i="40"/>
  <c r="BD427" i="40"/>
  <c r="BT427" i="40"/>
  <c r="DM427" i="40"/>
  <c r="BU427" i="40"/>
  <c r="BI427" i="40"/>
  <c r="BM427" i="40"/>
  <c r="HZ427" i="40"/>
  <c r="DB426" i="40"/>
  <c r="AM426" i="40"/>
  <c r="CK426" i="40"/>
  <c r="AP426" i="40"/>
  <c r="AN426" i="40"/>
  <c r="CP426" i="40"/>
  <c r="AO426" i="40"/>
  <c r="CQ426" i="40"/>
  <c r="JJ125" i="40"/>
  <c r="JK125" i="40" s="1"/>
  <c r="JL125" i="40" s="1"/>
  <c r="CQ227" i="40"/>
  <c r="AO227" i="40"/>
  <c r="AN227" i="40"/>
  <c r="CP227" i="40"/>
  <c r="AP227" i="40"/>
  <c r="CV227" i="40"/>
  <c r="DB327" i="40"/>
  <c r="CK227" i="40"/>
  <c r="AM227" i="40"/>
  <c r="C229" i="40"/>
  <c r="BI228" i="40"/>
  <c r="BY228" i="40"/>
  <c r="DW228" i="40"/>
  <c r="BF228" i="40"/>
  <c r="BV228" i="40"/>
  <c r="DT228" i="40"/>
  <c r="BK228" i="40"/>
  <c r="CA228" i="40"/>
  <c r="A228" i="40"/>
  <c r="DV228" i="40"/>
  <c r="DM228" i="40"/>
  <c r="JO228" i="40"/>
  <c r="IX228" i="40"/>
  <c r="JP228" i="40"/>
  <c r="BM228" i="40"/>
  <c r="CC228" i="40"/>
  <c r="BJ228" i="40"/>
  <c r="BZ228" i="40"/>
  <c r="AX228" i="40"/>
  <c r="BO228" i="40"/>
  <c r="CE228" i="40"/>
  <c r="AZ228" i="40"/>
  <c r="HZ228" i="40"/>
  <c r="BA228" i="40"/>
  <c r="BQ228" i="40"/>
  <c r="CG228" i="40"/>
  <c r="AW228" i="40"/>
  <c r="BN228" i="40"/>
  <c r="CD228" i="40"/>
  <c r="BC228" i="40"/>
  <c r="BS228" i="40"/>
  <c r="CJ228" i="40"/>
  <c r="BH228" i="40"/>
  <c r="BL228" i="40"/>
  <c r="BP228" i="40"/>
  <c r="BD228" i="40"/>
  <c r="IZ228" i="40"/>
  <c r="BE228" i="40"/>
  <c r="BU228" i="40"/>
  <c r="DS228" i="40"/>
  <c r="BB228" i="40"/>
  <c r="BR228" i="40"/>
  <c r="CH228" i="40"/>
  <c r="BG228" i="40"/>
  <c r="BW228" i="40"/>
  <c r="DU228" i="40"/>
  <c r="BX228" i="40"/>
  <c r="CB228" i="40"/>
  <c r="CF228" i="40"/>
  <c r="BT228" i="40"/>
  <c r="HY228" i="40"/>
  <c r="IA228" i="40"/>
  <c r="IY228" i="40"/>
  <c r="DB227" i="40"/>
  <c r="D126" i="40"/>
  <c r="AY126" i="40" s="1"/>
  <c r="DB127" i="40"/>
  <c r="HM127" i="40"/>
  <c r="HP127" i="40" s="1"/>
  <c r="CV327" i="40"/>
  <c r="CQ327" i="40"/>
  <c r="AO327" i="40"/>
  <c r="HX126" i="40"/>
  <c r="CV127" i="40"/>
  <c r="AL127" i="40"/>
  <c r="AK127" i="40"/>
  <c r="CP127" i="40"/>
  <c r="HX127" i="40" s="1"/>
  <c r="AN127" i="40"/>
  <c r="IP127" i="40"/>
  <c r="JB127" i="40" s="1"/>
  <c r="E32" i="44" s="1"/>
  <c r="HT127" i="40"/>
  <c r="AN327" i="40"/>
  <c r="CP327" i="40"/>
  <c r="JI126" i="40"/>
  <c r="CQ127" i="40"/>
  <c r="AO127" i="40"/>
  <c r="IO127" i="40"/>
  <c r="JA127" i="40" s="1"/>
  <c r="HS127" i="40"/>
  <c r="KO123" i="40"/>
  <c r="H37" i="70"/>
  <c r="CK327" i="40"/>
  <c r="AM327" i="40"/>
  <c r="HW126" i="40"/>
  <c r="IC126" i="40" s="1"/>
  <c r="CK127" i="40"/>
  <c r="AM127" i="40"/>
  <c r="IK128" i="40"/>
  <c r="IN128" i="40" s="1"/>
  <c r="II128" i="40"/>
  <c r="IL128" i="40" s="1"/>
  <c r="IJ128" i="40"/>
  <c r="IM128" i="40" s="1"/>
  <c r="JF128" i="40"/>
  <c r="HO128" i="40" s="1"/>
  <c r="HR128" i="40" s="1"/>
  <c r="C129" i="40"/>
  <c r="A128" i="40"/>
  <c r="AW128" i="40"/>
  <c r="BB128" i="40"/>
  <c r="BF128" i="40"/>
  <c r="BJ128" i="40"/>
  <c r="BN128" i="40"/>
  <c r="BR128" i="40"/>
  <c r="BV128" i="40"/>
  <c r="BZ128" i="40"/>
  <c r="CD128" i="40"/>
  <c r="CH128" i="40"/>
  <c r="DT128" i="40"/>
  <c r="AX128" i="40"/>
  <c r="BC128" i="40"/>
  <c r="BG128" i="40"/>
  <c r="BK128" i="40"/>
  <c r="BO128" i="40"/>
  <c r="BS128" i="40"/>
  <c r="BW128" i="40"/>
  <c r="CA128" i="40"/>
  <c r="CE128" i="40"/>
  <c r="CJ128" i="40"/>
  <c r="DU128" i="40"/>
  <c r="AZ128" i="40"/>
  <c r="BD128" i="40"/>
  <c r="BH128" i="40"/>
  <c r="BL128" i="40"/>
  <c r="BP128" i="40"/>
  <c r="BT128" i="40"/>
  <c r="BX128" i="40"/>
  <c r="CB128" i="40"/>
  <c r="CF128" i="40"/>
  <c r="DM128" i="40"/>
  <c r="DV128" i="40"/>
  <c r="BE128" i="40"/>
  <c r="BU128" i="40"/>
  <c r="DS128" i="40"/>
  <c r="BI128" i="40"/>
  <c r="BY128" i="40"/>
  <c r="DW128" i="40"/>
  <c r="BM128" i="40"/>
  <c r="CC128" i="40"/>
  <c r="BA128" i="40"/>
  <c r="BQ128" i="40"/>
  <c r="CG128" i="40"/>
  <c r="JO128" i="40"/>
  <c r="IA128" i="40"/>
  <c r="HY128" i="40"/>
  <c r="IX128" i="40"/>
  <c r="IZ128" i="40"/>
  <c r="HZ128" i="40"/>
  <c r="IY128" i="40"/>
  <c r="JP128" i="40"/>
  <c r="JG128" i="40"/>
  <c r="AP327" i="40"/>
  <c r="C329" i="40"/>
  <c r="A328" i="40"/>
  <c r="AZ328" i="40"/>
  <c r="BD328" i="40"/>
  <c r="BH328" i="40"/>
  <c r="BL328" i="40"/>
  <c r="BP328" i="40"/>
  <c r="BT328" i="40"/>
  <c r="BX328" i="40"/>
  <c r="CB328" i="40"/>
  <c r="CF328" i="40"/>
  <c r="DM328" i="40"/>
  <c r="DV328" i="40"/>
  <c r="BA328" i="40"/>
  <c r="BE328" i="40"/>
  <c r="BI328" i="40"/>
  <c r="BM328" i="40"/>
  <c r="BQ328" i="40"/>
  <c r="BU328" i="40"/>
  <c r="BY328" i="40"/>
  <c r="CC328" i="40"/>
  <c r="CG328" i="40"/>
  <c r="DS328" i="40"/>
  <c r="DW328" i="40"/>
  <c r="AW328" i="40"/>
  <c r="BB328" i="40"/>
  <c r="BF328" i="40"/>
  <c r="BJ328" i="40"/>
  <c r="BN328" i="40"/>
  <c r="BR328" i="40"/>
  <c r="BV328" i="40"/>
  <c r="BZ328" i="40"/>
  <c r="CD328" i="40"/>
  <c r="CH328" i="40"/>
  <c r="DT328" i="40"/>
  <c r="AX328" i="40"/>
  <c r="BO328" i="40"/>
  <c r="CE328" i="40"/>
  <c r="BC328" i="40"/>
  <c r="BS328" i="40"/>
  <c r="CJ328" i="40"/>
  <c r="BG328" i="40"/>
  <c r="BW328" i="40"/>
  <c r="DU328" i="40"/>
  <c r="BK328" i="40"/>
  <c r="CA328" i="40"/>
  <c r="JO328" i="40"/>
  <c r="IY328" i="40"/>
  <c r="HZ328" i="40"/>
  <c r="IX328" i="40"/>
  <c r="IZ328" i="40"/>
  <c r="IA328" i="40"/>
  <c r="HY328" i="40"/>
  <c r="JP328" i="40"/>
  <c r="AP127" i="40"/>
  <c r="IQ127" i="40"/>
  <c r="JC127" i="40" s="1"/>
  <c r="HN127" i="40"/>
  <c r="HQ127" i="40" s="1"/>
  <c r="HU127" i="40"/>
  <c r="JH126" i="40"/>
  <c r="CI412" i="40" l="1"/>
  <c r="CI511" i="40"/>
  <c r="CI128" i="40"/>
  <c r="CI212" i="40"/>
  <c r="HY627" i="40"/>
  <c r="IX627" i="40" s="1"/>
  <c r="IA627" i="40"/>
  <c r="IZ627" i="40" s="1"/>
  <c r="HZ627" i="40"/>
  <c r="IY627" i="40" s="1"/>
  <c r="DB427" i="40"/>
  <c r="CV527" i="40"/>
  <c r="CV628" i="40"/>
  <c r="DB628" i="40"/>
  <c r="AJ528" i="40"/>
  <c r="AF528" i="40"/>
  <c r="AB528" i="40"/>
  <c r="X528" i="40"/>
  <c r="T528" i="40"/>
  <c r="CR528" i="40" s="1"/>
  <c r="P528" i="40"/>
  <c r="L528" i="40"/>
  <c r="CL528" i="40" s="1"/>
  <c r="H528" i="40"/>
  <c r="AI528" i="40"/>
  <c r="AE528" i="40"/>
  <c r="AA528" i="40"/>
  <c r="CI612" i="40" s="1"/>
  <c r="W528" i="40"/>
  <c r="CU528" i="40" s="1"/>
  <c r="S528" i="40"/>
  <c r="O528" i="40"/>
  <c r="CO528" i="40" s="1"/>
  <c r="K528" i="40"/>
  <c r="G528" i="40"/>
  <c r="AH528" i="40"/>
  <c r="AD528" i="40"/>
  <c r="Z528" i="40"/>
  <c r="V528" i="40"/>
  <c r="CT528" i="40" s="1"/>
  <c r="R528" i="40"/>
  <c r="N528" i="40"/>
  <c r="CN528" i="40" s="1"/>
  <c r="J528" i="40"/>
  <c r="F528" i="40"/>
  <c r="AG528" i="40"/>
  <c r="Q528" i="40"/>
  <c r="AC528" i="40"/>
  <c r="M528" i="40"/>
  <c r="CM528" i="40" s="1"/>
  <c r="Y528" i="40"/>
  <c r="I528" i="40"/>
  <c r="U528" i="40"/>
  <c r="CS528" i="40" s="1"/>
  <c r="E528" i="40"/>
  <c r="BB528" i="40"/>
  <c r="BR528" i="40"/>
  <c r="CH528" i="40"/>
  <c r="AX528" i="40"/>
  <c r="BO528" i="40"/>
  <c r="CE528" i="40"/>
  <c r="BL528" i="40"/>
  <c r="CB528" i="40"/>
  <c r="BI528" i="40"/>
  <c r="DS528" i="40"/>
  <c r="BA528" i="40"/>
  <c r="BU528" i="40"/>
  <c r="IZ528" i="40"/>
  <c r="BJ528" i="40"/>
  <c r="BW528" i="40"/>
  <c r="BT528" i="40"/>
  <c r="BM528" i="40"/>
  <c r="CG528" i="40"/>
  <c r="IY528" i="40"/>
  <c r="CD528" i="40"/>
  <c r="CA528" i="40"/>
  <c r="BX528" i="40"/>
  <c r="CC528" i="40"/>
  <c r="BF528" i="40"/>
  <c r="BV528" i="40"/>
  <c r="DT528" i="40"/>
  <c r="BC528" i="40"/>
  <c r="BS528" i="40"/>
  <c r="CJ528" i="40"/>
  <c r="AZ528" i="40"/>
  <c r="BP528" i="40"/>
  <c r="CF528" i="40"/>
  <c r="BY528" i="40"/>
  <c r="BQ528" i="40"/>
  <c r="HY528" i="40"/>
  <c r="IX528" i="40"/>
  <c r="BZ528" i="40"/>
  <c r="DU528" i="40"/>
  <c r="DM528" i="40"/>
  <c r="HZ528" i="40"/>
  <c r="AW528" i="40"/>
  <c r="BK528" i="40"/>
  <c r="BH528" i="40"/>
  <c r="BE528" i="40"/>
  <c r="IA528" i="40"/>
  <c r="C529" i="40"/>
  <c r="BG528" i="40"/>
  <c r="BD528" i="40"/>
  <c r="DW528" i="40"/>
  <c r="BN528" i="40"/>
  <c r="A528" i="40"/>
  <c r="DV528" i="40"/>
  <c r="JO528" i="40"/>
  <c r="JP528" i="40"/>
  <c r="AO527" i="40"/>
  <c r="CQ527" i="40"/>
  <c r="CQ628" i="40"/>
  <c r="AO628" i="40"/>
  <c r="AJ329" i="40"/>
  <c r="AF329" i="40"/>
  <c r="AB329" i="40"/>
  <c r="X329" i="40"/>
  <c r="T329" i="40"/>
  <c r="CR329" i="40" s="1"/>
  <c r="P329" i="40"/>
  <c r="L329" i="40"/>
  <c r="CL329" i="40" s="1"/>
  <c r="H329" i="40"/>
  <c r="AH329" i="40"/>
  <c r="AC329" i="40"/>
  <c r="W329" i="40"/>
  <c r="CU329" i="40" s="1"/>
  <c r="R329" i="40"/>
  <c r="M329" i="40"/>
  <c r="CM329" i="40" s="1"/>
  <c r="G329" i="40"/>
  <c r="AG329" i="40"/>
  <c r="AA329" i="40"/>
  <c r="V329" i="40"/>
  <c r="CT329" i="40" s="1"/>
  <c r="Q329" i="40"/>
  <c r="K329" i="40"/>
  <c r="F329" i="40"/>
  <c r="AE329" i="40"/>
  <c r="Z329" i="40"/>
  <c r="U329" i="40"/>
  <c r="CS329" i="40" s="1"/>
  <c r="O329" i="40"/>
  <c r="CO329" i="40" s="1"/>
  <c r="J329" i="40"/>
  <c r="E329" i="40"/>
  <c r="AD329" i="40"/>
  <c r="I329" i="40"/>
  <c r="Y329" i="40"/>
  <c r="S329" i="40"/>
  <c r="AI329" i="40"/>
  <c r="N329" i="40"/>
  <c r="CN329" i="40" s="1"/>
  <c r="AP527" i="40"/>
  <c r="AI428" i="40"/>
  <c r="AE428" i="40"/>
  <c r="AA428" i="40"/>
  <c r="W428" i="40"/>
  <c r="CU428" i="40" s="1"/>
  <c r="S428" i="40"/>
  <c r="O428" i="40"/>
  <c r="CO428" i="40" s="1"/>
  <c r="K428" i="40"/>
  <c r="G428" i="40"/>
  <c r="AH428" i="40"/>
  <c r="AD428" i="40"/>
  <c r="Z428" i="40"/>
  <c r="V428" i="40"/>
  <c r="CT428" i="40" s="1"/>
  <c r="R428" i="40"/>
  <c r="N428" i="40"/>
  <c r="CN428" i="40" s="1"/>
  <c r="J428" i="40"/>
  <c r="F428" i="40"/>
  <c r="AG428" i="40"/>
  <c r="AC428" i="40"/>
  <c r="Y428" i="40"/>
  <c r="U428" i="40"/>
  <c r="CS428" i="40" s="1"/>
  <c r="Q428" i="40"/>
  <c r="M428" i="40"/>
  <c r="CM428" i="40" s="1"/>
  <c r="I428" i="40"/>
  <c r="E428" i="40"/>
  <c r="AJ428" i="40"/>
  <c r="T428" i="40"/>
  <c r="CR428" i="40" s="1"/>
  <c r="AF428" i="40"/>
  <c r="P428" i="40"/>
  <c r="AB428" i="40"/>
  <c r="L428" i="40"/>
  <c r="CL428" i="40" s="1"/>
  <c r="H428" i="40"/>
  <c r="X428" i="40"/>
  <c r="AG129" i="40"/>
  <c r="AC129" i="40"/>
  <c r="Y129" i="40"/>
  <c r="U129" i="40"/>
  <c r="CS129" i="40" s="1"/>
  <c r="Q129" i="40"/>
  <c r="M129" i="40"/>
  <c r="CM129" i="40" s="1"/>
  <c r="I129" i="40"/>
  <c r="E129" i="40"/>
  <c r="AI129" i="40"/>
  <c r="AE129" i="40"/>
  <c r="AA129" i="40"/>
  <c r="W129" i="40"/>
  <c r="CU129" i="40" s="1"/>
  <c r="S129" i="40"/>
  <c r="O129" i="40"/>
  <c r="CO129" i="40" s="1"/>
  <c r="K129" i="40"/>
  <c r="G129" i="40"/>
  <c r="AF129" i="40"/>
  <c r="X129" i="40"/>
  <c r="P129" i="40"/>
  <c r="H129" i="40"/>
  <c r="AH129" i="40"/>
  <c r="J129" i="40"/>
  <c r="AD129" i="40"/>
  <c r="V129" i="40"/>
  <c r="CT129" i="40" s="1"/>
  <c r="N129" i="40"/>
  <c r="CN129" i="40" s="1"/>
  <c r="F129" i="40"/>
  <c r="R129" i="40"/>
  <c r="AJ129" i="40"/>
  <c r="AB129" i="40"/>
  <c r="T129" i="40"/>
  <c r="CR129" i="40" s="1"/>
  <c r="L129" i="40"/>
  <c r="CL129" i="40" s="1"/>
  <c r="Z129" i="40"/>
  <c r="AG229" i="40"/>
  <c r="AC229" i="40"/>
  <c r="Y229" i="40"/>
  <c r="U229" i="40"/>
  <c r="CS229" i="40" s="1"/>
  <c r="Q229" i="40"/>
  <c r="M229" i="40"/>
  <c r="CM229" i="40" s="1"/>
  <c r="I229" i="40"/>
  <c r="E229" i="40"/>
  <c r="AJ229" i="40"/>
  <c r="AF229" i="40"/>
  <c r="AB229" i="40"/>
  <c r="X229" i="40"/>
  <c r="T229" i="40"/>
  <c r="CR229" i="40" s="1"/>
  <c r="P229" i="40"/>
  <c r="L229" i="40"/>
  <c r="CL229" i="40" s="1"/>
  <c r="H229" i="40"/>
  <c r="AI229" i="40"/>
  <c r="AE229" i="40"/>
  <c r="AA229" i="40"/>
  <c r="CI313" i="40" s="1"/>
  <c r="W229" i="40"/>
  <c r="CU229" i="40" s="1"/>
  <c r="S229" i="40"/>
  <c r="O229" i="40"/>
  <c r="CO229" i="40" s="1"/>
  <c r="K229" i="40"/>
  <c r="G229" i="40"/>
  <c r="AH229" i="40"/>
  <c r="R229" i="40"/>
  <c r="AD229" i="40"/>
  <c r="N229" i="40"/>
  <c r="CN229" i="40" s="1"/>
  <c r="Z229" i="40"/>
  <c r="J229" i="40"/>
  <c r="V229" i="40"/>
  <c r="CT229" i="40" s="1"/>
  <c r="F229" i="40"/>
  <c r="DB527" i="40"/>
  <c r="CK527" i="40"/>
  <c r="AM527" i="40"/>
  <c r="AN628" i="40"/>
  <c r="CP628" i="40"/>
  <c r="CK628" i="40"/>
  <c r="AM628" i="40"/>
  <c r="AN527" i="40"/>
  <c r="CP527" i="40"/>
  <c r="AP628" i="40"/>
  <c r="I629" i="40"/>
  <c r="AJ629" i="40"/>
  <c r="AC629" i="40"/>
  <c r="CC629" i="40"/>
  <c r="BM629" i="40"/>
  <c r="AW629" i="40"/>
  <c r="DT629" i="40"/>
  <c r="BT629" i="40"/>
  <c r="BD629" i="40"/>
  <c r="L629" i="40"/>
  <c r="CL629" i="40" s="1"/>
  <c r="CE629" i="40"/>
  <c r="BO629" i="40"/>
  <c r="O629" i="40"/>
  <c r="CO629" i="40" s="1"/>
  <c r="BJ629" i="40"/>
  <c r="BF629" i="40"/>
  <c r="BB629" i="40"/>
  <c r="AX629" i="40"/>
  <c r="JO629" i="40"/>
  <c r="AE629" i="40"/>
  <c r="BY629" i="40"/>
  <c r="BI629" i="40"/>
  <c r="AG629" i="40"/>
  <c r="CF629" i="40"/>
  <c r="BP629" i="40"/>
  <c r="AZ629" i="40"/>
  <c r="C630" i="40"/>
  <c r="CA629" i="40"/>
  <c r="BK629" i="40"/>
  <c r="K629" i="40"/>
  <c r="J629" i="40"/>
  <c r="DM629" i="40"/>
  <c r="CD629" i="40"/>
  <c r="R629" i="40"/>
  <c r="W629" i="40"/>
  <c r="CU629" i="40" s="1"/>
  <c r="JP629" i="40"/>
  <c r="AF629" i="40"/>
  <c r="CJ629" i="40"/>
  <c r="DU629" i="40"/>
  <c r="BU629" i="40"/>
  <c r="BE629" i="40"/>
  <c r="M629" i="40"/>
  <c r="CM629" i="40" s="1"/>
  <c r="CB629" i="40"/>
  <c r="BL629" i="40"/>
  <c r="AB629" i="40"/>
  <c r="DW629" i="40"/>
  <c r="BW629" i="40"/>
  <c r="BG629" i="40"/>
  <c r="G629" i="40"/>
  <c r="DV629" i="40"/>
  <c r="CH629" i="40"/>
  <c r="N629" i="40"/>
  <c r="CN629" i="40" s="1"/>
  <c r="AI629" i="40"/>
  <c r="CG629" i="40"/>
  <c r="BX629" i="40"/>
  <c r="BS629" i="40"/>
  <c r="BR629" i="40"/>
  <c r="BQ629" i="40"/>
  <c r="BH629" i="40"/>
  <c r="BC629" i="40"/>
  <c r="BN629" i="40"/>
  <c r="DS629" i="40"/>
  <c r="KN629" i="40"/>
  <c r="F629" i="40"/>
  <c r="BA629" i="40"/>
  <c r="P629" i="40"/>
  <c r="BZ629" i="40"/>
  <c r="A629" i="40"/>
  <c r="H629" i="40"/>
  <c r="BV629" i="40"/>
  <c r="T629" i="40"/>
  <c r="CR629" i="40" s="1"/>
  <c r="Z629" i="40"/>
  <c r="AH629" i="40"/>
  <c r="U629" i="40"/>
  <c r="CS629" i="40" s="1"/>
  <c r="S629" i="40"/>
  <c r="Q629" i="40"/>
  <c r="V629" i="40"/>
  <c r="CT629" i="40" s="1"/>
  <c r="X629" i="40"/>
  <c r="AD629" i="40"/>
  <c r="AA629" i="40"/>
  <c r="E629" i="40"/>
  <c r="Y629" i="40"/>
  <c r="CQ427" i="40"/>
  <c r="AO427" i="40"/>
  <c r="CV427" i="40"/>
  <c r="AM427" i="40"/>
  <c r="CK427" i="40"/>
  <c r="BD428" i="40"/>
  <c r="BT428" i="40"/>
  <c r="DM428" i="40"/>
  <c r="BE428" i="40"/>
  <c r="BU428" i="40"/>
  <c r="DS428" i="40"/>
  <c r="BB428" i="40"/>
  <c r="BR428" i="40"/>
  <c r="CH428" i="40"/>
  <c r="BS428" i="40"/>
  <c r="BW428" i="40"/>
  <c r="CA428" i="40"/>
  <c r="CE428" i="40"/>
  <c r="HY428" i="40"/>
  <c r="IX428" i="40"/>
  <c r="BP428" i="40"/>
  <c r="BQ428" i="40"/>
  <c r="BN428" i="40"/>
  <c r="BC428" i="40"/>
  <c r="BO428" i="40"/>
  <c r="C429" i="40"/>
  <c r="BH428" i="40"/>
  <c r="BX428" i="40"/>
  <c r="DV428" i="40"/>
  <c r="BI428" i="40"/>
  <c r="BY428" i="40"/>
  <c r="DW428" i="40"/>
  <c r="BF428" i="40"/>
  <c r="BV428" i="40"/>
  <c r="DT428" i="40"/>
  <c r="CJ428" i="40"/>
  <c r="DU428" i="40"/>
  <c r="AX428" i="40"/>
  <c r="JO428" i="40"/>
  <c r="IA428" i="40"/>
  <c r="JP428" i="40"/>
  <c r="A428" i="40"/>
  <c r="BL428" i="40"/>
  <c r="CB428" i="40"/>
  <c r="BM428" i="40"/>
  <c r="CC428" i="40"/>
  <c r="BJ428" i="40"/>
  <c r="BZ428" i="40"/>
  <c r="AZ428" i="40"/>
  <c r="BA428" i="40"/>
  <c r="AW428" i="40"/>
  <c r="BG428" i="40"/>
  <c r="IZ428" i="40"/>
  <c r="CF428" i="40"/>
  <c r="CG428" i="40"/>
  <c r="CD428" i="40"/>
  <c r="BK428" i="40"/>
  <c r="HZ428" i="40"/>
  <c r="IY428" i="40"/>
  <c r="AP427" i="40"/>
  <c r="AN427" i="40"/>
  <c r="CP427" i="40"/>
  <c r="AO228" i="40"/>
  <c r="CQ228" i="40"/>
  <c r="CP228" i="40"/>
  <c r="AN228" i="40"/>
  <c r="AM228" i="40"/>
  <c r="CK228" i="40"/>
  <c r="DB228" i="40"/>
  <c r="AP228" i="40"/>
  <c r="C230" i="40"/>
  <c r="BK229" i="40"/>
  <c r="CA229" i="40"/>
  <c r="A229" i="40"/>
  <c r="BL229" i="40"/>
  <c r="CB229" i="40"/>
  <c r="BM229" i="40"/>
  <c r="CC229" i="40"/>
  <c r="CH229" i="40"/>
  <c r="JO229" i="40"/>
  <c r="IA229" i="40"/>
  <c r="JP229" i="40"/>
  <c r="AX229" i="40"/>
  <c r="BO229" i="40"/>
  <c r="CE229" i="40"/>
  <c r="AZ229" i="40"/>
  <c r="BP229" i="40"/>
  <c r="CF229" i="40"/>
  <c r="BA229" i="40"/>
  <c r="BQ229" i="40"/>
  <c r="CG229" i="40"/>
  <c r="BF229" i="40"/>
  <c r="AW229" i="40"/>
  <c r="HY229" i="40"/>
  <c r="BC229" i="40"/>
  <c r="BS229" i="40"/>
  <c r="CJ229" i="40"/>
  <c r="BD229" i="40"/>
  <c r="BT229" i="40"/>
  <c r="DM229" i="40"/>
  <c r="BE229" i="40"/>
  <c r="BU229" i="40"/>
  <c r="DS229" i="40"/>
  <c r="BV229" i="40"/>
  <c r="BJ229" i="40"/>
  <c r="BN229" i="40"/>
  <c r="BB229" i="40"/>
  <c r="IX229" i="40"/>
  <c r="BG229" i="40"/>
  <c r="BW229" i="40"/>
  <c r="DU229" i="40"/>
  <c r="BH229" i="40"/>
  <c r="BX229" i="40"/>
  <c r="DV229" i="40"/>
  <c r="BI229" i="40"/>
  <c r="BY229" i="40"/>
  <c r="DW229" i="40"/>
  <c r="DT229" i="40"/>
  <c r="BZ229" i="40"/>
  <c r="CD229" i="40"/>
  <c r="BR229" i="40"/>
  <c r="HZ229" i="40"/>
  <c r="IZ229" i="40"/>
  <c r="IY229" i="40"/>
  <c r="CV228" i="40"/>
  <c r="HM128" i="40"/>
  <c r="HP128" i="40" s="1"/>
  <c r="IQ128" i="40"/>
  <c r="JC128" i="40" s="1"/>
  <c r="DB128" i="40"/>
  <c r="IO128" i="40"/>
  <c r="JA128" i="40" s="1"/>
  <c r="HN128" i="40"/>
  <c r="HQ128" i="40" s="1"/>
  <c r="HW127" i="40"/>
  <c r="IC127" i="40" s="1"/>
  <c r="HV127" i="40"/>
  <c r="D127" i="40"/>
  <c r="AY127" i="40" s="1"/>
  <c r="DB328" i="40"/>
  <c r="AP328" i="40"/>
  <c r="CK328" i="40"/>
  <c r="AM328" i="40"/>
  <c r="CQ128" i="40"/>
  <c r="AO128" i="40"/>
  <c r="HT128" i="40"/>
  <c r="JH127" i="40"/>
  <c r="AO328" i="40"/>
  <c r="CQ328" i="40"/>
  <c r="C330" i="40"/>
  <c r="AW329" i="40"/>
  <c r="BB329" i="40"/>
  <c r="BF329" i="40"/>
  <c r="BJ329" i="40"/>
  <c r="BN329" i="40"/>
  <c r="BR329" i="40"/>
  <c r="BV329" i="40"/>
  <c r="BZ329" i="40"/>
  <c r="CD329" i="40"/>
  <c r="CH329" i="40"/>
  <c r="DT329" i="40"/>
  <c r="AX329" i="40"/>
  <c r="BC329" i="40"/>
  <c r="BG329" i="40"/>
  <c r="BK329" i="40"/>
  <c r="BO329" i="40"/>
  <c r="BS329" i="40"/>
  <c r="BW329" i="40"/>
  <c r="CA329" i="40"/>
  <c r="CE329" i="40"/>
  <c r="CJ329" i="40"/>
  <c r="DU329" i="40"/>
  <c r="A329" i="40"/>
  <c r="AZ329" i="40"/>
  <c r="BD329" i="40"/>
  <c r="BH329" i="40"/>
  <c r="BL329" i="40"/>
  <c r="BP329" i="40"/>
  <c r="BT329" i="40"/>
  <c r="BX329" i="40"/>
  <c r="CB329" i="40"/>
  <c r="CF329" i="40"/>
  <c r="DM329" i="40"/>
  <c r="DV329" i="40"/>
  <c r="BM329" i="40"/>
  <c r="CC329" i="40"/>
  <c r="BA329" i="40"/>
  <c r="BQ329" i="40"/>
  <c r="CG329" i="40"/>
  <c r="BE329" i="40"/>
  <c r="BU329" i="40"/>
  <c r="DS329" i="40"/>
  <c r="BI329" i="40"/>
  <c r="BY329" i="40"/>
  <c r="DW329" i="40"/>
  <c r="JO329" i="40"/>
  <c r="IY329" i="40"/>
  <c r="HY329" i="40"/>
  <c r="IZ329" i="40"/>
  <c r="IX329" i="40"/>
  <c r="IA329" i="40"/>
  <c r="HZ329" i="40"/>
  <c r="JP329" i="40"/>
  <c r="IK129" i="40"/>
  <c r="IN129" i="40" s="1"/>
  <c r="IJ129" i="40"/>
  <c r="IM129" i="40" s="1"/>
  <c r="JF129" i="40"/>
  <c r="HO129" i="40" s="1"/>
  <c r="HR129" i="40" s="1"/>
  <c r="II129" i="40"/>
  <c r="IL129" i="40" s="1"/>
  <c r="C130" i="40"/>
  <c r="A129" i="40"/>
  <c r="AW129" i="40"/>
  <c r="BB129" i="40"/>
  <c r="BF129" i="40"/>
  <c r="BJ129" i="40"/>
  <c r="BN129" i="40"/>
  <c r="BR129" i="40"/>
  <c r="BV129" i="40"/>
  <c r="BZ129" i="40"/>
  <c r="CD129" i="40"/>
  <c r="CH129" i="40"/>
  <c r="DT129" i="40"/>
  <c r="AX129" i="40"/>
  <c r="BC129" i="40"/>
  <c r="BG129" i="40"/>
  <c r="BK129" i="40"/>
  <c r="BO129" i="40"/>
  <c r="BS129" i="40"/>
  <c r="BW129" i="40"/>
  <c r="CA129" i="40"/>
  <c r="CE129" i="40"/>
  <c r="CJ129" i="40"/>
  <c r="DU129" i="40"/>
  <c r="AZ129" i="40"/>
  <c r="BD129" i="40"/>
  <c r="BH129" i="40"/>
  <c r="BL129" i="40"/>
  <c r="BP129" i="40"/>
  <c r="BT129" i="40"/>
  <c r="BX129" i="40"/>
  <c r="CB129" i="40"/>
  <c r="CF129" i="40"/>
  <c r="DM129" i="40"/>
  <c r="DV129" i="40"/>
  <c r="BA129" i="40"/>
  <c r="BQ129" i="40"/>
  <c r="CG129" i="40"/>
  <c r="BE129" i="40"/>
  <c r="BU129" i="40"/>
  <c r="DS129" i="40"/>
  <c r="BI129" i="40"/>
  <c r="BY129" i="40"/>
  <c r="DW129" i="40"/>
  <c r="BM129" i="40"/>
  <c r="CC129" i="40"/>
  <c r="JO129" i="40"/>
  <c r="IX129" i="40"/>
  <c r="IZ129" i="40"/>
  <c r="HZ129" i="40"/>
  <c r="IA129" i="40"/>
  <c r="HY129" i="40"/>
  <c r="IY129" i="40"/>
  <c r="JP129" i="40"/>
  <c r="JG129" i="40"/>
  <c r="HS128" i="40"/>
  <c r="JM125" i="40"/>
  <c r="JI127" i="40"/>
  <c r="JJ126" i="40"/>
  <c r="JK126" i="40" s="1"/>
  <c r="JL126" i="40" s="1"/>
  <c r="CV328" i="40"/>
  <c r="AN328" i="40"/>
  <c r="CP328" i="40"/>
  <c r="AP128" i="40"/>
  <c r="AM128" i="40"/>
  <c r="CK128" i="40"/>
  <c r="HU128" i="40"/>
  <c r="CV128" i="40"/>
  <c r="AK128" i="40"/>
  <c r="AL128" i="40"/>
  <c r="CP128" i="40"/>
  <c r="HX128" i="40" s="1"/>
  <c r="AN128" i="40"/>
  <c r="IP128" i="40"/>
  <c r="JB128" i="40" s="1"/>
  <c r="E33" i="44" s="1"/>
  <c r="KO124" i="40"/>
  <c r="IA628" i="40" l="1"/>
  <c r="IZ628" i="40" s="1"/>
  <c r="CI213" i="40"/>
  <c r="CI512" i="40"/>
  <c r="CI413" i="40"/>
  <c r="CI129" i="40"/>
  <c r="HZ628" i="40"/>
  <c r="IY628" i="40" s="1"/>
  <c r="CV629" i="40"/>
  <c r="CV229" i="40"/>
  <c r="DB528" i="40"/>
  <c r="HY628" i="40"/>
  <c r="IX628" i="40" s="1"/>
  <c r="AO629" i="40"/>
  <c r="CQ629" i="40"/>
  <c r="AF630" i="40"/>
  <c r="CC630" i="40"/>
  <c r="BM630" i="40"/>
  <c r="AW630" i="40"/>
  <c r="DT630" i="40"/>
  <c r="BT630" i="40"/>
  <c r="BD630" i="40"/>
  <c r="L630" i="40"/>
  <c r="CL630" i="40" s="1"/>
  <c r="CE630" i="40"/>
  <c r="BO630" i="40"/>
  <c r="O630" i="40"/>
  <c r="CO630" i="40" s="1"/>
  <c r="BN630" i="40"/>
  <c r="BJ630" i="40"/>
  <c r="BF630" i="40"/>
  <c r="BR630" i="40"/>
  <c r="JO630" i="40"/>
  <c r="H630" i="40"/>
  <c r="AI630" i="40"/>
  <c r="F630" i="40"/>
  <c r="CJ630" i="40"/>
  <c r="BY630" i="40"/>
  <c r="BI630" i="40"/>
  <c r="AG630" i="40"/>
  <c r="CF630" i="40"/>
  <c r="BP630" i="40"/>
  <c r="AZ630" i="40"/>
  <c r="C631" i="40"/>
  <c r="CA630" i="40"/>
  <c r="BK630" i="40"/>
  <c r="K630" i="40"/>
  <c r="AX630" i="40"/>
  <c r="J630" i="40"/>
  <c r="DM630" i="40"/>
  <c r="JP630" i="40"/>
  <c r="I630" i="40"/>
  <c r="AJ630" i="40"/>
  <c r="AC630" i="40"/>
  <c r="DU630" i="40"/>
  <c r="BU630" i="40"/>
  <c r="BE630" i="40"/>
  <c r="M630" i="40"/>
  <c r="CM630" i="40" s="1"/>
  <c r="CB630" i="40"/>
  <c r="BL630" i="40"/>
  <c r="AB630" i="40"/>
  <c r="DW630" i="40"/>
  <c r="BW630" i="40"/>
  <c r="BG630" i="40"/>
  <c r="G630" i="40"/>
  <c r="N630" i="40"/>
  <c r="CN630" i="40" s="1"/>
  <c r="DV630" i="40"/>
  <c r="CH630" i="40"/>
  <c r="W630" i="40"/>
  <c r="CU630" i="40" s="1"/>
  <c r="KN630" i="40"/>
  <c r="A630" i="40"/>
  <c r="DS630" i="40"/>
  <c r="BZ630" i="40"/>
  <c r="CG630" i="40"/>
  <c r="BX630" i="40"/>
  <c r="BS630" i="40"/>
  <c r="BV630" i="40"/>
  <c r="P630" i="40"/>
  <c r="AE630" i="40"/>
  <c r="BQ630" i="40"/>
  <c r="BH630" i="40"/>
  <c r="BC630" i="40"/>
  <c r="BB630" i="40"/>
  <c r="BA630" i="40"/>
  <c r="CD630" i="40"/>
  <c r="T630" i="40"/>
  <c r="CR630" i="40" s="1"/>
  <c r="R630" i="40"/>
  <c r="AH630" i="40"/>
  <c r="Z630" i="40"/>
  <c r="X630" i="40"/>
  <c r="V630" i="40"/>
  <c r="CT630" i="40" s="1"/>
  <c r="U630" i="40"/>
  <c r="CS630" i="40" s="1"/>
  <c r="S630" i="40"/>
  <c r="Q630" i="40"/>
  <c r="AA630" i="40"/>
  <c r="AD630" i="40"/>
  <c r="E630" i="40"/>
  <c r="Y630" i="40"/>
  <c r="AP528" i="40"/>
  <c r="CK528" i="40"/>
  <c r="AM528" i="40"/>
  <c r="AP629" i="40"/>
  <c r="CK629" i="40"/>
  <c r="AM629" i="40"/>
  <c r="AG130" i="40"/>
  <c r="AC130" i="40"/>
  <c r="Y130" i="40"/>
  <c r="U130" i="40"/>
  <c r="CS130" i="40" s="1"/>
  <c r="Q130" i="40"/>
  <c r="M130" i="40"/>
  <c r="CM130" i="40" s="1"/>
  <c r="I130" i="40"/>
  <c r="E130" i="40"/>
  <c r="AI130" i="40"/>
  <c r="AE130" i="40"/>
  <c r="AA130" i="40"/>
  <c r="W130" i="40"/>
  <c r="S130" i="40"/>
  <c r="O130" i="40"/>
  <c r="CO130" i="40" s="1"/>
  <c r="K130" i="40"/>
  <c r="G130" i="40"/>
  <c r="AF130" i="40"/>
  <c r="X130" i="40"/>
  <c r="P130" i="40"/>
  <c r="H130" i="40"/>
  <c r="R130" i="40"/>
  <c r="AD130" i="40"/>
  <c r="V130" i="40"/>
  <c r="CT130" i="40" s="1"/>
  <c r="N130" i="40"/>
  <c r="F130" i="40"/>
  <c r="AH130" i="40"/>
  <c r="J130" i="40"/>
  <c r="AJ130" i="40"/>
  <c r="AB130" i="40"/>
  <c r="T130" i="40"/>
  <c r="CR130" i="40" s="1"/>
  <c r="L130" i="40"/>
  <c r="CL130" i="40" s="1"/>
  <c r="Z130" i="40"/>
  <c r="AJ330" i="40"/>
  <c r="AF330" i="40"/>
  <c r="AB330" i="40"/>
  <c r="X330" i="40"/>
  <c r="T330" i="40"/>
  <c r="CR330" i="40" s="1"/>
  <c r="P330" i="40"/>
  <c r="L330" i="40"/>
  <c r="CL330" i="40" s="1"/>
  <c r="H330" i="40"/>
  <c r="AH330" i="40"/>
  <c r="AC330" i="40"/>
  <c r="W330" i="40"/>
  <c r="CU330" i="40" s="1"/>
  <c r="R330" i="40"/>
  <c r="M330" i="40"/>
  <c r="CM330" i="40" s="1"/>
  <c r="G330" i="40"/>
  <c r="AG330" i="40"/>
  <c r="AA330" i="40"/>
  <c r="V330" i="40"/>
  <c r="CT330" i="40" s="1"/>
  <c r="Q330" i="40"/>
  <c r="K330" i="40"/>
  <c r="F330" i="40"/>
  <c r="AE330" i="40"/>
  <c r="Z330" i="40"/>
  <c r="U330" i="40"/>
  <c r="CS330" i="40" s="1"/>
  <c r="O330" i="40"/>
  <c r="CO330" i="40" s="1"/>
  <c r="J330" i="40"/>
  <c r="E330" i="40"/>
  <c r="S330" i="40"/>
  <c r="AI330" i="40"/>
  <c r="N330" i="40"/>
  <c r="CN330" i="40" s="1"/>
  <c r="AD330" i="40"/>
  <c r="I330" i="40"/>
  <c r="Y330" i="40"/>
  <c r="AI429" i="40"/>
  <c r="AE429" i="40"/>
  <c r="AA429" i="40"/>
  <c r="W429" i="40"/>
  <c r="CU429" i="40" s="1"/>
  <c r="S429" i="40"/>
  <c r="O429" i="40"/>
  <c r="CO429" i="40" s="1"/>
  <c r="K429" i="40"/>
  <c r="G429" i="40"/>
  <c r="AH429" i="40"/>
  <c r="AD429" i="40"/>
  <c r="Z429" i="40"/>
  <c r="V429" i="40"/>
  <c r="CT429" i="40" s="1"/>
  <c r="R429" i="40"/>
  <c r="N429" i="40"/>
  <c r="CN429" i="40" s="1"/>
  <c r="J429" i="40"/>
  <c r="F429" i="40"/>
  <c r="AG429" i="40"/>
  <c r="AC429" i="40"/>
  <c r="Y429" i="40"/>
  <c r="U429" i="40"/>
  <c r="CS429" i="40" s="1"/>
  <c r="Q429" i="40"/>
  <c r="M429" i="40"/>
  <c r="CM429" i="40" s="1"/>
  <c r="I429" i="40"/>
  <c r="E429" i="40"/>
  <c r="AJ429" i="40"/>
  <c r="T429" i="40"/>
  <c r="CR429" i="40" s="1"/>
  <c r="AF429" i="40"/>
  <c r="P429" i="40"/>
  <c r="AB429" i="40"/>
  <c r="L429" i="40"/>
  <c r="CL429" i="40" s="1"/>
  <c r="X429" i="40"/>
  <c r="H429" i="40"/>
  <c r="AJ529" i="40"/>
  <c r="AF529" i="40"/>
  <c r="AB529" i="40"/>
  <c r="X529" i="40"/>
  <c r="T529" i="40"/>
  <c r="CR529" i="40" s="1"/>
  <c r="P529" i="40"/>
  <c r="L529" i="40"/>
  <c r="CL529" i="40" s="1"/>
  <c r="H529" i="40"/>
  <c r="AI529" i="40"/>
  <c r="AE529" i="40"/>
  <c r="AA529" i="40"/>
  <c r="CI613" i="40" s="1"/>
  <c r="W529" i="40"/>
  <c r="CU529" i="40" s="1"/>
  <c r="S529" i="40"/>
  <c r="O529" i="40"/>
  <c r="CO529" i="40" s="1"/>
  <c r="K529" i="40"/>
  <c r="G529" i="40"/>
  <c r="AH529" i="40"/>
  <c r="AD529" i="40"/>
  <c r="Z529" i="40"/>
  <c r="V529" i="40"/>
  <c r="CT529" i="40" s="1"/>
  <c r="R529" i="40"/>
  <c r="N529" i="40"/>
  <c r="CN529" i="40" s="1"/>
  <c r="J529" i="40"/>
  <c r="F529" i="40"/>
  <c r="AG529" i="40"/>
  <c r="Q529" i="40"/>
  <c r="AC529" i="40"/>
  <c r="M529" i="40"/>
  <c r="CM529" i="40" s="1"/>
  <c r="Y529" i="40"/>
  <c r="I529" i="40"/>
  <c r="U529" i="40"/>
  <c r="CS529" i="40" s="1"/>
  <c r="E529" i="40"/>
  <c r="BL529" i="40"/>
  <c r="CB529" i="40"/>
  <c r="BM529" i="40"/>
  <c r="CC529" i="40"/>
  <c r="AW529" i="40"/>
  <c r="BN529" i="40"/>
  <c r="CD529" i="40"/>
  <c r="BG529" i="40"/>
  <c r="JO529" i="40"/>
  <c r="BC529" i="40"/>
  <c r="IZ529" i="40"/>
  <c r="BH529" i="40"/>
  <c r="BY529" i="40"/>
  <c r="BJ529" i="40"/>
  <c r="BS529" i="40"/>
  <c r="HZ529" i="40"/>
  <c r="AZ529" i="40"/>
  <c r="BP529" i="40"/>
  <c r="CF529" i="40"/>
  <c r="BA529" i="40"/>
  <c r="BQ529" i="40"/>
  <c r="CG529" i="40"/>
  <c r="BB529" i="40"/>
  <c r="BR529" i="40"/>
  <c r="CH529" i="40"/>
  <c r="BW529" i="40"/>
  <c r="BK529" i="40"/>
  <c r="AX529" i="40"/>
  <c r="HY529" i="40"/>
  <c r="IX529" i="40"/>
  <c r="BI529" i="40"/>
  <c r="CE529" i="40"/>
  <c r="JP529" i="40"/>
  <c r="C530" i="40"/>
  <c r="BD529" i="40"/>
  <c r="BT529" i="40"/>
  <c r="DM529" i="40"/>
  <c r="BE529" i="40"/>
  <c r="BU529" i="40"/>
  <c r="DS529" i="40"/>
  <c r="BF529" i="40"/>
  <c r="BV529" i="40"/>
  <c r="DT529" i="40"/>
  <c r="DU529" i="40"/>
  <c r="CA529" i="40"/>
  <c r="BO529" i="40"/>
  <c r="IA529" i="40"/>
  <c r="IY529" i="40"/>
  <c r="A529" i="40"/>
  <c r="BX529" i="40"/>
  <c r="DV529" i="40"/>
  <c r="DW529" i="40"/>
  <c r="BZ529" i="40"/>
  <c r="CJ529" i="40"/>
  <c r="AN528" i="40"/>
  <c r="CP528" i="40"/>
  <c r="AG230" i="40"/>
  <c r="AC230" i="40"/>
  <c r="Y230" i="40"/>
  <c r="U230" i="40"/>
  <c r="CS230" i="40" s="1"/>
  <c r="Q230" i="40"/>
  <c r="M230" i="40"/>
  <c r="CM230" i="40" s="1"/>
  <c r="I230" i="40"/>
  <c r="E230" i="40"/>
  <c r="AJ230" i="40"/>
  <c r="AF230" i="40"/>
  <c r="AB230" i="40"/>
  <c r="X230" i="40"/>
  <c r="T230" i="40"/>
  <c r="CR230" i="40" s="1"/>
  <c r="P230" i="40"/>
  <c r="L230" i="40"/>
  <c r="CL230" i="40" s="1"/>
  <c r="H230" i="40"/>
  <c r="AI230" i="40"/>
  <c r="AE230" i="40"/>
  <c r="AA230" i="40"/>
  <c r="CI314" i="40" s="1"/>
  <c r="W230" i="40"/>
  <c r="CU230" i="40" s="1"/>
  <c r="S230" i="40"/>
  <c r="O230" i="40"/>
  <c r="CO230" i="40" s="1"/>
  <c r="K230" i="40"/>
  <c r="G230" i="40"/>
  <c r="AH230" i="40"/>
  <c r="R230" i="40"/>
  <c r="AD230" i="40"/>
  <c r="N230" i="40"/>
  <c r="CN230" i="40" s="1"/>
  <c r="Z230" i="40"/>
  <c r="J230" i="40"/>
  <c r="V230" i="40"/>
  <c r="CT230" i="40" s="1"/>
  <c r="F230" i="40"/>
  <c r="AN629" i="40"/>
  <c r="CP629" i="40"/>
  <c r="DB629" i="40"/>
  <c r="CV528" i="40"/>
  <c r="CQ528" i="40"/>
  <c r="AO528" i="40"/>
  <c r="DB229" i="40"/>
  <c r="CV428" i="40"/>
  <c r="CK428" i="40"/>
  <c r="AM428" i="40"/>
  <c r="AN428" i="40"/>
  <c r="CP428" i="40"/>
  <c r="AW429" i="40"/>
  <c r="BN429" i="40"/>
  <c r="CD429" i="40"/>
  <c r="BC429" i="40"/>
  <c r="BS429" i="40"/>
  <c r="CJ429" i="40"/>
  <c r="BD429" i="40"/>
  <c r="BT429" i="40"/>
  <c r="DM429" i="40"/>
  <c r="BQ429" i="40"/>
  <c r="BU429" i="40"/>
  <c r="BI429" i="40"/>
  <c r="BM429" i="40"/>
  <c r="HZ429" i="40"/>
  <c r="IX429" i="40"/>
  <c r="BZ429" i="40"/>
  <c r="BO429" i="40"/>
  <c r="AZ429" i="40"/>
  <c r="BE429" i="40"/>
  <c r="BB429" i="40"/>
  <c r="BR429" i="40"/>
  <c r="CH429" i="40"/>
  <c r="BG429" i="40"/>
  <c r="BW429" i="40"/>
  <c r="DU429" i="40"/>
  <c r="BH429" i="40"/>
  <c r="BX429" i="40"/>
  <c r="DV429" i="40"/>
  <c r="CG429" i="40"/>
  <c r="DS429" i="40"/>
  <c r="BY429" i="40"/>
  <c r="CC429" i="40"/>
  <c r="HY429" i="40"/>
  <c r="IY429" i="40"/>
  <c r="BJ429" i="40"/>
  <c r="AX429" i="40"/>
  <c r="CF429" i="40"/>
  <c r="IA429" i="40"/>
  <c r="C430" i="40"/>
  <c r="BF429" i="40"/>
  <c r="BV429" i="40"/>
  <c r="DT429" i="40"/>
  <c r="BK429" i="40"/>
  <c r="CA429" i="40"/>
  <c r="A429" i="40"/>
  <c r="BL429" i="40"/>
  <c r="CB429" i="40"/>
  <c r="DW429" i="40"/>
  <c r="IZ429" i="40"/>
  <c r="CE429" i="40"/>
  <c r="BP429" i="40"/>
  <c r="BA429" i="40"/>
  <c r="JO429" i="40"/>
  <c r="JP429" i="40"/>
  <c r="DB428" i="40"/>
  <c r="AP428" i="40"/>
  <c r="CQ428" i="40"/>
  <c r="AO428" i="40"/>
  <c r="AO229" i="40"/>
  <c r="CQ229" i="40"/>
  <c r="AP229" i="40"/>
  <c r="AM229" i="40"/>
  <c r="CK229" i="40"/>
  <c r="AN229" i="40"/>
  <c r="CP229" i="40"/>
  <c r="BE230" i="40"/>
  <c r="BU230" i="40"/>
  <c r="DS230" i="40"/>
  <c r="BB230" i="40"/>
  <c r="BR230" i="40"/>
  <c r="CH230" i="40"/>
  <c r="BG230" i="40"/>
  <c r="BW230" i="40"/>
  <c r="DU230" i="40"/>
  <c r="DM230" i="40"/>
  <c r="BX230" i="40"/>
  <c r="CB230" i="40"/>
  <c r="BP230" i="40"/>
  <c r="IA230" i="40"/>
  <c r="IZ230" i="40"/>
  <c r="IY230" i="40"/>
  <c r="C231" i="40"/>
  <c r="BI230" i="40"/>
  <c r="BY230" i="40"/>
  <c r="DW230" i="40"/>
  <c r="BF230" i="40"/>
  <c r="BV230" i="40"/>
  <c r="DT230" i="40"/>
  <c r="BK230" i="40"/>
  <c r="CA230" i="40"/>
  <c r="A230" i="40"/>
  <c r="DV230" i="40"/>
  <c r="CF230" i="40"/>
  <c r="JO230" i="40"/>
  <c r="HZ230" i="40"/>
  <c r="JP230" i="40"/>
  <c r="BM230" i="40"/>
  <c r="CC230" i="40"/>
  <c r="BJ230" i="40"/>
  <c r="BZ230" i="40"/>
  <c r="AX230" i="40"/>
  <c r="BO230" i="40"/>
  <c r="CE230" i="40"/>
  <c r="BD230" i="40"/>
  <c r="HY230" i="40"/>
  <c r="BA230" i="40"/>
  <c r="BQ230" i="40"/>
  <c r="CG230" i="40"/>
  <c r="AW230" i="40"/>
  <c r="BN230" i="40"/>
  <c r="CD230" i="40"/>
  <c r="BC230" i="40"/>
  <c r="BS230" i="40"/>
  <c r="CJ230" i="40"/>
  <c r="BT230" i="40"/>
  <c r="BH230" i="40"/>
  <c r="BL230" i="40"/>
  <c r="AZ230" i="40"/>
  <c r="IX230" i="40"/>
  <c r="JJ127" i="40"/>
  <c r="JK127" i="40" s="1"/>
  <c r="JL127" i="40" s="1"/>
  <c r="JM127" i="40" s="1"/>
  <c r="HM129" i="40"/>
  <c r="HP129" i="40" s="1"/>
  <c r="IQ129" i="40"/>
  <c r="JC129" i="40" s="1"/>
  <c r="DB329" i="40"/>
  <c r="HN129" i="40"/>
  <c r="HQ129" i="40" s="1"/>
  <c r="D128" i="40"/>
  <c r="AY128" i="40" s="1"/>
  <c r="JM126" i="40"/>
  <c r="JH128" i="40"/>
  <c r="KO125" i="40"/>
  <c r="HW128" i="40"/>
  <c r="IC128" i="40" s="1"/>
  <c r="AP129" i="40"/>
  <c r="HT129" i="40"/>
  <c r="CP329" i="40"/>
  <c r="AN329" i="40"/>
  <c r="CK329" i="40"/>
  <c r="AM329" i="40"/>
  <c r="HV128" i="40"/>
  <c r="CP129" i="40"/>
  <c r="HW129" i="40" s="1"/>
  <c r="AN129" i="40"/>
  <c r="IK130" i="40"/>
  <c r="IN130" i="40" s="1"/>
  <c r="II130" i="40"/>
  <c r="IL130" i="40" s="1"/>
  <c r="IJ130" i="40"/>
  <c r="IM130" i="40" s="1"/>
  <c r="JF130" i="40"/>
  <c r="HO130" i="40" s="1"/>
  <c r="HR130" i="40" s="1"/>
  <c r="C131" i="40"/>
  <c r="A130" i="40"/>
  <c r="AW130" i="40"/>
  <c r="BB130" i="40"/>
  <c r="BF130" i="40"/>
  <c r="BJ130" i="40"/>
  <c r="BN130" i="40"/>
  <c r="BR130" i="40"/>
  <c r="BV130" i="40"/>
  <c r="BZ130" i="40"/>
  <c r="CD130" i="40"/>
  <c r="CH130" i="40"/>
  <c r="DT130" i="40"/>
  <c r="CN130" i="40"/>
  <c r="AX130" i="40"/>
  <c r="BC130" i="40"/>
  <c r="BG130" i="40"/>
  <c r="BK130" i="40"/>
  <c r="BO130" i="40"/>
  <c r="BS130" i="40"/>
  <c r="BW130" i="40"/>
  <c r="CA130" i="40"/>
  <c r="CE130" i="40"/>
  <c r="CJ130" i="40"/>
  <c r="DU130" i="40"/>
  <c r="AZ130" i="40"/>
  <c r="BD130" i="40"/>
  <c r="BH130" i="40"/>
  <c r="BL130" i="40"/>
  <c r="BP130" i="40"/>
  <c r="BT130" i="40"/>
  <c r="BX130" i="40"/>
  <c r="CB130" i="40"/>
  <c r="CF130" i="40"/>
  <c r="DM130" i="40"/>
  <c r="DV130" i="40"/>
  <c r="BM130" i="40"/>
  <c r="CC130" i="40"/>
  <c r="BA130" i="40"/>
  <c r="BQ130" i="40"/>
  <c r="CG130" i="40"/>
  <c r="BE130" i="40"/>
  <c r="BU130" i="40"/>
  <c r="DS130" i="40"/>
  <c r="BI130" i="40"/>
  <c r="BY130" i="40"/>
  <c r="DW130" i="40"/>
  <c r="JO130" i="40"/>
  <c r="HZ130" i="40"/>
  <c r="IA130" i="40"/>
  <c r="HY130" i="40"/>
  <c r="IZ130" i="40"/>
  <c r="IX130" i="40"/>
  <c r="CU130" i="40"/>
  <c r="IY130" i="40"/>
  <c r="JP130" i="40"/>
  <c r="JG130" i="40"/>
  <c r="HU129" i="40"/>
  <c r="C331" i="40"/>
  <c r="A330" i="40"/>
  <c r="AZ330" i="40"/>
  <c r="BD330" i="40"/>
  <c r="BH330" i="40"/>
  <c r="BL330" i="40"/>
  <c r="BP330" i="40"/>
  <c r="BT330" i="40"/>
  <c r="BX330" i="40"/>
  <c r="CB330" i="40"/>
  <c r="CF330" i="40"/>
  <c r="DM330" i="40"/>
  <c r="DV330" i="40"/>
  <c r="BA330" i="40"/>
  <c r="BE330" i="40"/>
  <c r="BI330" i="40"/>
  <c r="BM330" i="40"/>
  <c r="BQ330" i="40"/>
  <c r="BU330" i="40"/>
  <c r="BY330" i="40"/>
  <c r="CC330" i="40"/>
  <c r="CG330" i="40"/>
  <c r="DS330" i="40"/>
  <c r="DW330" i="40"/>
  <c r="AW330" i="40"/>
  <c r="BB330" i="40"/>
  <c r="BF330" i="40"/>
  <c r="BJ330" i="40"/>
  <c r="BN330" i="40"/>
  <c r="BR330" i="40"/>
  <c r="BV330" i="40"/>
  <c r="BZ330" i="40"/>
  <c r="CD330" i="40"/>
  <c r="CH330" i="40"/>
  <c r="DT330" i="40"/>
  <c r="BK330" i="40"/>
  <c r="CA330" i="40"/>
  <c r="AX330" i="40"/>
  <c r="BO330" i="40"/>
  <c r="CE330" i="40"/>
  <c r="BC330" i="40"/>
  <c r="BS330" i="40"/>
  <c r="CJ330" i="40"/>
  <c r="BG330" i="40"/>
  <c r="BW330" i="40"/>
  <c r="DU330" i="40"/>
  <c r="JO330" i="40"/>
  <c r="IY330" i="40"/>
  <c r="HY330" i="40"/>
  <c r="IZ330" i="40"/>
  <c r="HZ330" i="40"/>
  <c r="IX330" i="40"/>
  <c r="IA330" i="40"/>
  <c r="JP330" i="40"/>
  <c r="JI128" i="40"/>
  <c r="CV129" i="40"/>
  <c r="AK129" i="40"/>
  <c r="AL129" i="40"/>
  <c r="AO129" i="40"/>
  <c r="CQ129" i="40"/>
  <c r="HS129" i="40"/>
  <c r="CV329" i="40"/>
  <c r="AP329" i="40"/>
  <c r="DB129" i="40"/>
  <c r="IP129" i="40"/>
  <c r="JB129" i="40" s="1"/>
  <c r="AM129" i="40"/>
  <c r="CK129" i="40"/>
  <c r="IO129" i="40"/>
  <c r="JA129" i="40" s="1"/>
  <c r="AO329" i="40"/>
  <c r="CQ329" i="40"/>
  <c r="CI513" i="40" l="1"/>
  <c r="CI214" i="40"/>
  <c r="CI414" i="40"/>
  <c r="CI130" i="40"/>
  <c r="IA629" i="40"/>
  <c r="IZ629" i="40" s="1"/>
  <c r="HZ629" i="40"/>
  <c r="IY629" i="40" s="1"/>
  <c r="CV230" i="40"/>
  <c r="CV529" i="40"/>
  <c r="CP630" i="40"/>
  <c r="AP230" i="40"/>
  <c r="AP630" i="40"/>
  <c r="AO529" i="40"/>
  <c r="CQ529" i="40"/>
  <c r="AM630" i="40"/>
  <c r="CK630" i="40"/>
  <c r="CV630" i="40"/>
  <c r="AN630" i="40"/>
  <c r="AJ331" i="40"/>
  <c r="AF331" i="40"/>
  <c r="AB331" i="40"/>
  <c r="X331" i="40"/>
  <c r="T331" i="40"/>
  <c r="CR331" i="40" s="1"/>
  <c r="P331" i="40"/>
  <c r="L331" i="40"/>
  <c r="CL331" i="40" s="1"/>
  <c r="H331" i="40"/>
  <c r="AH331" i="40"/>
  <c r="AC331" i="40"/>
  <c r="W331" i="40"/>
  <c r="CU331" i="40" s="1"/>
  <c r="R331" i="40"/>
  <c r="M331" i="40"/>
  <c r="CM331" i="40" s="1"/>
  <c r="G331" i="40"/>
  <c r="AG331" i="40"/>
  <c r="AA331" i="40"/>
  <c r="V331" i="40"/>
  <c r="CT331" i="40" s="1"/>
  <c r="Q331" i="40"/>
  <c r="K331" i="40"/>
  <c r="F331" i="40"/>
  <c r="AE331" i="40"/>
  <c r="Z331" i="40"/>
  <c r="U331" i="40"/>
  <c r="O331" i="40"/>
  <c r="CO331" i="40" s="1"/>
  <c r="J331" i="40"/>
  <c r="E331" i="40"/>
  <c r="AD331" i="40"/>
  <c r="I331" i="40"/>
  <c r="Y331" i="40"/>
  <c r="S331" i="40"/>
  <c r="AI331" i="40"/>
  <c r="N331" i="40"/>
  <c r="CN331" i="40" s="1"/>
  <c r="AG131" i="40"/>
  <c r="AC131" i="40"/>
  <c r="Y131" i="40"/>
  <c r="U131" i="40"/>
  <c r="CS131" i="40" s="1"/>
  <c r="Q131" i="40"/>
  <c r="M131" i="40"/>
  <c r="I131" i="40"/>
  <c r="E131" i="40"/>
  <c r="AI131" i="40"/>
  <c r="AE131" i="40"/>
  <c r="AA131" i="40"/>
  <c r="W131" i="40"/>
  <c r="CU131" i="40" s="1"/>
  <c r="S131" i="40"/>
  <c r="O131" i="40"/>
  <c r="K131" i="40"/>
  <c r="G131" i="40"/>
  <c r="AF131" i="40"/>
  <c r="X131" i="40"/>
  <c r="P131" i="40"/>
  <c r="H131" i="40"/>
  <c r="AH131" i="40"/>
  <c r="J131" i="40"/>
  <c r="AD131" i="40"/>
  <c r="V131" i="40"/>
  <c r="CT131" i="40" s="1"/>
  <c r="N131" i="40"/>
  <c r="CN131" i="40" s="1"/>
  <c r="F131" i="40"/>
  <c r="Z131" i="40"/>
  <c r="AJ131" i="40"/>
  <c r="AB131" i="40"/>
  <c r="T131" i="40"/>
  <c r="CR131" i="40" s="1"/>
  <c r="L131" i="40"/>
  <c r="CL131" i="40" s="1"/>
  <c r="R131" i="40"/>
  <c r="HY629" i="40"/>
  <c r="IX629" i="40" s="1"/>
  <c r="DB529" i="40"/>
  <c r="AM529" i="40"/>
  <c r="CK529" i="40"/>
  <c r="CQ630" i="40"/>
  <c r="AO630" i="40"/>
  <c r="DB630" i="40"/>
  <c r="AP529" i="40"/>
  <c r="AG231" i="40"/>
  <c r="AC231" i="40"/>
  <c r="Y231" i="40"/>
  <c r="U231" i="40"/>
  <c r="CS231" i="40" s="1"/>
  <c r="Q231" i="40"/>
  <c r="M231" i="40"/>
  <c r="CM231" i="40" s="1"/>
  <c r="I231" i="40"/>
  <c r="E231" i="40"/>
  <c r="AJ231" i="40"/>
  <c r="AF231" i="40"/>
  <c r="AB231" i="40"/>
  <c r="X231" i="40"/>
  <c r="T231" i="40"/>
  <c r="CR231" i="40" s="1"/>
  <c r="P231" i="40"/>
  <c r="L231" i="40"/>
  <c r="CL231" i="40" s="1"/>
  <c r="H231" i="40"/>
  <c r="AI231" i="40"/>
  <c r="AE231" i="40"/>
  <c r="AA231" i="40"/>
  <c r="CI315" i="40" s="1"/>
  <c r="W231" i="40"/>
  <c r="CU231" i="40" s="1"/>
  <c r="S231" i="40"/>
  <c r="O231" i="40"/>
  <c r="CO231" i="40" s="1"/>
  <c r="K231" i="40"/>
  <c r="G231" i="40"/>
  <c r="AH231" i="40"/>
  <c r="R231" i="40"/>
  <c r="AD231" i="40"/>
  <c r="N231" i="40"/>
  <c r="CN231" i="40" s="1"/>
  <c r="Z231" i="40"/>
  <c r="J231" i="40"/>
  <c r="V231" i="40"/>
  <c r="CT231" i="40" s="1"/>
  <c r="F231" i="40"/>
  <c r="AI430" i="40"/>
  <c r="AE430" i="40"/>
  <c r="AA430" i="40"/>
  <c r="W430" i="40"/>
  <c r="CU430" i="40" s="1"/>
  <c r="S430" i="40"/>
  <c r="O430" i="40"/>
  <c r="CO430" i="40" s="1"/>
  <c r="K430" i="40"/>
  <c r="G430" i="40"/>
  <c r="AH430" i="40"/>
  <c r="AD430" i="40"/>
  <c r="Z430" i="40"/>
  <c r="V430" i="40"/>
  <c r="CT430" i="40" s="1"/>
  <c r="R430" i="40"/>
  <c r="N430" i="40"/>
  <c r="CN430" i="40" s="1"/>
  <c r="J430" i="40"/>
  <c r="F430" i="40"/>
  <c r="AG430" i="40"/>
  <c r="AC430" i="40"/>
  <c r="Y430" i="40"/>
  <c r="U430" i="40"/>
  <c r="CS430" i="40" s="1"/>
  <c r="Q430" i="40"/>
  <c r="M430" i="40"/>
  <c r="CM430" i="40" s="1"/>
  <c r="I430" i="40"/>
  <c r="E430" i="40"/>
  <c r="AJ430" i="40"/>
  <c r="T430" i="40"/>
  <c r="CR430" i="40" s="1"/>
  <c r="AF430" i="40"/>
  <c r="P430" i="40"/>
  <c r="AB430" i="40"/>
  <c r="L430" i="40"/>
  <c r="CL430" i="40" s="1"/>
  <c r="H430" i="40"/>
  <c r="X430" i="40"/>
  <c r="AP430" i="40" s="1"/>
  <c r="AJ530" i="40"/>
  <c r="AF530" i="40"/>
  <c r="AB530" i="40"/>
  <c r="X530" i="40"/>
  <c r="T530" i="40"/>
  <c r="CR530" i="40" s="1"/>
  <c r="P530" i="40"/>
  <c r="L530" i="40"/>
  <c r="CL530" i="40" s="1"/>
  <c r="H530" i="40"/>
  <c r="AI530" i="40"/>
  <c r="AE530" i="40"/>
  <c r="AA530" i="40"/>
  <c r="W530" i="40"/>
  <c r="CU530" i="40" s="1"/>
  <c r="S530" i="40"/>
  <c r="O530" i="40"/>
  <c r="CO530" i="40" s="1"/>
  <c r="K530" i="40"/>
  <c r="G530" i="40"/>
  <c r="AH530" i="40"/>
  <c r="AD530" i="40"/>
  <c r="Z530" i="40"/>
  <c r="V530" i="40"/>
  <c r="CT530" i="40" s="1"/>
  <c r="R530" i="40"/>
  <c r="N530" i="40"/>
  <c r="CN530" i="40" s="1"/>
  <c r="J530" i="40"/>
  <c r="F530" i="40"/>
  <c r="AG530" i="40"/>
  <c r="Q530" i="40"/>
  <c r="AC530" i="40"/>
  <c r="M530" i="40"/>
  <c r="CM530" i="40" s="1"/>
  <c r="Y530" i="40"/>
  <c r="I530" i="40"/>
  <c r="U530" i="40"/>
  <c r="CS530" i="40" s="1"/>
  <c r="E530" i="40"/>
  <c r="C531" i="40"/>
  <c r="BJ530" i="40"/>
  <c r="BZ530" i="40"/>
  <c r="BG530" i="40"/>
  <c r="BW530" i="40"/>
  <c r="DU530" i="40"/>
  <c r="BD530" i="40"/>
  <c r="BT530" i="40"/>
  <c r="DM530" i="40"/>
  <c r="DS530" i="40"/>
  <c r="BY530" i="40"/>
  <c r="BM530" i="40"/>
  <c r="HZ530" i="40"/>
  <c r="IX530" i="40"/>
  <c r="BB530" i="40"/>
  <c r="CH530" i="40"/>
  <c r="BO530" i="40"/>
  <c r="BE530" i="40"/>
  <c r="BQ530" i="40"/>
  <c r="IZ530" i="40"/>
  <c r="AW530" i="40"/>
  <c r="BN530" i="40"/>
  <c r="CD530" i="40"/>
  <c r="BK530" i="40"/>
  <c r="CA530" i="40"/>
  <c r="A530" i="40"/>
  <c r="BH530" i="40"/>
  <c r="BX530" i="40"/>
  <c r="DV530" i="40"/>
  <c r="JO530" i="40"/>
  <c r="DW530" i="40"/>
  <c r="CC530" i="40"/>
  <c r="HY530" i="40"/>
  <c r="JP530" i="40"/>
  <c r="AX530" i="40"/>
  <c r="BL530" i="40"/>
  <c r="BA530" i="40"/>
  <c r="BR530" i="40"/>
  <c r="CE530" i="40"/>
  <c r="CB530" i="40"/>
  <c r="CG530" i="40"/>
  <c r="BF530" i="40"/>
  <c r="BV530" i="40"/>
  <c r="DT530" i="40"/>
  <c r="BC530" i="40"/>
  <c r="BS530" i="40"/>
  <c r="CJ530" i="40"/>
  <c r="AZ530" i="40"/>
  <c r="BP530" i="40"/>
  <c r="CF530" i="40"/>
  <c r="BU530" i="40"/>
  <c r="BI530" i="40"/>
  <c r="IA530" i="40"/>
  <c r="IY530" i="40"/>
  <c r="CP529" i="40"/>
  <c r="AN529" i="40"/>
  <c r="I631" i="40"/>
  <c r="AJ631" i="40"/>
  <c r="AC631" i="40"/>
  <c r="CJ631" i="40"/>
  <c r="CG631" i="40"/>
  <c r="BQ631" i="40"/>
  <c r="BA631" i="40"/>
  <c r="A631" i="40"/>
  <c r="BX631" i="40"/>
  <c r="BH631" i="40"/>
  <c r="P631" i="40"/>
  <c r="DS631" i="40"/>
  <c r="BS631" i="40"/>
  <c r="BC631" i="40"/>
  <c r="DM631" i="40"/>
  <c r="CD631" i="40"/>
  <c r="BZ631" i="40"/>
  <c r="DV631" i="40"/>
  <c r="JO631" i="40"/>
  <c r="AE631" i="40"/>
  <c r="CC631" i="40"/>
  <c r="BM631" i="40"/>
  <c r="AW631" i="40"/>
  <c r="DT631" i="40"/>
  <c r="BT631" i="40"/>
  <c r="BD631" i="40"/>
  <c r="L631" i="40"/>
  <c r="CL631" i="40" s="1"/>
  <c r="CE631" i="40"/>
  <c r="BO631" i="40"/>
  <c r="O631" i="40"/>
  <c r="CO631" i="40" s="1"/>
  <c r="CH631" i="40"/>
  <c r="BN631" i="40"/>
  <c r="BJ631" i="40"/>
  <c r="BV631" i="40"/>
  <c r="JP631" i="40"/>
  <c r="AF631" i="40"/>
  <c r="BY631" i="40"/>
  <c r="BI631" i="40"/>
  <c r="AG631" i="40"/>
  <c r="CF631" i="40"/>
  <c r="BP631" i="40"/>
  <c r="AZ631" i="40"/>
  <c r="C632" i="40"/>
  <c r="CA631" i="40"/>
  <c r="BK631" i="40"/>
  <c r="K631" i="40"/>
  <c r="BR631" i="40"/>
  <c r="AX631" i="40"/>
  <c r="J631" i="40"/>
  <c r="R631" i="40"/>
  <c r="H631" i="40"/>
  <c r="M631" i="40"/>
  <c r="CM631" i="40" s="1"/>
  <c r="DW631" i="40"/>
  <c r="BB631" i="40"/>
  <c r="AI631" i="40"/>
  <c r="F631" i="40"/>
  <c r="DU631" i="40"/>
  <c r="CB631" i="40"/>
  <c r="BW631" i="40"/>
  <c r="N631" i="40"/>
  <c r="CN631" i="40" s="1"/>
  <c r="BE631" i="40"/>
  <c r="KN631" i="40"/>
  <c r="BU631" i="40"/>
  <c r="BL631" i="40"/>
  <c r="BG631" i="40"/>
  <c r="BF631" i="40"/>
  <c r="W631" i="40"/>
  <c r="CU631" i="40" s="1"/>
  <c r="AB631" i="40"/>
  <c r="G631" i="40"/>
  <c r="T631" i="40"/>
  <c r="CR631" i="40" s="1"/>
  <c r="Z631" i="40"/>
  <c r="AH631" i="40"/>
  <c r="Q631" i="40"/>
  <c r="U631" i="40"/>
  <c r="CS631" i="40" s="1"/>
  <c r="X631" i="40"/>
  <c r="S631" i="40"/>
  <c r="V631" i="40"/>
  <c r="CT631" i="40" s="1"/>
  <c r="AD631" i="40"/>
  <c r="AA631" i="40"/>
  <c r="E631" i="40"/>
  <c r="Y631" i="40"/>
  <c r="HV129" i="40"/>
  <c r="BD430" i="40"/>
  <c r="BT430" i="40"/>
  <c r="DM430" i="40"/>
  <c r="BE430" i="40"/>
  <c r="BU430" i="40"/>
  <c r="DS430" i="40"/>
  <c r="BB430" i="40"/>
  <c r="BR430" i="40"/>
  <c r="CH430" i="40"/>
  <c r="BO430" i="40"/>
  <c r="BS430" i="40"/>
  <c r="BW430" i="40"/>
  <c r="BK430" i="40"/>
  <c r="HZ430" i="40"/>
  <c r="IX430" i="40"/>
  <c r="A430" i="40"/>
  <c r="BL430" i="40"/>
  <c r="CB430" i="40"/>
  <c r="BM430" i="40"/>
  <c r="BJ430" i="40"/>
  <c r="BP430" i="40"/>
  <c r="BQ430" i="40"/>
  <c r="BN430" i="40"/>
  <c r="AX430" i="40"/>
  <c r="BG430" i="40"/>
  <c r="IY430" i="40"/>
  <c r="C431" i="40"/>
  <c r="BH430" i="40"/>
  <c r="BX430" i="40"/>
  <c r="DV430" i="40"/>
  <c r="BI430" i="40"/>
  <c r="BY430" i="40"/>
  <c r="DW430" i="40"/>
  <c r="BF430" i="40"/>
  <c r="BV430" i="40"/>
  <c r="DT430" i="40"/>
  <c r="CE430" i="40"/>
  <c r="CJ430" i="40"/>
  <c r="DU430" i="40"/>
  <c r="CA430" i="40"/>
  <c r="IZ430" i="40"/>
  <c r="JP430" i="40"/>
  <c r="CC430" i="40"/>
  <c r="BZ430" i="40"/>
  <c r="JO430" i="40"/>
  <c r="HY430" i="40"/>
  <c r="AZ430" i="40"/>
  <c r="CF430" i="40"/>
  <c r="BA430" i="40"/>
  <c r="CG430" i="40"/>
  <c r="AW430" i="40"/>
  <c r="CD430" i="40"/>
  <c r="BC430" i="40"/>
  <c r="IA430" i="40"/>
  <c r="CK429" i="40"/>
  <c r="AM429" i="40"/>
  <c r="CP429" i="40"/>
  <c r="AN429" i="40"/>
  <c r="CQ429" i="40"/>
  <c r="AO429" i="40"/>
  <c r="D129" i="40"/>
  <c r="AY129" i="40" s="1"/>
  <c r="DB429" i="40"/>
  <c r="CV429" i="40"/>
  <c r="AP429" i="40"/>
  <c r="CQ230" i="40"/>
  <c r="AO230" i="40"/>
  <c r="CK230" i="40"/>
  <c r="AM230" i="40"/>
  <c r="AN230" i="40"/>
  <c r="CP230" i="40"/>
  <c r="DB230" i="40"/>
  <c r="BC231" i="40"/>
  <c r="BS231" i="40"/>
  <c r="CJ231" i="40"/>
  <c r="BD231" i="40"/>
  <c r="BT231" i="40"/>
  <c r="DM231" i="40"/>
  <c r="BE231" i="40"/>
  <c r="BU231" i="40"/>
  <c r="DS231" i="40"/>
  <c r="BR231" i="40"/>
  <c r="BV231" i="40"/>
  <c r="BJ231" i="40"/>
  <c r="AW231" i="40"/>
  <c r="HY231" i="40"/>
  <c r="BG231" i="40"/>
  <c r="BW231" i="40"/>
  <c r="DU231" i="40"/>
  <c r="BH231" i="40"/>
  <c r="BX231" i="40"/>
  <c r="DV231" i="40"/>
  <c r="BI231" i="40"/>
  <c r="BY231" i="40"/>
  <c r="DW231" i="40"/>
  <c r="CH231" i="40"/>
  <c r="DT231" i="40"/>
  <c r="BZ231" i="40"/>
  <c r="BN231" i="40"/>
  <c r="IZ231" i="40"/>
  <c r="IX231" i="40"/>
  <c r="IY231" i="40"/>
  <c r="C232" i="40"/>
  <c r="BK231" i="40"/>
  <c r="CA231" i="40"/>
  <c r="A231" i="40"/>
  <c r="BL231" i="40"/>
  <c r="CB231" i="40"/>
  <c r="BM231" i="40"/>
  <c r="CC231" i="40"/>
  <c r="CD231" i="40"/>
  <c r="JO231" i="40"/>
  <c r="HZ231" i="40"/>
  <c r="JP231" i="40"/>
  <c r="AX231" i="40"/>
  <c r="BO231" i="40"/>
  <c r="CE231" i="40"/>
  <c r="AZ231" i="40"/>
  <c r="BP231" i="40"/>
  <c r="CF231" i="40"/>
  <c r="BA231" i="40"/>
  <c r="BQ231" i="40"/>
  <c r="CG231" i="40"/>
  <c r="BB231" i="40"/>
  <c r="BF231" i="40"/>
  <c r="IA231" i="40"/>
  <c r="HX129" i="40"/>
  <c r="IC129" i="40"/>
  <c r="HN130" i="40"/>
  <c r="HQ130" i="40" s="1"/>
  <c r="AP130" i="40"/>
  <c r="HM130" i="40"/>
  <c r="HP130" i="40" s="1"/>
  <c r="E34" i="44"/>
  <c r="JI129" i="40"/>
  <c r="IP130" i="40"/>
  <c r="JB130" i="40" s="1"/>
  <c r="E35" i="44" s="1"/>
  <c r="HS130" i="40"/>
  <c r="DB330" i="40"/>
  <c r="AP330" i="40"/>
  <c r="CP130" i="40"/>
  <c r="HV130" i="40" s="1"/>
  <c r="AN130" i="40"/>
  <c r="IQ130" i="40"/>
  <c r="JC130" i="40" s="1"/>
  <c r="IK131" i="40"/>
  <c r="IN131" i="40" s="1"/>
  <c r="IJ131" i="40"/>
  <c r="IM131" i="40" s="1"/>
  <c r="JF131" i="40"/>
  <c r="HO131" i="40" s="1"/>
  <c r="II131" i="40"/>
  <c r="IL131" i="40" s="1"/>
  <c r="A131" i="40"/>
  <c r="CM131" i="40"/>
  <c r="AW131" i="40"/>
  <c r="BB131" i="40"/>
  <c r="BF131" i="40"/>
  <c r="BJ131" i="40"/>
  <c r="BN131" i="40"/>
  <c r="BR131" i="40"/>
  <c r="BV131" i="40"/>
  <c r="BZ131" i="40"/>
  <c r="CD131" i="40"/>
  <c r="CH131" i="40"/>
  <c r="DT131" i="40"/>
  <c r="AX131" i="40"/>
  <c r="BC131" i="40"/>
  <c r="BG131" i="40"/>
  <c r="BK131" i="40"/>
  <c r="BO131" i="40"/>
  <c r="BS131" i="40"/>
  <c r="BW131" i="40"/>
  <c r="CA131" i="40"/>
  <c r="CE131" i="40"/>
  <c r="CJ131" i="40"/>
  <c r="DU131" i="40"/>
  <c r="C132" i="40"/>
  <c r="AZ131" i="40"/>
  <c r="BD131" i="40"/>
  <c r="BH131" i="40"/>
  <c r="BL131" i="40"/>
  <c r="BP131" i="40"/>
  <c r="BT131" i="40"/>
  <c r="BX131" i="40"/>
  <c r="CB131" i="40"/>
  <c r="CF131" i="40"/>
  <c r="DM131" i="40"/>
  <c r="DV131" i="40"/>
  <c r="BI131" i="40"/>
  <c r="BY131" i="40"/>
  <c r="DW131" i="40"/>
  <c r="BM131" i="40"/>
  <c r="CC131" i="40"/>
  <c r="BA131" i="40"/>
  <c r="BQ131" i="40"/>
  <c r="CG131" i="40"/>
  <c r="CO131" i="40"/>
  <c r="BE131" i="40"/>
  <c r="BU131" i="40"/>
  <c r="DS131" i="40"/>
  <c r="JO131" i="40"/>
  <c r="IA131" i="40"/>
  <c r="IX131" i="40"/>
  <c r="HY131" i="40"/>
  <c r="IZ131" i="40"/>
  <c r="HZ131" i="40"/>
  <c r="IY131" i="40"/>
  <c r="JP131" i="40"/>
  <c r="JG131" i="40"/>
  <c r="HU130" i="40"/>
  <c r="KO127" i="40"/>
  <c r="CV330" i="40"/>
  <c r="CK330" i="40"/>
  <c r="AM330" i="40"/>
  <c r="CV130" i="40"/>
  <c r="AK130" i="40"/>
  <c r="AL130" i="40"/>
  <c r="CQ130" i="40"/>
  <c r="AO130" i="40"/>
  <c r="DB130" i="40"/>
  <c r="CQ330" i="40"/>
  <c r="AO330" i="40"/>
  <c r="AN330" i="40"/>
  <c r="CP330" i="40"/>
  <c r="C332" i="40"/>
  <c r="AW331" i="40"/>
  <c r="BB331" i="40"/>
  <c r="BF331" i="40"/>
  <c r="BJ331" i="40"/>
  <c r="BN331" i="40"/>
  <c r="BR331" i="40"/>
  <c r="BV331" i="40"/>
  <c r="BZ331" i="40"/>
  <c r="CD331" i="40"/>
  <c r="CH331" i="40"/>
  <c r="DT331" i="40"/>
  <c r="AX331" i="40"/>
  <c r="BC331" i="40"/>
  <c r="BG331" i="40"/>
  <c r="BK331" i="40"/>
  <c r="BO331" i="40"/>
  <c r="BS331" i="40"/>
  <c r="BW331" i="40"/>
  <c r="CA331" i="40"/>
  <c r="CE331" i="40"/>
  <c r="CJ331" i="40"/>
  <c r="DU331" i="40"/>
  <c r="A331" i="40"/>
  <c r="AZ331" i="40"/>
  <c r="BD331" i="40"/>
  <c r="BH331" i="40"/>
  <c r="BL331" i="40"/>
  <c r="BP331" i="40"/>
  <c r="BT331" i="40"/>
  <c r="BX331" i="40"/>
  <c r="CB331" i="40"/>
  <c r="CF331" i="40"/>
  <c r="DM331" i="40"/>
  <c r="DV331" i="40"/>
  <c r="BI331" i="40"/>
  <c r="BY331" i="40"/>
  <c r="DW331" i="40"/>
  <c r="BM331" i="40"/>
  <c r="CC331" i="40"/>
  <c r="BA331" i="40"/>
  <c r="BQ331" i="40"/>
  <c r="CG331" i="40"/>
  <c r="BE331" i="40"/>
  <c r="BU331" i="40"/>
  <c r="DS331" i="40"/>
  <c r="JO331" i="40"/>
  <c r="IY331" i="40"/>
  <c r="IX331" i="40"/>
  <c r="IZ331" i="40"/>
  <c r="HY331" i="40"/>
  <c r="HZ331" i="40"/>
  <c r="IA331" i="40"/>
  <c r="CS331" i="40"/>
  <c r="JP331" i="40"/>
  <c r="AM130" i="40"/>
  <c r="CK130" i="40"/>
  <c r="IO130" i="40"/>
  <c r="JA130" i="40" s="1"/>
  <c r="HT130" i="40"/>
  <c r="JH129" i="40"/>
  <c r="JJ128" i="40"/>
  <c r="JK128" i="40" s="1"/>
  <c r="JL128" i="40" s="1"/>
  <c r="KO126" i="40"/>
  <c r="CI614" i="40" l="1"/>
  <c r="CI215" i="40"/>
  <c r="D130" i="40"/>
  <c r="AY130" i="40" s="1"/>
  <c r="CI131" i="40"/>
  <c r="CI415" i="40"/>
  <c r="CI514" i="40"/>
  <c r="HY630" i="40"/>
  <c r="IX630" i="40" s="1"/>
  <c r="HZ630" i="40"/>
  <c r="IY630" i="40" s="1"/>
  <c r="CV430" i="40"/>
  <c r="IA630" i="40"/>
  <c r="IZ630" i="40" s="1"/>
  <c r="AP631" i="40"/>
  <c r="AJ332" i="40"/>
  <c r="AF332" i="40"/>
  <c r="AB332" i="40"/>
  <c r="X332" i="40"/>
  <c r="T332" i="40"/>
  <c r="CR332" i="40" s="1"/>
  <c r="P332" i="40"/>
  <c r="L332" i="40"/>
  <c r="CL332" i="40" s="1"/>
  <c r="H332" i="40"/>
  <c r="AH332" i="40"/>
  <c r="AC332" i="40"/>
  <c r="W332" i="40"/>
  <c r="CU332" i="40" s="1"/>
  <c r="R332" i="40"/>
  <c r="M332" i="40"/>
  <c r="CM332" i="40" s="1"/>
  <c r="G332" i="40"/>
  <c r="AG332" i="40"/>
  <c r="AA332" i="40"/>
  <c r="V332" i="40"/>
  <c r="Q332" i="40"/>
  <c r="K332" i="40"/>
  <c r="F332" i="40"/>
  <c r="AE332" i="40"/>
  <c r="Z332" i="40"/>
  <c r="U332" i="40"/>
  <c r="CS332" i="40" s="1"/>
  <c r="O332" i="40"/>
  <c r="CO332" i="40" s="1"/>
  <c r="J332" i="40"/>
  <c r="E332" i="40"/>
  <c r="S332" i="40"/>
  <c r="AI332" i="40"/>
  <c r="N332" i="40"/>
  <c r="CN332" i="40" s="1"/>
  <c r="AD332" i="40"/>
  <c r="I332" i="40"/>
  <c r="Y332" i="40"/>
  <c r="CP631" i="40"/>
  <c r="DB631" i="40"/>
  <c r="AF632" i="40"/>
  <c r="CG632" i="40"/>
  <c r="BQ632" i="40"/>
  <c r="BA632" i="40"/>
  <c r="A632" i="40"/>
  <c r="BX632" i="40"/>
  <c r="BH632" i="40"/>
  <c r="P632" i="40"/>
  <c r="DS632" i="40"/>
  <c r="BS632" i="40"/>
  <c r="BC632" i="40"/>
  <c r="DV632" i="40"/>
  <c r="CH632" i="40"/>
  <c r="BN632" i="40"/>
  <c r="J632" i="40"/>
  <c r="W632" i="40"/>
  <c r="CU632" i="40" s="1"/>
  <c r="JO632" i="40"/>
  <c r="H632" i="40"/>
  <c r="AI632" i="40"/>
  <c r="F632" i="40"/>
  <c r="CC632" i="40"/>
  <c r="BM632" i="40"/>
  <c r="AW632" i="40"/>
  <c r="DT632" i="40"/>
  <c r="BT632" i="40"/>
  <c r="BD632" i="40"/>
  <c r="L632" i="40"/>
  <c r="CL632" i="40" s="1"/>
  <c r="CE632" i="40"/>
  <c r="BO632" i="40"/>
  <c r="O632" i="40"/>
  <c r="CO632" i="40" s="1"/>
  <c r="BV632" i="40"/>
  <c r="BR632" i="40"/>
  <c r="AX632" i="40"/>
  <c r="BJ632" i="40"/>
  <c r="JP632" i="40"/>
  <c r="I632" i="40"/>
  <c r="AJ632" i="40"/>
  <c r="AC632" i="40"/>
  <c r="BY632" i="40"/>
  <c r="BI632" i="40"/>
  <c r="AG632" i="40"/>
  <c r="CF632" i="40"/>
  <c r="BP632" i="40"/>
  <c r="AZ632" i="40"/>
  <c r="C633" i="40"/>
  <c r="CA632" i="40"/>
  <c r="BK632" i="40"/>
  <c r="K632" i="40"/>
  <c r="BF632" i="40"/>
  <c r="BB632" i="40"/>
  <c r="N632" i="40"/>
  <c r="CN632" i="40" s="1"/>
  <c r="KN632" i="40"/>
  <c r="BU632" i="40"/>
  <c r="BL632" i="40"/>
  <c r="BG632" i="40"/>
  <c r="BZ632" i="40"/>
  <c r="BE632" i="40"/>
  <c r="AB632" i="40"/>
  <c r="G632" i="40"/>
  <c r="AE632" i="40"/>
  <c r="BW632" i="40"/>
  <c r="M632" i="40"/>
  <c r="CM632" i="40" s="1"/>
  <c r="DW632" i="40"/>
  <c r="DM632" i="40"/>
  <c r="DU632" i="40"/>
  <c r="CD632" i="40"/>
  <c r="CJ632" i="40"/>
  <c r="CB632" i="40"/>
  <c r="T632" i="40"/>
  <c r="CR632" i="40" s="1"/>
  <c r="AH632" i="40"/>
  <c r="R632" i="40"/>
  <c r="Z632" i="40"/>
  <c r="Q632" i="40"/>
  <c r="U632" i="40"/>
  <c r="CS632" i="40" s="1"/>
  <c r="S632" i="40"/>
  <c r="X632" i="40"/>
  <c r="V632" i="40"/>
  <c r="CT632" i="40" s="1"/>
  <c r="AD632" i="40"/>
  <c r="AA632" i="40"/>
  <c r="E632" i="40"/>
  <c r="Y632" i="40"/>
  <c r="DB530" i="40"/>
  <c r="CK530" i="40"/>
  <c r="AM530" i="40"/>
  <c r="AI431" i="40"/>
  <c r="AE431" i="40"/>
  <c r="AA431" i="40"/>
  <c r="W431" i="40"/>
  <c r="CU431" i="40" s="1"/>
  <c r="S431" i="40"/>
  <c r="O431" i="40"/>
  <c r="CO431" i="40" s="1"/>
  <c r="K431" i="40"/>
  <c r="G431" i="40"/>
  <c r="AH431" i="40"/>
  <c r="AD431" i="40"/>
  <c r="Z431" i="40"/>
  <c r="V431" i="40"/>
  <c r="CT431" i="40" s="1"/>
  <c r="R431" i="40"/>
  <c r="N431" i="40"/>
  <c r="CN431" i="40" s="1"/>
  <c r="J431" i="40"/>
  <c r="F431" i="40"/>
  <c r="AG431" i="40"/>
  <c r="AC431" i="40"/>
  <c r="Y431" i="40"/>
  <c r="U431" i="40"/>
  <c r="CS431" i="40" s="1"/>
  <c r="Q431" i="40"/>
  <c r="M431" i="40"/>
  <c r="CM431" i="40" s="1"/>
  <c r="I431" i="40"/>
  <c r="E431" i="40"/>
  <c r="AJ431" i="40"/>
  <c r="T431" i="40"/>
  <c r="CR431" i="40" s="1"/>
  <c r="AF431" i="40"/>
  <c r="P431" i="40"/>
  <c r="AB431" i="40"/>
  <c r="L431" i="40"/>
  <c r="CL431" i="40" s="1"/>
  <c r="X431" i="40"/>
  <c r="H431" i="40"/>
  <c r="CK631" i="40"/>
  <c r="AM631" i="40"/>
  <c r="AN530" i="40"/>
  <c r="CP530" i="40"/>
  <c r="AG132" i="40"/>
  <c r="AC132" i="40"/>
  <c r="Y132" i="40"/>
  <c r="U132" i="40"/>
  <c r="CS132" i="40" s="1"/>
  <c r="Q132" i="40"/>
  <c r="M132" i="40"/>
  <c r="I132" i="40"/>
  <c r="E132" i="40"/>
  <c r="AI132" i="40"/>
  <c r="AE132" i="40"/>
  <c r="AA132" i="40"/>
  <c r="W132" i="40"/>
  <c r="CU132" i="40" s="1"/>
  <c r="S132" i="40"/>
  <c r="O132" i="40"/>
  <c r="CO132" i="40" s="1"/>
  <c r="K132" i="40"/>
  <c r="G132" i="40"/>
  <c r="AF132" i="40"/>
  <c r="X132" i="40"/>
  <c r="P132" i="40"/>
  <c r="H132" i="40"/>
  <c r="AH132" i="40"/>
  <c r="J132" i="40"/>
  <c r="AD132" i="40"/>
  <c r="V132" i="40"/>
  <c r="CT132" i="40" s="1"/>
  <c r="N132" i="40"/>
  <c r="CN132" i="40" s="1"/>
  <c r="F132" i="40"/>
  <c r="Z132" i="40"/>
  <c r="AJ132" i="40"/>
  <c r="AB132" i="40"/>
  <c r="T132" i="40"/>
  <c r="CR132" i="40" s="1"/>
  <c r="L132" i="40"/>
  <c r="CL132" i="40" s="1"/>
  <c r="R132" i="40"/>
  <c r="CV631" i="40"/>
  <c r="AN631" i="40"/>
  <c r="AH531" i="40"/>
  <c r="AD531" i="40"/>
  <c r="Z531" i="40"/>
  <c r="V531" i="40"/>
  <c r="CT531" i="40" s="1"/>
  <c r="R531" i="40"/>
  <c r="N531" i="40"/>
  <c r="CN531" i="40" s="1"/>
  <c r="J531" i="40"/>
  <c r="F531" i="40"/>
  <c r="AG531" i="40"/>
  <c r="AC531" i="40"/>
  <c r="Y531" i="40"/>
  <c r="U531" i="40"/>
  <c r="CS531" i="40" s="1"/>
  <c r="Q531" i="40"/>
  <c r="M531" i="40"/>
  <c r="CM531" i="40" s="1"/>
  <c r="I531" i="40"/>
  <c r="E531" i="40"/>
  <c r="AJ531" i="40"/>
  <c r="AB531" i="40"/>
  <c r="T531" i="40"/>
  <c r="CR531" i="40" s="1"/>
  <c r="L531" i="40"/>
  <c r="CL531" i="40" s="1"/>
  <c r="AI531" i="40"/>
  <c r="AA531" i="40"/>
  <c r="CI615" i="40" s="1"/>
  <c r="S531" i="40"/>
  <c r="K531" i="40"/>
  <c r="AF531" i="40"/>
  <c r="X531" i="40"/>
  <c r="P531" i="40"/>
  <c r="H531" i="40"/>
  <c r="AE531" i="40"/>
  <c r="W531" i="40"/>
  <c r="CU531" i="40" s="1"/>
  <c r="O531" i="40"/>
  <c r="CO531" i="40" s="1"/>
  <c r="G531" i="40"/>
  <c r="C532" i="40"/>
  <c r="BD531" i="40"/>
  <c r="BT531" i="40"/>
  <c r="DM531" i="40"/>
  <c r="BE531" i="40"/>
  <c r="BU531" i="40"/>
  <c r="DS531" i="40"/>
  <c r="BF531" i="40"/>
  <c r="BV531" i="40"/>
  <c r="DT531" i="40"/>
  <c r="CE531" i="40"/>
  <c r="DU531" i="40"/>
  <c r="BK531" i="40"/>
  <c r="HY531" i="40"/>
  <c r="IY531" i="40"/>
  <c r="BN531" i="40"/>
  <c r="AX531" i="40"/>
  <c r="IZ531" i="40"/>
  <c r="AZ531" i="40"/>
  <c r="BP531" i="40"/>
  <c r="CF531" i="40"/>
  <c r="BA531" i="40"/>
  <c r="BQ531" i="40"/>
  <c r="CG531" i="40"/>
  <c r="BB531" i="40"/>
  <c r="BR531" i="40"/>
  <c r="CH531" i="40"/>
  <c r="CJ531" i="40"/>
  <c r="BW531" i="40"/>
  <c r="HZ531" i="40"/>
  <c r="IX531" i="40"/>
  <c r="A531" i="40"/>
  <c r="BH531" i="40"/>
  <c r="BX531" i="40"/>
  <c r="DV531" i="40"/>
  <c r="BI531" i="40"/>
  <c r="BY531" i="40"/>
  <c r="DW531" i="40"/>
  <c r="BJ531" i="40"/>
  <c r="BZ531" i="40"/>
  <c r="BC531" i="40"/>
  <c r="JO531" i="40"/>
  <c r="CA531" i="40"/>
  <c r="IA531" i="40"/>
  <c r="JP531" i="40"/>
  <c r="BL531" i="40"/>
  <c r="CB531" i="40"/>
  <c r="BM531" i="40"/>
  <c r="CC531" i="40"/>
  <c r="AW531" i="40"/>
  <c r="CD531" i="40"/>
  <c r="BS531" i="40"/>
  <c r="BG531" i="40"/>
  <c r="BO531" i="40"/>
  <c r="CV530" i="40"/>
  <c r="AO530" i="40"/>
  <c r="CQ530" i="40"/>
  <c r="AG232" i="40"/>
  <c r="AC232" i="40"/>
  <c r="Y232" i="40"/>
  <c r="U232" i="40"/>
  <c r="CS232" i="40" s="1"/>
  <c r="Q232" i="40"/>
  <c r="M232" i="40"/>
  <c r="CM232" i="40" s="1"/>
  <c r="I232" i="40"/>
  <c r="E232" i="40"/>
  <c r="AJ232" i="40"/>
  <c r="AF232" i="40"/>
  <c r="AB232" i="40"/>
  <c r="X232" i="40"/>
  <c r="T232" i="40"/>
  <c r="CR232" i="40" s="1"/>
  <c r="P232" i="40"/>
  <c r="L232" i="40"/>
  <c r="CL232" i="40" s="1"/>
  <c r="H232" i="40"/>
  <c r="AI232" i="40"/>
  <c r="AE232" i="40"/>
  <c r="AA232" i="40"/>
  <c r="CI316" i="40" s="1"/>
  <c r="W232" i="40"/>
  <c r="CU232" i="40" s="1"/>
  <c r="S232" i="40"/>
  <c r="O232" i="40"/>
  <c r="CO232" i="40" s="1"/>
  <c r="K232" i="40"/>
  <c r="G232" i="40"/>
  <c r="AH232" i="40"/>
  <c r="R232" i="40"/>
  <c r="AD232" i="40"/>
  <c r="N232" i="40"/>
  <c r="CN232" i="40" s="1"/>
  <c r="Z232" i="40"/>
  <c r="J232" i="40"/>
  <c r="V232" i="40"/>
  <c r="CT232" i="40" s="1"/>
  <c r="F232" i="40"/>
  <c r="AO631" i="40"/>
  <c r="CQ631" i="40"/>
  <c r="AP530" i="40"/>
  <c r="JJ129" i="40"/>
  <c r="JK129" i="40" s="1"/>
  <c r="JL129" i="40" s="1"/>
  <c r="AM430" i="40"/>
  <c r="CK430" i="40"/>
  <c r="CP430" i="40"/>
  <c r="AN430" i="40"/>
  <c r="DB430" i="40"/>
  <c r="CQ430" i="40"/>
  <c r="AO430" i="40"/>
  <c r="BA431" i="40"/>
  <c r="BQ431" i="40"/>
  <c r="CG431" i="40"/>
  <c r="AW431" i="40"/>
  <c r="BN431" i="40"/>
  <c r="CD431" i="40"/>
  <c r="A431" i="40"/>
  <c r="BK431" i="40"/>
  <c r="CA431" i="40"/>
  <c r="AZ431" i="40"/>
  <c r="BD431" i="40"/>
  <c r="BH431" i="40"/>
  <c r="HZ431" i="40"/>
  <c r="IX431" i="40"/>
  <c r="BE431" i="40"/>
  <c r="BU431" i="40"/>
  <c r="DM431" i="40"/>
  <c r="BB431" i="40"/>
  <c r="BR431" i="40"/>
  <c r="CH431" i="40"/>
  <c r="AX431" i="40"/>
  <c r="BO431" i="40"/>
  <c r="CE431" i="40"/>
  <c r="BL431" i="40"/>
  <c r="BP431" i="40"/>
  <c r="BT431" i="40"/>
  <c r="JO431" i="40"/>
  <c r="IZ431" i="40"/>
  <c r="IY431" i="40"/>
  <c r="CC431" i="40"/>
  <c r="BJ431" i="40"/>
  <c r="DW431" i="40"/>
  <c r="BG431" i="40"/>
  <c r="DU431" i="40"/>
  <c r="HY431" i="40"/>
  <c r="JP431" i="40"/>
  <c r="C432" i="40"/>
  <c r="BI431" i="40"/>
  <c r="BY431" i="40"/>
  <c r="DV431" i="40"/>
  <c r="BF431" i="40"/>
  <c r="BV431" i="40"/>
  <c r="DS431" i="40"/>
  <c r="BC431" i="40"/>
  <c r="BS431" i="40"/>
  <c r="CJ431" i="40"/>
  <c r="CB431" i="40"/>
  <c r="CF431" i="40"/>
  <c r="BX431" i="40"/>
  <c r="IA431" i="40"/>
  <c r="BM431" i="40"/>
  <c r="BZ431" i="40"/>
  <c r="BW431" i="40"/>
  <c r="DT431" i="40"/>
  <c r="AO231" i="40"/>
  <c r="CQ231" i="40"/>
  <c r="CK231" i="40"/>
  <c r="AM231" i="40"/>
  <c r="AN231" i="40"/>
  <c r="CP231" i="40"/>
  <c r="DB231" i="40"/>
  <c r="AP231" i="40"/>
  <c r="BA232" i="40"/>
  <c r="BQ232" i="40"/>
  <c r="CG232" i="40"/>
  <c r="AW232" i="40"/>
  <c r="BN232" i="40"/>
  <c r="CD232" i="40"/>
  <c r="BC232" i="40"/>
  <c r="BS232" i="40"/>
  <c r="CJ232" i="40"/>
  <c r="BP232" i="40"/>
  <c r="BT232" i="40"/>
  <c r="BH232" i="40"/>
  <c r="IX232" i="40"/>
  <c r="BE232" i="40"/>
  <c r="DS232" i="40"/>
  <c r="BB232" i="40"/>
  <c r="BR232" i="40"/>
  <c r="BW232" i="40"/>
  <c r="CF232" i="40"/>
  <c r="DM232" i="40"/>
  <c r="BL232" i="40"/>
  <c r="IA232" i="40"/>
  <c r="IY232" i="40"/>
  <c r="BU232" i="40"/>
  <c r="CH232" i="40"/>
  <c r="BG232" i="40"/>
  <c r="DU232" i="40"/>
  <c r="BX232" i="40"/>
  <c r="HZ232" i="40"/>
  <c r="C233" i="40"/>
  <c r="BI232" i="40"/>
  <c r="BY232" i="40"/>
  <c r="DW232" i="40"/>
  <c r="BF232" i="40"/>
  <c r="BV232" i="40"/>
  <c r="DT232" i="40"/>
  <c r="BK232" i="40"/>
  <c r="CA232" i="40"/>
  <c r="A232" i="40"/>
  <c r="DV232" i="40"/>
  <c r="JO232" i="40"/>
  <c r="IZ232" i="40"/>
  <c r="JP232" i="40"/>
  <c r="BM232" i="40"/>
  <c r="CC232" i="40"/>
  <c r="BJ232" i="40"/>
  <c r="BZ232" i="40"/>
  <c r="AX232" i="40"/>
  <c r="BO232" i="40"/>
  <c r="CE232" i="40"/>
  <c r="AZ232" i="40"/>
  <c r="BD232" i="40"/>
  <c r="CB232" i="40"/>
  <c r="HY232" i="40"/>
  <c r="CV231" i="40"/>
  <c r="IO131" i="40"/>
  <c r="JA131" i="40" s="1"/>
  <c r="DB131" i="40"/>
  <c r="JM128" i="40"/>
  <c r="CV331" i="40"/>
  <c r="AO331" i="40"/>
  <c r="CQ331" i="40"/>
  <c r="CV131" i="40"/>
  <c r="AK131" i="40"/>
  <c r="AL131" i="40"/>
  <c r="AP131" i="40"/>
  <c r="IP131" i="40"/>
  <c r="JB131" i="40" s="1"/>
  <c r="E36" i="44" s="1"/>
  <c r="AM131" i="40"/>
  <c r="CK131" i="40"/>
  <c r="HS131" i="40"/>
  <c r="HX130" i="40"/>
  <c r="CP331" i="40"/>
  <c r="AN331" i="40"/>
  <c r="CP131" i="40"/>
  <c r="HV131" i="40" s="1"/>
  <c r="AN131" i="40"/>
  <c r="IK132" i="40"/>
  <c r="IN132" i="40" s="1"/>
  <c r="JF132" i="40"/>
  <c r="HO132" i="40" s="1"/>
  <c r="HR132" i="40" s="1"/>
  <c r="II132" i="40"/>
  <c r="IL132" i="40" s="1"/>
  <c r="IJ132" i="40"/>
  <c r="IM132" i="40" s="1"/>
  <c r="C133" i="40"/>
  <c r="A132" i="40"/>
  <c r="CM132" i="40"/>
  <c r="AW132" i="40"/>
  <c r="BB132" i="40"/>
  <c r="BF132" i="40"/>
  <c r="BJ132" i="40"/>
  <c r="BN132" i="40"/>
  <c r="BR132" i="40"/>
  <c r="BV132" i="40"/>
  <c r="BZ132" i="40"/>
  <c r="CD132" i="40"/>
  <c r="CH132" i="40"/>
  <c r="DT132" i="40"/>
  <c r="AX132" i="40"/>
  <c r="BC132" i="40"/>
  <c r="BG132" i="40"/>
  <c r="BK132" i="40"/>
  <c r="BO132" i="40"/>
  <c r="BS132" i="40"/>
  <c r="BW132" i="40"/>
  <c r="CA132" i="40"/>
  <c r="CE132" i="40"/>
  <c r="CJ132" i="40"/>
  <c r="DU132" i="40"/>
  <c r="AZ132" i="40"/>
  <c r="BD132" i="40"/>
  <c r="BH132" i="40"/>
  <c r="BL132" i="40"/>
  <c r="BP132" i="40"/>
  <c r="BT132" i="40"/>
  <c r="BX132" i="40"/>
  <c r="CB132" i="40"/>
  <c r="CF132" i="40"/>
  <c r="DM132" i="40"/>
  <c r="DV132" i="40"/>
  <c r="BE132" i="40"/>
  <c r="BU132" i="40"/>
  <c r="DS132" i="40"/>
  <c r="BI132" i="40"/>
  <c r="BY132" i="40"/>
  <c r="DW132" i="40"/>
  <c r="BM132" i="40"/>
  <c r="CC132" i="40"/>
  <c r="BA132" i="40"/>
  <c r="BQ132" i="40"/>
  <c r="CG132" i="40"/>
  <c r="JO132" i="40"/>
  <c r="IZ132" i="40"/>
  <c r="HZ132" i="40"/>
  <c r="IX132" i="40"/>
  <c r="IA132" i="40"/>
  <c r="HY132" i="40"/>
  <c r="IY132" i="40"/>
  <c r="JP132" i="40"/>
  <c r="JG132" i="40"/>
  <c r="HR131" i="40"/>
  <c r="HW130" i="40"/>
  <c r="CK331" i="40"/>
  <c r="AM331" i="40"/>
  <c r="CQ131" i="40"/>
  <c r="AO131" i="40"/>
  <c r="HT131" i="40"/>
  <c r="JH130" i="40"/>
  <c r="JI130" i="40"/>
  <c r="DB331" i="40"/>
  <c r="AP331" i="40"/>
  <c r="C333" i="40"/>
  <c r="A332" i="40"/>
  <c r="AZ332" i="40"/>
  <c r="BD332" i="40"/>
  <c r="BH332" i="40"/>
  <c r="BL332" i="40"/>
  <c r="BP332" i="40"/>
  <c r="BT332" i="40"/>
  <c r="BX332" i="40"/>
  <c r="CB332" i="40"/>
  <c r="CF332" i="40"/>
  <c r="DM332" i="40"/>
  <c r="DV332" i="40"/>
  <c r="BA332" i="40"/>
  <c r="BE332" i="40"/>
  <c r="BI332" i="40"/>
  <c r="BM332" i="40"/>
  <c r="BQ332" i="40"/>
  <c r="BU332" i="40"/>
  <c r="BY332" i="40"/>
  <c r="CC332" i="40"/>
  <c r="CG332" i="40"/>
  <c r="DS332" i="40"/>
  <c r="DW332" i="40"/>
  <c r="AW332" i="40"/>
  <c r="BB332" i="40"/>
  <c r="BF332" i="40"/>
  <c r="BJ332" i="40"/>
  <c r="BN332" i="40"/>
  <c r="BR332" i="40"/>
  <c r="BV332" i="40"/>
  <c r="BZ332" i="40"/>
  <c r="CD332" i="40"/>
  <c r="CH332" i="40"/>
  <c r="DT332" i="40"/>
  <c r="BG332" i="40"/>
  <c r="BW332" i="40"/>
  <c r="DU332" i="40"/>
  <c r="BK332" i="40"/>
  <c r="CA332" i="40"/>
  <c r="AX332" i="40"/>
  <c r="BO332" i="40"/>
  <c r="CE332" i="40"/>
  <c r="BC332" i="40"/>
  <c r="BS332" i="40"/>
  <c r="CJ332" i="40"/>
  <c r="JO332" i="40"/>
  <c r="IY332" i="40"/>
  <c r="IX332" i="40"/>
  <c r="IA332" i="40"/>
  <c r="HY332" i="40"/>
  <c r="IZ332" i="40"/>
  <c r="HZ332" i="40"/>
  <c r="CT332" i="40"/>
  <c r="JP332" i="40"/>
  <c r="HM131" i="40"/>
  <c r="IQ131" i="40"/>
  <c r="JC131" i="40" s="1"/>
  <c r="HN131" i="40"/>
  <c r="HQ131" i="40" s="1"/>
  <c r="HU131" i="40"/>
  <c r="CI216" i="40" l="1"/>
  <c r="CI515" i="40"/>
  <c r="CI416" i="40"/>
  <c r="CI132" i="40"/>
  <c r="HY631" i="40"/>
  <c r="IX631" i="40" s="1"/>
  <c r="HZ631" i="40"/>
  <c r="DB431" i="40"/>
  <c r="IA631" i="40"/>
  <c r="IZ631" i="40" s="1"/>
  <c r="AG133" i="40"/>
  <c r="AC133" i="40"/>
  <c r="Y133" i="40"/>
  <c r="U133" i="40"/>
  <c r="CS133" i="40" s="1"/>
  <c r="Q133" i="40"/>
  <c r="M133" i="40"/>
  <c r="CM133" i="40" s="1"/>
  <c r="I133" i="40"/>
  <c r="E133" i="40"/>
  <c r="AI133" i="40"/>
  <c r="AE133" i="40"/>
  <c r="AA133" i="40"/>
  <c r="W133" i="40"/>
  <c r="CU133" i="40" s="1"/>
  <c r="S133" i="40"/>
  <c r="O133" i="40"/>
  <c r="CO133" i="40" s="1"/>
  <c r="K133" i="40"/>
  <c r="G133" i="40"/>
  <c r="AF133" i="40"/>
  <c r="X133" i="40"/>
  <c r="P133" i="40"/>
  <c r="H133" i="40"/>
  <c r="Z133" i="40"/>
  <c r="AD133" i="40"/>
  <c r="V133" i="40"/>
  <c r="CT133" i="40" s="1"/>
  <c r="N133" i="40"/>
  <c r="CN133" i="40" s="1"/>
  <c r="F133" i="40"/>
  <c r="R133" i="40"/>
  <c r="AJ133" i="40"/>
  <c r="AB133" i="40"/>
  <c r="T133" i="40"/>
  <c r="CR133" i="40" s="1"/>
  <c r="L133" i="40"/>
  <c r="CL133" i="40" s="1"/>
  <c r="AH133" i="40"/>
  <c r="J133" i="40"/>
  <c r="CK531" i="40"/>
  <c r="AM531" i="40"/>
  <c r="AO531" i="40"/>
  <c r="CQ531" i="40"/>
  <c r="CV531" i="40"/>
  <c r="DB531" i="40"/>
  <c r="CV632" i="40"/>
  <c r="AN632" i="40"/>
  <c r="I633" i="40"/>
  <c r="AJ633" i="40"/>
  <c r="AC633" i="40"/>
  <c r="BY633" i="40"/>
  <c r="BI633" i="40"/>
  <c r="AG633" i="40"/>
  <c r="CF633" i="40"/>
  <c r="BP633" i="40"/>
  <c r="AZ633" i="40"/>
  <c r="C634" i="40"/>
  <c r="CA633" i="40"/>
  <c r="BK633" i="40"/>
  <c r="K633" i="40"/>
  <c r="J633" i="40"/>
  <c r="DM633" i="40"/>
  <c r="AH633" i="40"/>
  <c r="AX633" i="40"/>
  <c r="JO633" i="40"/>
  <c r="AE633" i="40"/>
  <c r="DU633" i="40"/>
  <c r="BU633" i="40"/>
  <c r="BE633" i="40"/>
  <c r="M633" i="40"/>
  <c r="CM633" i="40" s="1"/>
  <c r="CB633" i="40"/>
  <c r="BL633" i="40"/>
  <c r="AB633" i="40"/>
  <c r="DW633" i="40"/>
  <c r="BW633" i="40"/>
  <c r="BG633" i="40"/>
  <c r="G633" i="40"/>
  <c r="DV633" i="40"/>
  <c r="CH633" i="40"/>
  <c r="CD633" i="40"/>
  <c r="W633" i="40"/>
  <c r="CU633" i="40" s="1"/>
  <c r="JP633" i="40"/>
  <c r="AF633" i="40"/>
  <c r="CJ633" i="40"/>
  <c r="CG633" i="40"/>
  <c r="BQ633" i="40"/>
  <c r="BA633" i="40"/>
  <c r="A633" i="40"/>
  <c r="BX633" i="40"/>
  <c r="BH633" i="40"/>
  <c r="P633" i="40"/>
  <c r="DS633" i="40"/>
  <c r="BS633" i="40"/>
  <c r="BC633" i="40"/>
  <c r="BZ633" i="40"/>
  <c r="BV633" i="40"/>
  <c r="BR633" i="40"/>
  <c r="N633" i="40"/>
  <c r="CN633" i="40" s="1"/>
  <c r="F633" i="40"/>
  <c r="AW633" i="40"/>
  <c r="L633" i="40"/>
  <c r="CL633" i="40" s="1"/>
  <c r="BJ633" i="40"/>
  <c r="H633" i="40"/>
  <c r="DT633" i="40"/>
  <c r="CE633" i="40"/>
  <c r="BF633" i="40"/>
  <c r="BM633" i="40"/>
  <c r="O633" i="40"/>
  <c r="CO633" i="40" s="1"/>
  <c r="KN633" i="40"/>
  <c r="AI633" i="40"/>
  <c r="CC633" i="40"/>
  <c r="BT633" i="40"/>
  <c r="BO633" i="40"/>
  <c r="BB633" i="40"/>
  <c r="R633" i="40"/>
  <c r="BN633" i="40"/>
  <c r="BD633" i="40"/>
  <c r="Z633" i="40"/>
  <c r="T633" i="40"/>
  <c r="CR633" i="40" s="1"/>
  <c r="V633" i="40"/>
  <c r="CT633" i="40" s="1"/>
  <c r="Q633" i="40"/>
  <c r="X633" i="40"/>
  <c r="U633" i="40"/>
  <c r="CS633" i="40" s="1"/>
  <c r="S633" i="40"/>
  <c r="AA633" i="40"/>
  <c r="AD633" i="40"/>
  <c r="E633" i="40"/>
  <c r="Y633" i="40"/>
  <c r="AJ333" i="40"/>
  <c r="AF333" i="40"/>
  <c r="AB333" i="40"/>
  <c r="X333" i="40"/>
  <c r="T333" i="40"/>
  <c r="CR333" i="40" s="1"/>
  <c r="P333" i="40"/>
  <c r="L333" i="40"/>
  <c r="CL333" i="40" s="1"/>
  <c r="H333" i="40"/>
  <c r="AH333" i="40"/>
  <c r="AD333" i="40"/>
  <c r="Z333" i="40"/>
  <c r="V333" i="40"/>
  <c r="CT333" i="40" s="1"/>
  <c r="R333" i="40"/>
  <c r="N333" i="40"/>
  <c r="CN333" i="40" s="1"/>
  <c r="AC333" i="40"/>
  <c r="U333" i="40"/>
  <c r="CS333" i="40" s="1"/>
  <c r="M333" i="40"/>
  <c r="CM333" i="40" s="1"/>
  <c r="G333" i="40"/>
  <c r="AI333" i="40"/>
  <c r="AA333" i="40"/>
  <c r="S333" i="40"/>
  <c r="K333" i="40"/>
  <c r="F333" i="40"/>
  <c r="AG333" i="40"/>
  <c r="Y333" i="40"/>
  <c r="Q333" i="40"/>
  <c r="J333" i="40"/>
  <c r="E333" i="40"/>
  <c r="I333" i="40"/>
  <c r="AE333" i="40"/>
  <c r="W333" i="40"/>
  <c r="CU333" i="40" s="1"/>
  <c r="O333" i="40"/>
  <c r="CO333" i="40" s="1"/>
  <c r="AP531" i="40"/>
  <c r="AP632" i="40"/>
  <c r="DB632" i="40"/>
  <c r="CK632" i="40"/>
  <c r="AM632" i="40"/>
  <c r="AG233" i="40"/>
  <c r="AC233" i="40"/>
  <c r="Y233" i="40"/>
  <c r="U233" i="40"/>
  <c r="CS233" i="40" s="1"/>
  <c r="Q233" i="40"/>
  <c r="M233" i="40"/>
  <c r="CM233" i="40" s="1"/>
  <c r="I233" i="40"/>
  <c r="E233" i="40"/>
  <c r="AJ233" i="40"/>
  <c r="AF233" i="40"/>
  <c r="AB233" i="40"/>
  <c r="X233" i="40"/>
  <c r="T233" i="40"/>
  <c r="CR233" i="40" s="1"/>
  <c r="P233" i="40"/>
  <c r="L233" i="40"/>
  <c r="CL233" i="40" s="1"/>
  <c r="H233" i="40"/>
  <c r="AI233" i="40"/>
  <c r="AE233" i="40"/>
  <c r="AA233" i="40"/>
  <c r="CI317" i="40" s="1"/>
  <c r="W233" i="40"/>
  <c r="CU233" i="40" s="1"/>
  <c r="S233" i="40"/>
  <c r="O233" i="40"/>
  <c r="CO233" i="40" s="1"/>
  <c r="K233" i="40"/>
  <c r="G233" i="40"/>
  <c r="AH233" i="40"/>
  <c r="R233" i="40"/>
  <c r="AD233" i="40"/>
  <c r="N233" i="40"/>
  <c r="CN233" i="40" s="1"/>
  <c r="Z233" i="40"/>
  <c r="DB233" i="40" s="1"/>
  <c r="J233" i="40"/>
  <c r="V233" i="40"/>
  <c r="CT233" i="40" s="1"/>
  <c r="F233" i="40"/>
  <c r="AI432" i="40"/>
  <c r="AE432" i="40"/>
  <c r="AA432" i="40"/>
  <c r="W432" i="40"/>
  <c r="CU432" i="40" s="1"/>
  <c r="S432" i="40"/>
  <c r="O432" i="40"/>
  <c r="CO432" i="40" s="1"/>
  <c r="K432" i="40"/>
  <c r="G432" i="40"/>
  <c r="AH432" i="40"/>
  <c r="AD432" i="40"/>
  <c r="Z432" i="40"/>
  <c r="V432" i="40"/>
  <c r="CT432" i="40" s="1"/>
  <c r="R432" i="40"/>
  <c r="N432" i="40"/>
  <c r="CN432" i="40" s="1"/>
  <c r="J432" i="40"/>
  <c r="F432" i="40"/>
  <c r="AG432" i="40"/>
  <c r="AC432" i="40"/>
  <c r="Y432" i="40"/>
  <c r="U432" i="40"/>
  <c r="CS432" i="40" s="1"/>
  <c r="Q432" i="40"/>
  <c r="M432" i="40"/>
  <c r="I432" i="40"/>
  <c r="E432" i="40"/>
  <c r="AJ432" i="40"/>
  <c r="T432" i="40"/>
  <c r="CR432" i="40" s="1"/>
  <c r="AF432" i="40"/>
  <c r="P432" i="40"/>
  <c r="AB432" i="40"/>
  <c r="L432" i="40"/>
  <c r="CL432" i="40" s="1"/>
  <c r="H432" i="40"/>
  <c r="X432" i="40"/>
  <c r="AP432" i="40" s="1"/>
  <c r="IY631" i="40"/>
  <c r="AH532" i="40"/>
  <c r="AD532" i="40"/>
  <c r="Z532" i="40"/>
  <c r="V532" i="40"/>
  <c r="CT532" i="40" s="1"/>
  <c r="R532" i="40"/>
  <c r="N532" i="40"/>
  <c r="CN532" i="40" s="1"/>
  <c r="J532" i="40"/>
  <c r="F532" i="40"/>
  <c r="AG532" i="40"/>
  <c r="AC532" i="40"/>
  <c r="Y532" i="40"/>
  <c r="U532" i="40"/>
  <c r="CS532" i="40" s="1"/>
  <c r="Q532" i="40"/>
  <c r="M532" i="40"/>
  <c r="CM532" i="40" s="1"/>
  <c r="I532" i="40"/>
  <c r="E532" i="40"/>
  <c r="AJ532" i="40"/>
  <c r="AB532" i="40"/>
  <c r="T532" i="40"/>
  <c r="CR532" i="40" s="1"/>
  <c r="L532" i="40"/>
  <c r="CL532" i="40" s="1"/>
  <c r="AI532" i="40"/>
  <c r="AA532" i="40"/>
  <c r="CI616" i="40" s="1"/>
  <c r="S532" i="40"/>
  <c r="K532" i="40"/>
  <c r="AF532" i="40"/>
  <c r="X532" i="40"/>
  <c r="P532" i="40"/>
  <c r="H532" i="40"/>
  <c r="AE532" i="40"/>
  <c r="W532" i="40"/>
  <c r="CU532" i="40" s="1"/>
  <c r="O532" i="40"/>
  <c r="CO532" i="40" s="1"/>
  <c r="G532" i="40"/>
  <c r="C533" i="40"/>
  <c r="BJ532" i="40"/>
  <c r="BZ532" i="40"/>
  <c r="BG532" i="40"/>
  <c r="BW532" i="40"/>
  <c r="DU532" i="40"/>
  <c r="BD532" i="40"/>
  <c r="BT532" i="40"/>
  <c r="DM532" i="40"/>
  <c r="CG532" i="40"/>
  <c r="DS532" i="40"/>
  <c r="BY532" i="40"/>
  <c r="HY532" i="40"/>
  <c r="IY532" i="40"/>
  <c r="AW532" i="40"/>
  <c r="BN532" i="40"/>
  <c r="CD532" i="40"/>
  <c r="BK532" i="40"/>
  <c r="CA532" i="40"/>
  <c r="A532" i="40"/>
  <c r="BH532" i="40"/>
  <c r="BX532" i="40"/>
  <c r="DV532" i="40"/>
  <c r="BM532" i="40"/>
  <c r="DW532" i="40"/>
  <c r="HZ532" i="40"/>
  <c r="JP532" i="40"/>
  <c r="BB532" i="40"/>
  <c r="BR532" i="40"/>
  <c r="CH532" i="40"/>
  <c r="AX532" i="40"/>
  <c r="BO532" i="40"/>
  <c r="CE532" i="40"/>
  <c r="BL532" i="40"/>
  <c r="CB532" i="40"/>
  <c r="BA532" i="40"/>
  <c r="BE532" i="40"/>
  <c r="CC532" i="40"/>
  <c r="JO532" i="40"/>
  <c r="IZ532" i="40"/>
  <c r="BF532" i="40"/>
  <c r="BV532" i="40"/>
  <c r="DT532" i="40"/>
  <c r="BC532" i="40"/>
  <c r="BS532" i="40"/>
  <c r="CJ532" i="40"/>
  <c r="AZ532" i="40"/>
  <c r="BP532" i="40"/>
  <c r="CF532" i="40"/>
  <c r="BQ532" i="40"/>
  <c r="BU532" i="40"/>
  <c r="BI532" i="40"/>
  <c r="IA532" i="40"/>
  <c r="IX532" i="40"/>
  <c r="AN531" i="40"/>
  <c r="CP531" i="40"/>
  <c r="CP632" i="40"/>
  <c r="AO632" i="40"/>
  <c r="CQ632" i="40"/>
  <c r="D131" i="40"/>
  <c r="AY131" i="40" s="1"/>
  <c r="JJ130" i="40"/>
  <c r="JK130" i="40" s="1"/>
  <c r="JL130" i="40" s="1"/>
  <c r="CV431" i="40"/>
  <c r="AO431" i="40"/>
  <c r="CQ431" i="40"/>
  <c r="BA432" i="40"/>
  <c r="BQ432" i="40"/>
  <c r="CG432" i="40"/>
  <c r="AW432" i="40"/>
  <c r="BN432" i="40"/>
  <c r="CD432" i="40"/>
  <c r="A432" i="40"/>
  <c r="BK432" i="40"/>
  <c r="CA432" i="40"/>
  <c r="DU432" i="40"/>
  <c r="IA432" i="40"/>
  <c r="IX432" i="40"/>
  <c r="C433" i="40"/>
  <c r="BI432" i="40"/>
  <c r="DV432" i="40"/>
  <c r="BF432" i="40"/>
  <c r="DS432" i="40"/>
  <c r="BC432" i="40"/>
  <c r="BS432" i="40"/>
  <c r="BH432" i="40"/>
  <c r="BP432" i="40"/>
  <c r="CC432" i="40"/>
  <c r="BZ432" i="40"/>
  <c r="DT432" i="40"/>
  <c r="CB432" i="40"/>
  <c r="JO432" i="40"/>
  <c r="BE432" i="40"/>
  <c r="BU432" i="40"/>
  <c r="DM432" i="40"/>
  <c r="BB432" i="40"/>
  <c r="BR432" i="40"/>
  <c r="CH432" i="40"/>
  <c r="CM432" i="40"/>
  <c r="AX432" i="40"/>
  <c r="BO432" i="40"/>
  <c r="CE432" i="40"/>
  <c r="AZ432" i="40"/>
  <c r="BD432" i="40"/>
  <c r="HZ432" i="40"/>
  <c r="IY432" i="40"/>
  <c r="BY432" i="40"/>
  <c r="BV432" i="40"/>
  <c r="CJ432" i="40"/>
  <c r="BL432" i="40"/>
  <c r="BT432" i="40"/>
  <c r="HY432" i="40"/>
  <c r="JP432" i="40"/>
  <c r="BW432" i="40"/>
  <c r="BM432" i="40"/>
  <c r="BJ432" i="40"/>
  <c r="DW432" i="40"/>
  <c r="BG432" i="40"/>
  <c r="BX432" i="40"/>
  <c r="CF432" i="40"/>
  <c r="IZ432" i="40"/>
  <c r="AM431" i="40"/>
  <c r="CK431" i="40"/>
  <c r="AN431" i="40"/>
  <c r="CP431" i="40"/>
  <c r="AP431" i="40"/>
  <c r="AP232" i="40"/>
  <c r="C234" i="40"/>
  <c r="BK233" i="40"/>
  <c r="CA233" i="40"/>
  <c r="A233" i="40"/>
  <c r="BL233" i="40"/>
  <c r="CB233" i="40"/>
  <c r="BM233" i="40"/>
  <c r="CC233" i="40"/>
  <c r="BZ233" i="40"/>
  <c r="JO233" i="40"/>
  <c r="IA233" i="40"/>
  <c r="JP233" i="40"/>
  <c r="AX233" i="40"/>
  <c r="BO233" i="40"/>
  <c r="CE233" i="40"/>
  <c r="AZ233" i="40"/>
  <c r="BP233" i="40"/>
  <c r="CF233" i="40"/>
  <c r="BA233" i="40"/>
  <c r="BQ233" i="40"/>
  <c r="CG233" i="40"/>
  <c r="AW233" i="40"/>
  <c r="BB233" i="40"/>
  <c r="BF233" i="40"/>
  <c r="IZ233" i="40"/>
  <c r="BC233" i="40"/>
  <c r="BS233" i="40"/>
  <c r="CJ233" i="40"/>
  <c r="BD233" i="40"/>
  <c r="BT233" i="40"/>
  <c r="DM233" i="40"/>
  <c r="BE233" i="40"/>
  <c r="BU233" i="40"/>
  <c r="DS233" i="40"/>
  <c r="BN233" i="40"/>
  <c r="BR233" i="40"/>
  <c r="BV233" i="40"/>
  <c r="HY233" i="40"/>
  <c r="BG233" i="40"/>
  <c r="BW233" i="40"/>
  <c r="DU233" i="40"/>
  <c r="BH233" i="40"/>
  <c r="BX233" i="40"/>
  <c r="DV233" i="40"/>
  <c r="BI233" i="40"/>
  <c r="BY233" i="40"/>
  <c r="DW233" i="40"/>
  <c r="CD233" i="40"/>
  <c r="CH233" i="40"/>
  <c r="DT233" i="40"/>
  <c r="BJ233" i="40"/>
  <c r="HZ233" i="40"/>
  <c r="IX233" i="40"/>
  <c r="IY233" i="40"/>
  <c r="AO232" i="40"/>
  <c r="CQ232" i="40"/>
  <c r="CV232" i="40"/>
  <c r="DB232" i="40"/>
  <c r="CP232" i="40"/>
  <c r="AN232" i="40"/>
  <c r="CK232" i="40"/>
  <c r="AM232" i="40"/>
  <c r="HM132" i="40"/>
  <c r="HP132" i="40" s="1"/>
  <c r="DB132" i="40"/>
  <c r="DB332" i="40"/>
  <c r="IQ132" i="40"/>
  <c r="JC132" i="40" s="1"/>
  <c r="IO132" i="40"/>
  <c r="JA132" i="40" s="1"/>
  <c r="IC130" i="40"/>
  <c r="CK332" i="40"/>
  <c r="AM332" i="40"/>
  <c r="JI131" i="40"/>
  <c r="HP131" i="40"/>
  <c r="AO332" i="40"/>
  <c r="CQ332" i="40"/>
  <c r="C334" i="40"/>
  <c r="AW333" i="40"/>
  <c r="BB333" i="40"/>
  <c r="BF333" i="40"/>
  <c r="BJ333" i="40"/>
  <c r="BN333" i="40"/>
  <c r="BR333" i="40"/>
  <c r="BV333" i="40"/>
  <c r="BZ333" i="40"/>
  <c r="CD333" i="40"/>
  <c r="CH333" i="40"/>
  <c r="DT333" i="40"/>
  <c r="AX333" i="40"/>
  <c r="BC333" i="40"/>
  <c r="BG333" i="40"/>
  <c r="BK333" i="40"/>
  <c r="BO333" i="40"/>
  <c r="BS333" i="40"/>
  <c r="BW333" i="40"/>
  <c r="CA333" i="40"/>
  <c r="CE333" i="40"/>
  <c r="CJ333" i="40"/>
  <c r="DU333" i="40"/>
  <c r="A333" i="40"/>
  <c r="AZ333" i="40"/>
  <c r="BD333" i="40"/>
  <c r="BH333" i="40"/>
  <c r="BL333" i="40"/>
  <c r="BP333" i="40"/>
  <c r="BT333" i="40"/>
  <c r="BX333" i="40"/>
  <c r="CB333" i="40"/>
  <c r="CF333" i="40"/>
  <c r="DM333" i="40"/>
  <c r="DV333" i="40"/>
  <c r="BE333" i="40"/>
  <c r="BU333" i="40"/>
  <c r="DS333" i="40"/>
  <c r="BI333" i="40"/>
  <c r="BY333" i="40"/>
  <c r="DW333" i="40"/>
  <c r="BM333" i="40"/>
  <c r="CC333" i="40"/>
  <c r="BA333" i="40"/>
  <c r="BQ333" i="40"/>
  <c r="CG333" i="40"/>
  <c r="JO333" i="40"/>
  <c r="IY333" i="40"/>
  <c r="IZ333" i="40"/>
  <c r="IX333" i="40"/>
  <c r="HY333" i="40"/>
  <c r="IA333" i="40"/>
  <c r="HZ333" i="40"/>
  <c r="JP333" i="40"/>
  <c r="AP132" i="40"/>
  <c r="IP132" i="40"/>
  <c r="JB132" i="40" s="1"/>
  <c r="E37" i="44" s="1"/>
  <c r="AM132" i="40"/>
  <c r="CK132" i="40"/>
  <c r="IK133" i="40"/>
  <c r="IN133" i="40" s="1"/>
  <c r="JF133" i="40"/>
  <c r="HO133" i="40" s="1"/>
  <c r="II133" i="40"/>
  <c r="IL133" i="40" s="1"/>
  <c r="IJ133" i="40"/>
  <c r="IM133" i="40" s="1"/>
  <c r="C134" i="40"/>
  <c r="A133" i="40"/>
  <c r="AW133" i="40"/>
  <c r="BB133" i="40"/>
  <c r="BF133" i="40"/>
  <c r="BJ133" i="40"/>
  <c r="BN133" i="40"/>
  <c r="BR133" i="40"/>
  <c r="BV133" i="40"/>
  <c r="BZ133" i="40"/>
  <c r="CD133" i="40"/>
  <c r="CH133" i="40"/>
  <c r="DT133" i="40"/>
  <c r="AX133" i="40"/>
  <c r="BC133" i="40"/>
  <c r="BG133" i="40"/>
  <c r="BK133" i="40"/>
  <c r="BO133" i="40"/>
  <c r="BS133" i="40"/>
  <c r="BW133" i="40"/>
  <c r="CA133" i="40"/>
  <c r="CE133" i="40"/>
  <c r="CJ133" i="40"/>
  <c r="DU133" i="40"/>
  <c r="AZ133" i="40"/>
  <c r="BD133" i="40"/>
  <c r="BH133" i="40"/>
  <c r="BL133" i="40"/>
  <c r="BP133" i="40"/>
  <c r="BT133" i="40"/>
  <c r="BX133" i="40"/>
  <c r="CB133" i="40"/>
  <c r="CF133" i="40"/>
  <c r="DM133" i="40"/>
  <c r="DV133" i="40"/>
  <c r="BA133" i="40"/>
  <c r="BQ133" i="40"/>
  <c r="CG133" i="40"/>
  <c r="BE133" i="40"/>
  <c r="BU133" i="40"/>
  <c r="DS133" i="40"/>
  <c r="BI133" i="40"/>
  <c r="BY133" i="40"/>
  <c r="DW133" i="40"/>
  <c r="BM133" i="40"/>
  <c r="CC133" i="40"/>
  <c r="JO133" i="40"/>
  <c r="HZ133" i="40"/>
  <c r="IA133" i="40"/>
  <c r="IX133" i="40"/>
  <c r="HY133" i="40"/>
  <c r="IZ133" i="40"/>
  <c r="IY133" i="40"/>
  <c r="JP133" i="40"/>
  <c r="JG133" i="40"/>
  <c r="HU132" i="40"/>
  <c r="HX131" i="40"/>
  <c r="CV332" i="40"/>
  <c r="CP332" i="40"/>
  <c r="AN332" i="40"/>
  <c r="CV132" i="40"/>
  <c r="AK132" i="40"/>
  <c r="AL132" i="40"/>
  <c r="CP132" i="40"/>
  <c r="HX132" i="40" s="1"/>
  <c r="AN132" i="40"/>
  <c r="HT132" i="40"/>
  <c r="JM129" i="40"/>
  <c r="AO132" i="40"/>
  <c r="CQ132" i="40"/>
  <c r="HN132" i="40"/>
  <c r="HS132" i="40"/>
  <c r="HW131" i="40"/>
  <c r="AP332" i="40"/>
  <c r="KO128" i="40"/>
  <c r="HY632" i="40" l="1"/>
  <c r="IX632" i="40" s="1"/>
  <c r="CI516" i="40"/>
  <c r="IA632" i="40"/>
  <c r="IZ632" i="40" s="1"/>
  <c r="CI417" i="40"/>
  <c r="CI133" i="40"/>
  <c r="CI217" i="40"/>
  <c r="HZ632" i="40"/>
  <c r="IY632" i="40" s="1"/>
  <c r="DB432" i="40"/>
  <c r="DB633" i="40"/>
  <c r="CV633" i="40"/>
  <c r="CK532" i="40"/>
  <c r="AM532" i="40"/>
  <c r="AI433" i="40"/>
  <c r="AE433" i="40"/>
  <c r="AA433" i="40"/>
  <c r="W433" i="40"/>
  <c r="CU433" i="40" s="1"/>
  <c r="S433" i="40"/>
  <c r="O433" i="40"/>
  <c r="CO433" i="40" s="1"/>
  <c r="K433" i="40"/>
  <c r="G433" i="40"/>
  <c r="AH433" i="40"/>
  <c r="AD433" i="40"/>
  <c r="Z433" i="40"/>
  <c r="V433" i="40"/>
  <c r="CT433" i="40" s="1"/>
  <c r="R433" i="40"/>
  <c r="N433" i="40"/>
  <c r="CN433" i="40" s="1"/>
  <c r="J433" i="40"/>
  <c r="F433" i="40"/>
  <c r="AG433" i="40"/>
  <c r="AC433" i="40"/>
  <c r="Y433" i="40"/>
  <c r="U433" i="40"/>
  <c r="Q433" i="40"/>
  <c r="M433" i="40"/>
  <c r="CM433" i="40" s="1"/>
  <c r="I433" i="40"/>
  <c r="E433" i="40"/>
  <c r="AJ433" i="40"/>
  <c r="T433" i="40"/>
  <c r="CR433" i="40" s="1"/>
  <c r="AF433" i="40"/>
  <c r="P433" i="40"/>
  <c r="AB433" i="40"/>
  <c r="L433" i="40"/>
  <c r="X433" i="40"/>
  <c r="H433" i="40"/>
  <c r="CQ532" i="40"/>
  <c r="AO532" i="40"/>
  <c r="CV532" i="40"/>
  <c r="DB532" i="40"/>
  <c r="AP633" i="40"/>
  <c r="AJ334" i="40"/>
  <c r="AF334" i="40"/>
  <c r="AB334" i="40"/>
  <c r="X334" i="40"/>
  <c r="T334" i="40"/>
  <c r="CR334" i="40" s="1"/>
  <c r="P334" i="40"/>
  <c r="L334" i="40"/>
  <c r="CL334" i="40" s="1"/>
  <c r="H334" i="40"/>
  <c r="AH334" i="40"/>
  <c r="AD334" i="40"/>
  <c r="Z334" i="40"/>
  <c r="V334" i="40"/>
  <c r="CT334" i="40" s="1"/>
  <c r="R334" i="40"/>
  <c r="N334" i="40"/>
  <c r="CN334" i="40" s="1"/>
  <c r="J334" i="40"/>
  <c r="F334" i="40"/>
  <c r="AC334" i="40"/>
  <c r="U334" i="40"/>
  <c r="CS334" i="40" s="1"/>
  <c r="M334" i="40"/>
  <c r="CM334" i="40" s="1"/>
  <c r="E334" i="40"/>
  <c r="AI334" i="40"/>
  <c r="AA334" i="40"/>
  <c r="S334" i="40"/>
  <c r="K334" i="40"/>
  <c r="AG334" i="40"/>
  <c r="Y334" i="40"/>
  <c r="Q334" i="40"/>
  <c r="I334" i="40"/>
  <c r="G334" i="40"/>
  <c r="AE334" i="40"/>
  <c r="W334" i="40"/>
  <c r="CU334" i="40" s="1"/>
  <c r="O334" i="40"/>
  <c r="CO334" i="40" s="1"/>
  <c r="AG234" i="40"/>
  <c r="AC234" i="40"/>
  <c r="Y234" i="40"/>
  <c r="U234" i="40"/>
  <c r="CS234" i="40" s="1"/>
  <c r="Q234" i="40"/>
  <c r="M234" i="40"/>
  <c r="CM234" i="40" s="1"/>
  <c r="I234" i="40"/>
  <c r="E234" i="40"/>
  <c r="AJ234" i="40"/>
  <c r="AF234" i="40"/>
  <c r="AB234" i="40"/>
  <c r="X234" i="40"/>
  <c r="T234" i="40"/>
  <c r="CR234" i="40" s="1"/>
  <c r="P234" i="40"/>
  <c r="L234" i="40"/>
  <c r="CL234" i="40" s="1"/>
  <c r="H234" i="40"/>
  <c r="AI234" i="40"/>
  <c r="AE234" i="40"/>
  <c r="AA234" i="40"/>
  <c r="CI318" i="40" s="1"/>
  <c r="W234" i="40"/>
  <c r="CU234" i="40" s="1"/>
  <c r="S234" i="40"/>
  <c r="O234" i="40"/>
  <c r="CO234" i="40" s="1"/>
  <c r="K234" i="40"/>
  <c r="G234" i="40"/>
  <c r="AH234" i="40"/>
  <c r="R234" i="40"/>
  <c r="AD234" i="40"/>
  <c r="N234" i="40"/>
  <c r="CN234" i="40" s="1"/>
  <c r="Z234" i="40"/>
  <c r="J234" i="40"/>
  <c r="V234" i="40"/>
  <c r="CT234" i="40" s="1"/>
  <c r="F234" i="40"/>
  <c r="AP532" i="40"/>
  <c r="AN633" i="40"/>
  <c r="CP633" i="40"/>
  <c r="AF634" i="40"/>
  <c r="CC634" i="40"/>
  <c r="BM634" i="40"/>
  <c r="AW634" i="40"/>
  <c r="DT634" i="40"/>
  <c r="BT634" i="40"/>
  <c r="BD634" i="40"/>
  <c r="L634" i="40"/>
  <c r="CL634" i="40" s="1"/>
  <c r="CE634" i="40"/>
  <c r="BO634" i="40"/>
  <c r="O634" i="40"/>
  <c r="CO634" i="40" s="1"/>
  <c r="BN634" i="40"/>
  <c r="BJ634" i="40"/>
  <c r="BF634" i="40"/>
  <c r="BR634" i="40"/>
  <c r="JO634" i="40"/>
  <c r="H634" i="40"/>
  <c r="AI634" i="40"/>
  <c r="F634" i="40"/>
  <c r="CJ634" i="40"/>
  <c r="BY634" i="40"/>
  <c r="BI634" i="40"/>
  <c r="AG634" i="40"/>
  <c r="CF634" i="40"/>
  <c r="BP634" i="40"/>
  <c r="AZ634" i="40"/>
  <c r="C635" i="40"/>
  <c r="CA634" i="40"/>
  <c r="BK634" i="40"/>
  <c r="K634" i="40"/>
  <c r="AX634" i="40"/>
  <c r="J634" i="40"/>
  <c r="BB634" i="40"/>
  <c r="JP634" i="40"/>
  <c r="I634" i="40"/>
  <c r="AJ634" i="40"/>
  <c r="AC634" i="40"/>
  <c r="DU634" i="40"/>
  <c r="BU634" i="40"/>
  <c r="BE634" i="40"/>
  <c r="M634" i="40"/>
  <c r="CM634" i="40" s="1"/>
  <c r="CB634" i="40"/>
  <c r="BL634" i="40"/>
  <c r="AB634" i="40"/>
  <c r="DW634" i="40"/>
  <c r="BW634" i="40"/>
  <c r="BG634" i="40"/>
  <c r="G634" i="40"/>
  <c r="N634" i="40"/>
  <c r="CN634" i="40" s="1"/>
  <c r="DV634" i="40"/>
  <c r="DM634" i="40"/>
  <c r="W634" i="40"/>
  <c r="CU634" i="40" s="1"/>
  <c r="KN634" i="40"/>
  <c r="AE634" i="40"/>
  <c r="CG634" i="40"/>
  <c r="BX634" i="40"/>
  <c r="BS634" i="40"/>
  <c r="BV634" i="40"/>
  <c r="BQ634" i="40"/>
  <c r="BH634" i="40"/>
  <c r="BC634" i="40"/>
  <c r="CH634" i="40"/>
  <c r="BZ634" i="40"/>
  <c r="BA634" i="40"/>
  <c r="P634" i="40"/>
  <c r="CD634" i="40"/>
  <c r="A634" i="40"/>
  <c r="DS634" i="40"/>
  <c r="Z634" i="40"/>
  <c r="R634" i="40"/>
  <c r="AH634" i="40"/>
  <c r="T634" i="40"/>
  <c r="CR634" i="40" s="1"/>
  <c r="X634" i="40"/>
  <c r="V634" i="40"/>
  <c r="CT634" i="40" s="1"/>
  <c r="Q634" i="40"/>
  <c r="U634" i="40"/>
  <c r="CS634" i="40" s="1"/>
  <c r="S634" i="40"/>
  <c r="AD634" i="40"/>
  <c r="AA634" i="40"/>
  <c r="E634" i="40"/>
  <c r="Y634" i="40"/>
  <c r="AG134" i="40"/>
  <c r="AC134" i="40"/>
  <c r="Y134" i="40"/>
  <c r="U134" i="40"/>
  <c r="CS134" i="40" s="1"/>
  <c r="Q134" i="40"/>
  <c r="M134" i="40"/>
  <c r="CM134" i="40" s="1"/>
  <c r="I134" i="40"/>
  <c r="E134" i="40"/>
  <c r="AI134" i="40"/>
  <c r="AE134" i="40"/>
  <c r="AA134" i="40"/>
  <c r="W134" i="40"/>
  <c r="CU134" i="40" s="1"/>
  <c r="S134" i="40"/>
  <c r="O134" i="40"/>
  <c r="CO134" i="40" s="1"/>
  <c r="K134" i="40"/>
  <c r="G134" i="40"/>
  <c r="AF134" i="40"/>
  <c r="X134" i="40"/>
  <c r="P134" i="40"/>
  <c r="H134" i="40"/>
  <c r="R134" i="40"/>
  <c r="AD134" i="40"/>
  <c r="V134" i="40"/>
  <c r="CT134" i="40" s="1"/>
  <c r="N134" i="40"/>
  <c r="CN134" i="40" s="1"/>
  <c r="F134" i="40"/>
  <c r="AH134" i="40"/>
  <c r="J134" i="40"/>
  <c r="AJ134" i="40"/>
  <c r="AB134" i="40"/>
  <c r="T134" i="40"/>
  <c r="CR134" i="40" s="1"/>
  <c r="L134" i="40"/>
  <c r="CL134" i="40" s="1"/>
  <c r="Z134" i="40"/>
  <c r="AH533" i="40"/>
  <c r="AD533" i="40"/>
  <c r="Z533" i="40"/>
  <c r="V533" i="40"/>
  <c r="CT533" i="40" s="1"/>
  <c r="R533" i="40"/>
  <c r="N533" i="40"/>
  <c r="CN533" i="40" s="1"/>
  <c r="J533" i="40"/>
  <c r="F533" i="40"/>
  <c r="AG533" i="40"/>
  <c r="AC533" i="40"/>
  <c r="Y533" i="40"/>
  <c r="U533" i="40"/>
  <c r="CS533" i="40" s="1"/>
  <c r="Q533" i="40"/>
  <c r="M533" i="40"/>
  <c r="CM533" i="40" s="1"/>
  <c r="I533" i="40"/>
  <c r="E533" i="40"/>
  <c r="AJ533" i="40"/>
  <c r="AB533" i="40"/>
  <c r="T533" i="40"/>
  <c r="CR533" i="40" s="1"/>
  <c r="L533" i="40"/>
  <c r="CL533" i="40" s="1"/>
  <c r="AI533" i="40"/>
  <c r="AA533" i="40"/>
  <c r="CI617" i="40" s="1"/>
  <c r="S533" i="40"/>
  <c r="K533" i="40"/>
  <c r="AF533" i="40"/>
  <c r="X533" i="40"/>
  <c r="P533" i="40"/>
  <c r="H533" i="40"/>
  <c r="AE533" i="40"/>
  <c r="W533" i="40"/>
  <c r="CU533" i="40" s="1"/>
  <c r="O533" i="40"/>
  <c r="CO533" i="40" s="1"/>
  <c r="G533" i="40"/>
  <c r="A533" i="40"/>
  <c r="BH533" i="40"/>
  <c r="BX533" i="40"/>
  <c r="DV533" i="40"/>
  <c r="BI533" i="40"/>
  <c r="BY533" i="40"/>
  <c r="DW533" i="40"/>
  <c r="BJ533" i="40"/>
  <c r="BZ533" i="40"/>
  <c r="AX533" i="40"/>
  <c r="CA533" i="40"/>
  <c r="BK533" i="40"/>
  <c r="DU533" i="40"/>
  <c r="HZ533" i="40"/>
  <c r="JP533" i="40"/>
  <c r="BT533" i="40"/>
  <c r="BU533" i="40"/>
  <c r="BV533" i="40"/>
  <c r="IA533" i="40"/>
  <c r="BL533" i="40"/>
  <c r="CB533" i="40"/>
  <c r="BM533" i="40"/>
  <c r="CC533" i="40"/>
  <c r="AW533" i="40"/>
  <c r="BN533" i="40"/>
  <c r="CD533" i="40"/>
  <c r="BO533" i="40"/>
  <c r="BC533" i="40"/>
  <c r="JO533" i="40"/>
  <c r="IZ533" i="40"/>
  <c r="BF533" i="40"/>
  <c r="CJ533" i="40"/>
  <c r="AZ533" i="40"/>
  <c r="BP533" i="40"/>
  <c r="CF533" i="40"/>
  <c r="BA533" i="40"/>
  <c r="BQ533" i="40"/>
  <c r="CG533" i="40"/>
  <c r="BB533" i="40"/>
  <c r="BR533" i="40"/>
  <c r="CH533" i="40"/>
  <c r="CE533" i="40"/>
  <c r="BS533" i="40"/>
  <c r="BG533" i="40"/>
  <c r="HY533" i="40"/>
  <c r="IX533" i="40"/>
  <c r="C534" i="40"/>
  <c r="BD533" i="40"/>
  <c r="DM533" i="40"/>
  <c r="BE533" i="40"/>
  <c r="DS533" i="40"/>
  <c r="DT533" i="40"/>
  <c r="BW533" i="40"/>
  <c r="IY533" i="40"/>
  <c r="AN532" i="40"/>
  <c r="CP532" i="40"/>
  <c r="AO633" i="40"/>
  <c r="CQ633" i="40"/>
  <c r="CK633" i="40"/>
  <c r="AM633" i="40"/>
  <c r="AO432" i="40"/>
  <c r="CQ432" i="40"/>
  <c r="BM433" i="40"/>
  <c r="CC433" i="40"/>
  <c r="CL433" i="40"/>
  <c r="BJ433" i="40"/>
  <c r="BZ433" i="40"/>
  <c r="A433" i="40"/>
  <c r="BK433" i="40"/>
  <c r="CA433" i="40"/>
  <c r="DV433" i="40"/>
  <c r="JO433" i="40"/>
  <c r="IA433" i="40"/>
  <c r="JP433" i="40"/>
  <c r="BF433" i="40"/>
  <c r="BW433" i="40"/>
  <c r="BX433" i="40"/>
  <c r="BP433" i="40"/>
  <c r="BA433" i="40"/>
  <c r="BQ433" i="40"/>
  <c r="CG433" i="40"/>
  <c r="AW433" i="40"/>
  <c r="BN433" i="40"/>
  <c r="CD433" i="40"/>
  <c r="AX433" i="40"/>
  <c r="BO433" i="40"/>
  <c r="CE433" i="40"/>
  <c r="BD433" i="40"/>
  <c r="CF433" i="40"/>
  <c r="HZ433" i="40"/>
  <c r="HZ633" i="40" s="1"/>
  <c r="CS433" i="40"/>
  <c r="IX433" i="40"/>
  <c r="BE433" i="40"/>
  <c r="DS433" i="40"/>
  <c r="BB433" i="40"/>
  <c r="CH433" i="40"/>
  <c r="BC433" i="40"/>
  <c r="CJ433" i="40"/>
  <c r="BT433" i="40"/>
  <c r="BL433" i="40"/>
  <c r="IZ433" i="40"/>
  <c r="C434" i="40"/>
  <c r="BI433" i="40"/>
  <c r="BY433" i="40"/>
  <c r="DW433" i="40"/>
  <c r="BV433" i="40"/>
  <c r="DT433" i="40"/>
  <c r="BG433" i="40"/>
  <c r="DU433" i="40"/>
  <c r="DM433" i="40"/>
  <c r="CB433" i="40"/>
  <c r="HY433" i="40"/>
  <c r="BU433" i="40"/>
  <c r="BR433" i="40"/>
  <c r="BS433" i="40"/>
  <c r="BH433" i="40"/>
  <c r="AZ433" i="40"/>
  <c r="IY433" i="40"/>
  <c r="AM432" i="40"/>
  <c r="CK432" i="40"/>
  <c r="CP432" i="40"/>
  <c r="AN432" i="40"/>
  <c r="CV432" i="40"/>
  <c r="AP233" i="40"/>
  <c r="CK233" i="40"/>
  <c r="AM233" i="40"/>
  <c r="AN233" i="40"/>
  <c r="CP233" i="40"/>
  <c r="BE234" i="40"/>
  <c r="BU234" i="40"/>
  <c r="DS234" i="40"/>
  <c r="BB234" i="40"/>
  <c r="BR234" i="40"/>
  <c r="CH234" i="40"/>
  <c r="BG234" i="40"/>
  <c r="BW234" i="40"/>
  <c r="DU234" i="40"/>
  <c r="BX234" i="40"/>
  <c r="BH234" i="40"/>
  <c r="IX234" i="40"/>
  <c r="HY234" i="40"/>
  <c r="IY234" i="40"/>
  <c r="C235" i="40"/>
  <c r="BI234" i="40"/>
  <c r="BY234" i="40"/>
  <c r="DW234" i="40"/>
  <c r="BF234" i="40"/>
  <c r="BV234" i="40"/>
  <c r="DT234" i="40"/>
  <c r="BK234" i="40"/>
  <c r="CA234" i="40"/>
  <c r="AZ234" i="40"/>
  <c r="BD234" i="40"/>
  <c r="A234" i="40"/>
  <c r="JO234" i="40"/>
  <c r="IZ234" i="40"/>
  <c r="JP234" i="40"/>
  <c r="BM234" i="40"/>
  <c r="CC234" i="40"/>
  <c r="BJ234" i="40"/>
  <c r="BZ234" i="40"/>
  <c r="AX234" i="40"/>
  <c r="BO234" i="40"/>
  <c r="CE234" i="40"/>
  <c r="BL234" i="40"/>
  <c r="BP234" i="40"/>
  <c r="BT234" i="40"/>
  <c r="DV234" i="40"/>
  <c r="IA234" i="40"/>
  <c r="BA234" i="40"/>
  <c r="BQ234" i="40"/>
  <c r="CG234" i="40"/>
  <c r="AW234" i="40"/>
  <c r="BN234" i="40"/>
  <c r="CD234" i="40"/>
  <c r="BC234" i="40"/>
  <c r="BS234" i="40"/>
  <c r="CJ234" i="40"/>
  <c r="CB234" i="40"/>
  <c r="CF234" i="40"/>
  <c r="DM234" i="40"/>
  <c r="HZ234" i="40"/>
  <c r="CV233" i="40"/>
  <c r="AO233" i="40"/>
  <c r="CQ233" i="40"/>
  <c r="D132" i="40"/>
  <c r="AY132" i="40" s="1"/>
  <c r="DB333" i="40"/>
  <c r="JJ131" i="40"/>
  <c r="HN133" i="40"/>
  <c r="HQ133" i="40" s="1"/>
  <c r="DB133" i="40"/>
  <c r="HW132" i="40"/>
  <c r="HV132" i="40"/>
  <c r="JI132" i="40"/>
  <c r="AP133" i="40"/>
  <c r="HR133" i="40"/>
  <c r="C335" i="40"/>
  <c r="A334" i="40"/>
  <c r="AZ334" i="40"/>
  <c r="BD334" i="40"/>
  <c r="BH334" i="40"/>
  <c r="BL334" i="40"/>
  <c r="BP334" i="40"/>
  <c r="BT334" i="40"/>
  <c r="BX334" i="40"/>
  <c r="CB334" i="40"/>
  <c r="CF334" i="40"/>
  <c r="DM334" i="40"/>
  <c r="DV334" i="40"/>
  <c r="BA334" i="40"/>
  <c r="BE334" i="40"/>
  <c r="BI334" i="40"/>
  <c r="BM334" i="40"/>
  <c r="BQ334" i="40"/>
  <c r="BU334" i="40"/>
  <c r="BY334" i="40"/>
  <c r="CC334" i="40"/>
  <c r="CG334" i="40"/>
  <c r="DS334" i="40"/>
  <c r="DW334" i="40"/>
  <c r="AW334" i="40"/>
  <c r="BB334" i="40"/>
  <c r="BF334" i="40"/>
  <c r="BJ334" i="40"/>
  <c r="BN334" i="40"/>
  <c r="BR334" i="40"/>
  <c r="BV334" i="40"/>
  <c r="BZ334" i="40"/>
  <c r="CD334" i="40"/>
  <c r="CH334" i="40"/>
  <c r="DT334" i="40"/>
  <c r="BC334" i="40"/>
  <c r="BS334" i="40"/>
  <c r="CJ334" i="40"/>
  <c r="BG334" i="40"/>
  <c r="BW334" i="40"/>
  <c r="DU334" i="40"/>
  <c r="BK334" i="40"/>
  <c r="CA334" i="40"/>
  <c r="AX334" i="40"/>
  <c r="BO334" i="40"/>
  <c r="CE334" i="40"/>
  <c r="JO334" i="40"/>
  <c r="IY334" i="40"/>
  <c r="IA334" i="40"/>
  <c r="HY334" i="40"/>
  <c r="HZ334" i="40"/>
  <c r="IX334" i="40"/>
  <c r="IZ334" i="40"/>
  <c r="JP334" i="40"/>
  <c r="JM130" i="40"/>
  <c r="HQ132" i="40"/>
  <c r="IC131" i="40"/>
  <c r="CP133" i="40"/>
  <c r="HV133" i="40" s="1"/>
  <c r="AN133" i="40"/>
  <c r="HM133" i="40"/>
  <c r="HP133" i="40" s="1"/>
  <c r="IQ133" i="40"/>
  <c r="JC133" i="40" s="1"/>
  <c r="IK134" i="40"/>
  <c r="IN134" i="40" s="1"/>
  <c r="II134" i="40"/>
  <c r="IL134" i="40" s="1"/>
  <c r="IJ134" i="40"/>
  <c r="IM134" i="40" s="1"/>
  <c r="JF134" i="40"/>
  <c r="HO134" i="40" s="1"/>
  <c r="HR134" i="40" s="1"/>
  <c r="C135" i="40"/>
  <c r="A134" i="40"/>
  <c r="AW134" i="40"/>
  <c r="BB134" i="40"/>
  <c r="BF134" i="40"/>
  <c r="BJ134" i="40"/>
  <c r="BN134" i="40"/>
  <c r="BR134" i="40"/>
  <c r="BV134" i="40"/>
  <c r="BZ134" i="40"/>
  <c r="CD134" i="40"/>
  <c r="CH134" i="40"/>
  <c r="DT134" i="40"/>
  <c r="AX134" i="40"/>
  <c r="BC134" i="40"/>
  <c r="BG134" i="40"/>
  <c r="BK134" i="40"/>
  <c r="BO134" i="40"/>
  <c r="BS134" i="40"/>
  <c r="BW134" i="40"/>
  <c r="CA134" i="40"/>
  <c r="CE134" i="40"/>
  <c r="CJ134" i="40"/>
  <c r="DU134" i="40"/>
  <c r="AZ134" i="40"/>
  <c r="BD134" i="40"/>
  <c r="BH134" i="40"/>
  <c r="BL134" i="40"/>
  <c r="BP134" i="40"/>
  <c r="BT134" i="40"/>
  <c r="BX134" i="40"/>
  <c r="CB134" i="40"/>
  <c r="CF134" i="40"/>
  <c r="DM134" i="40"/>
  <c r="DV134" i="40"/>
  <c r="BM134" i="40"/>
  <c r="CC134" i="40"/>
  <c r="BA134" i="40"/>
  <c r="BQ134" i="40"/>
  <c r="CG134" i="40"/>
  <c r="BE134" i="40"/>
  <c r="BU134" i="40"/>
  <c r="DS134" i="40"/>
  <c r="DW134" i="40"/>
  <c r="BI134" i="40"/>
  <c r="BY134" i="40"/>
  <c r="JO134" i="40"/>
  <c r="IX134" i="40"/>
  <c r="HZ134" i="40"/>
  <c r="IZ134" i="40"/>
  <c r="IA134" i="40"/>
  <c r="HY134" i="40"/>
  <c r="IY134" i="40"/>
  <c r="JP134" i="40"/>
  <c r="JG134" i="40"/>
  <c r="HU133" i="40"/>
  <c r="CV333" i="40"/>
  <c r="AP333" i="40"/>
  <c r="CV133" i="40"/>
  <c r="AL133" i="40"/>
  <c r="AK133" i="40"/>
  <c r="CQ133" i="40"/>
  <c r="AO133" i="40"/>
  <c r="HT133" i="40"/>
  <c r="CQ333" i="40"/>
  <c r="AO333" i="40"/>
  <c r="KO129" i="40"/>
  <c r="IP133" i="40"/>
  <c r="JB133" i="40" s="1"/>
  <c r="E38" i="44" s="1"/>
  <c r="AM133" i="40"/>
  <c r="CK133" i="40"/>
  <c r="IO133" i="40"/>
  <c r="JA133" i="40" s="1"/>
  <c r="HS133" i="40"/>
  <c r="AN333" i="40"/>
  <c r="CP333" i="40"/>
  <c r="CK333" i="40"/>
  <c r="AM333" i="40"/>
  <c r="JH131" i="40"/>
  <c r="CI134" i="40" l="1"/>
  <c r="CI218" i="40"/>
  <c r="CI418" i="40"/>
  <c r="CI517" i="40"/>
  <c r="JK131" i="40"/>
  <c r="JL131" i="40" s="1"/>
  <c r="IY633" i="40"/>
  <c r="IA633" i="40"/>
  <c r="IZ633" i="40" s="1"/>
  <c r="AP433" i="40"/>
  <c r="DB634" i="40"/>
  <c r="DB433" i="40"/>
  <c r="HW133" i="40"/>
  <c r="IC133" i="40" s="1"/>
  <c r="AG135" i="40"/>
  <c r="AC135" i="40"/>
  <c r="Y135" i="40"/>
  <c r="U135" i="40"/>
  <c r="CS135" i="40" s="1"/>
  <c r="Q135" i="40"/>
  <c r="M135" i="40"/>
  <c r="I135" i="40"/>
  <c r="E135" i="40"/>
  <c r="AI135" i="40"/>
  <c r="AE135" i="40"/>
  <c r="AA135" i="40"/>
  <c r="W135" i="40"/>
  <c r="CU135" i="40" s="1"/>
  <c r="S135" i="40"/>
  <c r="O135" i="40"/>
  <c r="K135" i="40"/>
  <c r="G135" i="40"/>
  <c r="AF135" i="40"/>
  <c r="X135" i="40"/>
  <c r="P135" i="40"/>
  <c r="H135" i="40"/>
  <c r="J135" i="40"/>
  <c r="AD135" i="40"/>
  <c r="V135" i="40"/>
  <c r="CT135" i="40" s="1"/>
  <c r="N135" i="40"/>
  <c r="CN135" i="40" s="1"/>
  <c r="F135" i="40"/>
  <c r="Z135" i="40"/>
  <c r="AJ135" i="40"/>
  <c r="AB135" i="40"/>
  <c r="T135" i="40"/>
  <c r="CR135" i="40" s="1"/>
  <c r="L135" i="40"/>
  <c r="AH135" i="40"/>
  <c r="R135" i="40"/>
  <c r="AG235" i="40"/>
  <c r="AC235" i="40"/>
  <c r="Y235" i="40"/>
  <c r="U235" i="40"/>
  <c r="CS235" i="40" s="1"/>
  <c r="Q235" i="40"/>
  <c r="M235" i="40"/>
  <c r="CM235" i="40" s="1"/>
  <c r="I235" i="40"/>
  <c r="E235" i="40"/>
  <c r="AJ235" i="40"/>
  <c r="AF235" i="40"/>
  <c r="AB235" i="40"/>
  <c r="X235" i="40"/>
  <c r="T235" i="40"/>
  <c r="CR235" i="40" s="1"/>
  <c r="P235" i="40"/>
  <c r="L235" i="40"/>
  <c r="CL235" i="40" s="1"/>
  <c r="H235" i="40"/>
  <c r="AI235" i="40"/>
  <c r="AE235" i="40"/>
  <c r="AA235" i="40"/>
  <c r="CI319" i="40" s="1"/>
  <c r="W235" i="40"/>
  <c r="CU235" i="40" s="1"/>
  <c r="S235" i="40"/>
  <c r="O235" i="40"/>
  <c r="CO235" i="40" s="1"/>
  <c r="K235" i="40"/>
  <c r="G235" i="40"/>
  <c r="AH235" i="40"/>
  <c r="R235" i="40"/>
  <c r="AD235" i="40"/>
  <c r="N235" i="40"/>
  <c r="CN235" i="40" s="1"/>
  <c r="Z235" i="40"/>
  <c r="J235" i="40"/>
  <c r="V235" i="40"/>
  <c r="CT235" i="40" s="1"/>
  <c r="F235" i="40"/>
  <c r="AN533" i="40"/>
  <c r="CP533" i="40"/>
  <c r="CK634" i="40"/>
  <c r="AM634" i="40"/>
  <c r="AJ335" i="40"/>
  <c r="AF335" i="40"/>
  <c r="AB335" i="40"/>
  <c r="X335" i="40"/>
  <c r="T335" i="40"/>
  <c r="CR335" i="40" s="1"/>
  <c r="P335" i="40"/>
  <c r="L335" i="40"/>
  <c r="H335" i="40"/>
  <c r="AH335" i="40"/>
  <c r="AD335" i="40"/>
  <c r="Z335" i="40"/>
  <c r="V335" i="40"/>
  <c r="CT335" i="40" s="1"/>
  <c r="R335" i="40"/>
  <c r="N335" i="40"/>
  <c r="CN335" i="40" s="1"/>
  <c r="J335" i="40"/>
  <c r="F335" i="40"/>
  <c r="AC335" i="40"/>
  <c r="U335" i="40"/>
  <c r="CS335" i="40" s="1"/>
  <c r="M335" i="40"/>
  <c r="CM335" i="40" s="1"/>
  <c r="E335" i="40"/>
  <c r="AI335" i="40"/>
  <c r="AA335" i="40"/>
  <c r="S335" i="40"/>
  <c r="K335" i="40"/>
  <c r="AG335" i="40"/>
  <c r="Y335" i="40"/>
  <c r="Q335" i="40"/>
  <c r="I335" i="40"/>
  <c r="G335" i="40"/>
  <c r="AE335" i="40"/>
  <c r="W335" i="40"/>
  <c r="CU335" i="40" s="1"/>
  <c r="O335" i="40"/>
  <c r="CO335" i="40" s="1"/>
  <c r="AM533" i="40"/>
  <c r="CK533" i="40"/>
  <c r="AO634" i="40"/>
  <c r="CQ634" i="40"/>
  <c r="HY633" i="40"/>
  <c r="IX633" i="40" s="1"/>
  <c r="AH534" i="40"/>
  <c r="AD534" i="40"/>
  <c r="Z534" i="40"/>
  <c r="V534" i="40"/>
  <c r="CT534" i="40" s="1"/>
  <c r="R534" i="40"/>
  <c r="N534" i="40"/>
  <c r="CN534" i="40" s="1"/>
  <c r="J534" i="40"/>
  <c r="F534" i="40"/>
  <c r="AG534" i="40"/>
  <c r="AC534" i="40"/>
  <c r="Y534" i="40"/>
  <c r="U534" i="40"/>
  <c r="CS534" i="40" s="1"/>
  <c r="Q534" i="40"/>
  <c r="M534" i="40"/>
  <c r="CM534" i="40" s="1"/>
  <c r="I534" i="40"/>
  <c r="E534" i="40"/>
  <c r="AJ534" i="40"/>
  <c r="AB534" i="40"/>
  <c r="T534" i="40"/>
  <c r="CR534" i="40" s="1"/>
  <c r="L534" i="40"/>
  <c r="CL534" i="40" s="1"/>
  <c r="AI534" i="40"/>
  <c r="AA534" i="40"/>
  <c r="CI618" i="40" s="1"/>
  <c r="S534" i="40"/>
  <c r="K534" i="40"/>
  <c r="AF534" i="40"/>
  <c r="X534" i="40"/>
  <c r="P534" i="40"/>
  <c r="H534" i="40"/>
  <c r="AE534" i="40"/>
  <c r="W534" i="40"/>
  <c r="CU534" i="40" s="1"/>
  <c r="O534" i="40"/>
  <c r="CO534" i="40" s="1"/>
  <c r="G534" i="40"/>
  <c r="BB534" i="40"/>
  <c r="BR534" i="40"/>
  <c r="CH534" i="40"/>
  <c r="AX534" i="40"/>
  <c r="BO534" i="40"/>
  <c r="CE534" i="40"/>
  <c r="BL534" i="40"/>
  <c r="CB534" i="40"/>
  <c r="BI534" i="40"/>
  <c r="DW534" i="40"/>
  <c r="BY534" i="40"/>
  <c r="IZ534" i="40"/>
  <c r="JO534" i="40"/>
  <c r="JP534" i="40"/>
  <c r="BF534" i="40"/>
  <c r="BV534" i="40"/>
  <c r="DT534" i="40"/>
  <c r="BC534" i="40"/>
  <c r="BS534" i="40"/>
  <c r="CJ534" i="40"/>
  <c r="AZ534" i="40"/>
  <c r="BP534" i="40"/>
  <c r="CF534" i="40"/>
  <c r="BM534" i="40"/>
  <c r="BA534" i="40"/>
  <c r="BE534" i="40"/>
  <c r="IA534" i="40"/>
  <c r="IX534" i="40"/>
  <c r="AW534" i="40"/>
  <c r="BN534" i="40"/>
  <c r="CD534" i="40"/>
  <c r="BK534" i="40"/>
  <c r="CA534" i="40"/>
  <c r="A534" i="40"/>
  <c r="BH534" i="40"/>
  <c r="BX534" i="40"/>
  <c r="DV534" i="40"/>
  <c r="CG534" i="40"/>
  <c r="HZ534" i="40"/>
  <c r="C535" i="40"/>
  <c r="BJ534" i="40"/>
  <c r="BZ534" i="40"/>
  <c r="BG534" i="40"/>
  <c r="BW534" i="40"/>
  <c r="DU534" i="40"/>
  <c r="BD534" i="40"/>
  <c r="BT534" i="40"/>
  <c r="DM534" i="40"/>
  <c r="CC534" i="40"/>
  <c r="BQ534" i="40"/>
  <c r="BU534" i="40"/>
  <c r="HY534" i="40"/>
  <c r="IY534" i="40"/>
  <c r="DS534" i="40"/>
  <c r="AO533" i="40"/>
  <c r="CQ533" i="40"/>
  <c r="CV533" i="40"/>
  <c r="DB533" i="40"/>
  <c r="AI434" i="40"/>
  <c r="AE434" i="40"/>
  <c r="AA434" i="40"/>
  <c r="W434" i="40"/>
  <c r="CU434" i="40" s="1"/>
  <c r="S434" i="40"/>
  <c r="O434" i="40"/>
  <c r="CO434" i="40" s="1"/>
  <c r="K434" i="40"/>
  <c r="G434" i="40"/>
  <c r="AH434" i="40"/>
  <c r="AD434" i="40"/>
  <c r="Z434" i="40"/>
  <c r="V434" i="40"/>
  <c r="CT434" i="40" s="1"/>
  <c r="R434" i="40"/>
  <c r="N434" i="40"/>
  <c r="CN434" i="40" s="1"/>
  <c r="J434" i="40"/>
  <c r="F434" i="40"/>
  <c r="AG434" i="40"/>
  <c r="AC434" i="40"/>
  <c r="Y434" i="40"/>
  <c r="U434" i="40"/>
  <c r="CS434" i="40" s="1"/>
  <c r="Q434" i="40"/>
  <c r="M434" i="40"/>
  <c r="CM434" i="40" s="1"/>
  <c r="I434" i="40"/>
  <c r="E434" i="40"/>
  <c r="AJ434" i="40"/>
  <c r="T434" i="40"/>
  <c r="CR434" i="40" s="1"/>
  <c r="AF434" i="40"/>
  <c r="P434" i="40"/>
  <c r="AB434" i="40"/>
  <c r="L434" i="40"/>
  <c r="CL434" i="40" s="1"/>
  <c r="H434" i="40"/>
  <c r="X434" i="40"/>
  <c r="CV634" i="40"/>
  <c r="AP634" i="40"/>
  <c r="AP533" i="40"/>
  <c r="AN634" i="40"/>
  <c r="CP634" i="40"/>
  <c r="I635" i="40"/>
  <c r="AJ635" i="40"/>
  <c r="AC635" i="40"/>
  <c r="CJ635" i="40"/>
  <c r="BY635" i="40"/>
  <c r="BI635" i="40"/>
  <c r="AG635" i="40"/>
  <c r="CF635" i="40"/>
  <c r="BP635" i="40"/>
  <c r="AZ635" i="40"/>
  <c r="C636" i="40"/>
  <c r="CA635" i="40"/>
  <c r="BK635" i="40"/>
  <c r="K635" i="40"/>
  <c r="BR635" i="40"/>
  <c r="AX635" i="40"/>
  <c r="J635" i="40"/>
  <c r="R635" i="40"/>
  <c r="JO635" i="40"/>
  <c r="AE635" i="40"/>
  <c r="DU635" i="40"/>
  <c r="BU635" i="40"/>
  <c r="BE635" i="40"/>
  <c r="M635" i="40"/>
  <c r="CM635" i="40" s="1"/>
  <c r="CB635" i="40"/>
  <c r="BL635" i="40"/>
  <c r="AB635" i="40"/>
  <c r="DW635" i="40"/>
  <c r="BW635" i="40"/>
  <c r="BG635" i="40"/>
  <c r="G635" i="40"/>
  <c r="BB635" i="40"/>
  <c r="N635" i="40"/>
  <c r="CN635" i="40" s="1"/>
  <c r="BV635" i="40"/>
  <c r="JP635" i="40"/>
  <c r="AF635" i="40"/>
  <c r="CG635" i="40"/>
  <c r="BQ635" i="40"/>
  <c r="BA635" i="40"/>
  <c r="A635" i="40"/>
  <c r="BX635" i="40"/>
  <c r="BH635" i="40"/>
  <c r="P635" i="40"/>
  <c r="DS635" i="40"/>
  <c r="BS635" i="40"/>
  <c r="BC635" i="40"/>
  <c r="DM635" i="40"/>
  <c r="CD635" i="40"/>
  <c r="BZ635" i="40"/>
  <c r="BF635" i="40"/>
  <c r="AW635" i="40"/>
  <c r="L635" i="40"/>
  <c r="CL635" i="40" s="1"/>
  <c r="CH635" i="40"/>
  <c r="DT635" i="40"/>
  <c r="CE635" i="40"/>
  <c r="BN635" i="40"/>
  <c r="BM635" i="40"/>
  <c r="O635" i="40"/>
  <c r="CO635" i="40" s="1"/>
  <c r="KN635" i="40"/>
  <c r="H635" i="40"/>
  <c r="CC635" i="40"/>
  <c r="BT635" i="40"/>
  <c r="BO635" i="40"/>
  <c r="BJ635" i="40"/>
  <c r="BD635" i="40"/>
  <c r="AI635" i="40"/>
  <c r="F635" i="40"/>
  <c r="DV635" i="40"/>
  <c r="W635" i="40"/>
  <c r="CU635" i="40" s="1"/>
  <c r="Z635" i="40"/>
  <c r="AH635" i="40"/>
  <c r="T635" i="40"/>
  <c r="CR635" i="40" s="1"/>
  <c r="S635" i="40"/>
  <c r="X635" i="40"/>
  <c r="U635" i="40"/>
  <c r="CS635" i="40" s="1"/>
  <c r="Q635" i="40"/>
  <c r="V635" i="40"/>
  <c r="CT635" i="40" s="1"/>
  <c r="AA635" i="40"/>
  <c r="AD635" i="40"/>
  <c r="E635" i="40"/>
  <c r="Y635" i="40"/>
  <c r="CP433" i="40"/>
  <c r="AN433" i="40"/>
  <c r="AO433" i="40"/>
  <c r="CQ433" i="40"/>
  <c r="CV433" i="40"/>
  <c r="AM433" i="40"/>
  <c r="CK433" i="40"/>
  <c r="DB234" i="40"/>
  <c r="CV234" i="40"/>
  <c r="AX434" i="40"/>
  <c r="BO434" i="40"/>
  <c r="CE434" i="40"/>
  <c r="AZ434" i="40"/>
  <c r="BP434" i="40"/>
  <c r="CF434" i="40"/>
  <c r="BA434" i="40"/>
  <c r="BQ434" i="40"/>
  <c r="CG434" i="40"/>
  <c r="BB434" i="40"/>
  <c r="BF434" i="40"/>
  <c r="JO434" i="40"/>
  <c r="HY434" i="40"/>
  <c r="BC434" i="40"/>
  <c r="BS434" i="40"/>
  <c r="CJ434" i="40"/>
  <c r="BD434" i="40"/>
  <c r="BT434" i="40"/>
  <c r="DM434" i="40"/>
  <c r="BE434" i="40"/>
  <c r="BU434" i="40"/>
  <c r="DS434" i="40"/>
  <c r="BR434" i="40"/>
  <c r="BV434" i="40"/>
  <c r="BJ434" i="40"/>
  <c r="CD434" i="40"/>
  <c r="IA434" i="40"/>
  <c r="IY434" i="40"/>
  <c r="CA434" i="40"/>
  <c r="BL434" i="40"/>
  <c r="BM434" i="40"/>
  <c r="HZ434" i="40"/>
  <c r="JP434" i="40"/>
  <c r="BG434" i="40"/>
  <c r="BW434" i="40"/>
  <c r="DU434" i="40"/>
  <c r="BH434" i="40"/>
  <c r="BX434" i="40"/>
  <c r="DV434" i="40"/>
  <c r="BI434" i="40"/>
  <c r="BY434" i="40"/>
  <c r="DW434" i="40"/>
  <c r="CH434" i="40"/>
  <c r="DT434" i="40"/>
  <c r="BZ434" i="40"/>
  <c r="AW434" i="40"/>
  <c r="IZ434" i="40"/>
  <c r="IX434" i="40"/>
  <c r="C435" i="40"/>
  <c r="BK434" i="40"/>
  <c r="A434" i="40"/>
  <c r="CB434" i="40"/>
  <c r="CC434" i="40"/>
  <c r="BN434" i="40"/>
  <c r="BZ235" i="40"/>
  <c r="C236" i="40"/>
  <c r="BK235" i="40"/>
  <c r="CA235" i="40"/>
  <c r="A235" i="40"/>
  <c r="BL235" i="40"/>
  <c r="CB235" i="40"/>
  <c r="BM235" i="40"/>
  <c r="CC235" i="40"/>
  <c r="BV235" i="40"/>
  <c r="JO235" i="40"/>
  <c r="HZ235" i="40"/>
  <c r="JP235" i="40"/>
  <c r="BW235" i="40"/>
  <c r="BX235" i="40"/>
  <c r="BI235" i="40"/>
  <c r="DW235" i="40"/>
  <c r="CH235" i="40"/>
  <c r="IX235" i="40"/>
  <c r="AX235" i="40"/>
  <c r="BO235" i="40"/>
  <c r="CE235" i="40"/>
  <c r="AZ235" i="40"/>
  <c r="BP235" i="40"/>
  <c r="CF235" i="40"/>
  <c r="BA235" i="40"/>
  <c r="BQ235" i="40"/>
  <c r="CG235" i="40"/>
  <c r="AW235" i="40"/>
  <c r="BB235" i="40"/>
  <c r="DT235" i="40"/>
  <c r="IA235" i="40"/>
  <c r="BC235" i="40"/>
  <c r="CJ235" i="40"/>
  <c r="BD235" i="40"/>
  <c r="BT235" i="40"/>
  <c r="DM235" i="40"/>
  <c r="BE235" i="40"/>
  <c r="BU235" i="40"/>
  <c r="DS235" i="40"/>
  <c r="BJ235" i="40"/>
  <c r="BR235" i="40"/>
  <c r="HY235" i="40"/>
  <c r="BF235" i="40"/>
  <c r="IY235" i="40"/>
  <c r="BS235" i="40"/>
  <c r="BN235" i="40"/>
  <c r="BG235" i="40"/>
  <c r="DU235" i="40"/>
  <c r="BH235" i="40"/>
  <c r="DV235" i="40"/>
  <c r="BY235" i="40"/>
  <c r="CD235" i="40"/>
  <c r="IZ235" i="40"/>
  <c r="AO234" i="40"/>
  <c r="CQ234" i="40"/>
  <c r="AP234" i="40"/>
  <c r="CK234" i="40"/>
  <c r="AM234" i="40"/>
  <c r="AN234" i="40"/>
  <c r="CP234" i="40"/>
  <c r="IQ134" i="40"/>
  <c r="JC134" i="40" s="1"/>
  <c r="JJ132" i="40"/>
  <c r="D133" i="40"/>
  <c r="AY133" i="40" s="1"/>
  <c r="HX133" i="40"/>
  <c r="IO134" i="40"/>
  <c r="JA134" i="40" s="1"/>
  <c r="HN134" i="40"/>
  <c r="HQ134" i="40" s="1"/>
  <c r="HM134" i="40"/>
  <c r="HP134" i="40" s="1"/>
  <c r="JM131" i="40"/>
  <c r="CP134" i="40"/>
  <c r="HW134" i="40" s="1"/>
  <c r="AN134" i="40"/>
  <c r="HU134" i="40"/>
  <c r="CV334" i="40"/>
  <c r="CV134" i="40"/>
  <c r="AK134" i="40"/>
  <c r="AL134" i="40"/>
  <c r="AO134" i="40"/>
  <c r="CQ134" i="40"/>
  <c r="DB134" i="40"/>
  <c r="AM134" i="40"/>
  <c r="CK134" i="40"/>
  <c r="AO334" i="40"/>
  <c r="CQ334" i="40"/>
  <c r="AN334" i="40"/>
  <c r="CP334" i="40"/>
  <c r="IP134" i="40"/>
  <c r="JB134" i="40" s="1"/>
  <c r="HT134" i="40"/>
  <c r="JH133" i="40"/>
  <c r="IC132" i="40"/>
  <c r="JH132" i="40"/>
  <c r="CK334" i="40"/>
  <c r="AM334" i="40"/>
  <c r="JI133" i="40"/>
  <c r="AP134" i="40"/>
  <c r="IK135" i="40"/>
  <c r="IN135" i="40" s="1"/>
  <c r="IJ135" i="40"/>
  <c r="IM135" i="40" s="1"/>
  <c r="JF135" i="40"/>
  <c r="HO135" i="40" s="1"/>
  <c r="II135" i="40"/>
  <c r="IL135" i="40" s="1"/>
  <c r="C136" i="40"/>
  <c r="A135" i="40"/>
  <c r="CM135" i="40"/>
  <c r="AW135" i="40"/>
  <c r="BB135" i="40"/>
  <c r="BF135" i="40"/>
  <c r="BJ135" i="40"/>
  <c r="BN135" i="40"/>
  <c r="BR135" i="40"/>
  <c r="BV135" i="40"/>
  <c r="BZ135" i="40"/>
  <c r="CD135" i="40"/>
  <c r="CH135" i="40"/>
  <c r="DT135" i="40"/>
  <c r="AX135" i="40"/>
  <c r="BC135" i="40"/>
  <c r="BG135" i="40"/>
  <c r="BK135" i="40"/>
  <c r="BO135" i="40"/>
  <c r="BS135" i="40"/>
  <c r="BW135" i="40"/>
  <c r="CA135" i="40"/>
  <c r="CE135" i="40"/>
  <c r="CJ135" i="40"/>
  <c r="DU135" i="40"/>
  <c r="AZ135" i="40"/>
  <c r="BD135" i="40"/>
  <c r="BH135" i="40"/>
  <c r="BL135" i="40"/>
  <c r="BP135" i="40"/>
  <c r="BT135" i="40"/>
  <c r="BX135" i="40"/>
  <c r="CB135" i="40"/>
  <c r="CF135" i="40"/>
  <c r="DM135" i="40"/>
  <c r="DV135" i="40"/>
  <c r="CL135" i="40"/>
  <c r="BI135" i="40"/>
  <c r="BY135" i="40"/>
  <c r="DW135" i="40"/>
  <c r="BM135" i="40"/>
  <c r="CC135" i="40"/>
  <c r="BA135" i="40"/>
  <c r="BQ135" i="40"/>
  <c r="CG135" i="40"/>
  <c r="DS135" i="40"/>
  <c r="CO135" i="40"/>
  <c r="BE135" i="40"/>
  <c r="BU135" i="40"/>
  <c r="JO135" i="40"/>
  <c r="HZ135" i="40"/>
  <c r="IX135" i="40"/>
  <c r="IZ135" i="40"/>
  <c r="IA135" i="40"/>
  <c r="HY135" i="40"/>
  <c r="IY135" i="40"/>
  <c r="JP135" i="40"/>
  <c r="JG135" i="40"/>
  <c r="HS134" i="40"/>
  <c r="KO130" i="40"/>
  <c r="DB334" i="40"/>
  <c r="AP334" i="40"/>
  <c r="C336" i="40"/>
  <c r="AW335" i="40"/>
  <c r="BB335" i="40"/>
  <c r="BF335" i="40"/>
  <c r="BJ335" i="40"/>
  <c r="BN335" i="40"/>
  <c r="BR335" i="40"/>
  <c r="BV335" i="40"/>
  <c r="BZ335" i="40"/>
  <c r="CD335" i="40"/>
  <c r="CH335" i="40"/>
  <c r="DT335" i="40"/>
  <c r="CL335" i="40"/>
  <c r="AX335" i="40"/>
  <c r="BC335" i="40"/>
  <c r="BG335" i="40"/>
  <c r="BK335" i="40"/>
  <c r="BO335" i="40"/>
  <c r="BS335" i="40"/>
  <c r="BW335" i="40"/>
  <c r="CA335" i="40"/>
  <c r="CE335" i="40"/>
  <c r="CJ335" i="40"/>
  <c r="DU335" i="40"/>
  <c r="A335" i="40"/>
  <c r="AZ335" i="40"/>
  <c r="BD335" i="40"/>
  <c r="BH335" i="40"/>
  <c r="BL335" i="40"/>
  <c r="BP335" i="40"/>
  <c r="BT335" i="40"/>
  <c r="BX335" i="40"/>
  <c r="CB335" i="40"/>
  <c r="CF335" i="40"/>
  <c r="DM335" i="40"/>
  <c r="DV335" i="40"/>
  <c r="BA335" i="40"/>
  <c r="BQ335" i="40"/>
  <c r="CG335" i="40"/>
  <c r="BE335" i="40"/>
  <c r="BU335" i="40"/>
  <c r="DS335" i="40"/>
  <c r="BI335" i="40"/>
  <c r="BY335" i="40"/>
  <c r="DW335" i="40"/>
  <c r="BM335" i="40"/>
  <c r="CC335" i="40"/>
  <c r="JO335" i="40"/>
  <c r="IY335" i="40"/>
  <c r="IZ335" i="40"/>
  <c r="HY335" i="40"/>
  <c r="HZ335" i="40"/>
  <c r="IA335" i="40"/>
  <c r="IX335" i="40"/>
  <c r="JP335" i="40"/>
  <c r="HZ634" i="40" l="1"/>
  <c r="IY634" i="40" s="1"/>
  <c r="CI219" i="40"/>
  <c r="HY634" i="40"/>
  <c r="IX634" i="40" s="1"/>
  <c r="CI135" i="40"/>
  <c r="CI518" i="40"/>
  <c r="CI419" i="40"/>
  <c r="DB434" i="40"/>
  <c r="DB534" i="40"/>
  <c r="JJ133" i="40"/>
  <c r="JK133" i="40" s="1"/>
  <c r="JL133" i="40" s="1"/>
  <c r="AP635" i="40"/>
  <c r="DB635" i="40"/>
  <c r="IA634" i="40"/>
  <c r="IZ634" i="40" s="1"/>
  <c r="CV534" i="40"/>
  <c r="AP534" i="40"/>
  <c r="AI435" i="40"/>
  <c r="AE435" i="40"/>
  <c r="AA435" i="40"/>
  <c r="W435" i="40"/>
  <c r="CU435" i="40" s="1"/>
  <c r="S435" i="40"/>
  <c r="O435" i="40"/>
  <c r="CO435" i="40" s="1"/>
  <c r="K435" i="40"/>
  <c r="G435" i="40"/>
  <c r="AH435" i="40"/>
  <c r="AD435" i="40"/>
  <c r="Z435" i="40"/>
  <c r="V435" i="40"/>
  <c r="CT435" i="40" s="1"/>
  <c r="R435" i="40"/>
  <c r="N435" i="40"/>
  <c r="CN435" i="40" s="1"/>
  <c r="J435" i="40"/>
  <c r="F435" i="40"/>
  <c r="AG435" i="40"/>
  <c r="AC435" i="40"/>
  <c r="Y435" i="40"/>
  <c r="U435" i="40"/>
  <c r="CS435" i="40" s="1"/>
  <c r="Q435" i="40"/>
  <c r="M435" i="40"/>
  <c r="CM435" i="40" s="1"/>
  <c r="I435" i="40"/>
  <c r="E435" i="40"/>
  <c r="AJ435" i="40"/>
  <c r="T435" i="40"/>
  <c r="CR435" i="40" s="1"/>
  <c r="AF435" i="40"/>
  <c r="P435" i="40"/>
  <c r="AB435" i="40"/>
  <c r="L435" i="40"/>
  <c r="CL435" i="40" s="1"/>
  <c r="X435" i="40"/>
  <c r="H435" i="40"/>
  <c r="CK635" i="40"/>
  <c r="AM635" i="40"/>
  <c r="AO534" i="40"/>
  <c r="CQ534" i="40"/>
  <c r="AJ336" i="40"/>
  <c r="AF336" i="40"/>
  <c r="AB336" i="40"/>
  <c r="X336" i="40"/>
  <c r="T336" i="40"/>
  <c r="P336" i="40"/>
  <c r="L336" i="40"/>
  <c r="CL336" i="40" s="1"/>
  <c r="H336" i="40"/>
  <c r="AH336" i="40"/>
  <c r="AD336" i="40"/>
  <c r="Z336" i="40"/>
  <c r="V336" i="40"/>
  <c r="R336" i="40"/>
  <c r="N336" i="40"/>
  <c r="CN336" i="40" s="1"/>
  <c r="J336" i="40"/>
  <c r="F336" i="40"/>
  <c r="AC336" i="40"/>
  <c r="U336" i="40"/>
  <c r="CS336" i="40" s="1"/>
  <c r="M336" i="40"/>
  <c r="E336" i="40"/>
  <c r="AI336" i="40"/>
  <c r="AA336" i="40"/>
  <c r="S336" i="40"/>
  <c r="K336" i="40"/>
  <c r="AG336" i="40"/>
  <c r="Y336" i="40"/>
  <c r="Q336" i="40"/>
  <c r="I336" i="40"/>
  <c r="G336" i="40"/>
  <c r="AE336" i="40"/>
  <c r="W336" i="40"/>
  <c r="CU336" i="40" s="1"/>
  <c r="O336" i="40"/>
  <c r="CO336" i="40" s="1"/>
  <c r="CV635" i="40"/>
  <c r="CQ635" i="40"/>
  <c r="AO635" i="40"/>
  <c r="AN635" i="40"/>
  <c r="CP635" i="40"/>
  <c r="AN534" i="40"/>
  <c r="CP534" i="40"/>
  <c r="AG136" i="40"/>
  <c r="AC136" i="40"/>
  <c r="Y136" i="40"/>
  <c r="U136" i="40"/>
  <c r="CS136" i="40" s="1"/>
  <c r="Q136" i="40"/>
  <c r="M136" i="40"/>
  <c r="CM136" i="40" s="1"/>
  <c r="I136" i="40"/>
  <c r="E136" i="40"/>
  <c r="AI136" i="40"/>
  <c r="AE136" i="40"/>
  <c r="AA136" i="40"/>
  <c r="W136" i="40"/>
  <c r="S136" i="40"/>
  <c r="O136" i="40"/>
  <c r="CO136" i="40" s="1"/>
  <c r="K136" i="40"/>
  <c r="G136" i="40"/>
  <c r="AF136" i="40"/>
  <c r="X136" i="40"/>
  <c r="P136" i="40"/>
  <c r="H136" i="40"/>
  <c r="AH136" i="40"/>
  <c r="J136" i="40"/>
  <c r="AD136" i="40"/>
  <c r="V136" i="40"/>
  <c r="CT136" i="40" s="1"/>
  <c r="N136" i="40"/>
  <c r="CN136" i="40" s="1"/>
  <c r="F136" i="40"/>
  <c r="Z136" i="40"/>
  <c r="AJ136" i="40"/>
  <c r="AB136" i="40"/>
  <c r="T136" i="40"/>
  <c r="CR136" i="40" s="1"/>
  <c r="L136" i="40"/>
  <c r="CL136" i="40" s="1"/>
  <c r="R136" i="40"/>
  <c r="AG236" i="40"/>
  <c r="AC236" i="40"/>
  <c r="Y236" i="40"/>
  <c r="U236" i="40"/>
  <c r="CS236" i="40" s="1"/>
  <c r="Q236" i="40"/>
  <c r="M236" i="40"/>
  <c r="CM236" i="40" s="1"/>
  <c r="I236" i="40"/>
  <c r="E236" i="40"/>
  <c r="AJ236" i="40"/>
  <c r="AF236" i="40"/>
  <c r="AB236" i="40"/>
  <c r="X236" i="40"/>
  <c r="T236" i="40"/>
  <c r="CR236" i="40" s="1"/>
  <c r="P236" i="40"/>
  <c r="L236" i="40"/>
  <c r="CL236" i="40" s="1"/>
  <c r="H236" i="40"/>
  <c r="AI236" i="40"/>
  <c r="AE236" i="40"/>
  <c r="AA236" i="40"/>
  <c r="CI320" i="40" s="1"/>
  <c r="W236" i="40"/>
  <c r="CU236" i="40" s="1"/>
  <c r="S236" i="40"/>
  <c r="O236" i="40"/>
  <c r="CO236" i="40" s="1"/>
  <c r="K236" i="40"/>
  <c r="G236" i="40"/>
  <c r="AH236" i="40"/>
  <c r="R236" i="40"/>
  <c r="AD236" i="40"/>
  <c r="N236" i="40"/>
  <c r="CN236" i="40" s="1"/>
  <c r="Z236" i="40"/>
  <c r="J236" i="40"/>
  <c r="V236" i="40"/>
  <c r="CT236" i="40" s="1"/>
  <c r="F236" i="40"/>
  <c r="AF636" i="40"/>
  <c r="CC636" i="40"/>
  <c r="BM636" i="40"/>
  <c r="AW636" i="40"/>
  <c r="DT636" i="40"/>
  <c r="BT636" i="40"/>
  <c r="BD636" i="40"/>
  <c r="L636" i="40"/>
  <c r="CL636" i="40" s="1"/>
  <c r="CE636" i="40"/>
  <c r="BO636" i="40"/>
  <c r="O636" i="40"/>
  <c r="CO636" i="40" s="1"/>
  <c r="BV636" i="40"/>
  <c r="BR636" i="40"/>
  <c r="BN636" i="40"/>
  <c r="J636" i="40"/>
  <c r="W636" i="40"/>
  <c r="CU636" i="40" s="1"/>
  <c r="JO636" i="40"/>
  <c r="H636" i="40"/>
  <c r="AI636" i="40"/>
  <c r="F636" i="40"/>
  <c r="BY636" i="40"/>
  <c r="BI636" i="40"/>
  <c r="AG636" i="40"/>
  <c r="CF636" i="40"/>
  <c r="BP636" i="40"/>
  <c r="AZ636" i="40"/>
  <c r="C637" i="40"/>
  <c r="CA636" i="40"/>
  <c r="BK636" i="40"/>
  <c r="K636" i="40"/>
  <c r="BF636" i="40"/>
  <c r="BB636" i="40"/>
  <c r="AX636" i="40"/>
  <c r="BJ636" i="40"/>
  <c r="JP636" i="40"/>
  <c r="I636" i="40"/>
  <c r="AJ636" i="40"/>
  <c r="AC636" i="40"/>
  <c r="DU636" i="40"/>
  <c r="BU636" i="40"/>
  <c r="BE636" i="40"/>
  <c r="M636" i="40"/>
  <c r="CM636" i="40" s="1"/>
  <c r="CB636" i="40"/>
  <c r="BL636" i="40"/>
  <c r="AB636" i="40"/>
  <c r="DW636" i="40"/>
  <c r="BW636" i="40"/>
  <c r="BG636" i="40"/>
  <c r="G636" i="40"/>
  <c r="DM636" i="40"/>
  <c r="AH636" i="40"/>
  <c r="N636" i="40"/>
  <c r="CN636" i="40" s="1"/>
  <c r="KN636" i="40"/>
  <c r="A636" i="40"/>
  <c r="DS636" i="40"/>
  <c r="CH636" i="40"/>
  <c r="AE636" i="40"/>
  <c r="CG636" i="40"/>
  <c r="BX636" i="40"/>
  <c r="BS636" i="40"/>
  <c r="CD636" i="40"/>
  <c r="P636" i="40"/>
  <c r="CJ636" i="40"/>
  <c r="BQ636" i="40"/>
  <c r="BH636" i="40"/>
  <c r="BC636" i="40"/>
  <c r="BZ636" i="40"/>
  <c r="BA636" i="40"/>
  <c r="DV636" i="40"/>
  <c r="Z636" i="40"/>
  <c r="R636" i="40"/>
  <c r="T636" i="40"/>
  <c r="CR636" i="40" s="1"/>
  <c r="Q636" i="40"/>
  <c r="V636" i="40"/>
  <c r="CT636" i="40" s="1"/>
  <c r="U636" i="40"/>
  <c r="CS636" i="40" s="1"/>
  <c r="S636" i="40"/>
  <c r="X636" i="40"/>
  <c r="AA636" i="40"/>
  <c r="AD636" i="40"/>
  <c r="E636" i="40"/>
  <c r="Y636" i="40"/>
  <c r="AH535" i="40"/>
  <c r="AD535" i="40"/>
  <c r="Z535" i="40"/>
  <c r="V535" i="40"/>
  <c r="CT535" i="40" s="1"/>
  <c r="R535" i="40"/>
  <c r="N535" i="40"/>
  <c r="CN535" i="40" s="1"/>
  <c r="J535" i="40"/>
  <c r="F535" i="40"/>
  <c r="AG535" i="40"/>
  <c r="AC535" i="40"/>
  <c r="Y535" i="40"/>
  <c r="U535" i="40"/>
  <c r="CS535" i="40" s="1"/>
  <c r="Q535" i="40"/>
  <c r="M535" i="40"/>
  <c r="CM535" i="40" s="1"/>
  <c r="I535" i="40"/>
  <c r="E535" i="40"/>
  <c r="AJ535" i="40"/>
  <c r="AB535" i="40"/>
  <c r="T535" i="40"/>
  <c r="CR535" i="40" s="1"/>
  <c r="L535" i="40"/>
  <c r="CL535" i="40" s="1"/>
  <c r="AI535" i="40"/>
  <c r="AA535" i="40"/>
  <c r="S535" i="40"/>
  <c r="K535" i="40"/>
  <c r="AF535" i="40"/>
  <c r="X535" i="40"/>
  <c r="P535" i="40"/>
  <c r="H535" i="40"/>
  <c r="AE535" i="40"/>
  <c r="W535" i="40"/>
  <c r="CU535" i="40" s="1"/>
  <c r="O535" i="40"/>
  <c r="CO535" i="40" s="1"/>
  <c r="G535" i="40"/>
  <c r="AZ535" i="40"/>
  <c r="BP535" i="40"/>
  <c r="CF535" i="40"/>
  <c r="BA535" i="40"/>
  <c r="BQ535" i="40"/>
  <c r="CG535" i="40"/>
  <c r="BB535" i="40"/>
  <c r="BR535" i="40"/>
  <c r="CH535" i="40"/>
  <c r="CA535" i="40"/>
  <c r="BO535" i="40"/>
  <c r="BC535" i="40"/>
  <c r="HY535" i="40"/>
  <c r="IX535" i="40"/>
  <c r="BL535" i="40"/>
  <c r="CB535" i="40"/>
  <c r="CC535" i="40"/>
  <c r="AW535" i="40"/>
  <c r="CD535" i="40"/>
  <c r="BK535" i="40"/>
  <c r="BW535" i="40"/>
  <c r="BG535" i="40"/>
  <c r="IZ535" i="40"/>
  <c r="C536" i="40"/>
  <c r="BD535" i="40"/>
  <c r="BT535" i="40"/>
  <c r="DM535" i="40"/>
  <c r="BE535" i="40"/>
  <c r="BU535" i="40"/>
  <c r="DS535" i="40"/>
  <c r="BF535" i="40"/>
  <c r="BV535" i="40"/>
  <c r="DT535" i="40"/>
  <c r="CE535" i="40"/>
  <c r="BS535" i="40"/>
  <c r="IA535" i="40"/>
  <c r="IY535" i="40"/>
  <c r="A535" i="40"/>
  <c r="BH535" i="40"/>
  <c r="BX535" i="40"/>
  <c r="DV535" i="40"/>
  <c r="BI535" i="40"/>
  <c r="BY535" i="40"/>
  <c r="DW535" i="40"/>
  <c r="BJ535" i="40"/>
  <c r="BZ535" i="40"/>
  <c r="DU535" i="40"/>
  <c r="JO535" i="40"/>
  <c r="CJ535" i="40"/>
  <c r="HZ535" i="40"/>
  <c r="JP535" i="40"/>
  <c r="BM535" i="40"/>
  <c r="BN535" i="40"/>
  <c r="AX535" i="40"/>
  <c r="CK534" i="40"/>
  <c r="AM534" i="40"/>
  <c r="CQ434" i="40"/>
  <c r="AO434" i="40"/>
  <c r="CV434" i="40"/>
  <c r="AP434" i="40"/>
  <c r="AM434" i="40"/>
  <c r="CK434" i="40"/>
  <c r="AN434" i="40"/>
  <c r="CP434" i="40"/>
  <c r="BA435" i="40"/>
  <c r="BQ435" i="40"/>
  <c r="CG435" i="40"/>
  <c r="AW435" i="40"/>
  <c r="BN435" i="40"/>
  <c r="CD435" i="40"/>
  <c r="BC435" i="40"/>
  <c r="BS435" i="40"/>
  <c r="CJ435" i="40"/>
  <c r="BP435" i="40"/>
  <c r="BT435" i="40"/>
  <c r="BH435" i="40"/>
  <c r="JO435" i="40"/>
  <c r="HZ435" i="40"/>
  <c r="IX435" i="40"/>
  <c r="C436" i="40"/>
  <c r="BI435" i="40"/>
  <c r="BY435" i="40"/>
  <c r="BV435" i="40"/>
  <c r="CA435" i="40"/>
  <c r="DV435" i="40"/>
  <c r="IZ435" i="40"/>
  <c r="CC435" i="40"/>
  <c r="BJ435" i="40"/>
  <c r="BO435" i="40"/>
  <c r="BD435" i="40"/>
  <c r="BE435" i="40"/>
  <c r="BU435" i="40"/>
  <c r="DS435" i="40"/>
  <c r="BB435" i="40"/>
  <c r="BR435" i="40"/>
  <c r="CH435" i="40"/>
  <c r="BG435" i="40"/>
  <c r="BW435" i="40"/>
  <c r="DU435" i="40"/>
  <c r="CF435" i="40"/>
  <c r="DM435" i="40"/>
  <c r="BX435" i="40"/>
  <c r="BL435" i="40"/>
  <c r="IA435" i="40"/>
  <c r="IY435" i="40"/>
  <c r="DW435" i="40"/>
  <c r="BF435" i="40"/>
  <c r="DT435" i="40"/>
  <c r="BK435" i="40"/>
  <c r="A435" i="40"/>
  <c r="CB435" i="40"/>
  <c r="BM435" i="40"/>
  <c r="AX435" i="40"/>
  <c r="AZ435" i="40"/>
  <c r="HY435" i="40"/>
  <c r="BZ435" i="40"/>
  <c r="CE435" i="40"/>
  <c r="JP435" i="40"/>
  <c r="JK132" i="40"/>
  <c r="JL132" i="40" s="1"/>
  <c r="JM132" i="40" s="1"/>
  <c r="DB235" i="40"/>
  <c r="CP235" i="40"/>
  <c r="AN235" i="40"/>
  <c r="AO235" i="40"/>
  <c r="CQ235" i="40"/>
  <c r="CV235" i="40"/>
  <c r="CK235" i="40"/>
  <c r="AM235" i="40"/>
  <c r="C237" i="40"/>
  <c r="BI236" i="40"/>
  <c r="BY236" i="40"/>
  <c r="DW236" i="40"/>
  <c r="BF236" i="40"/>
  <c r="BV236" i="40"/>
  <c r="DT236" i="40"/>
  <c r="BK236" i="40"/>
  <c r="CA236" i="40"/>
  <c r="A236" i="40"/>
  <c r="DV236" i="40"/>
  <c r="BT236" i="40"/>
  <c r="JO236" i="40"/>
  <c r="HZ236" i="40"/>
  <c r="JP236" i="40"/>
  <c r="BM236" i="40"/>
  <c r="CC236" i="40"/>
  <c r="BJ236" i="40"/>
  <c r="BZ236" i="40"/>
  <c r="AX236" i="40"/>
  <c r="BO236" i="40"/>
  <c r="CE236" i="40"/>
  <c r="AZ236" i="40"/>
  <c r="DM236" i="40"/>
  <c r="IZ236" i="40"/>
  <c r="BA236" i="40"/>
  <c r="BQ236" i="40"/>
  <c r="CG236" i="40"/>
  <c r="AW236" i="40"/>
  <c r="BN236" i="40"/>
  <c r="CD236" i="40"/>
  <c r="BC236" i="40"/>
  <c r="BS236" i="40"/>
  <c r="CJ236" i="40"/>
  <c r="BH236" i="40"/>
  <c r="BL236" i="40"/>
  <c r="BP236" i="40"/>
  <c r="IA236" i="40"/>
  <c r="BE236" i="40"/>
  <c r="BU236" i="40"/>
  <c r="DS236" i="40"/>
  <c r="BB236" i="40"/>
  <c r="BR236" i="40"/>
  <c r="CH236" i="40"/>
  <c r="BG236" i="40"/>
  <c r="BW236" i="40"/>
  <c r="DU236" i="40"/>
  <c r="BX236" i="40"/>
  <c r="CB236" i="40"/>
  <c r="CF236" i="40"/>
  <c r="BD236" i="40"/>
  <c r="IX236" i="40"/>
  <c r="HY236" i="40"/>
  <c r="IY236" i="40"/>
  <c r="AP235" i="40"/>
  <c r="HN135" i="40"/>
  <c r="HQ135" i="40" s="1"/>
  <c r="DB135" i="40"/>
  <c r="IQ135" i="40"/>
  <c r="JC135" i="40" s="1"/>
  <c r="IO135" i="40"/>
  <c r="JA135" i="40" s="1"/>
  <c r="HV134" i="40"/>
  <c r="HM135" i="40"/>
  <c r="HP135" i="40" s="1"/>
  <c r="DB335" i="40"/>
  <c r="HX134" i="40"/>
  <c r="JH134" i="40"/>
  <c r="D134" i="40"/>
  <c r="AY134" i="40" s="1"/>
  <c r="AN335" i="40"/>
  <c r="CP335" i="40"/>
  <c r="CQ135" i="40"/>
  <c r="AO135" i="40"/>
  <c r="HT135" i="40"/>
  <c r="CK335" i="40"/>
  <c r="AM335" i="40"/>
  <c r="IK136" i="40"/>
  <c r="IN136" i="40" s="1"/>
  <c r="JF136" i="40"/>
  <c r="HO136" i="40" s="1"/>
  <c r="HR136" i="40" s="1"/>
  <c r="II136" i="40"/>
  <c r="IL136" i="40" s="1"/>
  <c r="IJ136" i="40"/>
  <c r="IM136" i="40" s="1"/>
  <c r="C137" i="40"/>
  <c r="A136" i="40"/>
  <c r="AW136" i="40"/>
  <c r="BB136" i="40"/>
  <c r="BF136" i="40"/>
  <c r="BJ136" i="40"/>
  <c r="BN136" i="40"/>
  <c r="BR136" i="40"/>
  <c r="BV136" i="40"/>
  <c r="BZ136" i="40"/>
  <c r="CD136" i="40"/>
  <c r="CH136" i="40"/>
  <c r="DT136" i="40"/>
  <c r="AX136" i="40"/>
  <c r="BC136" i="40"/>
  <c r="BG136" i="40"/>
  <c r="BK136" i="40"/>
  <c r="BO136" i="40"/>
  <c r="BS136" i="40"/>
  <c r="BW136" i="40"/>
  <c r="CA136" i="40"/>
  <c r="CE136" i="40"/>
  <c r="CJ136" i="40"/>
  <c r="DU136" i="40"/>
  <c r="AZ136" i="40"/>
  <c r="BD136" i="40"/>
  <c r="BH136" i="40"/>
  <c r="BL136" i="40"/>
  <c r="BP136" i="40"/>
  <c r="BT136" i="40"/>
  <c r="BX136" i="40"/>
  <c r="CB136" i="40"/>
  <c r="CF136" i="40"/>
  <c r="DM136" i="40"/>
  <c r="DV136" i="40"/>
  <c r="BE136" i="40"/>
  <c r="BU136" i="40"/>
  <c r="DS136" i="40"/>
  <c r="BI136" i="40"/>
  <c r="BY136" i="40"/>
  <c r="DW136" i="40"/>
  <c r="BM136" i="40"/>
  <c r="CC136" i="40"/>
  <c r="CG136" i="40"/>
  <c r="BA136" i="40"/>
  <c r="BQ136" i="40"/>
  <c r="JO136" i="40"/>
  <c r="IA136" i="40"/>
  <c r="HY136" i="40"/>
  <c r="IX136" i="40"/>
  <c r="IZ136" i="40"/>
  <c r="HZ136" i="40"/>
  <c r="CU136" i="40"/>
  <c r="IY136" i="40"/>
  <c r="JP136" i="40"/>
  <c r="JG136" i="40"/>
  <c r="HU135" i="40"/>
  <c r="AP335" i="40"/>
  <c r="C337" i="40"/>
  <c r="A336" i="40"/>
  <c r="CM336" i="40"/>
  <c r="AZ336" i="40"/>
  <c r="BD336" i="40"/>
  <c r="BH336" i="40"/>
  <c r="BL336" i="40"/>
  <c r="BP336" i="40"/>
  <c r="BT336" i="40"/>
  <c r="BX336" i="40"/>
  <c r="CB336" i="40"/>
  <c r="CF336" i="40"/>
  <c r="DM336" i="40"/>
  <c r="DV336" i="40"/>
  <c r="BA336" i="40"/>
  <c r="BE336" i="40"/>
  <c r="BI336" i="40"/>
  <c r="BM336" i="40"/>
  <c r="BQ336" i="40"/>
  <c r="BU336" i="40"/>
  <c r="BY336" i="40"/>
  <c r="CC336" i="40"/>
  <c r="CG336" i="40"/>
  <c r="DS336" i="40"/>
  <c r="DW336" i="40"/>
  <c r="AW336" i="40"/>
  <c r="BB336" i="40"/>
  <c r="BF336" i="40"/>
  <c r="BJ336" i="40"/>
  <c r="BN336" i="40"/>
  <c r="BR336" i="40"/>
  <c r="BV336" i="40"/>
  <c r="BZ336" i="40"/>
  <c r="CD336" i="40"/>
  <c r="CH336" i="40"/>
  <c r="DT336" i="40"/>
  <c r="AX336" i="40"/>
  <c r="BO336" i="40"/>
  <c r="CE336" i="40"/>
  <c r="BC336" i="40"/>
  <c r="BS336" i="40"/>
  <c r="CJ336" i="40"/>
  <c r="BG336" i="40"/>
  <c r="BW336" i="40"/>
  <c r="DU336" i="40"/>
  <c r="BK336" i="40"/>
  <c r="CA336" i="40"/>
  <c r="JO336" i="40"/>
  <c r="IY336" i="40"/>
  <c r="IA336" i="40"/>
  <c r="HY336" i="40"/>
  <c r="IZ336" i="40"/>
  <c r="IX336" i="40"/>
  <c r="HZ336" i="40"/>
  <c r="CT336" i="40"/>
  <c r="CR336" i="40"/>
  <c r="JP336" i="40"/>
  <c r="JI134" i="40"/>
  <c r="CV135" i="40"/>
  <c r="AK135" i="40"/>
  <c r="AL135" i="40"/>
  <c r="AP135" i="40"/>
  <c r="HS135" i="40"/>
  <c r="CV335" i="40"/>
  <c r="CQ335" i="40"/>
  <c r="AO335" i="40"/>
  <c r="CP135" i="40"/>
  <c r="HW135" i="40" s="1"/>
  <c r="AN135" i="40"/>
  <c r="IP135" i="40"/>
  <c r="JB135" i="40" s="1"/>
  <c r="E40" i="44" s="1"/>
  <c r="AM135" i="40"/>
  <c r="CK135" i="40"/>
  <c r="HR135" i="40"/>
  <c r="E39" i="44"/>
  <c r="IC134" i="40"/>
  <c r="KO131" i="40"/>
  <c r="CI619" i="40" l="1"/>
  <c r="CI136" i="40"/>
  <c r="CI519" i="40"/>
  <c r="CI220" i="40"/>
  <c r="CI420" i="40"/>
  <c r="HZ635" i="40"/>
  <c r="IY635" i="40" s="1"/>
  <c r="HY635" i="40"/>
  <c r="IX635" i="40" s="1"/>
  <c r="IA635" i="40"/>
  <c r="IZ635" i="40" s="1"/>
  <c r="AP535" i="40"/>
  <c r="DB435" i="40"/>
  <c r="CV535" i="40"/>
  <c r="DB535" i="40"/>
  <c r="AO535" i="40"/>
  <c r="CQ535" i="40"/>
  <c r="AO636" i="40"/>
  <c r="CQ636" i="40"/>
  <c r="I637" i="40"/>
  <c r="AJ637" i="40"/>
  <c r="AC637" i="40"/>
  <c r="BY637" i="40"/>
  <c r="BI637" i="40"/>
  <c r="AG637" i="40"/>
  <c r="CF637" i="40"/>
  <c r="BP637" i="40"/>
  <c r="AZ637" i="40"/>
  <c r="C638" i="40"/>
  <c r="CA637" i="40"/>
  <c r="BK637" i="40"/>
  <c r="K637" i="40"/>
  <c r="J637" i="40"/>
  <c r="CD637" i="40"/>
  <c r="BB637" i="40"/>
  <c r="JO637" i="40"/>
  <c r="AE637" i="40"/>
  <c r="DU637" i="40"/>
  <c r="BU637" i="40"/>
  <c r="BE637" i="40"/>
  <c r="M637" i="40"/>
  <c r="CM637" i="40" s="1"/>
  <c r="CB637" i="40"/>
  <c r="BL637" i="40"/>
  <c r="AB637" i="40"/>
  <c r="DW637" i="40"/>
  <c r="BW637" i="40"/>
  <c r="BG637" i="40"/>
  <c r="G637" i="40"/>
  <c r="DV637" i="40"/>
  <c r="DM637" i="40"/>
  <c r="BN637" i="40"/>
  <c r="R637" i="40"/>
  <c r="JP637" i="40"/>
  <c r="AF637" i="40"/>
  <c r="CJ637" i="40"/>
  <c r="CG637" i="40"/>
  <c r="BQ637" i="40"/>
  <c r="BA637" i="40"/>
  <c r="A637" i="40"/>
  <c r="BX637" i="40"/>
  <c r="BH637" i="40"/>
  <c r="P637" i="40"/>
  <c r="DS637" i="40"/>
  <c r="BS637" i="40"/>
  <c r="BC637" i="40"/>
  <c r="BZ637" i="40"/>
  <c r="BV637" i="40"/>
  <c r="CH637" i="40"/>
  <c r="AX637" i="40"/>
  <c r="AI637" i="40"/>
  <c r="CC637" i="40"/>
  <c r="BT637" i="40"/>
  <c r="BO637" i="40"/>
  <c r="BR637" i="40"/>
  <c r="W637" i="40"/>
  <c r="CU637" i="40" s="1"/>
  <c r="BM637" i="40"/>
  <c r="BD637" i="40"/>
  <c r="O637" i="40"/>
  <c r="CO637" i="40" s="1"/>
  <c r="N637" i="40"/>
  <c r="CN637" i="40" s="1"/>
  <c r="CE637" i="40"/>
  <c r="KN637" i="40"/>
  <c r="F637" i="40"/>
  <c r="AW637" i="40"/>
  <c r="L637" i="40"/>
  <c r="CL637" i="40" s="1"/>
  <c r="BJ637" i="40"/>
  <c r="DT637" i="40"/>
  <c r="H637" i="40"/>
  <c r="BF637" i="40"/>
  <c r="AH637" i="40"/>
  <c r="Z637" i="40"/>
  <c r="T637" i="40"/>
  <c r="CR637" i="40" s="1"/>
  <c r="V637" i="40"/>
  <c r="CT637" i="40" s="1"/>
  <c r="X637" i="40"/>
  <c r="U637" i="40"/>
  <c r="CS637" i="40" s="1"/>
  <c r="S637" i="40"/>
  <c r="Q637" i="40"/>
  <c r="AD637" i="40"/>
  <c r="AA637" i="40"/>
  <c r="E637" i="40"/>
  <c r="Y637" i="40"/>
  <c r="AJ337" i="40"/>
  <c r="AF337" i="40"/>
  <c r="AB337" i="40"/>
  <c r="X337" i="40"/>
  <c r="T337" i="40"/>
  <c r="CR337" i="40" s="1"/>
  <c r="P337" i="40"/>
  <c r="L337" i="40"/>
  <c r="CL337" i="40" s="1"/>
  <c r="H337" i="40"/>
  <c r="AH337" i="40"/>
  <c r="AD337" i="40"/>
  <c r="Z337" i="40"/>
  <c r="V337" i="40"/>
  <c r="CT337" i="40" s="1"/>
  <c r="R337" i="40"/>
  <c r="N337" i="40"/>
  <c r="CN337" i="40" s="1"/>
  <c r="J337" i="40"/>
  <c r="F337" i="40"/>
  <c r="AC337" i="40"/>
  <c r="U337" i="40"/>
  <c r="M337" i="40"/>
  <c r="CM337" i="40" s="1"/>
  <c r="E337" i="40"/>
  <c r="AI337" i="40"/>
  <c r="AA337" i="40"/>
  <c r="S337" i="40"/>
  <c r="K337" i="40"/>
  <c r="AG337" i="40"/>
  <c r="Y337" i="40"/>
  <c r="Q337" i="40"/>
  <c r="I337" i="40"/>
  <c r="G337" i="40"/>
  <c r="AE337" i="40"/>
  <c r="W337" i="40"/>
  <c r="CU337" i="40" s="1"/>
  <c r="O337" i="40"/>
  <c r="CO337" i="40" s="1"/>
  <c r="AN535" i="40"/>
  <c r="CP535" i="40"/>
  <c r="DB636" i="40"/>
  <c r="CK636" i="40"/>
  <c r="AM636" i="40"/>
  <c r="AG137" i="40"/>
  <c r="AC137" i="40"/>
  <c r="Y137" i="40"/>
  <c r="U137" i="40"/>
  <c r="Q137" i="40"/>
  <c r="M137" i="40"/>
  <c r="CM137" i="40" s="1"/>
  <c r="I137" i="40"/>
  <c r="E137" i="40"/>
  <c r="AI137" i="40"/>
  <c r="AE137" i="40"/>
  <c r="AA137" i="40"/>
  <c r="W137" i="40"/>
  <c r="S137" i="40"/>
  <c r="O137" i="40"/>
  <c r="CO137" i="40" s="1"/>
  <c r="K137" i="40"/>
  <c r="G137" i="40"/>
  <c r="AF137" i="40"/>
  <c r="X137" i="40"/>
  <c r="P137" i="40"/>
  <c r="H137" i="40"/>
  <c r="AH137" i="40"/>
  <c r="AD137" i="40"/>
  <c r="V137" i="40"/>
  <c r="CT137" i="40" s="1"/>
  <c r="N137" i="40"/>
  <c r="F137" i="40"/>
  <c r="R137" i="40"/>
  <c r="AJ137" i="40"/>
  <c r="AB137" i="40"/>
  <c r="T137" i="40"/>
  <c r="CR137" i="40" s="1"/>
  <c r="L137" i="40"/>
  <c r="CL137" i="40" s="1"/>
  <c r="Z137" i="40"/>
  <c r="J137" i="40"/>
  <c r="AG237" i="40"/>
  <c r="AC237" i="40"/>
  <c r="Y237" i="40"/>
  <c r="U237" i="40"/>
  <c r="CS237" i="40" s="1"/>
  <c r="Q237" i="40"/>
  <c r="M237" i="40"/>
  <c r="CM237" i="40" s="1"/>
  <c r="I237" i="40"/>
  <c r="E237" i="40"/>
  <c r="AJ237" i="40"/>
  <c r="AF237" i="40"/>
  <c r="AB237" i="40"/>
  <c r="X237" i="40"/>
  <c r="T237" i="40"/>
  <c r="CR237" i="40" s="1"/>
  <c r="P237" i="40"/>
  <c r="L237" i="40"/>
  <c r="CL237" i="40" s="1"/>
  <c r="H237" i="40"/>
  <c r="AI237" i="40"/>
  <c r="AE237" i="40"/>
  <c r="AA237" i="40"/>
  <c r="CI321" i="40" s="1"/>
  <c r="W237" i="40"/>
  <c r="CU237" i="40" s="1"/>
  <c r="S237" i="40"/>
  <c r="O237" i="40"/>
  <c r="CO237" i="40" s="1"/>
  <c r="K237" i="40"/>
  <c r="G237" i="40"/>
  <c r="AH237" i="40"/>
  <c r="R237" i="40"/>
  <c r="AD237" i="40"/>
  <c r="N237" i="40"/>
  <c r="CN237" i="40" s="1"/>
  <c r="Z237" i="40"/>
  <c r="J237" i="40"/>
  <c r="V237" i="40"/>
  <c r="CT237" i="40" s="1"/>
  <c r="F237" i="40"/>
  <c r="AI436" i="40"/>
  <c r="AE436" i="40"/>
  <c r="AA436" i="40"/>
  <c r="W436" i="40"/>
  <c r="CU436" i="40" s="1"/>
  <c r="S436" i="40"/>
  <c r="O436" i="40"/>
  <c r="CO436" i="40" s="1"/>
  <c r="K436" i="40"/>
  <c r="G436" i="40"/>
  <c r="AH436" i="40"/>
  <c r="AD436" i="40"/>
  <c r="Z436" i="40"/>
  <c r="V436" i="40"/>
  <c r="CT436" i="40" s="1"/>
  <c r="R436" i="40"/>
  <c r="N436" i="40"/>
  <c r="CN436" i="40" s="1"/>
  <c r="J436" i="40"/>
  <c r="F436" i="40"/>
  <c r="AG436" i="40"/>
  <c r="AC436" i="40"/>
  <c r="Y436" i="40"/>
  <c r="U436" i="40"/>
  <c r="CS436" i="40" s="1"/>
  <c r="Q436" i="40"/>
  <c r="M436" i="40"/>
  <c r="CM436" i="40" s="1"/>
  <c r="I436" i="40"/>
  <c r="E436" i="40"/>
  <c r="AJ436" i="40"/>
  <c r="T436" i="40"/>
  <c r="CR436" i="40" s="1"/>
  <c r="AF436" i="40"/>
  <c r="P436" i="40"/>
  <c r="AB436" i="40"/>
  <c r="L436" i="40"/>
  <c r="CL436" i="40" s="1"/>
  <c r="H436" i="40"/>
  <c r="X436" i="40"/>
  <c r="AH536" i="40"/>
  <c r="AD536" i="40"/>
  <c r="Z536" i="40"/>
  <c r="V536" i="40"/>
  <c r="CT536" i="40" s="1"/>
  <c r="R536" i="40"/>
  <c r="N536" i="40"/>
  <c r="CN536" i="40" s="1"/>
  <c r="J536" i="40"/>
  <c r="F536" i="40"/>
  <c r="AG536" i="40"/>
  <c r="AC536" i="40"/>
  <c r="Y536" i="40"/>
  <c r="U536" i="40"/>
  <c r="CS536" i="40" s="1"/>
  <c r="Q536" i="40"/>
  <c r="M536" i="40"/>
  <c r="CM536" i="40" s="1"/>
  <c r="I536" i="40"/>
  <c r="E536" i="40"/>
  <c r="AJ536" i="40"/>
  <c r="AB536" i="40"/>
  <c r="T536" i="40"/>
  <c r="CR536" i="40" s="1"/>
  <c r="L536" i="40"/>
  <c r="CL536" i="40" s="1"/>
  <c r="AI536" i="40"/>
  <c r="AA536" i="40"/>
  <c r="CI620" i="40" s="1"/>
  <c r="S536" i="40"/>
  <c r="K536" i="40"/>
  <c r="AF536" i="40"/>
  <c r="X536" i="40"/>
  <c r="P536" i="40"/>
  <c r="H536" i="40"/>
  <c r="AE536" i="40"/>
  <c r="W536" i="40"/>
  <c r="CU536" i="40" s="1"/>
  <c r="O536" i="40"/>
  <c r="CO536" i="40" s="1"/>
  <c r="G536" i="40"/>
  <c r="AW536" i="40"/>
  <c r="BN536" i="40"/>
  <c r="CD536" i="40"/>
  <c r="BK536" i="40"/>
  <c r="CA536" i="40"/>
  <c r="A536" i="40"/>
  <c r="BH536" i="40"/>
  <c r="BX536" i="40"/>
  <c r="DV536" i="40"/>
  <c r="BU536" i="40"/>
  <c r="BE536" i="40"/>
  <c r="JO536" i="40"/>
  <c r="HY536" i="40"/>
  <c r="JP536" i="40"/>
  <c r="BB536" i="40"/>
  <c r="BR536" i="40"/>
  <c r="CH536" i="40"/>
  <c r="AX536" i="40"/>
  <c r="BO536" i="40"/>
  <c r="CE536" i="40"/>
  <c r="BL536" i="40"/>
  <c r="CB536" i="40"/>
  <c r="BI536" i="40"/>
  <c r="BA536" i="40"/>
  <c r="DS536" i="40"/>
  <c r="HZ536" i="40"/>
  <c r="IZ536" i="40"/>
  <c r="BF536" i="40"/>
  <c r="BV536" i="40"/>
  <c r="DT536" i="40"/>
  <c r="BC536" i="40"/>
  <c r="BS536" i="40"/>
  <c r="CJ536" i="40"/>
  <c r="AZ536" i="40"/>
  <c r="BP536" i="40"/>
  <c r="CF536" i="40"/>
  <c r="BY536" i="40"/>
  <c r="BM536" i="40"/>
  <c r="BQ536" i="40"/>
  <c r="IX536" i="40"/>
  <c r="C537" i="40"/>
  <c r="BJ536" i="40"/>
  <c r="BZ536" i="40"/>
  <c r="BG536" i="40"/>
  <c r="BW536" i="40"/>
  <c r="DU536" i="40"/>
  <c r="BD536" i="40"/>
  <c r="BT536" i="40"/>
  <c r="DM536" i="40"/>
  <c r="DW536" i="40"/>
  <c r="CC536" i="40"/>
  <c r="CG536" i="40"/>
  <c r="IA536" i="40"/>
  <c r="IY536" i="40"/>
  <c r="CK535" i="40"/>
  <c r="AM535" i="40"/>
  <c r="CV636" i="40"/>
  <c r="AP636" i="40"/>
  <c r="AN636" i="40"/>
  <c r="CP636" i="40"/>
  <c r="JJ134" i="40"/>
  <c r="JK134" i="40" s="1"/>
  <c r="JL134" i="40" s="1"/>
  <c r="CQ435" i="40"/>
  <c r="AO435" i="40"/>
  <c r="AP435" i="40"/>
  <c r="CK435" i="40"/>
  <c r="AM435" i="40"/>
  <c r="BG436" i="40"/>
  <c r="BW436" i="40"/>
  <c r="DU436" i="40"/>
  <c r="BH436" i="40"/>
  <c r="BX436" i="40"/>
  <c r="DV436" i="40"/>
  <c r="BI436" i="40"/>
  <c r="BY436" i="40"/>
  <c r="DW436" i="40"/>
  <c r="CD436" i="40"/>
  <c r="CH436" i="40"/>
  <c r="DT436" i="40"/>
  <c r="BJ436" i="40"/>
  <c r="IZ436" i="40"/>
  <c r="IY436" i="40"/>
  <c r="C437" i="40"/>
  <c r="BK436" i="40"/>
  <c r="CA436" i="40"/>
  <c r="A436" i="40"/>
  <c r="BL436" i="40"/>
  <c r="CB436" i="40"/>
  <c r="BM436" i="40"/>
  <c r="CC436" i="40"/>
  <c r="JO436" i="40"/>
  <c r="HZ436" i="40"/>
  <c r="JP436" i="40"/>
  <c r="AX436" i="40"/>
  <c r="BO436" i="40"/>
  <c r="CE436" i="40"/>
  <c r="AZ436" i="40"/>
  <c r="BP436" i="40"/>
  <c r="CF436" i="40"/>
  <c r="BA436" i="40"/>
  <c r="BQ436" i="40"/>
  <c r="CG436" i="40"/>
  <c r="AW436" i="40"/>
  <c r="BB436" i="40"/>
  <c r="BF436" i="40"/>
  <c r="BZ436" i="40"/>
  <c r="HY436" i="40"/>
  <c r="BC436" i="40"/>
  <c r="BS436" i="40"/>
  <c r="CJ436" i="40"/>
  <c r="BD436" i="40"/>
  <c r="BT436" i="40"/>
  <c r="DM436" i="40"/>
  <c r="BE436" i="40"/>
  <c r="BU436" i="40"/>
  <c r="DS436" i="40"/>
  <c r="BN436" i="40"/>
  <c r="BR436" i="40"/>
  <c r="BV436" i="40"/>
  <c r="IA436" i="40"/>
  <c r="IX436" i="40"/>
  <c r="CV435" i="40"/>
  <c r="CP435" i="40"/>
  <c r="AN435" i="40"/>
  <c r="CV236" i="40"/>
  <c r="AO236" i="40"/>
  <c r="CQ236" i="40"/>
  <c r="AN236" i="40"/>
  <c r="CP236" i="40"/>
  <c r="AM236" i="40"/>
  <c r="CK236" i="40"/>
  <c r="DB236" i="40"/>
  <c r="AP236" i="40"/>
  <c r="BC237" i="40"/>
  <c r="BS237" i="40"/>
  <c r="CJ237" i="40"/>
  <c r="BD237" i="40"/>
  <c r="BT237" i="40"/>
  <c r="DM237" i="40"/>
  <c r="BE237" i="40"/>
  <c r="BU237" i="40"/>
  <c r="DS237" i="40"/>
  <c r="BV237" i="40"/>
  <c r="BJ237" i="40"/>
  <c r="BN237" i="40"/>
  <c r="IA237" i="40"/>
  <c r="BG237" i="40"/>
  <c r="BW237" i="40"/>
  <c r="DU237" i="40"/>
  <c r="BH237" i="40"/>
  <c r="BX237" i="40"/>
  <c r="DV237" i="40"/>
  <c r="BI237" i="40"/>
  <c r="BY237" i="40"/>
  <c r="DW237" i="40"/>
  <c r="DT237" i="40"/>
  <c r="BZ237" i="40"/>
  <c r="CD237" i="40"/>
  <c r="BB237" i="40"/>
  <c r="IX237" i="40"/>
  <c r="HY237" i="40"/>
  <c r="IY237" i="40"/>
  <c r="C238" i="40"/>
  <c r="BK237" i="40"/>
  <c r="CA237" i="40"/>
  <c r="A237" i="40"/>
  <c r="BL237" i="40"/>
  <c r="CB237" i="40"/>
  <c r="BM237" i="40"/>
  <c r="CC237" i="40"/>
  <c r="BR237" i="40"/>
  <c r="JO237" i="40"/>
  <c r="IZ237" i="40"/>
  <c r="JP237" i="40"/>
  <c r="AX237" i="40"/>
  <c r="BO237" i="40"/>
  <c r="CE237" i="40"/>
  <c r="AZ237" i="40"/>
  <c r="BP237" i="40"/>
  <c r="CF237" i="40"/>
  <c r="BA237" i="40"/>
  <c r="BQ237" i="40"/>
  <c r="CG237" i="40"/>
  <c r="BF237" i="40"/>
  <c r="AW237" i="40"/>
  <c r="CH237" i="40"/>
  <c r="HZ237" i="40"/>
  <c r="D135" i="40"/>
  <c r="AY135" i="40" s="1"/>
  <c r="DB336" i="40"/>
  <c r="DB136" i="40"/>
  <c r="HN136" i="40"/>
  <c r="HQ136" i="40" s="1"/>
  <c r="IC135" i="40"/>
  <c r="HV135" i="40"/>
  <c r="CV136" i="40"/>
  <c r="AK136" i="40"/>
  <c r="AL136" i="40"/>
  <c r="AN136" i="40"/>
  <c r="CP136" i="40"/>
  <c r="HX136" i="40" s="1"/>
  <c r="IP136" i="40"/>
  <c r="JB136" i="40" s="1"/>
  <c r="E41" i="44" s="1"/>
  <c r="HT136" i="40"/>
  <c r="HX135" i="40"/>
  <c r="JH135" i="40"/>
  <c r="AP336" i="40"/>
  <c r="AM336" i="40"/>
  <c r="CK336" i="40"/>
  <c r="CQ136" i="40"/>
  <c r="AO136" i="40"/>
  <c r="AM136" i="40"/>
  <c r="CK136" i="40"/>
  <c r="IO136" i="40"/>
  <c r="JA136" i="40" s="1"/>
  <c r="HS136" i="40"/>
  <c r="JM133" i="40"/>
  <c r="AO336" i="40"/>
  <c r="CQ336" i="40"/>
  <c r="C338" i="40"/>
  <c r="AW337" i="40"/>
  <c r="BB337" i="40"/>
  <c r="BF337" i="40"/>
  <c r="BJ337" i="40"/>
  <c r="BN337" i="40"/>
  <c r="BR337" i="40"/>
  <c r="BV337" i="40"/>
  <c r="BZ337" i="40"/>
  <c r="CD337" i="40"/>
  <c r="CH337" i="40"/>
  <c r="DT337" i="40"/>
  <c r="AX337" i="40"/>
  <c r="BC337" i="40"/>
  <c r="BG337" i="40"/>
  <c r="BK337" i="40"/>
  <c r="BO337" i="40"/>
  <c r="BS337" i="40"/>
  <c r="BW337" i="40"/>
  <c r="CA337" i="40"/>
  <c r="CE337" i="40"/>
  <c r="CJ337" i="40"/>
  <c r="DU337" i="40"/>
  <c r="A337" i="40"/>
  <c r="AZ337" i="40"/>
  <c r="BD337" i="40"/>
  <c r="BH337" i="40"/>
  <c r="BL337" i="40"/>
  <c r="BP337" i="40"/>
  <c r="BT337" i="40"/>
  <c r="BX337" i="40"/>
  <c r="CB337" i="40"/>
  <c r="CF337" i="40"/>
  <c r="DM337" i="40"/>
  <c r="DV337" i="40"/>
  <c r="BM337" i="40"/>
  <c r="CC337" i="40"/>
  <c r="BA337" i="40"/>
  <c r="BQ337" i="40"/>
  <c r="CG337" i="40"/>
  <c r="BE337" i="40"/>
  <c r="BU337" i="40"/>
  <c r="DS337" i="40"/>
  <c r="BI337" i="40"/>
  <c r="BY337" i="40"/>
  <c r="DW337" i="40"/>
  <c r="JO337" i="40"/>
  <c r="IY337" i="40"/>
  <c r="HZ337" i="40"/>
  <c r="IZ337" i="40"/>
  <c r="HY337" i="40"/>
  <c r="IX337" i="40"/>
  <c r="IA337" i="40"/>
  <c r="CS337" i="40"/>
  <c r="JP337" i="40"/>
  <c r="CV336" i="40"/>
  <c r="AN336" i="40"/>
  <c r="CP336" i="40"/>
  <c r="JI135" i="40"/>
  <c r="AP136" i="40"/>
  <c r="HM136" i="40"/>
  <c r="HP136" i="40" s="1"/>
  <c r="IQ136" i="40"/>
  <c r="JC136" i="40" s="1"/>
  <c r="IK137" i="40"/>
  <c r="IN137" i="40" s="1"/>
  <c r="JF137" i="40"/>
  <c r="HO137" i="40" s="1"/>
  <c r="II137" i="40"/>
  <c r="IL137" i="40" s="1"/>
  <c r="IJ137" i="40"/>
  <c r="IM137" i="40" s="1"/>
  <c r="C138" i="40"/>
  <c r="A137" i="40"/>
  <c r="AW137" i="40"/>
  <c r="BB137" i="40"/>
  <c r="BF137" i="40"/>
  <c r="BJ137" i="40"/>
  <c r="BN137" i="40"/>
  <c r="BR137" i="40"/>
  <c r="BV137" i="40"/>
  <c r="BZ137" i="40"/>
  <c r="CD137" i="40"/>
  <c r="CH137" i="40"/>
  <c r="DT137" i="40"/>
  <c r="CN137" i="40"/>
  <c r="AX137" i="40"/>
  <c r="BC137" i="40"/>
  <c r="BG137" i="40"/>
  <c r="BK137" i="40"/>
  <c r="BO137" i="40"/>
  <c r="BS137" i="40"/>
  <c r="BW137" i="40"/>
  <c r="CA137" i="40"/>
  <c r="CE137" i="40"/>
  <c r="CJ137" i="40"/>
  <c r="DU137" i="40"/>
  <c r="AZ137" i="40"/>
  <c r="BD137" i="40"/>
  <c r="BH137" i="40"/>
  <c r="BL137" i="40"/>
  <c r="BP137" i="40"/>
  <c r="BT137" i="40"/>
  <c r="BX137" i="40"/>
  <c r="CB137" i="40"/>
  <c r="CF137" i="40"/>
  <c r="DM137" i="40"/>
  <c r="DV137" i="40"/>
  <c r="BA137" i="40"/>
  <c r="BQ137" i="40"/>
  <c r="CG137" i="40"/>
  <c r="BE137" i="40"/>
  <c r="BU137" i="40"/>
  <c r="DS137" i="40"/>
  <c r="BI137" i="40"/>
  <c r="BY137" i="40"/>
  <c r="DW137" i="40"/>
  <c r="CC137" i="40"/>
  <c r="BM137" i="40"/>
  <c r="JO137" i="40"/>
  <c r="IX137" i="40"/>
  <c r="IZ137" i="40"/>
  <c r="HY137" i="40"/>
  <c r="HZ137" i="40"/>
  <c r="IA137" i="40"/>
  <c r="CU137" i="40"/>
  <c r="CS137" i="40"/>
  <c r="IY137" i="40"/>
  <c r="JP137" i="40"/>
  <c r="JG137" i="40"/>
  <c r="HU136" i="40"/>
  <c r="KO132" i="40"/>
  <c r="CI137" i="40" l="1"/>
  <c r="CI421" i="40"/>
  <c r="CI520" i="40"/>
  <c r="CI221" i="40"/>
  <c r="DB237" i="40"/>
  <c r="HW136" i="40"/>
  <c r="HY636" i="40"/>
  <c r="IX636" i="40" s="1"/>
  <c r="HV136" i="40"/>
  <c r="HZ636" i="40"/>
  <c r="IY636" i="40" s="1"/>
  <c r="AP237" i="40"/>
  <c r="IA636" i="40"/>
  <c r="IZ636" i="40" s="1"/>
  <c r="DB637" i="40"/>
  <c r="AG138" i="40"/>
  <c r="AC138" i="40"/>
  <c r="Y138" i="40"/>
  <c r="U138" i="40"/>
  <c r="CS138" i="40" s="1"/>
  <c r="Q138" i="40"/>
  <c r="M138" i="40"/>
  <c r="CM138" i="40" s="1"/>
  <c r="I138" i="40"/>
  <c r="E138" i="40"/>
  <c r="AI138" i="40"/>
  <c r="AE138" i="40"/>
  <c r="AA138" i="40"/>
  <c r="W138" i="40"/>
  <c r="CU138" i="40" s="1"/>
  <c r="S138" i="40"/>
  <c r="O138" i="40"/>
  <c r="CO138" i="40" s="1"/>
  <c r="K138" i="40"/>
  <c r="G138" i="40"/>
  <c r="AF138" i="40"/>
  <c r="X138" i="40"/>
  <c r="P138" i="40"/>
  <c r="H138" i="40"/>
  <c r="Z138" i="40"/>
  <c r="AD138" i="40"/>
  <c r="V138" i="40"/>
  <c r="CT138" i="40" s="1"/>
  <c r="N138" i="40"/>
  <c r="CN138" i="40" s="1"/>
  <c r="F138" i="40"/>
  <c r="AH138" i="40"/>
  <c r="J138" i="40"/>
  <c r="AJ138" i="40"/>
  <c r="AB138" i="40"/>
  <c r="T138" i="40"/>
  <c r="CR138" i="40" s="1"/>
  <c r="L138" i="40"/>
  <c r="CL138" i="40" s="1"/>
  <c r="R138" i="40"/>
  <c r="AH537" i="40"/>
  <c r="AD537" i="40"/>
  <c r="Z537" i="40"/>
  <c r="V537" i="40"/>
  <c r="CT537" i="40" s="1"/>
  <c r="R537" i="40"/>
  <c r="N537" i="40"/>
  <c r="CN537" i="40" s="1"/>
  <c r="J537" i="40"/>
  <c r="F537" i="40"/>
  <c r="AG537" i="40"/>
  <c r="AC537" i="40"/>
  <c r="Y537" i="40"/>
  <c r="U537" i="40"/>
  <c r="CS537" i="40" s="1"/>
  <c r="Q537" i="40"/>
  <c r="M537" i="40"/>
  <c r="CM537" i="40" s="1"/>
  <c r="I537" i="40"/>
  <c r="E537" i="40"/>
  <c r="AJ537" i="40"/>
  <c r="AB537" i="40"/>
  <c r="T537" i="40"/>
  <c r="CR537" i="40" s="1"/>
  <c r="L537" i="40"/>
  <c r="CL537" i="40" s="1"/>
  <c r="AI537" i="40"/>
  <c r="AA537" i="40"/>
  <c r="CI621" i="40" s="1"/>
  <c r="S537" i="40"/>
  <c r="K537" i="40"/>
  <c r="AF537" i="40"/>
  <c r="X537" i="40"/>
  <c r="P537" i="40"/>
  <c r="H537" i="40"/>
  <c r="AE537" i="40"/>
  <c r="W537" i="40"/>
  <c r="CU537" i="40" s="1"/>
  <c r="O537" i="40"/>
  <c r="CO537" i="40" s="1"/>
  <c r="G537" i="40"/>
  <c r="BL537" i="40"/>
  <c r="CB537" i="40"/>
  <c r="BM537" i="40"/>
  <c r="CC537" i="40"/>
  <c r="AW537" i="40"/>
  <c r="BN537" i="40"/>
  <c r="CD537" i="40"/>
  <c r="BG537" i="40"/>
  <c r="CJ537" i="40"/>
  <c r="JO537" i="40"/>
  <c r="BS537" i="40"/>
  <c r="IZ537" i="40"/>
  <c r="C538" i="40"/>
  <c r="BD537" i="40"/>
  <c r="DM537" i="40"/>
  <c r="BE537" i="40"/>
  <c r="DS537" i="40"/>
  <c r="BF537" i="40"/>
  <c r="DT537" i="40"/>
  <c r="BK537" i="40"/>
  <c r="HY537" i="40"/>
  <c r="BH537" i="40"/>
  <c r="DV537" i="40"/>
  <c r="BI537" i="40"/>
  <c r="DW537" i="40"/>
  <c r="BZ537" i="40"/>
  <c r="BC537" i="40"/>
  <c r="CE537" i="40"/>
  <c r="HZ537" i="40"/>
  <c r="JP537" i="40"/>
  <c r="AZ537" i="40"/>
  <c r="BP537" i="40"/>
  <c r="CF537" i="40"/>
  <c r="BA537" i="40"/>
  <c r="BQ537" i="40"/>
  <c r="CG537" i="40"/>
  <c r="BB537" i="40"/>
  <c r="BR537" i="40"/>
  <c r="CH537" i="40"/>
  <c r="BW537" i="40"/>
  <c r="AX537" i="40"/>
  <c r="IA537" i="40"/>
  <c r="IX537" i="40"/>
  <c r="BT537" i="40"/>
  <c r="BU537" i="40"/>
  <c r="BV537" i="40"/>
  <c r="DU537" i="40"/>
  <c r="BO537" i="40"/>
  <c r="IY537" i="40"/>
  <c r="A537" i="40"/>
  <c r="BX537" i="40"/>
  <c r="BY537" i="40"/>
  <c r="BJ537" i="40"/>
  <c r="CA537" i="40"/>
  <c r="CP536" i="40"/>
  <c r="AN536" i="40"/>
  <c r="AG238" i="40"/>
  <c r="AC238" i="40"/>
  <c r="Y238" i="40"/>
  <c r="U238" i="40"/>
  <c r="CS238" i="40" s="1"/>
  <c r="Q238" i="40"/>
  <c r="M238" i="40"/>
  <c r="CM238" i="40" s="1"/>
  <c r="I238" i="40"/>
  <c r="E238" i="40"/>
  <c r="AJ238" i="40"/>
  <c r="AF238" i="40"/>
  <c r="AB238" i="40"/>
  <c r="X238" i="40"/>
  <c r="T238" i="40"/>
  <c r="CR238" i="40" s="1"/>
  <c r="P238" i="40"/>
  <c r="L238" i="40"/>
  <c r="CL238" i="40" s="1"/>
  <c r="H238" i="40"/>
  <c r="AI238" i="40"/>
  <c r="AE238" i="40"/>
  <c r="AA238" i="40"/>
  <c r="CI322" i="40" s="1"/>
  <c r="W238" i="40"/>
  <c r="CU238" i="40" s="1"/>
  <c r="S238" i="40"/>
  <c r="O238" i="40"/>
  <c r="CO238" i="40" s="1"/>
  <c r="K238" i="40"/>
  <c r="G238" i="40"/>
  <c r="AH238" i="40"/>
  <c r="R238" i="40"/>
  <c r="AD238" i="40"/>
  <c r="N238" i="40"/>
  <c r="CN238" i="40" s="1"/>
  <c r="Z238" i="40"/>
  <c r="DB238" i="40" s="1"/>
  <c r="J238" i="40"/>
  <c r="V238" i="40"/>
  <c r="CT238" i="40" s="1"/>
  <c r="F238" i="40"/>
  <c r="AI437" i="40"/>
  <c r="AE437" i="40"/>
  <c r="AA437" i="40"/>
  <c r="W437" i="40"/>
  <c r="CU437" i="40" s="1"/>
  <c r="S437" i="40"/>
  <c r="O437" i="40"/>
  <c r="CO437" i="40" s="1"/>
  <c r="K437" i="40"/>
  <c r="G437" i="40"/>
  <c r="AH437" i="40"/>
  <c r="AD437" i="40"/>
  <c r="Z437" i="40"/>
  <c r="V437" i="40"/>
  <c r="CT437" i="40" s="1"/>
  <c r="R437" i="40"/>
  <c r="N437" i="40"/>
  <c r="CN437" i="40" s="1"/>
  <c r="J437" i="40"/>
  <c r="F437" i="40"/>
  <c r="AG437" i="40"/>
  <c r="AC437" i="40"/>
  <c r="Y437" i="40"/>
  <c r="U437" i="40"/>
  <c r="Q437" i="40"/>
  <c r="M437" i="40"/>
  <c r="CM437" i="40" s="1"/>
  <c r="I437" i="40"/>
  <c r="E437" i="40"/>
  <c r="AJ437" i="40"/>
  <c r="T437" i="40"/>
  <c r="CR437" i="40" s="1"/>
  <c r="AF437" i="40"/>
  <c r="P437" i="40"/>
  <c r="AB437" i="40"/>
  <c r="L437" i="40"/>
  <c r="CL437" i="40" s="1"/>
  <c r="X437" i="40"/>
  <c r="H437" i="40"/>
  <c r="AM536" i="40"/>
  <c r="CK536" i="40"/>
  <c r="CQ637" i="40"/>
  <c r="AO637" i="40"/>
  <c r="AJ338" i="40"/>
  <c r="AF338" i="40"/>
  <c r="AB338" i="40"/>
  <c r="X338" i="40"/>
  <c r="T338" i="40"/>
  <c r="CR338" i="40" s="1"/>
  <c r="P338" i="40"/>
  <c r="L338" i="40"/>
  <c r="CL338" i="40" s="1"/>
  <c r="H338" i="40"/>
  <c r="AH338" i="40"/>
  <c r="AD338" i="40"/>
  <c r="Z338" i="40"/>
  <c r="V338" i="40"/>
  <c r="CT338" i="40" s="1"/>
  <c r="R338" i="40"/>
  <c r="N338" i="40"/>
  <c r="CN338" i="40" s="1"/>
  <c r="J338" i="40"/>
  <c r="F338" i="40"/>
  <c r="AC338" i="40"/>
  <c r="U338" i="40"/>
  <c r="CS338" i="40" s="1"/>
  <c r="M338" i="40"/>
  <c r="CM338" i="40" s="1"/>
  <c r="E338" i="40"/>
  <c r="AI338" i="40"/>
  <c r="AA338" i="40"/>
  <c r="S338" i="40"/>
  <c r="K338" i="40"/>
  <c r="AG338" i="40"/>
  <c r="Y338" i="40"/>
  <c r="Q338" i="40"/>
  <c r="I338" i="40"/>
  <c r="G338" i="40"/>
  <c r="AE338" i="40"/>
  <c r="W338" i="40"/>
  <c r="CU338" i="40" s="1"/>
  <c r="O338" i="40"/>
  <c r="CO338" i="40" s="1"/>
  <c r="CQ536" i="40"/>
  <c r="AO536" i="40"/>
  <c r="CV536" i="40"/>
  <c r="DB536" i="40"/>
  <c r="AP637" i="40"/>
  <c r="AF638" i="40"/>
  <c r="DU638" i="40"/>
  <c r="BU638" i="40"/>
  <c r="BE638" i="40"/>
  <c r="M638" i="40"/>
  <c r="CM638" i="40" s="1"/>
  <c r="CB638" i="40"/>
  <c r="BL638" i="40"/>
  <c r="AB638" i="40"/>
  <c r="DW638" i="40"/>
  <c r="BW638" i="40"/>
  <c r="BG638" i="40"/>
  <c r="G638" i="40"/>
  <c r="N638" i="40"/>
  <c r="CN638" i="40" s="1"/>
  <c r="BJ638" i="40"/>
  <c r="BV638" i="40"/>
  <c r="JO638" i="40"/>
  <c r="H638" i="40"/>
  <c r="AI638" i="40"/>
  <c r="F638" i="40"/>
  <c r="CJ638" i="40"/>
  <c r="CG638" i="40"/>
  <c r="BQ638" i="40"/>
  <c r="BA638" i="40"/>
  <c r="A638" i="40"/>
  <c r="BX638" i="40"/>
  <c r="BH638" i="40"/>
  <c r="P638" i="40"/>
  <c r="DS638" i="40"/>
  <c r="BS638" i="40"/>
  <c r="BC638" i="40"/>
  <c r="CD638" i="40"/>
  <c r="DM638" i="40"/>
  <c r="J638" i="40"/>
  <c r="BF638" i="40"/>
  <c r="W638" i="40"/>
  <c r="CU638" i="40" s="1"/>
  <c r="JP638" i="40"/>
  <c r="I638" i="40"/>
  <c r="AJ638" i="40"/>
  <c r="AC638" i="40"/>
  <c r="CC638" i="40"/>
  <c r="BM638" i="40"/>
  <c r="AW638" i="40"/>
  <c r="DT638" i="40"/>
  <c r="BT638" i="40"/>
  <c r="BD638" i="40"/>
  <c r="L638" i="40"/>
  <c r="CL638" i="40" s="1"/>
  <c r="CE638" i="40"/>
  <c r="BO638" i="40"/>
  <c r="O638" i="40"/>
  <c r="CO638" i="40" s="1"/>
  <c r="BN638" i="40"/>
  <c r="BR638" i="40"/>
  <c r="CH638" i="40"/>
  <c r="BB638" i="40"/>
  <c r="KN638" i="40"/>
  <c r="AG638" i="40"/>
  <c r="C639" i="40"/>
  <c r="AX638" i="40"/>
  <c r="CF638" i="40"/>
  <c r="CA638" i="40"/>
  <c r="BZ638" i="40"/>
  <c r="AZ638" i="40"/>
  <c r="AE638" i="40"/>
  <c r="BY638" i="40"/>
  <c r="BP638" i="40"/>
  <c r="BK638" i="40"/>
  <c r="DV638" i="40"/>
  <c r="BI638" i="40"/>
  <c r="K638" i="40"/>
  <c r="AH638" i="40"/>
  <c r="R638" i="40"/>
  <c r="T638" i="40"/>
  <c r="CR638" i="40" s="1"/>
  <c r="Z638" i="40"/>
  <c r="Q638" i="40"/>
  <c r="S638" i="40"/>
  <c r="U638" i="40"/>
  <c r="CS638" i="40" s="1"/>
  <c r="X638" i="40"/>
  <c r="V638" i="40"/>
  <c r="CT638" i="40" s="1"/>
  <c r="AD638" i="40"/>
  <c r="AA638" i="40"/>
  <c r="E638" i="40"/>
  <c r="Y638" i="40"/>
  <c r="AP536" i="40"/>
  <c r="CV637" i="40"/>
  <c r="AN637" i="40"/>
  <c r="CP637" i="40"/>
  <c r="CK637" i="40"/>
  <c r="AM637" i="40"/>
  <c r="DB436" i="40"/>
  <c r="AP436" i="40"/>
  <c r="BY437" i="40"/>
  <c r="CA437" i="40"/>
  <c r="DV437" i="40"/>
  <c r="JP437" i="40"/>
  <c r="BM437" i="40"/>
  <c r="CC437" i="40"/>
  <c r="BJ437" i="40"/>
  <c r="BZ437" i="40"/>
  <c r="AX437" i="40"/>
  <c r="BO437" i="40"/>
  <c r="CE437" i="40"/>
  <c r="BL437" i="40"/>
  <c r="BP437" i="40"/>
  <c r="BT437" i="40"/>
  <c r="HY437" i="40"/>
  <c r="BQ437" i="40"/>
  <c r="CG437" i="40"/>
  <c r="BN437" i="40"/>
  <c r="CD437" i="40"/>
  <c r="BC437" i="40"/>
  <c r="BS437" i="40"/>
  <c r="CB437" i="40"/>
  <c r="DM437" i="40"/>
  <c r="JO437" i="40"/>
  <c r="IZ437" i="40"/>
  <c r="IY437" i="40"/>
  <c r="BI437" i="40"/>
  <c r="DW437" i="40"/>
  <c r="BV437" i="40"/>
  <c r="DT437" i="40"/>
  <c r="BA437" i="40"/>
  <c r="AW437" i="40"/>
  <c r="CJ437" i="40"/>
  <c r="CF437" i="40"/>
  <c r="C438" i="40"/>
  <c r="BF437" i="40"/>
  <c r="AZ437" i="40"/>
  <c r="BX437" i="40"/>
  <c r="BE437" i="40"/>
  <c r="BU437" i="40"/>
  <c r="DS437" i="40"/>
  <c r="BB437" i="40"/>
  <c r="BR437" i="40"/>
  <c r="CH437" i="40"/>
  <c r="BG437" i="40"/>
  <c r="BW437" i="40"/>
  <c r="DU437" i="40"/>
  <c r="A437" i="40"/>
  <c r="BH437" i="40"/>
  <c r="IA437" i="40"/>
  <c r="IX437" i="40"/>
  <c r="BK437" i="40"/>
  <c r="BD437" i="40"/>
  <c r="HZ437" i="40"/>
  <c r="CV436" i="40"/>
  <c r="AM436" i="40"/>
  <c r="CK436" i="40"/>
  <c r="CQ436" i="40"/>
  <c r="AO436" i="40"/>
  <c r="CP436" i="40"/>
  <c r="AN436" i="40"/>
  <c r="CK237" i="40"/>
  <c r="AM237" i="40"/>
  <c r="AN237" i="40"/>
  <c r="CP237" i="40"/>
  <c r="DM238" i="40"/>
  <c r="CH238" i="40"/>
  <c r="BG238" i="40"/>
  <c r="IZ238" i="40"/>
  <c r="BI238" i="40"/>
  <c r="DT238" i="40"/>
  <c r="AX238" i="40"/>
  <c r="JP238" i="40"/>
  <c r="BW238" i="40"/>
  <c r="BL238" i="40"/>
  <c r="BM238" i="40"/>
  <c r="BJ238" i="40"/>
  <c r="BZ238" i="40"/>
  <c r="DU238" i="40"/>
  <c r="IA238" i="40"/>
  <c r="JO238" i="40"/>
  <c r="AZ238" i="40"/>
  <c r="BP238" i="40"/>
  <c r="CF238" i="40"/>
  <c r="BA238" i="40"/>
  <c r="BQ238" i="40"/>
  <c r="CG238" i="40"/>
  <c r="AW238" i="40"/>
  <c r="BN238" i="40"/>
  <c r="CD238" i="40"/>
  <c r="BC238" i="40"/>
  <c r="CE238" i="40"/>
  <c r="HZ238" i="40"/>
  <c r="BD238" i="40"/>
  <c r="BT238" i="40"/>
  <c r="BE238" i="40"/>
  <c r="BU238" i="40"/>
  <c r="DS238" i="40"/>
  <c r="BB238" i="40"/>
  <c r="BR238" i="40"/>
  <c r="BS238" i="40"/>
  <c r="BK238" i="40"/>
  <c r="HY238" i="40"/>
  <c r="IY238" i="40"/>
  <c r="C239" i="40"/>
  <c r="BH238" i="40"/>
  <c r="BX238" i="40"/>
  <c r="DV238" i="40"/>
  <c r="BY238" i="40"/>
  <c r="DW238" i="40"/>
  <c r="BF238" i="40"/>
  <c r="BV238" i="40"/>
  <c r="CJ238" i="40"/>
  <c r="CA238" i="40"/>
  <c r="IX238" i="40"/>
  <c r="CB238" i="40"/>
  <c r="CC238" i="40"/>
  <c r="A238" i="40"/>
  <c r="BO238" i="40"/>
  <c r="CV237" i="40"/>
  <c r="CQ237" i="40"/>
  <c r="AO237" i="40"/>
  <c r="IC136" i="40"/>
  <c r="IO137" i="40"/>
  <c r="JA137" i="40" s="1"/>
  <c r="DB137" i="40"/>
  <c r="IQ137" i="40"/>
  <c r="JC137" i="40" s="1"/>
  <c r="HM137" i="40"/>
  <c r="HP137" i="40" s="1"/>
  <c r="HN137" i="40"/>
  <c r="HQ137" i="40" s="1"/>
  <c r="AP337" i="40"/>
  <c r="IP137" i="40"/>
  <c r="JB137" i="40" s="1"/>
  <c r="HS137" i="40"/>
  <c r="JH136" i="40"/>
  <c r="CV337" i="40"/>
  <c r="JM134" i="40"/>
  <c r="D136" i="40"/>
  <c r="AY136" i="40" s="1"/>
  <c r="AM137" i="40"/>
  <c r="CK137" i="40"/>
  <c r="JI136" i="40"/>
  <c r="AP137" i="40"/>
  <c r="HR137" i="40"/>
  <c r="AO337" i="40"/>
  <c r="CQ337" i="40"/>
  <c r="JJ135" i="40"/>
  <c r="JK135" i="40" s="1"/>
  <c r="JL135" i="40" s="1"/>
  <c r="CP137" i="40"/>
  <c r="HW137" i="40" s="1"/>
  <c r="AN137" i="40"/>
  <c r="IK138" i="40"/>
  <c r="IN138" i="40" s="1"/>
  <c r="II138" i="40"/>
  <c r="IL138" i="40" s="1"/>
  <c r="IJ138" i="40"/>
  <c r="IM138" i="40" s="1"/>
  <c r="JF138" i="40"/>
  <c r="HO138" i="40" s="1"/>
  <c r="C139" i="40"/>
  <c r="A138" i="40"/>
  <c r="AW138" i="40"/>
  <c r="BB138" i="40"/>
  <c r="BF138" i="40"/>
  <c r="BJ138" i="40"/>
  <c r="BN138" i="40"/>
  <c r="BR138" i="40"/>
  <c r="BV138" i="40"/>
  <c r="BZ138" i="40"/>
  <c r="CD138" i="40"/>
  <c r="CH138" i="40"/>
  <c r="DT138" i="40"/>
  <c r="AX138" i="40"/>
  <c r="BC138" i="40"/>
  <c r="BG138" i="40"/>
  <c r="BK138" i="40"/>
  <c r="BO138" i="40"/>
  <c r="BS138" i="40"/>
  <c r="BW138" i="40"/>
  <c r="CA138" i="40"/>
  <c r="CE138" i="40"/>
  <c r="CJ138" i="40"/>
  <c r="DU138" i="40"/>
  <c r="AZ138" i="40"/>
  <c r="BD138" i="40"/>
  <c r="BH138" i="40"/>
  <c r="BL138" i="40"/>
  <c r="BP138" i="40"/>
  <c r="BT138" i="40"/>
  <c r="BX138" i="40"/>
  <c r="CB138" i="40"/>
  <c r="CF138" i="40"/>
  <c r="DM138" i="40"/>
  <c r="DV138" i="40"/>
  <c r="BM138" i="40"/>
  <c r="CC138" i="40"/>
  <c r="BA138" i="40"/>
  <c r="BQ138" i="40"/>
  <c r="CG138" i="40"/>
  <c r="BE138" i="40"/>
  <c r="BU138" i="40"/>
  <c r="DS138" i="40"/>
  <c r="BY138" i="40"/>
  <c r="DW138" i="40"/>
  <c r="BI138" i="40"/>
  <c r="JO138" i="40"/>
  <c r="IZ138" i="40"/>
  <c r="HZ138" i="40"/>
  <c r="IA138" i="40"/>
  <c r="HY138" i="40"/>
  <c r="IX138" i="40"/>
  <c r="IY138" i="40"/>
  <c r="JP138" i="40"/>
  <c r="JG138" i="40"/>
  <c r="HU137" i="40"/>
  <c r="CP337" i="40"/>
  <c r="AN337" i="40"/>
  <c r="CK337" i="40"/>
  <c r="AM337" i="40"/>
  <c r="CV137" i="40"/>
  <c r="AK137" i="40"/>
  <c r="AL137" i="40"/>
  <c r="AO137" i="40"/>
  <c r="CQ137" i="40"/>
  <c r="HT137" i="40"/>
  <c r="DB337" i="40"/>
  <c r="C339" i="40"/>
  <c r="A338" i="40"/>
  <c r="AZ338" i="40"/>
  <c r="BD338" i="40"/>
  <c r="BH338" i="40"/>
  <c r="BL338" i="40"/>
  <c r="BP338" i="40"/>
  <c r="BT338" i="40"/>
  <c r="BX338" i="40"/>
  <c r="CB338" i="40"/>
  <c r="CF338" i="40"/>
  <c r="DM338" i="40"/>
  <c r="DV338" i="40"/>
  <c r="BA338" i="40"/>
  <c r="BE338" i="40"/>
  <c r="BI338" i="40"/>
  <c r="BM338" i="40"/>
  <c r="BQ338" i="40"/>
  <c r="BU338" i="40"/>
  <c r="BY338" i="40"/>
  <c r="CC338" i="40"/>
  <c r="CG338" i="40"/>
  <c r="DS338" i="40"/>
  <c r="DW338" i="40"/>
  <c r="AW338" i="40"/>
  <c r="BB338" i="40"/>
  <c r="BF338" i="40"/>
  <c r="BJ338" i="40"/>
  <c r="BN338" i="40"/>
  <c r="BR338" i="40"/>
  <c r="BV338" i="40"/>
  <c r="BZ338" i="40"/>
  <c r="CD338" i="40"/>
  <c r="CH338" i="40"/>
  <c r="DT338" i="40"/>
  <c r="BK338" i="40"/>
  <c r="CA338" i="40"/>
  <c r="AX338" i="40"/>
  <c r="BO338" i="40"/>
  <c r="CE338" i="40"/>
  <c r="BC338" i="40"/>
  <c r="BS338" i="40"/>
  <c r="CJ338" i="40"/>
  <c r="BG338" i="40"/>
  <c r="BW338" i="40"/>
  <c r="JO338" i="40"/>
  <c r="DU338" i="40"/>
  <c r="IY338" i="40"/>
  <c r="IX338" i="40"/>
  <c r="IZ338" i="40"/>
  <c r="IA338" i="40"/>
  <c r="HY338" i="40"/>
  <c r="HZ338" i="40"/>
  <c r="JP338" i="40"/>
  <c r="KO133" i="40"/>
  <c r="CI521" i="40" l="1"/>
  <c r="CI222" i="40"/>
  <c r="CI422" i="40"/>
  <c r="CI138" i="40"/>
  <c r="IA637" i="40"/>
  <c r="IZ637" i="40" s="1"/>
  <c r="JJ136" i="40"/>
  <c r="JK136" i="40" s="1"/>
  <c r="JL136" i="40" s="1"/>
  <c r="DB138" i="40"/>
  <c r="HZ637" i="40"/>
  <c r="IY637" i="40" s="1"/>
  <c r="HY637" i="40"/>
  <c r="IX637" i="40" s="1"/>
  <c r="AP437" i="40"/>
  <c r="CV238" i="40"/>
  <c r="DB537" i="40"/>
  <c r="DB437" i="40"/>
  <c r="CS437" i="40"/>
  <c r="CQ638" i="40"/>
  <c r="AO638" i="40"/>
  <c r="AO537" i="40"/>
  <c r="CQ537" i="40"/>
  <c r="CV537" i="40"/>
  <c r="AM537" i="40"/>
  <c r="CK537" i="40"/>
  <c r="AG139" i="40"/>
  <c r="AC139" i="40"/>
  <c r="Y139" i="40"/>
  <c r="U139" i="40"/>
  <c r="CS139" i="40" s="1"/>
  <c r="Q139" i="40"/>
  <c r="M139" i="40"/>
  <c r="CM139" i="40" s="1"/>
  <c r="I139" i="40"/>
  <c r="E139" i="40"/>
  <c r="AI139" i="40"/>
  <c r="AE139" i="40"/>
  <c r="AA139" i="40"/>
  <c r="W139" i="40"/>
  <c r="CU139" i="40" s="1"/>
  <c r="S139" i="40"/>
  <c r="O139" i="40"/>
  <c r="CO139" i="40" s="1"/>
  <c r="K139" i="40"/>
  <c r="G139" i="40"/>
  <c r="AF139" i="40"/>
  <c r="X139" i="40"/>
  <c r="P139" i="40"/>
  <c r="H139" i="40"/>
  <c r="AH139" i="40"/>
  <c r="J139" i="40"/>
  <c r="AD139" i="40"/>
  <c r="V139" i="40"/>
  <c r="CT139" i="40" s="1"/>
  <c r="N139" i="40"/>
  <c r="CN139" i="40" s="1"/>
  <c r="F139" i="40"/>
  <c r="Z139" i="40"/>
  <c r="AJ139" i="40"/>
  <c r="AB139" i="40"/>
  <c r="T139" i="40"/>
  <c r="CR139" i="40" s="1"/>
  <c r="L139" i="40"/>
  <c r="CL139" i="40" s="1"/>
  <c r="R139" i="40"/>
  <c r="CV638" i="40"/>
  <c r="AN638" i="40"/>
  <c r="CP638" i="40"/>
  <c r="AP537" i="40"/>
  <c r="AJ339" i="40"/>
  <c r="AF339" i="40"/>
  <c r="AB339" i="40"/>
  <c r="X339" i="40"/>
  <c r="T339" i="40"/>
  <c r="CR339" i="40" s="1"/>
  <c r="P339" i="40"/>
  <c r="L339" i="40"/>
  <c r="CL339" i="40" s="1"/>
  <c r="H339" i="40"/>
  <c r="AH339" i="40"/>
  <c r="AD339" i="40"/>
  <c r="Z339" i="40"/>
  <c r="V339" i="40"/>
  <c r="CT339" i="40" s="1"/>
  <c r="R339" i="40"/>
  <c r="N339" i="40"/>
  <c r="CN339" i="40" s="1"/>
  <c r="J339" i="40"/>
  <c r="F339" i="40"/>
  <c r="AC339" i="40"/>
  <c r="U339" i="40"/>
  <c r="CS339" i="40" s="1"/>
  <c r="M339" i="40"/>
  <c r="CM339" i="40" s="1"/>
  <c r="E339" i="40"/>
  <c r="AI339" i="40"/>
  <c r="AA339" i="40"/>
  <c r="S339" i="40"/>
  <c r="K339" i="40"/>
  <c r="AG339" i="40"/>
  <c r="Y339" i="40"/>
  <c r="Q339" i="40"/>
  <c r="I339" i="40"/>
  <c r="G339" i="40"/>
  <c r="AE339" i="40"/>
  <c r="W339" i="40"/>
  <c r="CU339" i="40" s="1"/>
  <c r="O339" i="40"/>
  <c r="CO339" i="40" s="1"/>
  <c r="AG239" i="40"/>
  <c r="AC239" i="40"/>
  <c r="Y239" i="40"/>
  <c r="U239" i="40"/>
  <c r="CS239" i="40" s="1"/>
  <c r="Q239" i="40"/>
  <c r="M239" i="40"/>
  <c r="CM239" i="40" s="1"/>
  <c r="I239" i="40"/>
  <c r="E239" i="40"/>
  <c r="AJ239" i="40"/>
  <c r="AF239" i="40"/>
  <c r="AB239" i="40"/>
  <c r="X239" i="40"/>
  <c r="T239" i="40"/>
  <c r="CR239" i="40" s="1"/>
  <c r="P239" i="40"/>
  <c r="L239" i="40"/>
  <c r="CL239" i="40" s="1"/>
  <c r="H239" i="40"/>
  <c r="AI239" i="40"/>
  <c r="AE239" i="40"/>
  <c r="AA239" i="40"/>
  <c r="CI323" i="40" s="1"/>
  <c r="W239" i="40"/>
  <c r="CU239" i="40" s="1"/>
  <c r="S239" i="40"/>
  <c r="O239" i="40"/>
  <c r="CO239" i="40" s="1"/>
  <c r="K239" i="40"/>
  <c r="G239" i="40"/>
  <c r="AH239" i="40"/>
  <c r="R239" i="40"/>
  <c r="AD239" i="40"/>
  <c r="N239" i="40"/>
  <c r="CN239" i="40" s="1"/>
  <c r="Z239" i="40"/>
  <c r="J239" i="40"/>
  <c r="V239" i="40"/>
  <c r="CT239" i="40" s="1"/>
  <c r="F239" i="40"/>
  <c r="AI438" i="40"/>
  <c r="AE438" i="40"/>
  <c r="AA438" i="40"/>
  <c r="W438" i="40"/>
  <c r="CU438" i="40" s="1"/>
  <c r="S438" i="40"/>
  <c r="O438" i="40"/>
  <c r="CO438" i="40" s="1"/>
  <c r="K438" i="40"/>
  <c r="G438" i="40"/>
  <c r="AH438" i="40"/>
  <c r="AD438" i="40"/>
  <c r="Z438" i="40"/>
  <c r="V438" i="40"/>
  <c r="CT438" i="40" s="1"/>
  <c r="R438" i="40"/>
  <c r="N438" i="40"/>
  <c r="CN438" i="40" s="1"/>
  <c r="J438" i="40"/>
  <c r="F438" i="40"/>
  <c r="AG438" i="40"/>
  <c r="AC438" i="40"/>
  <c r="Y438" i="40"/>
  <c r="U438" i="40"/>
  <c r="CS438" i="40" s="1"/>
  <c r="Q438" i="40"/>
  <c r="M438" i="40"/>
  <c r="CM438" i="40" s="1"/>
  <c r="I438" i="40"/>
  <c r="E438" i="40"/>
  <c r="AJ438" i="40"/>
  <c r="T438" i="40"/>
  <c r="CR438" i="40" s="1"/>
  <c r="AF438" i="40"/>
  <c r="P438" i="40"/>
  <c r="AB438" i="40"/>
  <c r="L438" i="40"/>
  <c r="CL438" i="40" s="1"/>
  <c r="H438" i="40"/>
  <c r="X438" i="40"/>
  <c r="AP638" i="40"/>
  <c r="DB638" i="40"/>
  <c r="CK638" i="40"/>
  <c r="AM638" i="40"/>
  <c r="I639" i="40"/>
  <c r="AJ639" i="40"/>
  <c r="AC639" i="40"/>
  <c r="CJ639" i="40"/>
  <c r="DU639" i="40"/>
  <c r="BU639" i="40"/>
  <c r="BE639" i="40"/>
  <c r="M639" i="40"/>
  <c r="CM639" i="40" s="1"/>
  <c r="CB639" i="40"/>
  <c r="BL639" i="40"/>
  <c r="AB639" i="40"/>
  <c r="DW639" i="40"/>
  <c r="BW639" i="40"/>
  <c r="BG639" i="40"/>
  <c r="G639" i="40"/>
  <c r="BB639" i="40"/>
  <c r="AX639" i="40"/>
  <c r="BJ639" i="40"/>
  <c r="JO639" i="40"/>
  <c r="AE639" i="40"/>
  <c r="CG639" i="40"/>
  <c r="BQ639" i="40"/>
  <c r="BA639" i="40"/>
  <c r="A639" i="40"/>
  <c r="BX639" i="40"/>
  <c r="BH639" i="40"/>
  <c r="P639" i="40"/>
  <c r="DS639" i="40"/>
  <c r="BS639" i="40"/>
  <c r="BC639" i="40"/>
  <c r="DM639" i="40"/>
  <c r="BV639" i="40"/>
  <c r="N639" i="40"/>
  <c r="CN639" i="40" s="1"/>
  <c r="J639" i="40"/>
  <c r="JP639" i="40"/>
  <c r="AF639" i="40"/>
  <c r="CC639" i="40"/>
  <c r="BM639" i="40"/>
  <c r="AW639" i="40"/>
  <c r="DT639" i="40"/>
  <c r="BT639" i="40"/>
  <c r="BD639" i="40"/>
  <c r="L639" i="40"/>
  <c r="CL639" i="40" s="1"/>
  <c r="CE639" i="40"/>
  <c r="BO639" i="40"/>
  <c r="O639" i="40"/>
  <c r="CO639" i="40" s="1"/>
  <c r="CH639" i="40"/>
  <c r="CD639" i="40"/>
  <c r="DV639" i="40"/>
  <c r="BF639" i="40"/>
  <c r="R639" i="40"/>
  <c r="W639" i="40"/>
  <c r="CU639" i="40" s="1"/>
  <c r="H639" i="40"/>
  <c r="BY639" i="40"/>
  <c r="BP639" i="40"/>
  <c r="BK639" i="40"/>
  <c r="BZ639" i="40"/>
  <c r="AI639" i="40"/>
  <c r="F639" i="40"/>
  <c r="BI639" i="40"/>
  <c r="AZ639" i="40"/>
  <c r="K639" i="40"/>
  <c r="CF639" i="40"/>
  <c r="KN639" i="40"/>
  <c r="AG639" i="40"/>
  <c r="C640" i="40"/>
  <c r="BR639" i="40"/>
  <c r="BN639" i="40"/>
  <c r="CA639" i="40"/>
  <c r="T639" i="40"/>
  <c r="CR639" i="40" s="1"/>
  <c r="Z639" i="40"/>
  <c r="AH639" i="40"/>
  <c r="S639" i="40"/>
  <c r="X639" i="40"/>
  <c r="V639" i="40"/>
  <c r="CT639" i="40" s="1"/>
  <c r="U639" i="40"/>
  <c r="CS639" i="40" s="1"/>
  <c r="Q639" i="40"/>
  <c r="AD639" i="40"/>
  <c r="AA639" i="40"/>
  <c r="E639" i="40"/>
  <c r="Y639" i="40"/>
  <c r="AH538" i="40"/>
  <c r="AD538" i="40"/>
  <c r="Z538" i="40"/>
  <c r="V538" i="40"/>
  <c r="CT538" i="40" s="1"/>
  <c r="R538" i="40"/>
  <c r="N538" i="40"/>
  <c r="CN538" i="40" s="1"/>
  <c r="J538" i="40"/>
  <c r="F538" i="40"/>
  <c r="AG538" i="40"/>
  <c r="AC538" i="40"/>
  <c r="Y538" i="40"/>
  <c r="U538" i="40"/>
  <c r="CS538" i="40" s="1"/>
  <c r="Q538" i="40"/>
  <c r="M538" i="40"/>
  <c r="CM538" i="40" s="1"/>
  <c r="I538" i="40"/>
  <c r="E538" i="40"/>
  <c r="AJ538" i="40"/>
  <c r="AF538" i="40"/>
  <c r="AB538" i="40"/>
  <c r="X538" i="40"/>
  <c r="T538" i="40"/>
  <c r="CR538" i="40" s="1"/>
  <c r="W538" i="40"/>
  <c r="CU538" i="40" s="1"/>
  <c r="L538" i="40"/>
  <c r="CL538" i="40" s="1"/>
  <c r="AI538" i="40"/>
  <c r="S538" i="40"/>
  <c r="K538" i="40"/>
  <c r="AE538" i="40"/>
  <c r="P538" i="40"/>
  <c r="H538" i="40"/>
  <c r="AA538" i="40"/>
  <c r="O538" i="40"/>
  <c r="CO538" i="40" s="1"/>
  <c r="G538" i="40"/>
  <c r="BE538" i="40"/>
  <c r="BU538" i="40"/>
  <c r="AW538" i="40"/>
  <c r="BN538" i="40"/>
  <c r="CD538" i="40"/>
  <c r="BK538" i="40"/>
  <c r="CA538" i="40"/>
  <c r="BP538" i="40"/>
  <c r="BI538" i="40"/>
  <c r="BY538" i="40"/>
  <c r="DW538" i="40"/>
  <c r="BB538" i="40"/>
  <c r="BR538" i="40"/>
  <c r="CH538" i="40"/>
  <c r="AX538" i="40"/>
  <c r="BO538" i="40"/>
  <c r="CE538" i="40"/>
  <c r="BT538" i="40"/>
  <c r="BH538" i="40"/>
  <c r="HY538" i="40"/>
  <c r="IX538" i="40"/>
  <c r="C539" i="40"/>
  <c r="BM538" i="40"/>
  <c r="CC538" i="40"/>
  <c r="BF538" i="40"/>
  <c r="BV538" i="40"/>
  <c r="DT538" i="40"/>
  <c r="BC538" i="40"/>
  <c r="BS538" i="40"/>
  <c r="CJ538" i="40"/>
  <c r="DM538" i="40"/>
  <c r="BX538" i="40"/>
  <c r="BL538" i="40"/>
  <c r="HZ538" i="40"/>
  <c r="IY538" i="40"/>
  <c r="DS538" i="40"/>
  <c r="BD538" i="40"/>
  <c r="AZ538" i="40"/>
  <c r="IZ538" i="40"/>
  <c r="BA538" i="40"/>
  <c r="BQ538" i="40"/>
  <c r="CG538" i="40"/>
  <c r="BJ538" i="40"/>
  <c r="BZ538" i="40"/>
  <c r="A538" i="40"/>
  <c r="BG538" i="40"/>
  <c r="BW538" i="40"/>
  <c r="DU538" i="40"/>
  <c r="JO538" i="40"/>
  <c r="DV538" i="40"/>
  <c r="CB538" i="40"/>
  <c r="IA538" i="40"/>
  <c r="JP538" i="40"/>
  <c r="CF538" i="40"/>
  <c r="AN537" i="40"/>
  <c r="CP537" i="40"/>
  <c r="AW438" i="40"/>
  <c r="BN438" i="40"/>
  <c r="CD438" i="40"/>
  <c r="AX438" i="40"/>
  <c r="BO438" i="40"/>
  <c r="CE438" i="40"/>
  <c r="AZ438" i="40"/>
  <c r="BP438" i="40"/>
  <c r="CF438" i="40"/>
  <c r="BA438" i="40"/>
  <c r="JO438" i="40"/>
  <c r="HY438" i="40"/>
  <c r="IX438" i="40"/>
  <c r="BB438" i="40"/>
  <c r="BR438" i="40"/>
  <c r="CH438" i="40"/>
  <c r="BC438" i="40"/>
  <c r="BS438" i="40"/>
  <c r="CJ438" i="40"/>
  <c r="BD438" i="40"/>
  <c r="BT438" i="40"/>
  <c r="DM438" i="40"/>
  <c r="BI438" i="40"/>
  <c r="BM438" i="40"/>
  <c r="BQ438" i="40"/>
  <c r="BU438" i="40"/>
  <c r="IA438" i="40"/>
  <c r="IY438" i="40"/>
  <c r="C439" i="40"/>
  <c r="BF438" i="40"/>
  <c r="BV438" i="40"/>
  <c r="DT438" i="40"/>
  <c r="BG438" i="40"/>
  <c r="BW438" i="40"/>
  <c r="DU438" i="40"/>
  <c r="BH438" i="40"/>
  <c r="BX438" i="40"/>
  <c r="DV438" i="40"/>
  <c r="BY438" i="40"/>
  <c r="CC438" i="40"/>
  <c r="CG438" i="40"/>
  <c r="HZ438" i="40"/>
  <c r="JP438" i="40"/>
  <c r="BJ438" i="40"/>
  <c r="BZ438" i="40"/>
  <c r="A438" i="40"/>
  <c r="BK438" i="40"/>
  <c r="CA438" i="40"/>
  <c r="BL438" i="40"/>
  <c r="CB438" i="40"/>
  <c r="DW438" i="40"/>
  <c r="DS438" i="40"/>
  <c r="BE438" i="40"/>
  <c r="IZ438" i="40"/>
  <c r="CQ437" i="40"/>
  <c r="AO437" i="40"/>
  <c r="AP238" i="40"/>
  <c r="CP437" i="40"/>
  <c r="AN437" i="40"/>
  <c r="CV437" i="40"/>
  <c r="AM437" i="40"/>
  <c r="CK437" i="40"/>
  <c r="CK238" i="40"/>
  <c r="AM238" i="40"/>
  <c r="AN238" i="40"/>
  <c r="CP238" i="40"/>
  <c r="CQ238" i="40"/>
  <c r="AO238" i="40"/>
  <c r="AW239" i="40"/>
  <c r="BN239" i="40"/>
  <c r="CD239" i="40"/>
  <c r="BC239" i="40"/>
  <c r="BS239" i="40"/>
  <c r="CJ239" i="40"/>
  <c r="BD239" i="40"/>
  <c r="BT239" i="40"/>
  <c r="DM239" i="40"/>
  <c r="BQ239" i="40"/>
  <c r="BU239" i="40"/>
  <c r="BI239" i="40"/>
  <c r="CC239" i="40"/>
  <c r="IA239" i="40"/>
  <c r="BB239" i="40"/>
  <c r="BR239" i="40"/>
  <c r="CH239" i="40"/>
  <c r="BG239" i="40"/>
  <c r="BW239" i="40"/>
  <c r="DU239" i="40"/>
  <c r="BH239" i="40"/>
  <c r="BX239" i="40"/>
  <c r="DV239" i="40"/>
  <c r="CG239" i="40"/>
  <c r="DS239" i="40"/>
  <c r="BY239" i="40"/>
  <c r="IX239" i="40"/>
  <c r="HY239" i="40"/>
  <c r="IY239" i="40"/>
  <c r="C240" i="40"/>
  <c r="BF239" i="40"/>
  <c r="BV239" i="40"/>
  <c r="DT239" i="40"/>
  <c r="BK239" i="40"/>
  <c r="CA239" i="40"/>
  <c r="A239" i="40"/>
  <c r="BL239" i="40"/>
  <c r="CB239" i="40"/>
  <c r="DW239" i="40"/>
  <c r="JO239" i="40"/>
  <c r="IZ239" i="40"/>
  <c r="JP239" i="40"/>
  <c r="BJ239" i="40"/>
  <c r="BZ239" i="40"/>
  <c r="AX239" i="40"/>
  <c r="BO239" i="40"/>
  <c r="CE239" i="40"/>
  <c r="AZ239" i="40"/>
  <c r="BP239" i="40"/>
  <c r="CF239" i="40"/>
  <c r="BA239" i="40"/>
  <c r="BE239" i="40"/>
  <c r="BM239" i="40"/>
  <c r="HZ239" i="40"/>
  <c r="HN138" i="40"/>
  <c r="HQ138" i="40" s="1"/>
  <c r="IO138" i="40"/>
  <c r="JA138" i="40" s="1"/>
  <c r="D43" i="44" s="1"/>
  <c r="IC137" i="40"/>
  <c r="JH137" i="40"/>
  <c r="D137" i="40"/>
  <c r="AY137" i="40" s="1"/>
  <c r="JM135" i="40"/>
  <c r="CK338" i="40"/>
  <c r="AM338" i="40"/>
  <c r="AP338" i="40"/>
  <c r="C340" i="40"/>
  <c r="AW339" i="40"/>
  <c r="BB339" i="40"/>
  <c r="BF339" i="40"/>
  <c r="BJ339" i="40"/>
  <c r="BN339" i="40"/>
  <c r="BR339" i="40"/>
  <c r="BV339" i="40"/>
  <c r="BZ339" i="40"/>
  <c r="CD339" i="40"/>
  <c r="CH339" i="40"/>
  <c r="DT339" i="40"/>
  <c r="AX339" i="40"/>
  <c r="BC339" i="40"/>
  <c r="BG339" i="40"/>
  <c r="BK339" i="40"/>
  <c r="BO339" i="40"/>
  <c r="BS339" i="40"/>
  <c r="BW339" i="40"/>
  <c r="CA339" i="40"/>
  <c r="CE339" i="40"/>
  <c r="CJ339" i="40"/>
  <c r="DU339" i="40"/>
  <c r="A339" i="40"/>
  <c r="AZ339" i="40"/>
  <c r="BD339" i="40"/>
  <c r="BH339" i="40"/>
  <c r="BL339" i="40"/>
  <c r="BP339" i="40"/>
  <c r="BT339" i="40"/>
  <c r="BX339" i="40"/>
  <c r="CB339" i="40"/>
  <c r="CF339" i="40"/>
  <c r="DM339" i="40"/>
  <c r="DV339" i="40"/>
  <c r="BI339" i="40"/>
  <c r="BY339" i="40"/>
  <c r="DW339" i="40"/>
  <c r="BM339" i="40"/>
  <c r="CC339" i="40"/>
  <c r="BA339" i="40"/>
  <c r="BQ339" i="40"/>
  <c r="CG339" i="40"/>
  <c r="BE339" i="40"/>
  <c r="BU339" i="40"/>
  <c r="JO339" i="40"/>
  <c r="DS339" i="40"/>
  <c r="IY339" i="40"/>
  <c r="IX339" i="40"/>
  <c r="IZ339" i="40"/>
  <c r="HY339" i="40"/>
  <c r="HZ339" i="40"/>
  <c r="IA339" i="40"/>
  <c r="JP339" i="40"/>
  <c r="JI137" i="40"/>
  <c r="AP138" i="40"/>
  <c r="IP138" i="40"/>
  <c r="JB138" i="40" s="1"/>
  <c r="E43" i="44" s="1"/>
  <c r="HS138" i="40"/>
  <c r="CQ338" i="40"/>
  <c r="AO338" i="40"/>
  <c r="DB338" i="40"/>
  <c r="CV338" i="40"/>
  <c r="CP138" i="40"/>
  <c r="HW138" i="40" s="1"/>
  <c r="AN138" i="40"/>
  <c r="HM138" i="40"/>
  <c r="HP138" i="40" s="1"/>
  <c r="IQ138" i="40"/>
  <c r="JC138" i="40" s="1"/>
  <c r="IK139" i="40"/>
  <c r="IN139" i="40" s="1"/>
  <c r="IJ139" i="40"/>
  <c r="IM139" i="40" s="1"/>
  <c r="JF139" i="40"/>
  <c r="HO139" i="40" s="1"/>
  <c r="HR139" i="40" s="1"/>
  <c r="II139" i="40"/>
  <c r="IL139" i="40" s="1"/>
  <c r="C140" i="40"/>
  <c r="A139" i="40"/>
  <c r="AW139" i="40"/>
  <c r="BB139" i="40"/>
  <c r="BF139" i="40"/>
  <c r="BJ139" i="40"/>
  <c r="BN139" i="40"/>
  <c r="BR139" i="40"/>
  <c r="BV139" i="40"/>
  <c r="BZ139" i="40"/>
  <c r="CD139" i="40"/>
  <c r="CH139" i="40"/>
  <c r="DT139" i="40"/>
  <c r="AZ139" i="40"/>
  <c r="BD139" i="40"/>
  <c r="BH139" i="40"/>
  <c r="BL139" i="40"/>
  <c r="BP139" i="40"/>
  <c r="BT139" i="40"/>
  <c r="BX139" i="40"/>
  <c r="CB139" i="40"/>
  <c r="CF139" i="40"/>
  <c r="DM139" i="40"/>
  <c r="DV139" i="40"/>
  <c r="BC139" i="40"/>
  <c r="BK139" i="40"/>
  <c r="BS139" i="40"/>
  <c r="CA139" i="40"/>
  <c r="CJ139" i="40"/>
  <c r="BE139" i="40"/>
  <c r="BM139" i="40"/>
  <c r="BU139" i="40"/>
  <c r="CC139" i="40"/>
  <c r="DS139" i="40"/>
  <c r="AX139" i="40"/>
  <c r="BG139" i="40"/>
  <c r="BO139" i="40"/>
  <c r="BW139" i="40"/>
  <c r="CE139" i="40"/>
  <c r="DU139" i="40"/>
  <c r="BI139" i="40"/>
  <c r="DW139" i="40"/>
  <c r="BQ139" i="40"/>
  <c r="BY139" i="40"/>
  <c r="BA139" i="40"/>
  <c r="CG139" i="40"/>
  <c r="JO139" i="40"/>
  <c r="IA139" i="40"/>
  <c r="IZ139" i="40"/>
  <c r="IX139" i="40"/>
  <c r="HZ139" i="40"/>
  <c r="HY139" i="40"/>
  <c r="IY139" i="40"/>
  <c r="JP139" i="40"/>
  <c r="JG139" i="40"/>
  <c r="HU138" i="40"/>
  <c r="KO134" i="40"/>
  <c r="HV137" i="40"/>
  <c r="E42" i="44"/>
  <c r="CV138" i="40"/>
  <c r="AL138" i="40"/>
  <c r="AK138" i="40"/>
  <c r="CQ138" i="40"/>
  <c r="AO138" i="40"/>
  <c r="HR138" i="40"/>
  <c r="HX137" i="40"/>
  <c r="AN338" i="40"/>
  <c r="CP338" i="40"/>
  <c r="AM138" i="40"/>
  <c r="CK138" i="40"/>
  <c r="HT138" i="40"/>
  <c r="CI223" i="40" l="1"/>
  <c r="CI622" i="40"/>
  <c r="CI423" i="40"/>
  <c r="CI522" i="40"/>
  <c r="CI139" i="40"/>
  <c r="DB239" i="40"/>
  <c r="HZ638" i="40"/>
  <c r="IY638" i="40" s="1"/>
  <c r="IA638" i="40"/>
  <c r="IZ638" i="40" s="1"/>
  <c r="CV438" i="40"/>
  <c r="CV639" i="40"/>
  <c r="DB538" i="40"/>
  <c r="HY638" i="40"/>
  <c r="IX638" i="40" s="1"/>
  <c r="DB639" i="40"/>
  <c r="CV239" i="40"/>
  <c r="DB139" i="40"/>
  <c r="CQ538" i="40"/>
  <c r="AO538" i="40"/>
  <c r="CP538" i="40"/>
  <c r="AN538" i="40"/>
  <c r="AP639" i="40"/>
  <c r="AF640" i="40"/>
  <c r="DV640" i="40"/>
  <c r="DT640" i="40"/>
  <c r="CD640" i="40"/>
  <c r="BM640" i="40"/>
  <c r="AW640" i="40"/>
  <c r="CC640" i="40"/>
  <c r="BL640" i="40"/>
  <c r="AB640" i="40"/>
  <c r="CG640" i="40"/>
  <c r="BO640" i="40"/>
  <c r="O640" i="40"/>
  <c r="CO640" i="40" s="1"/>
  <c r="BV640" i="40"/>
  <c r="BR640" i="40"/>
  <c r="BN640" i="40"/>
  <c r="JO640" i="40"/>
  <c r="H640" i="40"/>
  <c r="AI640" i="40"/>
  <c r="F640" i="40"/>
  <c r="DM640" i="40"/>
  <c r="CF640" i="40"/>
  <c r="BY640" i="40"/>
  <c r="BI640" i="40"/>
  <c r="AG640" i="40"/>
  <c r="BX640" i="40"/>
  <c r="BH640" i="40"/>
  <c r="P640" i="40"/>
  <c r="CA640" i="40"/>
  <c r="BK640" i="40"/>
  <c r="K640" i="40"/>
  <c r="BF640" i="40"/>
  <c r="BB640" i="40"/>
  <c r="AX640" i="40"/>
  <c r="JP640" i="40"/>
  <c r="I640" i="40"/>
  <c r="AJ640" i="40"/>
  <c r="AC640" i="40"/>
  <c r="CH640" i="40"/>
  <c r="CB640" i="40"/>
  <c r="BU640" i="40"/>
  <c r="BE640" i="40"/>
  <c r="M640" i="40"/>
  <c r="CM640" i="40" s="1"/>
  <c r="BT640" i="40"/>
  <c r="BD640" i="40"/>
  <c r="L640" i="40"/>
  <c r="CL640" i="40" s="1"/>
  <c r="BW640" i="40"/>
  <c r="BG640" i="40"/>
  <c r="G640" i="40"/>
  <c r="BJ640" i="40"/>
  <c r="BZ640" i="40"/>
  <c r="N640" i="40"/>
  <c r="CN640" i="40" s="1"/>
  <c r="KN640" i="40"/>
  <c r="BQ640" i="40"/>
  <c r="AZ640" i="40"/>
  <c r="DS640" i="40"/>
  <c r="W640" i="40"/>
  <c r="CU640" i="40" s="1"/>
  <c r="CJ640" i="40"/>
  <c r="BA640" i="40"/>
  <c r="DW640" i="40"/>
  <c r="J640" i="40"/>
  <c r="AE640" i="40"/>
  <c r="BP640" i="40"/>
  <c r="DU640" i="40"/>
  <c r="A640" i="40"/>
  <c r="BS640" i="40"/>
  <c r="CE640" i="40"/>
  <c r="C641" i="40"/>
  <c r="BC640" i="40"/>
  <c r="Z640" i="40"/>
  <c r="T640" i="40"/>
  <c r="CR640" i="40" s="1"/>
  <c r="AH640" i="40"/>
  <c r="R640" i="40"/>
  <c r="V640" i="40"/>
  <c r="CT640" i="40" s="1"/>
  <c r="U640" i="40"/>
  <c r="CS640" i="40" s="1"/>
  <c r="X640" i="40"/>
  <c r="Q640" i="40"/>
  <c r="S640" i="40"/>
  <c r="AD640" i="40"/>
  <c r="AA640" i="40"/>
  <c r="E640" i="40"/>
  <c r="Y640" i="40"/>
  <c r="CK639" i="40"/>
  <c r="AM639" i="40"/>
  <c r="AJ340" i="40"/>
  <c r="AF340" i="40"/>
  <c r="AB340" i="40"/>
  <c r="X340" i="40"/>
  <c r="T340" i="40"/>
  <c r="P340" i="40"/>
  <c r="L340" i="40"/>
  <c r="CL340" i="40" s="1"/>
  <c r="H340" i="40"/>
  <c r="AH340" i="40"/>
  <c r="AD340" i="40"/>
  <c r="Z340" i="40"/>
  <c r="V340" i="40"/>
  <c r="CT340" i="40" s="1"/>
  <c r="R340" i="40"/>
  <c r="N340" i="40"/>
  <c r="CN340" i="40" s="1"/>
  <c r="J340" i="40"/>
  <c r="F340" i="40"/>
  <c r="AC340" i="40"/>
  <c r="U340" i="40"/>
  <c r="CS340" i="40" s="1"/>
  <c r="M340" i="40"/>
  <c r="CM340" i="40" s="1"/>
  <c r="E340" i="40"/>
  <c r="AI340" i="40"/>
  <c r="AA340" i="40"/>
  <c r="S340" i="40"/>
  <c r="K340" i="40"/>
  <c r="AG340" i="40"/>
  <c r="Y340" i="40"/>
  <c r="Q340" i="40"/>
  <c r="I340" i="40"/>
  <c r="G340" i="40"/>
  <c r="AE340" i="40"/>
  <c r="W340" i="40"/>
  <c r="CU340" i="40" s="1"/>
  <c r="O340" i="40"/>
  <c r="CO340" i="40" s="1"/>
  <c r="AH539" i="40"/>
  <c r="AD539" i="40"/>
  <c r="Z539" i="40"/>
  <c r="V539" i="40"/>
  <c r="CT539" i="40" s="1"/>
  <c r="R539" i="40"/>
  <c r="N539" i="40"/>
  <c r="CN539" i="40" s="1"/>
  <c r="J539" i="40"/>
  <c r="F539" i="40"/>
  <c r="AG539" i="40"/>
  <c r="AC539" i="40"/>
  <c r="Y539" i="40"/>
  <c r="U539" i="40"/>
  <c r="CS539" i="40" s="1"/>
  <c r="Q539" i="40"/>
  <c r="M539" i="40"/>
  <c r="CM539" i="40" s="1"/>
  <c r="I539" i="40"/>
  <c r="E539" i="40"/>
  <c r="AJ539" i="40"/>
  <c r="AF539" i="40"/>
  <c r="AB539" i="40"/>
  <c r="X539" i="40"/>
  <c r="T539" i="40"/>
  <c r="CR539" i="40" s="1"/>
  <c r="P539" i="40"/>
  <c r="L539" i="40"/>
  <c r="CL539" i="40" s="1"/>
  <c r="H539" i="40"/>
  <c r="W539" i="40"/>
  <c r="CU539" i="40" s="1"/>
  <c r="G539" i="40"/>
  <c r="AI539" i="40"/>
  <c r="S539" i="40"/>
  <c r="AE539" i="40"/>
  <c r="O539" i="40"/>
  <c r="CO539" i="40" s="1"/>
  <c r="K539" i="40"/>
  <c r="AA539" i="40"/>
  <c r="C540" i="40"/>
  <c r="BC539" i="40"/>
  <c r="BS539" i="40"/>
  <c r="CJ539" i="40"/>
  <c r="AZ539" i="40"/>
  <c r="BP539" i="40"/>
  <c r="CF539" i="40"/>
  <c r="BA539" i="40"/>
  <c r="BQ539" i="40"/>
  <c r="CG539" i="40"/>
  <c r="BR539" i="40"/>
  <c r="BV539" i="40"/>
  <c r="BZ539" i="40"/>
  <c r="IA539" i="40"/>
  <c r="IX539" i="40"/>
  <c r="BG539" i="40"/>
  <c r="BW539" i="40"/>
  <c r="DU539" i="40"/>
  <c r="BD539" i="40"/>
  <c r="BT539" i="40"/>
  <c r="DM539" i="40"/>
  <c r="BE539" i="40"/>
  <c r="BU539" i="40"/>
  <c r="DS539" i="40"/>
  <c r="CH539" i="40"/>
  <c r="DT539" i="40"/>
  <c r="AW539" i="40"/>
  <c r="HZ539" i="40"/>
  <c r="JP539" i="40"/>
  <c r="AX539" i="40"/>
  <c r="BO539" i="40"/>
  <c r="CE539" i="40"/>
  <c r="BL539" i="40"/>
  <c r="CB539" i="40"/>
  <c r="BM539" i="40"/>
  <c r="CC539" i="40"/>
  <c r="BB539" i="40"/>
  <c r="BF539" i="40"/>
  <c r="BJ539" i="40"/>
  <c r="HY539" i="40"/>
  <c r="IY539" i="40"/>
  <c r="BK539" i="40"/>
  <c r="CA539" i="40"/>
  <c r="A539" i="40"/>
  <c r="BH539" i="40"/>
  <c r="BX539" i="40"/>
  <c r="DV539" i="40"/>
  <c r="BI539" i="40"/>
  <c r="BY539" i="40"/>
  <c r="DW539" i="40"/>
  <c r="BN539" i="40"/>
  <c r="JO539" i="40"/>
  <c r="CD539" i="40"/>
  <c r="IZ539" i="40"/>
  <c r="CK538" i="40"/>
  <c r="AM538" i="40"/>
  <c r="AI439" i="40"/>
  <c r="AE439" i="40"/>
  <c r="AA439" i="40"/>
  <c r="W439" i="40"/>
  <c r="CU439" i="40" s="1"/>
  <c r="S439" i="40"/>
  <c r="O439" i="40"/>
  <c r="CO439" i="40" s="1"/>
  <c r="K439" i="40"/>
  <c r="G439" i="40"/>
  <c r="AH439" i="40"/>
  <c r="AD439" i="40"/>
  <c r="Z439" i="40"/>
  <c r="V439" i="40"/>
  <c r="CT439" i="40" s="1"/>
  <c r="R439" i="40"/>
  <c r="N439" i="40"/>
  <c r="CN439" i="40" s="1"/>
  <c r="J439" i="40"/>
  <c r="F439" i="40"/>
  <c r="AG439" i="40"/>
  <c r="AC439" i="40"/>
  <c r="Y439" i="40"/>
  <c r="U439" i="40"/>
  <c r="CS439" i="40" s="1"/>
  <c r="Q439" i="40"/>
  <c r="M439" i="40"/>
  <c r="CM439" i="40" s="1"/>
  <c r="I439" i="40"/>
  <c r="E439" i="40"/>
  <c r="AJ439" i="40"/>
  <c r="T439" i="40"/>
  <c r="CR439" i="40" s="1"/>
  <c r="AF439" i="40"/>
  <c r="P439" i="40"/>
  <c r="AB439" i="40"/>
  <c r="L439" i="40"/>
  <c r="CL439" i="40" s="1"/>
  <c r="X439" i="40"/>
  <c r="H439" i="40"/>
  <c r="AP538" i="40"/>
  <c r="AN639" i="40"/>
  <c r="CP639" i="40"/>
  <c r="AO639" i="40"/>
  <c r="CQ639" i="40"/>
  <c r="AG140" i="40"/>
  <c r="AC140" i="40"/>
  <c r="Y140" i="40"/>
  <c r="U140" i="40"/>
  <c r="CS140" i="40" s="1"/>
  <c r="Q140" i="40"/>
  <c r="M140" i="40"/>
  <c r="CM140" i="40" s="1"/>
  <c r="I140" i="40"/>
  <c r="E140" i="40"/>
  <c r="AI140" i="40"/>
  <c r="AE140" i="40"/>
  <c r="AA140" i="40"/>
  <c r="W140" i="40"/>
  <c r="CU140" i="40" s="1"/>
  <c r="S140" i="40"/>
  <c r="O140" i="40"/>
  <c r="CO140" i="40" s="1"/>
  <c r="K140" i="40"/>
  <c r="G140" i="40"/>
  <c r="AF140" i="40"/>
  <c r="X140" i="40"/>
  <c r="P140" i="40"/>
  <c r="H140" i="40"/>
  <c r="Z140" i="40"/>
  <c r="AD140" i="40"/>
  <c r="V140" i="40"/>
  <c r="CT140" i="40" s="1"/>
  <c r="N140" i="40"/>
  <c r="CN140" i="40" s="1"/>
  <c r="F140" i="40"/>
  <c r="AH140" i="40"/>
  <c r="J140" i="40"/>
  <c r="AJ140" i="40"/>
  <c r="AB140" i="40"/>
  <c r="T140" i="40"/>
  <c r="CR140" i="40" s="1"/>
  <c r="L140" i="40"/>
  <c r="CL140" i="40" s="1"/>
  <c r="R140" i="40"/>
  <c r="AG240" i="40"/>
  <c r="AC240" i="40"/>
  <c r="Y240" i="40"/>
  <c r="U240" i="40"/>
  <c r="CS240" i="40" s="1"/>
  <c r="Q240" i="40"/>
  <c r="M240" i="40"/>
  <c r="CM240" i="40" s="1"/>
  <c r="I240" i="40"/>
  <c r="E240" i="40"/>
  <c r="AJ240" i="40"/>
  <c r="AF240" i="40"/>
  <c r="AB240" i="40"/>
  <c r="X240" i="40"/>
  <c r="T240" i="40"/>
  <c r="CR240" i="40" s="1"/>
  <c r="P240" i="40"/>
  <c r="L240" i="40"/>
  <c r="CL240" i="40" s="1"/>
  <c r="H240" i="40"/>
  <c r="AI240" i="40"/>
  <c r="AE240" i="40"/>
  <c r="AA240" i="40"/>
  <c r="CI324" i="40" s="1"/>
  <c r="W240" i="40"/>
  <c r="CU240" i="40" s="1"/>
  <c r="S240" i="40"/>
  <c r="O240" i="40"/>
  <c r="CO240" i="40" s="1"/>
  <c r="K240" i="40"/>
  <c r="G240" i="40"/>
  <c r="AH240" i="40"/>
  <c r="R240" i="40"/>
  <c r="AD240" i="40"/>
  <c r="N240" i="40"/>
  <c r="CN240" i="40" s="1"/>
  <c r="Z240" i="40"/>
  <c r="J240" i="40"/>
  <c r="V240" i="40"/>
  <c r="CT240" i="40" s="1"/>
  <c r="F240" i="40"/>
  <c r="CV538" i="40"/>
  <c r="D138" i="40"/>
  <c r="AY138" i="40" s="1"/>
  <c r="CP438" i="40"/>
  <c r="AN438" i="40"/>
  <c r="CQ438" i="40"/>
  <c r="AO438" i="40"/>
  <c r="AZ439" i="40"/>
  <c r="BP439" i="40"/>
  <c r="CF439" i="40"/>
  <c r="BA439" i="40"/>
  <c r="BQ439" i="40"/>
  <c r="CG439" i="40"/>
  <c r="AW439" i="40"/>
  <c r="BN439" i="40"/>
  <c r="CD439" i="40"/>
  <c r="BG439" i="40"/>
  <c r="BK439" i="40"/>
  <c r="BO439" i="40"/>
  <c r="JO439" i="40"/>
  <c r="IA439" i="40"/>
  <c r="IY439" i="40"/>
  <c r="BD439" i="40"/>
  <c r="BT439" i="40"/>
  <c r="DM439" i="40"/>
  <c r="BE439" i="40"/>
  <c r="BU439" i="40"/>
  <c r="DS439" i="40"/>
  <c r="BB439" i="40"/>
  <c r="BR439" i="40"/>
  <c r="CH439" i="40"/>
  <c r="BW439" i="40"/>
  <c r="CA439" i="40"/>
  <c r="CE439" i="40"/>
  <c r="BC439" i="40"/>
  <c r="HY439" i="40"/>
  <c r="IX439" i="40"/>
  <c r="C440" i="40"/>
  <c r="BH439" i="40"/>
  <c r="BX439" i="40"/>
  <c r="DV439" i="40"/>
  <c r="BI439" i="40"/>
  <c r="BY439" i="40"/>
  <c r="DW439" i="40"/>
  <c r="BF439" i="40"/>
  <c r="BV439" i="40"/>
  <c r="DT439" i="40"/>
  <c r="DU439" i="40"/>
  <c r="CJ439" i="40"/>
  <c r="BS439" i="40"/>
  <c r="HZ439" i="40"/>
  <c r="JP439" i="40"/>
  <c r="A439" i="40"/>
  <c r="BL439" i="40"/>
  <c r="CB439" i="40"/>
  <c r="BM439" i="40"/>
  <c r="CC439" i="40"/>
  <c r="BJ439" i="40"/>
  <c r="BZ439" i="40"/>
  <c r="AX439" i="40"/>
  <c r="IZ439" i="40"/>
  <c r="DB438" i="40"/>
  <c r="AM438" i="40"/>
  <c r="CK438" i="40"/>
  <c r="AP438" i="40"/>
  <c r="AM239" i="40"/>
  <c r="CK239" i="40"/>
  <c r="CQ239" i="40"/>
  <c r="AO239" i="40"/>
  <c r="AN239" i="40"/>
  <c r="CP239" i="40"/>
  <c r="AP239" i="40"/>
  <c r="BC240" i="40"/>
  <c r="BS240" i="40"/>
  <c r="CJ240" i="40"/>
  <c r="BD240" i="40"/>
  <c r="BT240" i="40"/>
  <c r="DM240" i="40"/>
  <c r="BE240" i="40"/>
  <c r="BU240" i="40"/>
  <c r="DS240" i="40"/>
  <c r="BN240" i="40"/>
  <c r="BR240" i="40"/>
  <c r="BV240" i="40"/>
  <c r="IZ240" i="40"/>
  <c r="IA240" i="40"/>
  <c r="IY240" i="40"/>
  <c r="C241" i="40"/>
  <c r="BG240" i="40"/>
  <c r="BW240" i="40"/>
  <c r="DU240" i="40"/>
  <c r="BH240" i="40"/>
  <c r="BX240" i="40"/>
  <c r="DV240" i="40"/>
  <c r="BI240" i="40"/>
  <c r="BY240" i="40"/>
  <c r="DW240" i="40"/>
  <c r="CD240" i="40"/>
  <c r="CH240" i="40"/>
  <c r="DT240" i="40"/>
  <c r="HY240" i="40"/>
  <c r="JP240" i="40"/>
  <c r="A240" i="40"/>
  <c r="BK240" i="40"/>
  <c r="CA240" i="40"/>
  <c r="BL240" i="40"/>
  <c r="CB240" i="40"/>
  <c r="BM240" i="40"/>
  <c r="CC240" i="40"/>
  <c r="BJ240" i="40"/>
  <c r="JO240" i="40"/>
  <c r="IX240" i="40"/>
  <c r="AX240" i="40"/>
  <c r="BO240" i="40"/>
  <c r="CE240" i="40"/>
  <c r="AZ240" i="40"/>
  <c r="BP240" i="40"/>
  <c r="CF240" i="40"/>
  <c r="BA240" i="40"/>
  <c r="BQ240" i="40"/>
  <c r="CG240" i="40"/>
  <c r="AW240" i="40"/>
  <c r="BB240" i="40"/>
  <c r="BF240" i="40"/>
  <c r="BZ240" i="40"/>
  <c r="HZ240" i="40"/>
  <c r="HN139" i="40"/>
  <c r="HQ139" i="40" s="1"/>
  <c r="IQ139" i="40"/>
  <c r="JC139" i="40" s="1"/>
  <c r="IO139" i="40"/>
  <c r="JA139" i="40" s="1"/>
  <c r="HM139" i="40"/>
  <c r="HP139" i="40" s="1"/>
  <c r="CP139" i="40"/>
  <c r="HX139" i="40" s="1"/>
  <c r="AN139" i="40"/>
  <c r="JH138" i="40"/>
  <c r="HV138" i="40"/>
  <c r="CV339" i="40"/>
  <c r="AO339" i="40"/>
  <c r="CQ339" i="40"/>
  <c r="IC138" i="40"/>
  <c r="JJ137" i="40"/>
  <c r="JK137" i="40" s="1"/>
  <c r="JL137" i="40" s="1"/>
  <c r="CQ139" i="40"/>
  <c r="AO139" i="40"/>
  <c r="HT139" i="40"/>
  <c r="HX138" i="40"/>
  <c r="AN339" i="40"/>
  <c r="CP339" i="40"/>
  <c r="IP139" i="40"/>
  <c r="JB139" i="40" s="1"/>
  <c r="IK140" i="40"/>
  <c r="IN140" i="40" s="1"/>
  <c r="JF140" i="40"/>
  <c r="HO140" i="40" s="1"/>
  <c r="II140" i="40"/>
  <c r="IL140" i="40" s="1"/>
  <c r="C141" i="40"/>
  <c r="IJ140" i="40"/>
  <c r="IM140" i="40" s="1"/>
  <c r="A140" i="40"/>
  <c r="AW140" i="40"/>
  <c r="BB140" i="40"/>
  <c r="BF140" i="40"/>
  <c r="BJ140" i="40"/>
  <c r="BN140" i="40"/>
  <c r="BR140" i="40"/>
  <c r="BV140" i="40"/>
  <c r="BZ140" i="40"/>
  <c r="CD140" i="40"/>
  <c r="CH140" i="40"/>
  <c r="DT140" i="40"/>
  <c r="AZ140" i="40"/>
  <c r="AX140" i="40"/>
  <c r="BE140" i="40"/>
  <c r="BK140" i="40"/>
  <c r="BP140" i="40"/>
  <c r="BU140" i="40"/>
  <c r="CA140" i="40"/>
  <c r="CF140" i="40"/>
  <c r="DS140" i="40"/>
  <c r="BA140" i="40"/>
  <c r="BG140" i="40"/>
  <c r="BL140" i="40"/>
  <c r="BQ140" i="40"/>
  <c r="BW140" i="40"/>
  <c r="CB140" i="40"/>
  <c r="CG140" i="40"/>
  <c r="DU140" i="40"/>
  <c r="BC140" i="40"/>
  <c r="BH140" i="40"/>
  <c r="BM140" i="40"/>
  <c r="BS140" i="40"/>
  <c r="BX140" i="40"/>
  <c r="CC140" i="40"/>
  <c r="CJ140" i="40"/>
  <c r="DV140" i="40"/>
  <c r="BT140" i="40"/>
  <c r="DW140" i="40"/>
  <c r="BD140" i="40"/>
  <c r="BY140" i="40"/>
  <c r="BI140" i="40"/>
  <c r="CE140" i="40"/>
  <c r="BO140" i="40"/>
  <c r="DM140" i="40"/>
  <c r="JO140" i="40"/>
  <c r="IX140" i="40"/>
  <c r="HZ140" i="40"/>
  <c r="IZ140" i="40"/>
  <c r="IA140" i="40"/>
  <c r="HY140" i="40"/>
  <c r="IY140" i="40"/>
  <c r="JP140" i="40"/>
  <c r="JG140" i="40"/>
  <c r="HU139" i="40"/>
  <c r="JI138" i="40"/>
  <c r="CK339" i="40"/>
  <c r="AM339" i="40"/>
  <c r="JM136" i="40"/>
  <c r="CV139" i="40"/>
  <c r="AK139" i="40"/>
  <c r="AL139" i="40"/>
  <c r="AP139" i="40"/>
  <c r="AM139" i="40"/>
  <c r="CK139" i="40"/>
  <c r="HS139" i="40"/>
  <c r="DB339" i="40"/>
  <c r="AP339" i="40"/>
  <c r="C341" i="40"/>
  <c r="A340" i="40"/>
  <c r="AZ340" i="40"/>
  <c r="BD340" i="40"/>
  <c r="BH340" i="40"/>
  <c r="BL340" i="40"/>
  <c r="BP340" i="40"/>
  <c r="BT340" i="40"/>
  <c r="BX340" i="40"/>
  <c r="CB340" i="40"/>
  <c r="CF340" i="40"/>
  <c r="DM340" i="40"/>
  <c r="DV340" i="40"/>
  <c r="BA340" i="40"/>
  <c r="BE340" i="40"/>
  <c r="BI340" i="40"/>
  <c r="BM340" i="40"/>
  <c r="BQ340" i="40"/>
  <c r="BU340" i="40"/>
  <c r="BY340" i="40"/>
  <c r="CC340" i="40"/>
  <c r="CG340" i="40"/>
  <c r="DS340" i="40"/>
  <c r="DW340" i="40"/>
  <c r="AW340" i="40"/>
  <c r="BB340" i="40"/>
  <c r="BF340" i="40"/>
  <c r="BJ340" i="40"/>
  <c r="BN340" i="40"/>
  <c r="BR340" i="40"/>
  <c r="BV340" i="40"/>
  <c r="BZ340" i="40"/>
  <c r="CD340" i="40"/>
  <c r="CH340" i="40"/>
  <c r="DT340" i="40"/>
  <c r="BG340" i="40"/>
  <c r="BW340" i="40"/>
  <c r="DU340" i="40"/>
  <c r="BK340" i="40"/>
  <c r="CA340" i="40"/>
  <c r="AX340" i="40"/>
  <c r="BO340" i="40"/>
  <c r="CE340" i="40"/>
  <c r="BC340" i="40"/>
  <c r="BS340" i="40"/>
  <c r="CJ340" i="40"/>
  <c r="JO340" i="40"/>
  <c r="IY340" i="40"/>
  <c r="IZ340" i="40"/>
  <c r="IX340" i="40"/>
  <c r="HZ340" i="40"/>
  <c r="IA340" i="40"/>
  <c r="HY340" i="40"/>
  <c r="CR340" i="40"/>
  <c r="JP340" i="40"/>
  <c r="KO135" i="40"/>
  <c r="CI523" i="40" l="1"/>
  <c r="CI424" i="40"/>
  <c r="CI140" i="40"/>
  <c r="CI224" i="40"/>
  <c r="CI623" i="40"/>
  <c r="HZ639" i="40"/>
  <c r="IY639" i="40" s="1"/>
  <c r="IA639" i="40"/>
  <c r="IZ639" i="40" s="1"/>
  <c r="HY639" i="40"/>
  <c r="IX639" i="40" s="1"/>
  <c r="AP539" i="40"/>
  <c r="DB539" i="40"/>
  <c r="CV240" i="40"/>
  <c r="AP640" i="40"/>
  <c r="CK640" i="40"/>
  <c r="AM640" i="40"/>
  <c r="CV640" i="40"/>
  <c r="CQ640" i="40"/>
  <c r="AO640" i="40"/>
  <c r="DB640" i="40"/>
  <c r="AO539" i="40"/>
  <c r="CQ539" i="40"/>
  <c r="I641" i="40"/>
  <c r="AJ641" i="40"/>
  <c r="AC641" i="40"/>
  <c r="CD641" i="40"/>
  <c r="BN641" i="40"/>
  <c r="AX641" i="40"/>
  <c r="CG641" i="40"/>
  <c r="BQ641" i="40"/>
  <c r="BA641" i="40"/>
  <c r="A641" i="40"/>
  <c r="BX641" i="40"/>
  <c r="BH641" i="40"/>
  <c r="P641" i="40"/>
  <c r="BC641" i="40"/>
  <c r="O641" i="40"/>
  <c r="CO641" i="40" s="1"/>
  <c r="BG641" i="40"/>
  <c r="W641" i="40"/>
  <c r="CU641" i="40" s="1"/>
  <c r="JO641" i="40"/>
  <c r="AE641" i="40"/>
  <c r="DV641" i="40"/>
  <c r="BZ641" i="40"/>
  <c r="BJ641" i="40"/>
  <c r="N641" i="40"/>
  <c r="CN641" i="40" s="1"/>
  <c r="CC641" i="40"/>
  <c r="BM641" i="40"/>
  <c r="AW641" i="40"/>
  <c r="DT641" i="40"/>
  <c r="BT641" i="40"/>
  <c r="BD641" i="40"/>
  <c r="L641" i="40"/>
  <c r="CL641" i="40" s="1"/>
  <c r="C642" i="40"/>
  <c r="CA641" i="40"/>
  <c r="G641" i="40"/>
  <c r="JP641" i="40"/>
  <c r="AF641" i="40"/>
  <c r="CJ641" i="40"/>
  <c r="DM641" i="40"/>
  <c r="BV641" i="40"/>
  <c r="BF641" i="40"/>
  <c r="J641" i="40"/>
  <c r="BY641" i="40"/>
  <c r="BI641" i="40"/>
  <c r="AG641" i="40"/>
  <c r="CF641" i="40"/>
  <c r="BP641" i="40"/>
  <c r="AZ641" i="40"/>
  <c r="DS641" i="40"/>
  <c r="CE641" i="40"/>
  <c r="BK641" i="40"/>
  <c r="DW641" i="40"/>
  <c r="F641" i="40"/>
  <c r="CH641" i="40"/>
  <c r="BU641" i="40"/>
  <c r="BL641" i="40"/>
  <c r="K641" i="40"/>
  <c r="H641" i="40"/>
  <c r="BR641" i="40"/>
  <c r="BE641" i="40"/>
  <c r="AB641" i="40"/>
  <c r="BW641" i="40"/>
  <c r="DU641" i="40"/>
  <c r="KN641" i="40"/>
  <c r="AI641" i="40"/>
  <c r="BB641" i="40"/>
  <c r="M641" i="40"/>
  <c r="CM641" i="40" s="1"/>
  <c r="BS641" i="40"/>
  <c r="CB641" i="40"/>
  <c r="BO641" i="40"/>
  <c r="R641" i="40"/>
  <c r="AH641" i="40"/>
  <c r="Z641" i="40"/>
  <c r="T641" i="40"/>
  <c r="CR641" i="40" s="1"/>
  <c r="U641" i="40"/>
  <c r="CS641" i="40" s="1"/>
  <c r="Q641" i="40"/>
  <c r="S641" i="40"/>
  <c r="X641" i="40"/>
  <c r="V641" i="40"/>
  <c r="CT641" i="40" s="1"/>
  <c r="AA641" i="40"/>
  <c r="AD641" i="40"/>
  <c r="E641" i="40"/>
  <c r="Y641" i="40"/>
  <c r="CK539" i="40"/>
  <c r="AM539" i="40"/>
  <c r="CV539" i="40"/>
  <c r="AJ341" i="40"/>
  <c r="AF341" i="40"/>
  <c r="AB341" i="40"/>
  <c r="X341" i="40"/>
  <c r="T341" i="40"/>
  <c r="CR341" i="40" s="1"/>
  <c r="P341" i="40"/>
  <c r="L341" i="40"/>
  <c r="CL341" i="40" s="1"/>
  <c r="H341" i="40"/>
  <c r="AH341" i="40"/>
  <c r="AD341" i="40"/>
  <c r="Z341" i="40"/>
  <c r="V341" i="40"/>
  <c r="CT341" i="40" s="1"/>
  <c r="R341" i="40"/>
  <c r="N341" i="40"/>
  <c r="CN341" i="40" s="1"/>
  <c r="J341" i="40"/>
  <c r="F341" i="40"/>
  <c r="AC341" i="40"/>
  <c r="U341" i="40"/>
  <c r="CS341" i="40" s="1"/>
  <c r="M341" i="40"/>
  <c r="CM341" i="40" s="1"/>
  <c r="E341" i="40"/>
  <c r="AI341" i="40"/>
  <c r="AA341" i="40"/>
  <c r="S341" i="40"/>
  <c r="K341" i="40"/>
  <c r="AG341" i="40"/>
  <c r="Y341" i="40"/>
  <c r="Q341" i="40"/>
  <c r="I341" i="40"/>
  <c r="G341" i="40"/>
  <c r="AE341" i="40"/>
  <c r="W341" i="40"/>
  <c r="CU341" i="40" s="1"/>
  <c r="O341" i="40"/>
  <c r="CO341" i="40" s="1"/>
  <c r="AG141" i="40"/>
  <c r="AC141" i="40"/>
  <c r="Y141" i="40"/>
  <c r="U141" i="40"/>
  <c r="CS141" i="40" s="1"/>
  <c r="Q141" i="40"/>
  <c r="M141" i="40"/>
  <c r="CM141" i="40" s="1"/>
  <c r="I141" i="40"/>
  <c r="E141" i="40"/>
  <c r="AI141" i="40"/>
  <c r="AE141" i="40"/>
  <c r="AA141" i="40"/>
  <c r="W141" i="40"/>
  <c r="CU141" i="40" s="1"/>
  <c r="S141" i="40"/>
  <c r="O141" i="40"/>
  <c r="CO141" i="40" s="1"/>
  <c r="K141" i="40"/>
  <c r="G141" i="40"/>
  <c r="AF141" i="40"/>
  <c r="X141" i="40"/>
  <c r="P141" i="40"/>
  <c r="H141" i="40"/>
  <c r="R141" i="40"/>
  <c r="AD141" i="40"/>
  <c r="V141" i="40"/>
  <c r="CT141" i="40" s="1"/>
  <c r="N141" i="40"/>
  <c r="CN141" i="40" s="1"/>
  <c r="F141" i="40"/>
  <c r="Z141" i="40"/>
  <c r="AJ141" i="40"/>
  <c r="AB141" i="40"/>
  <c r="T141" i="40"/>
  <c r="CR141" i="40" s="1"/>
  <c r="L141" i="40"/>
  <c r="CL141" i="40" s="1"/>
  <c r="AH141" i="40"/>
  <c r="J141" i="40"/>
  <c r="AG241" i="40"/>
  <c r="AC241" i="40"/>
  <c r="Y241" i="40"/>
  <c r="U241" i="40"/>
  <c r="CS241" i="40" s="1"/>
  <c r="Q241" i="40"/>
  <c r="M241" i="40"/>
  <c r="CM241" i="40" s="1"/>
  <c r="I241" i="40"/>
  <c r="E241" i="40"/>
  <c r="AJ241" i="40"/>
  <c r="AF241" i="40"/>
  <c r="AB241" i="40"/>
  <c r="X241" i="40"/>
  <c r="T241" i="40"/>
  <c r="CR241" i="40" s="1"/>
  <c r="P241" i="40"/>
  <c r="L241" i="40"/>
  <c r="CL241" i="40" s="1"/>
  <c r="H241" i="40"/>
  <c r="AI241" i="40"/>
  <c r="AE241" i="40"/>
  <c r="AA241" i="40"/>
  <c r="CI325" i="40" s="1"/>
  <c r="W241" i="40"/>
  <c r="CU241" i="40" s="1"/>
  <c r="S241" i="40"/>
  <c r="O241" i="40"/>
  <c r="CO241" i="40" s="1"/>
  <c r="K241" i="40"/>
  <c r="G241" i="40"/>
  <c r="AH241" i="40"/>
  <c r="R241" i="40"/>
  <c r="AD241" i="40"/>
  <c r="N241" i="40"/>
  <c r="CN241" i="40" s="1"/>
  <c r="Z241" i="40"/>
  <c r="DB241" i="40" s="1"/>
  <c r="J241" i="40"/>
  <c r="V241" i="40"/>
  <c r="CT241" i="40" s="1"/>
  <c r="F241" i="40"/>
  <c r="AI440" i="40"/>
  <c r="AE440" i="40"/>
  <c r="AA440" i="40"/>
  <c r="W440" i="40"/>
  <c r="CU440" i="40" s="1"/>
  <c r="S440" i="40"/>
  <c r="O440" i="40"/>
  <c r="CO440" i="40" s="1"/>
  <c r="K440" i="40"/>
  <c r="G440" i="40"/>
  <c r="AH440" i="40"/>
  <c r="AD440" i="40"/>
  <c r="Z440" i="40"/>
  <c r="V440" i="40"/>
  <c r="CT440" i="40" s="1"/>
  <c r="R440" i="40"/>
  <c r="N440" i="40"/>
  <c r="CN440" i="40" s="1"/>
  <c r="J440" i="40"/>
  <c r="F440" i="40"/>
  <c r="AG440" i="40"/>
  <c r="AC440" i="40"/>
  <c r="Y440" i="40"/>
  <c r="U440" i="40"/>
  <c r="CS440" i="40" s="1"/>
  <c r="Q440" i="40"/>
  <c r="M440" i="40"/>
  <c r="CM440" i="40" s="1"/>
  <c r="I440" i="40"/>
  <c r="E440" i="40"/>
  <c r="AJ440" i="40"/>
  <c r="T440" i="40"/>
  <c r="CR440" i="40" s="1"/>
  <c r="AF440" i="40"/>
  <c r="P440" i="40"/>
  <c r="AB440" i="40"/>
  <c r="L440" i="40"/>
  <c r="CL440" i="40" s="1"/>
  <c r="H440" i="40"/>
  <c r="X440" i="40"/>
  <c r="AH540" i="40"/>
  <c r="AD540" i="40"/>
  <c r="Z540" i="40"/>
  <c r="V540" i="40"/>
  <c r="CT540" i="40" s="1"/>
  <c r="R540" i="40"/>
  <c r="N540" i="40"/>
  <c r="CN540" i="40" s="1"/>
  <c r="J540" i="40"/>
  <c r="F540" i="40"/>
  <c r="AG540" i="40"/>
  <c r="AC540" i="40"/>
  <c r="Y540" i="40"/>
  <c r="U540" i="40"/>
  <c r="CS540" i="40" s="1"/>
  <c r="Q540" i="40"/>
  <c r="M540" i="40"/>
  <c r="CM540" i="40" s="1"/>
  <c r="I540" i="40"/>
  <c r="E540" i="40"/>
  <c r="AJ540" i="40"/>
  <c r="AF540" i="40"/>
  <c r="AB540" i="40"/>
  <c r="X540" i="40"/>
  <c r="T540" i="40"/>
  <c r="CR540" i="40" s="1"/>
  <c r="P540" i="40"/>
  <c r="L540" i="40"/>
  <c r="CL540" i="40" s="1"/>
  <c r="H540" i="40"/>
  <c r="W540" i="40"/>
  <c r="CU540" i="40" s="1"/>
  <c r="G540" i="40"/>
  <c r="AI540" i="40"/>
  <c r="S540" i="40"/>
  <c r="AE540" i="40"/>
  <c r="O540" i="40"/>
  <c r="CO540" i="40" s="1"/>
  <c r="AA540" i="40"/>
  <c r="CI624" i="40" s="1"/>
  <c r="K540" i="40"/>
  <c r="BE540" i="40"/>
  <c r="BU540" i="40"/>
  <c r="DS540" i="40"/>
  <c r="BF540" i="40"/>
  <c r="BV540" i="40"/>
  <c r="DT540" i="40"/>
  <c r="BC540" i="40"/>
  <c r="BS540" i="40"/>
  <c r="CJ540" i="40"/>
  <c r="CF540" i="40"/>
  <c r="BX540" i="40"/>
  <c r="HY540" i="40"/>
  <c r="IX540" i="40"/>
  <c r="BM540" i="40"/>
  <c r="CD540" i="40"/>
  <c r="CA540" i="40"/>
  <c r="BT540" i="40"/>
  <c r="HZ540" i="40"/>
  <c r="JP540" i="40"/>
  <c r="CG540" i="40"/>
  <c r="AX540" i="40"/>
  <c r="BP540" i="40"/>
  <c r="BH540" i="40"/>
  <c r="C541" i="40"/>
  <c r="BI540" i="40"/>
  <c r="BY540" i="40"/>
  <c r="DW540" i="40"/>
  <c r="BJ540" i="40"/>
  <c r="BZ540" i="40"/>
  <c r="BG540" i="40"/>
  <c r="BW540" i="40"/>
  <c r="DU540" i="40"/>
  <c r="BD540" i="40"/>
  <c r="CB540" i="40"/>
  <c r="DV540" i="40"/>
  <c r="IA540" i="40"/>
  <c r="IY540" i="40"/>
  <c r="CC540" i="40"/>
  <c r="AW540" i="40"/>
  <c r="BN540" i="40"/>
  <c r="BK540" i="40"/>
  <c r="AZ540" i="40"/>
  <c r="A540" i="40"/>
  <c r="JO540" i="40"/>
  <c r="BA540" i="40"/>
  <c r="BQ540" i="40"/>
  <c r="BB540" i="40"/>
  <c r="BR540" i="40"/>
  <c r="CH540" i="40"/>
  <c r="BO540" i="40"/>
  <c r="CE540" i="40"/>
  <c r="DM540" i="40"/>
  <c r="BL540" i="40"/>
  <c r="IZ540" i="40"/>
  <c r="AN539" i="40"/>
  <c r="CP539" i="40"/>
  <c r="AN640" i="40"/>
  <c r="CP640" i="40"/>
  <c r="DB439" i="40"/>
  <c r="BJ440" i="40"/>
  <c r="BZ440" i="40"/>
  <c r="AX440" i="40"/>
  <c r="BO440" i="40"/>
  <c r="CE440" i="40"/>
  <c r="AZ440" i="40"/>
  <c r="BP440" i="40"/>
  <c r="CF440" i="40"/>
  <c r="BE440" i="40"/>
  <c r="BQ440" i="40"/>
  <c r="HZ440" i="40"/>
  <c r="BC440" i="40"/>
  <c r="BD440" i="40"/>
  <c r="BU440" i="40"/>
  <c r="HY440" i="40"/>
  <c r="BR440" i="40"/>
  <c r="DU440" i="40"/>
  <c r="BX440" i="40"/>
  <c r="BY440" i="40"/>
  <c r="CC440" i="40"/>
  <c r="IY440" i="40"/>
  <c r="CD440" i="40"/>
  <c r="CJ440" i="40"/>
  <c r="BT440" i="40"/>
  <c r="BI440" i="40"/>
  <c r="IX440" i="40"/>
  <c r="BG440" i="40"/>
  <c r="DV440" i="40"/>
  <c r="IZ440" i="40"/>
  <c r="C441" i="40"/>
  <c r="BF440" i="40"/>
  <c r="BV440" i="40"/>
  <c r="DT440" i="40"/>
  <c r="BK440" i="40"/>
  <c r="CA440" i="40"/>
  <c r="A440" i="40"/>
  <c r="BL440" i="40"/>
  <c r="CB440" i="40"/>
  <c r="DW440" i="40"/>
  <c r="CG440" i="40"/>
  <c r="JO440" i="40"/>
  <c r="IA440" i="40"/>
  <c r="JP440" i="40"/>
  <c r="AW440" i="40"/>
  <c r="BN440" i="40"/>
  <c r="BS440" i="40"/>
  <c r="DM440" i="40"/>
  <c r="BM440" i="40"/>
  <c r="BB440" i="40"/>
  <c r="CH440" i="40"/>
  <c r="BW440" i="40"/>
  <c r="BH440" i="40"/>
  <c r="DS440" i="40"/>
  <c r="BA440" i="40"/>
  <c r="AP439" i="40"/>
  <c r="DB240" i="40"/>
  <c r="CV439" i="40"/>
  <c r="AM439" i="40"/>
  <c r="CK439" i="40"/>
  <c r="CQ439" i="40"/>
  <c r="AO439" i="40"/>
  <c r="CP439" i="40"/>
  <c r="AN439" i="40"/>
  <c r="AP240" i="40"/>
  <c r="BA241" i="40"/>
  <c r="BQ241" i="40"/>
  <c r="CG241" i="40"/>
  <c r="BF241" i="40"/>
  <c r="BV241" i="40"/>
  <c r="AX241" i="40"/>
  <c r="BO241" i="40"/>
  <c r="CE241" i="40"/>
  <c r="DS241" i="40"/>
  <c r="BP241" i="40"/>
  <c r="BD241" i="40"/>
  <c r="BH241" i="40"/>
  <c r="IX241" i="40"/>
  <c r="BC241" i="40"/>
  <c r="CF241" i="40"/>
  <c r="DV241" i="40"/>
  <c r="BT241" i="40"/>
  <c r="C242" i="40"/>
  <c r="BI241" i="40"/>
  <c r="BY241" i="40"/>
  <c r="AW241" i="40"/>
  <c r="BN241" i="40"/>
  <c r="CD241" i="40"/>
  <c r="BG241" i="40"/>
  <c r="BW241" i="40"/>
  <c r="BL241" i="40"/>
  <c r="DT241" i="40"/>
  <c r="CJ241" i="40"/>
  <c r="A241" i="40"/>
  <c r="JO241" i="40"/>
  <c r="HZ241" i="40"/>
  <c r="JP241" i="40"/>
  <c r="BE241" i="40"/>
  <c r="BU241" i="40"/>
  <c r="BJ241" i="40"/>
  <c r="BZ241" i="40"/>
  <c r="DW241" i="40"/>
  <c r="BX241" i="40"/>
  <c r="IA241" i="40"/>
  <c r="BM241" i="40"/>
  <c r="CC241" i="40"/>
  <c r="BB241" i="40"/>
  <c r="BR241" i="40"/>
  <c r="CH241" i="40"/>
  <c r="BK241" i="40"/>
  <c r="CA241" i="40"/>
  <c r="CB241" i="40"/>
  <c r="AZ241" i="40"/>
  <c r="DU241" i="40"/>
  <c r="DM241" i="40"/>
  <c r="HY241" i="40"/>
  <c r="BS241" i="40"/>
  <c r="IZ241" i="40"/>
  <c r="IY241" i="40"/>
  <c r="AO240" i="40"/>
  <c r="CQ240" i="40"/>
  <c r="AN240" i="40"/>
  <c r="CP240" i="40"/>
  <c r="CK240" i="40"/>
  <c r="AM240" i="40"/>
  <c r="DB140" i="40"/>
  <c r="HW139" i="40"/>
  <c r="IC139" i="40" s="1"/>
  <c r="IO140" i="40"/>
  <c r="JA140" i="40" s="1"/>
  <c r="HV139" i="40"/>
  <c r="D139" i="40"/>
  <c r="AY139" i="40" s="1"/>
  <c r="HM140" i="40"/>
  <c r="HP140" i="40" s="1"/>
  <c r="E44" i="44"/>
  <c r="JM137" i="40"/>
  <c r="CV340" i="40"/>
  <c r="CK340" i="40"/>
  <c r="AM340" i="40"/>
  <c r="CV140" i="40"/>
  <c r="AK140" i="40"/>
  <c r="AL140" i="40"/>
  <c r="CP140" i="40"/>
  <c r="HX140" i="40" s="1"/>
  <c r="AN140" i="40"/>
  <c r="HN140" i="40"/>
  <c r="IK141" i="40"/>
  <c r="IN141" i="40" s="1"/>
  <c r="JF141" i="40"/>
  <c r="HO141" i="40" s="1"/>
  <c r="II141" i="40"/>
  <c r="IL141" i="40" s="1"/>
  <c r="IJ141" i="40"/>
  <c r="IM141" i="40" s="1"/>
  <c r="C142" i="40"/>
  <c r="A141" i="40"/>
  <c r="AW141" i="40"/>
  <c r="BB141" i="40"/>
  <c r="BF141" i="40"/>
  <c r="BA141" i="40"/>
  <c r="BG141" i="40"/>
  <c r="BK141" i="40"/>
  <c r="BO141" i="40"/>
  <c r="BS141" i="40"/>
  <c r="BW141" i="40"/>
  <c r="CA141" i="40"/>
  <c r="CE141" i="40"/>
  <c r="CJ141" i="40"/>
  <c r="DU141" i="40"/>
  <c r="BC141" i="40"/>
  <c r="BH141" i="40"/>
  <c r="BL141" i="40"/>
  <c r="BP141" i="40"/>
  <c r="BT141" i="40"/>
  <c r="BX141" i="40"/>
  <c r="CB141" i="40"/>
  <c r="CF141" i="40"/>
  <c r="DM141" i="40"/>
  <c r="DV141" i="40"/>
  <c r="AX141" i="40"/>
  <c r="BD141" i="40"/>
  <c r="BI141" i="40"/>
  <c r="BM141" i="40"/>
  <c r="BQ141" i="40"/>
  <c r="BU141" i="40"/>
  <c r="BY141" i="40"/>
  <c r="CC141" i="40"/>
  <c r="CG141" i="40"/>
  <c r="DS141" i="40"/>
  <c r="DW141" i="40"/>
  <c r="BJ141" i="40"/>
  <c r="BZ141" i="40"/>
  <c r="BN141" i="40"/>
  <c r="CD141" i="40"/>
  <c r="AZ141" i="40"/>
  <c r="BR141" i="40"/>
  <c r="CH141" i="40"/>
  <c r="DT141" i="40"/>
  <c r="BE141" i="40"/>
  <c r="BV141" i="40"/>
  <c r="JO141" i="40"/>
  <c r="HZ141" i="40"/>
  <c r="IZ141" i="40"/>
  <c r="IA141" i="40"/>
  <c r="IX141" i="40"/>
  <c r="HY141" i="40"/>
  <c r="IY141" i="40"/>
  <c r="JP141" i="40"/>
  <c r="JG141" i="40"/>
  <c r="CP340" i="40"/>
  <c r="AN340" i="40"/>
  <c r="DB340" i="40"/>
  <c r="AP340" i="40"/>
  <c r="C342" i="40"/>
  <c r="AW341" i="40"/>
  <c r="BB341" i="40"/>
  <c r="BF341" i="40"/>
  <c r="BJ341" i="40"/>
  <c r="BN341" i="40"/>
  <c r="BR341" i="40"/>
  <c r="BV341" i="40"/>
  <c r="BZ341" i="40"/>
  <c r="CD341" i="40"/>
  <c r="CH341" i="40"/>
  <c r="DT341" i="40"/>
  <c r="AX341" i="40"/>
  <c r="BC341" i="40"/>
  <c r="BG341" i="40"/>
  <c r="BK341" i="40"/>
  <c r="BO341" i="40"/>
  <c r="BS341" i="40"/>
  <c r="BW341" i="40"/>
  <c r="CA341" i="40"/>
  <c r="CE341" i="40"/>
  <c r="CJ341" i="40"/>
  <c r="DU341" i="40"/>
  <c r="A341" i="40"/>
  <c r="AZ341" i="40"/>
  <c r="BD341" i="40"/>
  <c r="BH341" i="40"/>
  <c r="BL341" i="40"/>
  <c r="BP341" i="40"/>
  <c r="BT341" i="40"/>
  <c r="BX341" i="40"/>
  <c r="CB341" i="40"/>
  <c r="CF341" i="40"/>
  <c r="DM341" i="40"/>
  <c r="DV341" i="40"/>
  <c r="BE341" i="40"/>
  <c r="BU341" i="40"/>
  <c r="DS341" i="40"/>
  <c r="BI341" i="40"/>
  <c r="BY341" i="40"/>
  <c r="DW341" i="40"/>
  <c r="BM341" i="40"/>
  <c r="CC341" i="40"/>
  <c r="BA341" i="40"/>
  <c r="BQ341" i="40"/>
  <c r="CG341" i="40"/>
  <c r="JO341" i="40"/>
  <c r="IY341" i="40"/>
  <c r="IZ341" i="40"/>
  <c r="IA341" i="40"/>
  <c r="IX341" i="40"/>
  <c r="HZ341" i="40"/>
  <c r="HY341" i="40"/>
  <c r="JP341" i="40"/>
  <c r="JI139" i="40"/>
  <c r="AO140" i="40"/>
  <c r="CQ140" i="40"/>
  <c r="AM140" i="40"/>
  <c r="CK140" i="40"/>
  <c r="HS140" i="40"/>
  <c r="AO340" i="40"/>
  <c r="CQ340" i="40"/>
  <c r="KO136" i="40"/>
  <c r="HR140" i="40"/>
  <c r="AP140" i="40"/>
  <c r="IP140" i="40"/>
  <c r="JB140" i="40" s="1"/>
  <c r="E45" i="44" s="1"/>
  <c r="IQ140" i="40"/>
  <c r="JC140" i="40" s="1"/>
  <c r="HT140" i="40"/>
  <c r="HU140" i="40"/>
  <c r="JH139" i="40"/>
  <c r="JJ138" i="40"/>
  <c r="JK138" i="40" s="1"/>
  <c r="JL138" i="40" s="1"/>
  <c r="CI141" i="40" l="1"/>
  <c r="CI524" i="40"/>
  <c r="CI225" i="40"/>
  <c r="CI425" i="40"/>
  <c r="HZ640" i="40"/>
  <c r="IY640" i="40" s="1"/>
  <c r="DB641" i="40"/>
  <c r="DB440" i="40"/>
  <c r="IA640" i="40"/>
  <c r="IZ640" i="40" s="1"/>
  <c r="HY640" i="40"/>
  <c r="IX640" i="40" s="1"/>
  <c r="AP641" i="40"/>
  <c r="AP241" i="40"/>
  <c r="DB540" i="40"/>
  <c r="AJ342" i="40"/>
  <c r="AF342" i="40"/>
  <c r="AB342" i="40"/>
  <c r="X342" i="40"/>
  <c r="T342" i="40"/>
  <c r="CR342" i="40" s="1"/>
  <c r="P342" i="40"/>
  <c r="L342" i="40"/>
  <c r="CL342" i="40" s="1"/>
  <c r="H342" i="40"/>
  <c r="AH342" i="40"/>
  <c r="AD342" i="40"/>
  <c r="Z342" i="40"/>
  <c r="V342" i="40"/>
  <c r="CT342" i="40" s="1"/>
  <c r="R342" i="40"/>
  <c r="N342" i="40"/>
  <c r="CN342" i="40" s="1"/>
  <c r="J342" i="40"/>
  <c r="F342" i="40"/>
  <c r="AC342" i="40"/>
  <c r="U342" i="40"/>
  <c r="CS342" i="40" s="1"/>
  <c r="M342" i="40"/>
  <c r="CM342" i="40" s="1"/>
  <c r="E342" i="40"/>
  <c r="AI342" i="40"/>
  <c r="AA342" i="40"/>
  <c r="S342" i="40"/>
  <c r="K342" i="40"/>
  <c r="AG342" i="40"/>
  <c r="Y342" i="40"/>
  <c r="Q342" i="40"/>
  <c r="I342" i="40"/>
  <c r="G342" i="40"/>
  <c r="AE342" i="40"/>
  <c r="W342" i="40"/>
  <c r="CU342" i="40" s="1"/>
  <c r="O342" i="40"/>
  <c r="CO342" i="40" s="1"/>
  <c r="AO540" i="40"/>
  <c r="CQ540" i="40"/>
  <c r="AP540" i="40"/>
  <c r="CV540" i="40"/>
  <c r="CQ641" i="40"/>
  <c r="AO641" i="40"/>
  <c r="CK641" i="40"/>
  <c r="AM641" i="40"/>
  <c r="AF642" i="40"/>
  <c r="DM642" i="40"/>
  <c r="BV642" i="40"/>
  <c r="BF642" i="40"/>
  <c r="J642" i="40"/>
  <c r="BY642" i="40"/>
  <c r="BI642" i="40"/>
  <c r="AG642" i="40"/>
  <c r="CF642" i="40"/>
  <c r="BP642" i="40"/>
  <c r="AZ642" i="40"/>
  <c r="DW642" i="40"/>
  <c r="DS642" i="40"/>
  <c r="CE642" i="40"/>
  <c r="K642" i="40"/>
  <c r="JO642" i="40"/>
  <c r="H642" i="40"/>
  <c r="AI642" i="40"/>
  <c r="F642" i="40"/>
  <c r="CJ642" i="40"/>
  <c r="CH642" i="40"/>
  <c r="BR642" i="40"/>
  <c r="BB642" i="40"/>
  <c r="DU642" i="40"/>
  <c r="BU642" i="40"/>
  <c r="BE642" i="40"/>
  <c r="M642" i="40"/>
  <c r="CM642" i="40" s="1"/>
  <c r="CB642" i="40"/>
  <c r="BL642" i="40"/>
  <c r="AB642" i="40"/>
  <c r="BW642" i="40"/>
  <c r="BS642" i="40"/>
  <c r="BO642" i="40"/>
  <c r="BK642" i="40"/>
  <c r="W642" i="40"/>
  <c r="CU642" i="40" s="1"/>
  <c r="JP642" i="40"/>
  <c r="I642" i="40"/>
  <c r="AJ642" i="40"/>
  <c r="AC642" i="40"/>
  <c r="CD642" i="40"/>
  <c r="BN642" i="40"/>
  <c r="AX642" i="40"/>
  <c r="CG642" i="40"/>
  <c r="BQ642" i="40"/>
  <c r="BA642" i="40"/>
  <c r="A642" i="40"/>
  <c r="BX642" i="40"/>
  <c r="BH642" i="40"/>
  <c r="P642" i="40"/>
  <c r="BG642" i="40"/>
  <c r="BC642" i="40"/>
  <c r="O642" i="40"/>
  <c r="CO642" i="40" s="1"/>
  <c r="KN642" i="40"/>
  <c r="AE642" i="40"/>
  <c r="DV642" i="40"/>
  <c r="CC642" i="40"/>
  <c r="BT642" i="40"/>
  <c r="C643" i="40"/>
  <c r="BZ642" i="40"/>
  <c r="BM642" i="40"/>
  <c r="BD642" i="40"/>
  <c r="CA642" i="40"/>
  <c r="DT642" i="40"/>
  <c r="BJ642" i="40"/>
  <c r="AW642" i="40"/>
  <c r="L642" i="40"/>
  <c r="CL642" i="40" s="1"/>
  <c r="N642" i="40"/>
  <c r="CN642" i="40" s="1"/>
  <c r="G642" i="40"/>
  <c r="T642" i="40"/>
  <c r="CR642" i="40" s="1"/>
  <c r="AH642" i="40"/>
  <c r="R642" i="40"/>
  <c r="Z642" i="40"/>
  <c r="U642" i="40"/>
  <c r="CS642" i="40" s="1"/>
  <c r="S642" i="40"/>
  <c r="Q642" i="40"/>
  <c r="V642" i="40"/>
  <c r="CT642" i="40" s="1"/>
  <c r="X642" i="40"/>
  <c r="AD642" i="40"/>
  <c r="AA642" i="40"/>
  <c r="E642" i="40"/>
  <c r="Y642" i="40"/>
  <c r="AI441" i="40"/>
  <c r="AE441" i="40"/>
  <c r="AA441" i="40"/>
  <c r="W441" i="40"/>
  <c r="S441" i="40"/>
  <c r="O441" i="40"/>
  <c r="CO441" i="40" s="1"/>
  <c r="K441" i="40"/>
  <c r="G441" i="40"/>
  <c r="AH441" i="40"/>
  <c r="AD441" i="40"/>
  <c r="Z441" i="40"/>
  <c r="V441" i="40"/>
  <c r="CT441" i="40" s="1"/>
  <c r="R441" i="40"/>
  <c r="N441" i="40"/>
  <c r="CN441" i="40" s="1"/>
  <c r="J441" i="40"/>
  <c r="F441" i="40"/>
  <c r="AG441" i="40"/>
  <c r="AC441" i="40"/>
  <c r="Y441" i="40"/>
  <c r="U441" i="40"/>
  <c r="CS441" i="40" s="1"/>
  <c r="Q441" i="40"/>
  <c r="M441" i="40"/>
  <c r="CM441" i="40" s="1"/>
  <c r="I441" i="40"/>
  <c r="E441" i="40"/>
  <c r="AJ441" i="40"/>
  <c r="T441" i="40"/>
  <c r="CR441" i="40" s="1"/>
  <c r="AF441" i="40"/>
  <c r="P441" i="40"/>
  <c r="AB441" i="40"/>
  <c r="L441" i="40"/>
  <c r="CL441" i="40" s="1"/>
  <c r="X441" i="40"/>
  <c r="H441" i="40"/>
  <c r="CP641" i="40"/>
  <c r="AN641" i="40"/>
  <c r="AH541" i="40"/>
  <c r="AD541" i="40"/>
  <c r="Z541" i="40"/>
  <c r="V541" i="40"/>
  <c r="CT541" i="40" s="1"/>
  <c r="R541" i="40"/>
  <c r="N541" i="40"/>
  <c r="CN541" i="40" s="1"/>
  <c r="J541" i="40"/>
  <c r="F541" i="40"/>
  <c r="AG541" i="40"/>
  <c r="AC541" i="40"/>
  <c r="Y541" i="40"/>
  <c r="U541" i="40"/>
  <c r="CS541" i="40" s="1"/>
  <c r="Q541" i="40"/>
  <c r="M541" i="40"/>
  <c r="CM541" i="40" s="1"/>
  <c r="I541" i="40"/>
  <c r="E541" i="40"/>
  <c r="AJ541" i="40"/>
  <c r="AF541" i="40"/>
  <c r="AB541" i="40"/>
  <c r="X541" i="40"/>
  <c r="T541" i="40"/>
  <c r="CR541" i="40" s="1"/>
  <c r="P541" i="40"/>
  <c r="L541" i="40"/>
  <c r="CL541" i="40" s="1"/>
  <c r="H541" i="40"/>
  <c r="W541" i="40"/>
  <c r="CU541" i="40" s="1"/>
  <c r="G541" i="40"/>
  <c r="AI541" i="40"/>
  <c r="S541" i="40"/>
  <c r="AE541" i="40"/>
  <c r="O541" i="40"/>
  <c r="CO541" i="40" s="1"/>
  <c r="K541" i="40"/>
  <c r="AA541" i="40"/>
  <c r="BG541" i="40"/>
  <c r="BW541" i="40"/>
  <c r="DU541" i="40"/>
  <c r="BD541" i="40"/>
  <c r="BT541" i="40"/>
  <c r="DM541" i="40"/>
  <c r="BE541" i="40"/>
  <c r="BU541" i="40"/>
  <c r="DS541" i="40"/>
  <c r="CD541" i="40"/>
  <c r="BR541" i="40"/>
  <c r="BV541" i="40"/>
  <c r="IA541" i="40"/>
  <c r="JP541" i="40"/>
  <c r="BK541" i="40"/>
  <c r="CA541" i="40"/>
  <c r="BH541" i="40"/>
  <c r="BX541" i="40"/>
  <c r="DV541" i="40"/>
  <c r="BI541" i="40"/>
  <c r="DW541" i="40"/>
  <c r="BZ541" i="40"/>
  <c r="DT541" i="40"/>
  <c r="AX541" i="40"/>
  <c r="CE541" i="40"/>
  <c r="BM541" i="40"/>
  <c r="AW541" i="40"/>
  <c r="BJ541" i="40"/>
  <c r="C542" i="40"/>
  <c r="BC541" i="40"/>
  <c r="BS541" i="40"/>
  <c r="CJ541" i="40"/>
  <c r="AZ541" i="40"/>
  <c r="BP541" i="40"/>
  <c r="CF541" i="40"/>
  <c r="BA541" i="40"/>
  <c r="BQ541" i="40"/>
  <c r="CG541" i="40"/>
  <c r="BN541" i="40"/>
  <c r="BB541" i="40"/>
  <c r="BF541" i="40"/>
  <c r="HY541" i="40"/>
  <c r="IY541" i="40"/>
  <c r="A541" i="40"/>
  <c r="BY541" i="40"/>
  <c r="CH541" i="40"/>
  <c r="IZ541" i="40"/>
  <c r="BO541" i="40"/>
  <c r="BL541" i="40"/>
  <c r="CB541" i="40"/>
  <c r="CC541" i="40"/>
  <c r="JO541" i="40"/>
  <c r="HZ541" i="40"/>
  <c r="IX541" i="40"/>
  <c r="CK540" i="40"/>
  <c r="AM540" i="40"/>
  <c r="AG142" i="40"/>
  <c r="AC142" i="40"/>
  <c r="Y142" i="40"/>
  <c r="U142" i="40"/>
  <c r="CS142" i="40" s="1"/>
  <c r="Q142" i="40"/>
  <c r="M142" i="40"/>
  <c r="CM142" i="40" s="1"/>
  <c r="I142" i="40"/>
  <c r="E142" i="40"/>
  <c r="AI142" i="40"/>
  <c r="AE142" i="40"/>
  <c r="AA142" i="40"/>
  <c r="W142" i="40"/>
  <c r="CU142" i="40" s="1"/>
  <c r="S142" i="40"/>
  <c r="O142" i="40"/>
  <c r="CO142" i="40" s="1"/>
  <c r="K142" i="40"/>
  <c r="G142" i="40"/>
  <c r="AF142" i="40"/>
  <c r="X142" i="40"/>
  <c r="P142" i="40"/>
  <c r="H142" i="40"/>
  <c r="AH142" i="40"/>
  <c r="J142" i="40"/>
  <c r="AD142" i="40"/>
  <c r="V142" i="40"/>
  <c r="CT142" i="40" s="1"/>
  <c r="N142" i="40"/>
  <c r="CN142" i="40" s="1"/>
  <c r="F142" i="40"/>
  <c r="R142" i="40"/>
  <c r="AJ142" i="40"/>
  <c r="AB142" i="40"/>
  <c r="T142" i="40"/>
  <c r="CR142" i="40" s="1"/>
  <c r="L142" i="40"/>
  <c r="CL142" i="40" s="1"/>
  <c r="Z142" i="40"/>
  <c r="AG242" i="40"/>
  <c r="AC242" i="40"/>
  <c r="Y242" i="40"/>
  <c r="U242" i="40"/>
  <c r="CS242" i="40" s="1"/>
  <c r="Q242" i="40"/>
  <c r="M242" i="40"/>
  <c r="CM242" i="40" s="1"/>
  <c r="I242" i="40"/>
  <c r="E242" i="40"/>
  <c r="AJ242" i="40"/>
  <c r="AF242" i="40"/>
  <c r="AB242" i="40"/>
  <c r="X242" i="40"/>
  <c r="T242" i="40"/>
  <c r="CR242" i="40" s="1"/>
  <c r="P242" i="40"/>
  <c r="L242" i="40"/>
  <c r="CL242" i="40" s="1"/>
  <c r="H242" i="40"/>
  <c r="AI242" i="40"/>
  <c r="AE242" i="40"/>
  <c r="AA242" i="40"/>
  <c r="CI326" i="40" s="1"/>
  <c r="W242" i="40"/>
  <c r="CU242" i="40" s="1"/>
  <c r="S242" i="40"/>
  <c r="O242" i="40"/>
  <c r="CO242" i="40" s="1"/>
  <c r="K242" i="40"/>
  <c r="G242" i="40"/>
  <c r="AH242" i="40"/>
  <c r="R242" i="40"/>
  <c r="AD242" i="40"/>
  <c r="N242" i="40"/>
  <c r="CN242" i="40" s="1"/>
  <c r="Z242" i="40"/>
  <c r="J242" i="40"/>
  <c r="V242" i="40"/>
  <c r="CT242" i="40" s="1"/>
  <c r="F242" i="40"/>
  <c r="AN540" i="40"/>
  <c r="CP540" i="40"/>
  <c r="CV641" i="40"/>
  <c r="HW140" i="40"/>
  <c r="HV140" i="40"/>
  <c r="CQ440" i="40"/>
  <c r="AO440" i="40"/>
  <c r="AP440" i="40"/>
  <c r="AZ441" i="40"/>
  <c r="BP441" i="40"/>
  <c r="CF441" i="40"/>
  <c r="BA441" i="40"/>
  <c r="BQ441" i="40"/>
  <c r="CG441" i="40"/>
  <c r="AW441" i="40"/>
  <c r="BN441" i="40"/>
  <c r="CD441" i="40"/>
  <c r="BC441" i="40"/>
  <c r="BG441" i="40"/>
  <c r="BK441" i="40"/>
  <c r="HY441" i="40"/>
  <c r="CU441" i="40"/>
  <c r="IX441" i="40"/>
  <c r="BD441" i="40"/>
  <c r="BT441" i="40"/>
  <c r="DM441" i="40"/>
  <c r="BE441" i="40"/>
  <c r="BU441" i="40"/>
  <c r="DS441" i="40"/>
  <c r="BB441" i="40"/>
  <c r="BR441" i="40"/>
  <c r="CH441" i="40"/>
  <c r="BS441" i="40"/>
  <c r="BW441" i="40"/>
  <c r="CA441" i="40"/>
  <c r="AX441" i="40"/>
  <c r="IA441" i="40"/>
  <c r="IY441" i="40"/>
  <c r="C442" i="40"/>
  <c r="BH441" i="40"/>
  <c r="BX441" i="40"/>
  <c r="DV441" i="40"/>
  <c r="BI441" i="40"/>
  <c r="BY441" i="40"/>
  <c r="DW441" i="40"/>
  <c r="BF441" i="40"/>
  <c r="BV441" i="40"/>
  <c r="DT441" i="40"/>
  <c r="CJ441" i="40"/>
  <c r="DU441" i="40"/>
  <c r="CE441" i="40"/>
  <c r="BO441" i="40"/>
  <c r="HZ441" i="40"/>
  <c r="JP441" i="40"/>
  <c r="A441" i="40"/>
  <c r="BL441" i="40"/>
  <c r="CB441" i="40"/>
  <c r="BM441" i="40"/>
  <c r="CC441" i="40"/>
  <c r="BJ441" i="40"/>
  <c r="BZ441" i="40"/>
  <c r="JO441" i="40"/>
  <c r="IZ441" i="40"/>
  <c r="CV440" i="40"/>
  <c r="AM440" i="40"/>
  <c r="CK440" i="40"/>
  <c r="CP440" i="40"/>
  <c r="AN440" i="40"/>
  <c r="CK241" i="40"/>
  <c r="AM241" i="40"/>
  <c r="CP241" i="40"/>
  <c r="AN241" i="40"/>
  <c r="BG242" i="40"/>
  <c r="BW242" i="40"/>
  <c r="DU242" i="40"/>
  <c r="BH242" i="40"/>
  <c r="BX242" i="40"/>
  <c r="DV242" i="40"/>
  <c r="BI242" i="40"/>
  <c r="BY242" i="40"/>
  <c r="DW242" i="40"/>
  <c r="BZ242" i="40"/>
  <c r="CD242" i="40"/>
  <c r="CH242" i="40"/>
  <c r="DT242" i="40"/>
  <c r="IX242" i="40"/>
  <c r="IA242" i="40"/>
  <c r="IY242" i="40"/>
  <c r="C243" i="40"/>
  <c r="BK242" i="40"/>
  <c r="CA242" i="40"/>
  <c r="A242" i="40"/>
  <c r="BL242" i="40"/>
  <c r="CB242" i="40"/>
  <c r="BM242" i="40"/>
  <c r="CC242" i="40"/>
  <c r="JO242" i="40"/>
  <c r="HY242" i="40"/>
  <c r="JP242" i="40"/>
  <c r="AX242" i="40"/>
  <c r="BO242" i="40"/>
  <c r="CE242" i="40"/>
  <c r="AZ242" i="40"/>
  <c r="BP242" i="40"/>
  <c r="CF242" i="40"/>
  <c r="BA242" i="40"/>
  <c r="BQ242" i="40"/>
  <c r="CG242" i="40"/>
  <c r="AW242" i="40"/>
  <c r="BB242" i="40"/>
  <c r="BF242" i="40"/>
  <c r="IZ242" i="40"/>
  <c r="BC242" i="40"/>
  <c r="BS242" i="40"/>
  <c r="CJ242" i="40"/>
  <c r="BD242" i="40"/>
  <c r="BT242" i="40"/>
  <c r="DM242" i="40"/>
  <c r="BE242" i="40"/>
  <c r="BU242" i="40"/>
  <c r="DS242" i="40"/>
  <c r="BJ242" i="40"/>
  <c r="BN242" i="40"/>
  <c r="BR242" i="40"/>
  <c r="BV242" i="40"/>
  <c r="HZ242" i="40"/>
  <c r="CV241" i="40"/>
  <c r="CQ241" i="40"/>
  <c r="AO241" i="40"/>
  <c r="DB141" i="40"/>
  <c r="JJ139" i="40"/>
  <c r="JK139" i="40" s="1"/>
  <c r="JL139" i="40" s="1"/>
  <c r="HM141" i="40"/>
  <c r="HP141" i="40" s="1"/>
  <c r="HN141" i="40"/>
  <c r="HQ141" i="40" s="1"/>
  <c r="AP341" i="40"/>
  <c r="D140" i="40"/>
  <c r="AY140" i="40" s="1"/>
  <c r="JM138" i="40"/>
  <c r="AN341" i="40"/>
  <c r="CP341" i="40"/>
  <c r="CK341" i="40"/>
  <c r="AM341" i="40"/>
  <c r="CV141" i="40"/>
  <c r="AL141" i="40"/>
  <c r="AK141" i="40"/>
  <c r="CQ141" i="40"/>
  <c r="AO141" i="40"/>
  <c r="HT141" i="40"/>
  <c r="HQ140" i="40"/>
  <c r="DB341" i="40"/>
  <c r="C343" i="40"/>
  <c r="A342" i="40"/>
  <c r="AZ342" i="40"/>
  <c r="BD342" i="40"/>
  <c r="BH342" i="40"/>
  <c r="BL342" i="40"/>
  <c r="BP342" i="40"/>
  <c r="BT342" i="40"/>
  <c r="BX342" i="40"/>
  <c r="CB342" i="40"/>
  <c r="CF342" i="40"/>
  <c r="DM342" i="40"/>
  <c r="DV342" i="40"/>
  <c r="BA342" i="40"/>
  <c r="BE342" i="40"/>
  <c r="BI342" i="40"/>
  <c r="BM342" i="40"/>
  <c r="BQ342" i="40"/>
  <c r="BU342" i="40"/>
  <c r="BY342" i="40"/>
  <c r="CC342" i="40"/>
  <c r="CG342" i="40"/>
  <c r="DS342" i="40"/>
  <c r="DW342" i="40"/>
  <c r="AW342" i="40"/>
  <c r="BB342" i="40"/>
  <c r="BF342" i="40"/>
  <c r="BJ342" i="40"/>
  <c r="BN342" i="40"/>
  <c r="BR342" i="40"/>
  <c r="BV342" i="40"/>
  <c r="BZ342" i="40"/>
  <c r="CD342" i="40"/>
  <c r="CH342" i="40"/>
  <c r="DT342" i="40"/>
  <c r="BC342" i="40"/>
  <c r="BS342" i="40"/>
  <c r="CJ342" i="40"/>
  <c r="BG342" i="40"/>
  <c r="BW342" i="40"/>
  <c r="DU342" i="40"/>
  <c r="BK342" i="40"/>
  <c r="CA342" i="40"/>
  <c r="AX342" i="40"/>
  <c r="BO342" i="40"/>
  <c r="JO342" i="40"/>
  <c r="CE342" i="40"/>
  <c r="IY342" i="40"/>
  <c r="HZ342" i="40"/>
  <c r="IA342" i="40"/>
  <c r="IX342" i="40"/>
  <c r="IZ342" i="40"/>
  <c r="HY342" i="40"/>
  <c r="JP342" i="40"/>
  <c r="IO141" i="40"/>
  <c r="JA141" i="40" s="1"/>
  <c r="HS141" i="40"/>
  <c r="CV341" i="40"/>
  <c r="AP141" i="40"/>
  <c r="HR141" i="40"/>
  <c r="KO137" i="40"/>
  <c r="JI140" i="40"/>
  <c r="CQ341" i="40"/>
  <c r="AO341" i="40"/>
  <c r="CP141" i="40"/>
  <c r="HV141" i="40" s="1"/>
  <c r="AN141" i="40"/>
  <c r="AM141" i="40"/>
  <c r="CK141" i="40"/>
  <c r="IP141" i="40"/>
  <c r="JB141" i="40" s="1"/>
  <c r="IQ141" i="40"/>
  <c r="JC141" i="40" s="1"/>
  <c r="IK142" i="40"/>
  <c r="IN142" i="40" s="1"/>
  <c r="II142" i="40"/>
  <c r="IL142" i="40" s="1"/>
  <c r="IJ142" i="40"/>
  <c r="IM142" i="40" s="1"/>
  <c r="JF142" i="40"/>
  <c r="HO142" i="40" s="1"/>
  <c r="HR142" i="40" s="1"/>
  <c r="C143" i="40"/>
  <c r="AX142" i="40"/>
  <c r="BC142" i="40"/>
  <c r="BG142" i="40"/>
  <c r="BK142" i="40"/>
  <c r="BO142" i="40"/>
  <c r="BS142" i="40"/>
  <c r="BW142" i="40"/>
  <c r="CA142" i="40"/>
  <c r="CE142" i="40"/>
  <c r="CJ142" i="40"/>
  <c r="DU142" i="40"/>
  <c r="AZ142" i="40"/>
  <c r="BD142" i="40"/>
  <c r="BH142" i="40"/>
  <c r="BL142" i="40"/>
  <c r="BP142" i="40"/>
  <c r="BT142" i="40"/>
  <c r="BX142" i="40"/>
  <c r="CB142" i="40"/>
  <c r="CF142" i="40"/>
  <c r="DM142" i="40"/>
  <c r="DV142" i="40"/>
  <c r="BA142" i="40"/>
  <c r="BE142" i="40"/>
  <c r="BI142" i="40"/>
  <c r="BM142" i="40"/>
  <c r="BQ142" i="40"/>
  <c r="BU142" i="40"/>
  <c r="BY142" i="40"/>
  <c r="CC142" i="40"/>
  <c r="CG142" i="40"/>
  <c r="DS142" i="40"/>
  <c r="DW142" i="40"/>
  <c r="A142" i="40"/>
  <c r="BB142" i="40"/>
  <c r="BR142" i="40"/>
  <c r="CH142" i="40"/>
  <c r="BF142" i="40"/>
  <c r="BV142" i="40"/>
  <c r="DT142" i="40"/>
  <c r="BJ142" i="40"/>
  <c r="BZ142" i="40"/>
  <c r="BN142" i="40"/>
  <c r="CD142" i="40"/>
  <c r="AW142" i="40"/>
  <c r="JO142" i="40"/>
  <c r="IX142" i="40"/>
  <c r="IZ142" i="40"/>
  <c r="HZ142" i="40"/>
  <c r="IA142" i="40"/>
  <c r="HY142" i="40"/>
  <c r="IY142" i="40"/>
  <c r="JP142" i="40"/>
  <c r="JG142" i="40"/>
  <c r="HU141" i="40"/>
  <c r="CI142" i="40" l="1"/>
  <c r="CI625" i="40"/>
  <c r="CI226" i="40"/>
  <c r="CI426" i="40"/>
  <c r="CI525" i="40"/>
  <c r="HY641" i="40"/>
  <c r="IX641" i="40" s="1"/>
  <c r="CV642" i="40"/>
  <c r="DB642" i="40"/>
  <c r="CV242" i="40"/>
  <c r="AP242" i="40"/>
  <c r="HZ641" i="40"/>
  <c r="IY641" i="40" s="1"/>
  <c r="IA641" i="40"/>
  <c r="IZ641" i="40" s="1"/>
  <c r="CV441" i="40"/>
  <c r="CP541" i="40"/>
  <c r="AN541" i="40"/>
  <c r="AI442" i="40"/>
  <c r="AE442" i="40"/>
  <c r="AA442" i="40"/>
  <c r="W442" i="40"/>
  <c r="CU442" i="40" s="1"/>
  <c r="S442" i="40"/>
  <c r="O442" i="40"/>
  <c r="CO442" i="40" s="1"/>
  <c r="K442" i="40"/>
  <c r="G442" i="40"/>
  <c r="AH442" i="40"/>
  <c r="AD442" i="40"/>
  <c r="Z442" i="40"/>
  <c r="V442" i="40"/>
  <c r="CT442" i="40" s="1"/>
  <c r="R442" i="40"/>
  <c r="N442" i="40"/>
  <c r="CN442" i="40" s="1"/>
  <c r="J442" i="40"/>
  <c r="F442" i="40"/>
  <c r="AG442" i="40"/>
  <c r="AC442" i="40"/>
  <c r="Y442" i="40"/>
  <c r="U442" i="40"/>
  <c r="CS442" i="40" s="1"/>
  <c r="Q442" i="40"/>
  <c r="M442" i="40"/>
  <c r="CM442" i="40" s="1"/>
  <c r="I442" i="40"/>
  <c r="E442" i="40"/>
  <c r="AJ442" i="40"/>
  <c r="T442" i="40"/>
  <c r="CR442" i="40" s="1"/>
  <c r="AF442" i="40"/>
  <c r="P442" i="40"/>
  <c r="AB442" i="40"/>
  <c r="L442" i="40"/>
  <c r="CL442" i="40" s="1"/>
  <c r="H442" i="40"/>
  <c r="X442" i="40"/>
  <c r="AP541" i="40"/>
  <c r="AN642" i="40"/>
  <c r="CP642" i="40"/>
  <c r="CK642" i="40"/>
  <c r="AM642" i="40"/>
  <c r="AG243" i="40"/>
  <c r="AC243" i="40"/>
  <c r="Y243" i="40"/>
  <c r="U243" i="40"/>
  <c r="CS243" i="40" s="1"/>
  <c r="Q243" i="40"/>
  <c r="M243" i="40"/>
  <c r="CM243" i="40" s="1"/>
  <c r="I243" i="40"/>
  <c r="E243" i="40"/>
  <c r="AJ243" i="40"/>
  <c r="AF243" i="40"/>
  <c r="AB243" i="40"/>
  <c r="X243" i="40"/>
  <c r="T243" i="40"/>
  <c r="CR243" i="40" s="1"/>
  <c r="P243" i="40"/>
  <c r="L243" i="40"/>
  <c r="CL243" i="40" s="1"/>
  <c r="H243" i="40"/>
  <c r="AI243" i="40"/>
  <c r="AE243" i="40"/>
  <c r="AA243" i="40"/>
  <c r="CI327" i="40" s="1"/>
  <c r="W243" i="40"/>
  <c r="CU243" i="40" s="1"/>
  <c r="S243" i="40"/>
  <c r="O243" i="40"/>
  <c r="CO243" i="40" s="1"/>
  <c r="K243" i="40"/>
  <c r="G243" i="40"/>
  <c r="AH243" i="40"/>
  <c r="R243" i="40"/>
  <c r="AD243" i="40"/>
  <c r="N243" i="40"/>
  <c r="Z243" i="40"/>
  <c r="DB243" i="40" s="1"/>
  <c r="J243" i="40"/>
  <c r="V243" i="40"/>
  <c r="CT243" i="40" s="1"/>
  <c r="F243" i="40"/>
  <c r="CK541" i="40"/>
  <c r="AM541" i="40"/>
  <c r="CV541" i="40"/>
  <c r="DB541" i="40"/>
  <c r="CQ642" i="40"/>
  <c r="AO642" i="40"/>
  <c r="I643" i="40"/>
  <c r="AJ643" i="40"/>
  <c r="AC643" i="40"/>
  <c r="CJ643" i="40"/>
  <c r="CD643" i="40"/>
  <c r="BN643" i="40"/>
  <c r="AX643" i="40"/>
  <c r="CG643" i="40"/>
  <c r="BQ643" i="40"/>
  <c r="BA643" i="40"/>
  <c r="A643" i="40"/>
  <c r="BX643" i="40"/>
  <c r="BH643" i="40"/>
  <c r="P643" i="40"/>
  <c r="K643" i="40"/>
  <c r="G643" i="40"/>
  <c r="C644" i="40"/>
  <c r="R643" i="40"/>
  <c r="JO643" i="40"/>
  <c r="AE643" i="40"/>
  <c r="DV643" i="40"/>
  <c r="BZ643" i="40"/>
  <c r="BJ643" i="40"/>
  <c r="N643" i="40"/>
  <c r="CN643" i="40" s="1"/>
  <c r="CC643" i="40"/>
  <c r="BM643" i="40"/>
  <c r="AW643" i="40"/>
  <c r="DT643" i="40"/>
  <c r="BT643" i="40"/>
  <c r="BD643" i="40"/>
  <c r="L643" i="40"/>
  <c r="CL643" i="40" s="1"/>
  <c r="DW643" i="40"/>
  <c r="DS643" i="40"/>
  <c r="CE643" i="40"/>
  <c r="JP643" i="40"/>
  <c r="AF643" i="40"/>
  <c r="DM643" i="40"/>
  <c r="BV643" i="40"/>
  <c r="BF643" i="40"/>
  <c r="J643" i="40"/>
  <c r="BY643" i="40"/>
  <c r="BI643" i="40"/>
  <c r="AG643" i="40"/>
  <c r="CF643" i="40"/>
  <c r="BP643" i="40"/>
  <c r="AZ643" i="40"/>
  <c r="CA643" i="40"/>
  <c r="BW643" i="40"/>
  <c r="BS643" i="40"/>
  <c r="O643" i="40"/>
  <c r="CO643" i="40" s="1"/>
  <c r="W643" i="40"/>
  <c r="CU643" i="40" s="1"/>
  <c r="DU643" i="40"/>
  <c r="CB643" i="40"/>
  <c r="BG643" i="40"/>
  <c r="CH643" i="40"/>
  <c r="BU643" i="40"/>
  <c r="BL643" i="40"/>
  <c r="BC643" i="40"/>
  <c r="F643" i="40"/>
  <c r="M643" i="40"/>
  <c r="CM643" i="40" s="1"/>
  <c r="KN643" i="40"/>
  <c r="H643" i="40"/>
  <c r="BR643" i="40"/>
  <c r="BE643" i="40"/>
  <c r="AB643" i="40"/>
  <c r="BO643" i="40"/>
  <c r="BK643" i="40"/>
  <c r="AI643" i="40"/>
  <c r="BB643" i="40"/>
  <c r="T643" i="40"/>
  <c r="CR643" i="40" s="1"/>
  <c r="AH643" i="40"/>
  <c r="Z643" i="40"/>
  <c r="U643" i="40"/>
  <c r="CS643" i="40" s="1"/>
  <c r="X643" i="40"/>
  <c r="Q643" i="40"/>
  <c r="V643" i="40"/>
  <c r="CT643" i="40" s="1"/>
  <c r="S643" i="40"/>
  <c r="AD643" i="40"/>
  <c r="AA643" i="40"/>
  <c r="E643" i="40"/>
  <c r="Y643" i="40"/>
  <c r="AG143" i="40"/>
  <c r="AC143" i="40"/>
  <c r="Y143" i="40"/>
  <c r="U143" i="40"/>
  <c r="CS143" i="40" s="1"/>
  <c r="Q143" i="40"/>
  <c r="M143" i="40"/>
  <c r="CM143" i="40" s="1"/>
  <c r="I143" i="40"/>
  <c r="E143" i="40"/>
  <c r="AI143" i="40"/>
  <c r="AE143" i="40"/>
  <c r="AA143" i="40"/>
  <c r="W143" i="40"/>
  <c r="CU143" i="40" s="1"/>
  <c r="S143" i="40"/>
  <c r="O143" i="40"/>
  <c r="CO143" i="40" s="1"/>
  <c r="K143" i="40"/>
  <c r="G143" i="40"/>
  <c r="AF143" i="40"/>
  <c r="X143" i="40"/>
  <c r="P143" i="40"/>
  <c r="H143" i="40"/>
  <c r="Z143" i="40"/>
  <c r="AD143" i="40"/>
  <c r="V143" i="40"/>
  <c r="CT143" i="40" s="1"/>
  <c r="N143" i="40"/>
  <c r="CN143" i="40" s="1"/>
  <c r="F143" i="40"/>
  <c r="AH143" i="40"/>
  <c r="J143" i="40"/>
  <c r="AJ143" i="40"/>
  <c r="AB143" i="40"/>
  <c r="T143" i="40"/>
  <c r="CR143" i="40" s="1"/>
  <c r="L143" i="40"/>
  <c r="CL143" i="40" s="1"/>
  <c r="R143" i="40"/>
  <c r="AJ343" i="40"/>
  <c r="AF343" i="40"/>
  <c r="AB343" i="40"/>
  <c r="X343" i="40"/>
  <c r="T343" i="40"/>
  <c r="CR343" i="40" s="1"/>
  <c r="P343" i="40"/>
  <c r="L343" i="40"/>
  <c r="CL343" i="40" s="1"/>
  <c r="H343" i="40"/>
  <c r="AH343" i="40"/>
  <c r="AD343" i="40"/>
  <c r="Z343" i="40"/>
  <c r="V343" i="40"/>
  <c r="CT343" i="40" s="1"/>
  <c r="R343" i="40"/>
  <c r="N343" i="40"/>
  <c r="CN343" i="40" s="1"/>
  <c r="J343" i="40"/>
  <c r="F343" i="40"/>
  <c r="AC343" i="40"/>
  <c r="U343" i="40"/>
  <c r="CS343" i="40" s="1"/>
  <c r="M343" i="40"/>
  <c r="CM343" i="40" s="1"/>
  <c r="E343" i="40"/>
  <c r="AI343" i="40"/>
  <c r="AA343" i="40"/>
  <c r="S343" i="40"/>
  <c r="K343" i="40"/>
  <c r="AG343" i="40"/>
  <c r="Y343" i="40"/>
  <c r="Q343" i="40"/>
  <c r="I343" i="40"/>
  <c r="G343" i="40"/>
  <c r="AE343" i="40"/>
  <c r="W343" i="40"/>
  <c r="CU343" i="40" s="1"/>
  <c r="O343" i="40"/>
  <c r="CO343" i="40" s="1"/>
  <c r="AH542" i="40"/>
  <c r="AD542" i="40"/>
  <c r="Z542" i="40"/>
  <c r="V542" i="40"/>
  <c r="CT542" i="40" s="1"/>
  <c r="R542" i="40"/>
  <c r="N542" i="40"/>
  <c r="CN542" i="40" s="1"/>
  <c r="J542" i="40"/>
  <c r="F542" i="40"/>
  <c r="AG542" i="40"/>
  <c r="AC542" i="40"/>
  <c r="Y542" i="40"/>
  <c r="U542" i="40"/>
  <c r="CS542" i="40" s="1"/>
  <c r="Q542" i="40"/>
  <c r="M542" i="40"/>
  <c r="CM542" i="40" s="1"/>
  <c r="I542" i="40"/>
  <c r="E542" i="40"/>
  <c r="AJ542" i="40"/>
  <c r="AF542" i="40"/>
  <c r="AB542" i="40"/>
  <c r="X542" i="40"/>
  <c r="T542" i="40"/>
  <c r="CR542" i="40" s="1"/>
  <c r="P542" i="40"/>
  <c r="L542" i="40"/>
  <c r="CL542" i="40" s="1"/>
  <c r="H542" i="40"/>
  <c r="W542" i="40"/>
  <c r="CU542" i="40" s="1"/>
  <c r="G542" i="40"/>
  <c r="AI542" i="40"/>
  <c r="S542" i="40"/>
  <c r="AE542" i="40"/>
  <c r="O542" i="40"/>
  <c r="CO542" i="40" s="1"/>
  <c r="AA542" i="40"/>
  <c r="CI626" i="40" s="1"/>
  <c r="K542" i="40"/>
  <c r="C543" i="40"/>
  <c r="BI542" i="40"/>
  <c r="BY542" i="40"/>
  <c r="DW542" i="40"/>
  <c r="BJ542" i="40"/>
  <c r="BZ542" i="40"/>
  <c r="BG542" i="40"/>
  <c r="BW542" i="40"/>
  <c r="DU542" i="40"/>
  <c r="JO542" i="40"/>
  <c r="CF542" i="40"/>
  <c r="DM542" i="40"/>
  <c r="HY542" i="40"/>
  <c r="IY542" i="40"/>
  <c r="BA542" i="40"/>
  <c r="BQ542" i="40"/>
  <c r="BB542" i="40"/>
  <c r="BR542" i="40"/>
  <c r="CH542" i="40"/>
  <c r="AX542" i="40"/>
  <c r="BO542" i="40"/>
  <c r="CE542" i="40"/>
  <c r="AZ542" i="40"/>
  <c r="BX542" i="40"/>
  <c r="BM542" i="40"/>
  <c r="CC542" i="40"/>
  <c r="AW542" i="40"/>
  <c r="BN542" i="40"/>
  <c r="CD542" i="40"/>
  <c r="BK542" i="40"/>
  <c r="CA542" i="40"/>
  <c r="BH542" i="40"/>
  <c r="DV542" i="40"/>
  <c r="A542" i="40"/>
  <c r="IA542" i="40"/>
  <c r="JP542" i="40"/>
  <c r="CG542" i="40"/>
  <c r="BL542" i="40"/>
  <c r="BD542" i="40"/>
  <c r="IZ542" i="40"/>
  <c r="BE542" i="40"/>
  <c r="BU542" i="40"/>
  <c r="DS542" i="40"/>
  <c r="BF542" i="40"/>
  <c r="BV542" i="40"/>
  <c r="DT542" i="40"/>
  <c r="BC542" i="40"/>
  <c r="BS542" i="40"/>
  <c r="CJ542" i="40"/>
  <c r="CB542" i="40"/>
  <c r="BP542" i="40"/>
  <c r="BT542" i="40"/>
  <c r="HZ542" i="40"/>
  <c r="IX542" i="40"/>
  <c r="AO541" i="40"/>
  <c r="CQ541" i="40"/>
  <c r="AP642" i="40"/>
  <c r="JJ140" i="40"/>
  <c r="D141" i="40"/>
  <c r="AY141" i="40" s="1"/>
  <c r="AM441" i="40"/>
  <c r="CK441" i="40"/>
  <c r="DB441" i="40"/>
  <c r="AW442" i="40"/>
  <c r="BN442" i="40"/>
  <c r="CD442" i="40"/>
  <c r="BC442" i="40"/>
  <c r="BS442" i="40"/>
  <c r="CJ442" i="40"/>
  <c r="BD442" i="40"/>
  <c r="BT442" i="40"/>
  <c r="DM442" i="40"/>
  <c r="BQ442" i="40"/>
  <c r="BU442" i="40"/>
  <c r="BI442" i="40"/>
  <c r="JO442" i="40"/>
  <c r="HZ442" i="40"/>
  <c r="IX442" i="40"/>
  <c r="BB442" i="40"/>
  <c r="BR442" i="40"/>
  <c r="CH442" i="40"/>
  <c r="BG442" i="40"/>
  <c r="BW442" i="40"/>
  <c r="DU442" i="40"/>
  <c r="BH442" i="40"/>
  <c r="BX442" i="40"/>
  <c r="DV442" i="40"/>
  <c r="CG442" i="40"/>
  <c r="DS442" i="40"/>
  <c r="BY442" i="40"/>
  <c r="BM442" i="40"/>
  <c r="HY442" i="40"/>
  <c r="IY442" i="40"/>
  <c r="C443" i="40"/>
  <c r="BF442" i="40"/>
  <c r="BV442" i="40"/>
  <c r="DT442" i="40"/>
  <c r="BK442" i="40"/>
  <c r="CA442" i="40"/>
  <c r="A442" i="40"/>
  <c r="BL442" i="40"/>
  <c r="CB442" i="40"/>
  <c r="DW442" i="40"/>
  <c r="IA442" i="40"/>
  <c r="BJ442" i="40"/>
  <c r="BZ442" i="40"/>
  <c r="AX442" i="40"/>
  <c r="BO442" i="40"/>
  <c r="CE442" i="40"/>
  <c r="AZ442" i="40"/>
  <c r="BP442" i="40"/>
  <c r="CF442" i="40"/>
  <c r="BA442" i="40"/>
  <c r="BE442" i="40"/>
  <c r="CC442" i="40"/>
  <c r="IZ442" i="40"/>
  <c r="JP442" i="40"/>
  <c r="CP441" i="40"/>
  <c r="AN441" i="40"/>
  <c r="AP441" i="40"/>
  <c r="AO441" i="40"/>
  <c r="CQ441" i="40"/>
  <c r="DB242" i="40"/>
  <c r="AM242" i="40"/>
  <c r="CK242" i="40"/>
  <c r="BE243" i="40"/>
  <c r="BU243" i="40"/>
  <c r="DS243" i="40"/>
  <c r="BB243" i="40"/>
  <c r="BR243" i="40"/>
  <c r="CH243" i="40"/>
  <c r="BG243" i="40"/>
  <c r="BW243" i="40"/>
  <c r="DU243" i="40"/>
  <c r="BX243" i="40"/>
  <c r="CB243" i="40"/>
  <c r="CF243" i="40"/>
  <c r="DM243" i="40"/>
  <c r="IA243" i="40"/>
  <c r="IZ243" i="40"/>
  <c r="IY243" i="40"/>
  <c r="CN243" i="40"/>
  <c r="BA243" i="40"/>
  <c r="CG243" i="40"/>
  <c r="AW243" i="40"/>
  <c r="BN243" i="40"/>
  <c r="BC243" i="40"/>
  <c r="CJ243" i="40"/>
  <c r="BL243" i="40"/>
  <c r="C244" i="40"/>
  <c r="BI243" i="40"/>
  <c r="BY243" i="40"/>
  <c r="DW243" i="40"/>
  <c r="BF243" i="40"/>
  <c r="BV243" i="40"/>
  <c r="DT243" i="40"/>
  <c r="BK243" i="40"/>
  <c r="CA243" i="40"/>
  <c r="A243" i="40"/>
  <c r="DV243" i="40"/>
  <c r="JO243" i="40"/>
  <c r="HZ243" i="40"/>
  <c r="JP243" i="40"/>
  <c r="BS243" i="40"/>
  <c r="BP243" i="40"/>
  <c r="BM243" i="40"/>
  <c r="CC243" i="40"/>
  <c r="BJ243" i="40"/>
  <c r="BZ243" i="40"/>
  <c r="AX243" i="40"/>
  <c r="BO243" i="40"/>
  <c r="CE243" i="40"/>
  <c r="AZ243" i="40"/>
  <c r="BD243" i="40"/>
  <c r="HY243" i="40"/>
  <c r="BT243" i="40"/>
  <c r="BQ243" i="40"/>
  <c r="CD243" i="40"/>
  <c r="BH243" i="40"/>
  <c r="IX243" i="40"/>
  <c r="AO242" i="40"/>
  <c r="CQ242" i="40"/>
  <c r="CP242" i="40"/>
  <c r="AN242" i="40"/>
  <c r="HM142" i="40"/>
  <c r="HP142" i="40" s="1"/>
  <c r="IQ142" i="40"/>
  <c r="JC142" i="40" s="1"/>
  <c r="DB342" i="40"/>
  <c r="IO142" i="40"/>
  <c r="JA142" i="40" s="1"/>
  <c r="E46" i="44"/>
  <c r="AM142" i="40"/>
  <c r="CK142" i="40"/>
  <c r="HT142" i="40"/>
  <c r="HX141" i="40"/>
  <c r="AO342" i="40"/>
  <c r="CQ342" i="40"/>
  <c r="AN342" i="40"/>
  <c r="CP342" i="40"/>
  <c r="JI141" i="40"/>
  <c r="AP142" i="40"/>
  <c r="IK143" i="40"/>
  <c r="IN143" i="40" s="1"/>
  <c r="IJ143" i="40"/>
  <c r="IM143" i="40" s="1"/>
  <c r="JF143" i="40"/>
  <c r="HO143" i="40" s="1"/>
  <c r="II143" i="40"/>
  <c r="IL143" i="40" s="1"/>
  <c r="C144" i="40"/>
  <c r="AX143" i="40"/>
  <c r="BC143" i="40"/>
  <c r="BG143" i="40"/>
  <c r="BK143" i="40"/>
  <c r="BO143" i="40"/>
  <c r="BS143" i="40"/>
  <c r="BW143" i="40"/>
  <c r="CA143" i="40"/>
  <c r="CE143" i="40"/>
  <c r="CJ143" i="40"/>
  <c r="DU143" i="40"/>
  <c r="AZ143" i="40"/>
  <c r="BD143" i="40"/>
  <c r="BH143" i="40"/>
  <c r="BL143" i="40"/>
  <c r="BP143" i="40"/>
  <c r="BT143" i="40"/>
  <c r="BX143" i="40"/>
  <c r="CB143" i="40"/>
  <c r="CF143" i="40"/>
  <c r="DM143" i="40"/>
  <c r="DV143" i="40"/>
  <c r="BA143" i="40"/>
  <c r="BE143" i="40"/>
  <c r="BI143" i="40"/>
  <c r="BM143" i="40"/>
  <c r="BQ143" i="40"/>
  <c r="BU143" i="40"/>
  <c r="BY143" i="40"/>
  <c r="CC143" i="40"/>
  <c r="CG143" i="40"/>
  <c r="DS143" i="40"/>
  <c r="DW143" i="40"/>
  <c r="BJ143" i="40"/>
  <c r="BZ143" i="40"/>
  <c r="AW143" i="40"/>
  <c r="BN143" i="40"/>
  <c r="CD143" i="40"/>
  <c r="A143" i="40"/>
  <c r="BB143" i="40"/>
  <c r="BR143" i="40"/>
  <c r="CH143" i="40"/>
  <c r="BF143" i="40"/>
  <c r="BV143" i="40"/>
  <c r="DT143" i="40"/>
  <c r="JO143" i="40"/>
  <c r="IX143" i="40"/>
  <c r="IZ143" i="40"/>
  <c r="HY143" i="40"/>
  <c r="HZ143" i="40"/>
  <c r="IA143" i="40"/>
  <c r="IY143" i="40"/>
  <c r="JP143" i="40"/>
  <c r="JG143" i="40"/>
  <c r="HS142" i="40"/>
  <c r="HW141" i="40"/>
  <c r="IC141" i="40" s="1"/>
  <c r="CK342" i="40"/>
  <c r="AM342" i="40"/>
  <c r="JM139" i="40"/>
  <c r="CP142" i="40"/>
  <c r="HW142" i="40" s="1"/>
  <c r="AN142" i="40"/>
  <c r="IP142" i="40"/>
  <c r="JB142" i="40" s="1"/>
  <c r="HN142" i="40"/>
  <c r="HQ142" i="40" s="1"/>
  <c r="HU142" i="40"/>
  <c r="JH141" i="40"/>
  <c r="AP342" i="40"/>
  <c r="C344" i="40"/>
  <c r="AW343" i="40"/>
  <c r="BB343" i="40"/>
  <c r="BF343" i="40"/>
  <c r="BJ343" i="40"/>
  <c r="BN343" i="40"/>
  <c r="BR343" i="40"/>
  <c r="BV343" i="40"/>
  <c r="BZ343" i="40"/>
  <c r="CD343" i="40"/>
  <c r="CH343" i="40"/>
  <c r="DT343" i="40"/>
  <c r="AX343" i="40"/>
  <c r="BC343" i="40"/>
  <c r="BG343" i="40"/>
  <c r="BK343" i="40"/>
  <c r="BO343" i="40"/>
  <c r="BS343" i="40"/>
  <c r="BW343" i="40"/>
  <c r="CA343" i="40"/>
  <c r="CE343" i="40"/>
  <c r="CJ343" i="40"/>
  <c r="DU343" i="40"/>
  <c r="A343" i="40"/>
  <c r="AZ343" i="40"/>
  <c r="BD343" i="40"/>
  <c r="BH343" i="40"/>
  <c r="BL343" i="40"/>
  <c r="BP343" i="40"/>
  <c r="BT343" i="40"/>
  <c r="BX343" i="40"/>
  <c r="CB343" i="40"/>
  <c r="CF343" i="40"/>
  <c r="DM343" i="40"/>
  <c r="DV343" i="40"/>
  <c r="BA343" i="40"/>
  <c r="BQ343" i="40"/>
  <c r="CG343" i="40"/>
  <c r="BE343" i="40"/>
  <c r="BU343" i="40"/>
  <c r="DS343" i="40"/>
  <c r="BI343" i="40"/>
  <c r="BY343" i="40"/>
  <c r="DW343" i="40"/>
  <c r="BM343" i="40"/>
  <c r="JO343" i="40"/>
  <c r="CC343" i="40"/>
  <c r="IY343" i="40"/>
  <c r="IZ343" i="40"/>
  <c r="HZ343" i="40"/>
  <c r="IA343" i="40"/>
  <c r="IX343" i="40"/>
  <c r="HY343" i="40"/>
  <c r="JP343" i="40"/>
  <c r="IC140" i="40"/>
  <c r="JH140" i="40"/>
  <c r="CV142" i="40"/>
  <c r="AK142" i="40"/>
  <c r="AL142" i="40"/>
  <c r="AO142" i="40"/>
  <c r="CQ142" i="40"/>
  <c r="DB142" i="40"/>
  <c r="CV342" i="40"/>
  <c r="KO138" i="40"/>
  <c r="HZ642" i="40" l="1"/>
  <c r="IY642" i="40" s="1"/>
  <c r="CI427" i="40"/>
  <c r="CI143" i="40"/>
  <c r="CI227" i="40"/>
  <c r="CI526" i="40"/>
  <c r="HY642" i="40"/>
  <c r="IX642" i="40" s="1"/>
  <c r="IQ143" i="40"/>
  <c r="JC143" i="40" s="1"/>
  <c r="CP643" i="40"/>
  <c r="AN643" i="40"/>
  <c r="CV243" i="40"/>
  <c r="AJ344" i="40"/>
  <c r="AF344" i="40"/>
  <c r="AB344" i="40"/>
  <c r="X344" i="40"/>
  <c r="T344" i="40"/>
  <c r="CR344" i="40" s="1"/>
  <c r="P344" i="40"/>
  <c r="L344" i="40"/>
  <c r="CL344" i="40" s="1"/>
  <c r="H344" i="40"/>
  <c r="AH344" i="40"/>
  <c r="AD344" i="40"/>
  <c r="Z344" i="40"/>
  <c r="V344" i="40"/>
  <c r="CT344" i="40" s="1"/>
  <c r="R344" i="40"/>
  <c r="N344" i="40"/>
  <c r="CN344" i="40" s="1"/>
  <c r="J344" i="40"/>
  <c r="F344" i="40"/>
  <c r="AC344" i="40"/>
  <c r="U344" i="40"/>
  <c r="CS344" i="40" s="1"/>
  <c r="M344" i="40"/>
  <c r="CM344" i="40" s="1"/>
  <c r="E344" i="40"/>
  <c r="AI344" i="40"/>
  <c r="AA344" i="40"/>
  <c r="S344" i="40"/>
  <c r="K344" i="40"/>
  <c r="AG344" i="40"/>
  <c r="Y344" i="40"/>
  <c r="Q344" i="40"/>
  <c r="I344" i="40"/>
  <c r="G344" i="40"/>
  <c r="AE344" i="40"/>
  <c r="W344" i="40"/>
  <c r="CU344" i="40" s="1"/>
  <c r="O344" i="40"/>
  <c r="CO344" i="40" s="1"/>
  <c r="AG144" i="40"/>
  <c r="AC144" i="40"/>
  <c r="Y144" i="40"/>
  <c r="U144" i="40"/>
  <c r="CS144" i="40" s="1"/>
  <c r="Q144" i="40"/>
  <c r="M144" i="40"/>
  <c r="CM144" i="40" s="1"/>
  <c r="I144" i="40"/>
  <c r="E144" i="40"/>
  <c r="AI144" i="40"/>
  <c r="AE144" i="40"/>
  <c r="AA144" i="40"/>
  <c r="W144" i="40"/>
  <c r="CU144" i="40" s="1"/>
  <c r="S144" i="40"/>
  <c r="O144" i="40"/>
  <c r="CO144" i="40" s="1"/>
  <c r="K144" i="40"/>
  <c r="G144" i="40"/>
  <c r="AF144" i="40"/>
  <c r="X144" i="40"/>
  <c r="P144" i="40"/>
  <c r="H144" i="40"/>
  <c r="AH144" i="40"/>
  <c r="J144" i="40"/>
  <c r="AD144" i="40"/>
  <c r="V144" i="40"/>
  <c r="N144" i="40"/>
  <c r="CN144" i="40" s="1"/>
  <c r="F144" i="40"/>
  <c r="Z144" i="40"/>
  <c r="AJ144" i="40"/>
  <c r="AB144" i="40"/>
  <c r="T144" i="40"/>
  <c r="CR144" i="40" s="1"/>
  <c r="L144" i="40"/>
  <c r="CL144" i="40" s="1"/>
  <c r="R144" i="40"/>
  <c r="AI543" i="40"/>
  <c r="AE543" i="40"/>
  <c r="AA543" i="40"/>
  <c r="W543" i="40"/>
  <c r="CU543" i="40" s="1"/>
  <c r="AH543" i="40"/>
  <c r="AD543" i="40"/>
  <c r="Z543" i="40"/>
  <c r="V543" i="40"/>
  <c r="CT543" i="40" s="1"/>
  <c r="AF543" i="40"/>
  <c r="X543" i="40"/>
  <c r="R543" i="40"/>
  <c r="N543" i="40"/>
  <c r="CN543" i="40" s="1"/>
  <c r="J543" i="40"/>
  <c r="F543" i="40"/>
  <c r="AC543" i="40"/>
  <c r="U543" i="40"/>
  <c r="CS543" i="40" s="1"/>
  <c r="Q543" i="40"/>
  <c r="M543" i="40"/>
  <c r="CM543" i="40" s="1"/>
  <c r="I543" i="40"/>
  <c r="E543" i="40"/>
  <c r="AJ543" i="40"/>
  <c r="AB543" i="40"/>
  <c r="T543" i="40"/>
  <c r="CR543" i="40" s="1"/>
  <c r="P543" i="40"/>
  <c r="L543" i="40"/>
  <c r="CL543" i="40" s="1"/>
  <c r="H543" i="40"/>
  <c r="Y543" i="40"/>
  <c r="G543" i="40"/>
  <c r="S543" i="40"/>
  <c r="O543" i="40"/>
  <c r="CO543" i="40" s="1"/>
  <c r="K543" i="40"/>
  <c r="AG543" i="40"/>
  <c r="BG543" i="40"/>
  <c r="BW543" i="40"/>
  <c r="DU543" i="40"/>
  <c r="BD543" i="40"/>
  <c r="BT543" i="40"/>
  <c r="DM543" i="40"/>
  <c r="BE543" i="40"/>
  <c r="BU543" i="40"/>
  <c r="DS543" i="40"/>
  <c r="AW543" i="40"/>
  <c r="BV543" i="40"/>
  <c r="BF543" i="40"/>
  <c r="IA543" i="40"/>
  <c r="JP543" i="40"/>
  <c r="BO543" i="40"/>
  <c r="BL543" i="40"/>
  <c r="BM543" i="40"/>
  <c r="BJ543" i="40"/>
  <c r="BR543" i="40"/>
  <c r="IY543" i="40"/>
  <c r="BC543" i="40"/>
  <c r="BS543" i="40"/>
  <c r="CJ543" i="40"/>
  <c r="AZ543" i="40"/>
  <c r="CF543" i="40"/>
  <c r="BA543" i="40"/>
  <c r="BQ543" i="40"/>
  <c r="BZ543" i="40"/>
  <c r="CH543" i="40"/>
  <c r="BK543" i="40"/>
  <c r="CA543" i="40"/>
  <c r="A543" i="40"/>
  <c r="BH543" i="40"/>
  <c r="BX543" i="40"/>
  <c r="DV543" i="40"/>
  <c r="BI543" i="40"/>
  <c r="BY543" i="40"/>
  <c r="DW543" i="40"/>
  <c r="BN543" i="40"/>
  <c r="BB543" i="40"/>
  <c r="DT543" i="40"/>
  <c r="IZ543" i="40"/>
  <c r="AX543" i="40"/>
  <c r="CE543" i="40"/>
  <c r="CB543" i="40"/>
  <c r="CC543" i="40"/>
  <c r="CD543" i="40"/>
  <c r="HZ543" i="40"/>
  <c r="C544" i="40"/>
  <c r="BP543" i="40"/>
  <c r="CG543" i="40"/>
  <c r="JO543" i="40"/>
  <c r="HY543" i="40"/>
  <c r="IX543" i="40"/>
  <c r="CP542" i="40"/>
  <c r="AN542" i="40"/>
  <c r="AP643" i="40"/>
  <c r="CK643" i="40"/>
  <c r="AM643" i="40"/>
  <c r="JK140" i="40"/>
  <c r="JL140" i="40" s="1"/>
  <c r="JM140" i="40" s="1"/>
  <c r="IA642" i="40"/>
  <c r="IZ642" i="40" s="1"/>
  <c r="AI443" i="40"/>
  <c r="AE443" i="40"/>
  <c r="AA443" i="40"/>
  <c r="W443" i="40"/>
  <c r="CU443" i="40" s="1"/>
  <c r="S443" i="40"/>
  <c r="O443" i="40"/>
  <c r="CO443" i="40" s="1"/>
  <c r="K443" i="40"/>
  <c r="G443" i="40"/>
  <c r="AH443" i="40"/>
  <c r="AD443" i="40"/>
  <c r="Z443" i="40"/>
  <c r="V443" i="40"/>
  <c r="CT443" i="40" s="1"/>
  <c r="R443" i="40"/>
  <c r="N443" i="40"/>
  <c r="CN443" i="40" s="1"/>
  <c r="J443" i="40"/>
  <c r="F443" i="40"/>
  <c r="AG443" i="40"/>
  <c r="AC443" i="40"/>
  <c r="Y443" i="40"/>
  <c r="U443" i="40"/>
  <c r="CS443" i="40" s="1"/>
  <c r="Q443" i="40"/>
  <c r="M443" i="40"/>
  <c r="CM443" i="40" s="1"/>
  <c r="I443" i="40"/>
  <c r="E443" i="40"/>
  <c r="AJ443" i="40"/>
  <c r="T443" i="40"/>
  <c r="CR443" i="40" s="1"/>
  <c r="AF443" i="40"/>
  <c r="P443" i="40"/>
  <c r="AB443" i="40"/>
  <c r="L443" i="40"/>
  <c r="CL443" i="40" s="1"/>
  <c r="X443" i="40"/>
  <c r="H443" i="40"/>
  <c r="CK542" i="40"/>
  <c r="AM542" i="40"/>
  <c r="CQ542" i="40"/>
  <c r="AO542" i="40"/>
  <c r="AP542" i="40"/>
  <c r="CV643" i="40"/>
  <c r="CQ643" i="40"/>
  <c r="AO643" i="40"/>
  <c r="AF644" i="40"/>
  <c r="DV644" i="40"/>
  <c r="BZ644" i="40"/>
  <c r="BJ644" i="40"/>
  <c r="N644" i="40"/>
  <c r="CN644" i="40" s="1"/>
  <c r="CC644" i="40"/>
  <c r="BM644" i="40"/>
  <c r="AW644" i="40"/>
  <c r="DT644" i="40"/>
  <c r="BT644" i="40"/>
  <c r="BD644" i="40"/>
  <c r="L644" i="40"/>
  <c r="CL644" i="40" s="1"/>
  <c r="O644" i="40"/>
  <c r="CO644" i="40" s="1"/>
  <c r="DW644" i="40"/>
  <c r="BC644" i="40"/>
  <c r="JO644" i="40"/>
  <c r="H644" i="40"/>
  <c r="AI644" i="40"/>
  <c r="F644" i="40"/>
  <c r="DM644" i="40"/>
  <c r="BV644" i="40"/>
  <c r="BF644" i="40"/>
  <c r="J644" i="40"/>
  <c r="BY644" i="40"/>
  <c r="BI644" i="40"/>
  <c r="AG644" i="40"/>
  <c r="CF644" i="40"/>
  <c r="BP644" i="40"/>
  <c r="AZ644" i="40"/>
  <c r="C645" i="40"/>
  <c r="CA644" i="40"/>
  <c r="BW644" i="40"/>
  <c r="DS644" i="40"/>
  <c r="JP644" i="40"/>
  <c r="I644" i="40"/>
  <c r="AJ644" i="40"/>
  <c r="AC644" i="40"/>
  <c r="CH644" i="40"/>
  <c r="BR644" i="40"/>
  <c r="BB644" i="40"/>
  <c r="DU644" i="40"/>
  <c r="BU644" i="40"/>
  <c r="BE644" i="40"/>
  <c r="M644" i="40"/>
  <c r="CM644" i="40" s="1"/>
  <c r="CB644" i="40"/>
  <c r="BL644" i="40"/>
  <c r="AB644" i="40"/>
  <c r="CE644" i="40"/>
  <c r="BK644" i="40"/>
  <c r="BG644" i="40"/>
  <c r="BS644" i="40"/>
  <c r="KN644" i="40"/>
  <c r="CJ644" i="40"/>
  <c r="AX644" i="40"/>
  <c r="A644" i="40"/>
  <c r="BO644" i="40"/>
  <c r="AE644" i="40"/>
  <c r="CG644" i="40"/>
  <c r="BX644" i="40"/>
  <c r="K644" i="40"/>
  <c r="W644" i="40"/>
  <c r="CU644" i="40" s="1"/>
  <c r="P644" i="40"/>
  <c r="CD644" i="40"/>
  <c r="BQ644" i="40"/>
  <c r="BH644" i="40"/>
  <c r="G644" i="40"/>
  <c r="BN644" i="40"/>
  <c r="BA644" i="40"/>
  <c r="AH644" i="40"/>
  <c r="T644" i="40"/>
  <c r="CR644" i="40" s="1"/>
  <c r="R644" i="40"/>
  <c r="Z644" i="40"/>
  <c r="U644" i="40"/>
  <c r="CS644" i="40" s="1"/>
  <c r="S644" i="40"/>
  <c r="V644" i="40"/>
  <c r="CT644" i="40" s="1"/>
  <c r="Q644" i="40"/>
  <c r="X644" i="40"/>
  <c r="AD644" i="40"/>
  <c r="AA644" i="40"/>
  <c r="E644" i="40"/>
  <c r="Y644" i="40"/>
  <c r="AG244" i="40"/>
  <c r="AC244" i="40"/>
  <c r="Y244" i="40"/>
  <c r="U244" i="40"/>
  <c r="CS244" i="40" s="1"/>
  <c r="Q244" i="40"/>
  <c r="M244" i="40"/>
  <c r="CM244" i="40" s="1"/>
  <c r="I244" i="40"/>
  <c r="E244" i="40"/>
  <c r="AJ244" i="40"/>
  <c r="AF244" i="40"/>
  <c r="AB244" i="40"/>
  <c r="X244" i="40"/>
  <c r="T244" i="40"/>
  <c r="CR244" i="40" s="1"/>
  <c r="P244" i="40"/>
  <c r="L244" i="40"/>
  <c r="CL244" i="40" s="1"/>
  <c r="H244" i="40"/>
  <c r="AI244" i="40"/>
  <c r="AE244" i="40"/>
  <c r="AA244" i="40"/>
  <c r="CI328" i="40" s="1"/>
  <c r="W244" i="40"/>
  <c r="CU244" i="40" s="1"/>
  <c r="S244" i="40"/>
  <c r="O244" i="40"/>
  <c r="CO244" i="40" s="1"/>
  <c r="K244" i="40"/>
  <c r="G244" i="40"/>
  <c r="AH244" i="40"/>
  <c r="R244" i="40"/>
  <c r="AD244" i="40"/>
  <c r="N244" i="40"/>
  <c r="CN244" i="40" s="1"/>
  <c r="Z244" i="40"/>
  <c r="DB244" i="40" s="1"/>
  <c r="J244" i="40"/>
  <c r="V244" i="40"/>
  <c r="CT244" i="40" s="1"/>
  <c r="F244" i="40"/>
  <c r="CV542" i="40"/>
  <c r="DB542" i="40"/>
  <c r="DB643" i="40"/>
  <c r="AM442" i="40"/>
  <c r="CK442" i="40"/>
  <c r="DB442" i="40"/>
  <c r="CV442" i="40"/>
  <c r="CP442" i="40"/>
  <c r="AN442" i="40"/>
  <c r="AP442" i="40"/>
  <c r="CQ442" i="40"/>
  <c r="AO442" i="40"/>
  <c r="C444" i="40"/>
  <c r="BH443" i="40"/>
  <c r="BX443" i="40"/>
  <c r="DV443" i="40"/>
  <c r="BI443" i="40"/>
  <c r="BY443" i="40"/>
  <c r="DW443" i="40"/>
  <c r="BF443" i="40"/>
  <c r="BV443" i="40"/>
  <c r="DT443" i="40"/>
  <c r="CE443" i="40"/>
  <c r="CJ443" i="40"/>
  <c r="DU443" i="40"/>
  <c r="BK443" i="40"/>
  <c r="IZ443" i="40"/>
  <c r="BE443" i="40"/>
  <c r="BR443" i="40"/>
  <c r="JO443" i="40"/>
  <c r="A443" i="40"/>
  <c r="BL443" i="40"/>
  <c r="CB443" i="40"/>
  <c r="BM443" i="40"/>
  <c r="CC443" i="40"/>
  <c r="BJ443" i="40"/>
  <c r="BZ443" i="40"/>
  <c r="CA443" i="40"/>
  <c r="HY443" i="40"/>
  <c r="JP443" i="40"/>
  <c r="AZ443" i="40"/>
  <c r="CF443" i="40"/>
  <c r="BQ443" i="40"/>
  <c r="BN443" i="40"/>
  <c r="AX443" i="40"/>
  <c r="BG443" i="40"/>
  <c r="IX443" i="40"/>
  <c r="BD443" i="40"/>
  <c r="DM443" i="40"/>
  <c r="BU443" i="40"/>
  <c r="CH443" i="40"/>
  <c r="BW443" i="40"/>
  <c r="IY443" i="40"/>
  <c r="BP443" i="40"/>
  <c r="BA443" i="40"/>
  <c r="CG443" i="40"/>
  <c r="AW443" i="40"/>
  <c r="CD443" i="40"/>
  <c r="BC443" i="40"/>
  <c r="HZ443" i="40"/>
  <c r="BB443" i="40"/>
  <c r="BO443" i="40"/>
  <c r="IA443" i="40"/>
  <c r="BT443" i="40"/>
  <c r="DS443" i="40"/>
  <c r="BS443" i="40"/>
  <c r="AX244" i="40"/>
  <c r="BO244" i="40"/>
  <c r="CE244" i="40"/>
  <c r="AZ244" i="40"/>
  <c r="BP244" i="40"/>
  <c r="CF244" i="40"/>
  <c r="BA244" i="40"/>
  <c r="BQ244" i="40"/>
  <c r="CG244" i="40"/>
  <c r="BF244" i="40"/>
  <c r="AW244" i="40"/>
  <c r="BB244" i="40"/>
  <c r="HY244" i="40"/>
  <c r="BC244" i="40"/>
  <c r="BS244" i="40"/>
  <c r="CJ244" i="40"/>
  <c r="BD244" i="40"/>
  <c r="BT244" i="40"/>
  <c r="DM244" i="40"/>
  <c r="BE244" i="40"/>
  <c r="BU244" i="40"/>
  <c r="DS244" i="40"/>
  <c r="BV244" i="40"/>
  <c r="BJ244" i="40"/>
  <c r="BN244" i="40"/>
  <c r="BR244" i="40"/>
  <c r="IZ244" i="40"/>
  <c r="BG244" i="40"/>
  <c r="BW244" i="40"/>
  <c r="DU244" i="40"/>
  <c r="BH244" i="40"/>
  <c r="BX244" i="40"/>
  <c r="DV244" i="40"/>
  <c r="BI244" i="40"/>
  <c r="BY244" i="40"/>
  <c r="DW244" i="40"/>
  <c r="DT244" i="40"/>
  <c r="BZ244" i="40"/>
  <c r="CD244" i="40"/>
  <c r="CH244" i="40"/>
  <c r="IA244" i="40"/>
  <c r="HZ244" i="40"/>
  <c r="IY244" i="40"/>
  <c r="C245" i="40"/>
  <c r="BK244" i="40"/>
  <c r="CA244" i="40"/>
  <c r="A244" i="40"/>
  <c r="BL244" i="40"/>
  <c r="CB244" i="40"/>
  <c r="BM244" i="40"/>
  <c r="CC244" i="40"/>
  <c r="JO244" i="40"/>
  <c r="IX244" i="40"/>
  <c r="JP244" i="40"/>
  <c r="CP243" i="40"/>
  <c r="AN243" i="40"/>
  <c r="AP243" i="40"/>
  <c r="CK243" i="40"/>
  <c r="AM243" i="40"/>
  <c r="CQ243" i="40"/>
  <c r="AO243" i="40"/>
  <c r="IO143" i="40"/>
  <c r="JA143" i="40" s="1"/>
  <c r="DB343" i="40"/>
  <c r="D142" i="40"/>
  <c r="AY142" i="40" s="1"/>
  <c r="HM143" i="40"/>
  <c r="HP143" i="40" s="1"/>
  <c r="HN143" i="40"/>
  <c r="HQ143" i="40" s="1"/>
  <c r="IC142" i="40"/>
  <c r="E47" i="44"/>
  <c r="AN343" i="40"/>
  <c r="CP343" i="40"/>
  <c r="HV142" i="40"/>
  <c r="CQ143" i="40"/>
  <c r="AO143" i="40"/>
  <c r="AM143" i="40"/>
  <c r="CK143" i="40"/>
  <c r="HT143" i="40"/>
  <c r="JJ141" i="40"/>
  <c r="JK141" i="40" s="1"/>
  <c r="JL141" i="40" s="1"/>
  <c r="CK343" i="40"/>
  <c r="AM343" i="40"/>
  <c r="HX142" i="40"/>
  <c r="DB143" i="40"/>
  <c r="IK144" i="40"/>
  <c r="IN144" i="40" s="1"/>
  <c r="JF144" i="40"/>
  <c r="HO144" i="40" s="1"/>
  <c r="II144" i="40"/>
  <c r="IL144" i="40" s="1"/>
  <c r="IJ144" i="40"/>
  <c r="IM144" i="40" s="1"/>
  <c r="C145" i="40"/>
  <c r="AX144" i="40"/>
  <c r="BC144" i="40"/>
  <c r="BG144" i="40"/>
  <c r="BK144" i="40"/>
  <c r="BO144" i="40"/>
  <c r="BS144" i="40"/>
  <c r="BW144" i="40"/>
  <c r="CA144" i="40"/>
  <c r="CE144" i="40"/>
  <c r="CJ144" i="40"/>
  <c r="DU144" i="40"/>
  <c r="AZ144" i="40"/>
  <c r="BD144" i="40"/>
  <c r="BH144" i="40"/>
  <c r="BL144" i="40"/>
  <c r="BP144" i="40"/>
  <c r="BT144" i="40"/>
  <c r="BX144" i="40"/>
  <c r="CB144" i="40"/>
  <c r="CF144" i="40"/>
  <c r="DM144" i="40"/>
  <c r="DV144" i="40"/>
  <c r="BA144" i="40"/>
  <c r="BE144" i="40"/>
  <c r="BI144" i="40"/>
  <c r="BM144" i="40"/>
  <c r="BQ144" i="40"/>
  <c r="BU144" i="40"/>
  <c r="BY144" i="40"/>
  <c r="CC144" i="40"/>
  <c r="CG144" i="40"/>
  <c r="DS144" i="40"/>
  <c r="DW144" i="40"/>
  <c r="A144" i="40"/>
  <c r="BB144" i="40"/>
  <c r="BR144" i="40"/>
  <c r="CH144" i="40"/>
  <c r="BF144" i="40"/>
  <c r="BV144" i="40"/>
  <c r="DT144" i="40"/>
  <c r="BJ144" i="40"/>
  <c r="BZ144" i="40"/>
  <c r="CD144" i="40"/>
  <c r="AW144" i="40"/>
  <c r="BN144" i="40"/>
  <c r="JO144" i="40"/>
  <c r="HZ144" i="40"/>
  <c r="IX144" i="40"/>
  <c r="IZ144" i="40"/>
  <c r="IA144" i="40"/>
  <c r="HY144" i="40"/>
  <c r="CT144" i="40"/>
  <c r="IY144" i="40"/>
  <c r="JP144" i="40"/>
  <c r="JG144" i="40"/>
  <c r="HU143" i="40"/>
  <c r="C345" i="40"/>
  <c r="A344" i="40"/>
  <c r="AX344" i="40"/>
  <c r="BC344" i="40"/>
  <c r="BG344" i="40"/>
  <c r="BK344" i="40"/>
  <c r="BO344" i="40"/>
  <c r="BS344" i="40"/>
  <c r="BW344" i="40"/>
  <c r="CA344" i="40"/>
  <c r="CE344" i="40"/>
  <c r="CJ344" i="40"/>
  <c r="DU344" i="40"/>
  <c r="AZ344" i="40"/>
  <c r="BD344" i="40"/>
  <c r="BH344" i="40"/>
  <c r="BL344" i="40"/>
  <c r="BP344" i="40"/>
  <c r="BT344" i="40"/>
  <c r="BX344" i="40"/>
  <c r="CB344" i="40"/>
  <c r="CF344" i="40"/>
  <c r="DM344" i="40"/>
  <c r="DV344" i="40"/>
  <c r="BA344" i="40"/>
  <c r="BE344" i="40"/>
  <c r="BI344" i="40"/>
  <c r="BM344" i="40"/>
  <c r="BQ344" i="40"/>
  <c r="BU344" i="40"/>
  <c r="BY344" i="40"/>
  <c r="CC344" i="40"/>
  <c r="CG344" i="40"/>
  <c r="DS344" i="40"/>
  <c r="DW344" i="40"/>
  <c r="AW344" i="40"/>
  <c r="BN344" i="40"/>
  <c r="CD344" i="40"/>
  <c r="BB344" i="40"/>
  <c r="BR344" i="40"/>
  <c r="CH344" i="40"/>
  <c r="BF344" i="40"/>
  <c r="BV344" i="40"/>
  <c r="DT344" i="40"/>
  <c r="BJ344" i="40"/>
  <c r="BZ344" i="40"/>
  <c r="JO344" i="40"/>
  <c r="IY344" i="40"/>
  <c r="HZ344" i="40"/>
  <c r="IZ344" i="40"/>
  <c r="IX344" i="40"/>
  <c r="IA344" i="40"/>
  <c r="HY344" i="40"/>
  <c r="JP344" i="40"/>
  <c r="JI142" i="40"/>
  <c r="CV143" i="40"/>
  <c r="AL143" i="40"/>
  <c r="AK143" i="40"/>
  <c r="AP143" i="40"/>
  <c r="IP143" i="40"/>
  <c r="JB143" i="40" s="1"/>
  <c r="E48" i="44" s="1"/>
  <c r="HS143" i="40"/>
  <c r="AP343" i="40"/>
  <c r="CV343" i="40"/>
  <c r="CQ343" i="40"/>
  <c r="AO343" i="40"/>
  <c r="JH142" i="40"/>
  <c r="KO139" i="40"/>
  <c r="CP143" i="40"/>
  <c r="HX143" i="40" s="1"/>
  <c r="AN143" i="40"/>
  <c r="HR143" i="40"/>
  <c r="CI428" i="40" l="1"/>
  <c r="CI527" i="40"/>
  <c r="CI627" i="40"/>
  <c r="CI144" i="40"/>
  <c r="CI228" i="40"/>
  <c r="IA643" i="40"/>
  <c r="IZ643" i="40" s="1"/>
  <c r="HY643" i="40"/>
  <c r="HZ643" i="40"/>
  <c r="IY643" i="40" s="1"/>
  <c r="AP443" i="40"/>
  <c r="CV644" i="40"/>
  <c r="CV543" i="40"/>
  <c r="DB543" i="40"/>
  <c r="AG145" i="40"/>
  <c r="AC145" i="40"/>
  <c r="Y145" i="40"/>
  <c r="U145" i="40"/>
  <c r="CS145" i="40" s="1"/>
  <c r="Q145" i="40"/>
  <c r="M145" i="40"/>
  <c r="CM145" i="40" s="1"/>
  <c r="I145" i="40"/>
  <c r="E145" i="40"/>
  <c r="AI145" i="40"/>
  <c r="AE145" i="40"/>
  <c r="AA145" i="40"/>
  <c r="W145" i="40"/>
  <c r="CU145" i="40" s="1"/>
  <c r="S145" i="40"/>
  <c r="O145" i="40"/>
  <c r="CO145" i="40" s="1"/>
  <c r="K145" i="40"/>
  <c r="G145" i="40"/>
  <c r="AF145" i="40"/>
  <c r="X145" i="40"/>
  <c r="P145" i="40"/>
  <c r="H145" i="40"/>
  <c r="Z145" i="40"/>
  <c r="AD145" i="40"/>
  <c r="V145" i="40"/>
  <c r="CT145" i="40" s="1"/>
  <c r="N145" i="40"/>
  <c r="CN145" i="40" s="1"/>
  <c r="F145" i="40"/>
  <c r="R145" i="40"/>
  <c r="AJ145" i="40"/>
  <c r="AB145" i="40"/>
  <c r="T145" i="40"/>
  <c r="CR145" i="40" s="1"/>
  <c r="L145" i="40"/>
  <c r="CL145" i="40" s="1"/>
  <c r="AH145" i="40"/>
  <c r="J145" i="40"/>
  <c r="AG245" i="40"/>
  <c r="AC245" i="40"/>
  <c r="Y245" i="40"/>
  <c r="U245" i="40"/>
  <c r="CS245" i="40" s="1"/>
  <c r="Q245" i="40"/>
  <c r="M245" i="40"/>
  <c r="CM245" i="40" s="1"/>
  <c r="I245" i="40"/>
  <c r="E245" i="40"/>
  <c r="AJ245" i="40"/>
  <c r="AF245" i="40"/>
  <c r="AB245" i="40"/>
  <c r="X245" i="40"/>
  <c r="T245" i="40"/>
  <c r="CR245" i="40" s="1"/>
  <c r="P245" i="40"/>
  <c r="L245" i="40"/>
  <c r="CL245" i="40" s="1"/>
  <c r="H245" i="40"/>
  <c r="AI245" i="40"/>
  <c r="AE245" i="40"/>
  <c r="AA245" i="40"/>
  <c r="CI329" i="40" s="1"/>
  <c r="W245" i="40"/>
  <c r="CU245" i="40" s="1"/>
  <c r="S245" i="40"/>
  <c r="O245" i="40"/>
  <c r="CO245" i="40" s="1"/>
  <c r="K245" i="40"/>
  <c r="G245" i="40"/>
  <c r="AH245" i="40"/>
  <c r="R245" i="40"/>
  <c r="AD245" i="40"/>
  <c r="N245" i="40"/>
  <c r="CN245" i="40" s="1"/>
  <c r="Z245" i="40"/>
  <c r="J245" i="40"/>
  <c r="V245" i="40"/>
  <c r="CT245" i="40" s="1"/>
  <c r="F245" i="40"/>
  <c r="AN644" i="40"/>
  <c r="CP644" i="40"/>
  <c r="DB644" i="40"/>
  <c r="CK644" i="40"/>
  <c r="AM644" i="40"/>
  <c r="AP543" i="40"/>
  <c r="AJ345" i="40"/>
  <c r="AF345" i="40"/>
  <c r="AB345" i="40"/>
  <c r="X345" i="40"/>
  <c r="T345" i="40"/>
  <c r="CR345" i="40" s="1"/>
  <c r="P345" i="40"/>
  <c r="L345" i="40"/>
  <c r="CL345" i="40" s="1"/>
  <c r="H345" i="40"/>
  <c r="AH345" i="40"/>
  <c r="AD345" i="40"/>
  <c r="Z345" i="40"/>
  <c r="V345" i="40"/>
  <c r="CT345" i="40" s="1"/>
  <c r="R345" i="40"/>
  <c r="N345" i="40"/>
  <c r="CN345" i="40" s="1"/>
  <c r="J345" i="40"/>
  <c r="F345" i="40"/>
  <c r="AC345" i="40"/>
  <c r="U345" i="40"/>
  <c r="CS345" i="40" s="1"/>
  <c r="M345" i="40"/>
  <c r="CM345" i="40" s="1"/>
  <c r="E345" i="40"/>
  <c r="AI345" i="40"/>
  <c r="AA345" i="40"/>
  <c r="S345" i="40"/>
  <c r="K345" i="40"/>
  <c r="AG345" i="40"/>
  <c r="Y345" i="40"/>
  <c r="Q345" i="40"/>
  <c r="I345" i="40"/>
  <c r="G345" i="40"/>
  <c r="AE345" i="40"/>
  <c r="W345" i="40"/>
  <c r="CU345" i="40" s="1"/>
  <c r="O345" i="40"/>
  <c r="CO345" i="40" s="1"/>
  <c r="AP644" i="40"/>
  <c r="CK543" i="40"/>
  <c r="AM543" i="40"/>
  <c r="AI444" i="40"/>
  <c r="AE444" i="40"/>
  <c r="AA444" i="40"/>
  <c r="W444" i="40"/>
  <c r="CU444" i="40" s="1"/>
  <c r="S444" i="40"/>
  <c r="O444" i="40"/>
  <c r="CO444" i="40" s="1"/>
  <c r="K444" i="40"/>
  <c r="G444" i="40"/>
  <c r="AH444" i="40"/>
  <c r="AD444" i="40"/>
  <c r="Z444" i="40"/>
  <c r="V444" i="40"/>
  <c r="CT444" i="40" s="1"/>
  <c r="R444" i="40"/>
  <c r="N444" i="40"/>
  <c r="CN444" i="40" s="1"/>
  <c r="J444" i="40"/>
  <c r="F444" i="40"/>
  <c r="AG444" i="40"/>
  <c r="AC444" i="40"/>
  <c r="Y444" i="40"/>
  <c r="U444" i="40"/>
  <c r="CS444" i="40" s="1"/>
  <c r="Q444" i="40"/>
  <c r="M444" i="40"/>
  <c r="CM444" i="40" s="1"/>
  <c r="I444" i="40"/>
  <c r="E444" i="40"/>
  <c r="AJ444" i="40"/>
  <c r="T444" i="40"/>
  <c r="CR444" i="40" s="1"/>
  <c r="AF444" i="40"/>
  <c r="P444" i="40"/>
  <c r="AB444" i="40"/>
  <c r="L444" i="40"/>
  <c r="CL444" i="40" s="1"/>
  <c r="H444" i="40"/>
  <c r="X444" i="40"/>
  <c r="AP444" i="40" s="1"/>
  <c r="AI544" i="40"/>
  <c r="AE544" i="40"/>
  <c r="AA544" i="40"/>
  <c r="W544" i="40"/>
  <c r="CU544" i="40" s="1"/>
  <c r="S544" i="40"/>
  <c r="O544" i="40"/>
  <c r="CO544" i="40" s="1"/>
  <c r="K544" i="40"/>
  <c r="G544" i="40"/>
  <c r="AH544" i="40"/>
  <c r="AD544" i="40"/>
  <c r="Z544" i="40"/>
  <c r="V544" i="40"/>
  <c r="CT544" i="40" s="1"/>
  <c r="R544" i="40"/>
  <c r="N544" i="40"/>
  <c r="CN544" i="40" s="1"/>
  <c r="J544" i="40"/>
  <c r="F544" i="40"/>
  <c r="AF544" i="40"/>
  <c r="X544" i="40"/>
  <c r="P544" i="40"/>
  <c r="H544" i="40"/>
  <c r="AC544" i="40"/>
  <c r="U544" i="40"/>
  <c r="CS544" i="40" s="1"/>
  <c r="M544" i="40"/>
  <c r="CM544" i="40" s="1"/>
  <c r="E544" i="40"/>
  <c r="AJ544" i="40"/>
  <c r="AB544" i="40"/>
  <c r="T544" i="40"/>
  <c r="CR544" i="40" s="1"/>
  <c r="L544" i="40"/>
  <c r="CL544" i="40" s="1"/>
  <c r="Y544" i="40"/>
  <c r="Q544" i="40"/>
  <c r="I544" i="40"/>
  <c r="AG544" i="40"/>
  <c r="BM544" i="40"/>
  <c r="CC544" i="40"/>
  <c r="AW544" i="40"/>
  <c r="BN544" i="40"/>
  <c r="CD544" i="40"/>
  <c r="BK544" i="40"/>
  <c r="CA544" i="40"/>
  <c r="A544" i="40"/>
  <c r="DM544" i="40"/>
  <c r="BT544" i="40"/>
  <c r="JO544" i="40"/>
  <c r="HY544" i="40"/>
  <c r="JP544" i="40"/>
  <c r="AZ544" i="40"/>
  <c r="BE544" i="40"/>
  <c r="BF544" i="40"/>
  <c r="DT544" i="40"/>
  <c r="BS544" i="40"/>
  <c r="BX544" i="40"/>
  <c r="BL544" i="40"/>
  <c r="IA544" i="40"/>
  <c r="IY544" i="40"/>
  <c r="C545" i="40"/>
  <c r="BI544" i="40"/>
  <c r="DW544" i="40"/>
  <c r="BZ544" i="40"/>
  <c r="BG544" i="40"/>
  <c r="DU544" i="40"/>
  <c r="CB544" i="40"/>
  <c r="HZ544" i="40"/>
  <c r="IX544" i="40"/>
  <c r="BA544" i="40"/>
  <c r="BQ544" i="40"/>
  <c r="CG544" i="40"/>
  <c r="BB544" i="40"/>
  <c r="BR544" i="40"/>
  <c r="CH544" i="40"/>
  <c r="AX544" i="40"/>
  <c r="BO544" i="40"/>
  <c r="CE544" i="40"/>
  <c r="BH544" i="40"/>
  <c r="BD544" i="40"/>
  <c r="IZ544" i="40"/>
  <c r="BU544" i="40"/>
  <c r="DS544" i="40"/>
  <c r="BV544" i="40"/>
  <c r="BC544" i="40"/>
  <c r="CJ544" i="40"/>
  <c r="BP544" i="40"/>
  <c r="BY544" i="40"/>
  <c r="BJ544" i="40"/>
  <c r="BW544" i="40"/>
  <c r="DV544" i="40"/>
  <c r="CF544" i="40"/>
  <c r="AO543" i="40"/>
  <c r="CQ543" i="40"/>
  <c r="AN543" i="40"/>
  <c r="CP543" i="40"/>
  <c r="CQ644" i="40"/>
  <c r="AO644" i="40"/>
  <c r="I645" i="40"/>
  <c r="AJ645" i="40"/>
  <c r="AC645" i="40"/>
  <c r="CH645" i="40"/>
  <c r="BR645" i="40"/>
  <c r="BB645" i="40"/>
  <c r="J645" i="40"/>
  <c r="BY645" i="40"/>
  <c r="BI645" i="40"/>
  <c r="AG645" i="40"/>
  <c r="CF645" i="40"/>
  <c r="BP645" i="40"/>
  <c r="AZ645" i="40"/>
  <c r="DS645" i="40"/>
  <c r="CE645" i="40"/>
  <c r="BK645" i="40"/>
  <c r="BG645" i="40"/>
  <c r="W645" i="40"/>
  <c r="CU645" i="40" s="1"/>
  <c r="JO645" i="40"/>
  <c r="AE645" i="40"/>
  <c r="CD645" i="40"/>
  <c r="BN645" i="40"/>
  <c r="AX645" i="40"/>
  <c r="DU645" i="40"/>
  <c r="BU645" i="40"/>
  <c r="BE645" i="40"/>
  <c r="M645" i="40"/>
  <c r="CM645" i="40" s="1"/>
  <c r="CB645" i="40"/>
  <c r="BL645" i="40"/>
  <c r="AB645" i="40"/>
  <c r="BS645" i="40"/>
  <c r="BO645" i="40"/>
  <c r="K645" i="40"/>
  <c r="DW645" i="40"/>
  <c r="R645" i="40"/>
  <c r="JP645" i="40"/>
  <c r="AF645" i="40"/>
  <c r="CJ645" i="40"/>
  <c r="DV645" i="40"/>
  <c r="BZ645" i="40"/>
  <c r="BJ645" i="40"/>
  <c r="AH645" i="40"/>
  <c r="CG645" i="40"/>
  <c r="BQ645" i="40"/>
  <c r="BA645" i="40"/>
  <c r="A645" i="40"/>
  <c r="BX645" i="40"/>
  <c r="BH645" i="40"/>
  <c r="P645" i="40"/>
  <c r="BC645" i="40"/>
  <c r="O645" i="40"/>
  <c r="CO645" i="40" s="1"/>
  <c r="BW645" i="40"/>
  <c r="AI645" i="40"/>
  <c r="BF645" i="40"/>
  <c r="AW645" i="40"/>
  <c r="L645" i="40"/>
  <c r="CL645" i="40" s="1"/>
  <c r="N645" i="40"/>
  <c r="CN645" i="40" s="1"/>
  <c r="DT645" i="40"/>
  <c r="C646" i="40"/>
  <c r="BV645" i="40"/>
  <c r="G645" i="40"/>
  <c r="KN645" i="40"/>
  <c r="F645" i="40"/>
  <c r="DM645" i="40"/>
  <c r="CC645" i="40"/>
  <c r="BT645" i="40"/>
  <c r="CA645" i="40"/>
  <c r="BM645" i="40"/>
  <c r="H645" i="40"/>
  <c r="BD645" i="40"/>
  <c r="T645" i="40"/>
  <c r="CR645" i="40" s="1"/>
  <c r="Z645" i="40"/>
  <c r="U645" i="40"/>
  <c r="CS645" i="40" s="1"/>
  <c r="S645" i="40"/>
  <c r="Q645" i="40"/>
  <c r="X645" i="40"/>
  <c r="V645" i="40"/>
  <c r="CT645" i="40" s="1"/>
  <c r="AA645" i="40"/>
  <c r="AD645" i="40"/>
  <c r="E645" i="40"/>
  <c r="Y645" i="40"/>
  <c r="CK443" i="40"/>
  <c r="AM443" i="40"/>
  <c r="CQ443" i="40"/>
  <c r="AO443" i="40"/>
  <c r="DB443" i="40"/>
  <c r="CV443" i="40"/>
  <c r="C445" i="40"/>
  <c r="BF444" i="40"/>
  <c r="BV444" i="40"/>
  <c r="DT444" i="40"/>
  <c r="BK444" i="40"/>
  <c r="CA444" i="40"/>
  <c r="A444" i="40"/>
  <c r="BL444" i="40"/>
  <c r="CB444" i="40"/>
  <c r="BA444" i="40"/>
  <c r="BE444" i="40"/>
  <c r="JO444" i="40"/>
  <c r="IA444" i="40"/>
  <c r="JP444" i="40"/>
  <c r="BJ444" i="40"/>
  <c r="BZ444" i="40"/>
  <c r="AX444" i="40"/>
  <c r="BO444" i="40"/>
  <c r="CE444" i="40"/>
  <c r="AZ444" i="40"/>
  <c r="BP444" i="40"/>
  <c r="CF444" i="40"/>
  <c r="BM444" i="40"/>
  <c r="BQ444" i="40"/>
  <c r="BU444" i="40"/>
  <c r="DW444" i="40"/>
  <c r="IZ444" i="40"/>
  <c r="AW444" i="40"/>
  <c r="BN444" i="40"/>
  <c r="CD444" i="40"/>
  <c r="BC444" i="40"/>
  <c r="BS444" i="40"/>
  <c r="CJ444" i="40"/>
  <c r="BD444" i="40"/>
  <c r="BT444" i="40"/>
  <c r="DM444" i="40"/>
  <c r="CC444" i="40"/>
  <c r="CG444" i="40"/>
  <c r="DS444" i="40"/>
  <c r="BI444" i="40"/>
  <c r="HZ444" i="40"/>
  <c r="IY444" i="40"/>
  <c r="BB444" i="40"/>
  <c r="BR444" i="40"/>
  <c r="CH444" i="40"/>
  <c r="BG444" i="40"/>
  <c r="BW444" i="40"/>
  <c r="DU444" i="40"/>
  <c r="BH444" i="40"/>
  <c r="BX444" i="40"/>
  <c r="DV444" i="40"/>
  <c r="BY444" i="40"/>
  <c r="HY444" i="40"/>
  <c r="IX444" i="40"/>
  <c r="CP443" i="40"/>
  <c r="AN443" i="40"/>
  <c r="IO144" i="40"/>
  <c r="JA144" i="40" s="1"/>
  <c r="CK244" i="40"/>
  <c r="AM244" i="40"/>
  <c r="CV244" i="40"/>
  <c r="AP244" i="40"/>
  <c r="C246" i="40"/>
  <c r="BI245" i="40"/>
  <c r="BY245" i="40"/>
  <c r="DW245" i="40"/>
  <c r="BF245" i="40"/>
  <c r="BV245" i="40"/>
  <c r="DT245" i="40"/>
  <c r="BK245" i="40"/>
  <c r="CA245" i="40"/>
  <c r="A245" i="40"/>
  <c r="DV245" i="40"/>
  <c r="JO245" i="40"/>
  <c r="IX245" i="40"/>
  <c r="JP245" i="40"/>
  <c r="BR245" i="40"/>
  <c r="BM245" i="40"/>
  <c r="CC245" i="40"/>
  <c r="BJ245" i="40"/>
  <c r="BZ245" i="40"/>
  <c r="AX245" i="40"/>
  <c r="BO245" i="40"/>
  <c r="CE245" i="40"/>
  <c r="BD245" i="40"/>
  <c r="AZ245" i="40"/>
  <c r="HZ245" i="40"/>
  <c r="BA245" i="40"/>
  <c r="CG245" i="40"/>
  <c r="BN245" i="40"/>
  <c r="CD245" i="40"/>
  <c r="BC245" i="40"/>
  <c r="CJ245" i="40"/>
  <c r="BT245" i="40"/>
  <c r="BL245" i="40"/>
  <c r="BP245" i="40"/>
  <c r="HY245" i="40"/>
  <c r="BE245" i="40"/>
  <c r="BU245" i="40"/>
  <c r="CH245" i="40"/>
  <c r="BW245" i="40"/>
  <c r="DM245" i="40"/>
  <c r="CF245" i="40"/>
  <c r="IZ245" i="40"/>
  <c r="IY245" i="40"/>
  <c r="BQ245" i="40"/>
  <c r="AW245" i="40"/>
  <c r="BS245" i="40"/>
  <c r="BH245" i="40"/>
  <c r="DS245" i="40"/>
  <c r="BB245" i="40"/>
  <c r="BG245" i="40"/>
  <c r="DU245" i="40"/>
  <c r="BX245" i="40"/>
  <c r="IA245" i="40"/>
  <c r="CB245" i="40"/>
  <c r="AO244" i="40"/>
  <c r="CQ244" i="40"/>
  <c r="AN244" i="40"/>
  <c r="CP244" i="40"/>
  <c r="JH143" i="40"/>
  <c r="DB144" i="40"/>
  <c r="DB344" i="40"/>
  <c r="AP344" i="40"/>
  <c r="D143" i="40"/>
  <c r="AY143" i="40" s="1"/>
  <c r="JI143" i="40"/>
  <c r="HR144" i="40"/>
  <c r="JJ142" i="40"/>
  <c r="JK142" i="40" s="1"/>
  <c r="JL142" i="40" s="1"/>
  <c r="HW143" i="40"/>
  <c r="IC143" i="40" s="1"/>
  <c r="AO344" i="40"/>
  <c r="CQ344" i="40"/>
  <c r="AP144" i="40"/>
  <c r="HN144" i="40"/>
  <c r="HQ144" i="40" s="1"/>
  <c r="IK145" i="40"/>
  <c r="IN145" i="40" s="1"/>
  <c r="JF145" i="40"/>
  <c r="HO145" i="40" s="1"/>
  <c r="HR145" i="40" s="1"/>
  <c r="II145" i="40"/>
  <c r="IL145" i="40" s="1"/>
  <c r="IJ145" i="40"/>
  <c r="IM145" i="40" s="1"/>
  <c r="C146" i="40"/>
  <c r="AX145" i="40"/>
  <c r="BC145" i="40"/>
  <c r="BG145" i="40"/>
  <c r="BK145" i="40"/>
  <c r="BO145" i="40"/>
  <c r="BS145" i="40"/>
  <c r="BW145" i="40"/>
  <c r="CA145" i="40"/>
  <c r="CE145" i="40"/>
  <c r="CJ145" i="40"/>
  <c r="DU145" i="40"/>
  <c r="AZ145" i="40"/>
  <c r="BD145" i="40"/>
  <c r="BH145" i="40"/>
  <c r="BL145" i="40"/>
  <c r="BP145" i="40"/>
  <c r="BT145" i="40"/>
  <c r="BX145" i="40"/>
  <c r="CB145" i="40"/>
  <c r="CF145" i="40"/>
  <c r="DM145" i="40"/>
  <c r="DV145" i="40"/>
  <c r="BA145" i="40"/>
  <c r="BE145" i="40"/>
  <c r="BI145" i="40"/>
  <c r="BM145" i="40"/>
  <c r="BQ145" i="40"/>
  <c r="BU145" i="40"/>
  <c r="BY145" i="40"/>
  <c r="CC145" i="40"/>
  <c r="CG145" i="40"/>
  <c r="DS145" i="40"/>
  <c r="DW145" i="40"/>
  <c r="BJ145" i="40"/>
  <c r="BZ145" i="40"/>
  <c r="AW145" i="40"/>
  <c r="BN145" i="40"/>
  <c r="CD145" i="40"/>
  <c r="A145" i="40"/>
  <c r="BB145" i="40"/>
  <c r="BR145" i="40"/>
  <c r="CH145" i="40"/>
  <c r="BF145" i="40"/>
  <c r="BV145" i="40"/>
  <c r="DT145" i="40"/>
  <c r="JO145" i="40"/>
  <c r="IX145" i="40"/>
  <c r="IA145" i="40"/>
  <c r="HY145" i="40"/>
  <c r="IZ145" i="40"/>
  <c r="HZ145" i="40"/>
  <c r="IY145" i="40"/>
  <c r="JP145" i="40"/>
  <c r="JG145" i="40"/>
  <c r="HU144" i="40"/>
  <c r="IX643" i="40"/>
  <c r="KO140" i="40"/>
  <c r="JM141" i="40"/>
  <c r="D48" i="44"/>
  <c r="AM144" i="40"/>
  <c r="CK144" i="40"/>
  <c r="HV143" i="40"/>
  <c r="CV344" i="40"/>
  <c r="AN344" i="40"/>
  <c r="CP344" i="40"/>
  <c r="AM344" i="40"/>
  <c r="CK344" i="40"/>
  <c r="CV144" i="40"/>
  <c r="AL144" i="40"/>
  <c r="AK144" i="40"/>
  <c r="AN144" i="40"/>
  <c r="CP144" i="40"/>
  <c r="HV144" i="40" s="1"/>
  <c r="HM144" i="40"/>
  <c r="HP144" i="40" s="1"/>
  <c r="IP144" i="40"/>
  <c r="JB144" i="40" s="1"/>
  <c r="E49" i="44" s="1"/>
  <c r="HT144" i="40"/>
  <c r="C346" i="40"/>
  <c r="BA345" i="40"/>
  <c r="BE345" i="40"/>
  <c r="BI345" i="40"/>
  <c r="BM345" i="40"/>
  <c r="BQ345" i="40"/>
  <c r="BU345" i="40"/>
  <c r="BY345" i="40"/>
  <c r="CC345" i="40"/>
  <c r="CG345" i="40"/>
  <c r="DS345" i="40"/>
  <c r="DW345" i="40"/>
  <c r="AW345" i="40"/>
  <c r="BB345" i="40"/>
  <c r="BF345" i="40"/>
  <c r="BJ345" i="40"/>
  <c r="BN345" i="40"/>
  <c r="BR345" i="40"/>
  <c r="BV345" i="40"/>
  <c r="BZ345" i="40"/>
  <c r="CD345" i="40"/>
  <c r="CH345" i="40"/>
  <c r="DT345" i="40"/>
  <c r="AX345" i="40"/>
  <c r="BC345" i="40"/>
  <c r="BG345" i="40"/>
  <c r="BK345" i="40"/>
  <c r="BO345" i="40"/>
  <c r="BS345" i="40"/>
  <c r="BW345" i="40"/>
  <c r="CA345" i="40"/>
  <c r="CE345" i="40"/>
  <c r="CJ345" i="40"/>
  <c r="DU345" i="40"/>
  <c r="BL345" i="40"/>
  <c r="CB345" i="40"/>
  <c r="AZ345" i="40"/>
  <c r="BP345" i="40"/>
  <c r="CF345" i="40"/>
  <c r="BD345" i="40"/>
  <c r="BT345" i="40"/>
  <c r="DM345" i="40"/>
  <c r="A345" i="40"/>
  <c r="DV345" i="40"/>
  <c r="BH345" i="40"/>
  <c r="BX345" i="40"/>
  <c r="JO345" i="40"/>
  <c r="IY345" i="40"/>
  <c r="HY345" i="40"/>
  <c r="IA345" i="40"/>
  <c r="IZ345" i="40"/>
  <c r="HZ345" i="40"/>
  <c r="IX345" i="40"/>
  <c r="JP345" i="40"/>
  <c r="AO144" i="40"/>
  <c r="CQ144" i="40"/>
  <c r="IQ144" i="40"/>
  <c r="JC144" i="40" s="1"/>
  <c r="HS144" i="40"/>
  <c r="D144" i="40" l="1"/>
  <c r="AY144" i="40" s="1"/>
  <c r="CI229" i="40"/>
  <c r="CI628" i="40"/>
  <c r="CI528" i="40"/>
  <c r="CI429" i="40"/>
  <c r="CI145" i="40"/>
  <c r="HY644" i="40"/>
  <c r="IX644" i="40" s="1"/>
  <c r="DB444" i="40"/>
  <c r="IQ145" i="40"/>
  <c r="JC145" i="40" s="1"/>
  <c r="HZ644" i="40"/>
  <c r="IY644" i="40" s="1"/>
  <c r="IA644" i="40"/>
  <c r="IZ644" i="40" s="1"/>
  <c r="AG246" i="40"/>
  <c r="AC246" i="40"/>
  <c r="Y246" i="40"/>
  <c r="U246" i="40"/>
  <c r="CS246" i="40" s="1"/>
  <c r="Q246" i="40"/>
  <c r="M246" i="40"/>
  <c r="CM246" i="40" s="1"/>
  <c r="I246" i="40"/>
  <c r="E246" i="40"/>
  <c r="AJ246" i="40"/>
  <c r="AF246" i="40"/>
  <c r="AB246" i="40"/>
  <c r="X246" i="40"/>
  <c r="T246" i="40"/>
  <c r="CR246" i="40" s="1"/>
  <c r="P246" i="40"/>
  <c r="L246" i="40"/>
  <c r="CL246" i="40" s="1"/>
  <c r="H246" i="40"/>
  <c r="AI246" i="40"/>
  <c r="AE246" i="40"/>
  <c r="AA246" i="40"/>
  <c r="CI330" i="40" s="1"/>
  <c r="W246" i="40"/>
  <c r="CU246" i="40" s="1"/>
  <c r="S246" i="40"/>
  <c r="O246" i="40"/>
  <c r="CO246" i="40" s="1"/>
  <c r="K246" i="40"/>
  <c r="G246" i="40"/>
  <c r="AH246" i="40"/>
  <c r="R246" i="40"/>
  <c r="AD246" i="40"/>
  <c r="N246" i="40"/>
  <c r="CN246" i="40" s="1"/>
  <c r="Z246" i="40"/>
  <c r="J246" i="40"/>
  <c r="V246" i="40"/>
  <c r="CT246" i="40" s="1"/>
  <c r="F246" i="40"/>
  <c r="CV544" i="40"/>
  <c r="CP544" i="40"/>
  <c r="AN544" i="40"/>
  <c r="AP544" i="40"/>
  <c r="CV645" i="40"/>
  <c r="CK645" i="40"/>
  <c r="AM645" i="40"/>
  <c r="AO544" i="40"/>
  <c r="CQ544" i="40"/>
  <c r="DB645" i="40"/>
  <c r="AG146" i="40"/>
  <c r="AC146" i="40"/>
  <c r="Y146" i="40"/>
  <c r="U146" i="40"/>
  <c r="CS146" i="40" s="1"/>
  <c r="Q146" i="40"/>
  <c r="M146" i="40"/>
  <c r="CM146" i="40" s="1"/>
  <c r="I146" i="40"/>
  <c r="E146" i="40"/>
  <c r="AI146" i="40"/>
  <c r="AE146" i="40"/>
  <c r="AA146" i="40"/>
  <c r="W146" i="40"/>
  <c r="CU146" i="40" s="1"/>
  <c r="S146" i="40"/>
  <c r="O146" i="40"/>
  <c r="CO146" i="40" s="1"/>
  <c r="K146" i="40"/>
  <c r="G146" i="40"/>
  <c r="AF146" i="40"/>
  <c r="X146" i="40"/>
  <c r="P146" i="40"/>
  <c r="H146" i="40"/>
  <c r="AH146" i="40"/>
  <c r="J146" i="40"/>
  <c r="AD146" i="40"/>
  <c r="V146" i="40"/>
  <c r="CT146" i="40" s="1"/>
  <c r="N146" i="40"/>
  <c r="CN146" i="40" s="1"/>
  <c r="F146" i="40"/>
  <c r="R146" i="40"/>
  <c r="AJ146" i="40"/>
  <c r="AB146" i="40"/>
  <c r="T146" i="40"/>
  <c r="CR146" i="40" s="1"/>
  <c r="L146" i="40"/>
  <c r="CL146" i="40" s="1"/>
  <c r="Z146" i="40"/>
  <c r="CQ645" i="40"/>
  <c r="AO645" i="40"/>
  <c r="AI445" i="40"/>
  <c r="AE445" i="40"/>
  <c r="AA445" i="40"/>
  <c r="W445" i="40"/>
  <c r="CU445" i="40" s="1"/>
  <c r="S445" i="40"/>
  <c r="O445" i="40"/>
  <c r="CO445" i="40" s="1"/>
  <c r="K445" i="40"/>
  <c r="G445" i="40"/>
  <c r="AH445" i="40"/>
  <c r="AD445" i="40"/>
  <c r="Z445" i="40"/>
  <c r="V445" i="40"/>
  <c r="CT445" i="40" s="1"/>
  <c r="R445" i="40"/>
  <c r="N445" i="40"/>
  <c r="CN445" i="40" s="1"/>
  <c r="J445" i="40"/>
  <c r="F445" i="40"/>
  <c r="AG445" i="40"/>
  <c r="AC445" i="40"/>
  <c r="Y445" i="40"/>
  <c r="U445" i="40"/>
  <c r="CS445" i="40" s="1"/>
  <c r="Q445" i="40"/>
  <c r="M445" i="40"/>
  <c r="CM445" i="40" s="1"/>
  <c r="I445" i="40"/>
  <c r="E445" i="40"/>
  <c r="AJ445" i="40"/>
  <c r="T445" i="40"/>
  <c r="CR445" i="40" s="1"/>
  <c r="AF445" i="40"/>
  <c r="P445" i="40"/>
  <c r="AB445" i="40"/>
  <c r="L445" i="40"/>
  <c r="CL445" i="40" s="1"/>
  <c r="X445" i="40"/>
  <c r="H445" i="40"/>
  <c r="AP645" i="40"/>
  <c r="AJ346" i="40"/>
  <c r="AF346" i="40"/>
  <c r="AB346" i="40"/>
  <c r="X346" i="40"/>
  <c r="T346" i="40"/>
  <c r="CR346" i="40" s="1"/>
  <c r="P346" i="40"/>
  <c r="L346" i="40"/>
  <c r="CL346" i="40" s="1"/>
  <c r="H346" i="40"/>
  <c r="AH346" i="40"/>
  <c r="AD346" i="40"/>
  <c r="Z346" i="40"/>
  <c r="V346" i="40"/>
  <c r="CT346" i="40" s="1"/>
  <c r="R346" i="40"/>
  <c r="N346" i="40"/>
  <c r="CN346" i="40" s="1"/>
  <c r="J346" i="40"/>
  <c r="F346" i="40"/>
  <c r="AC346" i="40"/>
  <c r="U346" i="40"/>
  <c r="CS346" i="40" s="1"/>
  <c r="M346" i="40"/>
  <c r="CM346" i="40" s="1"/>
  <c r="E346" i="40"/>
  <c r="AI346" i="40"/>
  <c r="AA346" i="40"/>
  <c r="S346" i="40"/>
  <c r="K346" i="40"/>
  <c r="AG346" i="40"/>
  <c r="Y346" i="40"/>
  <c r="Q346" i="40"/>
  <c r="I346" i="40"/>
  <c r="G346" i="40"/>
  <c r="AE346" i="40"/>
  <c r="W346" i="40"/>
  <c r="CU346" i="40" s="1"/>
  <c r="O346" i="40"/>
  <c r="CO346" i="40" s="1"/>
  <c r="AN645" i="40"/>
  <c r="CP645" i="40"/>
  <c r="AF646" i="40"/>
  <c r="DM646" i="40"/>
  <c r="BV646" i="40"/>
  <c r="BF646" i="40"/>
  <c r="J646" i="40"/>
  <c r="BY646" i="40"/>
  <c r="BI646" i="40"/>
  <c r="AG646" i="40"/>
  <c r="CF646" i="40"/>
  <c r="BP646" i="40"/>
  <c r="AZ646" i="40"/>
  <c r="DW646" i="40"/>
  <c r="DS646" i="40"/>
  <c r="CE646" i="40"/>
  <c r="K646" i="40"/>
  <c r="JO646" i="40"/>
  <c r="H646" i="40"/>
  <c r="AI646" i="40"/>
  <c r="F646" i="40"/>
  <c r="CJ646" i="40"/>
  <c r="CH646" i="40"/>
  <c r="BR646" i="40"/>
  <c r="BB646" i="40"/>
  <c r="DU646" i="40"/>
  <c r="BU646" i="40"/>
  <c r="BE646" i="40"/>
  <c r="M646" i="40"/>
  <c r="CM646" i="40" s="1"/>
  <c r="CB646" i="40"/>
  <c r="BL646" i="40"/>
  <c r="AB646" i="40"/>
  <c r="BW646" i="40"/>
  <c r="BS646" i="40"/>
  <c r="BO646" i="40"/>
  <c r="BK646" i="40"/>
  <c r="W646" i="40"/>
  <c r="CU646" i="40" s="1"/>
  <c r="JP646" i="40"/>
  <c r="I646" i="40"/>
  <c r="AJ646" i="40"/>
  <c r="AC646" i="40"/>
  <c r="CD646" i="40"/>
  <c r="BN646" i="40"/>
  <c r="AX646" i="40"/>
  <c r="CG646" i="40"/>
  <c r="BQ646" i="40"/>
  <c r="BA646" i="40"/>
  <c r="A646" i="40"/>
  <c r="BX646" i="40"/>
  <c r="BH646" i="40"/>
  <c r="P646" i="40"/>
  <c r="BG646" i="40"/>
  <c r="BC646" i="40"/>
  <c r="O646" i="40"/>
  <c r="CO646" i="40" s="1"/>
  <c r="KN646" i="40"/>
  <c r="BZ646" i="40"/>
  <c r="BM646" i="40"/>
  <c r="BD646" i="40"/>
  <c r="CA646" i="40"/>
  <c r="BJ646" i="40"/>
  <c r="AW646" i="40"/>
  <c r="L646" i="40"/>
  <c r="CL646" i="40" s="1"/>
  <c r="DV646" i="40"/>
  <c r="C647" i="40"/>
  <c r="AE646" i="40"/>
  <c r="N646" i="40"/>
  <c r="CN646" i="40" s="1"/>
  <c r="DT646" i="40"/>
  <c r="G646" i="40"/>
  <c r="CC646" i="40"/>
  <c r="BT646" i="40"/>
  <c r="T646" i="40"/>
  <c r="CR646" i="40" s="1"/>
  <c r="AH646" i="40"/>
  <c r="Z646" i="40"/>
  <c r="R646" i="40"/>
  <c r="X646" i="40"/>
  <c r="U646" i="40"/>
  <c r="CS646" i="40" s="1"/>
  <c r="S646" i="40"/>
  <c r="Q646" i="40"/>
  <c r="V646" i="40"/>
  <c r="CT646" i="40" s="1"/>
  <c r="AA646" i="40"/>
  <c r="AD646" i="40"/>
  <c r="E646" i="40"/>
  <c r="Y646" i="40"/>
  <c r="AI545" i="40"/>
  <c r="AE545" i="40"/>
  <c r="AA545" i="40"/>
  <c r="W545" i="40"/>
  <c r="CU545" i="40" s="1"/>
  <c r="S545" i="40"/>
  <c r="O545" i="40"/>
  <c r="CO545" i="40" s="1"/>
  <c r="K545" i="40"/>
  <c r="G545" i="40"/>
  <c r="AH545" i="40"/>
  <c r="AD545" i="40"/>
  <c r="Z545" i="40"/>
  <c r="V545" i="40"/>
  <c r="CT545" i="40" s="1"/>
  <c r="R545" i="40"/>
  <c r="N545" i="40"/>
  <c r="CN545" i="40" s="1"/>
  <c r="J545" i="40"/>
  <c r="F545" i="40"/>
  <c r="AF545" i="40"/>
  <c r="X545" i="40"/>
  <c r="P545" i="40"/>
  <c r="H545" i="40"/>
  <c r="AC545" i="40"/>
  <c r="U545" i="40"/>
  <c r="CS545" i="40" s="1"/>
  <c r="M545" i="40"/>
  <c r="CM545" i="40" s="1"/>
  <c r="E545" i="40"/>
  <c r="AJ545" i="40"/>
  <c r="AB545" i="40"/>
  <c r="T545" i="40"/>
  <c r="CR545" i="40" s="1"/>
  <c r="L545" i="40"/>
  <c r="CL545" i="40" s="1"/>
  <c r="Y545" i="40"/>
  <c r="Q545" i="40"/>
  <c r="I545" i="40"/>
  <c r="AG545" i="40"/>
  <c r="AX545" i="40"/>
  <c r="BO545" i="40"/>
  <c r="CE545" i="40"/>
  <c r="BL545" i="40"/>
  <c r="CB545" i="40"/>
  <c r="BM545" i="40"/>
  <c r="CC545" i="40"/>
  <c r="BF545" i="40"/>
  <c r="BJ545" i="40"/>
  <c r="BN545" i="40"/>
  <c r="HY545" i="40"/>
  <c r="IY545" i="40"/>
  <c r="C546" i="40"/>
  <c r="BC545" i="40"/>
  <c r="BS545" i="40"/>
  <c r="CJ545" i="40"/>
  <c r="AZ545" i="40"/>
  <c r="BP545" i="40"/>
  <c r="CF545" i="40"/>
  <c r="BA545" i="40"/>
  <c r="BQ545" i="40"/>
  <c r="CG545" i="40"/>
  <c r="BV545" i="40"/>
  <c r="BZ545" i="40"/>
  <c r="CD545" i="40"/>
  <c r="IA545" i="40"/>
  <c r="IX545" i="40"/>
  <c r="BK545" i="40"/>
  <c r="A545" i="40"/>
  <c r="BX545" i="40"/>
  <c r="BI545" i="40"/>
  <c r="DW545" i="40"/>
  <c r="AW545" i="40"/>
  <c r="BG545" i="40"/>
  <c r="BW545" i="40"/>
  <c r="DU545" i="40"/>
  <c r="BD545" i="40"/>
  <c r="BT545" i="40"/>
  <c r="DM545" i="40"/>
  <c r="BE545" i="40"/>
  <c r="BU545" i="40"/>
  <c r="DS545" i="40"/>
  <c r="DT545" i="40"/>
  <c r="BB545" i="40"/>
  <c r="CH545" i="40"/>
  <c r="HZ545" i="40"/>
  <c r="JP545" i="40"/>
  <c r="CA545" i="40"/>
  <c r="BH545" i="40"/>
  <c r="DV545" i="40"/>
  <c r="BY545" i="40"/>
  <c r="BR545" i="40"/>
  <c r="JO545" i="40"/>
  <c r="IZ545" i="40"/>
  <c r="DB544" i="40"/>
  <c r="CK544" i="40"/>
  <c r="AM544" i="40"/>
  <c r="IO145" i="40"/>
  <c r="JA145" i="40" s="1"/>
  <c r="CP444" i="40"/>
  <c r="AN444" i="40"/>
  <c r="BA445" i="40"/>
  <c r="AW445" i="40"/>
  <c r="BS445" i="40"/>
  <c r="HZ445" i="40"/>
  <c r="BD445" i="40"/>
  <c r="BT445" i="40"/>
  <c r="DM445" i="40"/>
  <c r="BE445" i="40"/>
  <c r="BU445" i="40"/>
  <c r="DS445" i="40"/>
  <c r="BB445" i="40"/>
  <c r="BR445" i="40"/>
  <c r="CH445" i="40"/>
  <c r="CA445" i="40"/>
  <c r="CE445" i="40"/>
  <c r="CJ445" i="40"/>
  <c r="JO445" i="40"/>
  <c r="HY445" i="40"/>
  <c r="IY445" i="40"/>
  <c r="AZ445" i="40"/>
  <c r="BP445" i="40"/>
  <c r="CF445" i="40"/>
  <c r="BQ445" i="40"/>
  <c r="BN445" i="40"/>
  <c r="BK445" i="40"/>
  <c r="DU445" i="40"/>
  <c r="C446" i="40"/>
  <c r="BH445" i="40"/>
  <c r="BX445" i="40"/>
  <c r="DV445" i="40"/>
  <c r="BI445" i="40"/>
  <c r="BY445" i="40"/>
  <c r="DW445" i="40"/>
  <c r="BF445" i="40"/>
  <c r="BV445" i="40"/>
  <c r="DT445" i="40"/>
  <c r="BW445" i="40"/>
  <c r="IZ445" i="40"/>
  <c r="CG445" i="40"/>
  <c r="BO445" i="40"/>
  <c r="IX445" i="40"/>
  <c r="A445" i="40"/>
  <c r="BL445" i="40"/>
  <c r="CB445" i="40"/>
  <c r="BM445" i="40"/>
  <c r="CC445" i="40"/>
  <c r="BJ445" i="40"/>
  <c r="BZ445" i="40"/>
  <c r="AX445" i="40"/>
  <c r="BC445" i="40"/>
  <c r="BG445" i="40"/>
  <c r="IA445" i="40"/>
  <c r="JP445" i="40"/>
  <c r="CD445" i="40"/>
  <c r="AO444" i="40"/>
  <c r="CQ444" i="40"/>
  <c r="CV444" i="40"/>
  <c r="CK444" i="40"/>
  <c r="AM444" i="40"/>
  <c r="CV245" i="40"/>
  <c r="DB245" i="40"/>
  <c r="CK245" i="40"/>
  <c r="AM245" i="40"/>
  <c r="BC246" i="40"/>
  <c r="BS246" i="40"/>
  <c r="CJ246" i="40"/>
  <c r="BD246" i="40"/>
  <c r="BT246" i="40"/>
  <c r="DM246" i="40"/>
  <c r="BE246" i="40"/>
  <c r="BU246" i="40"/>
  <c r="DS246" i="40"/>
  <c r="BR246" i="40"/>
  <c r="BV246" i="40"/>
  <c r="BJ246" i="40"/>
  <c r="BN246" i="40"/>
  <c r="IZ246" i="40"/>
  <c r="BG246" i="40"/>
  <c r="BW246" i="40"/>
  <c r="DU246" i="40"/>
  <c r="BH246" i="40"/>
  <c r="BX246" i="40"/>
  <c r="DV246" i="40"/>
  <c r="BI246" i="40"/>
  <c r="BY246" i="40"/>
  <c r="DW246" i="40"/>
  <c r="CH246" i="40"/>
  <c r="DT246" i="40"/>
  <c r="BZ246" i="40"/>
  <c r="CD246" i="40"/>
  <c r="HZ246" i="40"/>
  <c r="HY246" i="40"/>
  <c r="IY246" i="40"/>
  <c r="C247" i="40"/>
  <c r="BK246" i="40"/>
  <c r="CA246" i="40"/>
  <c r="A246" i="40"/>
  <c r="BL246" i="40"/>
  <c r="CB246" i="40"/>
  <c r="BM246" i="40"/>
  <c r="CC246" i="40"/>
  <c r="JO246" i="40"/>
  <c r="IA246" i="40"/>
  <c r="JP246" i="40"/>
  <c r="AX246" i="40"/>
  <c r="BO246" i="40"/>
  <c r="CE246" i="40"/>
  <c r="AZ246" i="40"/>
  <c r="BP246" i="40"/>
  <c r="CF246" i="40"/>
  <c r="BA246" i="40"/>
  <c r="BQ246" i="40"/>
  <c r="CG246" i="40"/>
  <c r="BB246" i="40"/>
  <c r="BF246" i="40"/>
  <c r="AW246" i="40"/>
  <c r="IX246" i="40"/>
  <c r="CQ245" i="40"/>
  <c r="AO245" i="40"/>
  <c r="CP245" i="40"/>
  <c r="AN245" i="40"/>
  <c r="AP245" i="40"/>
  <c r="HX144" i="40"/>
  <c r="HW144" i="40"/>
  <c r="IC144" i="40" s="1"/>
  <c r="DB345" i="40"/>
  <c r="F49" i="44"/>
  <c r="JI144" i="40"/>
  <c r="CV345" i="40"/>
  <c r="AP345" i="40"/>
  <c r="JH144" i="40"/>
  <c r="JM142" i="40"/>
  <c r="JJ143" i="40"/>
  <c r="JK143" i="40" s="1"/>
  <c r="JL143" i="40" s="1"/>
  <c r="AP145" i="40"/>
  <c r="HN145" i="40"/>
  <c r="HQ145" i="40" s="1"/>
  <c r="IK146" i="40"/>
  <c r="IN146" i="40" s="1"/>
  <c r="II146" i="40"/>
  <c r="IL146" i="40" s="1"/>
  <c r="IJ146" i="40"/>
  <c r="IM146" i="40" s="1"/>
  <c r="JF146" i="40"/>
  <c r="HO146" i="40" s="1"/>
  <c r="HR146" i="40" s="1"/>
  <c r="C147" i="40"/>
  <c r="AX146" i="40"/>
  <c r="BC146" i="40"/>
  <c r="BG146" i="40"/>
  <c r="BK146" i="40"/>
  <c r="BO146" i="40"/>
  <c r="BS146" i="40"/>
  <c r="BW146" i="40"/>
  <c r="CA146" i="40"/>
  <c r="CE146" i="40"/>
  <c r="CJ146" i="40"/>
  <c r="DU146" i="40"/>
  <c r="AZ146" i="40"/>
  <c r="BD146" i="40"/>
  <c r="BH146" i="40"/>
  <c r="BL146" i="40"/>
  <c r="BP146" i="40"/>
  <c r="BT146" i="40"/>
  <c r="BX146" i="40"/>
  <c r="CB146" i="40"/>
  <c r="CF146" i="40"/>
  <c r="DM146" i="40"/>
  <c r="DV146" i="40"/>
  <c r="BA146" i="40"/>
  <c r="BE146" i="40"/>
  <c r="BI146" i="40"/>
  <c r="BM146" i="40"/>
  <c r="BQ146" i="40"/>
  <c r="BU146" i="40"/>
  <c r="BY146" i="40"/>
  <c r="CC146" i="40"/>
  <c r="CG146" i="40"/>
  <c r="DS146" i="40"/>
  <c r="DW146" i="40"/>
  <c r="A146" i="40"/>
  <c r="BB146" i="40"/>
  <c r="BR146" i="40"/>
  <c r="CH146" i="40"/>
  <c r="BF146" i="40"/>
  <c r="BV146" i="40"/>
  <c r="DT146" i="40"/>
  <c r="BJ146" i="40"/>
  <c r="BZ146" i="40"/>
  <c r="AW146" i="40"/>
  <c r="BN146" i="40"/>
  <c r="JO146" i="40"/>
  <c r="CD146" i="40"/>
  <c r="IA146" i="40"/>
  <c r="IZ146" i="40"/>
  <c r="HZ146" i="40"/>
  <c r="IX146" i="40"/>
  <c r="HY146" i="40"/>
  <c r="IY146" i="40"/>
  <c r="JP146" i="40"/>
  <c r="JG146" i="40"/>
  <c r="HU145" i="40"/>
  <c r="AM145" i="40"/>
  <c r="CK145" i="40"/>
  <c r="AO345" i="40"/>
  <c r="CQ345" i="40"/>
  <c r="CV145" i="40"/>
  <c r="AK145" i="40"/>
  <c r="AL145" i="40"/>
  <c r="CP145" i="40"/>
  <c r="HX145" i="40" s="1"/>
  <c r="AN145" i="40"/>
  <c r="HM145" i="40"/>
  <c r="HP145" i="40" s="1"/>
  <c r="IP145" i="40"/>
  <c r="JB145" i="40" s="1"/>
  <c r="HT145" i="40"/>
  <c r="C347" i="40"/>
  <c r="AX346" i="40"/>
  <c r="BC346" i="40"/>
  <c r="BG346" i="40"/>
  <c r="BK346" i="40"/>
  <c r="BO346" i="40"/>
  <c r="BS346" i="40"/>
  <c r="BW346" i="40"/>
  <c r="CA346" i="40"/>
  <c r="CE346" i="40"/>
  <c r="CJ346" i="40"/>
  <c r="DU346" i="40"/>
  <c r="A346" i="40"/>
  <c r="AZ346" i="40"/>
  <c r="BD346" i="40"/>
  <c r="BH346" i="40"/>
  <c r="BL346" i="40"/>
  <c r="BP346" i="40"/>
  <c r="BT346" i="40"/>
  <c r="BX346" i="40"/>
  <c r="CB346" i="40"/>
  <c r="CF346" i="40"/>
  <c r="DM346" i="40"/>
  <c r="DV346" i="40"/>
  <c r="BA346" i="40"/>
  <c r="BE346" i="40"/>
  <c r="BI346" i="40"/>
  <c r="BM346" i="40"/>
  <c r="BQ346" i="40"/>
  <c r="BU346" i="40"/>
  <c r="BY346" i="40"/>
  <c r="CC346" i="40"/>
  <c r="CG346" i="40"/>
  <c r="DS346" i="40"/>
  <c r="DW346" i="40"/>
  <c r="BJ346" i="40"/>
  <c r="BZ346" i="40"/>
  <c r="AW346" i="40"/>
  <c r="BN346" i="40"/>
  <c r="CD346" i="40"/>
  <c r="BB346" i="40"/>
  <c r="BR346" i="40"/>
  <c r="CH346" i="40"/>
  <c r="DT346" i="40"/>
  <c r="BF346" i="40"/>
  <c r="JO346" i="40"/>
  <c r="BV346" i="40"/>
  <c r="IY346" i="40"/>
  <c r="HY346" i="40"/>
  <c r="IX346" i="40"/>
  <c r="IZ346" i="40"/>
  <c r="HZ346" i="40"/>
  <c r="IA346" i="40"/>
  <c r="JP346" i="40"/>
  <c r="CP345" i="40"/>
  <c r="AN345" i="40"/>
  <c r="CK345" i="40"/>
  <c r="AM345" i="40"/>
  <c r="KO141" i="40"/>
  <c r="DB145" i="40"/>
  <c r="CQ145" i="40"/>
  <c r="AO145" i="40"/>
  <c r="HS145" i="40"/>
  <c r="HY645" i="40" l="1"/>
  <c r="CI230" i="40"/>
  <c r="HZ645" i="40"/>
  <c r="IY645" i="40" s="1"/>
  <c r="CI430" i="40"/>
  <c r="CI629" i="40"/>
  <c r="CI529" i="40"/>
  <c r="CI146" i="40"/>
  <c r="AP445" i="40"/>
  <c r="IA645" i="40"/>
  <c r="IZ645" i="40" s="1"/>
  <c r="IQ146" i="40"/>
  <c r="JC146" i="40" s="1"/>
  <c r="CV445" i="40"/>
  <c r="DB646" i="40"/>
  <c r="AI446" i="40"/>
  <c r="AE446" i="40"/>
  <c r="AA446" i="40"/>
  <c r="W446" i="40"/>
  <c r="CU446" i="40" s="1"/>
  <c r="S446" i="40"/>
  <c r="O446" i="40"/>
  <c r="CO446" i="40" s="1"/>
  <c r="K446" i="40"/>
  <c r="G446" i="40"/>
  <c r="AH446" i="40"/>
  <c r="AD446" i="40"/>
  <c r="Z446" i="40"/>
  <c r="V446" i="40"/>
  <c r="CT446" i="40" s="1"/>
  <c r="R446" i="40"/>
  <c r="N446" i="40"/>
  <c r="CN446" i="40" s="1"/>
  <c r="J446" i="40"/>
  <c r="F446" i="40"/>
  <c r="AG446" i="40"/>
  <c r="AC446" i="40"/>
  <c r="Y446" i="40"/>
  <c r="U446" i="40"/>
  <c r="CS446" i="40" s="1"/>
  <c r="Q446" i="40"/>
  <c r="M446" i="40"/>
  <c r="CM446" i="40" s="1"/>
  <c r="I446" i="40"/>
  <c r="E446" i="40"/>
  <c r="AJ446" i="40"/>
  <c r="T446" i="40"/>
  <c r="CR446" i="40" s="1"/>
  <c r="AF446" i="40"/>
  <c r="P446" i="40"/>
  <c r="AB446" i="40"/>
  <c r="L446" i="40"/>
  <c r="CL446" i="40" s="1"/>
  <c r="H446" i="40"/>
  <c r="X446" i="40"/>
  <c r="AI546" i="40"/>
  <c r="AE546" i="40"/>
  <c r="AA546" i="40"/>
  <c r="W546" i="40"/>
  <c r="CU546" i="40" s="1"/>
  <c r="S546" i="40"/>
  <c r="O546" i="40"/>
  <c r="CO546" i="40" s="1"/>
  <c r="K546" i="40"/>
  <c r="G546" i="40"/>
  <c r="AH546" i="40"/>
  <c r="AD546" i="40"/>
  <c r="Z546" i="40"/>
  <c r="V546" i="40"/>
  <c r="CT546" i="40" s="1"/>
  <c r="R546" i="40"/>
  <c r="N546" i="40"/>
  <c r="CN546" i="40" s="1"/>
  <c r="J546" i="40"/>
  <c r="F546" i="40"/>
  <c r="AF546" i="40"/>
  <c r="X546" i="40"/>
  <c r="P546" i="40"/>
  <c r="H546" i="40"/>
  <c r="AC546" i="40"/>
  <c r="U546" i="40"/>
  <c r="CS546" i="40" s="1"/>
  <c r="M546" i="40"/>
  <c r="CM546" i="40" s="1"/>
  <c r="E546" i="40"/>
  <c r="AJ546" i="40"/>
  <c r="AB546" i="40"/>
  <c r="T546" i="40"/>
  <c r="CR546" i="40" s="1"/>
  <c r="L546" i="40"/>
  <c r="CL546" i="40" s="1"/>
  <c r="Y546" i="40"/>
  <c r="Q546" i="40"/>
  <c r="I546" i="40"/>
  <c r="AG546" i="40"/>
  <c r="BM546" i="40"/>
  <c r="CC546" i="40"/>
  <c r="AW546" i="40"/>
  <c r="BN546" i="40"/>
  <c r="CD546" i="40"/>
  <c r="BK546" i="40"/>
  <c r="CA546" i="40"/>
  <c r="BD546" i="40"/>
  <c r="AZ546" i="40"/>
  <c r="DV546" i="40"/>
  <c r="CB546" i="40"/>
  <c r="IA546" i="40"/>
  <c r="JP546" i="40"/>
  <c r="BA546" i="40"/>
  <c r="CG546" i="40"/>
  <c r="BB546" i="40"/>
  <c r="BR546" i="40"/>
  <c r="AX546" i="40"/>
  <c r="BO546" i="40"/>
  <c r="BT546" i="40"/>
  <c r="CF546" i="40"/>
  <c r="DM546" i="40"/>
  <c r="BI546" i="40"/>
  <c r="BJ546" i="40"/>
  <c r="BW546" i="40"/>
  <c r="BX546" i="40"/>
  <c r="BQ546" i="40"/>
  <c r="CH546" i="40"/>
  <c r="CE546" i="40"/>
  <c r="A546" i="40"/>
  <c r="BP546" i="40"/>
  <c r="IZ546" i="40"/>
  <c r="BC546" i="40"/>
  <c r="IX546" i="40"/>
  <c r="C547" i="40"/>
  <c r="DW546" i="40"/>
  <c r="BZ546" i="40"/>
  <c r="BG546" i="40"/>
  <c r="JO546" i="40"/>
  <c r="HY546" i="40"/>
  <c r="BE546" i="40"/>
  <c r="BU546" i="40"/>
  <c r="DS546" i="40"/>
  <c r="BF546" i="40"/>
  <c r="BV546" i="40"/>
  <c r="DT546" i="40"/>
  <c r="BS546" i="40"/>
  <c r="CJ546" i="40"/>
  <c r="BH546" i="40"/>
  <c r="HZ546" i="40"/>
  <c r="BY546" i="40"/>
  <c r="DU546" i="40"/>
  <c r="BL546" i="40"/>
  <c r="IY546" i="40"/>
  <c r="CV545" i="40"/>
  <c r="AO545" i="40"/>
  <c r="CQ545" i="40"/>
  <c r="I647" i="40"/>
  <c r="AJ647" i="40"/>
  <c r="AC647" i="40"/>
  <c r="CJ647" i="40"/>
  <c r="CH647" i="40"/>
  <c r="BR647" i="40"/>
  <c r="BB647" i="40"/>
  <c r="DU647" i="40"/>
  <c r="BU647" i="40"/>
  <c r="BE647" i="40"/>
  <c r="M647" i="40"/>
  <c r="CM647" i="40" s="1"/>
  <c r="CB647" i="40"/>
  <c r="BL647" i="40"/>
  <c r="AB647" i="40"/>
  <c r="BK647" i="40"/>
  <c r="BG647" i="40"/>
  <c r="BC647" i="40"/>
  <c r="O647" i="40"/>
  <c r="CO647" i="40" s="1"/>
  <c r="JO647" i="40"/>
  <c r="AE647" i="40"/>
  <c r="CD647" i="40"/>
  <c r="BN647" i="40"/>
  <c r="AX647" i="40"/>
  <c r="CG647" i="40"/>
  <c r="BQ647" i="40"/>
  <c r="BA647" i="40"/>
  <c r="A647" i="40"/>
  <c r="BX647" i="40"/>
  <c r="BH647" i="40"/>
  <c r="P647" i="40"/>
  <c r="K647" i="40"/>
  <c r="G647" i="40"/>
  <c r="C648" i="40"/>
  <c r="JP647" i="40"/>
  <c r="AF647" i="40"/>
  <c r="DV647" i="40"/>
  <c r="BZ647" i="40"/>
  <c r="BJ647" i="40"/>
  <c r="N647" i="40"/>
  <c r="CN647" i="40" s="1"/>
  <c r="CC647" i="40"/>
  <c r="BM647" i="40"/>
  <c r="AW647" i="40"/>
  <c r="DT647" i="40"/>
  <c r="BT647" i="40"/>
  <c r="BD647" i="40"/>
  <c r="L647" i="40"/>
  <c r="CL647" i="40" s="1"/>
  <c r="DW647" i="40"/>
  <c r="DS647" i="40"/>
  <c r="BO647" i="40"/>
  <c r="R647" i="40"/>
  <c r="W647" i="40"/>
  <c r="CU647" i="40" s="1"/>
  <c r="H647" i="40"/>
  <c r="J647" i="40"/>
  <c r="CF647" i="40"/>
  <c r="BW647" i="40"/>
  <c r="AI647" i="40"/>
  <c r="F647" i="40"/>
  <c r="DM647" i="40"/>
  <c r="BY647" i="40"/>
  <c r="BP647" i="40"/>
  <c r="BS647" i="40"/>
  <c r="CA647" i="40"/>
  <c r="KN647" i="40"/>
  <c r="BV647" i="40"/>
  <c r="BI647" i="40"/>
  <c r="AZ647" i="40"/>
  <c r="CE647" i="40"/>
  <c r="BF647" i="40"/>
  <c r="AG647" i="40"/>
  <c r="T647" i="40"/>
  <c r="CR647" i="40" s="1"/>
  <c r="AH647" i="40"/>
  <c r="Z647" i="40"/>
  <c r="X647" i="40"/>
  <c r="V647" i="40"/>
  <c r="CT647" i="40" s="1"/>
  <c r="Q647" i="40"/>
  <c r="U647" i="40"/>
  <c r="CS647" i="40" s="1"/>
  <c r="S647" i="40"/>
  <c r="AA647" i="40"/>
  <c r="AD647" i="40"/>
  <c r="E647" i="40"/>
  <c r="Y647" i="40"/>
  <c r="AG147" i="40"/>
  <c r="AC147" i="40"/>
  <c r="Y147" i="40"/>
  <c r="U147" i="40"/>
  <c r="CS147" i="40" s="1"/>
  <c r="Q147" i="40"/>
  <c r="M147" i="40"/>
  <c r="CM147" i="40" s="1"/>
  <c r="I147" i="40"/>
  <c r="E147" i="40"/>
  <c r="AI147" i="40"/>
  <c r="AE147" i="40"/>
  <c r="AA147" i="40"/>
  <c r="W147" i="40"/>
  <c r="CU147" i="40" s="1"/>
  <c r="S147" i="40"/>
  <c r="O147" i="40"/>
  <c r="CO147" i="40" s="1"/>
  <c r="K147" i="40"/>
  <c r="G147" i="40"/>
  <c r="AF147" i="40"/>
  <c r="X147" i="40"/>
  <c r="P147" i="40"/>
  <c r="H147" i="40"/>
  <c r="Z147" i="40"/>
  <c r="AD147" i="40"/>
  <c r="V147" i="40"/>
  <c r="CT147" i="40" s="1"/>
  <c r="N147" i="40"/>
  <c r="CN147" i="40" s="1"/>
  <c r="F147" i="40"/>
  <c r="AH147" i="40"/>
  <c r="J147" i="40"/>
  <c r="AJ147" i="40"/>
  <c r="AB147" i="40"/>
  <c r="T147" i="40"/>
  <c r="CR147" i="40" s="1"/>
  <c r="L147" i="40"/>
  <c r="CL147" i="40" s="1"/>
  <c r="R147" i="40"/>
  <c r="CV646" i="40"/>
  <c r="AP646" i="40"/>
  <c r="AJ347" i="40"/>
  <c r="AF347" i="40"/>
  <c r="AB347" i="40"/>
  <c r="X347" i="40"/>
  <c r="T347" i="40"/>
  <c r="CR347" i="40" s="1"/>
  <c r="P347" i="40"/>
  <c r="L347" i="40"/>
  <c r="CL347" i="40" s="1"/>
  <c r="H347" i="40"/>
  <c r="AH347" i="40"/>
  <c r="AD347" i="40"/>
  <c r="Z347" i="40"/>
  <c r="V347" i="40"/>
  <c r="CT347" i="40" s="1"/>
  <c r="R347" i="40"/>
  <c r="N347" i="40"/>
  <c r="CN347" i="40" s="1"/>
  <c r="J347" i="40"/>
  <c r="F347" i="40"/>
  <c r="AC347" i="40"/>
  <c r="U347" i="40"/>
  <c r="CS347" i="40" s="1"/>
  <c r="M347" i="40"/>
  <c r="CM347" i="40" s="1"/>
  <c r="E347" i="40"/>
  <c r="AI347" i="40"/>
  <c r="AA347" i="40"/>
  <c r="S347" i="40"/>
  <c r="K347" i="40"/>
  <c r="AG347" i="40"/>
  <c r="Y347" i="40"/>
  <c r="Q347" i="40"/>
  <c r="I347" i="40"/>
  <c r="G347" i="40"/>
  <c r="AE347" i="40"/>
  <c r="W347" i="40"/>
  <c r="CU347" i="40" s="1"/>
  <c r="O347" i="40"/>
  <c r="CO347" i="40" s="1"/>
  <c r="DB545" i="40"/>
  <c r="AM545" i="40"/>
  <c r="CK545" i="40"/>
  <c r="AN646" i="40"/>
  <c r="CP646" i="40"/>
  <c r="AG247" i="40"/>
  <c r="AC247" i="40"/>
  <c r="Y247" i="40"/>
  <c r="U247" i="40"/>
  <c r="CS247" i="40" s="1"/>
  <c r="Q247" i="40"/>
  <c r="M247" i="40"/>
  <c r="CM247" i="40" s="1"/>
  <c r="I247" i="40"/>
  <c r="E247" i="40"/>
  <c r="AJ247" i="40"/>
  <c r="AF247" i="40"/>
  <c r="AB247" i="40"/>
  <c r="X247" i="40"/>
  <c r="T247" i="40"/>
  <c r="CR247" i="40" s="1"/>
  <c r="P247" i="40"/>
  <c r="L247" i="40"/>
  <c r="CL247" i="40" s="1"/>
  <c r="H247" i="40"/>
  <c r="AI247" i="40"/>
  <c r="AE247" i="40"/>
  <c r="AA247" i="40"/>
  <c r="CI331" i="40" s="1"/>
  <c r="W247" i="40"/>
  <c r="CU247" i="40" s="1"/>
  <c r="S247" i="40"/>
  <c r="O247" i="40"/>
  <c r="CO247" i="40" s="1"/>
  <c r="K247" i="40"/>
  <c r="G247" i="40"/>
  <c r="AH247" i="40"/>
  <c r="R247" i="40"/>
  <c r="AD247" i="40"/>
  <c r="N247" i="40"/>
  <c r="CN247" i="40" s="1"/>
  <c r="Z247" i="40"/>
  <c r="J247" i="40"/>
  <c r="V247" i="40"/>
  <c r="CT247" i="40" s="1"/>
  <c r="F247" i="40"/>
  <c r="CP545" i="40"/>
  <c r="AN545" i="40"/>
  <c r="AP545" i="40"/>
  <c r="CQ646" i="40"/>
  <c r="AO646" i="40"/>
  <c r="CK646" i="40"/>
  <c r="AM646" i="40"/>
  <c r="JJ144" i="40"/>
  <c r="JK144" i="40" s="1"/>
  <c r="JL144" i="40" s="1"/>
  <c r="JM144" i="40" s="1"/>
  <c r="HV145" i="40"/>
  <c r="AM445" i="40"/>
  <c r="CK445" i="40"/>
  <c r="CP445" i="40"/>
  <c r="AN445" i="40"/>
  <c r="DB445" i="40"/>
  <c r="CQ445" i="40"/>
  <c r="AO445" i="40"/>
  <c r="CV246" i="40"/>
  <c r="A446" i="40"/>
  <c r="BE446" i="40"/>
  <c r="BU446" i="40"/>
  <c r="DS446" i="40"/>
  <c r="BF446" i="40"/>
  <c r="BV446" i="40"/>
  <c r="DT446" i="40"/>
  <c r="AX446" i="40"/>
  <c r="BO446" i="40"/>
  <c r="CE446" i="40"/>
  <c r="BH446" i="40"/>
  <c r="BD446" i="40"/>
  <c r="IZ446" i="40"/>
  <c r="IX446" i="40"/>
  <c r="C447" i="40"/>
  <c r="BI446" i="40"/>
  <c r="BY446" i="40"/>
  <c r="DW446" i="40"/>
  <c r="BJ446" i="40"/>
  <c r="BZ446" i="40"/>
  <c r="BC446" i="40"/>
  <c r="BS446" i="40"/>
  <c r="CJ446" i="40"/>
  <c r="BX446" i="40"/>
  <c r="DM446" i="40"/>
  <c r="AZ446" i="40"/>
  <c r="BT446" i="40"/>
  <c r="IA446" i="40"/>
  <c r="JP446" i="40"/>
  <c r="BM446" i="40"/>
  <c r="CC446" i="40"/>
  <c r="AW446" i="40"/>
  <c r="BN446" i="40"/>
  <c r="CD446" i="40"/>
  <c r="BG446" i="40"/>
  <c r="BW446" i="40"/>
  <c r="DU446" i="40"/>
  <c r="DV446" i="40"/>
  <c r="BL446" i="40"/>
  <c r="BP446" i="40"/>
  <c r="HY446" i="40"/>
  <c r="BA446" i="40"/>
  <c r="BQ446" i="40"/>
  <c r="CG446" i="40"/>
  <c r="BB446" i="40"/>
  <c r="BR446" i="40"/>
  <c r="CH446" i="40"/>
  <c r="BK446" i="40"/>
  <c r="CA446" i="40"/>
  <c r="JO446" i="40"/>
  <c r="CB446" i="40"/>
  <c r="CF446" i="40"/>
  <c r="HZ446" i="40"/>
  <c r="IY446" i="40"/>
  <c r="AN246" i="40"/>
  <c r="CP246" i="40"/>
  <c r="AO246" i="40"/>
  <c r="CQ246" i="40"/>
  <c r="DB246" i="40"/>
  <c r="BE247" i="40"/>
  <c r="BU247" i="40"/>
  <c r="DS247" i="40"/>
  <c r="BB247" i="40"/>
  <c r="BR247" i="40"/>
  <c r="CH247" i="40"/>
  <c r="BG247" i="40"/>
  <c r="BW247" i="40"/>
  <c r="DU247" i="40"/>
  <c r="CF247" i="40"/>
  <c r="DM247" i="40"/>
  <c r="BX247" i="40"/>
  <c r="CB247" i="40"/>
  <c r="IZ247" i="40"/>
  <c r="HY247" i="40"/>
  <c r="IY247" i="40"/>
  <c r="C248" i="40"/>
  <c r="BI247" i="40"/>
  <c r="BY247" i="40"/>
  <c r="DW247" i="40"/>
  <c r="BF247" i="40"/>
  <c r="BV247" i="40"/>
  <c r="DT247" i="40"/>
  <c r="BK247" i="40"/>
  <c r="CA247" i="40"/>
  <c r="A247" i="40"/>
  <c r="DV247" i="40"/>
  <c r="JO247" i="40"/>
  <c r="IX247" i="40"/>
  <c r="JP247" i="40"/>
  <c r="BM247" i="40"/>
  <c r="CC247" i="40"/>
  <c r="BJ247" i="40"/>
  <c r="BZ247" i="40"/>
  <c r="AX247" i="40"/>
  <c r="BO247" i="40"/>
  <c r="CE247" i="40"/>
  <c r="AZ247" i="40"/>
  <c r="BD247" i="40"/>
  <c r="IA247" i="40"/>
  <c r="BA247" i="40"/>
  <c r="BQ247" i="40"/>
  <c r="CG247" i="40"/>
  <c r="AW247" i="40"/>
  <c r="BN247" i="40"/>
  <c r="CD247" i="40"/>
  <c r="BC247" i="40"/>
  <c r="BS247" i="40"/>
  <c r="CJ247" i="40"/>
  <c r="BP247" i="40"/>
  <c r="BT247" i="40"/>
  <c r="BH247" i="40"/>
  <c r="BL247" i="40"/>
  <c r="HZ247" i="40"/>
  <c r="AP246" i="40"/>
  <c r="AM246" i="40"/>
  <c r="CK246" i="40"/>
  <c r="HN146" i="40"/>
  <c r="HQ146" i="40" s="1"/>
  <c r="D145" i="40"/>
  <c r="AY145" i="40" s="1"/>
  <c r="HW145" i="40"/>
  <c r="HM146" i="40"/>
  <c r="HP146" i="40" s="1"/>
  <c r="IK147" i="40"/>
  <c r="IN147" i="40" s="1"/>
  <c r="IJ147" i="40"/>
  <c r="IM147" i="40" s="1"/>
  <c r="JF147" i="40"/>
  <c r="HO147" i="40" s="1"/>
  <c r="HR147" i="40" s="1"/>
  <c r="II147" i="40"/>
  <c r="IL147" i="40" s="1"/>
  <c r="C148" i="40"/>
  <c r="AX147" i="40"/>
  <c r="BC147" i="40"/>
  <c r="BG147" i="40"/>
  <c r="BK147" i="40"/>
  <c r="BO147" i="40"/>
  <c r="BS147" i="40"/>
  <c r="BW147" i="40"/>
  <c r="CA147" i="40"/>
  <c r="CE147" i="40"/>
  <c r="CJ147" i="40"/>
  <c r="DU147" i="40"/>
  <c r="AZ147" i="40"/>
  <c r="BD147" i="40"/>
  <c r="BH147" i="40"/>
  <c r="BL147" i="40"/>
  <c r="BP147" i="40"/>
  <c r="BT147" i="40"/>
  <c r="BX147" i="40"/>
  <c r="CB147" i="40"/>
  <c r="CF147" i="40"/>
  <c r="DM147" i="40"/>
  <c r="DV147" i="40"/>
  <c r="BA147" i="40"/>
  <c r="BE147" i="40"/>
  <c r="BI147" i="40"/>
  <c r="BM147" i="40"/>
  <c r="BQ147" i="40"/>
  <c r="BU147" i="40"/>
  <c r="BY147" i="40"/>
  <c r="CC147" i="40"/>
  <c r="CG147" i="40"/>
  <c r="DS147" i="40"/>
  <c r="DW147" i="40"/>
  <c r="BJ147" i="40"/>
  <c r="BZ147" i="40"/>
  <c r="AW147" i="40"/>
  <c r="BN147" i="40"/>
  <c r="CD147" i="40"/>
  <c r="A147" i="40"/>
  <c r="BB147" i="40"/>
  <c r="BR147" i="40"/>
  <c r="CH147" i="40"/>
  <c r="BV147" i="40"/>
  <c r="DT147" i="40"/>
  <c r="BF147" i="40"/>
  <c r="JO147" i="40"/>
  <c r="HY147" i="40"/>
  <c r="IX147" i="40"/>
  <c r="HZ147" i="40"/>
  <c r="IZ147" i="40"/>
  <c r="IA147" i="40"/>
  <c r="IY147" i="40"/>
  <c r="JP147" i="40"/>
  <c r="JG147" i="40"/>
  <c r="HU146" i="40"/>
  <c r="DB346" i="40"/>
  <c r="AP346" i="40"/>
  <c r="CK346" i="40"/>
  <c r="AM346" i="40"/>
  <c r="C348" i="40"/>
  <c r="BA347" i="40"/>
  <c r="BE347" i="40"/>
  <c r="BI347" i="40"/>
  <c r="BM347" i="40"/>
  <c r="BQ347" i="40"/>
  <c r="BU347" i="40"/>
  <c r="BY347" i="40"/>
  <c r="CC347" i="40"/>
  <c r="CG347" i="40"/>
  <c r="DS347" i="40"/>
  <c r="DW347" i="40"/>
  <c r="AW347" i="40"/>
  <c r="BB347" i="40"/>
  <c r="BF347" i="40"/>
  <c r="BJ347" i="40"/>
  <c r="BN347" i="40"/>
  <c r="BR347" i="40"/>
  <c r="BV347" i="40"/>
  <c r="BZ347" i="40"/>
  <c r="CD347" i="40"/>
  <c r="CH347" i="40"/>
  <c r="DT347" i="40"/>
  <c r="AX347" i="40"/>
  <c r="BC347" i="40"/>
  <c r="BG347" i="40"/>
  <c r="BK347" i="40"/>
  <c r="BO347" i="40"/>
  <c r="BS347" i="40"/>
  <c r="BW347" i="40"/>
  <c r="CA347" i="40"/>
  <c r="CE347" i="40"/>
  <c r="CJ347" i="40"/>
  <c r="DU347" i="40"/>
  <c r="A347" i="40"/>
  <c r="BH347" i="40"/>
  <c r="BX347" i="40"/>
  <c r="DV347" i="40"/>
  <c r="BL347" i="40"/>
  <c r="CB347" i="40"/>
  <c r="AZ347" i="40"/>
  <c r="BP347" i="40"/>
  <c r="CF347" i="40"/>
  <c r="DM347" i="40"/>
  <c r="BD347" i="40"/>
  <c r="JO347" i="40"/>
  <c r="BT347" i="40"/>
  <c r="IY347" i="40"/>
  <c r="HY347" i="40"/>
  <c r="IX347" i="40"/>
  <c r="HZ347" i="40"/>
  <c r="IA347" i="40"/>
  <c r="IZ347" i="40"/>
  <c r="JP347" i="40"/>
  <c r="CV146" i="40"/>
  <c r="AK146" i="40"/>
  <c r="AL146" i="40"/>
  <c r="CP146" i="40"/>
  <c r="HX146" i="40" s="1"/>
  <c r="AN146" i="40"/>
  <c r="DB146" i="40"/>
  <c r="IP146" i="40"/>
  <c r="JB146" i="40" s="1"/>
  <c r="E51" i="44" s="1"/>
  <c r="KO142" i="40"/>
  <c r="AN346" i="40"/>
  <c r="CP346" i="40"/>
  <c r="E50" i="44"/>
  <c r="AP146" i="40"/>
  <c r="JM143" i="40"/>
  <c r="IX645" i="40"/>
  <c r="CV346" i="40"/>
  <c r="AO146" i="40"/>
  <c r="CQ146" i="40"/>
  <c r="HT146" i="40"/>
  <c r="CQ346" i="40"/>
  <c r="AO346" i="40"/>
  <c r="JH145" i="40"/>
  <c r="JI145" i="40"/>
  <c r="AM146" i="40"/>
  <c r="CK146" i="40"/>
  <c r="IO146" i="40"/>
  <c r="JA146" i="40" s="1"/>
  <c r="HS146" i="40"/>
  <c r="CI431" i="40" l="1"/>
  <c r="CI147" i="40"/>
  <c r="CI231" i="40"/>
  <c r="CI630" i="40"/>
  <c r="CI530" i="40"/>
  <c r="HZ646" i="40"/>
  <c r="IY646" i="40" s="1"/>
  <c r="IQ147" i="40"/>
  <c r="DB147" i="40"/>
  <c r="HY646" i="40"/>
  <c r="IX646" i="40" s="1"/>
  <c r="IA646" i="40"/>
  <c r="IZ646" i="40" s="1"/>
  <c r="HW146" i="40"/>
  <c r="IC146" i="40" s="1"/>
  <c r="JJ145" i="40"/>
  <c r="JK145" i="40" s="1"/>
  <c r="JL145" i="40" s="1"/>
  <c r="AG148" i="40"/>
  <c r="AC148" i="40"/>
  <c r="Y148" i="40"/>
  <c r="U148" i="40"/>
  <c r="CS148" i="40" s="1"/>
  <c r="Q148" i="40"/>
  <c r="M148" i="40"/>
  <c r="I148" i="40"/>
  <c r="E148" i="40"/>
  <c r="AI148" i="40"/>
  <c r="AE148" i="40"/>
  <c r="AA148" i="40"/>
  <c r="W148" i="40"/>
  <c r="CU148" i="40" s="1"/>
  <c r="S148" i="40"/>
  <c r="O148" i="40"/>
  <c r="CO148" i="40" s="1"/>
  <c r="K148" i="40"/>
  <c r="G148" i="40"/>
  <c r="AF148" i="40"/>
  <c r="X148" i="40"/>
  <c r="P148" i="40"/>
  <c r="H148" i="40"/>
  <c r="AH148" i="40"/>
  <c r="J148" i="40"/>
  <c r="AD148" i="40"/>
  <c r="V148" i="40"/>
  <c r="CT148" i="40" s="1"/>
  <c r="N148" i="40"/>
  <c r="CN148" i="40" s="1"/>
  <c r="F148" i="40"/>
  <c r="Z148" i="40"/>
  <c r="AJ148" i="40"/>
  <c r="AB148" i="40"/>
  <c r="T148" i="40"/>
  <c r="CR148" i="40" s="1"/>
  <c r="L148" i="40"/>
  <c r="CL148" i="40" s="1"/>
  <c r="R148" i="40"/>
  <c r="AI447" i="40"/>
  <c r="AE447" i="40"/>
  <c r="AA447" i="40"/>
  <c r="W447" i="40"/>
  <c r="CU447" i="40" s="1"/>
  <c r="S447" i="40"/>
  <c r="O447" i="40"/>
  <c r="CO447" i="40" s="1"/>
  <c r="K447" i="40"/>
  <c r="G447" i="40"/>
  <c r="AH447" i="40"/>
  <c r="AD447" i="40"/>
  <c r="Z447" i="40"/>
  <c r="V447" i="40"/>
  <c r="CT447" i="40" s="1"/>
  <c r="R447" i="40"/>
  <c r="N447" i="40"/>
  <c r="J447" i="40"/>
  <c r="F447" i="40"/>
  <c r="AG447" i="40"/>
  <c r="AC447" i="40"/>
  <c r="Y447" i="40"/>
  <c r="U447" i="40"/>
  <c r="CS447" i="40" s="1"/>
  <c r="Q447" i="40"/>
  <c r="M447" i="40"/>
  <c r="I447" i="40"/>
  <c r="E447" i="40"/>
  <c r="AJ447" i="40"/>
  <c r="T447" i="40"/>
  <c r="AF447" i="40"/>
  <c r="P447" i="40"/>
  <c r="AB447" i="40"/>
  <c r="L447" i="40"/>
  <c r="X447" i="40"/>
  <c r="H447" i="40"/>
  <c r="CP647" i="40"/>
  <c r="AN647" i="40"/>
  <c r="CK647" i="40"/>
  <c r="AM647" i="40"/>
  <c r="AJ348" i="40"/>
  <c r="AF348" i="40"/>
  <c r="AB348" i="40"/>
  <c r="X348" i="40"/>
  <c r="T348" i="40"/>
  <c r="CR348" i="40" s="1"/>
  <c r="P348" i="40"/>
  <c r="L348" i="40"/>
  <c r="CL348" i="40" s="1"/>
  <c r="H348" i="40"/>
  <c r="AH348" i="40"/>
  <c r="AD348" i="40"/>
  <c r="Z348" i="40"/>
  <c r="V348" i="40"/>
  <c r="CT348" i="40" s="1"/>
  <c r="R348" i="40"/>
  <c r="N348" i="40"/>
  <c r="J348" i="40"/>
  <c r="F348" i="40"/>
  <c r="AC348" i="40"/>
  <c r="U348" i="40"/>
  <c r="CS348" i="40" s="1"/>
  <c r="M348" i="40"/>
  <c r="CM348" i="40" s="1"/>
  <c r="E348" i="40"/>
  <c r="AI348" i="40"/>
  <c r="AA348" i="40"/>
  <c r="S348" i="40"/>
  <c r="K348" i="40"/>
  <c r="AG348" i="40"/>
  <c r="Y348" i="40"/>
  <c r="Q348" i="40"/>
  <c r="I348" i="40"/>
  <c r="G348" i="40"/>
  <c r="AE348" i="40"/>
  <c r="W348" i="40"/>
  <c r="CU348" i="40" s="1"/>
  <c r="O348" i="40"/>
  <c r="CO348" i="40" s="1"/>
  <c r="AI547" i="40"/>
  <c r="AE547" i="40"/>
  <c r="AA547" i="40"/>
  <c r="W547" i="40"/>
  <c r="CU547" i="40" s="1"/>
  <c r="S547" i="40"/>
  <c r="O547" i="40"/>
  <c r="CO547" i="40" s="1"/>
  <c r="K547" i="40"/>
  <c r="G547" i="40"/>
  <c r="AH547" i="40"/>
  <c r="AD547" i="40"/>
  <c r="Z547" i="40"/>
  <c r="V547" i="40"/>
  <c r="CT547" i="40" s="1"/>
  <c r="R547" i="40"/>
  <c r="N547" i="40"/>
  <c r="CN547" i="40" s="1"/>
  <c r="J547" i="40"/>
  <c r="F547" i="40"/>
  <c r="AF547" i="40"/>
  <c r="X547" i="40"/>
  <c r="P547" i="40"/>
  <c r="H547" i="40"/>
  <c r="AC547" i="40"/>
  <c r="U547" i="40"/>
  <c r="CS547" i="40" s="1"/>
  <c r="M547" i="40"/>
  <c r="CM547" i="40" s="1"/>
  <c r="E547" i="40"/>
  <c r="AJ547" i="40"/>
  <c r="AB547" i="40"/>
  <c r="T547" i="40"/>
  <c r="CR547" i="40" s="1"/>
  <c r="L547" i="40"/>
  <c r="CL547" i="40" s="1"/>
  <c r="Y547" i="40"/>
  <c r="Q547" i="40"/>
  <c r="I547" i="40"/>
  <c r="AG547" i="40"/>
  <c r="BG547" i="40"/>
  <c r="BW547" i="40"/>
  <c r="DU547" i="40"/>
  <c r="BD547" i="40"/>
  <c r="BT547" i="40"/>
  <c r="DM547" i="40"/>
  <c r="BE547" i="40"/>
  <c r="BU547" i="40"/>
  <c r="DS547" i="40"/>
  <c r="CH547" i="40"/>
  <c r="DT547" i="40"/>
  <c r="BZ547" i="40"/>
  <c r="HY547" i="40"/>
  <c r="JP547" i="40"/>
  <c r="BK547" i="40"/>
  <c r="CA547" i="40"/>
  <c r="A547" i="40"/>
  <c r="BH547" i="40"/>
  <c r="BX547" i="40"/>
  <c r="DV547" i="40"/>
  <c r="BI547" i="40"/>
  <c r="BY547" i="40"/>
  <c r="DW547" i="40"/>
  <c r="CD547" i="40"/>
  <c r="JO547" i="40"/>
  <c r="AW547" i="40"/>
  <c r="IZ547" i="40"/>
  <c r="AX547" i="40"/>
  <c r="BO547" i="40"/>
  <c r="CE547" i="40"/>
  <c r="BL547" i="40"/>
  <c r="CB547" i="40"/>
  <c r="BM547" i="40"/>
  <c r="CC547" i="40"/>
  <c r="BB547" i="40"/>
  <c r="BF547" i="40"/>
  <c r="BN547" i="40"/>
  <c r="IA547" i="40"/>
  <c r="IX547" i="40"/>
  <c r="C548" i="40"/>
  <c r="BC547" i="40"/>
  <c r="BS547" i="40"/>
  <c r="CJ547" i="40"/>
  <c r="AZ547" i="40"/>
  <c r="BP547" i="40"/>
  <c r="CF547" i="40"/>
  <c r="BA547" i="40"/>
  <c r="BQ547" i="40"/>
  <c r="CG547" i="40"/>
  <c r="BR547" i="40"/>
  <c r="BV547" i="40"/>
  <c r="BJ547" i="40"/>
  <c r="HZ547" i="40"/>
  <c r="IY547" i="40"/>
  <c r="DB546" i="40"/>
  <c r="CK546" i="40"/>
  <c r="AM546" i="40"/>
  <c r="CV647" i="40"/>
  <c r="AO647" i="40"/>
  <c r="CQ647" i="40"/>
  <c r="AP647" i="40"/>
  <c r="AF648" i="40"/>
  <c r="CH648" i="40"/>
  <c r="BR648" i="40"/>
  <c r="BB648" i="40"/>
  <c r="DU648" i="40"/>
  <c r="BU648" i="40"/>
  <c r="BE648" i="40"/>
  <c r="M648" i="40"/>
  <c r="CM648" i="40" s="1"/>
  <c r="CB648" i="40"/>
  <c r="BL648" i="40"/>
  <c r="AB648" i="40"/>
  <c r="CE648" i="40"/>
  <c r="BK648" i="40"/>
  <c r="BG648" i="40"/>
  <c r="DS648" i="40"/>
  <c r="JO648" i="40"/>
  <c r="H648" i="40"/>
  <c r="AI648" i="40"/>
  <c r="F648" i="40"/>
  <c r="CD648" i="40"/>
  <c r="BN648" i="40"/>
  <c r="AX648" i="40"/>
  <c r="CG648" i="40"/>
  <c r="BQ648" i="40"/>
  <c r="BA648" i="40"/>
  <c r="A648" i="40"/>
  <c r="BX648" i="40"/>
  <c r="BH648" i="40"/>
  <c r="P648" i="40"/>
  <c r="BO648" i="40"/>
  <c r="K648" i="40"/>
  <c r="G648" i="40"/>
  <c r="JP648" i="40"/>
  <c r="I648" i="40"/>
  <c r="AJ648" i="40"/>
  <c r="AC648" i="40"/>
  <c r="DV648" i="40"/>
  <c r="BZ648" i="40"/>
  <c r="BJ648" i="40"/>
  <c r="N648" i="40"/>
  <c r="CN648" i="40" s="1"/>
  <c r="CC648" i="40"/>
  <c r="BM648" i="40"/>
  <c r="AW648" i="40"/>
  <c r="DT648" i="40"/>
  <c r="BT648" i="40"/>
  <c r="BD648" i="40"/>
  <c r="L648" i="40"/>
  <c r="CL648" i="40" s="1"/>
  <c r="O648" i="40"/>
  <c r="CO648" i="40" s="1"/>
  <c r="DW648" i="40"/>
  <c r="BS648" i="40"/>
  <c r="KN648" i="40"/>
  <c r="BV648" i="40"/>
  <c r="BI648" i="40"/>
  <c r="AZ648" i="40"/>
  <c r="BC648" i="40"/>
  <c r="BF648" i="40"/>
  <c r="AG648" i="40"/>
  <c r="C649" i="40"/>
  <c r="J648" i="40"/>
  <c r="CF648" i="40"/>
  <c r="CA648" i="40"/>
  <c r="W648" i="40"/>
  <c r="CU648" i="40" s="1"/>
  <c r="CJ648" i="40"/>
  <c r="AE648" i="40"/>
  <c r="BY648" i="40"/>
  <c r="BP648" i="40"/>
  <c r="BW648" i="40"/>
  <c r="DM648" i="40"/>
  <c r="T648" i="40"/>
  <c r="CR648" i="40" s="1"/>
  <c r="R648" i="40"/>
  <c r="AH648" i="40"/>
  <c r="Z648" i="40"/>
  <c r="V648" i="40"/>
  <c r="CT648" i="40" s="1"/>
  <c r="U648" i="40"/>
  <c r="CS648" i="40" s="1"/>
  <c r="S648" i="40"/>
  <c r="X648" i="40"/>
  <c r="Q648" i="40"/>
  <c r="AA648" i="40"/>
  <c r="AD648" i="40"/>
  <c r="E648" i="40"/>
  <c r="Y648" i="40"/>
  <c r="AN546" i="40"/>
  <c r="CP546" i="40"/>
  <c r="AP546" i="40"/>
  <c r="AG248" i="40"/>
  <c r="AC248" i="40"/>
  <c r="Y248" i="40"/>
  <c r="U248" i="40"/>
  <c r="CS248" i="40" s="1"/>
  <c r="Q248" i="40"/>
  <c r="M248" i="40"/>
  <c r="CM248" i="40" s="1"/>
  <c r="I248" i="40"/>
  <c r="E248" i="40"/>
  <c r="AJ248" i="40"/>
  <c r="AF248" i="40"/>
  <c r="AB248" i="40"/>
  <c r="X248" i="40"/>
  <c r="T248" i="40"/>
  <c r="CR248" i="40" s="1"/>
  <c r="P248" i="40"/>
  <c r="L248" i="40"/>
  <c r="CL248" i="40" s="1"/>
  <c r="H248" i="40"/>
  <c r="AI248" i="40"/>
  <c r="AE248" i="40"/>
  <c r="AA248" i="40"/>
  <c r="CI332" i="40" s="1"/>
  <c r="W248" i="40"/>
  <c r="CU248" i="40" s="1"/>
  <c r="S248" i="40"/>
  <c r="O248" i="40"/>
  <c r="CO248" i="40" s="1"/>
  <c r="K248" i="40"/>
  <c r="G248" i="40"/>
  <c r="AH248" i="40"/>
  <c r="R248" i="40"/>
  <c r="AD248" i="40"/>
  <c r="N248" i="40"/>
  <c r="CN248" i="40" s="1"/>
  <c r="Z248" i="40"/>
  <c r="J248" i="40"/>
  <c r="V248" i="40"/>
  <c r="CT248" i="40" s="1"/>
  <c r="F248" i="40"/>
  <c r="DB647" i="40"/>
  <c r="CV546" i="40"/>
  <c r="CQ546" i="40"/>
  <c r="AO546" i="40"/>
  <c r="IC145" i="40"/>
  <c r="AO446" i="40"/>
  <c r="CQ446" i="40"/>
  <c r="C448" i="40"/>
  <c r="BK447" i="40"/>
  <c r="CA447" i="40"/>
  <c r="A447" i="40"/>
  <c r="BL447" i="40"/>
  <c r="CB447" i="40"/>
  <c r="BM447" i="40"/>
  <c r="CC447" i="40"/>
  <c r="BB447" i="40"/>
  <c r="BJ447" i="40"/>
  <c r="AW447" i="40"/>
  <c r="BR447" i="40"/>
  <c r="HY447" i="40"/>
  <c r="BW447" i="40"/>
  <c r="DU447" i="40"/>
  <c r="BX447" i="40"/>
  <c r="DT447" i="40"/>
  <c r="CL447" i="40"/>
  <c r="AX447" i="40"/>
  <c r="BO447" i="40"/>
  <c r="CE447" i="40"/>
  <c r="CM447" i="40"/>
  <c r="AZ447" i="40"/>
  <c r="BP447" i="40"/>
  <c r="CF447" i="40"/>
  <c r="CN447" i="40"/>
  <c r="BA447" i="40"/>
  <c r="BQ447" i="40"/>
  <c r="CG447" i="40"/>
  <c r="BF447" i="40"/>
  <c r="CH447" i="40"/>
  <c r="BZ447" i="40"/>
  <c r="BN447" i="40"/>
  <c r="IA447" i="40"/>
  <c r="JP447" i="40"/>
  <c r="BG447" i="40"/>
  <c r="BH447" i="40"/>
  <c r="DV447" i="40"/>
  <c r="BY447" i="40"/>
  <c r="IY447" i="40"/>
  <c r="BC447" i="40"/>
  <c r="BS447" i="40"/>
  <c r="CJ447" i="40"/>
  <c r="BD447" i="40"/>
  <c r="BT447" i="40"/>
  <c r="DM447" i="40"/>
  <c r="BE447" i="40"/>
  <c r="BU447" i="40"/>
  <c r="DS447" i="40"/>
  <c r="BV447" i="40"/>
  <c r="JO447" i="40"/>
  <c r="CD447" i="40"/>
  <c r="HZ447" i="40"/>
  <c r="IX447" i="40"/>
  <c r="BI447" i="40"/>
  <c r="IZ447" i="40"/>
  <c r="DW447" i="40"/>
  <c r="CR447" i="40"/>
  <c r="DB446" i="40"/>
  <c r="CV446" i="40"/>
  <c r="AN446" i="40"/>
  <c r="CP446" i="40"/>
  <c r="AM446" i="40"/>
  <c r="CK446" i="40"/>
  <c r="AP446" i="40"/>
  <c r="HM147" i="40"/>
  <c r="HP147" i="40" s="1"/>
  <c r="HN147" i="40"/>
  <c r="HQ147" i="40" s="1"/>
  <c r="DB247" i="40"/>
  <c r="BC248" i="40"/>
  <c r="BS248" i="40"/>
  <c r="CJ248" i="40"/>
  <c r="BD248" i="40"/>
  <c r="BT248" i="40"/>
  <c r="DM248" i="40"/>
  <c r="BE248" i="40"/>
  <c r="BU248" i="40"/>
  <c r="DS248" i="40"/>
  <c r="BN248" i="40"/>
  <c r="BR248" i="40"/>
  <c r="BV248" i="40"/>
  <c r="BJ248" i="40"/>
  <c r="IA248" i="40"/>
  <c r="BG248" i="40"/>
  <c r="BW248" i="40"/>
  <c r="DU248" i="40"/>
  <c r="BH248" i="40"/>
  <c r="BX248" i="40"/>
  <c r="DV248" i="40"/>
  <c r="BI248" i="40"/>
  <c r="BY248" i="40"/>
  <c r="DW248" i="40"/>
  <c r="CD248" i="40"/>
  <c r="CH248" i="40"/>
  <c r="DT248" i="40"/>
  <c r="BZ248" i="40"/>
  <c r="HY248" i="40"/>
  <c r="IX248" i="40"/>
  <c r="IY248" i="40"/>
  <c r="C249" i="40"/>
  <c r="BK248" i="40"/>
  <c r="CA248" i="40"/>
  <c r="A248" i="40"/>
  <c r="BL248" i="40"/>
  <c r="CB248" i="40"/>
  <c r="BM248" i="40"/>
  <c r="CC248" i="40"/>
  <c r="JO248" i="40"/>
  <c r="HZ248" i="40"/>
  <c r="JP248" i="40"/>
  <c r="AX248" i="40"/>
  <c r="BO248" i="40"/>
  <c r="CE248" i="40"/>
  <c r="AZ248" i="40"/>
  <c r="BP248" i="40"/>
  <c r="CF248" i="40"/>
  <c r="BA248" i="40"/>
  <c r="BQ248" i="40"/>
  <c r="CG248" i="40"/>
  <c r="AW248" i="40"/>
  <c r="BB248" i="40"/>
  <c r="BF248" i="40"/>
  <c r="IZ248" i="40"/>
  <c r="AP247" i="40"/>
  <c r="CV247" i="40"/>
  <c r="CK247" i="40"/>
  <c r="AM247" i="40"/>
  <c r="CQ247" i="40"/>
  <c r="AO247" i="40"/>
  <c r="AN247" i="40"/>
  <c r="CP247" i="40"/>
  <c r="D146" i="40"/>
  <c r="AY146" i="40" s="1"/>
  <c r="CV347" i="40"/>
  <c r="HV146" i="40"/>
  <c r="JH146" i="40"/>
  <c r="AN347" i="40"/>
  <c r="CP347" i="40"/>
  <c r="CV147" i="40"/>
  <c r="AK147" i="40"/>
  <c r="AL147" i="40"/>
  <c r="IP147" i="40"/>
  <c r="JB147" i="40" s="1"/>
  <c r="HS147" i="40"/>
  <c r="AO347" i="40"/>
  <c r="CQ347" i="40"/>
  <c r="AO147" i="40"/>
  <c r="CQ147" i="40"/>
  <c r="JC147" i="40"/>
  <c r="HU147" i="40"/>
  <c r="KO143" i="40"/>
  <c r="CK347" i="40"/>
  <c r="AM347" i="40"/>
  <c r="KO144" i="40"/>
  <c r="AP147" i="40"/>
  <c r="JF148" i="40"/>
  <c r="HO148" i="40" s="1"/>
  <c r="II148" i="40"/>
  <c r="IL148" i="40" s="1"/>
  <c r="IJ148" i="40"/>
  <c r="IM148" i="40" s="1"/>
  <c r="IK148" i="40"/>
  <c r="IN148" i="40" s="1"/>
  <c r="C149" i="40"/>
  <c r="AX148" i="40"/>
  <c r="BC148" i="40"/>
  <c r="BG148" i="40"/>
  <c r="BK148" i="40"/>
  <c r="BO148" i="40"/>
  <c r="BS148" i="40"/>
  <c r="BW148" i="40"/>
  <c r="CA148" i="40"/>
  <c r="CE148" i="40"/>
  <c r="CJ148" i="40"/>
  <c r="DU148" i="40"/>
  <c r="AZ148" i="40"/>
  <c r="BD148" i="40"/>
  <c r="BH148" i="40"/>
  <c r="BL148" i="40"/>
  <c r="BP148" i="40"/>
  <c r="BT148" i="40"/>
  <c r="BX148" i="40"/>
  <c r="CB148" i="40"/>
  <c r="CF148" i="40"/>
  <c r="DM148" i="40"/>
  <c r="DV148" i="40"/>
  <c r="BA148" i="40"/>
  <c r="BE148" i="40"/>
  <c r="BI148" i="40"/>
  <c r="BM148" i="40"/>
  <c r="BQ148" i="40"/>
  <c r="BU148" i="40"/>
  <c r="BY148" i="40"/>
  <c r="CC148" i="40"/>
  <c r="CG148" i="40"/>
  <c r="DS148" i="40"/>
  <c r="DW148" i="40"/>
  <c r="A148" i="40"/>
  <c r="BB148" i="40"/>
  <c r="BR148" i="40"/>
  <c r="CH148" i="40"/>
  <c r="CM148" i="40"/>
  <c r="BF148" i="40"/>
  <c r="BV148" i="40"/>
  <c r="DT148" i="40"/>
  <c r="BJ148" i="40"/>
  <c r="BZ148" i="40"/>
  <c r="AW148" i="40"/>
  <c r="BN148" i="40"/>
  <c r="CD148" i="40"/>
  <c r="JO148" i="40"/>
  <c r="IZ148" i="40"/>
  <c r="HY148" i="40"/>
  <c r="HZ148" i="40"/>
  <c r="IX148" i="40"/>
  <c r="IA148" i="40"/>
  <c r="IY148" i="40"/>
  <c r="JP148" i="40"/>
  <c r="JG148" i="40"/>
  <c r="JI146" i="40"/>
  <c r="DB347" i="40"/>
  <c r="AP347" i="40"/>
  <c r="C349" i="40"/>
  <c r="AX348" i="40"/>
  <c r="BC348" i="40"/>
  <c r="BG348" i="40"/>
  <c r="BK348" i="40"/>
  <c r="BO348" i="40"/>
  <c r="BS348" i="40"/>
  <c r="BW348" i="40"/>
  <c r="CA348" i="40"/>
  <c r="CE348" i="40"/>
  <c r="CJ348" i="40"/>
  <c r="DU348" i="40"/>
  <c r="A348" i="40"/>
  <c r="AZ348" i="40"/>
  <c r="BD348" i="40"/>
  <c r="BH348" i="40"/>
  <c r="BL348" i="40"/>
  <c r="BP348" i="40"/>
  <c r="BT348" i="40"/>
  <c r="BX348" i="40"/>
  <c r="CB348" i="40"/>
  <c r="CF348" i="40"/>
  <c r="DM348" i="40"/>
  <c r="DV348" i="40"/>
  <c r="CN348" i="40"/>
  <c r="BA348" i="40"/>
  <c r="BE348" i="40"/>
  <c r="BI348" i="40"/>
  <c r="BM348" i="40"/>
  <c r="BQ348" i="40"/>
  <c r="BU348" i="40"/>
  <c r="BY348" i="40"/>
  <c r="CC348" i="40"/>
  <c r="CG348" i="40"/>
  <c r="DS348" i="40"/>
  <c r="DW348" i="40"/>
  <c r="BF348" i="40"/>
  <c r="BV348" i="40"/>
  <c r="DT348" i="40"/>
  <c r="BJ348" i="40"/>
  <c r="BZ348" i="40"/>
  <c r="AW348" i="40"/>
  <c r="BN348" i="40"/>
  <c r="CD348" i="40"/>
  <c r="CH348" i="40"/>
  <c r="BB348" i="40"/>
  <c r="JO348" i="40"/>
  <c r="BR348" i="40"/>
  <c r="IY348" i="40"/>
  <c r="IZ348" i="40"/>
  <c r="IX348" i="40"/>
  <c r="IA348" i="40"/>
  <c r="HY348" i="40"/>
  <c r="HZ348" i="40"/>
  <c r="JP348" i="40"/>
  <c r="CP147" i="40"/>
  <c r="HV147" i="40" s="1"/>
  <c r="AN147" i="40"/>
  <c r="AM147" i="40"/>
  <c r="CK147" i="40"/>
  <c r="IO147" i="40"/>
  <c r="JA147" i="40" s="1"/>
  <c r="HT147" i="40"/>
  <c r="CI631" i="40" l="1"/>
  <c r="CI148" i="40"/>
  <c r="CI531" i="40"/>
  <c r="CI232" i="40"/>
  <c r="CI432" i="40"/>
  <c r="IA647" i="40"/>
  <c r="IZ647" i="40" s="1"/>
  <c r="HY647" i="40"/>
  <c r="IX647" i="40" s="1"/>
  <c r="IQ148" i="40"/>
  <c r="JC148" i="40" s="1"/>
  <c r="AP648" i="40"/>
  <c r="HZ647" i="40"/>
  <c r="IY647" i="40" s="1"/>
  <c r="DB447" i="40"/>
  <c r="CV648" i="40"/>
  <c r="DB648" i="40"/>
  <c r="AG249" i="40"/>
  <c r="AC249" i="40"/>
  <c r="Y249" i="40"/>
  <c r="U249" i="40"/>
  <c r="CS249" i="40" s="1"/>
  <c r="Q249" i="40"/>
  <c r="M249" i="40"/>
  <c r="CM249" i="40" s="1"/>
  <c r="I249" i="40"/>
  <c r="E249" i="40"/>
  <c r="AJ249" i="40"/>
  <c r="AF249" i="40"/>
  <c r="AB249" i="40"/>
  <c r="X249" i="40"/>
  <c r="T249" i="40"/>
  <c r="CR249" i="40" s="1"/>
  <c r="P249" i="40"/>
  <c r="L249" i="40"/>
  <c r="CL249" i="40" s="1"/>
  <c r="H249" i="40"/>
  <c r="AI249" i="40"/>
  <c r="AE249" i="40"/>
  <c r="AA249" i="40"/>
  <c r="CI333" i="40" s="1"/>
  <c r="W249" i="40"/>
  <c r="CU249" i="40" s="1"/>
  <c r="S249" i="40"/>
  <c r="O249" i="40"/>
  <c r="CO249" i="40" s="1"/>
  <c r="K249" i="40"/>
  <c r="G249" i="40"/>
  <c r="AH249" i="40"/>
  <c r="R249" i="40"/>
  <c r="V249" i="40"/>
  <c r="CT249" i="40" s="1"/>
  <c r="AD249" i="40"/>
  <c r="N249" i="40"/>
  <c r="CN249" i="40" s="1"/>
  <c r="F249" i="40"/>
  <c r="Z249" i="40"/>
  <c r="J249" i="40"/>
  <c r="CQ648" i="40"/>
  <c r="AO648" i="40"/>
  <c r="CK648" i="40"/>
  <c r="AM648" i="40"/>
  <c r="AI548" i="40"/>
  <c r="AE548" i="40"/>
  <c r="AA548" i="40"/>
  <c r="W548" i="40"/>
  <c r="CU548" i="40" s="1"/>
  <c r="S548" i="40"/>
  <c r="O548" i="40"/>
  <c r="CO548" i="40" s="1"/>
  <c r="K548" i="40"/>
  <c r="G548" i="40"/>
  <c r="AH548" i="40"/>
  <c r="AD548" i="40"/>
  <c r="Z548" i="40"/>
  <c r="V548" i="40"/>
  <c r="CT548" i="40" s="1"/>
  <c r="R548" i="40"/>
  <c r="N548" i="40"/>
  <c r="CN548" i="40" s="1"/>
  <c r="J548" i="40"/>
  <c r="F548" i="40"/>
  <c r="AF548" i="40"/>
  <c r="X548" i="40"/>
  <c r="P548" i="40"/>
  <c r="H548" i="40"/>
  <c r="AC548" i="40"/>
  <c r="U548" i="40"/>
  <c r="CS548" i="40" s="1"/>
  <c r="M548" i="40"/>
  <c r="CM548" i="40" s="1"/>
  <c r="E548" i="40"/>
  <c r="AJ548" i="40"/>
  <c r="AB548" i="40"/>
  <c r="T548" i="40"/>
  <c r="CR548" i="40" s="1"/>
  <c r="L548" i="40"/>
  <c r="CL548" i="40" s="1"/>
  <c r="Y548" i="40"/>
  <c r="Q548" i="40"/>
  <c r="I548" i="40"/>
  <c r="AG548" i="40"/>
  <c r="BE548" i="40"/>
  <c r="BU548" i="40"/>
  <c r="DS548" i="40"/>
  <c r="BF548" i="40"/>
  <c r="BV548" i="40"/>
  <c r="DT548" i="40"/>
  <c r="BC548" i="40"/>
  <c r="BS548" i="40"/>
  <c r="CJ548" i="40"/>
  <c r="CF548" i="40"/>
  <c r="DM548" i="40"/>
  <c r="BX548" i="40"/>
  <c r="HY548" i="40"/>
  <c r="IX548" i="40"/>
  <c r="C549" i="40"/>
  <c r="BI548" i="40"/>
  <c r="BY548" i="40"/>
  <c r="DW548" i="40"/>
  <c r="BJ548" i="40"/>
  <c r="BZ548" i="40"/>
  <c r="BG548" i="40"/>
  <c r="BW548" i="40"/>
  <c r="DU548" i="40"/>
  <c r="CB548" i="40"/>
  <c r="DV548" i="40"/>
  <c r="IA548" i="40"/>
  <c r="IY548" i="40"/>
  <c r="BT548" i="40"/>
  <c r="BL548" i="40"/>
  <c r="CG548" i="40"/>
  <c r="BR548" i="40"/>
  <c r="AX548" i="40"/>
  <c r="CE548" i="40"/>
  <c r="BH548" i="40"/>
  <c r="BM548" i="40"/>
  <c r="CC548" i="40"/>
  <c r="AW548" i="40"/>
  <c r="BN548" i="40"/>
  <c r="CD548" i="40"/>
  <c r="BK548" i="40"/>
  <c r="CA548" i="40"/>
  <c r="AZ548" i="40"/>
  <c r="BD548" i="40"/>
  <c r="A548" i="40"/>
  <c r="JO548" i="40"/>
  <c r="HZ548" i="40"/>
  <c r="JP548" i="40"/>
  <c r="BA548" i="40"/>
  <c r="BQ548" i="40"/>
  <c r="BB548" i="40"/>
  <c r="CH548" i="40"/>
  <c r="BO548" i="40"/>
  <c r="BP548" i="40"/>
  <c r="IZ548" i="40"/>
  <c r="AG149" i="40"/>
  <c r="AC149" i="40"/>
  <c r="Y149" i="40"/>
  <c r="U149" i="40"/>
  <c r="CS149" i="40" s="1"/>
  <c r="Q149" i="40"/>
  <c r="M149" i="40"/>
  <c r="CM149" i="40" s="1"/>
  <c r="I149" i="40"/>
  <c r="E149" i="40"/>
  <c r="AI149" i="40"/>
  <c r="AE149" i="40"/>
  <c r="AA149" i="40"/>
  <c r="W149" i="40"/>
  <c r="CU149" i="40" s="1"/>
  <c r="S149" i="40"/>
  <c r="O149" i="40"/>
  <c r="CO149" i="40" s="1"/>
  <c r="K149" i="40"/>
  <c r="G149" i="40"/>
  <c r="AF149" i="40"/>
  <c r="X149" i="40"/>
  <c r="P149" i="40"/>
  <c r="H149" i="40"/>
  <c r="Z149" i="40"/>
  <c r="AD149" i="40"/>
  <c r="V149" i="40"/>
  <c r="CT149" i="40" s="1"/>
  <c r="N149" i="40"/>
  <c r="CN149" i="40" s="1"/>
  <c r="F149" i="40"/>
  <c r="AH149" i="40"/>
  <c r="J149" i="40"/>
  <c r="AJ149" i="40"/>
  <c r="AB149" i="40"/>
  <c r="T149" i="40"/>
  <c r="CR149" i="40" s="1"/>
  <c r="L149" i="40"/>
  <c r="CL149" i="40" s="1"/>
  <c r="R149" i="40"/>
  <c r="AI448" i="40"/>
  <c r="AE448" i="40"/>
  <c r="AA448" i="40"/>
  <c r="W448" i="40"/>
  <c r="S448" i="40"/>
  <c r="O448" i="40"/>
  <c r="CO448" i="40" s="1"/>
  <c r="K448" i="40"/>
  <c r="G448" i="40"/>
  <c r="AH448" i="40"/>
  <c r="AD448" i="40"/>
  <c r="Z448" i="40"/>
  <c r="V448" i="40"/>
  <c r="CT448" i="40" s="1"/>
  <c r="R448" i="40"/>
  <c r="N448" i="40"/>
  <c r="CN448" i="40" s="1"/>
  <c r="J448" i="40"/>
  <c r="F448" i="40"/>
  <c r="AG448" i="40"/>
  <c r="AC448" i="40"/>
  <c r="Y448" i="40"/>
  <c r="U448" i="40"/>
  <c r="CS448" i="40" s="1"/>
  <c r="Q448" i="40"/>
  <c r="M448" i="40"/>
  <c r="CM448" i="40" s="1"/>
  <c r="I448" i="40"/>
  <c r="E448" i="40"/>
  <c r="AJ448" i="40"/>
  <c r="T448" i="40"/>
  <c r="CR448" i="40" s="1"/>
  <c r="AF448" i="40"/>
  <c r="P448" i="40"/>
  <c r="AB448" i="40"/>
  <c r="L448" i="40"/>
  <c r="CL448" i="40" s="1"/>
  <c r="H448" i="40"/>
  <c r="X448" i="40"/>
  <c r="CP648" i="40"/>
  <c r="I649" i="40"/>
  <c r="AJ649" i="40"/>
  <c r="AC649" i="40"/>
  <c r="DM649" i="40"/>
  <c r="BV649" i="40"/>
  <c r="BF649" i="40"/>
  <c r="R649" i="40"/>
  <c r="CG649" i="40"/>
  <c r="BQ649" i="40"/>
  <c r="BA649" i="40"/>
  <c r="A649" i="40"/>
  <c r="BX649" i="40"/>
  <c r="BH649" i="40"/>
  <c r="P649" i="40"/>
  <c r="BC649" i="40"/>
  <c r="O649" i="40"/>
  <c r="CO649" i="40" s="1"/>
  <c r="BW649" i="40"/>
  <c r="W649" i="40"/>
  <c r="CU649" i="40" s="1"/>
  <c r="JO649" i="40"/>
  <c r="AE649" i="40"/>
  <c r="CH649" i="40"/>
  <c r="BR649" i="40"/>
  <c r="BB649" i="40"/>
  <c r="N649" i="40"/>
  <c r="CN649" i="40" s="1"/>
  <c r="CC649" i="40"/>
  <c r="BM649" i="40"/>
  <c r="AW649" i="40"/>
  <c r="DT649" i="40"/>
  <c r="BT649" i="40"/>
  <c r="BD649" i="40"/>
  <c r="L649" i="40"/>
  <c r="CL649" i="40" s="1"/>
  <c r="C650" i="40"/>
  <c r="CA649" i="40"/>
  <c r="G649" i="40"/>
  <c r="JP649" i="40"/>
  <c r="AF649" i="40"/>
  <c r="CJ649" i="40"/>
  <c r="CD649" i="40"/>
  <c r="BN649" i="40"/>
  <c r="AX649" i="40"/>
  <c r="J649" i="40"/>
  <c r="BY649" i="40"/>
  <c r="BI649" i="40"/>
  <c r="AG649" i="40"/>
  <c r="CF649" i="40"/>
  <c r="BP649" i="40"/>
  <c r="AZ649" i="40"/>
  <c r="DS649" i="40"/>
  <c r="CE649" i="40"/>
  <c r="BK649" i="40"/>
  <c r="DW649" i="40"/>
  <c r="F649" i="40"/>
  <c r="DV649" i="40"/>
  <c r="DU649" i="40"/>
  <c r="CB649" i="40"/>
  <c r="BO649" i="40"/>
  <c r="H649" i="40"/>
  <c r="BZ649" i="40"/>
  <c r="BU649" i="40"/>
  <c r="BL649" i="40"/>
  <c r="K649" i="40"/>
  <c r="KN649" i="40"/>
  <c r="AI649" i="40"/>
  <c r="BJ649" i="40"/>
  <c r="BE649" i="40"/>
  <c r="AB649" i="40"/>
  <c r="BG649" i="40"/>
  <c r="M649" i="40"/>
  <c r="CM649" i="40" s="1"/>
  <c r="BS649" i="40"/>
  <c r="AH649" i="40"/>
  <c r="Z649" i="40"/>
  <c r="T649" i="40"/>
  <c r="CR649" i="40" s="1"/>
  <c r="Q649" i="40"/>
  <c r="U649" i="40"/>
  <c r="CS649" i="40" s="1"/>
  <c r="S649" i="40"/>
  <c r="X649" i="40"/>
  <c r="V649" i="40"/>
  <c r="CT649" i="40" s="1"/>
  <c r="AA649" i="40"/>
  <c r="AD649" i="40"/>
  <c r="E649" i="40"/>
  <c r="Y649" i="40"/>
  <c r="DB547" i="40"/>
  <c r="AM547" i="40"/>
  <c r="CK547" i="40"/>
  <c r="AJ349" i="40"/>
  <c r="AF349" i="40"/>
  <c r="AB349" i="40"/>
  <c r="X349" i="40"/>
  <c r="T349" i="40"/>
  <c r="CR349" i="40" s="1"/>
  <c r="P349" i="40"/>
  <c r="L349" i="40"/>
  <c r="CL349" i="40" s="1"/>
  <c r="H349" i="40"/>
  <c r="AH349" i="40"/>
  <c r="AD349" i="40"/>
  <c r="Z349" i="40"/>
  <c r="V349" i="40"/>
  <c r="CT349" i="40" s="1"/>
  <c r="R349" i="40"/>
  <c r="N349" i="40"/>
  <c r="CN349" i="40" s="1"/>
  <c r="J349" i="40"/>
  <c r="F349" i="40"/>
  <c r="AC349" i="40"/>
  <c r="U349" i="40"/>
  <c r="CS349" i="40" s="1"/>
  <c r="M349" i="40"/>
  <c r="CM349" i="40" s="1"/>
  <c r="E349" i="40"/>
  <c r="AI349" i="40"/>
  <c r="AA349" i="40"/>
  <c r="S349" i="40"/>
  <c r="K349" i="40"/>
  <c r="AG349" i="40"/>
  <c r="Y349" i="40"/>
  <c r="Q349" i="40"/>
  <c r="I349" i="40"/>
  <c r="G349" i="40"/>
  <c r="AE349" i="40"/>
  <c r="W349" i="40"/>
  <c r="CU349" i="40" s="1"/>
  <c r="O349" i="40"/>
  <c r="CO349" i="40" s="1"/>
  <c r="AN648" i="40"/>
  <c r="AN547" i="40"/>
  <c r="CP547" i="40"/>
  <c r="AP547" i="40"/>
  <c r="CV547" i="40"/>
  <c r="CQ547" i="40"/>
  <c r="AO547" i="40"/>
  <c r="AM447" i="40"/>
  <c r="CK447" i="40"/>
  <c r="A448" i="40"/>
  <c r="BF448" i="40"/>
  <c r="BV448" i="40"/>
  <c r="DT448" i="40"/>
  <c r="BK448" i="40"/>
  <c r="CA448" i="40"/>
  <c r="AZ448" i="40"/>
  <c r="BP448" i="40"/>
  <c r="CF448" i="40"/>
  <c r="BE448" i="40"/>
  <c r="DW448" i="40"/>
  <c r="CC448" i="40"/>
  <c r="HY448" i="40"/>
  <c r="CU448" i="40"/>
  <c r="BJ448" i="40"/>
  <c r="BZ448" i="40"/>
  <c r="AX448" i="40"/>
  <c r="BO448" i="40"/>
  <c r="CE448" i="40"/>
  <c r="BD448" i="40"/>
  <c r="BT448" i="40"/>
  <c r="DM448" i="40"/>
  <c r="BU448" i="40"/>
  <c r="JO448" i="40"/>
  <c r="HZ448" i="40"/>
  <c r="IY448" i="40"/>
  <c r="AW448" i="40"/>
  <c r="BN448" i="40"/>
  <c r="CD448" i="40"/>
  <c r="BC448" i="40"/>
  <c r="BS448" i="40"/>
  <c r="CJ448" i="40"/>
  <c r="BH448" i="40"/>
  <c r="BX448" i="40"/>
  <c r="DV448" i="40"/>
  <c r="DS448" i="40"/>
  <c r="BI448" i="40"/>
  <c r="BA448" i="40"/>
  <c r="IZ448" i="40"/>
  <c r="IX448" i="40"/>
  <c r="C449" i="40"/>
  <c r="BB448" i="40"/>
  <c r="BR448" i="40"/>
  <c r="CH448" i="40"/>
  <c r="BG448" i="40"/>
  <c r="BW448" i="40"/>
  <c r="DU448" i="40"/>
  <c r="BL448" i="40"/>
  <c r="CB448" i="40"/>
  <c r="BQ448" i="40"/>
  <c r="BY448" i="40"/>
  <c r="BM448" i="40"/>
  <c r="CG448" i="40"/>
  <c r="IA448" i="40"/>
  <c r="IA648" i="40" s="1"/>
  <c r="JP448" i="40"/>
  <c r="CP447" i="40"/>
  <c r="AN447" i="40"/>
  <c r="CV248" i="40"/>
  <c r="CQ447" i="40"/>
  <c r="AO447" i="40"/>
  <c r="AP447" i="40"/>
  <c r="CV447" i="40"/>
  <c r="CK248" i="40"/>
  <c r="AM248" i="40"/>
  <c r="CP248" i="40"/>
  <c r="AN248" i="40"/>
  <c r="DB248" i="40"/>
  <c r="AP248" i="40"/>
  <c r="BA249" i="40"/>
  <c r="BQ249" i="40"/>
  <c r="CG249" i="40"/>
  <c r="AW249" i="40"/>
  <c r="BN249" i="40"/>
  <c r="CD249" i="40"/>
  <c r="BC249" i="40"/>
  <c r="BS249" i="40"/>
  <c r="CJ249" i="40"/>
  <c r="CB249" i="40"/>
  <c r="CF249" i="40"/>
  <c r="DM249" i="40"/>
  <c r="BH249" i="40"/>
  <c r="IX249" i="40"/>
  <c r="BE249" i="40"/>
  <c r="BU249" i="40"/>
  <c r="DS249" i="40"/>
  <c r="BB249" i="40"/>
  <c r="BR249" i="40"/>
  <c r="CH249" i="40"/>
  <c r="BG249" i="40"/>
  <c r="BW249" i="40"/>
  <c r="DU249" i="40"/>
  <c r="A249" i="40"/>
  <c r="BX249" i="40"/>
  <c r="HZ249" i="40"/>
  <c r="IA249" i="40"/>
  <c r="IY249" i="40"/>
  <c r="C250" i="40"/>
  <c r="BI249" i="40"/>
  <c r="BY249" i="40"/>
  <c r="DW249" i="40"/>
  <c r="BF249" i="40"/>
  <c r="BV249" i="40"/>
  <c r="DT249" i="40"/>
  <c r="BK249" i="40"/>
  <c r="CA249" i="40"/>
  <c r="AZ249" i="40"/>
  <c r="BD249" i="40"/>
  <c r="DV249" i="40"/>
  <c r="JO249" i="40"/>
  <c r="HY249" i="40"/>
  <c r="JP249" i="40"/>
  <c r="BM249" i="40"/>
  <c r="CC249" i="40"/>
  <c r="BJ249" i="40"/>
  <c r="BZ249" i="40"/>
  <c r="AX249" i="40"/>
  <c r="BO249" i="40"/>
  <c r="CE249" i="40"/>
  <c r="BL249" i="40"/>
  <c r="BP249" i="40"/>
  <c r="BT249" i="40"/>
  <c r="IZ249" i="40"/>
  <c r="AO248" i="40"/>
  <c r="CQ248" i="40"/>
  <c r="IO148" i="40"/>
  <c r="JA148" i="40" s="1"/>
  <c r="DB348" i="40"/>
  <c r="AP348" i="40"/>
  <c r="DB148" i="40"/>
  <c r="HN148" i="40"/>
  <c r="HQ148" i="40" s="1"/>
  <c r="HX147" i="40"/>
  <c r="D147" i="40"/>
  <c r="AY147" i="40" s="1"/>
  <c r="E52" i="44"/>
  <c r="IK149" i="40"/>
  <c r="IN149" i="40" s="1"/>
  <c r="JF149" i="40"/>
  <c r="HO149" i="40" s="1"/>
  <c r="HR149" i="40" s="1"/>
  <c r="II149" i="40"/>
  <c r="IL149" i="40" s="1"/>
  <c r="IJ149" i="40"/>
  <c r="IM149" i="40" s="1"/>
  <c r="C150" i="40"/>
  <c r="AX149" i="40"/>
  <c r="BC149" i="40"/>
  <c r="BG149" i="40"/>
  <c r="BK149" i="40"/>
  <c r="BO149" i="40"/>
  <c r="BS149" i="40"/>
  <c r="BW149" i="40"/>
  <c r="CA149" i="40"/>
  <c r="CE149" i="40"/>
  <c r="CJ149" i="40"/>
  <c r="DU149" i="40"/>
  <c r="AZ149" i="40"/>
  <c r="BD149" i="40"/>
  <c r="BH149" i="40"/>
  <c r="BL149" i="40"/>
  <c r="BP149" i="40"/>
  <c r="BT149" i="40"/>
  <c r="BX149" i="40"/>
  <c r="CB149" i="40"/>
  <c r="CF149" i="40"/>
  <c r="DM149" i="40"/>
  <c r="DV149" i="40"/>
  <c r="BA149" i="40"/>
  <c r="BE149" i="40"/>
  <c r="BI149" i="40"/>
  <c r="BM149" i="40"/>
  <c r="BQ149" i="40"/>
  <c r="BU149" i="40"/>
  <c r="BY149" i="40"/>
  <c r="CC149" i="40"/>
  <c r="CG149" i="40"/>
  <c r="DS149" i="40"/>
  <c r="DW149" i="40"/>
  <c r="BJ149" i="40"/>
  <c r="BZ149" i="40"/>
  <c r="AW149" i="40"/>
  <c r="BN149" i="40"/>
  <c r="CD149" i="40"/>
  <c r="A149" i="40"/>
  <c r="BB149" i="40"/>
  <c r="BR149" i="40"/>
  <c r="CH149" i="40"/>
  <c r="DT149" i="40"/>
  <c r="BF149" i="40"/>
  <c r="BV149" i="40"/>
  <c r="JO149" i="40"/>
  <c r="HZ149" i="40"/>
  <c r="IA149" i="40"/>
  <c r="HY149" i="40"/>
  <c r="IX149" i="40"/>
  <c r="IZ149" i="40"/>
  <c r="IY149" i="40"/>
  <c r="JP149" i="40"/>
  <c r="JG149" i="40"/>
  <c r="HR148" i="40"/>
  <c r="JM145" i="40"/>
  <c r="JH147" i="40"/>
  <c r="HW147" i="40"/>
  <c r="IC147" i="40" s="1"/>
  <c r="AM148" i="40"/>
  <c r="CK148" i="40"/>
  <c r="CK348" i="40"/>
  <c r="AM348" i="40"/>
  <c r="CV348" i="40"/>
  <c r="CP348" i="40"/>
  <c r="AN348" i="40"/>
  <c r="CV148" i="40"/>
  <c r="AK148" i="40"/>
  <c r="AL148" i="40"/>
  <c r="AP148" i="40"/>
  <c r="HM148" i="40"/>
  <c r="HP148" i="40" s="1"/>
  <c r="IP148" i="40"/>
  <c r="JB148" i="40" s="1"/>
  <c r="E53" i="44" s="1"/>
  <c r="HU148" i="40"/>
  <c r="JJ146" i="40"/>
  <c r="JK146" i="40" s="1"/>
  <c r="JL146" i="40" s="1"/>
  <c r="CQ148" i="40"/>
  <c r="AO148" i="40"/>
  <c r="HS148" i="40"/>
  <c r="AO348" i="40"/>
  <c r="CQ348" i="40"/>
  <c r="C350" i="40"/>
  <c r="BA349" i="40"/>
  <c r="BE349" i="40"/>
  <c r="BI349" i="40"/>
  <c r="BM349" i="40"/>
  <c r="BQ349" i="40"/>
  <c r="BU349" i="40"/>
  <c r="BY349" i="40"/>
  <c r="CC349" i="40"/>
  <c r="CG349" i="40"/>
  <c r="DS349" i="40"/>
  <c r="DW349" i="40"/>
  <c r="AW349" i="40"/>
  <c r="BB349" i="40"/>
  <c r="BF349" i="40"/>
  <c r="BJ349" i="40"/>
  <c r="BN349" i="40"/>
  <c r="BR349" i="40"/>
  <c r="BV349" i="40"/>
  <c r="BZ349" i="40"/>
  <c r="CD349" i="40"/>
  <c r="CH349" i="40"/>
  <c r="DT349" i="40"/>
  <c r="AX349" i="40"/>
  <c r="BC349" i="40"/>
  <c r="BG349" i="40"/>
  <c r="BK349" i="40"/>
  <c r="BO349" i="40"/>
  <c r="BS349" i="40"/>
  <c r="BW349" i="40"/>
  <c r="CA349" i="40"/>
  <c r="CE349" i="40"/>
  <c r="CJ349" i="40"/>
  <c r="DU349" i="40"/>
  <c r="BD349" i="40"/>
  <c r="BT349" i="40"/>
  <c r="DM349" i="40"/>
  <c r="A349" i="40"/>
  <c r="BH349" i="40"/>
  <c r="BX349" i="40"/>
  <c r="DV349" i="40"/>
  <c r="BL349" i="40"/>
  <c r="CB349" i="40"/>
  <c r="CF349" i="40"/>
  <c r="AZ349" i="40"/>
  <c r="BP349" i="40"/>
  <c r="JO349" i="40"/>
  <c r="IY349" i="40"/>
  <c r="IZ349" i="40"/>
  <c r="IX349" i="40"/>
  <c r="HY349" i="40"/>
  <c r="IA349" i="40"/>
  <c r="HZ349" i="40"/>
  <c r="JP349" i="40"/>
  <c r="CP148" i="40"/>
  <c r="HW148" i="40" s="1"/>
  <c r="AN148" i="40"/>
  <c r="HT148" i="40"/>
  <c r="JI147" i="40"/>
  <c r="CI149" i="40" l="1"/>
  <c r="CI233" i="40"/>
  <c r="HZ648" i="40"/>
  <c r="IY648" i="40" s="1"/>
  <c r="CI433" i="40"/>
  <c r="CI532" i="40"/>
  <c r="CI632" i="40"/>
  <c r="DB448" i="40"/>
  <c r="IZ648" i="40"/>
  <c r="IQ149" i="40"/>
  <c r="JC149" i="40" s="1"/>
  <c r="HY648" i="40"/>
  <c r="IX648" i="40" s="1"/>
  <c r="DB249" i="40"/>
  <c r="DB649" i="40"/>
  <c r="AP649" i="40"/>
  <c r="AG150" i="40"/>
  <c r="AC150" i="40"/>
  <c r="Y150" i="40"/>
  <c r="U150" i="40"/>
  <c r="CS150" i="40" s="1"/>
  <c r="Q150" i="40"/>
  <c r="M150" i="40"/>
  <c r="CM150" i="40" s="1"/>
  <c r="I150" i="40"/>
  <c r="E150" i="40"/>
  <c r="AI150" i="40"/>
  <c r="AE150" i="40"/>
  <c r="AA150" i="40"/>
  <c r="W150" i="40"/>
  <c r="CU150" i="40" s="1"/>
  <c r="S150" i="40"/>
  <c r="O150" i="40"/>
  <c r="CO150" i="40" s="1"/>
  <c r="K150" i="40"/>
  <c r="G150" i="40"/>
  <c r="AF150" i="40"/>
  <c r="X150" i="40"/>
  <c r="P150" i="40"/>
  <c r="H150" i="40"/>
  <c r="R150" i="40"/>
  <c r="AD150" i="40"/>
  <c r="V150" i="40"/>
  <c r="CT150" i="40" s="1"/>
  <c r="N150" i="40"/>
  <c r="CN150" i="40" s="1"/>
  <c r="F150" i="40"/>
  <c r="Z150" i="40"/>
  <c r="AJ150" i="40"/>
  <c r="AB150" i="40"/>
  <c r="T150" i="40"/>
  <c r="CR150" i="40" s="1"/>
  <c r="L150" i="40"/>
  <c r="CL150" i="40" s="1"/>
  <c r="AH150" i="40"/>
  <c r="J150" i="40"/>
  <c r="CV649" i="40"/>
  <c r="AN649" i="40"/>
  <c r="CP649" i="40"/>
  <c r="CK649" i="40"/>
  <c r="AM649" i="40"/>
  <c r="AF650" i="40"/>
  <c r="DV650" i="40"/>
  <c r="BZ650" i="40"/>
  <c r="BJ650" i="40"/>
  <c r="R650" i="40"/>
  <c r="CG650" i="40"/>
  <c r="BQ650" i="40"/>
  <c r="BA650" i="40"/>
  <c r="A650" i="40"/>
  <c r="BX650" i="40"/>
  <c r="BH650" i="40"/>
  <c r="P650" i="40"/>
  <c r="BG650" i="40"/>
  <c r="BC650" i="40"/>
  <c r="O650" i="40"/>
  <c r="CO650" i="40" s="1"/>
  <c r="JO650" i="40"/>
  <c r="H650" i="40"/>
  <c r="AI650" i="40"/>
  <c r="F650" i="40"/>
  <c r="CJ650" i="40"/>
  <c r="DM650" i="40"/>
  <c r="BV650" i="40"/>
  <c r="BF650" i="40"/>
  <c r="N650" i="40"/>
  <c r="CN650" i="40" s="1"/>
  <c r="CC650" i="40"/>
  <c r="BM650" i="40"/>
  <c r="AW650" i="40"/>
  <c r="DT650" i="40"/>
  <c r="BT650" i="40"/>
  <c r="BD650" i="40"/>
  <c r="L650" i="40"/>
  <c r="CL650" i="40" s="1"/>
  <c r="G650" i="40"/>
  <c r="C651" i="40"/>
  <c r="CA650" i="40"/>
  <c r="JP650" i="40"/>
  <c r="I650" i="40"/>
  <c r="AJ650" i="40"/>
  <c r="AC650" i="40"/>
  <c r="CH650" i="40"/>
  <c r="BR650" i="40"/>
  <c r="BB650" i="40"/>
  <c r="J650" i="40"/>
  <c r="BY650" i="40"/>
  <c r="BI650" i="40"/>
  <c r="AG650" i="40"/>
  <c r="CF650" i="40"/>
  <c r="BP650" i="40"/>
  <c r="AZ650" i="40"/>
  <c r="DW650" i="40"/>
  <c r="DS650" i="40"/>
  <c r="CE650" i="40"/>
  <c r="K650" i="40"/>
  <c r="W650" i="40"/>
  <c r="CU650" i="40" s="1"/>
  <c r="KN650" i="40"/>
  <c r="AE650" i="40"/>
  <c r="BN650" i="40"/>
  <c r="BE650" i="40"/>
  <c r="AB650" i="40"/>
  <c r="BK650" i="40"/>
  <c r="AX650" i="40"/>
  <c r="M650" i="40"/>
  <c r="CM650" i="40" s="1"/>
  <c r="BW650" i="40"/>
  <c r="DU650" i="40"/>
  <c r="CB650" i="40"/>
  <c r="BS650" i="40"/>
  <c r="BO650" i="40"/>
  <c r="CD650" i="40"/>
  <c r="BU650" i="40"/>
  <c r="BL650" i="40"/>
  <c r="Z650" i="40"/>
  <c r="AH650" i="40"/>
  <c r="T650" i="40"/>
  <c r="CR650" i="40" s="1"/>
  <c r="Q650" i="40"/>
  <c r="X650" i="40"/>
  <c r="V650" i="40"/>
  <c r="CT650" i="40" s="1"/>
  <c r="U650" i="40"/>
  <c r="CS650" i="40" s="1"/>
  <c r="S650" i="40"/>
  <c r="AD650" i="40"/>
  <c r="AA650" i="40"/>
  <c r="E650" i="40"/>
  <c r="Y650" i="40"/>
  <c r="AI549" i="40"/>
  <c r="AE549" i="40"/>
  <c r="AA549" i="40"/>
  <c r="W549" i="40"/>
  <c r="CU549" i="40" s="1"/>
  <c r="S549" i="40"/>
  <c r="O549" i="40"/>
  <c r="CO549" i="40" s="1"/>
  <c r="K549" i="40"/>
  <c r="G549" i="40"/>
  <c r="AH549" i="40"/>
  <c r="AD549" i="40"/>
  <c r="Z549" i="40"/>
  <c r="V549" i="40"/>
  <c r="CT549" i="40" s="1"/>
  <c r="R549" i="40"/>
  <c r="N549" i="40"/>
  <c r="CN549" i="40" s="1"/>
  <c r="J549" i="40"/>
  <c r="F549" i="40"/>
  <c r="AF549" i="40"/>
  <c r="X549" i="40"/>
  <c r="P549" i="40"/>
  <c r="H549" i="40"/>
  <c r="AC549" i="40"/>
  <c r="U549" i="40"/>
  <c r="CS549" i="40" s="1"/>
  <c r="M549" i="40"/>
  <c r="CM549" i="40" s="1"/>
  <c r="E549" i="40"/>
  <c r="AJ549" i="40"/>
  <c r="AB549" i="40"/>
  <c r="T549" i="40"/>
  <c r="CR549" i="40" s="1"/>
  <c r="L549" i="40"/>
  <c r="CL549" i="40" s="1"/>
  <c r="Y549" i="40"/>
  <c r="Q549" i="40"/>
  <c r="I549" i="40"/>
  <c r="AG549" i="40"/>
  <c r="AX549" i="40"/>
  <c r="BO549" i="40"/>
  <c r="CE549" i="40"/>
  <c r="BL549" i="40"/>
  <c r="CB549" i="40"/>
  <c r="BM549" i="40"/>
  <c r="CC549" i="40"/>
  <c r="AW549" i="40"/>
  <c r="BB549" i="40"/>
  <c r="BF549" i="40"/>
  <c r="IA549" i="40"/>
  <c r="IX549" i="40"/>
  <c r="C550" i="40"/>
  <c r="BC549" i="40"/>
  <c r="BS549" i="40"/>
  <c r="CJ549" i="40"/>
  <c r="AZ549" i="40"/>
  <c r="BP549" i="40"/>
  <c r="CF549" i="40"/>
  <c r="BA549" i="40"/>
  <c r="BQ549" i="40"/>
  <c r="CG549" i="40"/>
  <c r="BN549" i="40"/>
  <c r="BR549" i="40"/>
  <c r="BV549" i="40"/>
  <c r="HZ549" i="40"/>
  <c r="IY549" i="40"/>
  <c r="BG549" i="40"/>
  <c r="BW549" i="40"/>
  <c r="DU549" i="40"/>
  <c r="BD549" i="40"/>
  <c r="BT549" i="40"/>
  <c r="DM549" i="40"/>
  <c r="BE549" i="40"/>
  <c r="BU549" i="40"/>
  <c r="DS549" i="40"/>
  <c r="CD549" i="40"/>
  <c r="CH549" i="40"/>
  <c r="DT549" i="40"/>
  <c r="HY549" i="40"/>
  <c r="JP549" i="40"/>
  <c r="BK549" i="40"/>
  <c r="CA549" i="40"/>
  <c r="A549" i="40"/>
  <c r="BH549" i="40"/>
  <c r="DV549" i="40"/>
  <c r="BI549" i="40"/>
  <c r="BY549" i="40"/>
  <c r="DW549" i="40"/>
  <c r="JO549" i="40"/>
  <c r="IZ549" i="40"/>
  <c r="BX549" i="40"/>
  <c r="BJ549" i="40"/>
  <c r="BZ549" i="40"/>
  <c r="DB548" i="40"/>
  <c r="CK548" i="40"/>
  <c r="AM548" i="40"/>
  <c r="AG250" i="40"/>
  <c r="AC250" i="40"/>
  <c r="Y250" i="40"/>
  <c r="U250" i="40"/>
  <c r="CS250" i="40" s="1"/>
  <c r="Q250" i="40"/>
  <c r="M250" i="40"/>
  <c r="CM250" i="40" s="1"/>
  <c r="I250" i="40"/>
  <c r="E250" i="40"/>
  <c r="AJ250" i="40"/>
  <c r="AF250" i="40"/>
  <c r="AB250" i="40"/>
  <c r="X250" i="40"/>
  <c r="T250" i="40"/>
  <c r="CR250" i="40" s="1"/>
  <c r="P250" i="40"/>
  <c r="L250" i="40"/>
  <c r="CL250" i="40" s="1"/>
  <c r="H250" i="40"/>
  <c r="AI250" i="40"/>
  <c r="AE250" i="40"/>
  <c r="AA250" i="40"/>
  <c r="CI334" i="40" s="1"/>
  <c r="W250" i="40"/>
  <c r="CU250" i="40" s="1"/>
  <c r="S250" i="40"/>
  <c r="O250" i="40"/>
  <c r="K250" i="40"/>
  <c r="G250" i="40"/>
  <c r="AH250" i="40"/>
  <c r="R250" i="40"/>
  <c r="AD250" i="40"/>
  <c r="N250" i="40"/>
  <c r="CN250" i="40" s="1"/>
  <c r="Z250" i="40"/>
  <c r="J250" i="40"/>
  <c r="V250" i="40"/>
  <c r="CT250" i="40" s="1"/>
  <c r="F250" i="40"/>
  <c r="AI449" i="40"/>
  <c r="AE449" i="40"/>
  <c r="AA449" i="40"/>
  <c r="W449" i="40"/>
  <c r="CU449" i="40" s="1"/>
  <c r="S449" i="40"/>
  <c r="O449" i="40"/>
  <c r="CO449" i="40" s="1"/>
  <c r="K449" i="40"/>
  <c r="G449" i="40"/>
  <c r="AH449" i="40"/>
  <c r="AD449" i="40"/>
  <c r="Z449" i="40"/>
  <c r="V449" i="40"/>
  <c r="CT449" i="40" s="1"/>
  <c r="R449" i="40"/>
  <c r="N449" i="40"/>
  <c r="CN449" i="40" s="1"/>
  <c r="J449" i="40"/>
  <c r="F449" i="40"/>
  <c r="AG449" i="40"/>
  <c r="AC449" i="40"/>
  <c r="Y449" i="40"/>
  <c r="U449" i="40"/>
  <c r="CS449" i="40" s="1"/>
  <c r="Q449" i="40"/>
  <c r="M449" i="40"/>
  <c r="CM449" i="40" s="1"/>
  <c r="I449" i="40"/>
  <c r="E449" i="40"/>
  <c r="AJ449" i="40"/>
  <c r="T449" i="40"/>
  <c r="CR449" i="40" s="1"/>
  <c r="AF449" i="40"/>
  <c r="P449" i="40"/>
  <c r="AB449" i="40"/>
  <c r="L449" i="40"/>
  <c r="CL449" i="40" s="1"/>
  <c r="X449" i="40"/>
  <c r="H449" i="40"/>
  <c r="AO649" i="40"/>
  <c r="CQ649" i="40"/>
  <c r="AN548" i="40"/>
  <c r="CP548" i="40"/>
  <c r="AP548" i="40"/>
  <c r="AJ350" i="40"/>
  <c r="AF350" i="40"/>
  <c r="AB350" i="40"/>
  <c r="X350" i="40"/>
  <c r="T350" i="40"/>
  <c r="P350" i="40"/>
  <c r="L350" i="40"/>
  <c r="CL350" i="40" s="1"/>
  <c r="H350" i="40"/>
  <c r="AH350" i="40"/>
  <c r="AD350" i="40"/>
  <c r="Z350" i="40"/>
  <c r="V350" i="40"/>
  <c r="CT350" i="40" s="1"/>
  <c r="R350" i="40"/>
  <c r="N350" i="40"/>
  <c r="CN350" i="40" s="1"/>
  <c r="J350" i="40"/>
  <c r="F350" i="40"/>
  <c r="AC350" i="40"/>
  <c r="U350" i="40"/>
  <c r="CS350" i="40" s="1"/>
  <c r="M350" i="40"/>
  <c r="CM350" i="40" s="1"/>
  <c r="E350" i="40"/>
  <c r="AI350" i="40"/>
  <c r="AA350" i="40"/>
  <c r="S350" i="40"/>
  <c r="K350" i="40"/>
  <c r="AG350" i="40"/>
  <c r="Y350" i="40"/>
  <c r="Q350" i="40"/>
  <c r="I350" i="40"/>
  <c r="G350" i="40"/>
  <c r="AE350" i="40"/>
  <c r="W350" i="40"/>
  <c r="CU350" i="40" s="1"/>
  <c r="O350" i="40"/>
  <c r="CO350" i="40" s="1"/>
  <c r="CV548" i="40"/>
  <c r="CQ548" i="40"/>
  <c r="AO548" i="40"/>
  <c r="CV249" i="40"/>
  <c r="AP448" i="40"/>
  <c r="CV448" i="40"/>
  <c r="AP249" i="40"/>
  <c r="C450" i="40"/>
  <c r="BH449" i="40"/>
  <c r="BX449" i="40"/>
  <c r="DV449" i="40"/>
  <c r="BI449" i="40"/>
  <c r="BY449" i="40"/>
  <c r="DW449" i="40"/>
  <c r="BF449" i="40"/>
  <c r="BV449" i="40"/>
  <c r="DT449" i="40"/>
  <c r="CJ449" i="40"/>
  <c r="BW449" i="40"/>
  <c r="BK449" i="40"/>
  <c r="JO449" i="40"/>
  <c r="HZ449" i="40"/>
  <c r="A449" i="40"/>
  <c r="BL449" i="40"/>
  <c r="CB449" i="40"/>
  <c r="BM449" i="40"/>
  <c r="CC449" i="40"/>
  <c r="BJ449" i="40"/>
  <c r="BZ449" i="40"/>
  <c r="AX449" i="40"/>
  <c r="DU449" i="40"/>
  <c r="CA449" i="40"/>
  <c r="HY449" i="40"/>
  <c r="JP449" i="40"/>
  <c r="AZ449" i="40"/>
  <c r="BP449" i="40"/>
  <c r="CF449" i="40"/>
  <c r="BA449" i="40"/>
  <c r="BQ449" i="40"/>
  <c r="CG449" i="40"/>
  <c r="AW449" i="40"/>
  <c r="BN449" i="40"/>
  <c r="CD449" i="40"/>
  <c r="BC449" i="40"/>
  <c r="BO449" i="40"/>
  <c r="IA449" i="40"/>
  <c r="IX449" i="40"/>
  <c r="BD449" i="40"/>
  <c r="BT449" i="40"/>
  <c r="DM449" i="40"/>
  <c r="BE449" i="40"/>
  <c r="BU449" i="40"/>
  <c r="DS449" i="40"/>
  <c r="BB449" i="40"/>
  <c r="BR449" i="40"/>
  <c r="CH449" i="40"/>
  <c r="BS449" i="40"/>
  <c r="BG449" i="40"/>
  <c r="CE449" i="40"/>
  <c r="IZ449" i="40"/>
  <c r="IY449" i="40"/>
  <c r="CQ448" i="40"/>
  <c r="AO448" i="40"/>
  <c r="CK448" i="40"/>
  <c r="AM448" i="40"/>
  <c r="CP448" i="40"/>
  <c r="AN448" i="40"/>
  <c r="CQ249" i="40"/>
  <c r="AO249" i="40"/>
  <c r="AM249" i="40"/>
  <c r="CK249" i="40"/>
  <c r="CP249" i="40"/>
  <c r="AN249" i="40"/>
  <c r="BC250" i="40"/>
  <c r="BS250" i="40"/>
  <c r="CJ250" i="40"/>
  <c r="BD250" i="40"/>
  <c r="BT250" i="40"/>
  <c r="DM250" i="40"/>
  <c r="BE250" i="40"/>
  <c r="BU250" i="40"/>
  <c r="DS250" i="40"/>
  <c r="BJ250" i="40"/>
  <c r="BN250" i="40"/>
  <c r="BR250" i="40"/>
  <c r="BF250" i="40"/>
  <c r="IA250" i="40"/>
  <c r="BG250" i="40"/>
  <c r="BW250" i="40"/>
  <c r="DU250" i="40"/>
  <c r="BH250" i="40"/>
  <c r="BX250" i="40"/>
  <c r="DV250" i="40"/>
  <c r="BI250" i="40"/>
  <c r="BY250" i="40"/>
  <c r="DW250" i="40"/>
  <c r="BZ250" i="40"/>
  <c r="CD250" i="40"/>
  <c r="CH250" i="40"/>
  <c r="BV250" i="40"/>
  <c r="IX250" i="40"/>
  <c r="HY250" i="40"/>
  <c r="IY250" i="40"/>
  <c r="C251" i="40"/>
  <c r="CO250" i="40"/>
  <c r="BK250" i="40"/>
  <c r="CA250" i="40"/>
  <c r="A250" i="40"/>
  <c r="BL250" i="40"/>
  <c r="CB250" i="40"/>
  <c r="BM250" i="40"/>
  <c r="CC250" i="40"/>
  <c r="DT250" i="40"/>
  <c r="JO250" i="40"/>
  <c r="IZ250" i="40"/>
  <c r="JP250" i="40"/>
  <c r="AX250" i="40"/>
  <c r="BO250" i="40"/>
  <c r="CE250" i="40"/>
  <c r="AZ250" i="40"/>
  <c r="BP250" i="40"/>
  <c r="CF250" i="40"/>
  <c r="BA250" i="40"/>
  <c r="BQ250" i="40"/>
  <c r="CG250" i="40"/>
  <c r="AW250" i="40"/>
  <c r="BB250" i="40"/>
  <c r="HZ250" i="40"/>
  <c r="IO149" i="40"/>
  <c r="JA149" i="40" s="1"/>
  <c r="D148" i="40"/>
  <c r="AY148" i="40" s="1"/>
  <c r="DB149" i="40"/>
  <c r="HM149" i="40"/>
  <c r="HP149" i="40" s="1"/>
  <c r="HN149" i="40"/>
  <c r="HQ149" i="40" s="1"/>
  <c r="JM146" i="40"/>
  <c r="AN349" i="40"/>
  <c r="CP349" i="40"/>
  <c r="CK349" i="40"/>
  <c r="AM349" i="40"/>
  <c r="HV148" i="40"/>
  <c r="JI148" i="40"/>
  <c r="JH148" i="40"/>
  <c r="AM149" i="40"/>
  <c r="CK149" i="40"/>
  <c r="CQ349" i="40"/>
  <c r="AO349" i="40"/>
  <c r="AO149" i="40"/>
  <c r="CQ149" i="40"/>
  <c r="DB349" i="40"/>
  <c r="C351" i="40"/>
  <c r="AX350" i="40"/>
  <c r="BC350" i="40"/>
  <c r="BG350" i="40"/>
  <c r="BK350" i="40"/>
  <c r="BO350" i="40"/>
  <c r="BS350" i="40"/>
  <c r="BW350" i="40"/>
  <c r="CA350" i="40"/>
  <c r="CE350" i="40"/>
  <c r="CJ350" i="40"/>
  <c r="DU350" i="40"/>
  <c r="A350" i="40"/>
  <c r="AZ350" i="40"/>
  <c r="BD350" i="40"/>
  <c r="BH350" i="40"/>
  <c r="BL350" i="40"/>
  <c r="BP350" i="40"/>
  <c r="BT350" i="40"/>
  <c r="BX350" i="40"/>
  <c r="CB350" i="40"/>
  <c r="CF350" i="40"/>
  <c r="DM350" i="40"/>
  <c r="DV350" i="40"/>
  <c r="BA350" i="40"/>
  <c r="BE350" i="40"/>
  <c r="BI350" i="40"/>
  <c r="BM350" i="40"/>
  <c r="BQ350" i="40"/>
  <c r="BU350" i="40"/>
  <c r="BY350" i="40"/>
  <c r="CC350" i="40"/>
  <c r="CG350" i="40"/>
  <c r="DS350" i="40"/>
  <c r="DW350" i="40"/>
  <c r="BB350" i="40"/>
  <c r="BR350" i="40"/>
  <c r="CH350" i="40"/>
  <c r="BF350" i="40"/>
  <c r="BV350" i="40"/>
  <c r="DT350" i="40"/>
  <c r="BJ350" i="40"/>
  <c r="BZ350" i="40"/>
  <c r="CD350" i="40"/>
  <c r="AW350" i="40"/>
  <c r="JO350" i="40"/>
  <c r="BN350" i="40"/>
  <c r="IY350" i="40"/>
  <c r="IA350" i="40"/>
  <c r="HY350" i="40"/>
  <c r="HZ350" i="40"/>
  <c r="IX350" i="40"/>
  <c r="IZ350" i="40"/>
  <c r="CR350" i="40"/>
  <c r="JP350" i="40"/>
  <c r="HX148" i="40"/>
  <c r="IC148" i="40"/>
  <c r="KO145" i="40"/>
  <c r="AP149" i="40"/>
  <c r="IK150" i="40"/>
  <c r="IN150" i="40" s="1"/>
  <c r="II150" i="40"/>
  <c r="IL150" i="40" s="1"/>
  <c r="IJ150" i="40"/>
  <c r="IM150" i="40" s="1"/>
  <c r="JF150" i="40"/>
  <c r="HO150" i="40" s="1"/>
  <c r="C151" i="40"/>
  <c r="AX150" i="40"/>
  <c r="BC150" i="40"/>
  <c r="BG150" i="40"/>
  <c r="BK150" i="40"/>
  <c r="BO150" i="40"/>
  <c r="BS150" i="40"/>
  <c r="BW150" i="40"/>
  <c r="CA150" i="40"/>
  <c r="CE150" i="40"/>
  <c r="CJ150" i="40"/>
  <c r="DU150" i="40"/>
  <c r="AZ150" i="40"/>
  <c r="BD150" i="40"/>
  <c r="BH150" i="40"/>
  <c r="BL150" i="40"/>
  <c r="BP150" i="40"/>
  <c r="BT150" i="40"/>
  <c r="BX150" i="40"/>
  <c r="CB150" i="40"/>
  <c r="CF150" i="40"/>
  <c r="DM150" i="40"/>
  <c r="DV150" i="40"/>
  <c r="BA150" i="40"/>
  <c r="BE150" i="40"/>
  <c r="BI150" i="40"/>
  <c r="BM150" i="40"/>
  <c r="BQ150" i="40"/>
  <c r="BU150" i="40"/>
  <c r="BY150" i="40"/>
  <c r="CC150" i="40"/>
  <c r="CG150" i="40"/>
  <c r="DS150" i="40"/>
  <c r="DW150" i="40"/>
  <c r="A150" i="40"/>
  <c r="BB150" i="40"/>
  <c r="BR150" i="40"/>
  <c r="CH150" i="40"/>
  <c r="BF150" i="40"/>
  <c r="BV150" i="40"/>
  <c r="DT150" i="40"/>
  <c r="BJ150" i="40"/>
  <c r="BZ150" i="40"/>
  <c r="BN150" i="40"/>
  <c r="CD150" i="40"/>
  <c r="AW150" i="40"/>
  <c r="JO150" i="40"/>
  <c r="IA150" i="40"/>
  <c r="HZ150" i="40"/>
  <c r="HY150" i="40"/>
  <c r="IX150" i="40"/>
  <c r="IZ150" i="40"/>
  <c r="IY150" i="40"/>
  <c r="JP150" i="40"/>
  <c r="JG150" i="40"/>
  <c r="HU149" i="40"/>
  <c r="JJ147" i="40"/>
  <c r="JK147" i="40" s="1"/>
  <c r="JL147" i="40" s="1"/>
  <c r="HS149" i="40"/>
  <c r="CV349" i="40"/>
  <c r="AP349" i="40"/>
  <c r="CV149" i="40"/>
  <c r="AL149" i="40"/>
  <c r="AK149" i="40"/>
  <c r="CP149" i="40"/>
  <c r="HV149" i="40" s="1"/>
  <c r="AN149" i="40"/>
  <c r="IP149" i="40"/>
  <c r="JB149" i="40" s="1"/>
  <c r="E54" i="44" s="1"/>
  <c r="HT149" i="40"/>
  <c r="CI533" i="40" l="1"/>
  <c r="CI633" i="40"/>
  <c r="CI234" i="40"/>
  <c r="CI434" i="40"/>
  <c r="CI150" i="40"/>
  <c r="IA649" i="40"/>
  <c r="IZ649" i="40" s="1"/>
  <c r="HY649" i="40"/>
  <c r="IX649" i="40" s="1"/>
  <c r="HZ649" i="40"/>
  <c r="IY649" i="40" s="1"/>
  <c r="DB449" i="40"/>
  <c r="CV650" i="40"/>
  <c r="AJ351" i="40"/>
  <c r="AF351" i="40"/>
  <c r="AB351" i="40"/>
  <c r="X351" i="40"/>
  <c r="T351" i="40"/>
  <c r="CR351" i="40" s="1"/>
  <c r="P351" i="40"/>
  <c r="L351" i="40"/>
  <c r="CL351" i="40" s="1"/>
  <c r="H351" i="40"/>
  <c r="AH351" i="40"/>
  <c r="AD351" i="40"/>
  <c r="Z351" i="40"/>
  <c r="V351" i="40"/>
  <c r="CT351" i="40" s="1"/>
  <c r="R351" i="40"/>
  <c r="N351" i="40"/>
  <c r="CN351" i="40" s="1"/>
  <c r="J351" i="40"/>
  <c r="F351" i="40"/>
  <c r="AC351" i="40"/>
  <c r="U351" i="40"/>
  <c r="CS351" i="40" s="1"/>
  <c r="M351" i="40"/>
  <c r="CM351" i="40" s="1"/>
  <c r="E351" i="40"/>
  <c r="AI351" i="40"/>
  <c r="AA351" i="40"/>
  <c r="S351" i="40"/>
  <c r="K351" i="40"/>
  <c r="AG351" i="40"/>
  <c r="Y351" i="40"/>
  <c r="Q351" i="40"/>
  <c r="I351" i="40"/>
  <c r="G351" i="40"/>
  <c r="AE351" i="40"/>
  <c r="W351" i="40"/>
  <c r="O351" i="40"/>
  <c r="CO351" i="40" s="1"/>
  <c r="AG251" i="40"/>
  <c r="AC251" i="40"/>
  <c r="Y251" i="40"/>
  <c r="U251" i="40"/>
  <c r="CS251" i="40" s="1"/>
  <c r="Q251" i="40"/>
  <c r="M251" i="40"/>
  <c r="CM251" i="40" s="1"/>
  <c r="I251" i="40"/>
  <c r="E251" i="40"/>
  <c r="AJ251" i="40"/>
  <c r="AF251" i="40"/>
  <c r="AB251" i="40"/>
  <c r="X251" i="40"/>
  <c r="T251" i="40"/>
  <c r="CR251" i="40" s="1"/>
  <c r="P251" i="40"/>
  <c r="L251" i="40"/>
  <c r="CL251" i="40" s="1"/>
  <c r="H251" i="40"/>
  <c r="AI251" i="40"/>
  <c r="AE251" i="40"/>
  <c r="AA251" i="40"/>
  <c r="CI335" i="40" s="1"/>
  <c r="W251" i="40"/>
  <c r="CU251" i="40" s="1"/>
  <c r="S251" i="40"/>
  <c r="O251" i="40"/>
  <c r="CO251" i="40" s="1"/>
  <c r="K251" i="40"/>
  <c r="G251" i="40"/>
  <c r="AH251" i="40"/>
  <c r="R251" i="40"/>
  <c r="AD251" i="40"/>
  <c r="N251" i="40"/>
  <c r="CN251" i="40" s="1"/>
  <c r="Z251" i="40"/>
  <c r="J251" i="40"/>
  <c r="V251" i="40"/>
  <c r="CT251" i="40" s="1"/>
  <c r="F251" i="40"/>
  <c r="AI550" i="40"/>
  <c r="AE550" i="40"/>
  <c r="AA550" i="40"/>
  <c r="W550" i="40"/>
  <c r="CU550" i="40" s="1"/>
  <c r="S550" i="40"/>
  <c r="O550" i="40"/>
  <c r="CO550" i="40" s="1"/>
  <c r="K550" i="40"/>
  <c r="G550" i="40"/>
  <c r="AH550" i="40"/>
  <c r="AD550" i="40"/>
  <c r="Z550" i="40"/>
  <c r="V550" i="40"/>
  <c r="CT550" i="40" s="1"/>
  <c r="R550" i="40"/>
  <c r="N550" i="40"/>
  <c r="CN550" i="40" s="1"/>
  <c r="J550" i="40"/>
  <c r="F550" i="40"/>
  <c r="AF550" i="40"/>
  <c r="X550" i="40"/>
  <c r="P550" i="40"/>
  <c r="H550" i="40"/>
  <c r="AC550" i="40"/>
  <c r="U550" i="40"/>
  <c r="CS550" i="40" s="1"/>
  <c r="M550" i="40"/>
  <c r="CM550" i="40" s="1"/>
  <c r="E550" i="40"/>
  <c r="AJ550" i="40"/>
  <c r="AB550" i="40"/>
  <c r="T550" i="40"/>
  <c r="CR550" i="40" s="1"/>
  <c r="L550" i="40"/>
  <c r="CL550" i="40" s="1"/>
  <c r="Y550" i="40"/>
  <c r="Q550" i="40"/>
  <c r="I550" i="40"/>
  <c r="AG550" i="40"/>
  <c r="C551" i="40"/>
  <c r="BY550" i="40"/>
  <c r="DW550" i="40"/>
  <c r="BJ550" i="40"/>
  <c r="BW550" i="40"/>
  <c r="JO550" i="40"/>
  <c r="BT550" i="40"/>
  <c r="IY550" i="40"/>
  <c r="AZ550" i="40"/>
  <c r="BM550" i="40"/>
  <c r="CC550" i="40"/>
  <c r="AW550" i="40"/>
  <c r="BN550" i="40"/>
  <c r="CD550" i="40"/>
  <c r="BK550" i="40"/>
  <c r="CA550" i="40"/>
  <c r="DV550" i="40"/>
  <c r="A550" i="40"/>
  <c r="DM550" i="40"/>
  <c r="HY550" i="40"/>
  <c r="JP550" i="40"/>
  <c r="BA550" i="40"/>
  <c r="BQ550" i="40"/>
  <c r="CG550" i="40"/>
  <c r="BB550" i="40"/>
  <c r="BR550" i="40"/>
  <c r="CH550" i="40"/>
  <c r="AX550" i="40"/>
  <c r="BO550" i="40"/>
  <c r="BL550" i="40"/>
  <c r="BX550" i="40"/>
  <c r="IZ550" i="40"/>
  <c r="BH550" i="40"/>
  <c r="BE550" i="40"/>
  <c r="BU550" i="40"/>
  <c r="DS550" i="40"/>
  <c r="BF550" i="40"/>
  <c r="BV550" i="40"/>
  <c r="DT550" i="40"/>
  <c r="BC550" i="40"/>
  <c r="BS550" i="40"/>
  <c r="CJ550" i="40"/>
  <c r="CB550" i="40"/>
  <c r="BP550" i="40"/>
  <c r="BD550" i="40"/>
  <c r="IA550" i="40"/>
  <c r="IX550" i="40"/>
  <c r="BI550" i="40"/>
  <c r="BZ550" i="40"/>
  <c r="BG550" i="40"/>
  <c r="DU550" i="40"/>
  <c r="CF550" i="40"/>
  <c r="HZ550" i="40"/>
  <c r="CE550" i="40"/>
  <c r="CV549" i="40"/>
  <c r="AO549" i="40"/>
  <c r="CQ549" i="40"/>
  <c r="AP650" i="40"/>
  <c r="DB650" i="40"/>
  <c r="CQ650" i="40"/>
  <c r="AO650" i="40"/>
  <c r="AN650" i="40"/>
  <c r="CP650" i="40"/>
  <c r="I651" i="40"/>
  <c r="AJ651" i="40"/>
  <c r="AC651" i="40"/>
  <c r="CJ651" i="40"/>
  <c r="CH651" i="40"/>
  <c r="BR651" i="40"/>
  <c r="BB651" i="40"/>
  <c r="N651" i="40"/>
  <c r="CN651" i="40" s="1"/>
  <c r="CC651" i="40"/>
  <c r="BM651" i="40"/>
  <c r="AW651" i="40"/>
  <c r="DT651" i="40"/>
  <c r="BT651" i="40"/>
  <c r="BD651" i="40"/>
  <c r="L651" i="40"/>
  <c r="CL651" i="40" s="1"/>
  <c r="DW651" i="40"/>
  <c r="DS651" i="40"/>
  <c r="C652" i="40"/>
  <c r="JO651" i="40"/>
  <c r="AE651" i="40"/>
  <c r="CD651" i="40"/>
  <c r="BN651" i="40"/>
  <c r="AX651" i="40"/>
  <c r="J651" i="40"/>
  <c r="BY651" i="40"/>
  <c r="BI651" i="40"/>
  <c r="AG651" i="40"/>
  <c r="CF651" i="40"/>
  <c r="BP651" i="40"/>
  <c r="AZ651" i="40"/>
  <c r="CA651" i="40"/>
  <c r="BW651" i="40"/>
  <c r="BS651" i="40"/>
  <c r="O651" i="40"/>
  <c r="CO651" i="40" s="1"/>
  <c r="W651" i="40"/>
  <c r="CU651" i="40" s="1"/>
  <c r="JP651" i="40"/>
  <c r="AF651" i="40"/>
  <c r="DV651" i="40"/>
  <c r="BZ651" i="40"/>
  <c r="BJ651" i="40"/>
  <c r="AH651" i="40"/>
  <c r="DU651" i="40"/>
  <c r="BU651" i="40"/>
  <c r="BE651" i="40"/>
  <c r="M651" i="40"/>
  <c r="CM651" i="40" s="1"/>
  <c r="CB651" i="40"/>
  <c r="BL651" i="40"/>
  <c r="AB651" i="40"/>
  <c r="BK651" i="40"/>
  <c r="BG651" i="40"/>
  <c r="BC651" i="40"/>
  <c r="CE651" i="40"/>
  <c r="R651" i="40"/>
  <c r="A651" i="40"/>
  <c r="K651" i="40"/>
  <c r="DM651" i="40"/>
  <c r="CG651" i="40"/>
  <c r="BX651" i="40"/>
  <c r="G651" i="40"/>
  <c r="KN651" i="40"/>
  <c r="H651" i="40"/>
  <c r="BV651" i="40"/>
  <c r="BQ651" i="40"/>
  <c r="BH651" i="40"/>
  <c r="BO651" i="40"/>
  <c r="AI651" i="40"/>
  <c r="F651" i="40"/>
  <c r="BF651" i="40"/>
  <c r="P651" i="40"/>
  <c r="BA651" i="40"/>
  <c r="Z651" i="40"/>
  <c r="T651" i="40"/>
  <c r="CR651" i="40" s="1"/>
  <c r="Q651" i="40"/>
  <c r="V651" i="40"/>
  <c r="CT651" i="40" s="1"/>
  <c r="S651" i="40"/>
  <c r="U651" i="40"/>
  <c r="CS651" i="40" s="1"/>
  <c r="X651" i="40"/>
  <c r="AA651" i="40"/>
  <c r="AD651" i="40"/>
  <c r="E651" i="40"/>
  <c r="Y651" i="40"/>
  <c r="AG151" i="40"/>
  <c r="AC151" i="40"/>
  <c r="Y151" i="40"/>
  <c r="U151" i="40"/>
  <c r="CS151" i="40" s="1"/>
  <c r="Q151" i="40"/>
  <c r="M151" i="40"/>
  <c r="CM151" i="40" s="1"/>
  <c r="I151" i="40"/>
  <c r="E151" i="40"/>
  <c r="AI151" i="40"/>
  <c r="AE151" i="40"/>
  <c r="AA151" i="40"/>
  <c r="W151" i="40"/>
  <c r="CU151" i="40" s="1"/>
  <c r="S151" i="40"/>
  <c r="O151" i="40"/>
  <c r="CO151" i="40" s="1"/>
  <c r="K151" i="40"/>
  <c r="G151" i="40"/>
  <c r="AF151" i="40"/>
  <c r="X151" i="40"/>
  <c r="P151" i="40"/>
  <c r="H151" i="40"/>
  <c r="Z151" i="40"/>
  <c r="J151" i="40"/>
  <c r="AD151" i="40"/>
  <c r="V151" i="40"/>
  <c r="CT151" i="40" s="1"/>
  <c r="N151" i="40"/>
  <c r="CN151" i="40" s="1"/>
  <c r="F151" i="40"/>
  <c r="R151" i="40"/>
  <c r="AJ151" i="40"/>
  <c r="AB151" i="40"/>
  <c r="T151" i="40"/>
  <c r="CR151" i="40" s="1"/>
  <c r="L151" i="40"/>
  <c r="CL151" i="40" s="1"/>
  <c r="AH151" i="40"/>
  <c r="DB549" i="40"/>
  <c r="CK549" i="40"/>
  <c r="AM549" i="40"/>
  <c r="AM650" i="40"/>
  <c r="CK650" i="40"/>
  <c r="AI450" i="40"/>
  <c r="AE450" i="40"/>
  <c r="AA450" i="40"/>
  <c r="W450" i="40"/>
  <c r="CU450" i="40" s="1"/>
  <c r="S450" i="40"/>
  <c r="O450" i="40"/>
  <c r="CO450" i="40" s="1"/>
  <c r="K450" i="40"/>
  <c r="G450" i="40"/>
  <c r="AH450" i="40"/>
  <c r="AD450" i="40"/>
  <c r="Z450" i="40"/>
  <c r="V450" i="40"/>
  <c r="CT450" i="40" s="1"/>
  <c r="R450" i="40"/>
  <c r="N450" i="40"/>
  <c r="CN450" i="40" s="1"/>
  <c r="J450" i="40"/>
  <c r="F450" i="40"/>
  <c r="AG450" i="40"/>
  <c r="AC450" i="40"/>
  <c r="Y450" i="40"/>
  <c r="U450" i="40"/>
  <c r="CS450" i="40" s="1"/>
  <c r="Q450" i="40"/>
  <c r="M450" i="40"/>
  <c r="CM450" i="40" s="1"/>
  <c r="I450" i="40"/>
  <c r="E450" i="40"/>
  <c r="AJ450" i="40"/>
  <c r="T450" i="40"/>
  <c r="CR450" i="40" s="1"/>
  <c r="AF450" i="40"/>
  <c r="P450" i="40"/>
  <c r="AB450" i="40"/>
  <c r="L450" i="40"/>
  <c r="CL450" i="40" s="1"/>
  <c r="H450" i="40"/>
  <c r="X450" i="40"/>
  <c r="AN549" i="40"/>
  <c r="CP549" i="40"/>
  <c r="AP549" i="40"/>
  <c r="D149" i="40"/>
  <c r="AY149" i="40" s="1"/>
  <c r="AN449" i="40"/>
  <c r="CP449" i="40"/>
  <c r="AM449" i="40"/>
  <c r="CK449" i="40"/>
  <c r="AO449" i="40"/>
  <c r="CQ449" i="40"/>
  <c r="CV449" i="40"/>
  <c r="AP449" i="40"/>
  <c r="BB450" i="40"/>
  <c r="BR450" i="40"/>
  <c r="CH450" i="40"/>
  <c r="BG450" i="40"/>
  <c r="BW450" i="40"/>
  <c r="DU450" i="40"/>
  <c r="BH450" i="40"/>
  <c r="BX450" i="40"/>
  <c r="DV450" i="40"/>
  <c r="CG450" i="40"/>
  <c r="DW450" i="40"/>
  <c r="IZ450" i="40"/>
  <c r="IY450" i="40"/>
  <c r="C451" i="40"/>
  <c r="BF450" i="40"/>
  <c r="BV450" i="40"/>
  <c r="DT450" i="40"/>
  <c r="BK450" i="40"/>
  <c r="CA450" i="40"/>
  <c r="A450" i="40"/>
  <c r="BL450" i="40"/>
  <c r="CB450" i="40"/>
  <c r="JO450" i="40"/>
  <c r="BE450" i="40"/>
  <c r="BM450" i="40"/>
  <c r="IA450" i="40"/>
  <c r="JP450" i="40"/>
  <c r="BJ450" i="40"/>
  <c r="BZ450" i="40"/>
  <c r="AX450" i="40"/>
  <c r="BO450" i="40"/>
  <c r="CE450" i="40"/>
  <c r="AZ450" i="40"/>
  <c r="BP450" i="40"/>
  <c r="CF450" i="40"/>
  <c r="BA450" i="40"/>
  <c r="BU450" i="40"/>
  <c r="BI450" i="40"/>
  <c r="HZ450" i="40"/>
  <c r="AW450" i="40"/>
  <c r="BN450" i="40"/>
  <c r="CD450" i="40"/>
  <c r="BC450" i="40"/>
  <c r="BS450" i="40"/>
  <c r="CJ450" i="40"/>
  <c r="BD450" i="40"/>
  <c r="BT450" i="40"/>
  <c r="DM450" i="40"/>
  <c r="BQ450" i="40"/>
  <c r="CC450" i="40"/>
  <c r="DS450" i="40"/>
  <c r="BY450" i="40"/>
  <c r="HY450" i="40"/>
  <c r="IX450" i="40"/>
  <c r="AN250" i="40"/>
  <c r="CP250" i="40"/>
  <c r="AO250" i="40"/>
  <c r="CQ250" i="40"/>
  <c r="DB250" i="40"/>
  <c r="AM250" i="40"/>
  <c r="CK250" i="40"/>
  <c r="BD251" i="40"/>
  <c r="BT251" i="40"/>
  <c r="DM251" i="40"/>
  <c r="BE251" i="40"/>
  <c r="BU251" i="40"/>
  <c r="DS251" i="40"/>
  <c r="BB251" i="40"/>
  <c r="BR251" i="40"/>
  <c r="CH251" i="40"/>
  <c r="BG251" i="40"/>
  <c r="BK251" i="40"/>
  <c r="BO251" i="40"/>
  <c r="BC251" i="40"/>
  <c r="HY251" i="40"/>
  <c r="IX251" i="40"/>
  <c r="IY251" i="40"/>
  <c r="C252" i="40"/>
  <c r="BH251" i="40"/>
  <c r="BX251" i="40"/>
  <c r="DV251" i="40"/>
  <c r="BI251" i="40"/>
  <c r="BY251" i="40"/>
  <c r="DW251" i="40"/>
  <c r="BF251" i="40"/>
  <c r="BV251" i="40"/>
  <c r="DT251" i="40"/>
  <c r="BW251" i="40"/>
  <c r="CA251" i="40"/>
  <c r="CE251" i="40"/>
  <c r="BS251" i="40"/>
  <c r="IZ251" i="40"/>
  <c r="JP251" i="40"/>
  <c r="BL251" i="40"/>
  <c r="CB251" i="40"/>
  <c r="BM251" i="40"/>
  <c r="CC251" i="40"/>
  <c r="BJ251" i="40"/>
  <c r="BZ251" i="40"/>
  <c r="A251" i="40"/>
  <c r="DU251" i="40"/>
  <c r="CJ251" i="40"/>
  <c r="JO251" i="40"/>
  <c r="HZ251" i="40"/>
  <c r="AZ251" i="40"/>
  <c r="BP251" i="40"/>
  <c r="CF251" i="40"/>
  <c r="BA251" i="40"/>
  <c r="BQ251" i="40"/>
  <c r="CG251" i="40"/>
  <c r="AW251" i="40"/>
  <c r="BN251" i="40"/>
  <c r="CD251" i="40"/>
  <c r="AX251" i="40"/>
  <c r="IA251" i="40"/>
  <c r="AP250" i="40"/>
  <c r="CV250" i="40"/>
  <c r="HN150" i="40"/>
  <c r="HQ150" i="40" s="1"/>
  <c r="IO150" i="40"/>
  <c r="JA150" i="40" s="1"/>
  <c r="HM150" i="40"/>
  <c r="HP150" i="40" s="1"/>
  <c r="JM147" i="40"/>
  <c r="HS150" i="40"/>
  <c r="AN350" i="40"/>
  <c r="CP350" i="40"/>
  <c r="AP150" i="40"/>
  <c r="IK151" i="40"/>
  <c r="IN151" i="40" s="1"/>
  <c r="IJ151" i="40"/>
  <c r="IM151" i="40" s="1"/>
  <c r="JF151" i="40"/>
  <c r="HO151" i="40" s="1"/>
  <c r="II151" i="40"/>
  <c r="IL151" i="40" s="1"/>
  <c r="C152" i="40"/>
  <c r="AX151" i="40"/>
  <c r="BC151" i="40"/>
  <c r="BG151" i="40"/>
  <c r="BK151" i="40"/>
  <c r="BO151" i="40"/>
  <c r="BS151" i="40"/>
  <c r="BW151" i="40"/>
  <c r="CA151" i="40"/>
  <c r="CE151" i="40"/>
  <c r="CJ151" i="40"/>
  <c r="DU151" i="40"/>
  <c r="AZ151" i="40"/>
  <c r="BD151" i="40"/>
  <c r="BH151" i="40"/>
  <c r="BL151" i="40"/>
  <c r="BP151" i="40"/>
  <c r="BT151" i="40"/>
  <c r="BX151" i="40"/>
  <c r="CB151" i="40"/>
  <c r="CF151" i="40"/>
  <c r="DM151" i="40"/>
  <c r="DV151" i="40"/>
  <c r="BA151" i="40"/>
  <c r="BE151" i="40"/>
  <c r="BI151" i="40"/>
  <c r="BM151" i="40"/>
  <c r="BQ151" i="40"/>
  <c r="BU151" i="40"/>
  <c r="BY151" i="40"/>
  <c r="CC151" i="40"/>
  <c r="CG151" i="40"/>
  <c r="DS151" i="40"/>
  <c r="DW151" i="40"/>
  <c r="BJ151" i="40"/>
  <c r="BZ151" i="40"/>
  <c r="AW151" i="40"/>
  <c r="BN151" i="40"/>
  <c r="CD151" i="40"/>
  <c r="A151" i="40"/>
  <c r="BB151" i="40"/>
  <c r="BR151" i="40"/>
  <c r="CH151" i="40"/>
  <c r="BF151" i="40"/>
  <c r="BV151" i="40"/>
  <c r="DT151" i="40"/>
  <c r="JO151" i="40"/>
  <c r="HZ151" i="40"/>
  <c r="HY151" i="40"/>
  <c r="IX151" i="40"/>
  <c r="IZ151" i="40"/>
  <c r="IA151" i="40"/>
  <c r="IY151" i="40"/>
  <c r="JP151" i="40"/>
  <c r="JG151" i="40"/>
  <c r="HU150" i="40"/>
  <c r="JH149" i="40"/>
  <c r="AM150" i="40"/>
  <c r="CK150" i="40"/>
  <c r="HX149" i="40"/>
  <c r="HW149" i="40"/>
  <c r="IC149" i="40" s="1"/>
  <c r="CV150" i="40"/>
  <c r="AL150" i="40"/>
  <c r="AK150" i="40"/>
  <c r="CP150" i="40"/>
  <c r="HW150" i="40" s="1"/>
  <c r="AN150" i="40"/>
  <c r="DB150" i="40"/>
  <c r="IQ150" i="40"/>
  <c r="JC150" i="40" s="1"/>
  <c r="IP150" i="40"/>
  <c r="JB150" i="40" s="1"/>
  <c r="HR150" i="40"/>
  <c r="DB350" i="40"/>
  <c r="AP350" i="40"/>
  <c r="CK350" i="40"/>
  <c r="AM350" i="40"/>
  <c r="C352" i="40"/>
  <c r="BA351" i="40"/>
  <c r="BE351" i="40"/>
  <c r="BI351" i="40"/>
  <c r="BM351" i="40"/>
  <c r="BQ351" i="40"/>
  <c r="BU351" i="40"/>
  <c r="BY351" i="40"/>
  <c r="CC351" i="40"/>
  <c r="CG351" i="40"/>
  <c r="DS351" i="40"/>
  <c r="DW351" i="40"/>
  <c r="AW351" i="40"/>
  <c r="BB351" i="40"/>
  <c r="BF351" i="40"/>
  <c r="BJ351" i="40"/>
  <c r="BN351" i="40"/>
  <c r="BR351" i="40"/>
  <c r="BV351" i="40"/>
  <c r="BZ351" i="40"/>
  <c r="CD351" i="40"/>
  <c r="CH351" i="40"/>
  <c r="DT351" i="40"/>
  <c r="AX351" i="40"/>
  <c r="BC351" i="40"/>
  <c r="BG351" i="40"/>
  <c r="BK351" i="40"/>
  <c r="BO351" i="40"/>
  <c r="BS351" i="40"/>
  <c r="BW351" i="40"/>
  <c r="CA351" i="40"/>
  <c r="CE351" i="40"/>
  <c r="CJ351" i="40"/>
  <c r="DU351" i="40"/>
  <c r="AZ351" i="40"/>
  <c r="BP351" i="40"/>
  <c r="CF351" i="40"/>
  <c r="BD351" i="40"/>
  <c r="BT351" i="40"/>
  <c r="DM351" i="40"/>
  <c r="A351" i="40"/>
  <c r="BH351" i="40"/>
  <c r="BX351" i="40"/>
  <c r="DV351" i="40"/>
  <c r="CB351" i="40"/>
  <c r="JO351" i="40"/>
  <c r="BL351" i="40"/>
  <c r="IY351" i="40"/>
  <c r="IZ351" i="40"/>
  <c r="HY351" i="40"/>
  <c r="HZ351" i="40"/>
  <c r="IA351" i="40"/>
  <c r="IX351" i="40"/>
  <c r="CU351" i="40"/>
  <c r="JP351" i="40"/>
  <c r="JJ148" i="40"/>
  <c r="JK148" i="40" s="1"/>
  <c r="JL148" i="40" s="1"/>
  <c r="KO146" i="40"/>
  <c r="JI149" i="40"/>
  <c r="AO350" i="40"/>
  <c r="CQ350" i="40"/>
  <c r="CQ150" i="40"/>
  <c r="AO150" i="40"/>
  <c r="HT150" i="40"/>
  <c r="CV350" i="40"/>
  <c r="CI534" i="40" l="1"/>
  <c r="CI435" i="40"/>
  <c r="CI151" i="40"/>
  <c r="CI235" i="40"/>
  <c r="CI634" i="40"/>
  <c r="HY650" i="40"/>
  <c r="IX650" i="40" s="1"/>
  <c r="IQ151" i="40"/>
  <c r="HZ650" i="40"/>
  <c r="IY650" i="40" s="1"/>
  <c r="DB651" i="40"/>
  <c r="CV651" i="40"/>
  <c r="IA650" i="40"/>
  <c r="IZ650" i="40" s="1"/>
  <c r="AJ352" i="40"/>
  <c r="AF352" i="40"/>
  <c r="AB352" i="40"/>
  <c r="X352" i="40"/>
  <c r="T352" i="40"/>
  <c r="CR352" i="40" s="1"/>
  <c r="P352" i="40"/>
  <c r="L352" i="40"/>
  <c r="CL352" i="40" s="1"/>
  <c r="H352" i="40"/>
  <c r="AH352" i="40"/>
  <c r="AD352" i="40"/>
  <c r="Z352" i="40"/>
  <c r="V352" i="40"/>
  <c r="CT352" i="40" s="1"/>
  <c r="R352" i="40"/>
  <c r="N352" i="40"/>
  <c r="CN352" i="40" s="1"/>
  <c r="J352" i="40"/>
  <c r="F352" i="40"/>
  <c r="AC352" i="40"/>
  <c r="U352" i="40"/>
  <c r="CS352" i="40" s="1"/>
  <c r="M352" i="40"/>
  <c r="CM352" i="40" s="1"/>
  <c r="E352" i="40"/>
  <c r="AI352" i="40"/>
  <c r="AA352" i="40"/>
  <c r="S352" i="40"/>
  <c r="K352" i="40"/>
  <c r="AG352" i="40"/>
  <c r="Y352" i="40"/>
  <c r="Q352" i="40"/>
  <c r="I352" i="40"/>
  <c r="G352" i="40"/>
  <c r="AE352" i="40"/>
  <c r="W352" i="40"/>
  <c r="O352" i="40"/>
  <c r="CO352" i="40" s="1"/>
  <c r="AG152" i="40"/>
  <c r="AC152" i="40"/>
  <c r="Y152" i="40"/>
  <c r="U152" i="40"/>
  <c r="CS152" i="40" s="1"/>
  <c r="Q152" i="40"/>
  <c r="M152" i="40"/>
  <c r="CM152" i="40" s="1"/>
  <c r="I152" i="40"/>
  <c r="E152" i="40"/>
  <c r="AI152" i="40"/>
  <c r="AE152" i="40"/>
  <c r="AA152" i="40"/>
  <c r="W152" i="40"/>
  <c r="CU152" i="40" s="1"/>
  <c r="S152" i="40"/>
  <c r="O152" i="40"/>
  <c r="CO152" i="40" s="1"/>
  <c r="K152" i="40"/>
  <c r="G152" i="40"/>
  <c r="AF152" i="40"/>
  <c r="X152" i="40"/>
  <c r="P152" i="40"/>
  <c r="H152" i="40"/>
  <c r="AH152" i="40"/>
  <c r="J152" i="40"/>
  <c r="AD152" i="40"/>
  <c r="V152" i="40"/>
  <c r="CT152" i="40" s="1"/>
  <c r="N152" i="40"/>
  <c r="CN152" i="40" s="1"/>
  <c r="F152" i="40"/>
  <c r="R152" i="40"/>
  <c r="AJ152" i="40"/>
  <c r="AB152" i="40"/>
  <c r="T152" i="40"/>
  <c r="CR152" i="40" s="1"/>
  <c r="L152" i="40"/>
  <c r="CL152" i="40" s="1"/>
  <c r="Z152" i="40"/>
  <c r="CQ651" i="40"/>
  <c r="AO651" i="40"/>
  <c r="CK651" i="40"/>
  <c r="AM651" i="40"/>
  <c r="DB550" i="40"/>
  <c r="CK550" i="40"/>
  <c r="AM550" i="40"/>
  <c r="AI451" i="40"/>
  <c r="AJ451" i="40"/>
  <c r="AE451" i="40"/>
  <c r="AA451" i="40"/>
  <c r="W451" i="40"/>
  <c r="CU451" i="40" s="1"/>
  <c r="S451" i="40"/>
  <c r="O451" i="40"/>
  <c r="CO451" i="40" s="1"/>
  <c r="K451" i="40"/>
  <c r="G451" i="40"/>
  <c r="AH451" i="40"/>
  <c r="AD451" i="40"/>
  <c r="Z451" i="40"/>
  <c r="V451" i="40"/>
  <c r="CT451" i="40" s="1"/>
  <c r="R451" i="40"/>
  <c r="N451" i="40"/>
  <c r="CN451" i="40" s="1"/>
  <c r="J451" i="40"/>
  <c r="F451" i="40"/>
  <c r="AG451" i="40"/>
  <c r="AC451" i="40"/>
  <c r="Y451" i="40"/>
  <c r="U451" i="40"/>
  <c r="CS451" i="40" s="1"/>
  <c r="Q451" i="40"/>
  <c r="M451" i="40"/>
  <c r="CM451" i="40" s="1"/>
  <c r="I451" i="40"/>
  <c r="E451" i="40"/>
  <c r="T451" i="40"/>
  <c r="CR451" i="40" s="1"/>
  <c r="AF451" i="40"/>
  <c r="P451" i="40"/>
  <c r="AB451" i="40"/>
  <c r="L451" i="40"/>
  <c r="CL451" i="40" s="1"/>
  <c r="X451" i="40"/>
  <c r="H451" i="40"/>
  <c r="AF652" i="40"/>
  <c r="DV652" i="40"/>
  <c r="BZ652" i="40"/>
  <c r="BJ652" i="40"/>
  <c r="R652" i="40"/>
  <c r="CG652" i="40"/>
  <c r="BQ652" i="40"/>
  <c r="BA652" i="40"/>
  <c r="A652" i="40"/>
  <c r="BX652" i="40"/>
  <c r="BH652" i="40"/>
  <c r="P652" i="40"/>
  <c r="BO652" i="40"/>
  <c r="K652" i="40"/>
  <c r="G652" i="40"/>
  <c r="W652" i="40"/>
  <c r="CU652" i="40" s="1"/>
  <c r="JO652" i="40"/>
  <c r="H652" i="40"/>
  <c r="AI652" i="40"/>
  <c r="F652" i="40"/>
  <c r="DM652" i="40"/>
  <c r="BV652" i="40"/>
  <c r="BF652" i="40"/>
  <c r="N652" i="40"/>
  <c r="CN652" i="40" s="1"/>
  <c r="CC652" i="40"/>
  <c r="BM652" i="40"/>
  <c r="AW652" i="40"/>
  <c r="DT652" i="40"/>
  <c r="BT652" i="40"/>
  <c r="BD652" i="40"/>
  <c r="L652" i="40"/>
  <c r="CL652" i="40" s="1"/>
  <c r="O652" i="40"/>
  <c r="CO652" i="40" s="1"/>
  <c r="DW652" i="40"/>
  <c r="BS652" i="40"/>
  <c r="JP652" i="40"/>
  <c r="I652" i="40"/>
  <c r="AJ652" i="40"/>
  <c r="AC652" i="40"/>
  <c r="CH652" i="40"/>
  <c r="BR652" i="40"/>
  <c r="BB652" i="40"/>
  <c r="J652" i="40"/>
  <c r="BY652" i="40"/>
  <c r="BI652" i="40"/>
  <c r="AG652" i="40"/>
  <c r="CF652" i="40"/>
  <c r="BP652" i="40"/>
  <c r="AZ652" i="40"/>
  <c r="C653" i="40"/>
  <c r="CA652" i="40"/>
  <c r="BW652" i="40"/>
  <c r="DS652" i="40"/>
  <c r="KN652" i="40"/>
  <c r="CD652" i="40"/>
  <c r="BU652" i="40"/>
  <c r="BL652" i="40"/>
  <c r="BG652" i="40"/>
  <c r="AE652" i="40"/>
  <c r="BN652" i="40"/>
  <c r="BE652" i="40"/>
  <c r="AB652" i="40"/>
  <c r="BC652" i="40"/>
  <c r="CJ652" i="40"/>
  <c r="AX652" i="40"/>
  <c r="M652" i="40"/>
  <c r="CM652" i="40" s="1"/>
  <c r="CE652" i="40"/>
  <c r="DU652" i="40"/>
  <c r="BK652" i="40"/>
  <c r="CB652" i="40"/>
  <c r="Z652" i="40"/>
  <c r="T652" i="40"/>
  <c r="CR652" i="40" s="1"/>
  <c r="AH652" i="40"/>
  <c r="V652" i="40"/>
  <c r="CT652" i="40" s="1"/>
  <c r="S652" i="40"/>
  <c r="U652" i="40"/>
  <c r="CS652" i="40" s="1"/>
  <c r="X652" i="40"/>
  <c r="Q652" i="40"/>
  <c r="AA652" i="40"/>
  <c r="AD652" i="40"/>
  <c r="E652" i="40"/>
  <c r="Y652" i="40"/>
  <c r="AN550" i="40"/>
  <c r="CP550" i="40"/>
  <c r="AP550" i="40"/>
  <c r="AH252" i="40"/>
  <c r="AD252" i="40"/>
  <c r="Z252" i="40"/>
  <c r="V252" i="40"/>
  <c r="CT252" i="40" s="1"/>
  <c r="R252" i="40"/>
  <c r="N252" i="40"/>
  <c r="CN252" i="40" s="1"/>
  <c r="J252" i="40"/>
  <c r="F252" i="40"/>
  <c r="AJ252" i="40"/>
  <c r="AF252" i="40"/>
  <c r="AB252" i="40"/>
  <c r="X252" i="40"/>
  <c r="T252" i="40"/>
  <c r="CR252" i="40" s="1"/>
  <c r="P252" i="40"/>
  <c r="L252" i="40"/>
  <c r="CL252" i="40" s="1"/>
  <c r="H252" i="40"/>
  <c r="AC252" i="40"/>
  <c r="U252" i="40"/>
  <c r="CS252" i="40" s="1"/>
  <c r="M252" i="40"/>
  <c r="CM252" i="40" s="1"/>
  <c r="E252" i="40"/>
  <c r="AI252" i="40"/>
  <c r="AA252" i="40"/>
  <c r="S252" i="40"/>
  <c r="K252" i="40"/>
  <c r="AG252" i="40"/>
  <c r="Y252" i="40"/>
  <c r="Q252" i="40"/>
  <c r="I252" i="40"/>
  <c r="AE252" i="40"/>
  <c r="W252" i="40"/>
  <c r="CU252" i="40" s="1"/>
  <c r="O252" i="40"/>
  <c r="CO252" i="40" s="1"/>
  <c r="G252" i="40"/>
  <c r="AP651" i="40"/>
  <c r="AN651" i="40"/>
  <c r="CP651" i="40"/>
  <c r="AI551" i="40"/>
  <c r="AE551" i="40"/>
  <c r="AA551" i="40"/>
  <c r="W551" i="40"/>
  <c r="CU551" i="40" s="1"/>
  <c r="S551" i="40"/>
  <c r="O551" i="40"/>
  <c r="CO551" i="40" s="1"/>
  <c r="K551" i="40"/>
  <c r="G551" i="40"/>
  <c r="AH551" i="40"/>
  <c r="AD551" i="40"/>
  <c r="Z551" i="40"/>
  <c r="V551" i="40"/>
  <c r="CT551" i="40" s="1"/>
  <c r="R551" i="40"/>
  <c r="N551" i="40"/>
  <c r="CN551" i="40" s="1"/>
  <c r="J551" i="40"/>
  <c r="F551" i="40"/>
  <c r="AF551" i="40"/>
  <c r="X551" i="40"/>
  <c r="P551" i="40"/>
  <c r="H551" i="40"/>
  <c r="AC551" i="40"/>
  <c r="U551" i="40"/>
  <c r="CS551" i="40" s="1"/>
  <c r="M551" i="40"/>
  <c r="CM551" i="40" s="1"/>
  <c r="E551" i="40"/>
  <c r="AJ551" i="40"/>
  <c r="AB551" i="40"/>
  <c r="T551" i="40"/>
  <c r="CR551" i="40" s="1"/>
  <c r="L551" i="40"/>
  <c r="CL551" i="40" s="1"/>
  <c r="Y551" i="40"/>
  <c r="Q551" i="40"/>
  <c r="I551" i="40"/>
  <c r="AG551" i="40"/>
  <c r="BG551" i="40"/>
  <c r="BW551" i="40"/>
  <c r="DU551" i="40"/>
  <c r="BD551" i="40"/>
  <c r="BT551" i="40"/>
  <c r="DM551" i="40"/>
  <c r="BE551" i="40"/>
  <c r="BU551" i="40"/>
  <c r="DS551" i="40"/>
  <c r="BV551" i="40"/>
  <c r="JO551" i="40"/>
  <c r="CH551" i="40"/>
  <c r="IA551" i="40"/>
  <c r="JP551" i="40"/>
  <c r="BK551" i="40"/>
  <c r="CA551" i="40"/>
  <c r="A551" i="40"/>
  <c r="BH551" i="40"/>
  <c r="BX551" i="40"/>
  <c r="DV551" i="40"/>
  <c r="BI551" i="40"/>
  <c r="BY551" i="40"/>
  <c r="DW551" i="40"/>
  <c r="AW551" i="40"/>
  <c r="BF551" i="40"/>
  <c r="DT551" i="40"/>
  <c r="IZ551" i="40"/>
  <c r="AX551" i="40"/>
  <c r="BO551" i="40"/>
  <c r="CE551" i="40"/>
  <c r="BL551" i="40"/>
  <c r="CB551" i="40"/>
  <c r="BM551" i="40"/>
  <c r="CC551" i="40"/>
  <c r="BJ551" i="40"/>
  <c r="BN551" i="40"/>
  <c r="BB551" i="40"/>
  <c r="HZ551" i="40"/>
  <c r="IY551" i="40"/>
  <c r="C552" i="40"/>
  <c r="BC551" i="40"/>
  <c r="BS551" i="40"/>
  <c r="CJ551" i="40"/>
  <c r="AZ551" i="40"/>
  <c r="BP551" i="40"/>
  <c r="CF551" i="40"/>
  <c r="BA551" i="40"/>
  <c r="BQ551" i="40"/>
  <c r="CG551" i="40"/>
  <c r="BZ551" i="40"/>
  <c r="CD551" i="40"/>
  <c r="BR551" i="40"/>
  <c r="HY551" i="40"/>
  <c r="IX551" i="40"/>
  <c r="CV550" i="40"/>
  <c r="AO550" i="40"/>
  <c r="CQ550" i="40"/>
  <c r="AP251" i="40"/>
  <c r="DB450" i="40"/>
  <c r="CP450" i="40"/>
  <c r="AN450" i="40"/>
  <c r="A451" i="40"/>
  <c r="BL451" i="40"/>
  <c r="CB451" i="40"/>
  <c r="BM451" i="40"/>
  <c r="CC451" i="40"/>
  <c r="BJ451" i="40"/>
  <c r="BZ451" i="40"/>
  <c r="BK451" i="40"/>
  <c r="CJ451" i="40"/>
  <c r="IZ451" i="40"/>
  <c r="JP451" i="40"/>
  <c r="AZ451" i="40"/>
  <c r="BP451" i="40"/>
  <c r="CF451" i="40"/>
  <c r="BA451" i="40"/>
  <c r="BQ451" i="40"/>
  <c r="CG451" i="40"/>
  <c r="AW451" i="40"/>
  <c r="BN451" i="40"/>
  <c r="CD451" i="40"/>
  <c r="AX451" i="40"/>
  <c r="JO451" i="40"/>
  <c r="BG451" i="40"/>
  <c r="HY451" i="40"/>
  <c r="IX451" i="40"/>
  <c r="BD451" i="40"/>
  <c r="BT451" i="40"/>
  <c r="DM451" i="40"/>
  <c r="BE451" i="40"/>
  <c r="BU451" i="40"/>
  <c r="DS451" i="40"/>
  <c r="BB451" i="40"/>
  <c r="BR451" i="40"/>
  <c r="CH451" i="40"/>
  <c r="BO451" i="40"/>
  <c r="BC451" i="40"/>
  <c r="BW451" i="40"/>
  <c r="IA451" i="40"/>
  <c r="IY451" i="40"/>
  <c r="C452" i="40"/>
  <c r="BH451" i="40"/>
  <c r="BX451" i="40"/>
  <c r="DV451" i="40"/>
  <c r="BI451" i="40"/>
  <c r="BY451" i="40"/>
  <c r="DW451" i="40"/>
  <c r="BF451" i="40"/>
  <c r="BV451" i="40"/>
  <c r="DT451" i="40"/>
  <c r="CE451" i="40"/>
  <c r="BS451" i="40"/>
  <c r="CA451" i="40"/>
  <c r="DU451" i="40"/>
  <c r="HZ451" i="40"/>
  <c r="AP450" i="40"/>
  <c r="CV450" i="40"/>
  <c r="AO450" i="40"/>
  <c r="CQ450" i="40"/>
  <c r="CK450" i="40"/>
  <c r="AM450" i="40"/>
  <c r="CV251" i="40"/>
  <c r="CK251" i="40"/>
  <c r="AM251" i="40"/>
  <c r="CQ251" i="40"/>
  <c r="AO251" i="40"/>
  <c r="AN251" i="40"/>
  <c r="CP251" i="40"/>
  <c r="DB251" i="40"/>
  <c r="BB252" i="40"/>
  <c r="BR252" i="40"/>
  <c r="CH252" i="40"/>
  <c r="BG252" i="40"/>
  <c r="BW252" i="40"/>
  <c r="DU252" i="40"/>
  <c r="BH252" i="40"/>
  <c r="BX252" i="40"/>
  <c r="DV252" i="40"/>
  <c r="DS252" i="40"/>
  <c r="BY252" i="40"/>
  <c r="CC252" i="40"/>
  <c r="BQ252" i="40"/>
  <c r="IX252" i="40"/>
  <c r="HY252" i="40"/>
  <c r="IY252" i="40"/>
  <c r="C253" i="40"/>
  <c r="BF252" i="40"/>
  <c r="BV252" i="40"/>
  <c r="DT252" i="40"/>
  <c r="BK252" i="40"/>
  <c r="CA252" i="40"/>
  <c r="A252" i="40"/>
  <c r="BL252" i="40"/>
  <c r="CB252" i="40"/>
  <c r="DW252" i="40"/>
  <c r="CG252" i="40"/>
  <c r="JO252" i="40"/>
  <c r="IA252" i="40"/>
  <c r="JP252" i="40"/>
  <c r="BJ252" i="40"/>
  <c r="BZ252" i="40"/>
  <c r="AX252" i="40"/>
  <c r="BO252" i="40"/>
  <c r="CE252" i="40"/>
  <c r="AZ252" i="40"/>
  <c r="BP252" i="40"/>
  <c r="CF252" i="40"/>
  <c r="BE252" i="40"/>
  <c r="IZ252" i="40"/>
  <c r="AW252" i="40"/>
  <c r="BN252" i="40"/>
  <c r="CD252" i="40"/>
  <c r="BC252" i="40"/>
  <c r="BS252" i="40"/>
  <c r="CJ252" i="40"/>
  <c r="BD252" i="40"/>
  <c r="BT252" i="40"/>
  <c r="DM252" i="40"/>
  <c r="BU252" i="40"/>
  <c r="BI252" i="40"/>
  <c r="BM252" i="40"/>
  <c r="BA252" i="40"/>
  <c r="HZ252" i="40"/>
  <c r="DB351" i="40"/>
  <c r="AP351" i="40"/>
  <c r="DB151" i="40"/>
  <c r="HV150" i="40"/>
  <c r="IC150" i="40"/>
  <c r="D150" i="40"/>
  <c r="AY150" i="40" s="1"/>
  <c r="CV351" i="40"/>
  <c r="CQ351" i="40"/>
  <c r="AO351" i="40"/>
  <c r="CP151" i="40"/>
  <c r="HW151" i="40" s="1"/>
  <c r="AN151" i="40"/>
  <c r="AM151" i="40"/>
  <c r="CK151" i="40"/>
  <c r="IO151" i="40"/>
  <c r="JA151" i="40" s="1"/>
  <c r="HT151" i="40"/>
  <c r="JI150" i="40"/>
  <c r="JJ149" i="40"/>
  <c r="JK149" i="40" s="1"/>
  <c r="JL149" i="40" s="1"/>
  <c r="C353" i="40"/>
  <c r="AX352" i="40"/>
  <c r="BC352" i="40"/>
  <c r="BG352" i="40"/>
  <c r="BK352" i="40"/>
  <c r="BO352" i="40"/>
  <c r="BS352" i="40"/>
  <c r="BW352" i="40"/>
  <c r="CA352" i="40"/>
  <c r="CE352" i="40"/>
  <c r="CJ352" i="40"/>
  <c r="DU352" i="40"/>
  <c r="A352" i="40"/>
  <c r="AZ352" i="40"/>
  <c r="BD352" i="40"/>
  <c r="BH352" i="40"/>
  <c r="BL352" i="40"/>
  <c r="BP352" i="40"/>
  <c r="BT352" i="40"/>
  <c r="BX352" i="40"/>
  <c r="CB352" i="40"/>
  <c r="CF352" i="40"/>
  <c r="DM352" i="40"/>
  <c r="DV352" i="40"/>
  <c r="BA352" i="40"/>
  <c r="BE352" i="40"/>
  <c r="BI352" i="40"/>
  <c r="BM352" i="40"/>
  <c r="BQ352" i="40"/>
  <c r="BU352" i="40"/>
  <c r="BY352" i="40"/>
  <c r="CC352" i="40"/>
  <c r="CG352" i="40"/>
  <c r="DS352" i="40"/>
  <c r="DW352" i="40"/>
  <c r="AW352" i="40"/>
  <c r="BN352" i="40"/>
  <c r="CD352" i="40"/>
  <c r="BB352" i="40"/>
  <c r="BR352" i="40"/>
  <c r="CH352" i="40"/>
  <c r="BF352" i="40"/>
  <c r="BV352" i="40"/>
  <c r="DT352" i="40"/>
  <c r="BZ352" i="40"/>
  <c r="BJ352" i="40"/>
  <c r="JO352" i="40"/>
  <c r="IY352" i="40"/>
  <c r="IA352" i="40"/>
  <c r="HY352" i="40"/>
  <c r="IZ352" i="40"/>
  <c r="IX352" i="40"/>
  <c r="HZ352" i="40"/>
  <c r="CU352" i="40"/>
  <c r="JP352" i="40"/>
  <c r="JM148" i="40"/>
  <c r="HR151" i="40"/>
  <c r="JH150" i="40"/>
  <c r="AN351" i="40"/>
  <c r="CP351" i="40"/>
  <c r="AO151" i="40"/>
  <c r="CQ151" i="40"/>
  <c r="HN151" i="40"/>
  <c r="IK152" i="40"/>
  <c r="IN152" i="40" s="1"/>
  <c r="JF152" i="40"/>
  <c r="HO152" i="40" s="1"/>
  <c r="II152" i="40"/>
  <c r="IL152" i="40" s="1"/>
  <c r="IJ152" i="40"/>
  <c r="IM152" i="40" s="1"/>
  <c r="C153" i="40"/>
  <c r="AX152" i="40"/>
  <c r="BC152" i="40"/>
  <c r="BG152" i="40"/>
  <c r="BK152" i="40"/>
  <c r="BO152" i="40"/>
  <c r="BS152" i="40"/>
  <c r="BW152" i="40"/>
  <c r="CA152" i="40"/>
  <c r="CE152" i="40"/>
  <c r="CJ152" i="40"/>
  <c r="DU152" i="40"/>
  <c r="AZ152" i="40"/>
  <c r="BD152" i="40"/>
  <c r="BH152" i="40"/>
  <c r="BL152" i="40"/>
  <c r="BP152" i="40"/>
  <c r="BT152" i="40"/>
  <c r="BX152" i="40"/>
  <c r="CB152" i="40"/>
  <c r="CF152" i="40"/>
  <c r="DM152" i="40"/>
  <c r="DV152" i="40"/>
  <c r="BA152" i="40"/>
  <c r="BE152" i="40"/>
  <c r="BI152" i="40"/>
  <c r="BM152" i="40"/>
  <c r="BQ152" i="40"/>
  <c r="BU152" i="40"/>
  <c r="BY152" i="40"/>
  <c r="CC152" i="40"/>
  <c r="CG152" i="40"/>
  <c r="DS152" i="40"/>
  <c r="DW152" i="40"/>
  <c r="A152" i="40"/>
  <c r="BB152" i="40"/>
  <c r="BR152" i="40"/>
  <c r="CH152" i="40"/>
  <c r="BF152" i="40"/>
  <c r="BV152" i="40"/>
  <c r="DT152" i="40"/>
  <c r="BJ152" i="40"/>
  <c r="BZ152" i="40"/>
  <c r="CD152" i="40"/>
  <c r="AW152" i="40"/>
  <c r="BN152" i="40"/>
  <c r="JO152" i="40"/>
  <c r="HY152" i="40"/>
  <c r="HZ152" i="40"/>
  <c r="IX152" i="40"/>
  <c r="IZ152" i="40"/>
  <c r="IA152" i="40"/>
  <c r="IY152" i="40"/>
  <c r="JP152" i="40"/>
  <c r="JG152" i="40"/>
  <c r="JC151" i="40"/>
  <c r="HU151" i="40"/>
  <c r="HX150" i="40"/>
  <c r="AP151" i="40"/>
  <c r="CK351" i="40"/>
  <c r="AM351" i="40"/>
  <c r="CV151" i="40"/>
  <c r="AL151" i="40"/>
  <c r="AK151" i="40"/>
  <c r="HM151" i="40"/>
  <c r="IP151" i="40"/>
  <c r="JB151" i="40" s="1"/>
  <c r="HS151" i="40"/>
  <c r="KO147" i="40"/>
  <c r="CI436" i="40" l="1"/>
  <c r="CI635" i="40"/>
  <c r="CI336" i="40"/>
  <c r="CI152" i="40"/>
  <c r="CI535" i="40"/>
  <c r="CI236" i="40"/>
  <c r="IA651" i="40"/>
  <c r="IZ651" i="40" s="1"/>
  <c r="D151" i="40"/>
  <c r="AY151" i="40" s="1"/>
  <c r="HY651" i="40"/>
  <c r="IX651" i="40" s="1"/>
  <c r="HZ651" i="40"/>
  <c r="IY651" i="40" s="1"/>
  <c r="CV652" i="40"/>
  <c r="AN551" i="40"/>
  <c r="CP551" i="40"/>
  <c r="AP551" i="40"/>
  <c r="AN652" i="40"/>
  <c r="CP652" i="40"/>
  <c r="I653" i="40"/>
  <c r="AJ653" i="40"/>
  <c r="AC653" i="40"/>
  <c r="DM653" i="40"/>
  <c r="BV653" i="40"/>
  <c r="BF653" i="40"/>
  <c r="N653" i="40"/>
  <c r="CN653" i="40" s="1"/>
  <c r="CC653" i="40"/>
  <c r="BM653" i="40"/>
  <c r="AW653" i="40"/>
  <c r="DT653" i="40"/>
  <c r="BT653" i="40"/>
  <c r="BD653" i="40"/>
  <c r="L653" i="40"/>
  <c r="CL653" i="40" s="1"/>
  <c r="C654" i="40"/>
  <c r="CA653" i="40"/>
  <c r="BG653" i="40"/>
  <c r="JO653" i="40"/>
  <c r="AE653" i="40"/>
  <c r="CH653" i="40"/>
  <c r="BR653" i="40"/>
  <c r="BB653" i="40"/>
  <c r="J653" i="40"/>
  <c r="BY653" i="40"/>
  <c r="BI653" i="40"/>
  <c r="AG653" i="40"/>
  <c r="CF653" i="40"/>
  <c r="BP653" i="40"/>
  <c r="AZ653" i="40"/>
  <c r="DS653" i="40"/>
  <c r="CE653" i="40"/>
  <c r="BK653" i="40"/>
  <c r="BW653" i="40"/>
  <c r="W653" i="40"/>
  <c r="CU653" i="40" s="1"/>
  <c r="JP653" i="40"/>
  <c r="AF653" i="40"/>
  <c r="CJ653" i="40"/>
  <c r="CD653" i="40"/>
  <c r="BN653" i="40"/>
  <c r="AX653" i="40"/>
  <c r="DU653" i="40"/>
  <c r="BU653" i="40"/>
  <c r="BE653" i="40"/>
  <c r="M653" i="40"/>
  <c r="CM653" i="40" s="1"/>
  <c r="CB653" i="40"/>
  <c r="BL653" i="40"/>
  <c r="AB653" i="40"/>
  <c r="BS653" i="40"/>
  <c r="BO653" i="40"/>
  <c r="K653" i="40"/>
  <c r="G653" i="40"/>
  <c r="AI653" i="40"/>
  <c r="BZ653" i="40"/>
  <c r="BQ653" i="40"/>
  <c r="BH653" i="40"/>
  <c r="DW653" i="40"/>
  <c r="BJ653" i="40"/>
  <c r="BA653" i="40"/>
  <c r="P653" i="40"/>
  <c r="KN653" i="40"/>
  <c r="F653" i="40"/>
  <c r="R653" i="40"/>
  <c r="A653" i="40"/>
  <c r="BC653" i="40"/>
  <c r="H653" i="40"/>
  <c r="DV653" i="40"/>
  <c r="O653" i="40"/>
  <c r="CO653" i="40" s="1"/>
  <c r="CG653" i="40"/>
  <c r="BX653" i="40"/>
  <c r="AH653" i="40"/>
  <c r="Z653" i="40"/>
  <c r="T653" i="40"/>
  <c r="CR653" i="40" s="1"/>
  <c r="Q653" i="40"/>
  <c r="X653" i="40"/>
  <c r="U653" i="40"/>
  <c r="CS653" i="40" s="1"/>
  <c r="S653" i="40"/>
  <c r="V653" i="40"/>
  <c r="CT653" i="40" s="1"/>
  <c r="AD653" i="40"/>
  <c r="AA653" i="40"/>
  <c r="E653" i="40"/>
  <c r="Y653" i="40"/>
  <c r="CV551" i="40"/>
  <c r="CQ551" i="40"/>
  <c r="AO551" i="40"/>
  <c r="AP652" i="40"/>
  <c r="AG153" i="40"/>
  <c r="AC153" i="40"/>
  <c r="Y153" i="40"/>
  <c r="U153" i="40"/>
  <c r="CS153" i="40" s="1"/>
  <c r="Q153" i="40"/>
  <c r="M153" i="40"/>
  <c r="CM153" i="40" s="1"/>
  <c r="I153" i="40"/>
  <c r="E153" i="40"/>
  <c r="AI153" i="40"/>
  <c r="AE153" i="40"/>
  <c r="AA153" i="40"/>
  <c r="W153" i="40"/>
  <c r="CU153" i="40" s="1"/>
  <c r="S153" i="40"/>
  <c r="O153" i="40"/>
  <c r="CO153" i="40" s="1"/>
  <c r="K153" i="40"/>
  <c r="G153" i="40"/>
  <c r="AF153" i="40"/>
  <c r="X153" i="40"/>
  <c r="P153" i="40"/>
  <c r="H153" i="40"/>
  <c r="Z153" i="40"/>
  <c r="AD153" i="40"/>
  <c r="V153" i="40"/>
  <c r="CT153" i="40" s="1"/>
  <c r="N153" i="40"/>
  <c r="CN153" i="40" s="1"/>
  <c r="F153" i="40"/>
  <c r="AH153" i="40"/>
  <c r="J153" i="40"/>
  <c r="AJ153" i="40"/>
  <c r="AB153" i="40"/>
  <c r="T153" i="40"/>
  <c r="L153" i="40"/>
  <c r="CL153" i="40" s="1"/>
  <c r="R153" i="40"/>
  <c r="AJ353" i="40"/>
  <c r="AF353" i="40"/>
  <c r="AB353" i="40"/>
  <c r="X353" i="40"/>
  <c r="T353" i="40"/>
  <c r="CR353" i="40" s="1"/>
  <c r="P353" i="40"/>
  <c r="L353" i="40"/>
  <c r="CL353" i="40" s="1"/>
  <c r="H353" i="40"/>
  <c r="AH353" i="40"/>
  <c r="AD353" i="40"/>
  <c r="Z353" i="40"/>
  <c r="V353" i="40"/>
  <c r="CT353" i="40" s="1"/>
  <c r="R353" i="40"/>
  <c r="N353" i="40"/>
  <c r="CN353" i="40" s="1"/>
  <c r="J353" i="40"/>
  <c r="F353" i="40"/>
  <c r="AC353" i="40"/>
  <c r="U353" i="40"/>
  <c r="CS353" i="40" s="1"/>
  <c r="M353" i="40"/>
  <c r="CM353" i="40" s="1"/>
  <c r="E353" i="40"/>
  <c r="AI353" i="40"/>
  <c r="AA353" i="40"/>
  <c r="S353" i="40"/>
  <c r="K353" i="40"/>
  <c r="AG353" i="40"/>
  <c r="Y353" i="40"/>
  <c r="Q353" i="40"/>
  <c r="I353" i="40"/>
  <c r="G353" i="40"/>
  <c r="AE353" i="40"/>
  <c r="W353" i="40"/>
  <c r="CU353" i="40" s="1"/>
  <c r="O353" i="40"/>
  <c r="CO353" i="40" s="1"/>
  <c r="AH253" i="40"/>
  <c r="AD253" i="40"/>
  <c r="Z253" i="40"/>
  <c r="V253" i="40"/>
  <c r="CT253" i="40" s="1"/>
  <c r="R253" i="40"/>
  <c r="N253" i="40"/>
  <c r="CN253" i="40" s="1"/>
  <c r="J253" i="40"/>
  <c r="F253" i="40"/>
  <c r="AJ253" i="40"/>
  <c r="AF253" i="40"/>
  <c r="AB253" i="40"/>
  <c r="X253" i="40"/>
  <c r="T253" i="40"/>
  <c r="CR253" i="40" s="1"/>
  <c r="P253" i="40"/>
  <c r="L253" i="40"/>
  <c r="CL253" i="40" s="1"/>
  <c r="H253" i="40"/>
  <c r="AC253" i="40"/>
  <c r="U253" i="40"/>
  <c r="CS253" i="40" s="1"/>
  <c r="M253" i="40"/>
  <c r="CM253" i="40" s="1"/>
  <c r="E253" i="40"/>
  <c r="AI253" i="40"/>
  <c r="AA253" i="40"/>
  <c r="S253" i="40"/>
  <c r="K253" i="40"/>
  <c r="AG253" i="40"/>
  <c r="Y253" i="40"/>
  <c r="Q253" i="40"/>
  <c r="I253" i="40"/>
  <c r="AE253" i="40"/>
  <c r="W253" i="40"/>
  <c r="CU253" i="40" s="1"/>
  <c r="O253" i="40"/>
  <c r="CO253" i="40" s="1"/>
  <c r="G253" i="40"/>
  <c r="AI552" i="40"/>
  <c r="AE552" i="40"/>
  <c r="AA552" i="40"/>
  <c r="W552" i="40"/>
  <c r="CU552" i="40" s="1"/>
  <c r="S552" i="40"/>
  <c r="O552" i="40"/>
  <c r="CO552" i="40" s="1"/>
  <c r="K552" i="40"/>
  <c r="G552" i="40"/>
  <c r="AH552" i="40"/>
  <c r="AD552" i="40"/>
  <c r="Z552" i="40"/>
  <c r="V552" i="40"/>
  <c r="CT552" i="40" s="1"/>
  <c r="R552" i="40"/>
  <c r="N552" i="40"/>
  <c r="CN552" i="40" s="1"/>
  <c r="J552" i="40"/>
  <c r="F552" i="40"/>
  <c r="AF552" i="40"/>
  <c r="X552" i="40"/>
  <c r="P552" i="40"/>
  <c r="H552" i="40"/>
  <c r="AC552" i="40"/>
  <c r="U552" i="40"/>
  <c r="CS552" i="40" s="1"/>
  <c r="M552" i="40"/>
  <c r="CM552" i="40" s="1"/>
  <c r="E552" i="40"/>
  <c r="AJ552" i="40"/>
  <c r="AB552" i="40"/>
  <c r="T552" i="40"/>
  <c r="CR552" i="40" s="1"/>
  <c r="L552" i="40"/>
  <c r="CL552" i="40" s="1"/>
  <c r="Y552" i="40"/>
  <c r="Q552" i="40"/>
  <c r="I552" i="40"/>
  <c r="AG552" i="40"/>
  <c r="C553" i="40"/>
  <c r="BI552" i="40"/>
  <c r="BY552" i="40"/>
  <c r="DW552" i="40"/>
  <c r="BJ552" i="40"/>
  <c r="BZ552" i="40"/>
  <c r="BG552" i="40"/>
  <c r="BW552" i="40"/>
  <c r="DU552" i="40"/>
  <c r="DV552" i="40"/>
  <c r="CB552" i="40"/>
  <c r="CF552" i="40"/>
  <c r="HY552" i="40"/>
  <c r="IY552" i="40"/>
  <c r="CC552" i="40"/>
  <c r="AW552" i="40"/>
  <c r="CA552" i="40"/>
  <c r="BD552" i="40"/>
  <c r="IA552" i="40"/>
  <c r="JP552" i="40"/>
  <c r="BQ552" i="40"/>
  <c r="CH552" i="40"/>
  <c r="CE552" i="40"/>
  <c r="BT552" i="40"/>
  <c r="IZ552" i="40"/>
  <c r="CD552" i="40"/>
  <c r="JO552" i="40"/>
  <c r="AX552" i="40"/>
  <c r="AZ552" i="40"/>
  <c r="BA552" i="40"/>
  <c r="CG552" i="40"/>
  <c r="BB552" i="40"/>
  <c r="BR552" i="40"/>
  <c r="BO552" i="40"/>
  <c r="BH552" i="40"/>
  <c r="BE552" i="40"/>
  <c r="BU552" i="40"/>
  <c r="DS552" i="40"/>
  <c r="BF552" i="40"/>
  <c r="BV552" i="40"/>
  <c r="DT552" i="40"/>
  <c r="BC552" i="40"/>
  <c r="BS552" i="40"/>
  <c r="CJ552" i="40"/>
  <c r="BX552" i="40"/>
  <c r="BL552" i="40"/>
  <c r="BP552" i="40"/>
  <c r="HZ552" i="40"/>
  <c r="IX552" i="40"/>
  <c r="BM552" i="40"/>
  <c r="BN552" i="40"/>
  <c r="BK552" i="40"/>
  <c r="A552" i="40"/>
  <c r="DM552" i="40"/>
  <c r="AI452" i="40"/>
  <c r="AE452" i="40"/>
  <c r="AA452" i="40"/>
  <c r="W452" i="40"/>
  <c r="CU452" i="40" s="1"/>
  <c r="S452" i="40"/>
  <c r="O452" i="40"/>
  <c r="K452" i="40"/>
  <c r="G452" i="40"/>
  <c r="AH452" i="40"/>
  <c r="AD452" i="40"/>
  <c r="Z452" i="40"/>
  <c r="V452" i="40"/>
  <c r="CT452" i="40" s="1"/>
  <c r="R452" i="40"/>
  <c r="N452" i="40"/>
  <c r="CN452" i="40" s="1"/>
  <c r="J452" i="40"/>
  <c r="F452" i="40"/>
  <c r="AG452" i="40"/>
  <c r="AC452" i="40"/>
  <c r="Y452" i="40"/>
  <c r="U452" i="40"/>
  <c r="Q452" i="40"/>
  <c r="M452" i="40"/>
  <c r="CM452" i="40" s="1"/>
  <c r="I452" i="40"/>
  <c r="E452" i="40"/>
  <c r="AJ452" i="40"/>
  <c r="T452" i="40"/>
  <c r="CR452" i="40" s="1"/>
  <c r="AF452" i="40"/>
  <c r="P452" i="40"/>
  <c r="AB452" i="40"/>
  <c r="L452" i="40"/>
  <c r="CL452" i="40" s="1"/>
  <c r="H452" i="40"/>
  <c r="X452" i="40"/>
  <c r="AP452" i="40" s="1"/>
  <c r="DB551" i="40"/>
  <c r="CK551" i="40"/>
  <c r="AM551" i="40"/>
  <c r="AO652" i="40"/>
  <c r="CQ652" i="40"/>
  <c r="DB652" i="40"/>
  <c r="CK652" i="40"/>
  <c r="AM652" i="40"/>
  <c r="JJ150" i="40"/>
  <c r="JK150" i="40" s="1"/>
  <c r="JL150" i="40" s="1"/>
  <c r="CV252" i="40"/>
  <c r="AO451" i="40"/>
  <c r="CQ451" i="40"/>
  <c r="AP451" i="40"/>
  <c r="CV451" i="40"/>
  <c r="DB451" i="40"/>
  <c r="BB452" i="40"/>
  <c r="BR452" i="40"/>
  <c r="CH452" i="40"/>
  <c r="BG452" i="40"/>
  <c r="BW452" i="40"/>
  <c r="DU452" i="40"/>
  <c r="BH452" i="40"/>
  <c r="BX452" i="40"/>
  <c r="DV452" i="40"/>
  <c r="BQ452" i="40"/>
  <c r="BE452" i="40"/>
  <c r="HY452" i="40"/>
  <c r="CS452" i="40"/>
  <c r="IY452" i="40"/>
  <c r="C453" i="40"/>
  <c r="BF452" i="40"/>
  <c r="BV452" i="40"/>
  <c r="DT452" i="40"/>
  <c r="CO452" i="40"/>
  <c r="BK452" i="40"/>
  <c r="CA452" i="40"/>
  <c r="A452" i="40"/>
  <c r="BL452" i="40"/>
  <c r="CB452" i="40"/>
  <c r="DW452" i="40"/>
  <c r="CG452" i="40"/>
  <c r="BU452" i="40"/>
  <c r="BY452" i="40"/>
  <c r="HZ452" i="40"/>
  <c r="JP452" i="40"/>
  <c r="BJ452" i="40"/>
  <c r="BZ452" i="40"/>
  <c r="AX452" i="40"/>
  <c r="BO452" i="40"/>
  <c r="CE452" i="40"/>
  <c r="AZ452" i="40"/>
  <c r="BP452" i="40"/>
  <c r="CF452" i="40"/>
  <c r="BM452" i="40"/>
  <c r="BI452" i="40"/>
  <c r="DS452" i="40"/>
  <c r="IZ452" i="40"/>
  <c r="AW452" i="40"/>
  <c r="BN452" i="40"/>
  <c r="CD452" i="40"/>
  <c r="BC452" i="40"/>
  <c r="BS452" i="40"/>
  <c r="CJ452" i="40"/>
  <c r="BD452" i="40"/>
  <c r="BT452" i="40"/>
  <c r="DM452" i="40"/>
  <c r="CC452" i="40"/>
  <c r="BA452" i="40"/>
  <c r="JO452" i="40"/>
  <c r="IA452" i="40"/>
  <c r="IX452" i="40"/>
  <c r="AN451" i="40"/>
  <c r="CP451" i="40"/>
  <c r="CK451" i="40"/>
  <c r="AM451" i="40"/>
  <c r="AP252" i="40"/>
  <c r="AZ253" i="40"/>
  <c r="BP253" i="40"/>
  <c r="CF253" i="40"/>
  <c r="BA253" i="40"/>
  <c r="BQ253" i="40"/>
  <c r="CG253" i="40"/>
  <c r="AW253" i="40"/>
  <c r="BN253" i="40"/>
  <c r="CD253" i="40"/>
  <c r="BC253" i="40"/>
  <c r="BG253" i="40"/>
  <c r="BK253" i="40"/>
  <c r="AX253" i="40"/>
  <c r="IA253" i="40"/>
  <c r="BD253" i="40"/>
  <c r="BT253" i="40"/>
  <c r="DM253" i="40"/>
  <c r="BE253" i="40"/>
  <c r="BU253" i="40"/>
  <c r="DS253" i="40"/>
  <c r="BB253" i="40"/>
  <c r="BR253" i="40"/>
  <c r="CH253" i="40"/>
  <c r="BS253" i="40"/>
  <c r="BW253" i="40"/>
  <c r="CA253" i="40"/>
  <c r="JO253" i="40"/>
  <c r="IX253" i="40"/>
  <c r="HY253" i="40"/>
  <c r="IY253" i="40"/>
  <c r="C254" i="40"/>
  <c r="BH253" i="40"/>
  <c r="BX253" i="40"/>
  <c r="DV253" i="40"/>
  <c r="BI253" i="40"/>
  <c r="BY253" i="40"/>
  <c r="DW253" i="40"/>
  <c r="BF253" i="40"/>
  <c r="BV253" i="40"/>
  <c r="DT253" i="40"/>
  <c r="CJ253" i="40"/>
  <c r="DU253" i="40"/>
  <c r="CE253" i="40"/>
  <c r="BO253" i="40"/>
  <c r="IZ253" i="40"/>
  <c r="JP253" i="40"/>
  <c r="A253" i="40"/>
  <c r="BL253" i="40"/>
  <c r="CB253" i="40"/>
  <c r="BM253" i="40"/>
  <c r="CC253" i="40"/>
  <c r="BJ253" i="40"/>
  <c r="BZ253" i="40"/>
  <c r="HZ253" i="40"/>
  <c r="AO252" i="40"/>
  <c r="CQ252" i="40"/>
  <c r="CP252" i="40"/>
  <c r="AN252" i="40"/>
  <c r="AM252" i="40"/>
  <c r="CK252" i="40"/>
  <c r="DB252" i="40"/>
  <c r="IO152" i="40"/>
  <c r="JA152" i="40" s="1"/>
  <c r="IQ152" i="40"/>
  <c r="JC152" i="40" s="1"/>
  <c r="HV151" i="40"/>
  <c r="HN152" i="40"/>
  <c r="HQ152" i="40" s="1"/>
  <c r="HM152" i="40"/>
  <c r="HP152" i="40" s="1"/>
  <c r="HX151" i="40"/>
  <c r="HS152" i="40"/>
  <c r="JM149" i="40"/>
  <c r="JI151" i="40"/>
  <c r="DB152" i="40"/>
  <c r="AO152" i="40"/>
  <c r="CQ152" i="40"/>
  <c r="AM152" i="40"/>
  <c r="CK152" i="40"/>
  <c r="HR152" i="40"/>
  <c r="AN152" i="40"/>
  <c r="CP152" i="40"/>
  <c r="HW152" i="40" s="1"/>
  <c r="HQ151" i="40"/>
  <c r="CV352" i="40"/>
  <c r="HP151" i="40"/>
  <c r="IK153" i="40"/>
  <c r="IN153" i="40" s="1"/>
  <c r="JF153" i="40"/>
  <c r="HO153" i="40" s="1"/>
  <c r="II153" i="40"/>
  <c r="IL153" i="40" s="1"/>
  <c r="IJ153" i="40"/>
  <c r="IM153" i="40" s="1"/>
  <c r="C154" i="40"/>
  <c r="AX153" i="40"/>
  <c r="BC153" i="40"/>
  <c r="BG153" i="40"/>
  <c r="BK153" i="40"/>
  <c r="BO153" i="40"/>
  <c r="BS153" i="40"/>
  <c r="BW153" i="40"/>
  <c r="CA153" i="40"/>
  <c r="CE153" i="40"/>
  <c r="CJ153" i="40"/>
  <c r="DU153" i="40"/>
  <c r="AZ153" i="40"/>
  <c r="BD153" i="40"/>
  <c r="BH153" i="40"/>
  <c r="BL153" i="40"/>
  <c r="BP153" i="40"/>
  <c r="BT153" i="40"/>
  <c r="BX153" i="40"/>
  <c r="CB153" i="40"/>
  <c r="CF153" i="40"/>
  <c r="DM153" i="40"/>
  <c r="DV153" i="40"/>
  <c r="BA153" i="40"/>
  <c r="BE153" i="40"/>
  <c r="BI153" i="40"/>
  <c r="BM153" i="40"/>
  <c r="BQ153" i="40"/>
  <c r="BU153" i="40"/>
  <c r="BY153" i="40"/>
  <c r="CC153" i="40"/>
  <c r="CG153" i="40"/>
  <c r="DS153" i="40"/>
  <c r="DW153" i="40"/>
  <c r="BJ153" i="40"/>
  <c r="BZ153" i="40"/>
  <c r="AW153" i="40"/>
  <c r="BN153" i="40"/>
  <c r="CD153" i="40"/>
  <c r="A153" i="40"/>
  <c r="BB153" i="40"/>
  <c r="BR153" i="40"/>
  <c r="CH153" i="40"/>
  <c r="BF153" i="40"/>
  <c r="BV153" i="40"/>
  <c r="DT153" i="40"/>
  <c r="JO153" i="40"/>
  <c r="IX153" i="40"/>
  <c r="IZ153" i="40"/>
  <c r="HZ153" i="40"/>
  <c r="IA153" i="40"/>
  <c r="HY153" i="40"/>
  <c r="CR153" i="40"/>
  <c r="IY153" i="40"/>
  <c r="JP153" i="40"/>
  <c r="JG153" i="40"/>
  <c r="HU152" i="40"/>
  <c r="DB352" i="40"/>
  <c r="AP352" i="40"/>
  <c r="AM352" i="40"/>
  <c r="CK352" i="40"/>
  <c r="AN352" i="40"/>
  <c r="CP352" i="40"/>
  <c r="CV152" i="40"/>
  <c r="AL152" i="40"/>
  <c r="AK152" i="40"/>
  <c r="AP152" i="40"/>
  <c r="IP152" i="40"/>
  <c r="JB152" i="40" s="1"/>
  <c r="HT152" i="40"/>
  <c r="KO148" i="40"/>
  <c r="AO352" i="40"/>
  <c r="CQ352" i="40"/>
  <c r="C354" i="40"/>
  <c r="BA353" i="40"/>
  <c r="BE353" i="40"/>
  <c r="BI353" i="40"/>
  <c r="BM353" i="40"/>
  <c r="BQ353" i="40"/>
  <c r="BU353" i="40"/>
  <c r="BY353" i="40"/>
  <c r="CC353" i="40"/>
  <c r="CG353" i="40"/>
  <c r="DS353" i="40"/>
  <c r="DW353" i="40"/>
  <c r="AW353" i="40"/>
  <c r="BB353" i="40"/>
  <c r="BF353" i="40"/>
  <c r="BJ353" i="40"/>
  <c r="BN353" i="40"/>
  <c r="BR353" i="40"/>
  <c r="BV353" i="40"/>
  <c r="BZ353" i="40"/>
  <c r="CD353" i="40"/>
  <c r="CH353" i="40"/>
  <c r="DT353" i="40"/>
  <c r="AX353" i="40"/>
  <c r="BC353" i="40"/>
  <c r="BG353" i="40"/>
  <c r="BK353" i="40"/>
  <c r="BO353" i="40"/>
  <c r="BS353" i="40"/>
  <c r="BW353" i="40"/>
  <c r="CA353" i="40"/>
  <c r="CE353" i="40"/>
  <c r="CJ353" i="40"/>
  <c r="DU353" i="40"/>
  <c r="BL353" i="40"/>
  <c r="CB353" i="40"/>
  <c r="AZ353" i="40"/>
  <c r="BP353" i="40"/>
  <c r="CF353" i="40"/>
  <c r="BD353" i="40"/>
  <c r="BT353" i="40"/>
  <c r="DM353" i="40"/>
  <c r="BX353" i="40"/>
  <c r="A353" i="40"/>
  <c r="DV353" i="40"/>
  <c r="BH353" i="40"/>
  <c r="JO353" i="40"/>
  <c r="IY353" i="40"/>
  <c r="HZ353" i="40"/>
  <c r="IZ353" i="40"/>
  <c r="HY353" i="40"/>
  <c r="IX353" i="40"/>
  <c r="IA353" i="40"/>
  <c r="JP353" i="40"/>
  <c r="CI636" i="40" l="1"/>
  <c r="CI237" i="40"/>
  <c r="CI337" i="40"/>
  <c r="CI437" i="40"/>
  <c r="CI536" i="40"/>
  <c r="CI153" i="40"/>
  <c r="IQ153" i="40"/>
  <c r="JC153" i="40" s="1"/>
  <c r="D152" i="40"/>
  <c r="AY152" i="40" s="1"/>
  <c r="DB253" i="40"/>
  <c r="IA652" i="40"/>
  <c r="IZ652" i="40" s="1"/>
  <c r="HZ652" i="40"/>
  <c r="IY652" i="40" s="1"/>
  <c r="DB653" i="40"/>
  <c r="HY652" i="40"/>
  <c r="IX652" i="40" s="1"/>
  <c r="CV253" i="40"/>
  <c r="AP253" i="40"/>
  <c r="DB452" i="40"/>
  <c r="AH254" i="40"/>
  <c r="AD254" i="40"/>
  <c r="Z254" i="40"/>
  <c r="V254" i="40"/>
  <c r="CT254" i="40" s="1"/>
  <c r="R254" i="40"/>
  <c r="N254" i="40"/>
  <c r="CN254" i="40" s="1"/>
  <c r="J254" i="40"/>
  <c r="F254" i="40"/>
  <c r="AJ254" i="40"/>
  <c r="AF254" i="40"/>
  <c r="AB254" i="40"/>
  <c r="X254" i="40"/>
  <c r="T254" i="40"/>
  <c r="CR254" i="40" s="1"/>
  <c r="P254" i="40"/>
  <c r="L254" i="40"/>
  <c r="CL254" i="40" s="1"/>
  <c r="H254" i="40"/>
  <c r="AC254" i="40"/>
  <c r="U254" i="40"/>
  <c r="CS254" i="40" s="1"/>
  <c r="M254" i="40"/>
  <c r="CM254" i="40" s="1"/>
  <c r="E254" i="40"/>
  <c r="AI254" i="40"/>
  <c r="AA254" i="40"/>
  <c r="S254" i="40"/>
  <c r="K254" i="40"/>
  <c r="AG254" i="40"/>
  <c r="Y254" i="40"/>
  <c r="Q254" i="40"/>
  <c r="I254" i="40"/>
  <c r="AE254" i="40"/>
  <c r="W254" i="40"/>
  <c r="CU254" i="40" s="1"/>
  <c r="O254" i="40"/>
  <c r="CO254" i="40" s="1"/>
  <c r="G254" i="40"/>
  <c r="AI453" i="40"/>
  <c r="AE453" i="40"/>
  <c r="AA453" i="40"/>
  <c r="W453" i="40"/>
  <c r="CU453" i="40" s="1"/>
  <c r="S453" i="40"/>
  <c r="O453" i="40"/>
  <c r="CO453" i="40" s="1"/>
  <c r="K453" i="40"/>
  <c r="G453" i="40"/>
  <c r="AH453" i="40"/>
  <c r="AD453" i="40"/>
  <c r="Z453" i="40"/>
  <c r="V453" i="40"/>
  <c r="CT453" i="40" s="1"/>
  <c r="R453" i="40"/>
  <c r="N453" i="40"/>
  <c r="CN453" i="40" s="1"/>
  <c r="J453" i="40"/>
  <c r="F453" i="40"/>
  <c r="AG453" i="40"/>
  <c r="AC453" i="40"/>
  <c r="Y453" i="40"/>
  <c r="U453" i="40"/>
  <c r="CS453" i="40" s="1"/>
  <c r="Q453" i="40"/>
  <c r="M453" i="40"/>
  <c r="CM453" i="40" s="1"/>
  <c r="I453" i="40"/>
  <c r="E453" i="40"/>
  <c r="AJ453" i="40"/>
  <c r="T453" i="40"/>
  <c r="CR453" i="40" s="1"/>
  <c r="AF453" i="40"/>
  <c r="P453" i="40"/>
  <c r="AB453" i="40"/>
  <c r="L453" i="40"/>
  <c r="CL453" i="40" s="1"/>
  <c r="X453" i="40"/>
  <c r="H453" i="40"/>
  <c r="AI553" i="40"/>
  <c r="AE553" i="40"/>
  <c r="AA553" i="40"/>
  <c r="W553" i="40"/>
  <c r="CU553" i="40" s="1"/>
  <c r="S553" i="40"/>
  <c r="O553" i="40"/>
  <c r="CO553" i="40" s="1"/>
  <c r="K553" i="40"/>
  <c r="G553" i="40"/>
  <c r="AH553" i="40"/>
  <c r="AD553" i="40"/>
  <c r="Z553" i="40"/>
  <c r="V553" i="40"/>
  <c r="CT553" i="40" s="1"/>
  <c r="R553" i="40"/>
  <c r="N553" i="40"/>
  <c r="CN553" i="40" s="1"/>
  <c r="J553" i="40"/>
  <c r="F553" i="40"/>
  <c r="AF553" i="40"/>
  <c r="X553" i="40"/>
  <c r="P553" i="40"/>
  <c r="H553" i="40"/>
  <c r="AC553" i="40"/>
  <c r="U553" i="40"/>
  <c r="CS553" i="40" s="1"/>
  <c r="M553" i="40"/>
  <c r="CM553" i="40" s="1"/>
  <c r="E553" i="40"/>
  <c r="AJ553" i="40"/>
  <c r="AB553" i="40"/>
  <c r="T553" i="40"/>
  <c r="CR553" i="40" s="1"/>
  <c r="L553" i="40"/>
  <c r="CL553" i="40" s="1"/>
  <c r="Y553" i="40"/>
  <c r="Q553" i="40"/>
  <c r="I553" i="40"/>
  <c r="AG553" i="40"/>
  <c r="BG553" i="40"/>
  <c r="BW553" i="40"/>
  <c r="DU553" i="40"/>
  <c r="BD553" i="40"/>
  <c r="BT553" i="40"/>
  <c r="DM553" i="40"/>
  <c r="BE553" i="40"/>
  <c r="BU553" i="40"/>
  <c r="DS553" i="40"/>
  <c r="DT553" i="40"/>
  <c r="BZ553" i="40"/>
  <c r="CD553" i="40"/>
  <c r="HY553" i="40"/>
  <c r="JP553" i="40"/>
  <c r="BK553" i="40"/>
  <c r="CA553" i="40"/>
  <c r="A553" i="40"/>
  <c r="BH553" i="40"/>
  <c r="BX553" i="40"/>
  <c r="DV553" i="40"/>
  <c r="BI553" i="40"/>
  <c r="BY553" i="40"/>
  <c r="DW553" i="40"/>
  <c r="CH553" i="40"/>
  <c r="BR553" i="40"/>
  <c r="BB553" i="40"/>
  <c r="IZ553" i="40"/>
  <c r="AX553" i="40"/>
  <c r="BO553" i="40"/>
  <c r="CE553" i="40"/>
  <c r="BL553" i="40"/>
  <c r="CB553" i="40"/>
  <c r="BM553" i="40"/>
  <c r="CC553" i="40"/>
  <c r="BF553" i="40"/>
  <c r="JO553" i="40"/>
  <c r="AW553" i="40"/>
  <c r="IA553" i="40"/>
  <c r="IX553" i="40"/>
  <c r="C554" i="40"/>
  <c r="BC553" i="40"/>
  <c r="BS553" i="40"/>
  <c r="CJ553" i="40"/>
  <c r="AZ553" i="40"/>
  <c r="BP553" i="40"/>
  <c r="CF553" i="40"/>
  <c r="BA553" i="40"/>
  <c r="BQ553" i="40"/>
  <c r="CG553" i="40"/>
  <c r="BV553" i="40"/>
  <c r="BJ553" i="40"/>
  <c r="BN553" i="40"/>
  <c r="HZ553" i="40"/>
  <c r="IY553" i="40"/>
  <c r="CV552" i="40"/>
  <c r="AO552" i="40"/>
  <c r="CQ552" i="40"/>
  <c r="AF654" i="40"/>
  <c r="DM654" i="40"/>
  <c r="BV654" i="40"/>
  <c r="BF654" i="40"/>
  <c r="R654" i="40"/>
  <c r="BY654" i="40"/>
  <c r="BI654" i="40"/>
  <c r="AG654" i="40"/>
  <c r="BK654" i="40"/>
  <c r="CF654" i="40"/>
  <c r="AZ654" i="40"/>
  <c r="CE654" i="40"/>
  <c r="P654" i="40"/>
  <c r="G654" i="40"/>
  <c r="DT654" i="40"/>
  <c r="JO654" i="40"/>
  <c r="H654" i="40"/>
  <c r="AI654" i="40"/>
  <c r="F654" i="40"/>
  <c r="CJ654" i="40"/>
  <c r="CH654" i="40"/>
  <c r="BR654" i="40"/>
  <c r="BB654" i="40"/>
  <c r="DU654" i="40"/>
  <c r="BU654" i="40"/>
  <c r="BE654" i="40"/>
  <c r="DS654" i="40"/>
  <c r="BC654" i="40"/>
  <c r="BX654" i="40"/>
  <c r="M654" i="40"/>
  <c r="CM654" i="40" s="1"/>
  <c r="BW654" i="40"/>
  <c r="L654" i="40"/>
  <c r="CL654" i="40" s="1"/>
  <c r="BD654" i="40"/>
  <c r="BT654" i="40"/>
  <c r="JP654" i="40"/>
  <c r="I654" i="40"/>
  <c r="AJ654" i="40"/>
  <c r="AC654" i="40"/>
  <c r="C655" i="40"/>
  <c r="CD654" i="40"/>
  <c r="BN654" i="40"/>
  <c r="AX654" i="40"/>
  <c r="CG654" i="40"/>
  <c r="BQ654" i="40"/>
  <c r="BA654" i="40"/>
  <c r="CA654" i="40"/>
  <c r="N654" i="40"/>
  <c r="CN654" i="40" s="1"/>
  <c r="BP654" i="40"/>
  <c r="A654" i="40"/>
  <c r="BO654" i="40"/>
  <c r="BL654" i="40"/>
  <c r="CB654" i="40"/>
  <c r="K654" i="40"/>
  <c r="KN654" i="40"/>
  <c r="AH654" i="40"/>
  <c r="BS654" i="40"/>
  <c r="BG654" i="40"/>
  <c r="DV654" i="40"/>
  <c r="CC654" i="40"/>
  <c r="J654" i="40"/>
  <c r="AB654" i="40"/>
  <c r="AE654" i="40"/>
  <c r="BZ654" i="40"/>
  <c r="BM654" i="40"/>
  <c r="BH654" i="40"/>
  <c r="O654" i="40"/>
  <c r="CO654" i="40" s="1"/>
  <c r="AW654" i="40"/>
  <c r="DW654" i="40"/>
  <c r="BJ654" i="40"/>
  <c r="W654" i="40"/>
  <c r="CU654" i="40" s="1"/>
  <c r="Z654" i="40"/>
  <c r="T654" i="40"/>
  <c r="CR654" i="40" s="1"/>
  <c r="U654" i="40"/>
  <c r="CS654" i="40" s="1"/>
  <c r="V654" i="40"/>
  <c r="CT654" i="40" s="1"/>
  <c r="X654" i="40"/>
  <c r="S654" i="40"/>
  <c r="Q654" i="40"/>
  <c r="AD654" i="40"/>
  <c r="AA654" i="40"/>
  <c r="E654" i="40"/>
  <c r="Y654" i="40"/>
  <c r="AJ354" i="40"/>
  <c r="AF354" i="40"/>
  <c r="AB354" i="40"/>
  <c r="X354" i="40"/>
  <c r="T354" i="40"/>
  <c r="CR354" i="40" s="1"/>
  <c r="P354" i="40"/>
  <c r="L354" i="40"/>
  <c r="CL354" i="40" s="1"/>
  <c r="H354" i="40"/>
  <c r="AH354" i="40"/>
  <c r="AD354" i="40"/>
  <c r="Z354" i="40"/>
  <c r="V354" i="40"/>
  <c r="CT354" i="40" s="1"/>
  <c r="R354" i="40"/>
  <c r="N354" i="40"/>
  <c r="CN354" i="40" s="1"/>
  <c r="J354" i="40"/>
  <c r="F354" i="40"/>
  <c r="AC354" i="40"/>
  <c r="U354" i="40"/>
  <c r="CS354" i="40" s="1"/>
  <c r="M354" i="40"/>
  <c r="CM354" i="40" s="1"/>
  <c r="E354" i="40"/>
  <c r="AI354" i="40"/>
  <c r="AA354" i="40"/>
  <c r="S354" i="40"/>
  <c r="K354" i="40"/>
  <c r="AG354" i="40"/>
  <c r="Y354" i="40"/>
  <c r="Q354" i="40"/>
  <c r="I354" i="40"/>
  <c r="G354" i="40"/>
  <c r="AE354" i="40"/>
  <c r="W354" i="40"/>
  <c r="CU354" i="40" s="1"/>
  <c r="O354" i="40"/>
  <c r="CO354" i="40" s="1"/>
  <c r="AP653" i="40"/>
  <c r="CK653" i="40"/>
  <c r="AM653" i="40"/>
  <c r="DB552" i="40"/>
  <c r="CK552" i="40"/>
  <c r="AM552" i="40"/>
  <c r="CV653" i="40"/>
  <c r="AN653" i="40"/>
  <c r="CP653" i="40"/>
  <c r="AG154" i="40"/>
  <c r="AC154" i="40"/>
  <c r="Y154" i="40"/>
  <c r="U154" i="40"/>
  <c r="CS154" i="40" s="1"/>
  <c r="Q154" i="40"/>
  <c r="M154" i="40"/>
  <c r="CM154" i="40" s="1"/>
  <c r="I154" i="40"/>
  <c r="E154" i="40"/>
  <c r="AI154" i="40"/>
  <c r="AE154" i="40"/>
  <c r="AA154" i="40"/>
  <c r="W154" i="40"/>
  <c r="CU154" i="40" s="1"/>
  <c r="S154" i="40"/>
  <c r="O154" i="40"/>
  <c r="CO154" i="40" s="1"/>
  <c r="K154" i="40"/>
  <c r="G154" i="40"/>
  <c r="AF154" i="40"/>
  <c r="X154" i="40"/>
  <c r="P154" i="40"/>
  <c r="H154" i="40"/>
  <c r="AH154" i="40"/>
  <c r="J154" i="40"/>
  <c r="AD154" i="40"/>
  <c r="V154" i="40"/>
  <c r="CT154" i="40" s="1"/>
  <c r="N154" i="40"/>
  <c r="CN154" i="40" s="1"/>
  <c r="F154" i="40"/>
  <c r="Z154" i="40"/>
  <c r="AJ154" i="40"/>
  <c r="AB154" i="40"/>
  <c r="T154" i="40"/>
  <c r="CR154" i="40" s="1"/>
  <c r="L154" i="40"/>
  <c r="CL154" i="40" s="1"/>
  <c r="R154" i="40"/>
  <c r="CP552" i="40"/>
  <c r="AN552" i="40"/>
  <c r="AP552" i="40"/>
  <c r="CQ653" i="40"/>
  <c r="AO653" i="40"/>
  <c r="JJ151" i="40"/>
  <c r="CV452" i="40"/>
  <c r="CK452" i="40"/>
  <c r="AM452" i="40"/>
  <c r="AN452" i="40"/>
  <c r="CP452" i="40"/>
  <c r="AO452" i="40"/>
  <c r="CQ452" i="40"/>
  <c r="BD453" i="40"/>
  <c r="BT453" i="40"/>
  <c r="DM453" i="40"/>
  <c r="BE453" i="40"/>
  <c r="BU453" i="40"/>
  <c r="DS453" i="40"/>
  <c r="BB453" i="40"/>
  <c r="BR453" i="40"/>
  <c r="CH453" i="40"/>
  <c r="CA453" i="40"/>
  <c r="AX453" i="40"/>
  <c r="HY453" i="40"/>
  <c r="IX453" i="40"/>
  <c r="C454" i="40"/>
  <c r="BH453" i="40"/>
  <c r="BX453" i="40"/>
  <c r="DV453" i="40"/>
  <c r="BI453" i="40"/>
  <c r="BY453" i="40"/>
  <c r="DW453" i="40"/>
  <c r="BF453" i="40"/>
  <c r="BV453" i="40"/>
  <c r="DT453" i="40"/>
  <c r="BW453" i="40"/>
  <c r="BO453" i="40"/>
  <c r="BC453" i="40"/>
  <c r="DU453" i="40"/>
  <c r="IA453" i="40"/>
  <c r="JP453" i="40"/>
  <c r="A453" i="40"/>
  <c r="BL453" i="40"/>
  <c r="CB453" i="40"/>
  <c r="BM453" i="40"/>
  <c r="CC453" i="40"/>
  <c r="BJ453" i="40"/>
  <c r="BZ453" i="40"/>
  <c r="JO453" i="40"/>
  <c r="CE453" i="40"/>
  <c r="BS453" i="40"/>
  <c r="HZ453" i="40"/>
  <c r="AZ453" i="40"/>
  <c r="BP453" i="40"/>
  <c r="CF453" i="40"/>
  <c r="BA453" i="40"/>
  <c r="BQ453" i="40"/>
  <c r="CG453" i="40"/>
  <c r="AW453" i="40"/>
  <c r="BN453" i="40"/>
  <c r="CD453" i="40"/>
  <c r="BK453" i="40"/>
  <c r="BG453" i="40"/>
  <c r="CJ453" i="40"/>
  <c r="IZ453" i="40"/>
  <c r="IY453" i="40"/>
  <c r="IC152" i="40"/>
  <c r="CQ253" i="40"/>
  <c r="AO253" i="40"/>
  <c r="AM253" i="40"/>
  <c r="CK253" i="40"/>
  <c r="AN253" i="40"/>
  <c r="CP253" i="40"/>
  <c r="AW254" i="40"/>
  <c r="BN254" i="40"/>
  <c r="CD254" i="40"/>
  <c r="BC254" i="40"/>
  <c r="BS254" i="40"/>
  <c r="CJ254" i="40"/>
  <c r="BD254" i="40"/>
  <c r="BT254" i="40"/>
  <c r="DM254" i="40"/>
  <c r="BQ254" i="40"/>
  <c r="BU254" i="40"/>
  <c r="BI254" i="40"/>
  <c r="HZ254" i="40"/>
  <c r="BB254" i="40"/>
  <c r="BR254" i="40"/>
  <c r="CH254" i="40"/>
  <c r="BG254" i="40"/>
  <c r="BW254" i="40"/>
  <c r="DU254" i="40"/>
  <c r="BH254" i="40"/>
  <c r="BX254" i="40"/>
  <c r="DV254" i="40"/>
  <c r="CG254" i="40"/>
  <c r="DS254" i="40"/>
  <c r="BY254" i="40"/>
  <c r="BM254" i="40"/>
  <c r="IZ254" i="40"/>
  <c r="IA254" i="40"/>
  <c r="IY254" i="40"/>
  <c r="C255" i="40"/>
  <c r="BF254" i="40"/>
  <c r="BV254" i="40"/>
  <c r="DT254" i="40"/>
  <c r="BK254" i="40"/>
  <c r="CA254" i="40"/>
  <c r="A254" i="40"/>
  <c r="BL254" i="40"/>
  <c r="CB254" i="40"/>
  <c r="DW254" i="40"/>
  <c r="JO254" i="40"/>
  <c r="HY254" i="40"/>
  <c r="JP254" i="40"/>
  <c r="BJ254" i="40"/>
  <c r="BZ254" i="40"/>
  <c r="AX254" i="40"/>
  <c r="BO254" i="40"/>
  <c r="CE254" i="40"/>
  <c r="AZ254" i="40"/>
  <c r="BP254" i="40"/>
  <c r="CF254" i="40"/>
  <c r="BA254" i="40"/>
  <c r="BE254" i="40"/>
  <c r="CC254" i="40"/>
  <c r="IX254" i="40"/>
  <c r="DB153" i="40"/>
  <c r="JH152" i="40"/>
  <c r="HM153" i="40"/>
  <c r="HP153" i="40" s="1"/>
  <c r="HN153" i="40"/>
  <c r="HQ153" i="40" s="1"/>
  <c r="HV152" i="40"/>
  <c r="IC151" i="40"/>
  <c r="AO353" i="40"/>
  <c r="CQ353" i="40"/>
  <c r="AM153" i="40"/>
  <c r="CK153" i="40"/>
  <c r="IO153" i="40"/>
  <c r="JA153" i="40" s="1"/>
  <c r="HR153" i="40"/>
  <c r="KO149" i="40"/>
  <c r="JI152" i="40"/>
  <c r="CV353" i="40"/>
  <c r="CK353" i="40"/>
  <c r="AM353" i="40"/>
  <c r="JM150" i="40"/>
  <c r="AP153" i="40"/>
  <c r="IK154" i="40"/>
  <c r="IN154" i="40" s="1"/>
  <c r="II154" i="40"/>
  <c r="IL154" i="40" s="1"/>
  <c r="IJ154" i="40"/>
  <c r="IM154" i="40" s="1"/>
  <c r="JF154" i="40"/>
  <c r="HO154" i="40" s="1"/>
  <c r="C155" i="40"/>
  <c r="AX154" i="40"/>
  <c r="BC154" i="40"/>
  <c r="BG154" i="40"/>
  <c r="BK154" i="40"/>
  <c r="BO154" i="40"/>
  <c r="BS154" i="40"/>
  <c r="BW154" i="40"/>
  <c r="CA154" i="40"/>
  <c r="CE154" i="40"/>
  <c r="CJ154" i="40"/>
  <c r="DU154" i="40"/>
  <c r="AZ154" i="40"/>
  <c r="BD154" i="40"/>
  <c r="BH154" i="40"/>
  <c r="BL154" i="40"/>
  <c r="BP154" i="40"/>
  <c r="BT154" i="40"/>
  <c r="BX154" i="40"/>
  <c r="CB154" i="40"/>
  <c r="CF154" i="40"/>
  <c r="DM154" i="40"/>
  <c r="DV154" i="40"/>
  <c r="BA154" i="40"/>
  <c r="BE154" i="40"/>
  <c r="BI154" i="40"/>
  <c r="BM154" i="40"/>
  <c r="BQ154" i="40"/>
  <c r="BU154" i="40"/>
  <c r="BY154" i="40"/>
  <c r="CC154" i="40"/>
  <c r="CG154" i="40"/>
  <c r="DS154" i="40"/>
  <c r="DW154" i="40"/>
  <c r="A154" i="40"/>
  <c r="BB154" i="40"/>
  <c r="BR154" i="40"/>
  <c r="CH154" i="40"/>
  <c r="BF154" i="40"/>
  <c r="BV154" i="40"/>
  <c r="DT154" i="40"/>
  <c r="BJ154" i="40"/>
  <c r="BZ154" i="40"/>
  <c r="AW154" i="40"/>
  <c r="BN154" i="40"/>
  <c r="CD154" i="40"/>
  <c r="JO154" i="40"/>
  <c r="IZ154" i="40"/>
  <c r="HZ154" i="40"/>
  <c r="IA154" i="40"/>
  <c r="HY154" i="40"/>
  <c r="IX154" i="40"/>
  <c r="IY154" i="40"/>
  <c r="JP154" i="40"/>
  <c r="JG154" i="40"/>
  <c r="HU153" i="40"/>
  <c r="HX152" i="40"/>
  <c r="AP353" i="40"/>
  <c r="CQ153" i="40"/>
  <c r="AO153" i="40"/>
  <c r="HS153" i="40"/>
  <c r="AN353" i="40"/>
  <c r="CP353" i="40"/>
  <c r="DB353" i="40"/>
  <c r="C355" i="40"/>
  <c r="AX354" i="40"/>
  <c r="BC354" i="40"/>
  <c r="BG354" i="40"/>
  <c r="BK354" i="40"/>
  <c r="BO354" i="40"/>
  <c r="BS354" i="40"/>
  <c r="BW354" i="40"/>
  <c r="CA354" i="40"/>
  <c r="CE354" i="40"/>
  <c r="CJ354" i="40"/>
  <c r="DU354" i="40"/>
  <c r="A354" i="40"/>
  <c r="AZ354" i="40"/>
  <c r="BD354" i="40"/>
  <c r="BH354" i="40"/>
  <c r="BL354" i="40"/>
  <c r="BP354" i="40"/>
  <c r="BT354" i="40"/>
  <c r="BX354" i="40"/>
  <c r="CB354" i="40"/>
  <c r="CF354" i="40"/>
  <c r="DM354" i="40"/>
  <c r="DV354" i="40"/>
  <c r="BA354" i="40"/>
  <c r="BE354" i="40"/>
  <c r="BI354" i="40"/>
  <c r="BM354" i="40"/>
  <c r="BQ354" i="40"/>
  <c r="BU354" i="40"/>
  <c r="BY354" i="40"/>
  <c r="CC354" i="40"/>
  <c r="CG354" i="40"/>
  <c r="DS354" i="40"/>
  <c r="DW354" i="40"/>
  <c r="BJ354" i="40"/>
  <c r="BZ354" i="40"/>
  <c r="AW354" i="40"/>
  <c r="BN354" i="40"/>
  <c r="CD354" i="40"/>
  <c r="BB354" i="40"/>
  <c r="BR354" i="40"/>
  <c r="CH354" i="40"/>
  <c r="BV354" i="40"/>
  <c r="DT354" i="40"/>
  <c r="JO354" i="40"/>
  <c r="BF354" i="40"/>
  <c r="IY354" i="40"/>
  <c r="IX354" i="40"/>
  <c r="IZ354" i="40"/>
  <c r="IA354" i="40"/>
  <c r="HY354" i="40"/>
  <c r="HZ354" i="40"/>
  <c r="JP354" i="40"/>
  <c r="CV153" i="40"/>
  <c r="AL153" i="40"/>
  <c r="AK153" i="40"/>
  <c r="CP153" i="40"/>
  <c r="HV153" i="40" s="1"/>
  <c r="AN153" i="40"/>
  <c r="IP153" i="40"/>
  <c r="JB153" i="40" s="1"/>
  <c r="HT153" i="40"/>
  <c r="JH151" i="40"/>
  <c r="IA653" i="40" l="1"/>
  <c r="CI438" i="40"/>
  <c r="CI338" i="40"/>
  <c r="CI154" i="40"/>
  <c r="CI637" i="40"/>
  <c r="CI537" i="40"/>
  <c r="CI238" i="40"/>
  <c r="IQ154" i="40"/>
  <c r="AP654" i="40"/>
  <c r="HZ653" i="40"/>
  <c r="IY653" i="40" s="1"/>
  <c r="DB154" i="40"/>
  <c r="HY653" i="40"/>
  <c r="IX653" i="40" s="1"/>
  <c r="IZ653" i="40"/>
  <c r="CP654" i="40"/>
  <c r="DB654" i="40"/>
  <c r="CV654" i="40"/>
  <c r="JK151" i="40"/>
  <c r="JL151" i="40" s="1"/>
  <c r="JM151" i="40" s="1"/>
  <c r="HM154" i="40"/>
  <c r="HP154" i="40" s="1"/>
  <c r="I655" i="40"/>
  <c r="AJ655" i="40"/>
  <c r="AC655" i="40"/>
  <c r="CJ655" i="40"/>
  <c r="DW655" i="40"/>
  <c r="BW655" i="40"/>
  <c r="BG655" i="40"/>
  <c r="K655" i="40"/>
  <c r="CH655" i="40"/>
  <c r="BR655" i="40"/>
  <c r="BB655" i="40"/>
  <c r="J655" i="40"/>
  <c r="BY655" i="40"/>
  <c r="BI655" i="40"/>
  <c r="AG655" i="40"/>
  <c r="BH655" i="40"/>
  <c r="CF655" i="40"/>
  <c r="AB655" i="40"/>
  <c r="JO655" i="40"/>
  <c r="AE655" i="40"/>
  <c r="DS655" i="40"/>
  <c r="BS655" i="40"/>
  <c r="BC655" i="40"/>
  <c r="G655" i="40"/>
  <c r="CD655" i="40"/>
  <c r="BN655" i="40"/>
  <c r="AX655" i="40"/>
  <c r="DU655" i="40"/>
  <c r="BU655" i="40"/>
  <c r="BE655" i="40"/>
  <c r="M655" i="40"/>
  <c r="CM655" i="40" s="1"/>
  <c r="DT655" i="40"/>
  <c r="BP655" i="40"/>
  <c r="CB655" i="40"/>
  <c r="JP655" i="40"/>
  <c r="AF655" i="40"/>
  <c r="CE655" i="40"/>
  <c r="BO655" i="40"/>
  <c r="W655" i="40"/>
  <c r="CU655" i="40" s="1"/>
  <c r="DV655" i="40"/>
  <c r="BZ655" i="40"/>
  <c r="BJ655" i="40"/>
  <c r="R655" i="40"/>
  <c r="CG655" i="40"/>
  <c r="BQ655" i="40"/>
  <c r="BA655" i="40"/>
  <c r="A655" i="40"/>
  <c r="BT655" i="40"/>
  <c r="AZ655" i="40"/>
  <c r="L655" i="40"/>
  <c r="CL655" i="40" s="1"/>
  <c r="H655" i="40"/>
  <c r="C656" i="40"/>
  <c r="DM655" i="40"/>
  <c r="CC655" i="40"/>
  <c r="BD655" i="40"/>
  <c r="AI655" i="40"/>
  <c r="F655" i="40"/>
  <c r="CA655" i="40"/>
  <c r="BV655" i="40"/>
  <c r="BM655" i="40"/>
  <c r="P655" i="40"/>
  <c r="KN655" i="40"/>
  <c r="BK655" i="40"/>
  <c r="BF655" i="40"/>
  <c r="AW655" i="40"/>
  <c r="BL655" i="40"/>
  <c r="N655" i="40"/>
  <c r="CN655" i="40" s="1"/>
  <c r="O655" i="40"/>
  <c r="CO655" i="40" s="1"/>
  <c r="BX655" i="40"/>
  <c r="AH655" i="40"/>
  <c r="Z655" i="40"/>
  <c r="T655" i="40"/>
  <c r="CR655" i="40" s="1"/>
  <c r="V655" i="40"/>
  <c r="CT655" i="40" s="1"/>
  <c r="Q655" i="40"/>
  <c r="U655" i="40"/>
  <c r="CS655" i="40" s="1"/>
  <c r="S655" i="40"/>
  <c r="X655" i="40"/>
  <c r="AD655" i="40"/>
  <c r="AA655" i="40"/>
  <c r="E655" i="40"/>
  <c r="Y655" i="40"/>
  <c r="AI554" i="40"/>
  <c r="AE554" i="40"/>
  <c r="AA554" i="40"/>
  <c r="W554" i="40"/>
  <c r="CU554" i="40" s="1"/>
  <c r="S554" i="40"/>
  <c r="O554" i="40"/>
  <c r="CO554" i="40" s="1"/>
  <c r="K554" i="40"/>
  <c r="G554" i="40"/>
  <c r="AH554" i="40"/>
  <c r="AD554" i="40"/>
  <c r="Z554" i="40"/>
  <c r="V554" i="40"/>
  <c r="CT554" i="40" s="1"/>
  <c r="R554" i="40"/>
  <c r="N554" i="40"/>
  <c r="CN554" i="40" s="1"/>
  <c r="J554" i="40"/>
  <c r="F554" i="40"/>
  <c r="AF554" i="40"/>
  <c r="X554" i="40"/>
  <c r="P554" i="40"/>
  <c r="H554" i="40"/>
  <c r="AC554" i="40"/>
  <c r="U554" i="40"/>
  <c r="CS554" i="40" s="1"/>
  <c r="M554" i="40"/>
  <c r="CM554" i="40" s="1"/>
  <c r="E554" i="40"/>
  <c r="AJ554" i="40"/>
  <c r="AB554" i="40"/>
  <c r="T554" i="40"/>
  <c r="CR554" i="40" s="1"/>
  <c r="L554" i="40"/>
  <c r="CL554" i="40" s="1"/>
  <c r="Y554" i="40"/>
  <c r="Q554" i="40"/>
  <c r="I554" i="40"/>
  <c r="AG554" i="40"/>
  <c r="C555" i="40"/>
  <c r="BH554" i="40"/>
  <c r="BX554" i="40"/>
  <c r="DV554" i="40"/>
  <c r="BM554" i="40"/>
  <c r="CC554" i="40"/>
  <c r="BF554" i="40"/>
  <c r="BV554" i="40"/>
  <c r="DT554" i="40"/>
  <c r="JO554" i="40"/>
  <c r="BW554" i="40"/>
  <c r="BK554" i="40"/>
  <c r="HY554" i="40"/>
  <c r="IY554" i="40"/>
  <c r="BL554" i="40"/>
  <c r="CB554" i="40"/>
  <c r="BA554" i="40"/>
  <c r="BQ554" i="40"/>
  <c r="CG554" i="40"/>
  <c r="BJ554" i="40"/>
  <c r="BZ554" i="40"/>
  <c r="BC554" i="40"/>
  <c r="BO554" i="40"/>
  <c r="DU554" i="40"/>
  <c r="CA554" i="40"/>
  <c r="IA554" i="40"/>
  <c r="JP554" i="40"/>
  <c r="AZ554" i="40"/>
  <c r="BP554" i="40"/>
  <c r="CF554" i="40"/>
  <c r="BE554" i="40"/>
  <c r="BU554" i="40"/>
  <c r="DS554" i="40"/>
  <c r="AW554" i="40"/>
  <c r="BN554" i="40"/>
  <c r="CD554" i="40"/>
  <c r="BS554" i="40"/>
  <c r="A554" i="40"/>
  <c r="AX554" i="40"/>
  <c r="CE554" i="40"/>
  <c r="IZ554" i="40"/>
  <c r="BD554" i="40"/>
  <c r="BT554" i="40"/>
  <c r="DM554" i="40"/>
  <c r="BI554" i="40"/>
  <c r="BY554" i="40"/>
  <c r="DW554" i="40"/>
  <c r="BB554" i="40"/>
  <c r="BR554" i="40"/>
  <c r="CH554" i="40"/>
  <c r="CJ554" i="40"/>
  <c r="BG554" i="40"/>
  <c r="HZ554" i="40"/>
  <c r="IX554" i="40"/>
  <c r="AH255" i="40"/>
  <c r="AD255" i="40"/>
  <c r="Z255" i="40"/>
  <c r="V255" i="40"/>
  <c r="CT255" i="40" s="1"/>
  <c r="R255" i="40"/>
  <c r="N255" i="40"/>
  <c r="CN255" i="40" s="1"/>
  <c r="J255" i="40"/>
  <c r="F255" i="40"/>
  <c r="AJ255" i="40"/>
  <c r="AF255" i="40"/>
  <c r="AB255" i="40"/>
  <c r="X255" i="40"/>
  <c r="T255" i="40"/>
  <c r="CR255" i="40" s="1"/>
  <c r="P255" i="40"/>
  <c r="L255" i="40"/>
  <c r="CL255" i="40" s="1"/>
  <c r="H255" i="40"/>
  <c r="AC255" i="40"/>
  <c r="U255" i="40"/>
  <c r="CS255" i="40" s="1"/>
  <c r="M255" i="40"/>
  <c r="CM255" i="40" s="1"/>
  <c r="E255" i="40"/>
  <c r="AI255" i="40"/>
  <c r="AA255" i="40"/>
  <c r="S255" i="40"/>
  <c r="K255" i="40"/>
  <c r="AG255" i="40"/>
  <c r="Y255" i="40"/>
  <c r="Q255" i="40"/>
  <c r="I255" i="40"/>
  <c r="AE255" i="40"/>
  <c r="W255" i="40"/>
  <c r="CU255" i="40" s="1"/>
  <c r="O255" i="40"/>
  <c r="CO255" i="40" s="1"/>
  <c r="G255" i="40"/>
  <c r="DB553" i="40"/>
  <c r="CK553" i="40"/>
  <c r="AM553" i="40"/>
  <c r="AI454" i="40"/>
  <c r="AE454" i="40"/>
  <c r="AA454" i="40"/>
  <c r="W454" i="40"/>
  <c r="CU454" i="40" s="1"/>
  <c r="S454" i="40"/>
  <c r="O454" i="40"/>
  <c r="CO454" i="40" s="1"/>
  <c r="K454" i="40"/>
  <c r="G454" i="40"/>
  <c r="AH454" i="40"/>
  <c r="AD454" i="40"/>
  <c r="Z454" i="40"/>
  <c r="V454" i="40"/>
  <c r="CT454" i="40" s="1"/>
  <c r="R454" i="40"/>
  <c r="N454" i="40"/>
  <c r="CN454" i="40" s="1"/>
  <c r="J454" i="40"/>
  <c r="F454" i="40"/>
  <c r="AG454" i="40"/>
  <c r="AC454" i="40"/>
  <c r="Y454" i="40"/>
  <c r="U454" i="40"/>
  <c r="CS454" i="40" s="1"/>
  <c r="Q454" i="40"/>
  <c r="M454" i="40"/>
  <c r="CM454" i="40" s="1"/>
  <c r="I454" i="40"/>
  <c r="E454" i="40"/>
  <c r="AJ454" i="40"/>
  <c r="T454" i="40"/>
  <c r="CR454" i="40" s="1"/>
  <c r="AF454" i="40"/>
  <c r="P454" i="40"/>
  <c r="AB454" i="40"/>
  <c r="L454" i="40"/>
  <c r="CL454" i="40" s="1"/>
  <c r="H454" i="40"/>
  <c r="X454" i="40"/>
  <c r="AN654" i="40"/>
  <c r="CK654" i="40"/>
  <c r="AM654" i="40"/>
  <c r="AN553" i="40"/>
  <c r="CP553" i="40"/>
  <c r="AP553" i="40"/>
  <c r="AJ355" i="40"/>
  <c r="AF355" i="40"/>
  <c r="AB355" i="40"/>
  <c r="X355" i="40"/>
  <c r="T355" i="40"/>
  <c r="CR355" i="40" s="1"/>
  <c r="P355" i="40"/>
  <c r="L355" i="40"/>
  <c r="CL355" i="40" s="1"/>
  <c r="H355" i="40"/>
  <c r="AH355" i="40"/>
  <c r="AD355" i="40"/>
  <c r="Z355" i="40"/>
  <c r="V355" i="40"/>
  <c r="CT355" i="40" s="1"/>
  <c r="R355" i="40"/>
  <c r="N355" i="40"/>
  <c r="CN355" i="40" s="1"/>
  <c r="J355" i="40"/>
  <c r="F355" i="40"/>
  <c r="AC355" i="40"/>
  <c r="U355" i="40"/>
  <c r="CS355" i="40" s="1"/>
  <c r="M355" i="40"/>
  <c r="CM355" i="40" s="1"/>
  <c r="E355" i="40"/>
  <c r="AI355" i="40"/>
  <c r="AA355" i="40"/>
  <c r="S355" i="40"/>
  <c r="K355" i="40"/>
  <c r="AG355" i="40"/>
  <c r="Y355" i="40"/>
  <c r="Q355" i="40"/>
  <c r="I355" i="40"/>
  <c r="G355" i="40"/>
  <c r="AE355" i="40"/>
  <c r="W355" i="40"/>
  <c r="CU355" i="40" s="1"/>
  <c r="O355" i="40"/>
  <c r="CO355" i="40" s="1"/>
  <c r="AG155" i="40"/>
  <c r="AC155" i="40"/>
  <c r="Y155" i="40"/>
  <c r="U155" i="40"/>
  <c r="CS155" i="40" s="1"/>
  <c r="Q155" i="40"/>
  <c r="M155" i="40"/>
  <c r="CM155" i="40" s="1"/>
  <c r="I155" i="40"/>
  <c r="E155" i="40"/>
  <c r="AI155" i="40"/>
  <c r="AE155" i="40"/>
  <c r="AA155" i="40"/>
  <c r="W155" i="40"/>
  <c r="CU155" i="40" s="1"/>
  <c r="S155" i="40"/>
  <c r="O155" i="40"/>
  <c r="CO155" i="40" s="1"/>
  <c r="K155" i="40"/>
  <c r="G155" i="40"/>
  <c r="AF155" i="40"/>
  <c r="X155" i="40"/>
  <c r="P155" i="40"/>
  <c r="H155" i="40"/>
  <c r="Z155" i="40"/>
  <c r="AD155" i="40"/>
  <c r="V155" i="40"/>
  <c r="CT155" i="40" s="1"/>
  <c r="N155" i="40"/>
  <c r="CN155" i="40" s="1"/>
  <c r="F155" i="40"/>
  <c r="R155" i="40"/>
  <c r="AJ155" i="40"/>
  <c r="AB155" i="40"/>
  <c r="T155" i="40"/>
  <c r="CR155" i="40" s="1"/>
  <c r="L155" i="40"/>
  <c r="CL155" i="40" s="1"/>
  <c r="AH155" i="40"/>
  <c r="J155" i="40"/>
  <c r="AO654" i="40"/>
  <c r="CQ654" i="40"/>
  <c r="CV553" i="40"/>
  <c r="AO553" i="40"/>
  <c r="CQ553" i="40"/>
  <c r="JJ152" i="40"/>
  <c r="JK152" i="40" s="1"/>
  <c r="JL152" i="40" s="1"/>
  <c r="CK453" i="40"/>
  <c r="AM453" i="40"/>
  <c r="AN453" i="40"/>
  <c r="CP453" i="40"/>
  <c r="CQ453" i="40"/>
  <c r="AO453" i="40"/>
  <c r="C455" i="40"/>
  <c r="BF454" i="40"/>
  <c r="BV454" i="40"/>
  <c r="DT454" i="40"/>
  <c r="BK454" i="40"/>
  <c r="CA454" i="40"/>
  <c r="A454" i="40"/>
  <c r="BL454" i="40"/>
  <c r="CB454" i="40"/>
  <c r="DW454" i="40"/>
  <c r="DS454" i="40"/>
  <c r="IZ454" i="40"/>
  <c r="JP454" i="40"/>
  <c r="BJ454" i="40"/>
  <c r="BZ454" i="40"/>
  <c r="AX454" i="40"/>
  <c r="BO454" i="40"/>
  <c r="CE454" i="40"/>
  <c r="AZ454" i="40"/>
  <c r="BP454" i="40"/>
  <c r="CF454" i="40"/>
  <c r="JO454" i="40"/>
  <c r="BM454" i="40"/>
  <c r="BA454" i="40"/>
  <c r="IA454" i="40"/>
  <c r="AW454" i="40"/>
  <c r="BN454" i="40"/>
  <c r="CD454" i="40"/>
  <c r="BC454" i="40"/>
  <c r="BS454" i="40"/>
  <c r="CJ454" i="40"/>
  <c r="BD454" i="40"/>
  <c r="BT454" i="40"/>
  <c r="DM454" i="40"/>
  <c r="BI454" i="40"/>
  <c r="BE454" i="40"/>
  <c r="CC454" i="40"/>
  <c r="BQ454" i="40"/>
  <c r="HZ454" i="40"/>
  <c r="IX454" i="40"/>
  <c r="BB454" i="40"/>
  <c r="BR454" i="40"/>
  <c r="CH454" i="40"/>
  <c r="BG454" i="40"/>
  <c r="BW454" i="40"/>
  <c r="DU454" i="40"/>
  <c r="BH454" i="40"/>
  <c r="BX454" i="40"/>
  <c r="DV454" i="40"/>
  <c r="BY454" i="40"/>
  <c r="BU454" i="40"/>
  <c r="CG454" i="40"/>
  <c r="HY454" i="40"/>
  <c r="IY454" i="40"/>
  <c r="DB453" i="40"/>
  <c r="DB254" i="40"/>
  <c r="CV453" i="40"/>
  <c r="AP453" i="40"/>
  <c r="CK254" i="40"/>
  <c r="AM254" i="40"/>
  <c r="AN254" i="40"/>
  <c r="CP254" i="40"/>
  <c r="AO254" i="40"/>
  <c r="CQ254" i="40"/>
  <c r="A255" i="40"/>
  <c r="BL255" i="40"/>
  <c r="CB255" i="40"/>
  <c r="BM255" i="40"/>
  <c r="CC255" i="40"/>
  <c r="BJ255" i="40"/>
  <c r="BZ255" i="40"/>
  <c r="CA255" i="40"/>
  <c r="IX255" i="40"/>
  <c r="AZ255" i="40"/>
  <c r="BP255" i="40"/>
  <c r="CF255" i="40"/>
  <c r="BA255" i="40"/>
  <c r="BQ255" i="40"/>
  <c r="CG255" i="40"/>
  <c r="AW255" i="40"/>
  <c r="BN255" i="40"/>
  <c r="CD255" i="40"/>
  <c r="AX255" i="40"/>
  <c r="BC255" i="40"/>
  <c r="BG255" i="40"/>
  <c r="IZ255" i="40"/>
  <c r="BD255" i="40"/>
  <c r="BT255" i="40"/>
  <c r="DM255" i="40"/>
  <c r="BE255" i="40"/>
  <c r="BU255" i="40"/>
  <c r="DS255" i="40"/>
  <c r="BB255" i="40"/>
  <c r="BR255" i="40"/>
  <c r="CH255" i="40"/>
  <c r="BO255" i="40"/>
  <c r="BS255" i="40"/>
  <c r="BW255" i="40"/>
  <c r="BK255" i="40"/>
  <c r="IA255" i="40"/>
  <c r="HZ255" i="40"/>
  <c r="IY255" i="40"/>
  <c r="C256" i="40"/>
  <c r="BH255" i="40"/>
  <c r="BX255" i="40"/>
  <c r="DV255" i="40"/>
  <c r="BI255" i="40"/>
  <c r="BY255" i="40"/>
  <c r="DW255" i="40"/>
  <c r="BF255" i="40"/>
  <c r="BV255" i="40"/>
  <c r="DT255" i="40"/>
  <c r="CE255" i="40"/>
  <c r="CJ255" i="40"/>
  <c r="DU255" i="40"/>
  <c r="JO255" i="40"/>
  <c r="HY255" i="40"/>
  <c r="JP255" i="40"/>
  <c r="AP254" i="40"/>
  <c r="CV254" i="40"/>
  <c r="IO154" i="40"/>
  <c r="JA154" i="40" s="1"/>
  <c r="DB354" i="40"/>
  <c r="D153" i="40"/>
  <c r="AY153" i="40" s="1"/>
  <c r="AP354" i="40"/>
  <c r="JI153" i="40"/>
  <c r="HT154" i="40"/>
  <c r="JH153" i="40"/>
  <c r="CV354" i="40"/>
  <c r="HX153" i="40"/>
  <c r="AM154" i="40"/>
  <c r="CK154" i="40"/>
  <c r="HS154" i="40"/>
  <c r="CK354" i="40"/>
  <c r="AM354" i="40"/>
  <c r="AO154" i="40"/>
  <c r="CQ154" i="40"/>
  <c r="CQ354" i="40"/>
  <c r="AO354" i="40"/>
  <c r="AN354" i="40"/>
  <c r="CP354" i="40"/>
  <c r="HW153" i="40"/>
  <c r="AP154" i="40"/>
  <c r="HN154" i="40"/>
  <c r="IK155" i="40"/>
  <c r="IN155" i="40" s="1"/>
  <c r="IJ155" i="40"/>
  <c r="IM155" i="40" s="1"/>
  <c r="JF155" i="40"/>
  <c r="HO155" i="40" s="1"/>
  <c r="HR155" i="40" s="1"/>
  <c r="II155" i="40"/>
  <c r="IL155" i="40" s="1"/>
  <c r="C156" i="40"/>
  <c r="AX155" i="40"/>
  <c r="BC155" i="40"/>
  <c r="BG155" i="40"/>
  <c r="BK155" i="40"/>
  <c r="BO155" i="40"/>
  <c r="BS155" i="40"/>
  <c r="BW155" i="40"/>
  <c r="CA155" i="40"/>
  <c r="CE155" i="40"/>
  <c r="CJ155" i="40"/>
  <c r="DU155" i="40"/>
  <c r="AZ155" i="40"/>
  <c r="BD155" i="40"/>
  <c r="BH155" i="40"/>
  <c r="BL155" i="40"/>
  <c r="BP155" i="40"/>
  <c r="BT155" i="40"/>
  <c r="BX155" i="40"/>
  <c r="CB155" i="40"/>
  <c r="CF155" i="40"/>
  <c r="DM155" i="40"/>
  <c r="DV155" i="40"/>
  <c r="BA155" i="40"/>
  <c r="BE155" i="40"/>
  <c r="BI155" i="40"/>
  <c r="BM155" i="40"/>
  <c r="BQ155" i="40"/>
  <c r="BU155" i="40"/>
  <c r="BY155" i="40"/>
  <c r="CC155" i="40"/>
  <c r="CG155" i="40"/>
  <c r="DS155" i="40"/>
  <c r="DW155" i="40"/>
  <c r="BJ155" i="40"/>
  <c r="BZ155" i="40"/>
  <c r="AW155" i="40"/>
  <c r="BN155" i="40"/>
  <c r="CD155" i="40"/>
  <c r="A155" i="40"/>
  <c r="BB155" i="40"/>
  <c r="BR155" i="40"/>
  <c r="CH155" i="40"/>
  <c r="BV155" i="40"/>
  <c r="DT155" i="40"/>
  <c r="BF155" i="40"/>
  <c r="JO155" i="40"/>
  <c r="IZ155" i="40"/>
  <c r="IA155" i="40"/>
  <c r="HZ155" i="40"/>
  <c r="HY155" i="40"/>
  <c r="IX155" i="40"/>
  <c r="IY155" i="40"/>
  <c r="JP155" i="40"/>
  <c r="JG155" i="40"/>
  <c r="JC154" i="40"/>
  <c r="HU154" i="40"/>
  <c r="C356" i="40"/>
  <c r="BA355" i="40"/>
  <c r="BE355" i="40"/>
  <c r="BI355" i="40"/>
  <c r="BM355" i="40"/>
  <c r="BQ355" i="40"/>
  <c r="BU355" i="40"/>
  <c r="BY355" i="40"/>
  <c r="CC355" i="40"/>
  <c r="CG355" i="40"/>
  <c r="DS355" i="40"/>
  <c r="DW355" i="40"/>
  <c r="AW355" i="40"/>
  <c r="BB355" i="40"/>
  <c r="BF355" i="40"/>
  <c r="BJ355" i="40"/>
  <c r="BN355" i="40"/>
  <c r="BR355" i="40"/>
  <c r="BV355" i="40"/>
  <c r="BZ355" i="40"/>
  <c r="CD355" i="40"/>
  <c r="CH355" i="40"/>
  <c r="DT355" i="40"/>
  <c r="AX355" i="40"/>
  <c r="BC355" i="40"/>
  <c r="BG355" i="40"/>
  <c r="BK355" i="40"/>
  <c r="BO355" i="40"/>
  <c r="BS355" i="40"/>
  <c r="BW355" i="40"/>
  <c r="CA355" i="40"/>
  <c r="CE355" i="40"/>
  <c r="CJ355" i="40"/>
  <c r="DU355" i="40"/>
  <c r="A355" i="40"/>
  <c r="BH355" i="40"/>
  <c r="BX355" i="40"/>
  <c r="DV355" i="40"/>
  <c r="BL355" i="40"/>
  <c r="CB355" i="40"/>
  <c r="AZ355" i="40"/>
  <c r="BP355" i="40"/>
  <c r="CF355" i="40"/>
  <c r="BT355" i="40"/>
  <c r="DM355" i="40"/>
  <c r="JO355" i="40"/>
  <c r="BD355" i="40"/>
  <c r="IY355" i="40"/>
  <c r="IX355" i="40"/>
  <c r="IZ355" i="40"/>
  <c r="HY355" i="40"/>
  <c r="HZ355" i="40"/>
  <c r="IA355" i="40"/>
  <c r="JP355" i="40"/>
  <c r="CV154" i="40"/>
  <c r="AK154" i="40"/>
  <c r="AL154" i="40"/>
  <c r="CP154" i="40"/>
  <c r="HV154" i="40" s="1"/>
  <c r="AN154" i="40"/>
  <c r="IP154" i="40"/>
  <c r="JB154" i="40" s="1"/>
  <c r="HR154" i="40"/>
  <c r="KO150" i="40"/>
  <c r="CI339" i="40" l="1"/>
  <c r="CI439" i="40"/>
  <c r="IA654" i="40"/>
  <c r="IZ654" i="40" s="1"/>
  <c r="CI155" i="40"/>
  <c r="CI638" i="40"/>
  <c r="CI239" i="40"/>
  <c r="CI538" i="40"/>
  <c r="HZ654" i="40"/>
  <c r="IY654" i="40" s="1"/>
  <c r="HY654" i="40"/>
  <c r="IX654" i="40" s="1"/>
  <c r="DB655" i="40"/>
  <c r="IQ155" i="40"/>
  <c r="CV655" i="40"/>
  <c r="DB554" i="40"/>
  <c r="AM554" i="40"/>
  <c r="CK554" i="40"/>
  <c r="AO655" i="40"/>
  <c r="CQ655" i="40"/>
  <c r="AF656" i="40"/>
  <c r="DS656" i="40"/>
  <c r="BS656" i="40"/>
  <c r="BC656" i="40"/>
  <c r="G656" i="40"/>
  <c r="CD656" i="40"/>
  <c r="BN656" i="40"/>
  <c r="AX656" i="40"/>
  <c r="DU656" i="40"/>
  <c r="BU656" i="40"/>
  <c r="BE656" i="40"/>
  <c r="M656" i="40"/>
  <c r="CM656" i="40" s="1"/>
  <c r="AB656" i="40"/>
  <c r="DT656" i="40"/>
  <c r="AZ656" i="40"/>
  <c r="JO656" i="40"/>
  <c r="H656" i="40"/>
  <c r="AI656" i="40"/>
  <c r="F656" i="40"/>
  <c r="CE656" i="40"/>
  <c r="BO656" i="40"/>
  <c r="W656" i="40"/>
  <c r="CU656" i="40" s="1"/>
  <c r="DV656" i="40"/>
  <c r="BZ656" i="40"/>
  <c r="BJ656" i="40"/>
  <c r="R656" i="40"/>
  <c r="CG656" i="40"/>
  <c r="BQ656" i="40"/>
  <c r="BA656" i="40"/>
  <c r="A656" i="40"/>
  <c r="L656" i="40"/>
  <c r="CL656" i="40" s="1"/>
  <c r="BT656" i="40"/>
  <c r="P656" i="40"/>
  <c r="JP656" i="40"/>
  <c r="I656" i="40"/>
  <c r="AJ656" i="40"/>
  <c r="AC656" i="40"/>
  <c r="C657" i="40"/>
  <c r="CA656" i="40"/>
  <c r="BK656" i="40"/>
  <c r="O656" i="40"/>
  <c r="CO656" i="40" s="1"/>
  <c r="DM656" i="40"/>
  <c r="BV656" i="40"/>
  <c r="BF656" i="40"/>
  <c r="N656" i="40"/>
  <c r="CN656" i="40" s="1"/>
  <c r="CC656" i="40"/>
  <c r="BM656" i="40"/>
  <c r="AW656" i="40"/>
  <c r="CB656" i="40"/>
  <c r="BX656" i="40"/>
  <c r="BD656" i="40"/>
  <c r="CF656" i="40"/>
  <c r="KN656" i="40"/>
  <c r="DW656" i="40"/>
  <c r="CH656" i="40"/>
  <c r="BY656" i="40"/>
  <c r="BH656" i="40"/>
  <c r="CJ656" i="40"/>
  <c r="BW656" i="40"/>
  <c r="BR656" i="40"/>
  <c r="BI656" i="40"/>
  <c r="BP656" i="40"/>
  <c r="BG656" i="40"/>
  <c r="BB656" i="40"/>
  <c r="AG656" i="40"/>
  <c r="AE656" i="40"/>
  <c r="J656" i="40"/>
  <c r="K656" i="40"/>
  <c r="BL656" i="40"/>
  <c r="AH656" i="40"/>
  <c r="T656" i="40"/>
  <c r="CR656" i="40" s="1"/>
  <c r="Z656" i="40"/>
  <c r="S656" i="40"/>
  <c r="X656" i="40"/>
  <c r="V656" i="40"/>
  <c r="CT656" i="40" s="1"/>
  <c r="U656" i="40"/>
  <c r="CS656" i="40" s="1"/>
  <c r="Q656" i="40"/>
  <c r="AD656" i="40"/>
  <c r="AA656" i="40"/>
  <c r="E656" i="40"/>
  <c r="Y656" i="40"/>
  <c r="CK655" i="40"/>
  <c r="AM655" i="40"/>
  <c r="AJ356" i="40"/>
  <c r="AF356" i="40"/>
  <c r="AB356" i="40"/>
  <c r="X356" i="40"/>
  <c r="T356" i="40"/>
  <c r="CR356" i="40" s="1"/>
  <c r="P356" i="40"/>
  <c r="L356" i="40"/>
  <c r="CL356" i="40" s="1"/>
  <c r="H356" i="40"/>
  <c r="AH356" i="40"/>
  <c r="AD356" i="40"/>
  <c r="Z356" i="40"/>
  <c r="V356" i="40"/>
  <c r="CT356" i="40" s="1"/>
  <c r="R356" i="40"/>
  <c r="N356" i="40"/>
  <c r="CN356" i="40" s="1"/>
  <c r="J356" i="40"/>
  <c r="F356" i="40"/>
  <c r="AC356" i="40"/>
  <c r="U356" i="40"/>
  <c r="CS356" i="40" s="1"/>
  <c r="M356" i="40"/>
  <c r="CM356" i="40" s="1"/>
  <c r="E356" i="40"/>
  <c r="AI356" i="40"/>
  <c r="AA356" i="40"/>
  <c r="S356" i="40"/>
  <c r="K356" i="40"/>
  <c r="AG356" i="40"/>
  <c r="Y356" i="40"/>
  <c r="Q356" i="40"/>
  <c r="I356" i="40"/>
  <c r="G356" i="40"/>
  <c r="AE356" i="40"/>
  <c r="W356" i="40"/>
  <c r="CU356" i="40" s="1"/>
  <c r="O356" i="40"/>
  <c r="CO356" i="40" s="1"/>
  <c r="AN554" i="40"/>
  <c r="CP554" i="40"/>
  <c r="AP554" i="40"/>
  <c r="AH256" i="40"/>
  <c r="AD256" i="40"/>
  <c r="Z256" i="40"/>
  <c r="V256" i="40"/>
  <c r="CT256" i="40" s="1"/>
  <c r="R256" i="40"/>
  <c r="N256" i="40"/>
  <c r="CN256" i="40" s="1"/>
  <c r="J256" i="40"/>
  <c r="F256" i="40"/>
  <c r="AJ256" i="40"/>
  <c r="AF256" i="40"/>
  <c r="AB256" i="40"/>
  <c r="X256" i="40"/>
  <c r="T256" i="40"/>
  <c r="CR256" i="40" s="1"/>
  <c r="P256" i="40"/>
  <c r="L256" i="40"/>
  <c r="CL256" i="40" s="1"/>
  <c r="H256" i="40"/>
  <c r="AC256" i="40"/>
  <c r="U256" i="40"/>
  <c r="CS256" i="40" s="1"/>
  <c r="M256" i="40"/>
  <c r="CM256" i="40" s="1"/>
  <c r="E256" i="40"/>
  <c r="AI256" i="40"/>
  <c r="AA256" i="40"/>
  <c r="S256" i="40"/>
  <c r="K256" i="40"/>
  <c r="AG256" i="40"/>
  <c r="Y256" i="40"/>
  <c r="Q256" i="40"/>
  <c r="I256" i="40"/>
  <c r="AE256" i="40"/>
  <c r="W256" i="40"/>
  <c r="CU256" i="40" s="1"/>
  <c r="O256" i="40"/>
  <c r="CO256" i="40" s="1"/>
  <c r="G256" i="40"/>
  <c r="AI455" i="40"/>
  <c r="AE455" i="40"/>
  <c r="AA455" i="40"/>
  <c r="W455" i="40"/>
  <c r="CU455" i="40" s="1"/>
  <c r="S455" i="40"/>
  <c r="O455" i="40"/>
  <c r="CO455" i="40" s="1"/>
  <c r="K455" i="40"/>
  <c r="G455" i="40"/>
  <c r="AH455" i="40"/>
  <c r="AD455" i="40"/>
  <c r="Z455" i="40"/>
  <c r="V455" i="40"/>
  <c r="CT455" i="40" s="1"/>
  <c r="R455" i="40"/>
  <c r="N455" i="40"/>
  <c r="CN455" i="40" s="1"/>
  <c r="J455" i="40"/>
  <c r="F455" i="40"/>
  <c r="AG455" i="40"/>
  <c r="AC455" i="40"/>
  <c r="Y455" i="40"/>
  <c r="U455" i="40"/>
  <c r="CS455" i="40" s="1"/>
  <c r="Q455" i="40"/>
  <c r="M455" i="40"/>
  <c r="CM455" i="40" s="1"/>
  <c r="I455" i="40"/>
  <c r="E455" i="40"/>
  <c r="AJ455" i="40"/>
  <c r="T455" i="40"/>
  <c r="CR455" i="40" s="1"/>
  <c r="AF455" i="40"/>
  <c r="P455" i="40"/>
  <c r="AB455" i="40"/>
  <c r="L455" i="40"/>
  <c r="CL455" i="40" s="1"/>
  <c r="X455" i="40"/>
  <c r="H455" i="40"/>
  <c r="AI555" i="40"/>
  <c r="AE555" i="40"/>
  <c r="AA555" i="40"/>
  <c r="W555" i="40"/>
  <c r="CU555" i="40" s="1"/>
  <c r="S555" i="40"/>
  <c r="O555" i="40"/>
  <c r="CO555" i="40" s="1"/>
  <c r="K555" i="40"/>
  <c r="G555" i="40"/>
  <c r="AH555" i="40"/>
  <c r="AD555" i="40"/>
  <c r="Z555" i="40"/>
  <c r="V555" i="40"/>
  <c r="CT555" i="40" s="1"/>
  <c r="R555" i="40"/>
  <c r="N555" i="40"/>
  <c r="CN555" i="40" s="1"/>
  <c r="J555" i="40"/>
  <c r="F555" i="40"/>
  <c r="AF555" i="40"/>
  <c r="X555" i="40"/>
  <c r="P555" i="40"/>
  <c r="H555" i="40"/>
  <c r="AC555" i="40"/>
  <c r="U555" i="40"/>
  <c r="CS555" i="40" s="1"/>
  <c r="M555" i="40"/>
  <c r="CM555" i="40" s="1"/>
  <c r="E555" i="40"/>
  <c r="AJ555" i="40"/>
  <c r="AB555" i="40"/>
  <c r="T555" i="40"/>
  <c r="CR555" i="40" s="1"/>
  <c r="L555" i="40"/>
  <c r="CL555" i="40" s="1"/>
  <c r="Y555" i="40"/>
  <c r="Q555" i="40"/>
  <c r="I555" i="40"/>
  <c r="AG555" i="40"/>
  <c r="BB555" i="40"/>
  <c r="BR555" i="40"/>
  <c r="CH555" i="40"/>
  <c r="AX555" i="40"/>
  <c r="BO555" i="40"/>
  <c r="CE555" i="40"/>
  <c r="BL555" i="40"/>
  <c r="CB555" i="40"/>
  <c r="BA555" i="40"/>
  <c r="BE555" i="40"/>
  <c r="CC555" i="40"/>
  <c r="IZ555" i="40"/>
  <c r="BF555" i="40"/>
  <c r="BV555" i="40"/>
  <c r="DT555" i="40"/>
  <c r="BC555" i="40"/>
  <c r="BS555" i="40"/>
  <c r="CJ555" i="40"/>
  <c r="AZ555" i="40"/>
  <c r="BP555" i="40"/>
  <c r="CF555" i="40"/>
  <c r="BQ555" i="40"/>
  <c r="BU555" i="40"/>
  <c r="BI555" i="40"/>
  <c r="IA555" i="40"/>
  <c r="IX555" i="40"/>
  <c r="C556" i="40"/>
  <c r="BJ555" i="40"/>
  <c r="BZ555" i="40"/>
  <c r="BG555" i="40"/>
  <c r="BW555" i="40"/>
  <c r="DU555" i="40"/>
  <c r="BD555" i="40"/>
  <c r="BT555" i="40"/>
  <c r="DM555" i="40"/>
  <c r="CG555" i="40"/>
  <c r="DS555" i="40"/>
  <c r="BY555" i="40"/>
  <c r="HZ555" i="40"/>
  <c r="IY555" i="40"/>
  <c r="AW555" i="40"/>
  <c r="BN555" i="40"/>
  <c r="CD555" i="40"/>
  <c r="BK555" i="40"/>
  <c r="CA555" i="40"/>
  <c r="A555" i="40"/>
  <c r="BH555" i="40"/>
  <c r="BX555" i="40"/>
  <c r="DV555" i="40"/>
  <c r="BM555" i="40"/>
  <c r="JO555" i="40"/>
  <c r="DW555" i="40"/>
  <c r="HY555" i="40"/>
  <c r="JP555" i="40"/>
  <c r="CV554" i="40"/>
  <c r="CQ554" i="40"/>
  <c r="AO554" i="40"/>
  <c r="AN655" i="40"/>
  <c r="CP655" i="40"/>
  <c r="AG156" i="40"/>
  <c r="AC156" i="40"/>
  <c r="Y156" i="40"/>
  <c r="U156" i="40"/>
  <c r="CS156" i="40" s="1"/>
  <c r="Q156" i="40"/>
  <c r="M156" i="40"/>
  <c r="CM156" i="40" s="1"/>
  <c r="I156" i="40"/>
  <c r="E156" i="40"/>
  <c r="AI156" i="40"/>
  <c r="AE156" i="40"/>
  <c r="AA156" i="40"/>
  <c r="W156" i="40"/>
  <c r="CU156" i="40" s="1"/>
  <c r="S156" i="40"/>
  <c r="O156" i="40"/>
  <c r="CO156" i="40" s="1"/>
  <c r="K156" i="40"/>
  <c r="G156" i="40"/>
  <c r="AF156" i="40"/>
  <c r="X156" i="40"/>
  <c r="P156" i="40"/>
  <c r="H156" i="40"/>
  <c r="R156" i="40"/>
  <c r="AD156" i="40"/>
  <c r="V156" i="40"/>
  <c r="CT156" i="40" s="1"/>
  <c r="N156" i="40"/>
  <c r="CN156" i="40" s="1"/>
  <c r="F156" i="40"/>
  <c r="Z156" i="40"/>
  <c r="J156" i="40"/>
  <c r="AJ156" i="40"/>
  <c r="AB156" i="40"/>
  <c r="T156" i="40"/>
  <c r="CR156" i="40" s="1"/>
  <c r="L156" i="40"/>
  <c r="CL156" i="40" s="1"/>
  <c r="AH156" i="40"/>
  <c r="AP655" i="40"/>
  <c r="JJ153" i="40"/>
  <c r="JK153" i="40" s="1"/>
  <c r="JL153" i="40" s="1"/>
  <c r="C456" i="40"/>
  <c r="BH455" i="40"/>
  <c r="BX455" i="40"/>
  <c r="DV455" i="40"/>
  <c r="BI455" i="40"/>
  <c r="BY455" i="40"/>
  <c r="DW455" i="40"/>
  <c r="BF455" i="40"/>
  <c r="BV455" i="40"/>
  <c r="DT455" i="40"/>
  <c r="DU455" i="40"/>
  <c r="BK455" i="40"/>
  <c r="CJ455" i="40"/>
  <c r="HZ455" i="40"/>
  <c r="JP455" i="40"/>
  <c r="A455" i="40"/>
  <c r="BL455" i="40"/>
  <c r="CB455" i="40"/>
  <c r="BM455" i="40"/>
  <c r="CC455" i="40"/>
  <c r="BJ455" i="40"/>
  <c r="BZ455" i="40"/>
  <c r="CA455" i="40"/>
  <c r="AX455" i="40"/>
  <c r="IZ455" i="40"/>
  <c r="AZ455" i="40"/>
  <c r="BP455" i="40"/>
  <c r="CF455" i="40"/>
  <c r="BA455" i="40"/>
  <c r="BQ455" i="40"/>
  <c r="CG455" i="40"/>
  <c r="AW455" i="40"/>
  <c r="BN455" i="40"/>
  <c r="CD455" i="40"/>
  <c r="BG455" i="40"/>
  <c r="BS455" i="40"/>
  <c r="JO455" i="40"/>
  <c r="BO455" i="40"/>
  <c r="HY455" i="40"/>
  <c r="IY455" i="40"/>
  <c r="BD455" i="40"/>
  <c r="BT455" i="40"/>
  <c r="DM455" i="40"/>
  <c r="BE455" i="40"/>
  <c r="BU455" i="40"/>
  <c r="DS455" i="40"/>
  <c r="BB455" i="40"/>
  <c r="BR455" i="40"/>
  <c r="CH455" i="40"/>
  <c r="BW455" i="40"/>
  <c r="BC455" i="40"/>
  <c r="CE455" i="40"/>
  <c r="IA455" i="40"/>
  <c r="IX455" i="40"/>
  <c r="AO454" i="40"/>
  <c r="CQ454" i="40"/>
  <c r="CP454" i="40"/>
  <c r="AN454" i="40"/>
  <c r="CV454" i="40"/>
  <c r="CK454" i="40"/>
  <c r="AM454" i="40"/>
  <c r="DB454" i="40"/>
  <c r="AP255" i="40"/>
  <c r="AP454" i="40"/>
  <c r="CV255" i="40"/>
  <c r="C257" i="40"/>
  <c r="BF256" i="40"/>
  <c r="BV256" i="40"/>
  <c r="DT256" i="40"/>
  <c r="BK256" i="40"/>
  <c r="CA256" i="40"/>
  <c r="BL256" i="40"/>
  <c r="CB256" i="40"/>
  <c r="BA256" i="40"/>
  <c r="BE256" i="40"/>
  <c r="JO256" i="40"/>
  <c r="IX256" i="40"/>
  <c r="BJ256" i="40"/>
  <c r="BZ256" i="40"/>
  <c r="AX256" i="40"/>
  <c r="BO256" i="40"/>
  <c r="CE256" i="40"/>
  <c r="AZ256" i="40"/>
  <c r="BP256" i="40"/>
  <c r="CF256" i="40"/>
  <c r="BM256" i="40"/>
  <c r="BQ256" i="40"/>
  <c r="BU256" i="40"/>
  <c r="DW256" i="40"/>
  <c r="IA256" i="40"/>
  <c r="AW256" i="40"/>
  <c r="BN256" i="40"/>
  <c r="CD256" i="40"/>
  <c r="BC256" i="40"/>
  <c r="BS256" i="40"/>
  <c r="CJ256" i="40"/>
  <c r="BD256" i="40"/>
  <c r="BT256" i="40"/>
  <c r="DM256" i="40"/>
  <c r="CC256" i="40"/>
  <c r="CG256" i="40"/>
  <c r="DS256" i="40"/>
  <c r="IZ256" i="40"/>
  <c r="HZ256" i="40"/>
  <c r="IY256" i="40"/>
  <c r="A256" i="40"/>
  <c r="ID153" i="40" s="1"/>
  <c r="BB256" i="40"/>
  <c r="BR256" i="40"/>
  <c r="CH256" i="40"/>
  <c r="BG256" i="40"/>
  <c r="BW256" i="40"/>
  <c r="DU256" i="40"/>
  <c r="BH256" i="40"/>
  <c r="BX256" i="40"/>
  <c r="DV256" i="40"/>
  <c r="BY256" i="40"/>
  <c r="BI256" i="40"/>
  <c r="HY256" i="40"/>
  <c r="JP256" i="40"/>
  <c r="AM255" i="40"/>
  <c r="CK255" i="40"/>
  <c r="DB255" i="40"/>
  <c r="AO255" i="40"/>
  <c r="CQ255" i="40"/>
  <c r="CP255" i="40"/>
  <c r="AN255" i="40"/>
  <c r="D154" i="40"/>
  <c r="AY154" i="40" s="1"/>
  <c r="DB355" i="40"/>
  <c r="IO155" i="40"/>
  <c r="JA155" i="40" s="1"/>
  <c r="HM155" i="40"/>
  <c r="HP155" i="40" s="1"/>
  <c r="AP355" i="40"/>
  <c r="C357" i="40"/>
  <c r="AX356" i="40"/>
  <c r="BC356" i="40"/>
  <c r="BG356" i="40"/>
  <c r="BK356" i="40"/>
  <c r="BO356" i="40"/>
  <c r="BS356" i="40"/>
  <c r="BW356" i="40"/>
  <c r="CA356" i="40"/>
  <c r="CE356" i="40"/>
  <c r="CJ356" i="40"/>
  <c r="DU356" i="40"/>
  <c r="A356" i="40"/>
  <c r="AZ356" i="40"/>
  <c r="BD356" i="40"/>
  <c r="BH356" i="40"/>
  <c r="BL356" i="40"/>
  <c r="BP356" i="40"/>
  <c r="BT356" i="40"/>
  <c r="BX356" i="40"/>
  <c r="CB356" i="40"/>
  <c r="CF356" i="40"/>
  <c r="DM356" i="40"/>
  <c r="DV356" i="40"/>
  <c r="BA356" i="40"/>
  <c r="BE356" i="40"/>
  <c r="BI356" i="40"/>
  <c r="BM356" i="40"/>
  <c r="BQ356" i="40"/>
  <c r="BU356" i="40"/>
  <c r="BY356" i="40"/>
  <c r="CC356" i="40"/>
  <c r="CG356" i="40"/>
  <c r="DS356" i="40"/>
  <c r="DW356" i="40"/>
  <c r="BF356" i="40"/>
  <c r="BV356" i="40"/>
  <c r="DT356" i="40"/>
  <c r="BJ356" i="40"/>
  <c r="BZ356" i="40"/>
  <c r="AW356" i="40"/>
  <c r="BN356" i="40"/>
  <c r="CD356" i="40"/>
  <c r="BR356" i="40"/>
  <c r="CH356" i="40"/>
  <c r="BB356" i="40"/>
  <c r="JO356" i="40"/>
  <c r="IY356" i="40"/>
  <c r="IZ356" i="40"/>
  <c r="IX356" i="40"/>
  <c r="HZ356" i="40"/>
  <c r="IA356" i="40"/>
  <c r="HY356" i="40"/>
  <c r="JP356" i="40"/>
  <c r="DB155" i="40"/>
  <c r="AO155" i="40"/>
  <c r="CQ155" i="40"/>
  <c r="IK156" i="40"/>
  <c r="IN156" i="40" s="1"/>
  <c r="JF156" i="40"/>
  <c r="HO156" i="40" s="1"/>
  <c r="II156" i="40"/>
  <c r="IL156" i="40" s="1"/>
  <c r="C157" i="40"/>
  <c r="IJ156" i="40"/>
  <c r="IM156" i="40" s="1"/>
  <c r="AX156" i="40"/>
  <c r="BC156" i="40"/>
  <c r="BG156" i="40"/>
  <c r="BK156" i="40"/>
  <c r="BO156" i="40"/>
  <c r="BS156" i="40"/>
  <c r="BW156" i="40"/>
  <c r="CA156" i="40"/>
  <c r="CE156" i="40"/>
  <c r="CJ156" i="40"/>
  <c r="DU156" i="40"/>
  <c r="AZ156" i="40"/>
  <c r="BD156" i="40"/>
  <c r="BH156" i="40"/>
  <c r="BL156" i="40"/>
  <c r="BP156" i="40"/>
  <c r="BT156" i="40"/>
  <c r="BX156" i="40"/>
  <c r="CB156" i="40"/>
  <c r="CF156" i="40"/>
  <c r="DM156" i="40"/>
  <c r="DV156" i="40"/>
  <c r="BA156" i="40"/>
  <c r="BE156" i="40"/>
  <c r="BI156" i="40"/>
  <c r="BM156" i="40"/>
  <c r="BQ156" i="40"/>
  <c r="BU156" i="40"/>
  <c r="BY156" i="40"/>
  <c r="CC156" i="40"/>
  <c r="CG156" i="40"/>
  <c r="DS156" i="40"/>
  <c r="DW156" i="40"/>
  <c r="A156" i="40"/>
  <c r="BB156" i="40"/>
  <c r="BR156" i="40"/>
  <c r="CH156" i="40"/>
  <c r="BF156" i="40"/>
  <c r="BV156" i="40"/>
  <c r="DT156" i="40"/>
  <c r="BJ156" i="40"/>
  <c r="BZ156" i="40"/>
  <c r="AW156" i="40"/>
  <c r="BN156" i="40"/>
  <c r="CD156" i="40"/>
  <c r="JO156" i="40"/>
  <c r="IX156" i="40"/>
  <c r="IA156" i="40"/>
  <c r="HY156" i="40"/>
  <c r="IZ156" i="40"/>
  <c r="HZ156" i="40"/>
  <c r="IY156" i="40"/>
  <c r="JP156" i="40"/>
  <c r="JG156" i="40"/>
  <c r="JC155" i="40"/>
  <c r="HU155" i="40"/>
  <c r="HX154" i="40"/>
  <c r="ID154" i="40" s="1"/>
  <c r="CV355" i="40"/>
  <c r="AO355" i="40"/>
  <c r="CQ355" i="40"/>
  <c r="CV155" i="40"/>
  <c r="AL155" i="40"/>
  <c r="AK155" i="40"/>
  <c r="HN155" i="40"/>
  <c r="IP155" i="40"/>
  <c r="JB155" i="40" s="1"/>
  <c r="HS155" i="40"/>
  <c r="HQ154" i="40"/>
  <c r="IC153" i="40"/>
  <c r="HW154" i="40"/>
  <c r="CK355" i="40"/>
  <c r="AM355" i="40"/>
  <c r="CP155" i="40"/>
  <c r="HV155" i="40" s="1"/>
  <c r="AN155" i="40"/>
  <c r="AM155" i="40"/>
  <c r="CK155" i="40"/>
  <c r="HT155" i="40"/>
  <c r="JI154" i="40"/>
  <c r="KO151" i="40"/>
  <c r="AN355" i="40"/>
  <c r="CP355" i="40"/>
  <c r="AP155" i="40"/>
  <c r="JM152" i="40"/>
  <c r="IA655" i="40" l="1"/>
  <c r="HY655" i="40"/>
  <c r="IX655" i="40" s="1"/>
  <c r="CI440" i="40"/>
  <c r="CI340" i="40"/>
  <c r="CI240" i="40"/>
  <c r="CI156" i="40"/>
  <c r="CI639" i="40"/>
  <c r="CI539" i="40"/>
  <c r="AP455" i="40"/>
  <c r="HZ655" i="40"/>
  <c r="IY655" i="40" s="1"/>
  <c r="CV656" i="40"/>
  <c r="CV555" i="40"/>
  <c r="AH257" i="40"/>
  <c r="AD257" i="40"/>
  <c r="Z257" i="40"/>
  <c r="V257" i="40"/>
  <c r="CT257" i="40" s="1"/>
  <c r="R257" i="40"/>
  <c r="N257" i="40"/>
  <c r="CN257" i="40" s="1"/>
  <c r="J257" i="40"/>
  <c r="F257" i="40"/>
  <c r="AJ257" i="40"/>
  <c r="AF257" i="40"/>
  <c r="AB257" i="40"/>
  <c r="X257" i="40"/>
  <c r="T257" i="40"/>
  <c r="CR257" i="40" s="1"/>
  <c r="P257" i="40"/>
  <c r="L257" i="40"/>
  <c r="CL257" i="40" s="1"/>
  <c r="H257" i="40"/>
  <c r="AC257" i="40"/>
  <c r="U257" i="40"/>
  <c r="M257" i="40"/>
  <c r="CM257" i="40" s="1"/>
  <c r="E257" i="40"/>
  <c r="AI257" i="40"/>
  <c r="AA257" i="40"/>
  <c r="S257" i="40"/>
  <c r="K257" i="40"/>
  <c r="AG257" i="40"/>
  <c r="Y257" i="40"/>
  <c r="Q257" i="40"/>
  <c r="I257" i="40"/>
  <c r="AE257" i="40"/>
  <c r="W257" i="40"/>
  <c r="CU257" i="40" s="1"/>
  <c r="O257" i="40"/>
  <c r="CO257" i="40" s="1"/>
  <c r="G257" i="40"/>
  <c r="AO555" i="40"/>
  <c r="CQ555" i="40"/>
  <c r="AG157" i="40"/>
  <c r="AC157" i="40"/>
  <c r="Y157" i="40"/>
  <c r="U157" i="40"/>
  <c r="CS157" i="40" s="1"/>
  <c r="Q157" i="40"/>
  <c r="M157" i="40"/>
  <c r="CM157" i="40" s="1"/>
  <c r="I157" i="40"/>
  <c r="E157" i="40"/>
  <c r="AI157" i="40"/>
  <c r="AE157" i="40"/>
  <c r="AA157" i="40"/>
  <c r="W157" i="40"/>
  <c r="CU157" i="40" s="1"/>
  <c r="S157" i="40"/>
  <c r="O157" i="40"/>
  <c r="CO157" i="40" s="1"/>
  <c r="K157" i="40"/>
  <c r="G157" i="40"/>
  <c r="AF157" i="40"/>
  <c r="X157" i="40"/>
  <c r="P157" i="40"/>
  <c r="H157" i="40"/>
  <c r="AH157" i="40"/>
  <c r="J157" i="40"/>
  <c r="AD157" i="40"/>
  <c r="V157" i="40"/>
  <c r="CT157" i="40" s="1"/>
  <c r="N157" i="40"/>
  <c r="CN157" i="40" s="1"/>
  <c r="F157" i="40"/>
  <c r="R157" i="40"/>
  <c r="AJ157" i="40"/>
  <c r="AB157" i="40"/>
  <c r="T157" i="40"/>
  <c r="CR157" i="40" s="1"/>
  <c r="L157" i="40"/>
  <c r="CL157" i="40" s="1"/>
  <c r="Z157" i="40"/>
  <c r="AI456" i="40"/>
  <c r="AE456" i="40"/>
  <c r="AA456" i="40"/>
  <c r="W456" i="40"/>
  <c r="CU456" i="40" s="1"/>
  <c r="S456" i="40"/>
  <c r="O456" i="40"/>
  <c r="CO456" i="40" s="1"/>
  <c r="K456" i="40"/>
  <c r="G456" i="40"/>
  <c r="AH456" i="40"/>
  <c r="AD456" i="40"/>
  <c r="Z456" i="40"/>
  <c r="V456" i="40"/>
  <c r="CT456" i="40" s="1"/>
  <c r="R456" i="40"/>
  <c r="N456" i="40"/>
  <c r="CN456" i="40" s="1"/>
  <c r="J456" i="40"/>
  <c r="F456" i="40"/>
  <c r="AG456" i="40"/>
  <c r="AC456" i="40"/>
  <c r="Y456" i="40"/>
  <c r="U456" i="40"/>
  <c r="CS456" i="40" s="1"/>
  <c r="Q456" i="40"/>
  <c r="M456" i="40"/>
  <c r="CM456" i="40" s="1"/>
  <c r="I456" i="40"/>
  <c r="E456" i="40"/>
  <c r="AJ456" i="40"/>
  <c r="T456" i="40"/>
  <c r="CR456" i="40" s="1"/>
  <c r="AF456" i="40"/>
  <c r="P456" i="40"/>
  <c r="AB456" i="40"/>
  <c r="L456" i="40"/>
  <c r="CL456" i="40" s="1"/>
  <c r="H456" i="40"/>
  <c r="X456" i="40"/>
  <c r="AP656" i="40"/>
  <c r="I657" i="40"/>
  <c r="AJ657" i="40"/>
  <c r="AC657" i="40"/>
  <c r="C658" i="40"/>
  <c r="CA657" i="40"/>
  <c r="BK657" i="40"/>
  <c r="O657" i="40"/>
  <c r="CO657" i="40" s="1"/>
  <c r="DM657" i="40"/>
  <c r="BV657" i="40"/>
  <c r="BF657" i="40"/>
  <c r="N657" i="40"/>
  <c r="CN657" i="40" s="1"/>
  <c r="CC657" i="40"/>
  <c r="BM657" i="40"/>
  <c r="AW657" i="40"/>
  <c r="CF657" i="40"/>
  <c r="CB657" i="40"/>
  <c r="BX657" i="40"/>
  <c r="DT657" i="40"/>
  <c r="JO657" i="40"/>
  <c r="AE657" i="40"/>
  <c r="DW657" i="40"/>
  <c r="BW657" i="40"/>
  <c r="BG657" i="40"/>
  <c r="K657" i="40"/>
  <c r="CH657" i="40"/>
  <c r="BR657" i="40"/>
  <c r="BB657" i="40"/>
  <c r="J657" i="40"/>
  <c r="BY657" i="40"/>
  <c r="BI657" i="40"/>
  <c r="AG657" i="40"/>
  <c r="BP657" i="40"/>
  <c r="BL657" i="40"/>
  <c r="BH657" i="40"/>
  <c r="JP657" i="40"/>
  <c r="AF657" i="40"/>
  <c r="CJ657" i="40"/>
  <c r="DS657" i="40"/>
  <c r="BS657" i="40"/>
  <c r="BC657" i="40"/>
  <c r="G657" i="40"/>
  <c r="CD657" i="40"/>
  <c r="BN657" i="40"/>
  <c r="AX657" i="40"/>
  <c r="DU657" i="40"/>
  <c r="BU657" i="40"/>
  <c r="BE657" i="40"/>
  <c r="M657" i="40"/>
  <c r="CM657" i="40" s="1"/>
  <c r="AZ657" i="40"/>
  <c r="AB657" i="40"/>
  <c r="BT657" i="40"/>
  <c r="F657" i="40"/>
  <c r="CE657" i="40"/>
  <c r="BZ657" i="40"/>
  <c r="BQ657" i="40"/>
  <c r="L657" i="40"/>
  <c r="CL657" i="40" s="1"/>
  <c r="H657" i="40"/>
  <c r="BO657" i="40"/>
  <c r="BJ657" i="40"/>
  <c r="BA657" i="40"/>
  <c r="BD657" i="40"/>
  <c r="KN657" i="40"/>
  <c r="AI657" i="40"/>
  <c r="W657" i="40"/>
  <c r="CU657" i="40" s="1"/>
  <c r="R657" i="40"/>
  <c r="A657" i="40"/>
  <c r="DV657" i="40"/>
  <c r="CG657" i="40"/>
  <c r="P657" i="40"/>
  <c r="T657" i="40"/>
  <c r="CR657" i="40" s="1"/>
  <c r="AH657" i="40"/>
  <c r="Z657" i="40"/>
  <c r="U657" i="40"/>
  <c r="CS657" i="40" s="1"/>
  <c r="V657" i="40"/>
  <c r="CT657" i="40" s="1"/>
  <c r="X657" i="40"/>
  <c r="S657" i="40"/>
  <c r="Q657" i="40"/>
  <c r="AD657" i="40"/>
  <c r="AA657" i="40"/>
  <c r="E657" i="40"/>
  <c r="Y657" i="40"/>
  <c r="AJ357" i="40"/>
  <c r="AF357" i="40"/>
  <c r="AB357" i="40"/>
  <c r="X357" i="40"/>
  <c r="T357" i="40"/>
  <c r="CR357" i="40" s="1"/>
  <c r="P357" i="40"/>
  <c r="L357" i="40"/>
  <c r="CL357" i="40" s="1"/>
  <c r="H357" i="40"/>
  <c r="AH357" i="40"/>
  <c r="AD357" i="40"/>
  <c r="Z357" i="40"/>
  <c r="V357" i="40"/>
  <c r="CT357" i="40" s="1"/>
  <c r="R357" i="40"/>
  <c r="N357" i="40"/>
  <c r="J357" i="40"/>
  <c r="F357" i="40"/>
  <c r="AC357" i="40"/>
  <c r="U357" i="40"/>
  <c r="CS357" i="40" s="1"/>
  <c r="M357" i="40"/>
  <c r="CM357" i="40" s="1"/>
  <c r="E357" i="40"/>
  <c r="AI357" i="40"/>
  <c r="AA357" i="40"/>
  <c r="S357" i="40"/>
  <c r="K357" i="40"/>
  <c r="AG357" i="40"/>
  <c r="Y357" i="40"/>
  <c r="Q357" i="40"/>
  <c r="I357" i="40"/>
  <c r="G357" i="40"/>
  <c r="AE357" i="40"/>
  <c r="W357" i="40"/>
  <c r="CU357" i="40" s="1"/>
  <c r="O357" i="40"/>
  <c r="CO357" i="40" s="1"/>
  <c r="AI556" i="40"/>
  <c r="AE556" i="40"/>
  <c r="AA556" i="40"/>
  <c r="W556" i="40"/>
  <c r="CU556" i="40" s="1"/>
  <c r="S556" i="40"/>
  <c r="O556" i="40"/>
  <c r="CO556" i="40" s="1"/>
  <c r="K556" i="40"/>
  <c r="G556" i="40"/>
  <c r="AH556" i="40"/>
  <c r="AD556" i="40"/>
  <c r="Z556" i="40"/>
  <c r="V556" i="40"/>
  <c r="CT556" i="40" s="1"/>
  <c r="R556" i="40"/>
  <c r="N556" i="40"/>
  <c r="CN556" i="40" s="1"/>
  <c r="J556" i="40"/>
  <c r="F556" i="40"/>
  <c r="AF556" i="40"/>
  <c r="X556" i="40"/>
  <c r="P556" i="40"/>
  <c r="H556" i="40"/>
  <c r="AC556" i="40"/>
  <c r="U556" i="40"/>
  <c r="CS556" i="40" s="1"/>
  <c r="M556" i="40"/>
  <c r="CM556" i="40" s="1"/>
  <c r="E556" i="40"/>
  <c r="AJ556" i="40"/>
  <c r="AB556" i="40"/>
  <c r="T556" i="40"/>
  <c r="CR556" i="40" s="1"/>
  <c r="L556" i="40"/>
  <c r="CL556" i="40" s="1"/>
  <c r="Y556" i="40"/>
  <c r="Q556" i="40"/>
  <c r="I556" i="40"/>
  <c r="AG556" i="40"/>
  <c r="BL556" i="40"/>
  <c r="CB556" i="40"/>
  <c r="BM556" i="40"/>
  <c r="CC556" i="40"/>
  <c r="AW556" i="40"/>
  <c r="BN556" i="40"/>
  <c r="CD556" i="40"/>
  <c r="BO556" i="40"/>
  <c r="CJ556" i="40"/>
  <c r="BG556" i="40"/>
  <c r="BK556" i="40"/>
  <c r="IZ556" i="40"/>
  <c r="AZ556" i="40"/>
  <c r="BP556" i="40"/>
  <c r="CF556" i="40"/>
  <c r="BA556" i="40"/>
  <c r="BQ556" i="40"/>
  <c r="CG556" i="40"/>
  <c r="BB556" i="40"/>
  <c r="BR556" i="40"/>
  <c r="CH556" i="40"/>
  <c r="CE556" i="40"/>
  <c r="BW556" i="40"/>
  <c r="IA556" i="40"/>
  <c r="IY556" i="40"/>
  <c r="C557" i="40"/>
  <c r="BD556" i="40"/>
  <c r="BT556" i="40"/>
  <c r="DM556" i="40"/>
  <c r="BE556" i="40"/>
  <c r="BU556" i="40"/>
  <c r="DS556" i="40"/>
  <c r="BF556" i="40"/>
  <c r="BV556" i="40"/>
  <c r="DT556" i="40"/>
  <c r="BC556" i="40"/>
  <c r="CA556" i="40"/>
  <c r="DU556" i="40"/>
  <c r="HY556" i="40"/>
  <c r="IX556" i="40"/>
  <c r="A556" i="40"/>
  <c r="BH556" i="40"/>
  <c r="BX556" i="40"/>
  <c r="DV556" i="40"/>
  <c r="BI556" i="40"/>
  <c r="BY556" i="40"/>
  <c r="DW556" i="40"/>
  <c r="BJ556" i="40"/>
  <c r="BZ556" i="40"/>
  <c r="AX556" i="40"/>
  <c r="BS556" i="40"/>
  <c r="JO556" i="40"/>
  <c r="HZ556" i="40"/>
  <c r="JP556" i="40"/>
  <c r="DB555" i="40"/>
  <c r="CK555" i="40"/>
  <c r="AM555" i="40"/>
  <c r="AN656" i="40"/>
  <c r="CP656" i="40"/>
  <c r="CQ656" i="40"/>
  <c r="AO656" i="40"/>
  <c r="CP555" i="40"/>
  <c r="AN555" i="40"/>
  <c r="AP555" i="40"/>
  <c r="DB656" i="40"/>
  <c r="CK656" i="40"/>
  <c r="AM656" i="40"/>
  <c r="CP455" i="40"/>
  <c r="AN455" i="40"/>
  <c r="AM455" i="40"/>
  <c r="CK455" i="40"/>
  <c r="AO455" i="40"/>
  <c r="CQ455" i="40"/>
  <c r="AW456" i="40"/>
  <c r="BN456" i="40"/>
  <c r="CD456" i="40"/>
  <c r="BC456" i="40"/>
  <c r="BS456" i="40"/>
  <c r="CJ456" i="40"/>
  <c r="BD456" i="40"/>
  <c r="BT456" i="40"/>
  <c r="DM456" i="40"/>
  <c r="BU456" i="40"/>
  <c r="CC456" i="40"/>
  <c r="HZ456" i="40"/>
  <c r="HZ656" i="40" s="1"/>
  <c r="IX456" i="40"/>
  <c r="BB456" i="40"/>
  <c r="BR456" i="40"/>
  <c r="CH456" i="40"/>
  <c r="BG456" i="40"/>
  <c r="BW456" i="40"/>
  <c r="DU456" i="40"/>
  <c r="BH456" i="40"/>
  <c r="BX456" i="40"/>
  <c r="DV456" i="40"/>
  <c r="DS456" i="40"/>
  <c r="BI456" i="40"/>
  <c r="BQ456" i="40"/>
  <c r="JO456" i="40"/>
  <c r="IZ456" i="40"/>
  <c r="IY456" i="40"/>
  <c r="C457" i="40"/>
  <c r="BF456" i="40"/>
  <c r="BV456" i="40"/>
  <c r="DT456" i="40"/>
  <c r="BK456" i="40"/>
  <c r="CA456" i="40"/>
  <c r="A456" i="40"/>
  <c r="BL456" i="40"/>
  <c r="CB456" i="40"/>
  <c r="BA456" i="40"/>
  <c r="BY456" i="40"/>
  <c r="CG456" i="40"/>
  <c r="IA456" i="40"/>
  <c r="JP456" i="40"/>
  <c r="BJ456" i="40"/>
  <c r="BZ456" i="40"/>
  <c r="AX456" i="40"/>
  <c r="BO456" i="40"/>
  <c r="CE456" i="40"/>
  <c r="AZ456" i="40"/>
  <c r="BP456" i="40"/>
  <c r="CF456" i="40"/>
  <c r="BE456" i="40"/>
  <c r="DW456" i="40"/>
  <c r="BM456" i="40"/>
  <c r="HY456" i="40"/>
  <c r="CV455" i="40"/>
  <c r="DB455" i="40"/>
  <c r="IB153" i="40"/>
  <c r="IE153" i="40" s="1"/>
  <c r="AN256" i="40"/>
  <c r="CP256" i="40"/>
  <c r="CK256" i="40"/>
  <c r="AM256" i="40"/>
  <c r="AP256" i="40"/>
  <c r="AO256" i="40"/>
  <c r="CQ256" i="40"/>
  <c r="DB256" i="40"/>
  <c r="CV256" i="40"/>
  <c r="AU15" i="62"/>
  <c r="AT15" i="58"/>
  <c r="ID107" i="40"/>
  <c r="IB107" i="40" s="1"/>
  <c r="IG107" i="40" s="1"/>
  <c r="KK107" i="40" s="1"/>
  <c r="ID113" i="40"/>
  <c r="IB113" i="40" s="1"/>
  <c r="IF113" i="40" s="1"/>
  <c r="ID102" i="40"/>
  <c r="IB102" i="40" s="1"/>
  <c r="IG102" i="40" s="1"/>
  <c r="U33" i="62" s="1"/>
  <c r="ID116" i="40"/>
  <c r="IB116" i="40" s="1"/>
  <c r="IF116" i="40" s="1"/>
  <c r="ID118" i="40"/>
  <c r="IB118" i="40" s="1"/>
  <c r="IF118" i="40" s="1"/>
  <c r="ID123" i="40"/>
  <c r="IB123" i="40" s="1"/>
  <c r="IE123" i="40" s="1"/>
  <c r="ID127" i="40"/>
  <c r="IB127" i="40" s="1"/>
  <c r="IF127" i="40" s="1"/>
  <c r="ID131" i="40"/>
  <c r="IB131" i="40" s="1"/>
  <c r="IG131" i="40" s="1"/>
  <c r="K36" i="44" s="1"/>
  <c r="ID135" i="40"/>
  <c r="IB135" i="40" s="1"/>
  <c r="IF135" i="40" s="1"/>
  <c r="ID139" i="40"/>
  <c r="IB139" i="40" s="1"/>
  <c r="IF139" i="40" s="1"/>
  <c r="ID144" i="40"/>
  <c r="IB144" i="40" s="1"/>
  <c r="IE144" i="40" s="1"/>
  <c r="ID148" i="40"/>
  <c r="IB148" i="40" s="1"/>
  <c r="IF148" i="40" s="1"/>
  <c r="ID151" i="40"/>
  <c r="IB151" i="40" s="1"/>
  <c r="IE151" i="40" s="1"/>
  <c r="AS15" i="58"/>
  <c r="AT15" i="62"/>
  <c r="ID112" i="40"/>
  <c r="IB112" i="40" s="1"/>
  <c r="IE112" i="40" s="1"/>
  <c r="ID105" i="40"/>
  <c r="IB105" i="40" s="1"/>
  <c r="IF105" i="40" s="1"/>
  <c r="ID110" i="40"/>
  <c r="IB110" i="40" s="1"/>
  <c r="IG110" i="40" s="1"/>
  <c r="K15" i="44" s="1"/>
  <c r="P15" i="44" s="1"/>
  <c r="ID115" i="40"/>
  <c r="IB115" i="40" s="1"/>
  <c r="IF115" i="40" s="1"/>
  <c r="ID120" i="40"/>
  <c r="IB120" i="40" s="1"/>
  <c r="IG120" i="40" s="1"/>
  <c r="K25" i="44" s="1"/>
  <c r="ID124" i="40"/>
  <c r="IB124" i="40" s="1"/>
  <c r="IE124" i="40" s="1"/>
  <c r="ID128" i="40"/>
  <c r="IB128" i="40" s="1"/>
  <c r="IG128" i="40" s="1"/>
  <c r="K33" i="44" s="1"/>
  <c r="ID132" i="40"/>
  <c r="IB132" i="40" s="1"/>
  <c r="IG132" i="40" s="1"/>
  <c r="K37" i="44" s="1"/>
  <c r="ID136" i="40"/>
  <c r="IB136" i="40" s="1"/>
  <c r="IE136" i="40" s="1"/>
  <c r="ID140" i="40"/>
  <c r="IB140" i="40" s="1"/>
  <c r="IF140" i="40" s="1"/>
  <c r="ID143" i="40"/>
  <c r="IB143" i="40" s="1"/>
  <c r="IE143" i="40" s="1"/>
  <c r="ID147" i="40"/>
  <c r="IB147" i="40" s="1"/>
  <c r="IE147" i="40" s="1"/>
  <c r="ID152" i="40"/>
  <c r="IB152" i="40" s="1"/>
  <c r="IE152" i="40" s="1"/>
  <c r="KI152" i="40" s="1"/>
  <c r="R50" i="59"/>
  <c r="ID106" i="40"/>
  <c r="IB106" i="40" s="1"/>
  <c r="IE106" i="40" s="1"/>
  <c r="ID101" i="40"/>
  <c r="IB101" i="40" s="1"/>
  <c r="IG101" i="40" s="1"/>
  <c r="K6" i="44" s="1"/>
  <c r="P6" i="44" s="1"/>
  <c r="ID108" i="40"/>
  <c r="IB108" i="40" s="1"/>
  <c r="IG108" i="40" s="1"/>
  <c r="K13" i="44" s="1"/>
  <c r="P13" i="44" s="1"/>
  <c r="ID103" i="40"/>
  <c r="IB103" i="40" s="1"/>
  <c r="IF103" i="40" s="1"/>
  <c r="ID117" i="40"/>
  <c r="IB117" i="40" s="1"/>
  <c r="IE117" i="40" s="1"/>
  <c r="ID121" i="40"/>
  <c r="IB121" i="40" s="1"/>
  <c r="IF121" i="40" s="1"/>
  <c r="ID125" i="40"/>
  <c r="IB125" i="40" s="1"/>
  <c r="IG125" i="40" s="1"/>
  <c r="KK125" i="40" s="1"/>
  <c r="ID129" i="40"/>
  <c r="IB129" i="40" s="1"/>
  <c r="IE129" i="40" s="1"/>
  <c r="ID133" i="40"/>
  <c r="IB133" i="40" s="1"/>
  <c r="IG133" i="40" s="1"/>
  <c r="KK133" i="40" s="1"/>
  <c r="ID137" i="40"/>
  <c r="IB137" i="40" s="1"/>
  <c r="IF137" i="40" s="1"/>
  <c r="ID141" i="40"/>
  <c r="IB141" i="40" s="1"/>
  <c r="IG141" i="40" s="1"/>
  <c r="K46" i="44" s="1"/>
  <c r="ID145" i="40"/>
  <c r="IB145" i="40" s="1"/>
  <c r="IE145" i="40" s="1"/>
  <c r="ID149" i="40"/>
  <c r="IB149" i="40" s="1"/>
  <c r="IE149" i="40" s="1"/>
  <c r="ID134" i="40"/>
  <c r="IB134" i="40" s="1"/>
  <c r="IE134" i="40" s="1"/>
  <c r="ID142" i="40"/>
  <c r="IB142" i="40" s="1"/>
  <c r="IG142" i="40" s="1"/>
  <c r="K47" i="44" s="1"/>
  <c r="ID150" i="40"/>
  <c r="IB150" i="40" s="1"/>
  <c r="IF150" i="40" s="1"/>
  <c r="AU15" i="58"/>
  <c r="AS15" i="62"/>
  <c r="ID111" i="40"/>
  <c r="IB111" i="40" s="1"/>
  <c r="IF111" i="40" s="1"/>
  <c r="ID104" i="40"/>
  <c r="IB104" i="40" s="1"/>
  <c r="IG104" i="40" s="1"/>
  <c r="K9" i="44" s="1"/>
  <c r="P9" i="44" s="1"/>
  <c r="ID114" i="40"/>
  <c r="IB114" i="40" s="1"/>
  <c r="IF114" i="40" s="1"/>
  <c r="ID109" i="40"/>
  <c r="IB109" i="40" s="1"/>
  <c r="IG109" i="40" s="1"/>
  <c r="K14" i="44" s="1"/>
  <c r="P14" i="44" s="1"/>
  <c r="ID119" i="40"/>
  <c r="IB119" i="40" s="1"/>
  <c r="IG119" i="40" s="1"/>
  <c r="KK119" i="40" s="1"/>
  <c r="ID122" i="40"/>
  <c r="IB122" i="40" s="1"/>
  <c r="IF122" i="40" s="1"/>
  <c r="ID126" i="40"/>
  <c r="IB126" i="40" s="1"/>
  <c r="IE126" i="40" s="1"/>
  <c r="ID130" i="40"/>
  <c r="IB130" i="40" s="1"/>
  <c r="IE130" i="40" s="1"/>
  <c r="ID138" i="40"/>
  <c r="IB138" i="40" s="1"/>
  <c r="IE138" i="40" s="1"/>
  <c r="ID146" i="40"/>
  <c r="IB146" i="40" s="1"/>
  <c r="IF146" i="40" s="1"/>
  <c r="AZ257" i="40"/>
  <c r="BP257" i="40"/>
  <c r="CF257" i="40"/>
  <c r="BA257" i="40"/>
  <c r="BQ257" i="40"/>
  <c r="CG257" i="40"/>
  <c r="AW257" i="40"/>
  <c r="BN257" i="40"/>
  <c r="CD257" i="40"/>
  <c r="BK257" i="40"/>
  <c r="BO257" i="40"/>
  <c r="BS257" i="40"/>
  <c r="IX257" i="40"/>
  <c r="BD257" i="40"/>
  <c r="BT257" i="40"/>
  <c r="DM257" i="40"/>
  <c r="BE257" i="40"/>
  <c r="BU257" i="40"/>
  <c r="DS257" i="40"/>
  <c r="BB257" i="40"/>
  <c r="BR257" i="40"/>
  <c r="CH257" i="40"/>
  <c r="CA257" i="40"/>
  <c r="CE257" i="40"/>
  <c r="CJ257" i="40"/>
  <c r="BG257" i="40"/>
  <c r="IZ257" i="40"/>
  <c r="HZ257" i="40"/>
  <c r="IY257" i="40"/>
  <c r="C258" i="40"/>
  <c r="BH257" i="40"/>
  <c r="BX257" i="40"/>
  <c r="DV257" i="40"/>
  <c r="BI257" i="40"/>
  <c r="BY257" i="40"/>
  <c r="DW257" i="40"/>
  <c r="BF257" i="40"/>
  <c r="BV257" i="40"/>
  <c r="DT257" i="40"/>
  <c r="BW257" i="40"/>
  <c r="JO257" i="40"/>
  <c r="IA257" i="40"/>
  <c r="CS257" i="40"/>
  <c r="JP257" i="40"/>
  <c r="A257" i="40"/>
  <c r="BL257" i="40"/>
  <c r="CB257" i="40"/>
  <c r="BM257" i="40"/>
  <c r="CC257" i="40"/>
  <c r="BJ257" i="40"/>
  <c r="BZ257" i="40"/>
  <c r="AX257" i="40"/>
  <c r="BC257" i="40"/>
  <c r="DU257" i="40"/>
  <c r="HY257" i="40"/>
  <c r="IQ156" i="40"/>
  <c r="JC156" i="40" s="1"/>
  <c r="IO156" i="40"/>
  <c r="JA156" i="40" s="1"/>
  <c r="HM156" i="40"/>
  <c r="HP156" i="40" s="1"/>
  <c r="HN156" i="40"/>
  <c r="HQ156" i="40" s="1"/>
  <c r="D155" i="40"/>
  <c r="AY155" i="40" s="1"/>
  <c r="JJ154" i="40"/>
  <c r="CP156" i="40"/>
  <c r="HW156" i="40" s="1"/>
  <c r="AN156" i="40"/>
  <c r="AM156" i="40"/>
  <c r="CK156" i="40"/>
  <c r="CV356" i="40"/>
  <c r="HW155" i="40"/>
  <c r="HQ155" i="40"/>
  <c r="JH155" i="40" s="1"/>
  <c r="JI155" i="40"/>
  <c r="DB156" i="40"/>
  <c r="CQ156" i="40"/>
  <c r="AO156" i="40"/>
  <c r="HR156" i="40"/>
  <c r="CK356" i="40"/>
  <c r="AM356" i="40"/>
  <c r="C358" i="40"/>
  <c r="CN357" i="40"/>
  <c r="BA357" i="40"/>
  <c r="BE357" i="40"/>
  <c r="BI357" i="40"/>
  <c r="BM357" i="40"/>
  <c r="BQ357" i="40"/>
  <c r="BU357" i="40"/>
  <c r="BY357" i="40"/>
  <c r="CC357" i="40"/>
  <c r="CG357" i="40"/>
  <c r="DS357" i="40"/>
  <c r="DW357" i="40"/>
  <c r="AW357" i="40"/>
  <c r="BB357" i="40"/>
  <c r="BF357" i="40"/>
  <c r="BJ357" i="40"/>
  <c r="BN357" i="40"/>
  <c r="BR357" i="40"/>
  <c r="BV357" i="40"/>
  <c r="BZ357" i="40"/>
  <c r="CD357" i="40"/>
  <c r="CH357" i="40"/>
  <c r="DT357" i="40"/>
  <c r="AX357" i="40"/>
  <c r="BC357" i="40"/>
  <c r="BG357" i="40"/>
  <c r="BK357" i="40"/>
  <c r="BO357" i="40"/>
  <c r="BS357" i="40"/>
  <c r="BW357" i="40"/>
  <c r="CA357" i="40"/>
  <c r="CE357" i="40"/>
  <c r="CJ357" i="40"/>
  <c r="DU357" i="40"/>
  <c r="BD357" i="40"/>
  <c r="BT357" i="40"/>
  <c r="DM357" i="40"/>
  <c r="A357" i="40"/>
  <c r="BH357" i="40"/>
  <c r="BX357" i="40"/>
  <c r="DV357" i="40"/>
  <c r="BL357" i="40"/>
  <c r="CB357" i="40"/>
  <c r="BP357" i="40"/>
  <c r="CF357" i="40"/>
  <c r="AZ357" i="40"/>
  <c r="JO357" i="40"/>
  <c r="IY357" i="40"/>
  <c r="IZ357" i="40"/>
  <c r="IX357" i="40"/>
  <c r="HZ357" i="40"/>
  <c r="IA357" i="40"/>
  <c r="HY357" i="40"/>
  <c r="JP357" i="40"/>
  <c r="IC154" i="40"/>
  <c r="HX155" i="40"/>
  <c r="ID155" i="40" s="1"/>
  <c r="CP356" i="40"/>
  <c r="AN356" i="40"/>
  <c r="IZ655" i="40"/>
  <c r="JH154" i="40"/>
  <c r="IP156" i="40"/>
  <c r="JB156" i="40" s="1"/>
  <c r="HT156" i="40"/>
  <c r="HU156" i="40"/>
  <c r="DB356" i="40"/>
  <c r="AP356" i="40"/>
  <c r="HS156" i="40"/>
  <c r="KO152" i="40"/>
  <c r="JM153" i="40"/>
  <c r="CV156" i="40"/>
  <c r="AL156" i="40"/>
  <c r="AK156" i="40"/>
  <c r="AP156" i="40"/>
  <c r="IK157" i="40"/>
  <c r="IN157" i="40" s="1"/>
  <c r="JF157" i="40"/>
  <c r="HO157" i="40" s="1"/>
  <c r="II157" i="40"/>
  <c r="IL157" i="40" s="1"/>
  <c r="IJ157" i="40"/>
  <c r="IM157" i="40" s="1"/>
  <c r="C158" i="40"/>
  <c r="AX157" i="40"/>
  <c r="BC157" i="40"/>
  <c r="BG157" i="40"/>
  <c r="BK157" i="40"/>
  <c r="BO157" i="40"/>
  <c r="BS157" i="40"/>
  <c r="BW157" i="40"/>
  <c r="CA157" i="40"/>
  <c r="CE157" i="40"/>
  <c r="CJ157" i="40"/>
  <c r="DU157" i="40"/>
  <c r="AZ157" i="40"/>
  <c r="BD157" i="40"/>
  <c r="BH157" i="40"/>
  <c r="BL157" i="40"/>
  <c r="BP157" i="40"/>
  <c r="BT157" i="40"/>
  <c r="BX157" i="40"/>
  <c r="CB157" i="40"/>
  <c r="CF157" i="40"/>
  <c r="DM157" i="40"/>
  <c r="DV157" i="40"/>
  <c r="BA157" i="40"/>
  <c r="BE157" i="40"/>
  <c r="BI157" i="40"/>
  <c r="BM157" i="40"/>
  <c r="BQ157" i="40"/>
  <c r="BU157" i="40"/>
  <c r="BY157" i="40"/>
  <c r="CC157" i="40"/>
  <c r="CG157" i="40"/>
  <c r="DS157" i="40"/>
  <c r="DW157" i="40"/>
  <c r="BJ157" i="40"/>
  <c r="BZ157" i="40"/>
  <c r="AW157" i="40"/>
  <c r="BN157" i="40"/>
  <c r="CD157" i="40"/>
  <c r="A157" i="40"/>
  <c r="BB157" i="40"/>
  <c r="BR157" i="40"/>
  <c r="CH157" i="40"/>
  <c r="DT157" i="40"/>
  <c r="BF157" i="40"/>
  <c r="BV157" i="40"/>
  <c r="JO157" i="40"/>
  <c r="IZ157" i="40"/>
  <c r="IX157" i="40"/>
  <c r="HZ157" i="40"/>
  <c r="IA157" i="40"/>
  <c r="HY157" i="40"/>
  <c r="IY157" i="40"/>
  <c r="JP157" i="40"/>
  <c r="JG157" i="40"/>
  <c r="AO356" i="40"/>
  <c r="CQ356" i="40"/>
  <c r="DB257" i="40" l="1"/>
  <c r="HY656" i="40"/>
  <c r="IX656" i="40" s="1"/>
  <c r="CI640" i="40"/>
  <c r="CI540" i="40"/>
  <c r="CI241" i="40"/>
  <c r="CI441" i="40"/>
  <c r="CI157" i="40"/>
  <c r="CI341" i="40"/>
  <c r="IA656" i="40"/>
  <c r="IZ656" i="40" s="1"/>
  <c r="KK110" i="40"/>
  <c r="IG143" i="40"/>
  <c r="K48" i="44" s="1"/>
  <c r="IE139" i="40"/>
  <c r="KI139" i="40" s="1"/>
  <c r="KK128" i="40"/>
  <c r="IE113" i="40"/>
  <c r="KI113" i="40" s="1"/>
  <c r="DB456" i="40"/>
  <c r="IG106" i="40"/>
  <c r="K11" i="44" s="1"/>
  <c r="P11" i="44" s="1"/>
  <c r="IG117" i="40"/>
  <c r="KK117" i="40" s="1"/>
  <c r="IF119" i="40"/>
  <c r="J24" i="44" s="1"/>
  <c r="CV456" i="40"/>
  <c r="IQ157" i="40"/>
  <c r="JC157" i="40" s="1"/>
  <c r="IF152" i="40"/>
  <c r="KJ152" i="40" s="1"/>
  <c r="IE125" i="40"/>
  <c r="IE120" i="40"/>
  <c r="I25" i="44" s="1"/>
  <c r="KK120" i="40"/>
  <c r="IG148" i="40"/>
  <c r="IF136" i="40"/>
  <c r="IE148" i="40"/>
  <c r="KI148" i="40" s="1"/>
  <c r="CV657" i="40"/>
  <c r="IG152" i="40"/>
  <c r="KK152" i="40" s="1"/>
  <c r="IF131" i="40"/>
  <c r="KJ131" i="40" s="1"/>
  <c r="IG116" i="40"/>
  <c r="K21" i="44" s="1"/>
  <c r="IE141" i="40"/>
  <c r="KI141" i="40" s="1"/>
  <c r="IG136" i="40"/>
  <c r="KK136" i="40" s="1"/>
  <c r="IE131" i="40"/>
  <c r="KP131" i="40" s="1"/>
  <c r="IG112" i="40"/>
  <c r="K17" i="44" s="1"/>
  <c r="IF112" i="40"/>
  <c r="J17" i="44" s="1"/>
  <c r="DB657" i="40"/>
  <c r="IE108" i="40"/>
  <c r="I13" i="44" s="1"/>
  <c r="IF120" i="40"/>
  <c r="KJ120" i="40" s="1"/>
  <c r="IF125" i="40"/>
  <c r="KJ125" i="40" s="1"/>
  <c r="IE111" i="40"/>
  <c r="KI111" i="40" s="1"/>
  <c r="IE116" i="40"/>
  <c r="KI116" i="40" s="1"/>
  <c r="IF142" i="40"/>
  <c r="KJ142" i="40" s="1"/>
  <c r="K30" i="44"/>
  <c r="IE128" i="40"/>
  <c r="KI128" i="40" s="1"/>
  <c r="IF126" i="40"/>
  <c r="KJ126" i="40" s="1"/>
  <c r="IF123" i="40"/>
  <c r="IF117" i="40"/>
  <c r="IF128" i="40"/>
  <c r="KJ128" i="40" s="1"/>
  <c r="IG139" i="40"/>
  <c r="K44" i="44" s="1"/>
  <c r="IF110" i="40"/>
  <c r="J15" i="44" s="1"/>
  <c r="IF133" i="40"/>
  <c r="KJ133" i="40" s="1"/>
  <c r="IG123" i="40"/>
  <c r="KK123" i="40" s="1"/>
  <c r="IG113" i="40"/>
  <c r="IE110" i="40"/>
  <c r="KP110" i="40" s="1"/>
  <c r="K24" i="44"/>
  <c r="IE137" i="40"/>
  <c r="KI137" i="40" s="1"/>
  <c r="IF143" i="40"/>
  <c r="IG149" i="40"/>
  <c r="KK149" i="40" s="1"/>
  <c r="IF106" i="40"/>
  <c r="KJ106" i="40" s="1"/>
  <c r="K38" i="44"/>
  <c r="IG126" i="40"/>
  <c r="K31" i="44" s="1"/>
  <c r="AH258" i="40"/>
  <c r="AD258" i="40"/>
  <c r="Z258" i="40"/>
  <c r="V258" i="40"/>
  <c r="CT258" i="40" s="1"/>
  <c r="R258" i="40"/>
  <c r="N258" i="40"/>
  <c r="CN258" i="40" s="1"/>
  <c r="J258" i="40"/>
  <c r="F258" i="40"/>
  <c r="AJ258" i="40"/>
  <c r="AF258" i="40"/>
  <c r="AB258" i="40"/>
  <c r="X258" i="40"/>
  <c r="T258" i="40"/>
  <c r="CR258" i="40" s="1"/>
  <c r="P258" i="40"/>
  <c r="L258" i="40"/>
  <c r="CL258" i="40" s="1"/>
  <c r="H258" i="40"/>
  <c r="AC258" i="40"/>
  <c r="U258" i="40"/>
  <c r="CS258" i="40" s="1"/>
  <c r="M258" i="40"/>
  <c r="CM258" i="40" s="1"/>
  <c r="E258" i="40"/>
  <c r="AI258" i="40"/>
  <c r="AA258" i="40"/>
  <c r="S258" i="40"/>
  <c r="K258" i="40"/>
  <c r="AG258" i="40"/>
  <c r="Y258" i="40"/>
  <c r="Q258" i="40"/>
  <c r="I258" i="40"/>
  <c r="AE258" i="40"/>
  <c r="W258" i="40"/>
  <c r="CU258" i="40" s="1"/>
  <c r="O258" i="40"/>
  <c r="CO258" i="40" s="1"/>
  <c r="G258" i="40"/>
  <c r="AI457" i="40"/>
  <c r="AE457" i="40"/>
  <c r="AA457" i="40"/>
  <c r="W457" i="40"/>
  <c r="CU457" i="40" s="1"/>
  <c r="S457" i="40"/>
  <c r="O457" i="40"/>
  <c r="CO457" i="40" s="1"/>
  <c r="K457" i="40"/>
  <c r="G457" i="40"/>
  <c r="AH457" i="40"/>
  <c r="AD457" i="40"/>
  <c r="Z457" i="40"/>
  <c r="V457" i="40"/>
  <c r="CT457" i="40" s="1"/>
  <c r="R457" i="40"/>
  <c r="N457" i="40"/>
  <c r="CN457" i="40" s="1"/>
  <c r="J457" i="40"/>
  <c r="F457" i="40"/>
  <c r="AG457" i="40"/>
  <c r="AC457" i="40"/>
  <c r="Y457" i="40"/>
  <c r="U457" i="40"/>
  <c r="Q457" i="40"/>
  <c r="M457" i="40"/>
  <c r="CM457" i="40" s="1"/>
  <c r="I457" i="40"/>
  <c r="E457" i="40"/>
  <c r="AJ457" i="40"/>
  <c r="T457" i="40"/>
  <c r="CR457" i="40" s="1"/>
  <c r="AF457" i="40"/>
  <c r="P457" i="40"/>
  <c r="AB457" i="40"/>
  <c r="L457" i="40"/>
  <c r="CL457" i="40" s="1"/>
  <c r="X457" i="40"/>
  <c r="H457" i="40"/>
  <c r="AN657" i="40"/>
  <c r="CP657" i="40"/>
  <c r="AG158" i="40"/>
  <c r="AC158" i="40"/>
  <c r="Y158" i="40"/>
  <c r="U158" i="40"/>
  <c r="CS158" i="40" s="1"/>
  <c r="Q158" i="40"/>
  <c r="M158" i="40"/>
  <c r="CM158" i="40" s="1"/>
  <c r="I158" i="40"/>
  <c r="E158" i="40"/>
  <c r="AI158" i="40"/>
  <c r="AE158" i="40"/>
  <c r="AA158" i="40"/>
  <c r="W158" i="40"/>
  <c r="CU158" i="40" s="1"/>
  <c r="S158" i="40"/>
  <c r="O158" i="40"/>
  <c r="CO158" i="40" s="1"/>
  <c r="K158" i="40"/>
  <c r="G158" i="40"/>
  <c r="AF158" i="40"/>
  <c r="X158" i="40"/>
  <c r="P158" i="40"/>
  <c r="H158" i="40"/>
  <c r="Z158" i="40"/>
  <c r="AD158" i="40"/>
  <c r="V158" i="40"/>
  <c r="CT158" i="40" s="1"/>
  <c r="N158" i="40"/>
  <c r="CN158" i="40" s="1"/>
  <c r="F158" i="40"/>
  <c r="R158" i="40"/>
  <c r="AJ158" i="40"/>
  <c r="AB158" i="40"/>
  <c r="T158" i="40"/>
  <c r="CR158" i="40" s="1"/>
  <c r="L158" i="40"/>
  <c r="CL158" i="40" s="1"/>
  <c r="AH158" i="40"/>
  <c r="J158" i="40"/>
  <c r="DB556" i="40"/>
  <c r="AM556" i="40"/>
  <c r="CK556" i="40"/>
  <c r="CQ657" i="40"/>
  <c r="AO657" i="40"/>
  <c r="CK657" i="40"/>
  <c r="AM657" i="40"/>
  <c r="AF658" i="40"/>
  <c r="DW658" i="40"/>
  <c r="BW658" i="40"/>
  <c r="BG658" i="40"/>
  <c r="K658" i="40"/>
  <c r="CH658" i="40"/>
  <c r="BR658" i="40"/>
  <c r="BB658" i="40"/>
  <c r="J658" i="40"/>
  <c r="BY658" i="40"/>
  <c r="BI658" i="40"/>
  <c r="AG658" i="40"/>
  <c r="BT658" i="40"/>
  <c r="AZ658" i="40"/>
  <c r="AB658" i="40"/>
  <c r="JO658" i="40"/>
  <c r="H658" i="40"/>
  <c r="AI658" i="40"/>
  <c r="F658" i="40"/>
  <c r="CJ658" i="40"/>
  <c r="DS658" i="40"/>
  <c r="BS658" i="40"/>
  <c r="BC658" i="40"/>
  <c r="G658" i="40"/>
  <c r="CD658" i="40"/>
  <c r="BN658" i="40"/>
  <c r="AX658" i="40"/>
  <c r="DU658" i="40"/>
  <c r="BU658" i="40"/>
  <c r="BE658" i="40"/>
  <c r="M658" i="40"/>
  <c r="CM658" i="40" s="1"/>
  <c r="BD658" i="40"/>
  <c r="P658" i="40"/>
  <c r="L658" i="40"/>
  <c r="CL658" i="40" s="1"/>
  <c r="JP658" i="40"/>
  <c r="I658" i="40"/>
  <c r="AJ658" i="40"/>
  <c r="AC658" i="40"/>
  <c r="CE658" i="40"/>
  <c r="BO658" i="40"/>
  <c r="W658" i="40"/>
  <c r="CU658" i="40" s="1"/>
  <c r="DV658" i="40"/>
  <c r="BZ658" i="40"/>
  <c r="BJ658" i="40"/>
  <c r="R658" i="40"/>
  <c r="CG658" i="40"/>
  <c r="BQ658" i="40"/>
  <c r="BA658" i="40"/>
  <c r="A658" i="40"/>
  <c r="CF658" i="40"/>
  <c r="CB658" i="40"/>
  <c r="BX658" i="40"/>
  <c r="KN658" i="40"/>
  <c r="AE658" i="40"/>
  <c r="C659" i="40"/>
  <c r="DM658" i="40"/>
  <c r="CC658" i="40"/>
  <c r="BP658" i="40"/>
  <c r="CA658" i="40"/>
  <c r="BV658" i="40"/>
  <c r="BM658" i="40"/>
  <c r="BL658" i="40"/>
  <c r="BK658" i="40"/>
  <c r="BF658" i="40"/>
  <c r="AW658" i="40"/>
  <c r="BH658" i="40"/>
  <c r="O658" i="40"/>
  <c r="CO658" i="40" s="1"/>
  <c r="N658" i="40"/>
  <c r="CN658" i="40" s="1"/>
  <c r="DT658" i="40"/>
  <c r="T658" i="40"/>
  <c r="CR658" i="40" s="1"/>
  <c r="AH658" i="40"/>
  <c r="Z658" i="40"/>
  <c r="U658" i="40"/>
  <c r="CS658" i="40" s="1"/>
  <c r="S658" i="40"/>
  <c r="X658" i="40"/>
  <c r="V658" i="40"/>
  <c r="CT658" i="40" s="1"/>
  <c r="Q658" i="40"/>
  <c r="AD658" i="40"/>
  <c r="AA658" i="40"/>
  <c r="E658" i="40"/>
  <c r="Y658" i="40"/>
  <c r="AI557" i="40"/>
  <c r="AE557" i="40"/>
  <c r="AA557" i="40"/>
  <c r="W557" i="40"/>
  <c r="CU557" i="40" s="1"/>
  <c r="S557" i="40"/>
  <c r="O557" i="40"/>
  <c r="CO557" i="40" s="1"/>
  <c r="K557" i="40"/>
  <c r="G557" i="40"/>
  <c r="AH557" i="40"/>
  <c r="AD557" i="40"/>
  <c r="Z557" i="40"/>
  <c r="V557" i="40"/>
  <c r="CT557" i="40" s="1"/>
  <c r="R557" i="40"/>
  <c r="N557" i="40"/>
  <c r="CN557" i="40" s="1"/>
  <c r="J557" i="40"/>
  <c r="F557" i="40"/>
  <c r="AF557" i="40"/>
  <c r="X557" i="40"/>
  <c r="P557" i="40"/>
  <c r="H557" i="40"/>
  <c r="AC557" i="40"/>
  <c r="U557" i="40"/>
  <c r="CS557" i="40" s="1"/>
  <c r="M557" i="40"/>
  <c r="CM557" i="40" s="1"/>
  <c r="E557" i="40"/>
  <c r="AJ557" i="40"/>
  <c r="AB557" i="40"/>
  <c r="T557" i="40"/>
  <c r="CR557" i="40" s="1"/>
  <c r="L557" i="40"/>
  <c r="CL557" i="40" s="1"/>
  <c r="Y557" i="40"/>
  <c r="Q557" i="40"/>
  <c r="I557" i="40"/>
  <c r="AG557" i="40"/>
  <c r="BJ557" i="40"/>
  <c r="DU557" i="40"/>
  <c r="CC557" i="40"/>
  <c r="AW557" i="40"/>
  <c r="BN557" i="40"/>
  <c r="CD557" i="40"/>
  <c r="BK557" i="40"/>
  <c r="A557" i="40"/>
  <c r="BH557" i="40"/>
  <c r="DW557" i="40"/>
  <c r="BY557" i="40"/>
  <c r="JP557" i="40"/>
  <c r="BB557" i="40"/>
  <c r="BR557" i="40"/>
  <c r="CH557" i="40"/>
  <c r="AX557" i="40"/>
  <c r="BO557" i="40"/>
  <c r="CE557" i="40"/>
  <c r="BL557" i="40"/>
  <c r="CB557" i="40"/>
  <c r="BA557" i="40"/>
  <c r="BE557" i="40"/>
  <c r="JO557" i="40"/>
  <c r="IZ557" i="40"/>
  <c r="BG557" i="40"/>
  <c r="BT557" i="40"/>
  <c r="DS557" i="40"/>
  <c r="IX557" i="40"/>
  <c r="DV557" i="40"/>
  <c r="BF557" i="40"/>
  <c r="BV557" i="40"/>
  <c r="DT557" i="40"/>
  <c r="BC557" i="40"/>
  <c r="BS557" i="40"/>
  <c r="CJ557" i="40"/>
  <c r="AZ557" i="40"/>
  <c r="BP557" i="40"/>
  <c r="CF557" i="40"/>
  <c r="BM557" i="40"/>
  <c r="BQ557" i="40"/>
  <c r="BU557" i="40"/>
  <c r="IA557" i="40"/>
  <c r="IY557" i="40"/>
  <c r="C558" i="40"/>
  <c r="BZ557" i="40"/>
  <c r="BW557" i="40"/>
  <c r="BD557" i="40"/>
  <c r="DM557" i="40"/>
  <c r="CG557" i="40"/>
  <c r="HY557" i="40"/>
  <c r="CA557" i="40"/>
  <c r="BX557" i="40"/>
  <c r="BI557" i="40"/>
  <c r="HZ557" i="40"/>
  <c r="AN556" i="40"/>
  <c r="CP556" i="40"/>
  <c r="AP556" i="40"/>
  <c r="AP657" i="40"/>
  <c r="AJ358" i="40"/>
  <c r="AF358" i="40"/>
  <c r="AB358" i="40"/>
  <c r="X358" i="40"/>
  <c r="T358" i="40"/>
  <c r="CR358" i="40" s="1"/>
  <c r="P358" i="40"/>
  <c r="L358" i="40"/>
  <c r="CL358" i="40" s="1"/>
  <c r="H358" i="40"/>
  <c r="AH358" i="40"/>
  <c r="AD358" i="40"/>
  <c r="Z358" i="40"/>
  <c r="V358" i="40"/>
  <c r="CT358" i="40" s="1"/>
  <c r="R358" i="40"/>
  <c r="N358" i="40"/>
  <c r="CN358" i="40" s="1"/>
  <c r="J358" i="40"/>
  <c r="F358" i="40"/>
  <c r="AC358" i="40"/>
  <c r="U358" i="40"/>
  <c r="CS358" i="40" s="1"/>
  <c r="M358" i="40"/>
  <c r="CM358" i="40" s="1"/>
  <c r="E358" i="40"/>
  <c r="AI358" i="40"/>
  <c r="AA358" i="40"/>
  <c r="S358" i="40"/>
  <c r="K358" i="40"/>
  <c r="AG358" i="40"/>
  <c r="Y358" i="40"/>
  <c r="Q358" i="40"/>
  <c r="I358" i="40"/>
  <c r="G358" i="40"/>
  <c r="AE358" i="40"/>
  <c r="W358" i="40"/>
  <c r="CU358" i="40" s="1"/>
  <c r="O358" i="40"/>
  <c r="CO358" i="40" s="1"/>
  <c r="CV556" i="40"/>
  <c r="CQ556" i="40"/>
  <c r="AO556" i="40"/>
  <c r="IE142" i="40"/>
  <c r="IE127" i="40"/>
  <c r="KI127" i="40" s="1"/>
  <c r="IG144" i="40"/>
  <c r="K49" i="44" s="1"/>
  <c r="AU17" i="62"/>
  <c r="IF147" i="40"/>
  <c r="KJ147" i="40" s="1"/>
  <c r="IG121" i="40"/>
  <c r="K26" i="44" s="1"/>
  <c r="IF109" i="40"/>
  <c r="KJ109" i="40" s="1"/>
  <c r="KK132" i="40"/>
  <c r="IF144" i="40"/>
  <c r="KJ144" i="40" s="1"/>
  <c r="W33" i="58"/>
  <c r="W63" i="58" s="1"/>
  <c r="IE101" i="40"/>
  <c r="I6" i="44" s="1"/>
  <c r="IE115" i="40"/>
  <c r="I20" i="44" s="1"/>
  <c r="IE121" i="40"/>
  <c r="I26" i="44" s="1"/>
  <c r="IF134" i="40"/>
  <c r="IF132" i="40"/>
  <c r="KJ132" i="40" s="1"/>
  <c r="D156" i="40"/>
  <c r="AY156" i="40" s="1"/>
  <c r="IF102" i="40"/>
  <c r="V33" i="58" s="1"/>
  <c r="KK102" i="40"/>
  <c r="IF149" i="40"/>
  <c r="KJ149" i="40" s="1"/>
  <c r="IG114" i="40"/>
  <c r="K19" i="44" s="1"/>
  <c r="IE114" i="40"/>
  <c r="IE133" i="40"/>
  <c r="IF108" i="40"/>
  <c r="KJ108" i="40" s="1"/>
  <c r="IE119" i="40"/>
  <c r="KI119" i="40" s="1"/>
  <c r="IF141" i="40"/>
  <c r="IF153" i="40"/>
  <c r="KJ153" i="40" s="1"/>
  <c r="KK108" i="40"/>
  <c r="IF138" i="40"/>
  <c r="KJ138" i="40" s="1"/>
  <c r="KK142" i="40"/>
  <c r="KK141" i="40"/>
  <c r="KK131" i="40"/>
  <c r="IG153" i="40"/>
  <c r="IG138" i="40"/>
  <c r="IG111" i="40"/>
  <c r="IF130" i="40"/>
  <c r="KJ130" i="40" s="1"/>
  <c r="IG134" i="40"/>
  <c r="IF151" i="40"/>
  <c r="KJ151" i="40" s="1"/>
  <c r="IG105" i="40"/>
  <c r="IG103" i="40"/>
  <c r="K8" i="44" s="1"/>
  <c r="P8" i="44" s="1"/>
  <c r="IG124" i="40"/>
  <c r="K29" i="44" s="1"/>
  <c r="IG135" i="40"/>
  <c r="KK109" i="40"/>
  <c r="IG151" i="40"/>
  <c r="KK151" i="40" s="1"/>
  <c r="K7" i="61"/>
  <c r="AR7" i="61" s="1"/>
  <c r="X7" i="61" s="1"/>
  <c r="IG118" i="40"/>
  <c r="K23" i="44" s="1"/>
  <c r="IF104" i="40"/>
  <c r="IF107" i="40"/>
  <c r="J12" i="44" s="1"/>
  <c r="JK154" i="40"/>
  <c r="JL154" i="40" s="1"/>
  <c r="JM154" i="40" s="1"/>
  <c r="IG150" i="40"/>
  <c r="KK150" i="40" s="1"/>
  <c r="IF129" i="40"/>
  <c r="IE105" i="40"/>
  <c r="KI105" i="40" s="1"/>
  <c r="IE122" i="40"/>
  <c r="IG122" i="40"/>
  <c r="K27" i="44" s="1"/>
  <c r="IG129" i="40"/>
  <c r="K34" i="44" s="1"/>
  <c r="IE146" i="40"/>
  <c r="KI146" i="40" s="1"/>
  <c r="IE140" i="40"/>
  <c r="IF124" i="40"/>
  <c r="KJ124" i="40" s="1"/>
  <c r="IE118" i="40"/>
  <c r="KI118" i="40" s="1"/>
  <c r="IG145" i="40"/>
  <c r="K50" i="44" s="1"/>
  <c r="IE103" i="40"/>
  <c r="KI103" i="40" s="1"/>
  <c r="IF145" i="40"/>
  <c r="KJ145" i="40" s="1"/>
  <c r="K12" i="44"/>
  <c r="P12" i="44" s="1"/>
  <c r="IE135" i="40"/>
  <c r="KI135" i="40" s="1"/>
  <c r="IE150" i="40"/>
  <c r="KK104" i="40"/>
  <c r="CQ456" i="40"/>
  <c r="AO456" i="40"/>
  <c r="BD457" i="40"/>
  <c r="BT457" i="40"/>
  <c r="DM457" i="40"/>
  <c r="BE457" i="40"/>
  <c r="BU457" i="40"/>
  <c r="DS457" i="40"/>
  <c r="BB457" i="40"/>
  <c r="BR457" i="40"/>
  <c r="CH457" i="40"/>
  <c r="BS457" i="40"/>
  <c r="AX457" i="40"/>
  <c r="CA457" i="40"/>
  <c r="IA457" i="40"/>
  <c r="IX457" i="40"/>
  <c r="C458" i="40"/>
  <c r="BH457" i="40"/>
  <c r="BX457" i="40"/>
  <c r="DV457" i="40"/>
  <c r="BI457" i="40"/>
  <c r="BY457" i="40"/>
  <c r="DW457" i="40"/>
  <c r="BF457" i="40"/>
  <c r="BV457" i="40"/>
  <c r="DT457" i="40"/>
  <c r="CJ457" i="40"/>
  <c r="BG457" i="40"/>
  <c r="JO457" i="40"/>
  <c r="BO457" i="40"/>
  <c r="HZ457" i="40"/>
  <c r="CS457" i="40"/>
  <c r="JP457" i="40"/>
  <c r="A457" i="40"/>
  <c r="BL457" i="40"/>
  <c r="CB457" i="40"/>
  <c r="BM457" i="40"/>
  <c r="CC457" i="40"/>
  <c r="BJ457" i="40"/>
  <c r="BZ457" i="40"/>
  <c r="BW457" i="40"/>
  <c r="IZ457" i="40"/>
  <c r="AZ457" i="40"/>
  <c r="BP457" i="40"/>
  <c r="CF457" i="40"/>
  <c r="BA457" i="40"/>
  <c r="BQ457" i="40"/>
  <c r="CG457" i="40"/>
  <c r="AW457" i="40"/>
  <c r="BN457" i="40"/>
  <c r="CD457" i="40"/>
  <c r="BC457" i="40"/>
  <c r="CE457" i="40"/>
  <c r="DU457" i="40"/>
  <c r="BK457" i="40"/>
  <c r="HY457" i="40"/>
  <c r="IY457" i="40"/>
  <c r="AP456" i="40"/>
  <c r="AN456" i="40"/>
  <c r="CP456" i="40"/>
  <c r="AM456" i="40"/>
  <c r="CK456" i="40"/>
  <c r="IF101" i="40"/>
  <c r="IE132" i="40"/>
  <c r="KI132" i="40" s="1"/>
  <c r="IE104" i="40"/>
  <c r="I9" i="44" s="1"/>
  <c r="IE107" i="40"/>
  <c r="I12" i="44" s="1"/>
  <c r="IE102" i="40"/>
  <c r="AU17" i="58"/>
  <c r="K7" i="44"/>
  <c r="P7" i="44" s="1"/>
  <c r="IG140" i="40"/>
  <c r="K45" i="44" s="1"/>
  <c r="IG115" i="40"/>
  <c r="IG137" i="40"/>
  <c r="IG146" i="40"/>
  <c r="IG147" i="40"/>
  <c r="IG127" i="40"/>
  <c r="KK127" i="40" s="1"/>
  <c r="IG130" i="40"/>
  <c r="IE109" i="40"/>
  <c r="CV257" i="40"/>
  <c r="CK257" i="40"/>
  <c r="AM257" i="40"/>
  <c r="CP257" i="40"/>
  <c r="AN257" i="40"/>
  <c r="AO257" i="40"/>
  <c r="CQ257" i="40"/>
  <c r="AW258" i="40"/>
  <c r="BN258" i="40"/>
  <c r="CD258" i="40"/>
  <c r="BC258" i="40"/>
  <c r="BS258" i="40"/>
  <c r="CJ258" i="40"/>
  <c r="BD258" i="40"/>
  <c r="BT258" i="40"/>
  <c r="DM258" i="40"/>
  <c r="BI258" i="40"/>
  <c r="BM258" i="40"/>
  <c r="BQ258" i="40"/>
  <c r="HY258" i="40"/>
  <c r="BB258" i="40"/>
  <c r="BR258" i="40"/>
  <c r="CH258" i="40"/>
  <c r="BG258" i="40"/>
  <c r="BW258" i="40"/>
  <c r="DU258" i="40"/>
  <c r="BH258" i="40"/>
  <c r="BX258" i="40"/>
  <c r="DV258" i="40"/>
  <c r="BY258" i="40"/>
  <c r="CC258" i="40"/>
  <c r="CG258" i="40"/>
  <c r="BE258" i="40"/>
  <c r="IX258" i="40"/>
  <c r="IZ258" i="40"/>
  <c r="IY258" i="40"/>
  <c r="C259" i="40"/>
  <c r="BF258" i="40"/>
  <c r="BV258" i="40"/>
  <c r="DT258" i="40"/>
  <c r="BK258" i="40"/>
  <c r="CA258" i="40"/>
  <c r="A258" i="40"/>
  <c r="BL258" i="40"/>
  <c r="CB258" i="40"/>
  <c r="DW258" i="40"/>
  <c r="BU258" i="40"/>
  <c r="JO258" i="40"/>
  <c r="HZ258" i="40"/>
  <c r="JP258" i="40"/>
  <c r="BJ258" i="40"/>
  <c r="BZ258" i="40"/>
  <c r="AX258" i="40"/>
  <c r="BO258" i="40"/>
  <c r="CE258" i="40"/>
  <c r="AZ258" i="40"/>
  <c r="BP258" i="40"/>
  <c r="CF258" i="40"/>
  <c r="BA258" i="40"/>
  <c r="DS258" i="40"/>
  <c r="IA258" i="40"/>
  <c r="AP257" i="40"/>
  <c r="JJ155" i="40"/>
  <c r="JK155" i="40" s="1"/>
  <c r="JL155" i="40" s="1"/>
  <c r="HV156" i="40"/>
  <c r="HM157" i="40"/>
  <c r="HP157" i="40" s="1"/>
  <c r="HX156" i="40"/>
  <c r="HN157" i="40"/>
  <c r="HQ157" i="40" s="1"/>
  <c r="AP357" i="40"/>
  <c r="AP157" i="40"/>
  <c r="HU157" i="40"/>
  <c r="KI143" i="40"/>
  <c r="J26" i="44"/>
  <c r="KJ121" i="40"/>
  <c r="CV357" i="40"/>
  <c r="IY656" i="40"/>
  <c r="KI149" i="40"/>
  <c r="KJ139" i="40"/>
  <c r="J23" i="44"/>
  <c r="KJ118" i="40"/>
  <c r="J21" i="44"/>
  <c r="KJ116" i="40"/>
  <c r="J18" i="44"/>
  <c r="KJ113" i="40"/>
  <c r="KJ150" i="40"/>
  <c r="KI138" i="40"/>
  <c r="U71" i="62"/>
  <c r="U57" i="62"/>
  <c r="U51" i="62"/>
  <c r="U55" i="62"/>
  <c r="U59" i="62"/>
  <c r="Q33" i="62"/>
  <c r="U63" i="62"/>
  <c r="U53" i="62"/>
  <c r="U69" i="62"/>
  <c r="U65" i="62"/>
  <c r="U61" i="62"/>
  <c r="U67" i="62"/>
  <c r="AL55" i="62"/>
  <c r="AL67" i="62"/>
  <c r="AL59" i="62"/>
  <c r="AL65" i="62"/>
  <c r="AL71" i="62"/>
  <c r="AL63" i="62"/>
  <c r="AL53" i="62"/>
  <c r="AL61" i="62"/>
  <c r="AL51" i="62"/>
  <c r="AL69" i="62"/>
  <c r="AL57" i="62"/>
  <c r="HT157" i="40"/>
  <c r="KI153" i="40"/>
  <c r="KO153" i="40"/>
  <c r="KJ127" i="40"/>
  <c r="CQ357" i="40"/>
  <c r="AO357" i="40"/>
  <c r="JH156" i="40"/>
  <c r="KI123" i="40"/>
  <c r="KJ122" i="40"/>
  <c r="I22" i="44"/>
  <c r="KI117" i="40"/>
  <c r="KI145" i="40"/>
  <c r="KI147" i="40"/>
  <c r="CV157" i="40"/>
  <c r="AK157" i="40"/>
  <c r="AL157" i="40"/>
  <c r="CP157" i="40"/>
  <c r="HV157" i="40" s="1"/>
  <c r="AN157" i="40"/>
  <c r="IP157" i="40"/>
  <c r="JB157" i="40" s="1"/>
  <c r="J20" i="44"/>
  <c r="KJ115" i="40"/>
  <c r="DB157" i="40"/>
  <c r="AO157" i="40"/>
  <c r="CQ157" i="40"/>
  <c r="HS157" i="40"/>
  <c r="KI136" i="40"/>
  <c r="KI125" i="40"/>
  <c r="JI156" i="40"/>
  <c r="KI151" i="40"/>
  <c r="KJ146" i="40"/>
  <c r="AN357" i="40"/>
  <c r="CP357" i="40"/>
  <c r="CK357" i="40"/>
  <c r="AM357" i="40"/>
  <c r="KJ148" i="40"/>
  <c r="KJ135" i="40"/>
  <c r="I18" i="44"/>
  <c r="J8" i="44"/>
  <c r="KJ103" i="40"/>
  <c r="KI134" i="40"/>
  <c r="KJ137" i="40"/>
  <c r="IK158" i="40"/>
  <c r="IN158" i="40" s="1"/>
  <c r="II158" i="40"/>
  <c r="IL158" i="40" s="1"/>
  <c r="IJ158" i="40"/>
  <c r="IM158" i="40" s="1"/>
  <c r="JF158" i="40"/>
  <c r="HO158" i="40" s="1"/>
  <c r="HR158" i="40" s="1"/>
  <c r="C159" i="40"/>
  <c r="AX158" i="40"/>
  <c r="BC158" i="40"/>
  <c r="BG158" i="40"/>
  <c r="BK158" i="40"/>
  <c r="BO158" i="40"/>
  <c r="BS158" i="40"/>
  <c r="BW158" i="40"/>
  <c r="CA158" i="40"/>
  <c r="CE158" i="40"/>
  <c r="CJ158" i="40"/>
  <c r="DS158" i="40"/>
  <c r="DW158" i="40"/>
  <c r="AZ158" i="40"/>
  <c r="BD158" i="40"/>
  <c r="BH158" i="40"/>
  <c r="BL158" i="40"/>
  <c r="BP158" i="40"/>
  <c r="BT158" i="40"/>
  <c r="BX158" i="40"/>
  <c r="CB158" i="40"/>
  <c r="CF158" i="40"/>
  <c r="DT158" i="40"/>
  <c r="BA158" i="40"/>
  <c r="BE158" i="40"/>
  <c r="BI158" i="40"/>
  <c r="BM158" i="40"/>
  <c r="BQ158" i="40"/>
  <c r="BU158" i="40"/>
  <c r="BY158" i="40"/>
  <c r="CC158" i="40"/>
  <c r="CG158" i="40"/>
  <c r="DU158" i="40"/>
  <c r="A158" i="40"/>
  <c r="BB158" i="40"/>
  <c r="BR158" i="40"/>
  <c r="CH158" i="40"/>
  <c r="BF158" i="40"/>
  <c r="BV158" i="40"/>
  <c r="DM158" i="40"/>
  <c r="BJ158" i="40"/>
  <c r="BZ158" i="40"/>
  <c r="DV158" i="40"/>
  <c r="BN158" i="40"/>
  <c r="CD158" i="40"/>
  <c r="AW158" i="40"/>
  <c r="JO158" i="40"/>
  <c r="IX158" i="40"/>
  <c r="IZ158" i="40"/>
  <c r="IA158" i="40"/>
  <c r="HY158" i="40"/>
  <c r="HZ158" i="40"/>
  <c r="IY158" i="40"/>
  <c r="JP158" i="40"/>
  <c r="JG158" i="40"/>
  <c r="CK157" i="40"/>
  <c r="AM157" i="40"/>
  <c r="IO157" i="40"/>
  <c r="JA157" i="40" s="1"/>
  <c r="HR157" i="40"/>
  <c r="J16" i="44"/>
  <c r="KJ111" i="40"/>
  <c r="KI126" i="40"/>
  <c r="KI129" i="40"/>
  <c r="DB357" i="40"/>
  <c r="C359" i="40"/>
  <c r="AX358" i="40"/>
  <c r="BC358" i="40"/>
  <c r="BG358" i="40"/>
  <c r="BK358" i="40"/>
  <c r="BO358" i="40"/>
  <c r="BS358" i="40"/>
  <c r="BW358" i="40"/>
  <c r="CA358" i="40"/>
  <c r="CE358" i="40"/>
  <c r="CJ358" i="40"/>
  <c r="DU358" i="40"/>
  <c r="A358" i="40"/>
  <c r="AZ358" i="40"/>
  <c r="BD358" i="40"/>
  <c r="BH358" i="40"/>
  <c r="BL358" i="40"/>
  <c r="BP358" i="40"/>
  <c r="BT358" i="40"/>
  <c r="BX358" i="40"/>
  <c r="CB358" i="40"/>
  <c r="CF358" i="40"/>
  <c r="DM358" i="40"/>
  <c r="DV358" i="40"/>
  <c r="BA358" i="40"/>
  <c r="BE358" i="40"/>
  <c r="BI358" i="40"/>
  <c r="BM358" i="40"/>
  <c r="BQ358" i="40"/>
  <c r="BU358" i="40"/>
  <c r="BY358" i="40"/>
  <c r="CC358" i="40"/>
  <c r="CG358" i="40"/>
  <c r="DS358" i="40"/>
  <c r="DW358" i="40"/>
  <c r="BB358" i="40"/>
  <c r="BR358" i="40"/>
  <c r="CH358" i="40"/>
  <c r="BF358" i="40"/>
  <c r="BV358" i="40"/>
  <c r="DT358" i="40"/>
  <c r="BJ358" i="40"/>
  <c r="BZ358" i="40"/>
  <c r="BN358" i="40"/>
  <c r="CD358" i="40"/>
  <c r="JO358" i="40"/>
  <c r="AW358" i="40"/>
  <c r="IY358" i="40"/>
  <c r="IA358" i="40"/>
  <c r="HY358" i="40"/>
  <c r="HZ358" i="40"/>
  <c r="IX358" i="40"/>
  <c r="IZ358" i="40"/>
  <c r="JP358" i="40"/>
  <c r="KJ140" i="40"/>
  <c r="KI124" i="40"/>
  <c r="J10" i="44"/>
  <c r="KJ105" i="40"/>
  <c r="IC156" i="40"/>
  <c r="KI106" i="40"/>
  <c r="I11" i="44"/>
  <c r="KI144" i="40"/>
  <c r="IC155" i="40"/>
  <c r="KI130" i="40"/>
  <c r="I17" i="44"/>
  <c r="KI112" i="40"/>
  <c r="J19" i="44"/>
  <c r="KJ114" i="40"/>
  <c r="IB154" i="40"/>
  <c r="IA657" i="40" l="1"/>
  <c r="AQ128" i="40"/>
  <c r="AN59" i="58"/>
  <c r="CI442" i="40"/>
  <c r="CI342" i="40"/>
  <c r="AS17" i="62"/>
  <c r="JD101" i="40"/>
  <c r="JR101" i="40" s="1"/>
  <c r="AQ111" i="40"/>
  <c r="CI242" i="40"/>
  <c r="AQ117" i="40"/>
  <c r="CI158" i="40"/>
  <c r="CI641" i="40"/>
  <c r="CI541" i="40"/>
  <c r="KK145" i="40"/>
  <c r="KK143" i="40"/>
  <c r="I10" i="44"/>
  <c r="O10" i="44" s="1"/>
  <c r="KP108" i="40"/>
  <c r="JD143" i="40"/>
  <c r="JS143" i="40" s="1"/>
  <c r="HY657" i="40"/>
  <c r="KK106" i="40"/>
  <c r="K22" i="44"/>
  <c r="AQ139" i="40"/>
  <c r="KJ119" i="40"/>
  <c r="JD131" i="40"/>
  <c r="JR131" i="40" s="1"/>
  <c r="KP128" i="40"/>
  <c r="JD113" i="40"/>
  <c r="JQ113" i="40" s="1"/>
  <c r="JU113" i="40" s="1"/>
  <c r="JV113" i="40" s="1"/>
  <c r="JW113" i="40" s="1"/>
  <c r="IX657" i="40"/>
  <c r="JD116" i="40"/>
  <c r="JR116" i="40" s="1"/>
  <c r="KK103" i="40"/>
  <c r="KL103" i="40" s="1"/>
  <c r="KP116" i="40"/>
  <c r="KK113" i="40"/>
  <c r="KI120" i="40"/>
  <c r="KP139" i="40"/>
  <c r="AQ148" i="40"/>
  <c r="J13" i="44"/>
  <c r="O13" i="44" s="1"/>
  <c r="AQ137" i="40"/>
  <c r="J22" i="44"/>
  <c r="JD149" i="40"/>
  <c r="JR149" i="40" s="1"/>
  <c r="AP457" i="40"/>
  <c r="D157" i="40"/>
  <c r="AY157" i="40" s="1"/>
  <c r="CV457" i="40"/>
  <c r="KP148" i="40"/>
  <c r="KK148" i="40"/>
  <c r="KP117" i="40"/>
  <c r="KP152" i="40"/>
  <c r="K53" i="44"/>
  <c r="AQ152" i="40"/>
  <c r="JD152" i="40"/>
  <c r="JQ152" i="40" s="1"/>
  <c r="JU152" i="40" s="1"/>
  <c r="JV152" i="40" s="1"/>
  <c r="JW152" i="40" s="1"/>
  <c r="KJ117" i="40"/>
  <c r="JD117" i="40"/>
  <c r="JQ117" i="40" s="1"/>
  <c r="JU117" i="40" s="1"/>
  <c r="JV117" i="40" s="1"/>
  <c r="JW117" i="40" s="1"/>
  <c r="JD133" i="40"/>
  <c r="JT133" i="40" s="1"/>
  <c r="JX133" i="40" s="1"/>
  <c r="KP136" i="40"/>
  <c r="AQ125" i="40"/>
  <c r="JD128" i="40"/>
  <c r="JS128" i="40" s="1"/>
  <c r="KP125" i="40"/>
  <c r="JD136" i="40"/>
  <c r="JQ136" i="40" s="1"/>
  <c r="JU136" i="40" s="1"/>
  <c r="JV136" i="40" s="1"/>
  <c r="JW136" i="40" s="1"/>
  <c r="KK121" i="40"/>
  <c r="KP111" i="40"/>
  <c r="AN61" i="58"/>
  <c r="AQ133" i="40"/>
  <c r="HZ657" i="40"/>
  <c r="IY657" i="40" s="1"/>
  <c r="JD106" i="40"/>
  <c r="JT106" i="40" s="1"/>
  <c r="JX106" i="40" s="1"/>
  <c r="AQ136" i="40"/>
  <c r="AQ106" i="40"/>
  <c r="I16" i="44"/>
  <c r="N16" i="44" s="1"/>
  <c r="W59" i="58"/>
  <c r="AQ123" i="40"/>
  <c r="KK111" i="40"/>
  <c r="KI131" i="40"/>
  <c r="K28" i="44"/>
  <c r="AN69" i="58"/>
  <c r="W55" i="58"/>
  <c r="JD148" i="40"/>
  <c r="JT148" i="40" s="1"/>
  <c r="JX148" i="40" s="1"/>
  <c r="KP147" i="40"/>
  <c r="AQ131" i="40"/>
  <c r="JD125" i="40"/>
  <c r="JQ125" i="40" s="1"/>
  <c r="JU125" i="40" s="1"/>
  <c r="JV125" i="40" s="1"/>
  <c r="JW125" i="40" s="1"/>
  <c r="I21" i="44"/>
  <c r="K18" i="44"/>
  <c r="JD139" i="40"/>
  <c r="JS139" i="40" s="1"/>
  <c r="KK112" i="40"/>
  <c r="KJ136" i="40"/>
  <c r="KP113" i="40"/>
  <c r="AQ108" i="40"/>
  <c r="KK139" i="40"/>
  <c r="S33" i="58"/>
  <c r="S67" i="58" s="1"/>
  <c r="J14" i="44"/>
  <c r="KI108" i="40"/>
  <c r="AQ116" i="40"/>
  <c r="JD112" i="40"/>
  <c r="JS112" i="40" s="1"/>
  <c r="I7" i="61"/>
  <c r="AP7" i="61" s="1"/>
  <c r="V7" i="61" s="1"/>
  <c r="JD108" i="40"/>
  <c r="JT108" i="40" s="1"/>
  <c r="JX108" i="40" s="1"/>
  <c r="AQ113" i="40"/>
  <c r="KJ107" i="40"/>
  <c r="KK144" i="40"/>
  <c r="KK116" i="40"/>
  <c r="AQ109" i="40"/>
  <c r="KP146" i="40"/>
  <c r="KP112" i="40"/>
  <c r="KI110" i="40"/>
  <c r="AQ120" i="40"/>
  <c r="JD120" i="40"/>
  <c r="JT120" i="40" s="1"/>
  <c r="JX120" i="40" s="1"/>
  <c r="KJ112" i="40"/>
  <c r="JD126" i="40"/>
  <c r="JT126" i="40" s="1"/>
  <c r="JX126" i="40" s="1"/>
  <c r="JD110" i="40"/>
  <c r="JT110" i="40" s="1"/>
  <c r="JX110" i="40" s="1"/>
  <c r="KJ143" i="40"/>
  <c r="AQ112" i="40"/>
  <c r="KJ110" i="40"/>
  <c r="J25" i="44"/>
  <c r="KP120" i="40"/>
  <c r="KP123" i="40"/>
  <c r="DB658" i="40"/>
  <c r="KI109" i="40"/>
  <c r="AQ141" i="40"/>
  <c r="AQ142" i="40"/>
  <c r="I15" i="44"/>
  <c r="O15" i="44" s="1"/>
  <c r="AQ143" i="40"/>
  <c r="KK126" i="40"/>
  <c r="JD123" i="40"/>
  <c r="JS123" i="40" s="1"/>
  <c r="AQ110" i="40"/>
  <c r="KP143" i="40"/>
  <c r="KJ123" i="40"/>
  <c r="KP126" i="40"/>
  <c r="AQ126" i="40"/>
  <c r="CV658" i="40"/>
  <c r="KI142" i="40"/>
  <c r="J7" i="44"/>
  <c r="JD144" i="40"/>
  <c r="JS144" i="40" s="1"/>
  <c r="KP142" i="40"/>
  <c r="JD142" i="40"/>
  <c r="JQ142" i="40" s="1"/>
  <c r="JU142" i="40" s="1"/>
  <c r="JV142" i="40" s="1"/>
  <c r="JW142" i="40" s="1"/>
  <c r="K54" i="44"/>
  <c r="AQ134" i="40"/>
  <c r="KP106" i="40"/>
  <c r="K16" i="44"/>
  <c r="P16" i="44" s="1"/>
  <c r="AN67" i="58"/>
  <c r="AN53" i="58"/>
  <c r="W71" i="58"/>
  <c r="W51" i="58"/>
  <c r="J11" i="44"/>
  <c r="N11" i="44" s="1"/>
  <c r="JD111" i="40"/>
  <c r="JR111" i="40" s="1"/>
  <c r="AN55" i="58"/>
  <c r="AN65" i="58"/>
  <c r="AN63" i="58"/>
  <c r="W69" i="58"/>
  <c r="W65" i="58"/>
  <c r="W61" i="58"/>
  <c r="JD134" i="40"/>
  <c r="JT134" i="40" s="1"/>
  <c r="JX134" i="40" s="1"/>
  <c r="AQ153" i="40"/>
  <c r="KJ134" i="40"/>
  <c r="KI133" i="40"/>
  <c r="AN71" i="58"/>
  <c r="W67" i="58"/>
  <c r="W57" i="58"/>
  <c r="KP133" i="40"/>
  <c r="AQ149" i="40"/>
  <c r="AN51" i="58"/>
  <c r="AN49" i="58"/>
  <c r="AN57" i="58"/>
  <c r="W53" i="58"/>
  <c r="W49" i="58"/>
  <c r="KP149" i="40"/>
  <c r="AH259" i="40"/>
  <c r="AD259" i="40"/>
  <c r="Z259" i="40"/>
  <c r="V259" i="40"/>
  <c r="CT259" i="40" s="1"/>
  <c r="R259" i="40"/>
  <c r="N259" i="40"/>
  <c r="CN259" i="40" s="1"/>
  <c r="J259" i="40"/>
  <c r="F259" i="40"/>
  <c r="AJ259" i="40"/>
  <c r="AF259" i="40"/>
  <c r="AB259" i="40"/>
  <c r="X259" i="40"/>
  <c r="T259" i="40"/>
  <c r="CR259" i="40" s="1"/>
  <c r="P259" i="40"/>
  <c r="L259" i="40"/>
  <c r="CL259" i="40" s="1"/>
  <c r="H259" i="40"/>
  <c r="AC259" i="40"/>
  <c r="U259" i="40"/>
  <c r="CS259" i="40" s="1"/>
  <c r="M259" i="40"/>
  <c r="CM259" i="40" s="1"/>
  <c r="E259" i="40"/>
  <c r="AI259" i="40"/>
  <c r="AA259" i="40"/>
  <c r="S259" i="40"/>
  <c r="K259" i="40"/>
  <c r="AG259" i="40"/>
  <c r="Y259" i="40"/>
  <c r="Q259" i="40"/>
  <c r="I259" i="40"/>
  <c r="AE259" i="40"/>
  <c r="W259" i="40"/>
  <c r="CU259" i="40" s="1"/>
  <c r="O259" i="40"/>
  <c r="CO259" i="40" s="1"/>
  <c r="G259" i="40"/>
  <c r="CV557" i="40"/>
  <c r="AO557" i="40"/>
  <c r="CQ557" i="40"/>
  <c r="CQ658" i="40"/>
  <c r="AO658" i="40"/>
  <c r="AI558" i="40"/>
  <c r="AE558" i="40"/>
  <c r="AA558" i="40"/>
  <c r="W558" i="40"/>
  <c r="CU558" i="40" s="1"/>
  <c r="S558" i="40"/>
  <c r="O558" i="40"/>
  <c r="CO558" i="40" s="1"/>
  <c r="K558" i="40"/>
  <c r="G558" i="40"/>
  <c r="AH558" i="40"/>
  <c r="AD558" i="40"/>
  <c r="Z558" i="40"/>
  <c r="V558" i="40"/>
  <c r="CT558" i="40" s="1"/>
  <c r="R558" i="40"/>
  <c r="N558" i="40"/>
  <c r="CN558" i="40" s="1"/>
  <c r="J558" i="40"/>
  <c r="F558" i="40"/>
  <c r="AF558" i="40"/>
  <c r="X558" i="40"/>
  <c r="P558" i="40"/>
  <c r="H558" i="40"/>
  <c r="AC558" i="40"/>
  <c r="U558" i="40"/>
  <c r="CS558" i="40" s="1"/>
  <c r="M558" i="40"/>
  <c r="CM558" i="40" s="1"/>
  <c r="E558" i="40"/>
  <c r="AJ558" i="40"/>
  <c r="AB558" i="40"/>
  <c r="T558" i="40"/>
  <c r="CR558" i="40" s="1"/>
  <c r="L558" i="40"/>
  <c r="CL558" i="40" s="1"/>
  <c r="Y558" i="40"/>
  <c r="Q558" i="40"/>
  <c r="I558" i="40"/>
  <c r="AG558" i="40"/>
  <c r="C559" i="40"/>
  <c r="BD558" i="40"/>
  <c r="BT558" i="40"/>
  <c r="DM558" i="40"/>
  <c r="BE558" i="40"/>
  <c r="BU558" i="40"/>
  <c r="DS558" i="40"/>
  <c r="BF558" i="40"/>
  <c r="BV558" i="40"/>
  <c r="DT558" i="40"/>
  <c r="JO558" i="40"/>
  <c r="CE558" i="40"/>
  <c r="BS558" i="40"/>
  <c r="HY558" i="40"/>
  <c r="IX558" i="40"/>
  <c r="A558" i="40"/>
  <c r="BH558" i="40"/>
  <c r="BX558" i="40"/>
  <c r="DV558" i="40"/>
  <c r="BI558" i="40"/>
  <c r="BY558" i="40"/>
  <c r="DW558" i="40"/>
  <c r="BJ558" i="40"/>
  <c r="BZ558" i="40"/>
  <c r="BW558" i="40"/>
  <c r="CJ558" i="40"/>
  <c r="IA558" i="40"/>
  <c r="JP558" i="40"/>
  <c r="BL558" i="40"/>
  <c r="CB558" i="40"/>
  <c r="BM558" i="40"/>
  <c r="CC558" i="40"/>
  <c r="AW558" i="40"/>
  <c r="BN558" i="40"/>
  <c r="CD558" i="40"/>
  <c r="BK558" i="40"/>
  <c r="AX558" i="40"/>
  <c r="DU558" i="40"/>
  <c r="BG558" i="40"/>
  <c r="IZ558" i="40"/>
  <c r="AZ558" i="40"/>
  <c r="BP558" i="40"/>
  <c r="CF558" i="40"/>
  <c r="BA558" i="40"/>
  <c r="BQ558" i="40"/>
  <c r="CG558" i="40"/>
  <c r="BB558" i="40"/>
  <c r="BR558" i="40"/>
  <c r="CH558" i="40"/>
  <c r="CA558" i="40"/>
  <c r="BO558" i="40"/>
  <c r="BC558" i="40"/>
  <c r="HZ558" i="40"/>
  <c r="IY558" i="40"/>
  <c r="AN658" i="40"/>
  <c r="CP658" i="40"/>
  <c r="CK658" i="40"/>
  <c r="AM658" i="40"/>
  <c r="AG159" i="40"/>
  <c r="AC159" i="40"/>
  <c r="Y159" i="40"/>
  <c r="U159" i="40"/>
  <c r="CS159" i="40" s="1"/>
  <c r="Q159" i="40"/>
  <c r="M159" i="40"/>
  <c r="CM159" i="40" s="1"/>
  <c r="I159" i="40"/>
  <c r="E159" i="40"/>
  <c r="AI159" i="40"/>
  <c r="AE159" i="40"/>
  <c r="AA159" i="40"/>
  <c r="W159" i="40"/>
  <c r="CU159" i="40" s="1"/>
  <c r="S159" i="40"/>
  <c r="O159" i="40"/>
  <c r="CO159" i="40" s="1"/>
  <c r="K159" i="40"/>
  <c r="G159" i="40"/>
  <c r="AF159" i="40"/>
  <c r="X159" i="40"/>
  <c r="P159" i="40"/>
  <c r="H159" i="40"/>
  <c r="AH159" i="40"/>
  <c r="J159" i="40"/>
  <c r="AD159" i="40"/>
  <c r="V159" i="40"/>
  <c r="CT159" i="40" s="1"/>
  <c r="N159" i="40"/>
  <c r="CN159" i="40" s="1"/>
  <c r="F159" i="40"/>
  <c r="R159" i="40"/>
  <c r="AJ159" i="40"/>
  <c r="AB159" i="40"/>
  <c r="T159" i="40"/>
  <c r="CR159" i="40" s="1"/>
  <c r="L159" i="40"/>
  <c r="CL159" i="40" s="1"/>
  <c r="Z159" i="40"/>
  <c r="AS17" i="58"/>
  <c r="KP101" i="40"/>
  <c r="DB557" i="40"/>
  <c r="CK557" i="40"/>
  <c r="AM557" i="40"/>
  <c r="AJ359" i="40"/>
  <c r="AF359" i="40"/>
  <c r="AB359" i="40"/>
  <c r="X359" i="40"/>
  <c r="T359" i="40"/>
  <c r="CR359" i="40" s="1"/>
  <c r="P359" i="40"/>
  <c r="L359" i="40"/>
  <c r="CL359" i="40" s="1"/>
  <c r="H359" i="40"/>
  <c r="AH359" i="40"/>
  <c r="AD359" i="40"/>
  <c r="Z359" i="40"/>
  <c r="V359" i="40"/>
  <c r="CT359" i="40" s="1"/>
  <c r="R359" i="40"/>
  <c r="N359" i="40"/>
  <c r="CN359" i="40" s="1"/>
  <c r="J359" i="40"/>
  <c r="F359" i="40"/>
  <c r="AC359" i="40"/>
  <c r="U359" i="40"/>
  <c r="CS359" i="40" s="1"/>
  <c r="M359" i="40"/>
  <c r="CM359" i="40" s="1"/>
  <c r="E359" i="40"/>
  <c r="AI359" i="40"/>
  <c r="AA359" i="40"/>
  <c r="S359" i="40"/>
  <c r="K359" i="40"/>
  <c r="AG359" i="40"/>
  <c r="Y359" i="40"/>
  <c r="Q359" i="40"/>
  <c r="I359" i="40"/>
  <c r="G359" i="40"/>
  <c r="AE359" i="40"/>
  <c r="W359" i="40"/>
  <c r="CU359" i="40" s="1"/>
  <c r="O359" i="40"/>
  <c r="CO359" i="40" s="1"/>
  <c r="AI458" i="40"/>
  <c r="AE458" i="40"/>
  <c r="AA458" i="40"/>
  <c r="W458" i="40"/>
  <c r="CU458" i="40" s="1"/>
  <c r="S458" i="40"/>
  <c r="O458" i="40"/>
  <c r="CO458" i="40" s="1"/>
  <c r="K458" i="40"/>
  <c r="G458" i="40"/>
  <c r="AH458" i="40"/>
  <c r="AD458" i="40"/>
  <c r="Z458" i="40"/>
  <c r="V458" i="40"/>
  <c r="CT458" i="40" s="1"/>
  <c r="R458" i="40"/>
  <c r="N458" i="40"/>
  <c r="CN458" i="40" s="1"/>
  <c r="J458" i="40"/>
  <c r="F458" i="40"/>
  <c r="AG458" i="40"/>
  <c r="AC458" i="40"/>
  <c r="Y458" i="40"/>
  <c r="U458" i="40"/>
  <c r="CS458" i="40" s="1"/>
  <c r="Q458" i="40"/>
  <c r="M458" i="40"/>
  <c r="CM458" i="40" s="1"/>
  <c r="I458" i="40"/>
  <c r="E458" i="40"/>
  <c r="AJ458" i="40"/>
  <c r="T458" i="40"/>
  <c r="CR458" i="40" s="1"/>
  <c r="AF458" i="40"/>
  <c r="P458" i="40"/>
  <c r="AB458" i="40"/>
  <c r="L458" i="40"/>
  <c r="CL458" i="40" s="1"/>
  <c r="H458" i="40"/>
  <c r="X458" i="40"/>
  <c r="AP458" i="40" s="1"/>
  <c r="IZ657" i="40"/>
  <c r="JD135" i="40"/>
  <c r="JT135" i="40" s="1"/>
  <c r="JX135" i="40" s="1"/>
  <c r="AN557" i="40"/>
  <c r="CP557" i="40"/>
  <c r="AP557" i="40"/>
  <c r="AP658" i="40"/>
  <c r="I659" i="40"/>
  <c r="AJ659" i="40"/>
  <c r="AC659" i="40"/>
  <c r="CJ659" i="40"/>
  <c r="CG659" i="40"/>
  <c r="BQ659" i="40"/>
  <c r="DT659" i="40"/>
  <c r="DM659" i="40"/>
  <c r="BN659" i="40"/>
  <c r="O659" i="40"/>
  <c r="CO659" i="40" s="1"/>
  <c r="DW659" i="40"/>
  <c r="BL659" i="40"/>
  <c r="R659" i="40"/>
  <c r="CD659" i="40"/>
  <c r="BF659" i="40"/>
  <c r="M659" i="40"/>
  <c r="CM659" i="40" s="1"/>
  <c r="BD659" i="40"/>
  <c r="P659" i="40"/>
  <c r="JO659" i="40"/>
  <c r="AE659" i="40"/>
  <c r="CC659" i="40"/>
  <c r="BM659" i="40"/>
  <c r="CF659" i="40"/>
  <c r="CH659" i="40"/>
  <c r="BH659" i="40"/>
  <c r="K659" i="40"/>
  <c r="CE659" i="40"/>
  <c r="BG659" i="40"/>
  <c r="N659" i="40"/>
  <c r="CN659" i="40" s="1"/>
  <c r="BV659" i="40"/>
  <c r="BA659" i="40"/>
  <c r="A659" i="40"/>
  <c r="DS659" i="40"/>
  <c r="BO659" i="40"/>
  <c r="JP659" i="40"/>
  <c r="AF659" i="40"/>
  <c r="BY659" i="40"/>
  <c r="BI659" i="40"/>
  <c r="CB659" i="40"/>
  <c r="BZ659" i="40"/>
  <c r="BC659" i="40"/>
  <c r="G659" i="40"/>
  <c r="BW659" i="40"/>
  <c r="BB659" i="40"/>
  <c r="J659" i="40"/>
  <c r="BP659" i="40"/>
  <c r="AW659" i="40"/>
  <c r="BJ659" i="40"/>
  <c r="BT659" i="40"/>
  <c r="AB659" i="40"/>
  <c r="DU659" i="40"/>
  <c r="BS659" i="40"/>
  <c r="AX659" i="40"/>
  <c r="CA659" i="40"/>
  <c r="BU659" i="40"/>
  <c r="W659" i="40"/>
  <c r="CU659" i="40" s="1"/>
  <c r="DV659" i="40"/>
  <c r="AZ659" i="40"/>
  <c r="F659" i="40"/>
  <c r="KN659" i="40"/>
  <c r="H659" i="40"/>
  <c r="BE659" i="40"/>
  <c r="C660" i="40"/>
  <c r="BK659" i="40"/>
  <c r="L659" i="40"/>
  <c r="CL659" i="40" s="1"/>
  <c r="AI659" i="40"/>
  <c r="BX659" i="40"/>
  <c r="AG659" i="40"/>
  <c r="BR659" i="40"/>
  <c r="AH659" i="40"/>
  <c r="T659" i="40"/>
  <c r="CR659" i="40" s="1"/>
  <c r="Z659" i="40"/>
  <c r="S659" i="40"/>
  <c r="Q659" i="40"/>
  <c r="U659" i="40"/>
  <c r="CS659" i="40" s="1"/>
  <c r="X659" i="40"/>
  <c r="V659" i="40"/>
  <c r="CT659" i="40" s="1"/>
  <c r="AD659" i="40"/>
  <c r="AA659" i="40"/>
  <c r="E659" i="40"/>
  <c r="Y659" i="40"/>
  <c r="I24" i="44"/>
  <c r="KK153" i="40"/>
  <c r="KP153" i="40"/>
  <c r="KK134" i="40"/>
  <c r="I14" i="44"/>
  <c r="AQ119" i="40"/>
  <c r="KP119" i="40"/>
  <c r="KI115" i="40"/>
  <c r="KI104" i="40"/>
  <c r="KL104" i="40" s="1"/>
  <c r="AT13" i="58" s="1"/>
  <c r="JD153" i="40"/>
  <c r="JS153" i="40" s="1"/>
  <c r="KK114" i="40"/>
  <c r="K39" i="44"/>
  <c r="JD109" i="40"/>
  <c r="JR109" i="40" s="1"/>
  <c r="KK124" i="40"/>
  <c r="KP134" i="40"/>
  <c r="AQ103" i="40"/>
  <c r="KK146" i="40"/>
  <c r="JD119" i="40"/>
  <c r="JS119" i="40" s="1"/>
  <c r="KP115" i="40"/>
  <c r="KP109" i="40"/>
  <c r="AQ146" i="40"/>
  <c r="K51" i="44"/>
  <c r="JD138" i="40"/>
  <c r="JS138" i="40" s="1"/>
  <c r="JD114" i="40"/>
  <c r="JR114" i="40" s="1"/>
  <c r="AQ144" i="40"/>
  <c r="KI114" i="40"/>
  <c r="AQ114" i="40"/>
  <c r="JD151" i="40"/>
  <c r="JS151" i="40" s="1"/>
  <c r="JD121" i="40"/>
  <c r="JT121" i="40" s="1"/>
  <c r="JX121" i="40" s="1"/>
  <c r="KK147" i="40"/>
  <c r="I8" i="44"/>
  <c r="O8" i="44" s="1"/>
  <c r="JD124" i="40"/>
  <c r="JT124" i="40" s="1"/>
  <c r="JX124" i="40" s="1"/>
  <c r="KK138" i="40"/>
  <c r="AQ145" i="40"/>
  <c r="KJ102" i="40"/>
  <c r="V33" i="62"/>
  <c r="R33" i="62" s="1"/>
  <c r="Z33" i="62" s="1"/>
  <c r="KP144" i="40"/>
  <c r="KI121" i="40"/>
  <c r="KP114" i="40"/>
  <c r="KP121" i="40"/>
  <c r="KK118" i="40"/>
  <c r="I19" i="44"/>
  <c r="AQ121" i="40"/>
  <c r="K43" i="44"/>
  <c r="AQ135" i="40"/>
  <c r="KP141" i="40"/>
  <c r="KP145" i="40"/>
  <c r="KK122" i="40"/>
  <c r="AQ124" i="40"/>
  <c r="AT17" i="62"/>
  <c r="J6" i="44"/>
  <c r="N6" i="44" s="1"/>
  <c r="JD141" i="40"/>
  <c r="JQ141" i="40" s="1"/>
  <c r="JU141" i="40" s="1"/>
  <c r="JV141" i="40" s="1"/>
  <c r="JW141" i="40" s="1"/>
  <c r="AQ151" i="40"/>
  <c r="JD145" i="40"/>
  <c r="JT145" i="40" s="1"/>
  <c r="JX145" i="40" s="1"/>
  <c r="KP138" i="40"/>
  <c r="KJ141" i="40"/>
  <c r="KP124" i="40"/>
  <c r="AQ138" i="40"/>
  <c r="JD146" i="40"/>
  <c r="JR146" i="40" s="1"/>
  <c r="JD130" i="40"/>
  <c r="JS130" i="40" s="1"/>
  <c r="KP104" i="40"/>
  <c r="KP105" i="40"/>
  <c r="KP135" i="40"/>
  <c r="AQ107" i="40"/>
  <c r="I23" i="44"/>
  <c r="O12" i="44"/>
  <c r="KK135" i="40"/>
  <c r="K20" i="44"/>
  <c r="JD115" i="40"/>
  <c r="JS115" i="40" s="1"/>
  <c r="AQ127" i="40"/>
  <c r="AQ150" i="40"/>
  <c r="JD122" i="40"/>
  <c r="JQ122" i="40" s="1"/>
  <c r="JU122" i="40" s="1"/>
  <c r="JV122" i="40" s="1"/>
  <c r="JW122" i="40" s="1"/>
  <c r="K40" i="44"/>
  <c r="KP151" i="40"/>
  <c r="U33" i="58"/>
  <c r="AQ129" i="40"/>
  <c r="K10" i="44"/>
  <c r="P10" i="44" s="1"/>
  <c r="AQ104" i="40"/>
  <c r="KK129" i="40"/>
  <c r="AQ105" i="40"/>
  <c r="KP132" i="40"/>
  <c r="KP137" i="40"/>
  <c r="KP118" i="40"/>
  <c r="KP129" i="40"/>
  <c r="JD132" i="40"/>
  <c r="JS132" i="40" s="1"/>
  <c r="KJ129" i="40"/>
  <c r="KJ104" i="40"/>
  <c r="KK137" i="40"/>
  <c r="JD105" i="40"/>
  <c r="JT105" i="40" s="1"/>
  <c r="JX105" i="40" s="1"/>
  <c r="KK130" i="40"/>
  <c r="AQ118" i="40"/>
  <c r="KP130" i="40"/>
  <c r="JD118" i="40"/>
  <c r="JR118" i="40" s="1"/>
  <c r="JD129" i="40"/>
  <c r="JQ129" i="40" s="1"/>
  <c r="JU129" i="40" s="1"/>
  <c r="JV129" i="40" s="1"/>
  <c r="JW129" i="40" s="1"/>
  <c r="J9" i="44"/>
  <c r="N9" i="44" s="1"/>
  <c r="K42" i="44"/>
  <c r="K35" i="44"/>
  <c r="JD104" i="40"/>
  <c r="JT104" i="40" s="1"/>
  <c r="JX104" i="40" s="1"/>
  <c r="AQ130" i="40"/>
  <c r="JD140" i="40"/>
  <c r="JQ140" i="40" s="1"/>
  <c r="JU140" i="40" s="1"/>
  <c r="JV140" i="40" s="1"/>
  <c r="JW140" i="40" s="1"/>
  <c r="JD137" i="40"/>
  <c r="JQ137" i="40" s="1"/>
  <c r="JU137" i="40" s="1"/>
  <c r="JV137" i="40" s="1"/>
  <c r="JW137" i="40" s="1"/>
  <c r="AQ132" i="40"/>
  <c r="KK105" i="40"/>
  <c r="KI122" i="40"/>
  <c r="JD147" i="40"/>
  <c r="JQ147" i="40" s="1"/>
  <c r="JU147" i="40" s="1"/>
  <c r="JV147" i="40" s="1"/>
  <c r="JW147" i="40" s="1"/>
  <c r="KI150" i="40"/>
  <c r="KP103" i="40"/>
  <c r="KP122" i="40"/>
  <c r="KI140" i="40"/>
  <c r="AQ122" i="40"/>
  <c r="KP150" i="40"/>
  <c r="JD103" i="40"/>
  <c r="JQ103" i="40" s="1"/>
  <c r="JU103" i="40" s="1"/>
  <c r="JV103" i="40" s="1"/>
  <c r="JW103" i="40" s="1"/>
  <c r="JD150" i="40"/>
  <c r="JQ150" i="40" s="1"/>
  <c r="JU150" i="40" s="1"/>
  <c r="JV150" i="40" s="1"/>
  <c r="JW150" i="40" s="1"/>
  <c r="AT17" i="58"/>
  <c r="W33" i="62"/>
  <c r="W55" i="62" s="1"/>
  <c r="KP102" i="40"/>
  <c r="KP127" i="40"/>
  <c r="AQ101" i="40"/>
  <c r="AQ115" i="40"/>
  <c r="KI102" i="40"/>
  <c r="JD102" i="40"/>
  <c r="AQ102" i="40"/>
  <c r="O33" i="62" s="1"/>
  <c r="O57" i="62" s="1"/>
  <c r="JD127" i="40"/>
  <c r="JT127" i="40" s="1"/>
  <c r="JX127" i="40" s="1"/>
  <c r="J7" i="61"/>
  <c r="AQ7" i="61" s="1"/>
  <c r="W7" i="61" s="1"/>
  <c r="KK115" i="40"/>
  <c r="I7" i="44"/>
  <c r="CV258" i="40"/>
  <c r="CK457" i="40"/>
  <c r="AM457" i="40"/>
  <c r="CQ457" i="40"/>
  <c r="AO457" i="40"/>
  <c r="AN457" i="40"/>
  <c r="CP457" i="40"/>
  <c r="BJ458" i="40"/>
  <c r="BZ458" i="40"/>
  <c r="AX458" i="40"/>
  <c r="BO458" i="40"/>
  <c r="CE458" i="40"/>
  <c r="AZ458" i="40"/>
  <c r="BP458" i="40"/>
  <c r="CF458" i="40"/>
  <c r="BA458" i="40"/>
  <c r="BI458" i="40"/>
  <c r="IZ458" i="40"/>
  <c r="JP458" i="40"/>
  <c r="AW458" i="40"/>
  <c r="BN458" i="40"/>
  <c r="CD458" i="40"/>
  <c r="BC458" i="40"/>
  <c r="BS458" i="40"/>
  <c r="CJ458" i="40"/>
  <c r="BD458" i="40"/>
  <c r="BT458" i="40"/>
  <c r="DM458" i="40"/>
  <c r="BQ458" i="40"/>
  <c r="BE458" i="40"/>
  <c r="CC458" i="40"/>
  <c r="BY458" i="40"/>
  <c r="IA458" i="40"/>
  <c r="IX458" i="40"/>
  <c r="BB458" i="40"/>
  <c r="BR458" i="40"/>
  <c r="CH458" i="40"/>
  <c r="BG458" i="40"/>
  <c r="BW458" i="40"/>
  <c r="DU458" i="40"/>
  <c r="BH458" i="40"/>
  <c r="BX458" i="40"/>
  <c r="DV458" i="40"/>
  <c r="CG458" i="40"/>
  <c r="BU458" i="40"/>
  <c r="DW458" i="40"/>
  <c r="HZ458" i="40"/>
  <c r="IY458" i="40"/>
  <c r="C459" i="40"/>
  <c r="BF458" i="40"/>
  <c r="BV458" i="40"/>
  <c r="DT458" i="40"/>
  <c r="BK458" i="40"/>
  <c r="CA458" i="40"/>
  <c r="A458" i="40"/>
  <c r="BL458" i="40"/>
  <c r="CB458" i="40"/>
  <c r="JO458" i="40"/>
  <c r="DS458" i="40"/>
  <c r="BM458" i="40"/>
  <c r="HY458" i="40"/>
  <c r="DB457" i="40"/>
  <c r="JD107" i="40"/>
  <c r="JQ107" i="40" s="1"/>
  <c r="JU107" i="40" s="1"/>
  <c r="JV107" i="40" s="1"/>
  <c r="JW107" i="40" s="1"/>
  <c r="K52" i="44"/>
  <c r="AQ140" i="40"/>
  <c r="AQ147" i="40"/>
  <c r="KI107" i="40"/>
  <c r="KK140" i="40"/>
  <c r="KP107" i="40"/>
  <c r="KP140" i="40"/>
  <c r="AP258" i="40"/>
  <c r="DB258" i="40"/>
  <c r="CP258" i="40"/>
  <c r="AN258" i="40"/>
  <c r="AZ259" i="40"/>
  <c r="BP259" i="40"/>
  <c r="CF259" i="40"/>
  <c r="BA259" i="40"/>
  <c r="BQ259" i="40"/>
  <c r="CG259" i="40"/>
  <c r="AW259" i="40"/>
  <c r="BN259" i="40"/>
  <c r="CD259" i="40"/>
  <c r="BG259" i="40"/>
  <c r="BK259" i="40"/>
  <c r="BO259" i="40"/>
  <c r="IZ259" i="40"/>
  <c r="BD259" i="40"/>
  <c r="BT259" i="40"/>
  <c r="DM259" i="40"/>
  <c r="BE259" i="40"/>
  <c r="BU259" i="40"/>
  <c r="DS259" i="40"/>
  <c r="BB259" i="40"/>
  <c r="BR259" i="40"/>
  <c r="CH259" i="40"/>
  <c r="BW259" i="40"/>
  <c r="CA259" i="40"/>
  <c r="CE259" i="40"/>
  <c r="JO259" i="40"/>
  <c r="HZ259" i="40"/>
  <c r="HY259" i="40"/>
  <c r="IY259" i="40"/>
  <c r="C260" i="40"/>
  <c r="BH259" i="40"/>
  <c r="BX259" i="40"/>
  <c r="DV259" i="40"/>
  <c r="BI259" i="40"/>
  <c r="BY259" i="40"/>
  <c r="DW259" i="40"/>
  <c r="BF259" i="40"/>
  <c r="BV259" i="40"/>
  <c r="DT259" i="40"/>
  <c r="DU259" i="40"/>
  <c r="BS259" i="40"/>
  <c r="BC259" i="40"/>
  <c r="IA259" i="40"/>
  <c r="JP259" i="40"/>
  <c r="A259" i="40"/>
  <c r="BL259" i="40"/>
  <c r="CB259" i="40"/>
  <c r="BM259" i="40"/>
  <c r="CC259" i="40"/>
  <c r="BJ259" i="40"/>
  <c r="BZ259" i="40"/>
  <c r="AX259" i="40"/>
  <c r="CJ259" i="40"/>
  <c r="IX259" i="40"/>
  <c r="CQ258" i="40"/>
  <c r="AO258" i="40"/>
  <c r="CK258" i="40"/>
  <c r="AM258" i="40"/>
  <c r="IO158" i="40"/>
  <c r="JA158" i="40" s="1"/>
  <c r="HW157" i="40"/>
  <c r="IC157" i="40" s="1"/>
  <c r="JJ156" i="40"/>
  <c r="JK156" i="40" s="1"/>
  <c r="JL156" i="40" s="1"/>
  <c r="HX157" i="40"/>
  <c r="ID157" i="40" s="1"/>
  <c r="ID156" i="40"/>
  <c r="IB156" i="40" s="1"/>
  <c r="IF156" i="40" s="1"/>
  <c r="DB158" i="40"/>
  <c r="N10" i="44"/>
  <c r="AP158" i="40"/>
  <c r="CV358" i="40"/>
  <c r="CV158" i="40"/>
  <c r="AK158" i="40"/>
  <c r="AL158" i="40"/>
  <c r="CK158" i="40"/>
  <c r="AM158" i="40"/>
  <c r="JH157" i="40"/>
  <c r="JS101" i="40"/>
  <c r="KO154" i="40"/>
  <c r="AO358" i="40"/>
  <c r="CQ358" i="40"/>
  <c r="AN358" i="40"/>
  <c r="CP358" i="40"/>
  <c r="CP158" i="40"/>
  <c r="HW158" i="40" s="1"/>
  <c r="AN158" i="40"/>
  <c r="HT158" i="40"/>
  <c r="IF154" i="40"/>
  <c r="IE154" i="40"/>
  <c r="KI154" i="40" s="1"/>
  <c r="IG154" i="40"/>
  <c r="KK154" i="40" s="1"/>
  <c r="V49" i="58"/>
  <c r="V65" i="58"/>
  <c r="V59" i="58"/>
  <c r="R33" i="58"/>
  <c r="V53" i="58"/>
  <c r="V69" i="58"/>
  <c r="V63" i="58"/>
  <c r="V57" i="58"/>
  <c r="V51" i="58"/>
  <c r="V67" i="58"/>
  <c r="V61" i="58"/>
  <c r="V55" i="58"/>
  <c r="V71" i="58"/>
  <c r="AM71" i="58"/>
  <c r="AM51" i="58"/>
  <c r="AM57" i="58"/>
  <c r="AM49" i="58"/>
  <c r="AM69" i="58"/>
  <c r="AM55" i="58"/>
  <c r="AM59" i="58"/>
  <c r="AM63" i="58"/>
  <c r="AM65" i="58"/>
  <c r="AM61" i="58"/>
  <c r="AM67" i="58"/>
  <c r="AM53" i="58"/>
  <c r="IK159" i="40"/>
  <c r="IN159" i="40" s="1"/>
  <c r="IJ159" i="40"/>
  <c r="IM159" i="40" s="1"/>
  <c r="JF159" i="40"/>
  <c r="HO159" i="40" s="1"/>
  <c r="HR159" i="40" s="1"/>
  <c r="II159" i="40"/>
  <c r="IL159" i="40" s="1"/>
  <c r="C160" i="40"/>
  <c r="AW159" i="40"/>
  <c r="BB159" i="40"/>
  <c r="BF159" i="40"/>
  <c r="BJ159" i="40"/>
  <c r="BN159" i="40"/>
  <c r="BR159" i="40"/>
  <c r="BV159" i="40"/>
  <c r="BZ159" i="40"/>
  <c r="CD159" i="40"/>
  <c r="CH159" i="40"/>
  <c r="DT159" i="40"/>
  <c r="A159" i="40"/>
  <c r="AX159" i="40"/>
  <c r="BC159" i="40"/>
  <c r="BG159" i="40"/>
  <c r="BK159" i="40"/>
  <c r="BO159" i="40"/>
  <c r="BS159" i="40"/>
  <c r="BW159" i="40"/>
  <c r="CA159" i="40"/>
  <c r="CE159" i="40"/>
  <c r="CJ159" i="40"/>
  <c r="DU159" i="40"/>
  <c r="AZ159" i="40"/>
  <c r="BD159" i="40"/>
  <c r="BH159" i="40"/>
  <c r="BL159" i="40"/>
  <c r="BP159" i="40"/>
  <c r="BT159" i="40"/>
  <c r="BX159" i="40"/>
  <c r="CB159" i="40"/>
  <c r="CF159" i="40"/>
  <c r="DM159" i="40"/>
  <c r="DV159" i="40"/>
  <c r="BI159" i="40"/>
  <c r="BY159" i="40"/>
  <c r="DW159" i="40"/>
  <c r="BM159" i="40"/>
  <c r="CC159" i="40"/>
  <c r="BA159" i="40"/>
  <c r="BQ159" i="40"/>
  <c r="CG159" i="40"/>
  <c r="BE159" i="40"/>
  <c r="BU159" i="40"/>
  <c r="DS159" i="40"/>
  <c r="JO159" i="40"/>
  <c r="IX159" i="40"/>
  <c r="IZ159" i="40"/>
  <c r="HY159" i="40"/>
  <c r="HZ159" i="40"/>
  <c r="IA159" i="40"/>
  <c r="IY159" i="40"/>
  <c r="JP159" i="40"/>
  <c r="JG159" i="40"/>
  <c r="HS158" i="40"/>
  <c r="N12" i="44"/>
  <c r="KL105" i="40"/>
  <c r="Y33" i="62"/>
  <c r="Q55" i="62"/>
  <c r="Q63" i="62"/>
  <c r="Q59" i="62"/>
  <c r="Q57" i="62"/>
  <c r="Q61" i="62"/>
  <c r="Q71" i="62"/>
  <c r="Q65" i="62"/>
  <c r="Q69" i="62"/>
  <c r="Q67" i="62"/>
  <c r="Q51" i="62"/>
  <c r="Q53" i="62"/>
  <c r="JQ143" i="40"/>
  <c r="JU143" i="40" s="1"/>
  <c r="JV143" i="40" s="1"/>
  <c r="JW143" i="40" s="1"/>
  <c r="JM155" i="40"/>
  <c r="IB155" i="40"/>
  <c r="DB358" i="40"/>
  <c r="AP358" i="40"/>
  <c r="CK358" i="40"/>
  <c r="AM358" i="40"/>
  <c r="C360" i="40"/>
  <c r="BA359" i="40"/>
  <c r="BE359" i="40"/>
  <c r="BI359" i="40"/>
  <c r="BM359" i="40"/>
  <c r="BQ359" i="40"/>
  <c r="BU359" i="40"/>
  <c r="BY359" i="40"/>
  <c r="CC359" i="40"/>
  <c r="CG359" i="40"/>
  <c r="DS359" i="40"/>
  <c r="DW359" i="40"/>
  <c r="AW359" i="40"/>
  <c r="BB359" i="40"/>
  <c r="BF359" i="40"/>
  <c r="BJ359" i="40"/>
  <c r="BN359" i="40"/>
  <c r="BR359" i="40"/>
  <c r="BV359" i="40"/>
  <c r="BZ359" i="40"/>
  <c r="CD359" i="40"/>
  <c r="CH359" i="40"/>
  <c r="DT359" i="40"/>
  <c r="AX359" i="40"/>
  <c r="BC359" i="40"/>
  <c r="BG359" i="40"/>
  <c r="BK359" i="40"/>
  <c r="BO359" i="40"/>
  <c r="BS359" i="40"/>
  <c r="BW359" i="40"/>
  <c r="CA359" i="40"/>
  <c r="CE359" i="40"/>
  <c r="CJ359" i="40"/>
  <c r="DU359" i="40"/>
  <c r="AZ359" i="40"/>
  <c r="BP359" i="40"/>
  <c r="CF359" i="40"/>
  <c r="BD359" i="40"/>
  <c r="BT359" i="40"/>
  <c r="DM359" i="40"/>
  <c r="A359" i="40"/>
  <c r="BH359" i="40"/>
  <c r="BX359" i="40"/>
  <c r="DV359" i="40"/>
  <c r="BL359" i="40"/>
  <c r="CB359" i="40"/>
  <c r="JO359" i="40"/>
  <c r="IY359" i="40"/>
  <c r="IZ359" i="40"/>
  <c r="IA359" i="40"/>
  <c r="HY359" i="40"/>
  <c r="IX359" i="40"/>
  <c r="HZ359" i="40"/>
  <c r="JP359" i="40"/>
  <c r="CQ158" i="40"/>
  <c r="AO158" i="40"/>
  <c r="HN158" i="40"/>
  <c r="HQ158" i="40" s="1"/>
  <c r="IQ158" i="40"/>
  <c r="JC158" i="40" s="1"/>
  <c r="IP158" i="40"/>
  <c r="JB158" i="40" s="1"/>
  <c r="HM158" i="40"/>
  <c r="HP158" i="40" s="1"/>
  <c r="HU158" i="40"/>
  <c r="JI157" i="40"/>
  <c r="JS131" i="40" l="1"/>
  <c r="JT116" i="40"/>
  <c r="JX116" i="40" s="1"/>
  <c r="IA658" i="40"/>
  <c r="IZ658" i="40" s="1"/>
  <c r="AV17" i="62"/>
  <c r="HZ658" i="40"/>
  <c r="JQ101" i="40"/>
  <c r="JU101" i="40" s="1"/>
  <c r="JV101" i="40" s="1"/>
  <c r="JW101" i="40" s="1"/>
  <c r="CI443" i="40"/>
  <c r="CI343" i="40"/>
  <c r="JT101" i="40"/>
  <c r="N13" i="44"/>
  <c r="CI642" i="40"/>
  <c r="CI243" i="40"/>
  <c r="CI542" i="40"/>
  <c r="CI159" i="40"/>
  <c r="N14" i="44"/>
  <c r="JS120" i="40"/>
  <c r="JR148" i="40"/>
  <c r="S57" i="58"/>
  <c r="JT143" i="40"/>
  <c r="JX143" i="40" s="1"/>
  <c r="JQ128" i="40"/>
  <c r="JU128" i="40" s="1"/>
  <c r="JV128" i="40" s="1"/>
  <c r="JW128" i="40" s="1"/>
  <c r="JR143" i="40"/>
  <c r="JS113" i="40"/>
  <c r="JS149" i="40"/>
  <c r="CV259" i="40"/>
  <c r="JQ116" i="40"/>
  <c r="JU116" i="40" s="1"/>
  <c r="JV116" i="40" s="1"/>
  <c r="JW116" i="40" s="1"/>
  <c r="JT131" i="40"/>
  <c r="JX131" i="40" s="1"/>
  <c r="JS116" i="40"/>
  <c r="JQ131" i="40"/>
  <c r="JU131" i="40" s="1"/>
  <c r="JV131" i="40" s="1"/>
  <c r="JW131" i="40" s="1"/>
  <c r="JS134" i="40"/>
  <c r="JR113" i="40"/>
  <c r="JT113" i="40"/>
  <c r="JX113" i="40" s="1"/>
  <c r="JQ149" i="40"/>
  <c r="JU149" i="40" s="1"/>
  <c r="JV149" i="40" s="1"/>
  <c r="JW149" i="40" s="1"/>
  <c r="JT149" i="40"/>
  <c r="JX149" i="40" s="1"/>
  <c r="JQ106" i="40"/>
  <c r="JU106" i="40" s="1"/>
  <c r="JV106" i="40" s="1"/>
  <c r="JW106" i="40" s="1"/>
  <c r="JT117" i="40"/>
  <c r="JX117" i="40" s="1"/>
  <c r="JS106" i="40"/>
  <c r="JR139" i="40"/>
  <c r="JS133" i="40"/>
  <c r="JQ108" i="40"/>
  <c r="JU108" i="40" s="1"/>
  <c r="JV108" i="40" s="1"/>
  <c r="JW108" i="40" s="1"/>
  <c r="JS121" i="40"/>
  <c r="JR152" i="40"/>
  <c r="JT125" i="40"/>
  <c r="JX125" i="40" s="1"/>
  <c r="JS152" i="40"/>
  <c r="JT152" i="40"/>
  <c r="JX152" i="40" s="1"/>
  <c r="JT136" i="40"/>
  <c r="JX136" i="40" s="1"/>
  <c r="JT128" i="40"/>
  <c r="JX128" i="40" s="1"/>
  <c r="KT101" i="40"/>
  <c r="KT102" i="40" s="1"/>
  <c r="JT115" i="40"/>
  <c r="JX115" i="40" s="1"/>
  <c r="JS117" i="40"/>
  <c r="JR128" i="40"/>
  <c r="JR106" i="40"/>
  <c r="JR117" i="40"/>
  <c r="JS148" i="40"/>
  <c r="JQ148" i="40"/>
  <c r="JU148" i="40" s="1"/>
  <c r="JV148" i="40" s="1"/>
  <c r="JW148" i="40" s="1"/>
  <c r="S69" i="58"/>
  <c r="O16" i="44"/>
  <c r="S51" i="58"/>
  <c r="JR112" i="40"/>
  <c r="JQ133" i="40"/>
  <c r="JU133" i="40" s="1"/>
  <c r="JV133" i="40" s="1"/>
  <c r="JW133" i="40" s="1"/>
  <c r="JR133" i="40"/>
  <c r="JR126" i="40"/>
  <c r="JQ139" i="40"/>
  <c r="JU139" i="40" s="1"/>
  <c r="JV139" i="40" s="1"/>
  <c r="JW139" i="40" s="1"/>
  <c r="JR136" i="40"/>
  <c r="JR125" i="40"/>
  <c r="HY658" i="40"/>
  <c r="IX658" i="40" s="1"/>
  <c r="JS136" i="40"/>
  <c r="JS125" i="40"/>
  <c r="DB259" i="40"/>
  <c r="CV458" i="40"/>
  <c r="S49" i="58"/>
  <c r="S63" i="58"/>
  <c r="JT112" i="40"/>
  <c r="JX112" i="40" s="1"/>
  <c r="S61" i="58"/>
  <c r="S65" i="58"/>
  <c r="S53" i="58"/>
  <c r="AA33" i="58"/>
  <c r="AA59" i="58" s="1"/>
  <c r="JQ112" i="40"/>
  <c r="JU112" i="40" s="1"/>
  <c r="JV112" i="40" s="1"/>
  <c r="JW112" i="40" s="1"/>
  <c r="JQ114" i="40"/>
  <c r="JU114" i="40" s="1"/>
  <c r="JV114" i="40" s="1"/>
  <c r="JW114" i="40" s="1"/>
  <c r="S59" i="58"/>
  <c r="S55" i="58"/>
  <c r="S71" i="58"/>
  <c r="JT139" i="40"/>
  <c r="JX139" i="40" s="1"/>
  <c r="JQ144" i="40"/>
  <c r="JU144" i="40" s="1"/>
  <c r="JV144" i="40" s="1"/>
  <c r="JW144" i="40" s="1"/>
  <c r="JQ110" i="40"/>
  <c r="JU110" i="40" s="1"/>
  <c r="JV110" i="40" s="1"/>
  <c r="JW110" i="40" s="1"/>
  <c r="JR144" i="40"/>
  <c r="JR135" i="40"/>
  <c r="JS110" i="40"/>
  <c r="JQ119" i="40"/>
  <c r="JU119" i="40" s="1"/>
  <c r="JV119" i="40" s="1"/>
  <c r="JW119" i="40" s="1"/>
  <c r="JQ153" i="40"/>
  <c r="JU153" i="40" s="1"/>
  <c r="JV153" i="40" s="1"/>
  <c r="JW153" i="40" s="1"/>
  <c r="JS126" i="40"/>
  <c r="JR108" i="40"/>
  <c r="JQ126" i="40"/>
  <c r="JU126" i="40" s="1"/>
  <c r="JV126" i="40" s="1"/>
  <c r="JW126" i="40" s="1"/>
  <c r="JS108" i="40"/>
  <c r="N15" i="44"/>
  <c r="O11" i="44"/>
  <c r="JS145" i="40"/>
  <c r="N7" i="44"/>
  <c r="JT144" i="40"/>
  <c r="JX144" i="40" s="1"/>
  <c r="JR110" i="40"/>
  <c r="JT111" i="40"/>
  <c r="JX111" i="40" s="1"/>
  <c r="JQ120" i="40"/>
  <c r="JU120" i="40" s="1"/>
  <c r="JV120" i="40" s="1"/>
  <c r="JW120" i="40" s="1"/>
  <c r="JR120" i="40"/>
  <c r="JS140" i="40"/>
  <c r="KR142" i="40"/>
  <c r="AK58" i="62"/>
  <c r="JR132" i="40"/>
  <c r="CV659" i="40"/>
  <c r="JQ118" i="40"/>
  <c r="JU118" i="40" s="1"/>
  <c r="JV118" i="40" s="1"/>
  <c r="JW118" i="40" s="1"/>
  <c r="AV17" i="58"/>
  <c r="JR105" i="40"/>
  <c r="JQ123" i="40"/>
  <c r="JU123" i="40" s="1"/>
  <c r="JV123" i="40" s="1"/>
  <c r="JW123" i="40" s="1"/>
  <c r="JT109" i="40"/>
  <c r="JX109" i="40" s="1"/>
  <c r="JR142" i="40"/>
  <c r="JR123" i="40"/>
  <c r="JT123" i="40"/>
  <c r="JX123" i="40" s="1"/>
  <c r="O63" i="62"/>
  <c r="DB659" i="40"/>
  <c r="JT153" i="40"/>
  <c r="JX153" i="40" s="1"/>
  <c r="JQ145" i="40"/>
  <c r="JU145" i="40" s="1"/>
  <c r="JV145" i="40" s="1"/>
  <c r="JW145" i="40" s="1"/>
  <c r="JT119" i="40"/>
  <c r="JX119" i="40" s="1"/>
  <c r="JQ111" i="40"/>
  <c r="JU111" i="40" s="1"/>
  <c r="JV111" i="40" s="1"/>
  <c r="JW111" i="40" s="1"/>
  <c r="JR153" i="40"/>
  <c r="JR145" i="40"/>
  <c r="JR119" i="40"/>
  <c r="JS111" i="40"/>
  <c r="JT142" i="40"/>
  <c r="JX142" i="40" s="1"/>
  <c r="JS135" i="40"/>
  <c r="JQ138" i="40"/>
  <c r="JU138" i="40" s="1"/>
  <c r="JV138" i="40" s="1"/>
  <c r="JW138" i="40" s="1"/>
  <c r="N8" i="44"/>
  <c r="JS142" i="40"/>
  <c r="JQ135" i="40"/>
  <c r="JU135" i="40" s="1"/>
  <c r="JV135" i="40" s="1"/>
  <c r="JW135" i="40" s="1"/>
  <c r="JS109" i="40"/>
  <c r="JQ121" i="40"/>
  <c r="JU121" i="40" s="1"/>
  <c r="JV121" i="40" s="1"/>
  <c r="JW121" i="40" s="1"/>
  <c r="O61" i="62"/>
  <c r="O71" i="62"/>
  <c r="JQ115" i="40"/>
  <c r="JU115" i="40" s="1"/>
  <c r="JV115" i="40" s="1"/>
  <c r="JW115" i="40" s="1"/>
  <c r="JQ109" i="40"/>
  <c r="JU109" i="40" s="1"/>
  <c r="JV109" i="40" s="1"/>
  <c r="JW109" i="40" s="1"/>
  <c r="JR121" i="40"/>
  <c r="AK68" i="62"/>
  <c r="JR115" i="40"/>
  <c r="JR134" i="40"/>
  <c r="JR140" i="40"/>
  <c r="O14" i="44"/>
  <c r="JQ134" i="40"/>
  <c r="JU134" i="40" s="1"/>
  <c r="JV134" i="40" s="1"/>
  <c r="JW134" i="40" s="1"/>
  <c r="JT140" i="40"/>
  <c r="JX140" i="40" s="1"/>
  <c r="V71" i="62"/>
  <c r="AK66" i="62"/>
  <c r="AO659" i="40"/>
  <c r="CQ659" i="40"/>
  <c r="DB558" i="40"/>
  <c r="CK558" i="40"/>
  <c r="AM558" i="40"/>
  <c r="AJ360" i="40"/>
  <c r="AF360" i="40"/>
  <c r="AB360" i="40"/>
  <c r="X360" i="40"/>
  <c r="T360" i="40"/>
  <c r="CR360" i="40" s="1"/>
  <c r="P360" i="40"/>
  <c r="L360" i="40"/>
  <c r="CL360" i="40" s="1"/>
  <c r="H360" i="40"/>
  <c r="AI360" i="40"/>
  <c r="AE360" i="40"/>
  <c r="AA360" i="40"/>
  <c r="CI444" i="40" s="1"/>
  <c r="W360" i="40"/>
  <c r="CU360" i="40" s="1"/>
  <c r="S360" i="40"/>
  <c r="O360" i="40"/>
  <c r="CO360" i="40" s="1"/>
  <c r="K360" i="40"/>
  <c r="G360" i="40"/>
  <c r="AH360" i="40"/>
  <c r="AD360" i="40"/>
  <c r="Z360" i="40"/>
  <c r="V360" i="40"/>
  <c r="CT360" i="40" s="1"/>
  <c r="R360" i="40"/>
  <c r="N360" i="40"/>
  <c r="CN360" i="40" s="1"/>
  <c r="J360" i="40"/>
  <c r="F360" i="40"/>
  <c r="U360" i="40"/>
  <c r="CS360" i="40" s="1"/>
  <c r="E360" i="40"/>
  <c r="AG360" i="40"/>
  <c r="Q360" i="40"/>
  <c r="AC360" i="40"/>
  <c r="M360" i="40"/>
  <c r="CM360" i="40" s="1"/>
  <c r="I360" i="40"/>
  <c r="Y360" i="40"/>
  <c r="AG160" i="40"/>
  <c r="AC160" i="40"/>
  <c r="Y160" i="40"/>
  <c r="U160" i="40"/>
  <c r="CS160" i="40" s="1"/>
  <c r="Q160" i="40"/>
  <c r="M160" i="40"/>
  <c r="CM160" i="40" s="1"/>
  <c r="I160" i="40"/>
  <c r="E160" i="40"/>
  <c r="AI160" i="40"/>
  <c r="AE160" i="40"/>
  <c r="AA160" i="40"/>
  <c r="W160" i="40"/>
  <c r="CU160" i="40" s="1"/>
  <c r="S160" i="40"/>
  <c r="O160" i="40"/>
  <c r="CO160" i="40" s="1"/>
  <c r="K160" i="40"/>
  <c r="G160" i="40"/>
  <c r="AF160" i="40"/>
  <c r="X160" i="40"/>
  <c r="P160" i="40"/>
  <c r="H160" i="40"/>
  <c r="Z160" i="40"/>
  <c r="AD160" i="40"/>
  <c r="V160" i="40"/>
  <c r="CT160" i="40" s="1"/>
  <c r="N160" i="40"/>
  <c r="CN160" i="40" s="1"/>
  <c r="F160" i="40"/>
  <c r="R160" i="40"/>
  <c r="AJ160" i="40"/>
  <c r="AB160" i="40"/>
  <c r="T160" i="40"/>
  <c r="CR160" i="40" s="1"/>
  <c r="L160" i="40"/>
  <c r="CL160" i="40" s="1"/>
  <c r="AH160" i="40"/>
  <c r="J160" i="40"/>
  <c r="AH260" i="40"/>
  <c r="AD260" i="40"/>
  <c r="Z260" i="40"/>
  <c r="V260" i="40"/>
  <c r="CT260" i="40" s="1"/>
  <c r="R260" i="40"/>
  <c r="N260" i="40"/>
  <c r="CN260" i="40" s="1"/>
  <c r="J260" i="40"/>
  <c r="F260" i="40"/>
  <c r="AJ260" i="40"/>
  <c r="AF260" i="40"/>
  <c r="AB260" i="40"/>
  <c r="X260" i="40"/>
  <c r="T260" i="40"/>
  <c r="CR260" i="40" s="1"/>
  <c r="P260" i="40"/>
  <c r="L260" i="40"/>
  <c r="CL260" i="40" s="1"/>
  <c r="H260" i="40"/>
  <c r="AC260" i="40"/>
  <c r="U260" i="40"/>
  <c r="CS260" i="40" s="1"/>
  <c r="M260" i="40"/>
  <c r="CM260" i="40" s="1"/>
  <c r="E260" i="40"/>
  <c r="AI260" i="40"/>
  <c r="AA260" i="40"/>
  <c r="S260" i="40"/>
  <c r="K260" i="40"/>
  <c r="AG260" i="40"/>
  <c r="Y260" i="40"/>
  <c r="Q260" i="40"/>
  <c r="I260" i="40"/>
  <c r="AE260" i="40"/>
  <c r="W260" i="40"/>
  <c r="CU260" i="40" s="1"/>
  <c r="O260" i="40"/>
  <c r="CO260" i="40" s="1"/>
  <c r="G260" i="40"/>
  <c r="AP659" i="40"/>
  <c r="CP558" i="40"/>
  <c r="AN558" i="40"/>
  <c r="AP558" i="40"/>
  <c r="AI459" i="40"/>
  <c r="AE459" i="40"/>
  <c r="AA459" i="40"/>
  <c r="W459" i="40"/>
  <c r="CU459" i="40" s="1"/>
  <c r="S459" i="40"/>
  <c r="O459" i="40"/>
  <c r="CO459" i="40" s="1"/>
  <c r="K459" i="40"/>
  <c r="G459" i="40"/>
  <c r="AH459" i="40"/>
  <c r="AD459" i="40"/>
  <c r="Z459" i="40"/>
  <c r="V459" i="40"/>
  <c r="CT459" i="40" s="1"/>
  <c r="R459" i="40"/>
  <c r="N459" i="40"/>
  <c r="CN459" i="40" s="1"/>
  <c r="J459" i="40"/>
  <c r="F459" i="40"/>
  <c r="AG459" i="40"/>
  <c r="AC459" i="40"/>
  <c r="Y459" i="40"/>
  <c r="U459" i="40"/>
  <c r="CS459" i="40" s="1"/>
  <c r="Q459" i="40"/>
  <c r="M459" i="40"/>
  <c r="CM459" i="40" s="1"/>
  <c r="I459" i="40"/>
  <c r="E459" i="40"/>
  <c r="AJ459" i="40"/>
  <c r="T459" i="40"/>
  <c r="CR459" i="40" s="1"/>
  <c r="AF459" i="40"/>
  <c r="P459" i="40"/>
  <c r="AB459" i="40"/>
  <c r="L459" i="40"/>
  <c r="CL459" i="40" s="1"/>
  <c r="X459" i="40"/>
  <c r="H459" i="40"/>
  <c r="AF660" i="40"/>
  <c r="DU660" i="40"/>
  <c r="BU660" i="40"/>
  <c r="BE660" i="40"/>
  <c r="M660" i="40"/>
  <c r="CM660" i="40" s="1"/>
  <c r="CB660" i="40"/>
  <c r="BL660" i="40"/>
  <c r="AB660" i="40"/>
  <c r="CD660" i="40"/>
  <c r="AX660" i="40"/>
  <c r="BS660" i="40"/>
  <c r="DM660" i="40"/>
  <c r="BJ660" i="40"/>
  <c r="J660" i="40"/>
  <c r="BO660" i="40"/>
  <c r="CE660" i="40"/>
  <c r="JO660" i="40"/>
  <c r="H660" i="40"/>
  <c r="AI660" i="40"/>
  <c r="F660" i="40"/>
  <c r="CG660" i="40"/>
  <c r="BQ660" i="40"/>
  <c r="BA660" i="40"/>
  <c r="A660" i="40"/>
  <c r="BX660" i="40"/>
  <c r="BH660" i="40"/>
  <c r="P660" i="40"/>
  <c r="BV660" i="40"/>
  <c r="N660" i="40"/>
  <c r="CN660" i="40" s="1"/>
  <c r="BK660" i="40"/>
  <c r="CH660" i="40"/>
  <c r="BB660" i="40"/>
  <c r="DW660" i="40"/>
  <c r="BG660" i="40"/>
  <c r="C661" i="40"/>
  <c r="JP660" i="40"/>
  <c r="I660" i="40"/>
  <c r="AJ660" i="40"/>
  <c r="AC660" i="40"/>
  <c r="CC660" i="40"/>
  <c r="BM660" i="40"/>
  <c r="AW660" i="40"/>
  <c r="DT660" i="40"/>
  <c r="BT660" i="40"/>
  <c r="BD660" i="40"/>
  <c r="L660" i="40"/>
  <c r="CL660" i="40" s="1"/>
  <c r="BN660" i="40"/>
  <c r="DS660" i="40"/>
  <c r="BC660" i="40"/>
  <c r="BZ660" i="40"/>
  <c r="AH660" i="40"/>
  <c r="BW660" i="40"/>
  <c r="W660" i="40"/>
  <c r="CU660" i="40" s="1"/>
  <c r="KN660" i="40"/>
  <c r="CJ660" i="40"/>
  <c r="BI660" i="40"/>
  <c r="AZ660" i="40"/>
  <c r="K660" i="40"/>
  <c r="O660" i="40"/>
  <c r="CO660" i="40" s="1"/>
  <c r="AE660" i="40"/>
  <c r="AG660" i="40"/>
  <c r="DV660" i="40"/>
  <c r="BR660" i="40"/>
  <c r="CF660" i="40"/>
  <c r="BF660" i="40"/>
  <c r="R660" i="40"/>
  <c r="BY660" i="40"/>
  <c r="BP660" i="40"/>
  <c r="G660" i="40"/>
  <c r="CA660" i="40"/>
  <c r="T660" i="40"/>
  <c r="CR660" i="40" s="1"/>
  <c r="Z660" i="40"/>
  <c r="S660" i="40"/>
  <c r="Q660" i="40"/>
  <c r="V660" i="40"/>
  <c r="CT660" i="40" s="1"/>
  <c r="X660" i="40"/>
  <c r="U660" i="40"/>
  <c r="CS660" i="40" s="1"/>
  <c r="AD660" i="40"/>
  <c r="AA660" i="40"/>
  <c r="E660" i="40"/>
  <c r="Y660" i="40"/>
  <c r="AI559" i="40"/>
  <c r="AE559" i="40"/>
  <c r="AA559" i="40"/>
  <c r="W559" i="40"/>
  <c r="CU559" i="40" s="1"/>
  <c r="S559" i="40"/>
  <c r="O559" i="40"/>
  <c r="CO559" i="40" s="1"/>
  <c r="K559" i="40"/>
  <c r="G559" i="40"/>
  <c r="AH559" i="40"/>
  <c r="AD559" i="40"/>
  <c r="Z559" i="40"/>
  <c r="V559" i="40"/>
  <c r="CT559" i="40" s="1"/>
  <c r="R559" i="40"/>
  <c r="N559" i="40"/>
  <c r="CN559" i="40" s="1"/>
  <c r="J559" i="40"/>
  <c r="F559" i="40"/>
  <c r="AF559" i="40"/>
  <c r="X559" i="40"/>
  <c r="P559" i="40"/>
  <c r="H559" i="40"/>
  <c r="AC559" i="40"/>
  <c r="U559" i="40"/>
  <c r="CS559" i="40" s="1"/>
  <c r="M559" i="40"/>
  <c r="CM559" i="40" s="1"/>
  <c r="E559" i="40"/>
  <c r="AJ559" i="40"/>
  <c r="AB559" i="40"/>
  <c r="T559" i="40"/>
  <c r="CR559" i="40" s="1"/>
  <c r="L559" i="40"/>
  <c r="CL559" i="40" s="1"/>
  <c r="Y559" i="40"/>
  <c r="Q559" i="40"/>
  <c r="I559" i="40"/>
  <c r="AG559" i="40"/>
  <c r="BB559" i="40"/>
  <c r="BR559" i="40"/>
  <c r="CH559" i="40"/>
  <c r="AX559" i="40"/>
  <c r="BO559" i="40"/>
  <c r="CE559" i="40"/>
  <c r="BL559" i="40"/>
  <c r="CB559" i="40"/>
  <c r="BI559" i="40"/>
  <c r="BU559" i="40"/>
  <c r="DS559" i="40"/>
  <c r="IZ559" i="40"/>
  <c r="BF559" i="40"/>
  <c r="BV559" i="40"/>
  <c r="DT559" i="40"/>
  <c r="BC559" i="40"/>
  <c r="BS559" i="40"/>
  <c r="CJ559" i="40"/>
  <c r="AZ559" i="40"/>
  <c r="BP559" i="40"/>
  <c r="CF559" i="40"/>
  <c r="BY559" i="40"/>
  <c r="BM559" i="40"/>
  <c r="BA559" i="40"/>
  <c r="HZ559" i="40"/>
  <c r="IX559" i="40"/>
  <c r="C560" i="40"/>
  <c r="BJ559" i="40"/>
  <c r="BZ559" i="40"/>
  <c r="BG559" i="40"/>
  <c r="BW559" i="40"/>
  <c r="DU559" i="40"/>
  <c r="BD559" i="40"/>
  <c r="BT559" i="40"/>
  <c r="DM559" i="40"/>
  <c r="DW559" i="40"/>
  <c r="CC559" i="40"/>
  <c r="BQ559" i="40"/>
  <c r="HY559" i="40"/>
  <c r="IY559" i="40"/>
  <c r="AW559" i="40"/>
  <c r="BN559" i="40"/>
  <c r="CD559" i="40"/>
  <c r="BK559" i="40"/>
  <c r="CA559" i="40"/>
  <c r="A559" i="40"/>
  <c r="BH559" i="40"/>
  <c r="BX559" i="40"/>
  <c r="DV559" i="40"/>
  <c r="BE559" i="40"/>
  <c r="JO559" i="40"/>
  <c r="CG559" i="40"/>
  <c r="IA559" i="40"/>
  <c r="JP559" i="40"/>
  <c r="CV558" i="40"/>
  <c r="AO558" i="40"/>
  <c r="CQ558" i="40"/>
  <c r="AN659" i="40"/>
  <c r="CP659" i="40"/>
  <c r="CK659" i="40"/>
  <c r="AM659" i="40"/>
  <c r="AM71" i="62"/>
  <c r="JR141" i="40"/>
  <c r="JR124" i="40"/>
  <c r="KR120" i="40"/>
  <c r="JS114" i="40"/>
  <c r="KQ151" i="40"/>
  <c r="KS151" i="40" s="1"/>
  <c r="AM65" i="62"/>
  <c r="V55" i="62"/>
  <c r="JQ130" i="40"/>
  <c r="JU130" i="40" s="1"/>
  <c r="JV130" i="40" s="1"/>
  <c r="JW130" i="40" s="1"/>
  <c r="JT114" i="40"/>
  <c r="JX114" i="40" s="1"/>
  <c r="V57" i="62"/>
  <c r="U71" i="58"/>
  <c r="JT122" i="40"/>
  <c r="JX122" i="40" s="1"/>
  <c r="AM69" i="62"/>
  <c r="JT138" i="40"/>
  <c r="JX138" i="40" s="1"/>
  <c r="JQ146" i="40"/>
  <c r="JU146" i="40" s="1"/>
  <c r="JV146" i="40" s="1"/>
  <c r="JW146" i="40" s="1"/>
  <c r="JR138" i="40"/>
  <c r="JS107" i="40"/>
  <c r="AN69" i="62"/>
  <c r="AL61" i="58"/>
  <c r="U51" i="58"/>
  <c r="JR151" i="40"/>
  <c r="AM55" i="62"/>
  <c r="AM57" i="62"/>
  <c r="AM61" i="62"/>
  <c r="V51" i="62"/>
  <c r="V63" i="62"/>
  <c r="KQ125" i="40"/>
  <c r="KS125" i="40" s="1"/>
  <c r="JT130" i="40"/>
  <c r="JX130" i="40" s="1"/>
  <c r="KQ106" i="40"/>
  <c r="KS106" i="40" s="1"/>
  <c r="JT141" i="40"/>
  <c r="JX141" i="40" s="1"/>
  <c r="G24" i="70"/>
  <c r="JS124" i="40"/>
  <c r="KQ109" i="40"/>
  <c r="KS109" i="40" s="1"/>
  <c r="V65" i="62"/>
  <c r="AL49" i="58"/>
  <c r="U53" i="58"/>
  <c r="JT151" i="40"/>
  <c r="JX151" i="40" s="1"/>
  <c r="AM53" i="62"/>
  <c r="AM67" i="62"/>
  <c r="V61" i="62"/>
  <c r="V67" i="62"/>
  <c r="V59" i="62"/>
  <c r="JR130" i="40"/>
  <c r="JS141" i="40"/>
  <c r="G33" i="70"/>
  <c r="JQ124" i="40"/>
  <c r="JU124" i="40" s="1"/>
  <c r="JV124" i="40" s="1"/>
  <c r="JW124" i="40" s="1"/>
  <c r="KR141" i="40"/>
  <c r="AL69" i="58"/>
  <c r="U49" i="58"/>
  <c r="JQ151" i="40"/>
  <c r="JU151" i="40" s="1"/>
  <c r="JV151" i="40" s="1"/>
  <c r="JW151" i="40" s="1"/>
  <c r="AM51" i="62"/>
  <c r="AM63" i="62"/>
  <c r="AM59" i="62"/>
  <c r="V53" i="62"/>
  <c r="V69" i="62"/>
  <c r="O7" i="61"/>
  <c r="AF7" i="61" s="1"/>
  <c r="AJ7" i="61" s="1"/>
  <c r="D158" i="40"/>
  <c r="AY158" i="40" s="1"/>
  <c r="JT129" i="40"/>
  <c r="JX129" i="40" s="1"/>
  <c r="JT107" i="40"/>
  <c r="AT13" i="62"/>
  <c r="JR107" i="40"/>
  <c r="HV158" i="40"/>
  <c r="O6" i="44"/>
  <c r="KQ129" i="40"/>
  <c r="KS129" i="40" s="1"/>
  <c r="JR104" i="40"/>
  <c r="JQ104" i="40"/>
  <c r="JU104" i="40" s="1"/>
  <c r="JV104" i="40" s="1"/>
  <c r="JW104" i="40" s="1"/>
  <c r="JS146" i="40"/>
  <c r="JS104" i="40"/>
  <c r="JT118" i="40"/>
  <c r="JX118" i="40" s="1"/>
  <c r="JS129" i="40"/>
  <c r="JR129" i="40"/>
  <c r="JT146" i="40"/>
  <c r="JX146" i="40" s="1"/>
  <c r="KQ104" i="40"/>
  <c r="KS104" i="40" s="1"/>
  <c r="AN63" i="62"/>
  <c r="JT137" i="40"/>
  <c r="JX137" i="40" s="1"/>
  <c r="W65" i="62"/>
  <c r="KR103" i="40"/>
  <c r="E7" i="61" s="1"/>
  <c r="AL53" i="58"/>
  <c r="AL65" i="58"/>
  <c r="AL51" i="58"/>
  <c r="U55" i="58"/>
  <c r="U57" i="58"/>
  <c r="Q33" i="58"/>
  <c r="Q61" i="58" s="1"/>
  <c r="G34" i="70"/>
  <c r="KQ116" i="40"/>
  <c r="KS116" i="40" s="1"/>
  <c r="JS122" i="40"/>
  <c r="JR122" i="40"/>
  <c r="KQ126" i="40"/>
  <c r="KS126" i="40" s="1"/>
  <c r="KQ144" i="40"/>
  <c r="KS144" i="40" s="1"/>
  <c r="JT102" i="40"/>
  <c r="JX102" i="40" s="1"/>
  <c r="KQ101" i="40"/>
  <c r="KS101" i="40" s="1"/>
  <c r="KR126" i="40"/>
  <c r="KR109" i="40"/>
  <c r="AS16" i="58" s="1"/>
  <c r="KR107" i="40"/>
  <c r="AL57" i="58"/>
  <c r="AL59" i="58"/>
  <c r="AL67" i="58"/>
  <c r="U61" i="58"/>
  <c r="U63" i="58"/>
  <c r="U59" i="58"/>
  <c r="G36" i="70"/>
  <c r="KQ149" i="40"/>
  <c r="KS149" i="40" s="1"/>
  <c r="KR153" i="40"/>
  <c r="KQ131" i="40"/>
  <c r="KS131" i="40" s="1"/>
  <c r="G26" i="70"/>
  <c r="KQ135" i="40"/>
  <c r="KS135" i="40" s="1"/>
  <c r="JT150" i="40"/>
  <c r="JX150" i="40" s="1"/>
  <c r="KQ117" i="40"/>
  <c r="KS117" i="40" s="1"/>
  <c r="KR108" i="40"/>
  <c r="KR129" i="40"/>
  <c r="KR122" i="40"/>
  <c r="KQ132" i="40"/>
  <c r="KS132" i="40" s="1"/>
  <c r="AL63" i="58"/>
  <c r="AL71" i="58"/>
  <c r="AL55" i="58"/>
  <c r="U67" i="58"/>
  <c r="U69" i="58"/>
  <c r="U65" i="58"/>
  <c r="KQ153" i="40"/>
  <c r="KS153" i="40" s="1"/>
  <c r="KQ147" i="40"/>
  <c r="KS147" i="40" s="1"/>
  <c r="KQ143" i="40"/>
  <c r="KS143" i="40" s="1"/>
  <c r="G35" i="70"/>
  <c r="KQ139" i="40"/>
  <c r="KS139" i="40" s="1"/>
  <c r="KQ130" i="40"/>
  <c r="KS130" i="40" s="1"/>
  <c r="KQ142" i="40"/>
  <c r="KS142" i="40" s="1"/>
  <c r="KQ146" i="40"/>
  <c r="KS146" i="40" s="1"/>
  <c r="KQ152" i="40"/>
  <c r="KS152" i="40" s="1"/>
  <c r="G25" i="70"/>
  <c r="KR125" i="40"/>
  <c r="KR139" i="40"/>
  <c r="KR112" i="40"/>
  <c r="KR117" i="40"/>
  <c r="AU16" i="58" s="1"/>
  <c r="AN65" i="62"/>
  <c r="W59" i="62"/>
  <c r="W63" i="62"/>
  <c r="JS103" i="40"/>
  <c r="G12" i="70"/>
  <c r="BB12" i="70" s="1"/>
  <c r="JS102" i="40"/>
  <c r="KQ150" i="40"/>
  <c r="KS150" i="40" s="1"/>
  <c r="AN51" i="62"/>
  <c r="AN53" i="62"/>
  <c r="W67" i="62"/>
  <c r="JR103" i="40"/>
  <c r="O9" i="44"/>
  <c r="KR111" i="40"/>
  <c r="KR110" i="40"/>
  <c r="AS16" i="62" s="1"/>
  <c r="KR124" i="40"/>
  <c r="KR151" i="40"/>
  <c r="KR150" i="40"/>
  <c r="KR104" i="40"/>
  <c r="F7" i="61" s="1"/>
  <c r="JQ105" i="40"/>
  <c r="JU105" i="40" s="1"/>
  <c r="JV105" i="40" s="1"/>
  <c r="JW105" i="40" s="1"/>
  <c r="JT147" i="40"/>
  <c r="JX147" i="40" s="1"/>
  <c r="JT132" i="40"/>
  <c r="JX132" i="40" s="1"/>
  <c r="G16" i="70"/>
  <c r="BB16" i="70" s="1"/>
  <c r="KR149" i="40"/>
  <c r="G37" i="70"/>
  <c r="KQ115" i="40"/>
  <c r="KS115" i="40" s="1"/>
  <c r="JR137" i="40"/>
  <c r="AN57" i="62"/>
  <c r="W69" i="62"/>
  <c r="W61" i="62"/>
  <c r="G15" i="70"/>
  <c r="BB15" i="70" s="1"/>
  <c r="G17" i="70"/>
  <c r="BB17" i="70" s="1"/>
  <c r="JR127" i="40"/>
  <c r="KQ124" i="40"/>
  <c r="KS124" i="40" s="1"/>
  <c r="KR102" i="40"/>
  <c r="KR115" i="40"/>
  <c r="KR128" i="40"/>
  <c r="KR138" i="40"/>
  <c r="KR140" i="40"/>
  <c r="JS105" i="40"/>
  <c r="JS147" i="40"/>
  <c r="JR147" i="40"/>
  <c r="JQ132" i="40"/>
  <c r="JU132" i="40" s="1"/>
  <c r="JV132" i="40" s="1"/>
  <c r="JW132" i="40" s="1"/>
  <c r="G32" i="70"/>
  <c r="JS137" i="40"/>
  <c r="AN67" i="62"/>
  <c r="AN55" i="62"/>
  <c r="S33" i="62"/>
  <c r="S65" i="62" s="1"/>
  <c r="W57" i="62"/>
  <c r="W71" i="62"/>
  <c r="JT103" i="40"/>
  <c r="JX103" i="40" s="1"/>
  <c r="JS127" i="40"/>
  <c r="JS118" i="40"/>
  <c r="AN59" i="62"/>
  <c r="AN71" i="62"/>
  <c r="AN61" i="62"/>
  <c r="W51" i="62"/>
  <c r="W53" i="62"/>
  <c r="JQ127" i="40"/>
  <c r="JU127" i="40" s="1"/>
  <c r="JV127" i="40" s="1"/>
  <c r="JW127" i="40" s="1"/>
  <c r="IB157" i="40"/>
  <c r="IE157" i="40" s="1"/>
  <c r="KR127" i="40"/>
  <c r="AK64" i="62"/>
  <c r="G23" i="70"/>
  <c r="AK70" i="62"/>
  <c r="AK60" i="62"/>
  <c r="G29" i="70"/>
  <c r="KQ110" i="40"/>
  <c r="KS110" i="40" s="1"/>
  <c r="G31" i="70"/>
  <c r="KQ111" i="40"/>
  <c r="KS111" i="40" s="1"/>
  <c r="KQ140" i="40"/>
  <c r="KS140" i="40" s="1"/>
  <c r="KQ107" i="40"/>
  <c r="KS107" i="40" s="1"/>
  <c r="KQ127" i="40"/>
  <c r="KS127" i="40" s="1"/>
  <c r="KR105" i="40"/>
  <c r="G7" i="61" s="1"/>
  <c r="KR113" i="40"/>
  <c r="AT16" i="58" s="1"/>
  <c r="KR144" i="40"/>
  <c r="KR131" i="40"/>
  <c r="KR116" i="40"/>
  <c r="KR148" i="40"/>
  <c r="KR114" i="40"/>
  <c r="AT16" i="62" s="1"/>
  <c r="KR132" i="40"/>
  <c r="KR119" i="40"/>
  <c r="KR106" i="40"/>
  <c r="KR121" i="40"/>
  <c r="KR147" i="40"/>
  <c r="AK56" i="62"/>
  <c r="O55" i="62"/>
  <c r="O51" i="62"/>
  <c r="AK50" i="62"/>
  <c r="O65" i="62"/>
  <c r="G28" i="70"/>
  <c r="KQ114" i="40"/>
  <c r="KS114" i="40" s="1"/>
  <c r="KQ123" i="40"/>
  <c r="KS123" i="40" s="1"/>
  <c r="KQ120" i="40"/>
  <c r="KS120" i="40" s="1"/>
  <c r="G30" i="70"/>
  <c r="KQ113" i="40"/>
  <c r="KS113" i="40" s="1"/>
  <c r="KQ118" i="40"/>
  <c r="KS118" i="40" s="1"/>
  <c r="G22" i="70"/>
  <c r="KQ121" i="40"/>
  <c r="KS121" i="40" s="1"/>
  <c r="AK54" i="62"/>
  <c r="O59" i="62"/>
  <c r="AK62" i="62"/>
  <c r="G20" i="70"/>
  <c r="KQ112" i="40"/>
  <c r="KS112" i="40" s="1"/>
  <c r="JR102" i="40"/>
  <c r="JS150" i="40"/>
  <c r="JR150" i="40"/>
  <c r="KQ141" i="40"/>
  <c r="KS141" i="40" s="1"/>
  <c r="KQ134" i="40"/>
  <c r="KS134" i="40" s="1"/>
  <c r="KQ137" i="40"/>
  <c r="KS137" i="40" s="1"/>
  <c r="KR146" i="40"/>
  <c r="KQ105" i="40"/>
  <c r="KS105" i="40" s="1"/>
  <c r="G27" i="70"/>
  <c r="KQ122" i="40"/>
  <c r="KS122" i="40" s="1"/>
  <c r="KQ148" i="40"/>
  <c r="KS148" i="40" s="1"/>
  <c r="KQ108" i="40"/>
  <c r="KS108" i="40" s="1"/>
  <c r="KQ145" i="40"/>
  <c r="KS145" i="40" s="1"/>
  <c r="KQ136" i="40"/>
  <c r="KS136" i="40" s="1"/>
  <c r="KQ128" i="40"/>
  <c r="KS128" i="40" s="1"/>
  <c r="O69" i="62"/>
  <c r="AK52" i="62"/>
  <c r="O53" i="62"/>
  <c r="O67" i="62"/>
  <c r="KR143" i="40"/>
  <c r="KQ102" i="40"/>
  <c r="KS102" i="40" s="1"/>
  <c r="JQ102" i="40"/>
  <c r="JU102" i="40" s="1"/>
  <c r="AF33" i="62" s="1"/>
  <c r="KQ138" i="40"/>
  <c r="KS138" i="40" s="1"/>
  <c r="G13" i="70"/>
  <c r="BB13" i="70" s="1"/>
  <c r="KR135" i="40"/>
  <c r="KQ103" i="40"/>
  <c r="KS103" i="40" s="1"/>
  <c r="KQ119" i="40"/>
  <c r="KS119" i="40" s="1"/>
  <c r="G11" i="70"/>
  <c r="BB11" i="70" s="1"/>
  <c r="KQ133" i="40"/>
  <c r="KS133" i="40" s="1"/>
  <c r="G21" i="70"/>
  <c r="KR123" i="40"/>
  <c r="KR130" i="40"/>
  <c r="KR136" i="40"/>
  <c r="KR134" i="40"/>
  <c r="KR118" i="40"/>
  <c r="AU16" i="62" s="1"/>
  <c r="KR145" i="40"/>
  <c r="KR133" i="40"/>
  <c r="KR152" i="40"/>
  <c r="KR101" i="40"/>
  <c r="O7" i="44"/>
  <c r="JJ157" i="40"/>
  <c r="JK157" i="40" s="1"/>
  <c r="JL157" i="40" s="1"/>
  <c r="JM157" i="40" s="1"/>
  <c r="KR137" i="40"/>
  <c r="CQ458" i="40"/>
  <c r="AO458" i="40"/>
  <c r="DB458" i="40"/>
  <c r="AN458" i="40"/>
  <c r="CP458" i="40"/>
  <c r="BF459" i="40"/>
  <c r="BK459" i="40"/>
  <c r="A459" i="40"/>
  <c r="BL459" i="40"/>
  <c r="CB459" i="40"/>
  <c r="BM459" i="40"/>
  <c r="CC459" i="40"/>
  <c r="BJ459" i="40"/>
  <c r="BZ459" i="40"/>
  <c r="BS459" i="40"/>
  <c r="HY459" i="40"/>
  <c r="JP459" i="40"/>
  <c r="AZ459" i="40"/>
  <c r="CF459" i="40"/>
  <c r="BA459" i="40"/>
  <c r="CG459" i="40"/>
  <c r="AW459" i="40"/>
  <c r="BN459" i="40"/>
  <c r="AX459" i="40"/>
  <c r="CJ459" i="40"/>
  <c r="IY459" i="40"/>
  <c r="BP459" i="40"/>
  <c r="BQ459" i="40"/>
  <c r="CD459" i="40"/>
  <c r="CA459" i="40"/>
  <c r="BG459" i="40"/>
  <c r="IA459" i="40"/>
  <c r="BD459" i="40"/>
  <c r="BT459" i="40"/>
  <c r="DM459" i="40"/>
  <c r="BE459" i="40"/>
  <c r="BU459" i="40"/>
  <c r="DS459" i="40"/>
  <c r="BB459" i="40"/>
  <c r="BR459" i="40"/>
  <c r="CH459" i="40"/>
  <c r="BO459" i="40"/>
  <c r="JO459" i="40"/>
  <c r="BW459" i="40"/>
  <c r="IZ459" i="40"/>
  <c r="IX459" i="40"/>
  <c r="C460" i="40"/>
  <c r="BH459" i="40"/>
  <c r="BX459" i="40"/>
  <c r="DV459" i="40"/>
  <c r="BI459" i="40"/>
  <c r="BY459" i="40"/>
  <c r="DW459" i="40"/>
  <c r="BV459" i="40"/>
  <c r="DT459" i="40"/>
  <c r="CE459" i="40"/>
  <c r="BC459" i="40"/>
  <c r="DU459" i="40"/>
  <c r="HZ459" i="40"/>
  <c r="CK458" i="40"/>
  <c r="AM458" i="40"/>
  <c r="AP259" i="40"/>
  <c r="AN259" i="40"/>
  <c r="CP259" i="40"/>
  <c r="BB260" i="40"/>
  <c r="BR260" i="40"/>
  <c r="CH260" i="40"/>
  <c r="BG260" i="40"/>
  <c r="BW260" i="40"/>
  <c r="DU260" i="40"/>
  <c r="BH260" i="40"/>
  <c r="BX260" i="40"/>
  <c r="DV260" i="40"/>
  <c r="DS260" i="40"/>
  <c r="BY260" i="40"/>
  <c r="CC260" i="40"/>
  <c r="BA260" i="40"/>
  <c r="HY260" i="40"/>
  <c r="IA260" i="40"/>
  <c r="IY260" i="40"/>
  <c r="C261" i="40"/>
  <c r="BF260" i="40"/>
  <c r="BV260" i="40"/>
  <c r="DT260" i="40"/>
  <c r="BK260" i="40"/>
  <c r="CA260" i="40"/>
  <c r="A260" i="40"/>
  <c r="BL260" i="40"/>
  <c r="CB260" i="40"/>
  <c r="DW260" i="40"/>
  <c r="BQ260" i="40"/>
  <c r="JO260" i="40"/>
  <c r="IX260" i="40"/>
  <c r="JP260" i="40"/>
  <c r="BJ260" i="40"/>
  <c r="BZ260" i="40"/>
  <c r="AX260" i="40"/>
  <c r="BO260" i="40"/>
  <c r="CE260" i="40"/>
  <c r="AZ260" i="40"/>
  <c r="BP260" i="40"/>
  <c r="CF260" i="40"/>
  <c r="BE260" i="40"/>
  <c r="CG260" i="40"/>
  <c r="IZ260" i="40"/>
  <c r="AW260" i="40"/>
  <c r="BN260" i="40"/>
  <c r="CD260" i="40"/>
  <c r="BC260" i="40"/>
  <c r="BS260" i="40"/>
  <c r="CJ260" i="40"/>
  <c r="BD260" i="40"/>
  <c r="BT260" i="40"/>
  <c r="DM260" i="40"/>
  <c r="BU260" i="40"/>
  <c r="BI260" i="40"/>
  <c r="BM260" i="40"/>
  <c r="HZ260" i="40"/>
  <c r="AM259" i="40"/>
  <c r="CK259" i="40"/>
  <c r="AO259" i="40"/>
  <c r="CQ259" i="40"/>
  <c r="HN159" i="40"/>
  <c r="HQ159" i="40" s="1"/>
  <c r="HX158" i="40"/>
  <c r="ID158" i="40" s="1"/>
  <c r="DB159" i="40"/>
  <c r="IO159" i="40"/>
  <c r="JA159" i="40" s="1"/>
  <c r="IG156" i="40"/>
  <c r="IE156" i="40"/>
  <c r="IC158" i="40"/>
  <c r="Z33" i="58"/>
  <c r="R67" i="58"/>
  <c r="R65" i="58"/>
  <c r="R57" i="58"/>
  <c r="R63" i="58"/>
  <c r="R55" i="58"/>
  <c r="R69" i="58"/>
  <c r="R71" i="58"/>
  <c r="R49" i="58"/>
  <c r="R59" i="58"/>
  <c r="R53" i="58"/>
  <c r="R61" i="58"/>
  <c r="R51" i="58"/>
  <c r="AD7" i="61"/>
  <c r="AH7" i="61" s="1"/>
  <c r="AB7" i="61"/>
  <c r="CV359" i="40"/>
  <c r="JM156" i="40"/>
  <c r="AN359" i="40"/>
  <c r="CP359" i="40"/>
  <c r="Y63" i="62"/>
  <c r="Y51" i="62"/>
  <c r="Y53" i="62"/>
  <c r="Y69" i="62"/>
  <c r="Y67" i="62"/>
  <c r="Y65" i="62"/>
  <c r="Y55" i="62"/>
  <c r="Y59" i="62"/>
  <c r="Y61" i="62"/>
  <c r="Y57" i="62"/>
  <c r="Y71" i="62"/>
  <c r="AS13" i="58"/>
  <c r="AS13" i="62"/>
  <c r="AN159" i="40"/>
  <c r="CP159" i="40"/>
  <c r="HX159" i="40" s="1"/>
  <c r="CQ159" i="40"/>
  <c r="AO159" i="40"/>
  <c r="CK159" i="40"/>
  <c r="AM159" i="40"/>
  <c r="HT159" i="40"/>
  <c r="AQ154" i="40"/>
  <c r="JH158" i="40"/>
  <c r="CK359" i="40"/>
  <c r="AM359" i="40"/>
  <c r="IE155" i="40"/>
  <c r="KI155" i="40" s="1"/>
  <c r="IG155" i="40"/>
  <c r="KK155" i="40" s="1"/>
  <c r="HM159" i="40"/>
  <c r="HP159" i="40" s="1"/>
  <c r="IQ159" i="40"/>
  <c r="JC159" i="40" s="1"/>
  <c r="IK160" i="40"/>
  <c r="IN160" i="40" s="1"/>
  <c r="JF160" i="40"/>
  <c r="HO160" i="40" s="1"/>
  <c r="II160" i="40"/>
  <c r="IL160" i="40" s="1"/>
  <c r="IJ160" i="40"/>
  <c r="IM160" i="40" s="1"/>
  <c r="C161" i="40"/>
  <c r="A160" i="40"/>
  <c r="AX160" i="40"/>
  <c r="BC160" i="40"/>
  <c r="BG160" i="40"/>
  <c r="BK160" i="40"/>
  <c r="BO160" i="40"/>
  <c r="BS160" i="40"/>
  <c r="BW160" i="40"/>
  <c r="CA160" i="40"/>
  <c r="CE160" i="40"/>
  <c r="CJ160" i="40"/>
  <c r="DU160" i="40"/>
  <c r="AZ160" i="40"/>
  <c r="BD160" i="40"/>
  <c r="BH160" i="40"/>
  <c r="BL160" i="40"/>
  <c r="BP160" i="40"/>
  <c r="BT160" i="40"/>
  <c r="BX160" i="40"/>
  <c r="CB160" i="40"/>
  <c r="CF160" i="40"/>
  <c r="DM160" i="40"/>
  <c r="DV160" i="40"/>
  <c r="BA160" i="40"/>
  <c r="BE160" i="40"/>
  <c r="BI160" i="40"/>
  <c r="BM160" i="40"/>
  <c r="BQ160" i="40"/>
  <c r="BU160" i="40"/>
  <c r="BY160" i="40"/>
  <c r="CC160" i="40"/>
  <c r="CG160" i="40"/>
  <c r="DS160" i="40"/>
  <c r="DW160" i="40"/>
  <c r="BB160" i="40"/>
  <c r="BR160" i="40"/>
  <c r="CH160" i="40"/>
  <c r="BF160" i="40"/>
  <c r="BV160" i="40"/>
  <c r="DT160" i="40"/>
  <c r="BJ160" i="40"/>
  <c r="BZ160" i="40"/>
  <c r="CD160" i="40"/>
  <c r="AW160" i="40"/>
  <c r="BN160" i="40"/>
  <c r="JO160" i="40"/>
  <c r="IX160" i="40"/>
  <c r="IZ160" i="40"/>
  <c r="IA160" i="40"/>
  <c r="HY160" i="40"/>
  <c r="HZ160" i="40"/>
  <c r="IY160" i="40"/>
  <c r="JP160" i="40"/>
  <c r="JG160" i="40"/>
  <c r="HU159" i="40"/>
  <c r="KJ154" i="40"/>
  <c r="CQ359" i="40"/>
  <c r="AO359" i="40"/>
  <c r="DB359" i="40"/>
  <c r="AP359" i="40"/>
  <c r="C361" i="40"/>
  <c r="AX360" i="40"/>
  <c r="BC360" i="40"/>
  <c r="BG360" i="40"/>
  <c r="BK360" i="40"/>
  <c r="BO360" i="40"/>
  <c r="BS360" i="40"/>
  <c r="BW360" i="40"/>
  <c r="CA360" i="40"/>
  <c r="CE360" i="40"/>
  <c r="CJ360" i="40"/>
  <c r="DU360" i="40"/>
  <c r="A360" i="40"/>
  <c r="AZ360" i="40"/>
  <c r="BD360" i="40"/>
  <c r="BH360" i="40"/>
  <c r="BL360" i="40"/>
  <c r="BP360" i="40"/>
  <c r="BT360" i="40"/>
  <c r="BX360" i="40"/>
  <c r="CB360" i="40"/>
  <c r="CF360" i="40"/>
  <c r="DM360" i="40"/>
  <c r="DV360" i="40"/>
  <c r="BA360" i="40"/>
  <c r="BE360" i="40"/>
  <c r="BI360" i="40"/>
  <c r="BM360" i="40"/>
  <c r="BQ360" i="40"/>
  <c r="BU360" i="40"/>
  <c r="BY360" i="40"/>
  <c r="CC360" i="40"/>
  <c r="CG360" i="40"/>
  <c r="DS360" i="40"/>
  <c r="DW360" i="40"/>
  <c r="AW360" i="40"/>
  <c r="BN360" i="40"/>
  <c r="CD360" i="40"/>
  <c r="BB360" i="40"/>
  <c r="BR360" i="40"/>
  <c r="CH360" i="40"/>
  <c r="BF360" i="40"/>
  <c r="BV360" i="40"/>
  <c r="DT360" i="40"/>
  <c r="BJ360" i="40"/>
  <c r="BZ360" i="40"/>
  <c r="JO360" i="40"/>
  <c r="IY360" i="40"/>
  <c r="HZ360" i="40"/>
  <c r="IZ360" i="40"/>
  <c r="IX360" i="40"/>
  <c r="IA360" i="40"/>
  <c r="HY360" i="40"/>
  <c r="JP360" i="40"/>
  <c r="Z59" i="62"/>
  <c r="Z55" i="62"/>
  <c r="Z65" i="62"/>
  <c r="Z61" i="62"/>
  <c r="Z53" i="62"/>
  <c r="Z57" i="62"/>
  <c r="Z51" i="62"/>
  <c r="Z67" i="62"/>
  <c r="Z69" i="62"/>
  <c r="Z71" i="62"/>
  <c r="Z63" i="62"/>
  <c r="R53" i="62"/>
  <c r="R69" i="62"/>
  <c r="R55" i="62"/>
  <c r="R57" i="62"/>
  <c r="R59" i="62"/>
  <c r="R71" i="62"/>
  <c r="R51" i="62"/>
  <c r="R67" i="62"/>
  <c r="R61" i="62"/>
  <c r="R65" i="62"/>
  <c r="R63" i="62"/>
  <c r="IF155" i="40"/>
  <c r="KO155" i="40"/>
  <c r="AU13" i="62"/>
  <c r="AU13" i="58"/>
  <c r="JI158" i="40"/>
  <c r="CV159" i="40"/>
  <c r="AK159" i="40"/>
  <c r="AL159" i="40"/>
  <c r="AP159" i="40"/>
  <c r="IP159" i="40"/>
  <c r="JB159" i="40" s="1"/>
  <c r="HS159" i="40"/>
  <c r="IY658" i="40"/>
  <c r="JD154" i="40"/>
  <c r="KP154" i="40"/>
  <c r="KR154" i="40" s="1"/>
  <c r="CI643" i="40" l="1"/>
  <c r="HY659" i="40"/>
  <c r="CI344" i="40"/>
  <c r="CI160" i="40"/>
  <c r="CI543" i="40"/>
  <c r="CI244" i="40"/>
  <c r="AA51" i="58"/>
  <c r="Q63" i="58"/>
  <c r="KU101" i="40"/>
  <c r="AA67" i="58"/>
  <c r="AA49" i="58"/>
  <c r="AA57" i="58"/>
  <c r="AA61" i="58"/>
  <c r="AA71" i="58"/>
  <c r="AA65" i="58"/>
  <c r="AA55" i="58"/>
  <c r="AA63" i="58"/>
  <c r="AA53" i="58"/>
  <c r="AA69" i="58"/>
  <c r="IG157" i="40"/>
  <c r="KK157" i="40" s="1"/>
  <c r="HZ659" i="40"/>
  <c r="IY659" i="40" s="1"/>
  <c r="IA659" i="40"/>
  <c r="IZ659" i="40" s="1"/>
  <c r="Q67" i="58"/>
  <c r="Q49" i="58"/>
  <c r="Q59" i="58"/>
  <c r="T7" i="61"/>
  <c r="Q65" i="58"/>
  <c r="Q51" i="58"/>
  <c r="DB660" i="40"/>
  <c r="CV660" i="40"/>
  <c r="AN559" i="40"/>
  <c r="CP559" i="40"/>
  <c r="AP559" i="40"/>
  <c r="I661" i="40"/>
  <c r="AJ661" i="40"/>
  <c r="AC661" i="40"/>
  <c r="BY661" i="40"/>
  <c r="BI661" i="40"/>
  <c r="AG661" i="40"/>
  <c r="CF661" i="40"/>
  <c r="BP661" i="40"/>
  <c r="AZ661" i="40"/>
  <c r="DM661" i="40"/>
  <c r="BJ661" i="40"/>
  <c r="J661" i="40"/>
  <c r="BO661" i="40"/>
  <c r="G661" i="40"/>
  <c r="BV661" i="40"/>
  <c r="N661" i="40"/>
  <c r="CN661" i="40" s="1"/>
  <c r="K661" i="40"/>
  <c r="JO661" i="40"/>
  <c r="AE661" i="40"/>
  <c r="DU661" i="40"/>
  <c r="BU661" i="40"/>
  <c r="BE661" i="40"/>
  <c r="M661" i="40"/>
  <c r="CM661" i="40" s="1"/>
  <c r="CB661" i="40"/>
  <c r="BL661" i="40"/>
  <c r="AB661" i="40"/>
  <c r="CH661" i="40"/>
  <c r="BB661" i="40"/>
  <c r="DW661" i="40"/>
  <c r="BG661" i="40"/>
  <c r="C662" i="40"/>
  <c r="BN661" i="40"/>
  <c r="BK661" i="40"/>
  <c r="DS661" i="40"/>
  <c r="JP661" i="40"/>
  <c r="AF661" i="40"/>
  <c r="CJ661" i="40"/>
  <c r="CG661" i="40"/>
  <c r="BQ661" i="40"/>
  <c r="BA661" i="40"/>
  <c r="A661" i="40"/>
  <c r="BX661" i="40"/>
  <c r="BH661" i="40"/>
  <c r="P661" i="40"/>
  <c r="BZ661" i="40"/>
  <c r="AH661" i="40"/>
  <c r="CE661" i="40"/>
  <c r="W661" i="40"/>
  <c r="CU661" i="40" s="1"/>
  <c r="DV661" i="40"/>
  <c r="BF661" i="40"/>
  <c r="BC661" i="40"/>
  <c r="BS661" i="40"/>
  <c r="AI661" i="40"/>
  <c r="AW661" i="40"/>
  <c r="L661" i="40"/>
  <c r="CL661" i="40" s="1"/>
  <c r="O661" i="40"/>
  <c r="CO661" i="40" s="1"/>
  <c r="DT661" i="40"/>
  <c r="BR661" i="40"/>
  <c r="CD661" i="40"/>
  <c r="KN661" i="40"/>
  <c r="F661" i="40"/>
  <c r="CC661" i="40"/>
  <c r="BT661" i="40"/>
  <c r="R661" i="40"/>
  <c r="AX661" i="40"/>
  <c r="H661" i="40"/>
  <c r="CA661" i="40"/>
  <c r="BM661" i="40"/>
  <c r="BD661" i="40"/>
  <c r="BW661" i="40"/>
  <c r="Z661" i="40"/>
  <c r="T661" i="40"/>
  <c r="CR661" i="40" s="1"/>
  <c r="S661" i="40"/>
  <c r="Q661" i="40"/>
  <c r="U661" i="40"/>
  <c r="CS661" i="40" s="1"/>
  <c r="X661" i="40"/>
  <c r="V661" i="40"/>
  <c r="CT661" i="40" s="1"/>
  <c r="AA661" i="40"/>
  <c r="AD661" i="40"/>
  <c r="E661" i="40"/>
  <c r="Y661" i="40"/>
  <c r="AH261" i="40"/>
  <c r="AD261" i="40"/>
  <c r="Z261" i="40"/>
  <c r="V261" i="40"/>
  <c r="CT261" i="40" s="1"/>
  <c r="R261" i="40"/>
  <c r="N261" i="40"/>
  <c r="CN261" i="40" s="1"/>
  <c r="J261" i="40"/>
  <c r="F261" i="40"/>
  <c r="AJ261" i="40"/>
  <c r="AF261" i="40"/>
  <c r="AB261" i="40"/>
  <c r="X261" i="40"/>
  <c r="T261" i="40"/>
  <c r="CR261" i="40" s="1"/>
  <c r="P261" i="40"/>
  <c r="L261" i="40"/>
  <c r="CL261" i="40" s="1"/>
  <c r="H261" i="40"/>
  <c r="AC261" i="40"/>
  <c r="U261" i="40"/>
  <c r="CS261" i="40" s="1"/>
  <c r="M261" i="40"/>
  <c r="CM261" i="40" s="1"/>
  <c r="E261" i="40"/>
  <c r="AI261" i="40"/>
  <c r="AA261" i="40"/>
  <c r="S261" i="40"/>
  <c r="K261" i="40"/>
  <c r="AG261" i="40"/>
  <c r="Y261" i="40"/>
  <c r="Q261" i="40"/>
  <c r="I261" i="40"/>
  <c r="AE261" i="40"/>
  <c r="W261" i="40"/>
  <c r="CU261" i="40" s="1"/>
  <c r="O261" i="40"/>
  <c r="CO261" i="40" s="1"/>
  <c r="G261" i="40"/>
  <c r="CV559" i="40"/>
  <c r="AO559" i="40"/>
  <c r="CQ559" i="40"/>
  <c r="AN660" i="40"/>
  <c r="CP660" i="40"/>
  <c r="CK660" i="40"/>
  <c r="AM660" i="40"/>
  <c r="AI460" i="40"/>
  <c r="AE460" i="40"/>
  <c r="AA460" i="40"/>
  <c r="W460" i="40"/>
  <c r="CU460" i="40" s="1"/>
  <c r="S460" i="40"/>
  <c r="O460" i="40"/>
  <c r="CO460" i="40" s="1"/>
  <c r="K460" i="40"/>
  <c r="G460" i="40"/>
  <c r="AH460" i="40"/>
  <c r="AD460" i="40"/>
  <c r="Z460" i="40"/>
  <c r="V460" i="40"/>
  <c r="CT460" i="40" s="1"/>
  <c r="R460" i="40"/>
  <c r="N460" i="40"/>
  <c r="CN460" i="40" s="1"/>
  <c r="J460" i="40"/>
  <c r="F460" i="40"/>
  <c r="AG460" i="40"/>
  <c r="AC460" i="40"/>
  <c r="Y460" i="40"/>
  <c r="U460" i="40"/>
  <c r="CS460" i="40" s="1"/>
  <c r="Q460" i="40"/>
  <c r="M460" i="40"/>
  <c r="CM460" i="40" s="1"/>
  <c r="I460" i="40"/>
  <c r="E460" i="40"/>
  <c r="AJ460" i="40"/>
  <c r="T460" i="40"/>
  <c r="CR460" i="40" s="1"/>
  <c r="AF460" i="40"/>
  <c r="P460" i="40"/>
  <c r="AB460" i="40"/>
  <c r="L460" i="40"/>
  <c r="CL460" i="40" s="1"/>
  <c r="H460" i="40"/>
  <c r="X460" i="40"/>
  <c r="AO660" i="40"/>
  <c r="CQ660" i="40"/>
  <c r="AJ361" i="40"/>
  <c r="AF361" i="40"/>
  <c r="AB361" i="40"/>
  <c r="X361" i="40"/>
  <c r="T361" i="40"/>
  <c r="CR361" i="40" s="1"/>
  <c r="P361" i="40"/>
  <c r="L361" i="40"/>
  <c r="H361" i="40"/>
  <c r="AI361" i="40"/>
  <c r="AE361" i="40"/>
  <c r="AA361" i="40"/>
  <c r="CI445" i="40" s="1"/>
  <c r="W361" i="40"/>
  <c r="CU361" i="40" s="1"/>
  <c r="S361" i="40"/>
  <c r="O361" i="40"/>
  <c r="CO361" i="40" s="1"/>
  <c r="K361" i="40"/>
  <c r="G361" i="40"/>
  <c r="AH361" i="40"/>
  <c r="AD361" i="40"/>
  <c r="Z361" i="40"/>
  <c r="V361" i="40"/>
  <c r="CT361" i="40" s="1"/>
  <c r="R361" i="40"/>
  <c r="N361" i="40"/>
  <c r="CN361" i="40" s="1"/>
  <c r="J361" i="40"/>
  <c r="F361" i="40"/>
  <c r="U361" i="40"/>
  <c r="CS361" i="40" s="1"/>
  <c r="E361" i="40"/>
  <c r="AG361" i="40"/>
  <c r="Q361" i="40"/>
  <c r="AC361" i="40"/>
  <c r="M361" i="40"/>
  <c r="CM361" i="40" s="1"/>
  <c r="Y361" i="40"/>
  <c r="I361" i="40"/>
  <c r="AG161" i="40"/>
  <c r="AC161" i="40"/>
  <c r="Y161" i="40"/>
  <c r="U161" i="40"/>
  <c r="CS161" i="40" s="1"/>
  <c r="Q161" i="40"/>
  <c r="M161" i="40"/>
  <c r="CM161" i="40" s="1"/>
  <c r="I161" i="40"/>
  <c r="E161" i="40"/>
  <c r="AI161" i="40"/>
  <c r="AE161" i="40"/>
  <c r="AA161" i="40"/>
  <c r="W161" i="40"/>
  <c r="CU161" i="40" s="1"/>
  <c r="S161" i="40"/>
  <c r="O161" i="40"/>
  <c r="CO161" i="40" s="1"/>
  <c r="K161" i="40"/>
  <c r="G161" i="40"/>
  <c r="AF161" i="40"/>
  <c r="X161" i="40"/>
  <c r="P161" i="40"/>
  <c r="H161" i="40"/>
  <c r="R161" i="40"/>
  <c r="AD161" i="40"/>
  <c r="V161" i="40"/>
  <c r="CT161" i="40" s="1"/>
  <c r="N161" i="40"/>
  <c r="CN161" i="40" s="1"/>
  <c r="F161" i="40"/>
  <c r="AH161" i="40"/>
  <c r="J161" i="40"/>
  <c r="AJ161" i="40"/>
  <c r="AB161" i="40"/>
  <c r="T161" i="40"/>
  <c r="CR161" i="40" s="1"/>
  <c r="L161" i="40"/>
  <c r="CL161" i="40" s="1"/>
  <c r="Z161" i="40"/>
  <c r="AI560" i="40"/>
  <c r="AE560" i="40"/>
  <c r="AA560" i="40"/>
  <c r="W560" i="40"/>
  <c r="CU560" i="40" s="1"/>
  <c r="S560" i="40"/>
  <c r="O560" i="40"/>
  <c r="CO560" i="40" s="1"/>
  <c r="K560" i="40"/>
  <c r="G560" i="40"/>
  <c r="AH560" i="40"/>
  <c r="AD560" i="40"/>
  <c r="Z560" i="40"/>
  <c r="V560" i="40"/>
  <c r="CT560" i="40" s="1"/>
  <c r="R560" i="40"/>
  <c r="N560" i="40"/>
  <c r="CN560" i="40" s="1"/>
  <c r="J560" i="40"/>
  <c r="F560" i="40"/>
  <c r="AF560" i="40"/>
  <c r="X560" i="40"/>
  <c r="P560" i="40"/>
  <c r="H560" i="40"/>
  <c r="AC560" i="40"/>
  <c r="U560" i="40"/>
  <c r="CS560" i="40" s="1"/>
  <c r="M560" i="40"/>
  <c r="CM560" i="40" s="1"/>
  <c r="E560" i="40"/>
  <c r="AJ560" i="40"/>
  <c r="AB560" i="40"/>
  <c r="T560" i="40"/>
  <c r="CR560" i="40" s="1"/>
  <c r="L560" i="40"/>
  <c r="CL560" i="40" s="1"/>
  <c r="Y560" i="40"/>
  <c r="Q560" i="40"/>
  <c r="I560" i="40"/>
  <c r="AG560" i="40"/>
  <c r="AZ560" i="40"/>
  <c r="BP560" i="40"/>
  <c r="CF560" i="40"/>
  <c r="BA560" i="40"/>
  <c r="BQ560" i="40"/>
  <c r="CG560" i="40"/>
  <c r="BB560" i="40"/>
  <c r="BR560" i="40"/>
  <c r="CH560" i="40"/>
  <c r="BW560" i="40"/>
  <c r="BO560" i="40"/>
  <c r="IA560" i="40"/>
  <c r="IY560" i="40"/>
  <c r="C561" i="40"/>
  <c r="BD560" i="40"/>
  <c r="BT560" i="40"/>
  <c r="DM560" i="40"/>
  <c r="BE560" i="40"/>
  <c r="BU560" i="40"/>
  <c r="DS560" i="40"/>
  <c r="BF560" i="40"/>
  <c r="BV560" i="40"/>
  <c r="DT560" i="40"/>
  <c r="DU560" i="40"/>
  <c r="CA560" i="40"/>
  <c r="CE560" i="40"/>
  <c r="HZ560" i="40"/>
  <c r="IX560" i="40"/>
  <c r="A560" i="40"/>
  <c r="BH560" i="40"/>
  <c r="BX560" i="40"/>
  <c r="DV560" i="40"/>
  <c r="BI560" i="40"/>
  <c r="BY560" i="40"/>
  <c r="DW560" i="40"/>
  <c r="BJ560" i="40"/>
  <c r="BZ560" i="40"/>
  <c r="CJ560" i="40"/>
  <c r="BC560" i="40"/>
  <c r="JO560" i="40"/>
  <c r="HY560" i="40"/>
  <c r="JP560" i="40"/>
  <c r="BL560" i="40"/>
  <c r="CB560" i="40"/>
  <c r="BM560" i="40"/>
  <c r="CC560" i="40"/>
  <c r="AW560" i="40"/>
  <c r="BN560" i="40"/>
  <c r="CD560" i="40"/>
  <c r="BG560" i="40"/>
  <c r="AX560" i="40"/>
  <c r="BS560" i="40"/>
  <c r="IZ560" i="40"/>
  <c r="BK560" i="40"/>
  <c r="DB559" i="40"/>
  <c r="CK559" i="40"/>
  <c r="AM559" i="40"/>
  <c r="AP660" i="40"/>
  <c r="D159" i="40"/>
  <c r="AY159" i="40" s="1"/>
  <c r="S71" i="62"/>
  <c r="S57" i="62"/>
  <c r="AA33" i="62"/>
  <c r="AA61" i="62" s="1"/>
  <c r="AV16" i="58"/>
  <c r="Q53" i="58"/>
  <c r="Q69" i="58"/>
  <c r="Q55" i="58"/>
  <c r="Y33" i="58"/>
  <c r="Y67" i="58" s="1"/>
  <c r="Q71" i="58"/>
  <c r="Q57" i="58"/>
  <c r="S53" i="62"/>
  <c r="S61" i="62"/>
  <c r="S55" i="62"/>
  <c r="IF157" i="40"/>
  <c r="KJ157" i="40" s="1"/>
  <c r="S69" i="62"/>
  <c r="S67" i="62"/>
  <c r="S51" i="62"/>
  <c r="S63" i="62"/>
  <c r="S59" i="62"/>
  <c r="AL7" i="61"/>
  <c r="AF33" i="58"/>
  <c r="AV16" i="62"/>
  <c r="JV102" i="40"/>
  <c r="JW102" i="40" s="1"/>
  <c r="AN7" i="61"/>
  <c r="AM7" i="61"/>
  <c r="JJ158" i="40"/>
  <c r="JK158" i="40" s="1"/>
  <c r="JL158" i="40" s="1"/>
  <c r="JM158" i="40" s="1"/>
  <c r="HV159" i="40"/>
  <c r="IX659" i="40"/>
  <c r="AO459" i="40"/>
  <c r="CQ459" i="40"/>
  <c r="AP459" i="40"/>
  <c r="HW159" i="40"/>
  <c r="IC159" i="40" s="1"/>
  <c r="CV260" i="40"/>
  <c r="BJ460" i="40"/>
  <c r="BZ460" i="40"/>
  <c r="AX460" i="40"/>
  <c r="BO460" i="40"/>
  <c r="CE460" i="40"/>
  <c r="AZ460" i="40"/>
  <c r="BP460" i="40"/>
  <c r="CF460" i="40"/>
  <c r="BM460" i="40"/>
  <c r="BA460" i="40"/>
  <c r="DW460" i="40"/>
  <c r="DS460" i="40"/>
  <c r="IZ460" i="40"/>
  <c r="AW460" i="40"/>
  <c r="BN460" i="40"/>
  <c r="CD460" i="40"/>
  <c r="BC460" i="40"/>
  <c r="BS460" i="40"/>
  <c r="CJ460" i="40"/>
  <c r="BD460" i="40"/>
  <c r="BT460" i="40"/>
  <c r="DM460" i="40"/>
  <c r="CC460" i="40"/>
  <c r="BQ460" i="40"/>
  <c r="JO460" i="40"/>
  <c r="IA460" i="40"/>
  <c r="IY460" i="40"/>
  <c r="BB460" i="40"/>
  <c r="BR460" i="40"/>
  <c r="CH460" i="40"/>
  <c r="BG460" i="40"/>
  <c r="BW460" i="40"/>
  <c r="DU460" i="40"/>
  <c r="BH460" i="40"/>
  <c r="BX460" i="40"/>
  <c r="DV460" i="40"/>
  <c r="BI460" i="40"/>
  <c r="CG460" i="40"/>
  <c r="BE460" i="40"/>
  <c r="HZ460" i="40"/>
  <c r="IX460" i="40"/>
  <c r="C461" i="40"/>
  <c r="BF460" i="40"/>
  <c r="BV460" i="40"/>
  <c r="DT460" i="40"/>
  <c r="BK460" i="40"/>
  <c r="CA460" i="40"/>
  <c r="A460" i="40"/>
  <c r="BL460" i="40"/>
  <c r="CB460" i="40"/>
  <c r="BU460" i="40"/>
  <c r="BY460" i="40"/>
  <c r="HY460" i="40"/>
  <c r="HY660" i="40" s="1"/>
  <c r="JP460" i="40"/>
  <c r="AN459" i="40"/>
  <c r="CP459" i="40"/>
  <c r="CK459" i="40"/>
  <c r="AM459" i="40"/>
  <c r="CV459" i="40"/>
  <c r="DB459" i="40"/>
  <c r="CK260" i="40"/>
  <c r="AM260" i="40"/>
  <c r="AP260" i="40"/>
  <c r="AN260" i="40"/>
  <c r="CP260" i="40"/>
  <c r="DB260" i="40"/>
  <c r="CQ260" i="40"/>
  <c r="AO260" i="40"/>
  <c r="A261" i="40"/>
  <c r="BL261" i="40"/>
  <c r="CB261" i="40"/>
  <c r="BM261" i="40"/>
  <c r="CC261" i="40"/>
  <c r="BJ261" i="40"/>
  <c r="BZ261" i="40"/>
  <c r="CE261" i="40"/>
  <c r="IX261" i="40"/>
  <c r="AZ261" i="40"/>
  <c r="BP261" i="40"/>
  <c r="CF261" i="40"/>
  <c r="BA261" i="40"/>
  <c r="BQ261" i="40"/>
  <c r="CG261" i="40"/>
  <c r="AW261" i="40"/>
  <c r="BN261" i="40"/>
  <c r="CD261" i="40"/>
  <c r="BC261" i="40"/>
  <c r="BG261" i="40"/>
  <c r="BK261" i="40"/>
  <c r="IA261" i="40"/>
  <c r="BD261" i="40"/>
  <c r="BT261" i="40"/>
  <c r="DM261" i="40"/>
  <c r="BE261" i="40"/>
  <c r="BU261" i="40"/>
  <c r="DS261" i="40"/>
  <c r="BB261" i="40"/>
  <c r="BR261" i="40"/>
  <c r="CH261" i="40"/>
  <c r="BS261" i="40"/>
  <c r="BW261" i="40"/>
  <c r="CA261" i="40"/>
  <c r="AX261" i="40"/>
  <c r="HZ261" i="40"/>
  <c r="IZ261" i="40"/>
  <c r="IY261" i="40"/>
  <c r="C262" i="40"/>
  <c r="BH261" i="40"/>
  <c r="BX261" i="40"/>
  <c r="DV261" i="40"/>
  <c r="BI261" i="40"/>
  <c r="BY261" i="40"/>
  <c r="DW261" i="40"/>
  <c r="BF261" i="40"/>
  <c r="BV261" i="40"/>
  <c r="DT261" i="40"/>
  <c r="CJ261" i="40"/>
  <c r="DU261" i="40"/>
  <c r="BO261" i="40"/>
  <c r="JO261" i="40"/>
  <c r="HY261" i="40"/>
  <c r="JP261" i="40"/>
  <c r="IO160" i="40"/>
  <c r="JA160" i="40" s="1"/>
  <c r="JD156" i="40"/>
  <c r="JR156" i="40" s="1"/>
  <c r="KP156" i="40"/>
  <c r="AQ156" i="40"/>
  <c r="IB158" i="40"/>
  <c r="IF158" i="40" s="1"/>
  <c r="AQ155" i="40"/>
  <c r="KJ155" i="40"/>
  <c r="HM160" i="40"/>
  <c r="HP160" i="40" s="1"/>
  <c r="C362" i="40"/>
  <c r="BA361" i="40"/>
  <c r="BE361" i="40"/>
  <c r="BI361" i="40"/>
  <c r="BM361" i="40"/>
  <c r="BQ361" i="40"/>
  <c r="BU361" i="40"/>
  <c r="BY361" i="40"/>
  <c r="CC361" i="40"/>
  <c r="CG361" i="40"/>
  <c r="DS361" i="40"/>
  <c r="DW361" i="40"/>
  <c r="AW361" i="40"/>
  <c r="BB361" i="40"/>
  <c r="BF361" i="40"/>
  <c r="BJ361" i="40"/>
  <c r="BN361" i="40"/>
  <c r="BR361" i="40"/>
  <c r="BV361" i="40"/>
  <c r="BZ361" i="40"/>
  <c r="CD361" i="40"/>
  <c r="CH361" i="40"/>
  <c r="DT361" i="40"/>
  <c r="CL361" i="40"/>
  <c r="AX361" i="40"/>
  <c r="BC361" i="40"/>
  <c r="BG361" i="40"/>
  <c r="BK361" i="40"/>
  <c r="BO361" i="40"/>
  <c r="BS361" i="40"/>
  <c r="BW361" i="40"/>
  <c r="CA361" i="40"/>
  <c r="CE361" i="40"/>
  <c r="CJ361" i="40"/>
  <c r="DU361" i="40"/>
  <c r="BL361" i="40"/>
  <c r="CB361" i="40"/>
  <c r="AZ361" i="40"/>
  <c r="BP361" i="40"/>
  <c r="CF361" i="40"/>
  <c r="BD361" i="40"/>
  <c r="BT361" i="40"/>
  <c r="DM361" i="40"/>
  <c r="BH361" i="40"/>
  <c r="BX361" i="40"/>
  <c r="A361" i="40"/>
  <c r="DV361" i="40"/>
  <c r="JO361" i="40"/>
  <c r="IY361" i="40"/>
  <c r="HZ361" i="40"/>
  <c r="IZ361" i="40"/>
  <c r="IX361" i="40"/>
  <c r="IA361" i="40"/>
  <c r="HY361" i="40"/>
  <c r="JP361" i="40"/>
  <c r="CV160" i="40"/>
  <c r="AL160" i="40"/>
  <c r="AK160" i="40"/>
  <c r="CP160" i="40"/>
  <c r="HX160" i="40" s="1"/>
  <c r="AN160" i="40"/>
  <c r="HT160" i="40"/>
  <c r="JD155" i="40"/>
  <c r="KP155" i="40"/>
  <c r="KR155" i="40" s="1"/>
  <c r="KT103" i="40"/>
  <c r="KU102" i="40"/>
  <c r="CV360" i="40"/>
  <c r="AN360" i="40"/>
  <c r="CP360" i="40"/>
  <c r="KI157" i="40"/>
  <c r="KO157" i="40"/>
  <c r="AF51" i="62"/>
  <c r="AG51" i="62" s="1"/>
  <c r="AF67" i="62"/>
  <c r="AG67" i="62" s="1"/>
  <c r="AF53" i="62"/>
  <c r="AG53" i="62" s="1"/>
  <c r="AF69" i="62"/>
  <c r="AG69" i="62" s="1"/>
  <c r="AF61" i="62"/>
  <c r="AG61" i="62" s="1"/>
  <c r="AF71" i="62"/>
  <c r="AG71" i="62" s="1"/>
  <c r="AF63" i="62"/>
  <c r="AG63" i="62" s="1"/>
  <c r="AF57" i="62"/>
  <c r="AG57" i="62" s="1"/>
  <c r="AF59" i="62"/>
  <c r="AG59" i="62" s="1"/>
  <c r="AF65" i="62"/>
  <c r="AG65" i="62" s="1"/>
  <c r="AF55" i="62"/>
  <c r="AG55" i="62" s="1"/>
  <c r="AO160" i="40"/>
  <c r="CQ160" i="40"/>
  <c r="DB160" i="40"/>
  <c r="HS160" i="40"/>
  <c r="JH159" i="40"/>
  <c r="JR154" i="40"/>
  <c r="JT154" i="40"/>
  <c r="JX154" i="40" s="1"/>
  <c r="KQ154" i="40"/>
  <c r="KS154" i="40" s="1"/>
  <c r="JQ154" i="40"/>
  <c r="JU154" i="40" s="1"/>
  <c r="JV154" i="40" s="1"/>
  <c r="JW154" i="40" s="1"/>
  <c r="JS154" i="40"/>
  <c r="CK360" i="40"/>
  <c r="AM360" i="40"/>
  <c r="ID159" i="40"/>
  <c r="IP160" i="40"/>
  <c r="JB160" i="40" s="1"/>
  <c r="CK160" i="40"/>
  <c r="AM160" i="40"/>
  <c r="HR160" i="40"/>
  <c r="KK156" i="40"/>
  <c r="KJ156" i="40"/>
  <c r="KI156" i="40"/>
  <c r="KO156" i="40"/>
  <c r="JI159" i="40"/>
  <c r="AO360" i="40"/>
  <c r="CQ360" i="40"/>
  <c r="DB360" i="40"/>
  <c r="AP360" i="40"/>
  <c r="AP160" i="40"/>
  <c r="HN160" i="40"/>
  <c r="HQ160" i="40" s="1"/>
  <c r="IQ160" i="40"/>
  <c r="JC160" i="40" s="1"/>
  <c r="IK161" i="40"/>
  <c r="IN161" i="40" s="1"/>
  <c r="JF161" i="40"/>
  <c r="HO161" i="40" s="1"/>
  <c r="HR161" i="40" s="1"/>
  <c r="II161" i="40"/>
  <c r="IL161" i="40" s="1"/>
  <c r="IJ161" i="40"/>
  <c r="IM161" i="40" s="1"/>
  <c r="C162" i="40"/>
  <c r="AX161" i="40"/>
  <c r="BC161" i="40"/>
  <c r="BG161" i="40"/>
  <c r="BK161" i="40"/>
  <c r="BO161" i="40"/>
  <c r="BS161" i="40"/>
  <c r="BW161" i="40"/>
  <c r="CA161" i="40"/>
  <c r="CE161" i="40"/>
  <c r="CJ161" i="40"/>
  <c r="DU161" i="40"/>
  <c r="AZ161" i="40"/>
  <c r="BD161" i="40"/>
  <c r="BH161" i="40"/>
  <c r="BL161" i="40"/>
  <c r="BP161" i="40"/>
  <c r="BT161" i="40"/>
  <c r="BX161" i="40"/>
  <c r="CB161" i="40"/>
  <c r="CF161" i="40"/>
  <c r="DM161" i="40"/>
  <c r="DV161" i="40"/>
  <c r="BA161" i="40"/>
  <c r="BE161" i="40"/>
  <c r="BI161" i="40"/>
  <c r="BM161" i="40"/>
  <c r="BQ161" i="40"/>
  <c r="BU161" i="40"/>
  <c r="BY161" i="40"/>
  <c r="CC161" i="40"/>
  <c r="CG161" i="40"/>
  <c r="DS161" i="40"/>
  <c r="DW161" i="40"/>
  <c r="BJ161" i="40"/>
  <c r="BZ161" i="40"/>
  <c r="AW161" i="40"/>
  <c r="BN161" i="40"/>
  <c r="CD161" i="40"/>
  <c r="A161" i="40"/>
  <c r="BB161" i="40"/>
  <c r="BR161" i="40"/>
  <c r="CH161" i="40"/>
  <c r="BF161" i="40"/>
  <c r="BV161" i="40"/>
  <c r="DT161" i="40"/>
  <c r="JO161" i="40"/>
  <c r="IX161" i="40"/>
  <c r="HY161" i="40"/>
  <c r="IZ161" i="40"/>
  <c r="IA161" i="40"/>
  <c r="HZ161" i="40"/>
  <c r="IY161" i="40"/>
  <c r="JP161" i="40"/>
  <c r="JG161" i="40"/>
  <c r="HU160" i="40"/>
  <c r="Z59" i="58"/>
  <c r="Z51" i="58"/>
  <c r="Z63" i="58"/>
  <c r="Z71" i="58"/>
  <c r="Z67" i="58"/>
  <c r="Z53" i="58"/>
  <c r="Z65" i="58"/>
  <c r="Z49" i="58"/>
  <c r="Z57" i="58"/>
  <c r="Z55" i="58"/>
  <c r="Z69" i="58"/>
  <c r="Z61" i="58"/>
  <c r="AP460" i="40" l="1"/>
  <c r="CI544" i="40"/>
  <c r="CI345" i="40"/>
  <c r="CI161" i="40"/>
  <c r="CI644" i="40"/>
  <c r="CI245" i="40"/>
  <c r="HZ660" i="40"/>
  <c r="IY660" i="40" s="1"/>
  <c r="HW160" i="40"/>
  <c r="IC160" i="40" s="1"/>
  <c r="IQ161" i="40"/>
  <c r="JC161" i="40" s="1"/>
  <c r="Y51" i="58"/>
  <c r="Y57" i="58"/>
  <c r="IA660" i="40"/>
  <c r="IZ660" i="40" s="1"/>
  <c r="Y53" i="58"/>
  <c r="DB661" i="40"/>
  <c r="IX660" i="40"/>
  <c r="Y61" i="58"/>
  <c r="Y69" i="58"/>
  <c r="Y55" i="58"/>
  <c r="Y65" i="58"/>
  <c r="AF51" i="58"/>
  <c r="AG51" i="58" s="1"/>
  <c r="AF55" i="58"/>
  <c r="AG55" i="58" s="1"/>
  <c r="AF53" i="58"/>
  <c r="AG53" i="58" s="1"/>
  <c r="AA69" i="62"/>
  <c r="AF65" i="58"/>
  <c r="AG65" i="58" s="1"/>
  <c r="AF67" i="58"/>
  <c r="AG67" i="58" s="1"/>
  <c r="CV661" i="40"/>
  <c r="HV160" i="40"/>
  <c r="AP661" i="40"/>
  <c r="AF59" i="58"/>
  <c r="AG59" i="58" s="1"/>
  <c r="AF71" i="58"/>
  <c r="AG71" i="58" s="1"/>
  <c r="DB560" i="40"/>
  <c r="CK560" i="40"/>
  <c r="AM560" i="40"/>
  <c r="AO661" i="40"/>
  <c r="CQ661" i="40"/>
  <c r="CK661" i="40"/>
  <c r="AM661" i="40"/>
  <c r="AI561" i="40"/>
  <c r="AE561" i="40"/>
  <c r="AA561" i="40"/>
  <c r="W561" i="40"/>
  <c r="CU561" i="40" s="1"/>
  <c r="S561" i="40"/>
  <c r="O561" i="40"/>
  <c r="CO561" i="40" s="1"/>
  <c r="K561" i="40"/>
  <c r="G561" i="40"/>
  <c r="AH561" i="40"/>
  <c r="AD561" i="40"/>
  <c r="Z561" i="40"/>
  <c r="V561" i="40"/>
  <c r="CT561" i="40" s="1"/>
  <c r="R561" i="40"/>
  <c r="N561" i="40"/>
  <c r="CN561" i="40" s="1"/>
  <c r="J561" i="40"/>
  <c r="F561" i="40"/>
  <c r="AF561" i="40"/>
  <c r="X561" i="40"/>
  <c r="P561" i="40"/>
  <c r="H561" i="40"/>
  <c r="AC561" i="40"/>
  <c r="U561" i="40"/>
  <c r="CS561" i="40" s="1"/>
  <c r="M561" i="40"/>
  <c r="CM561" i="40" s="1"/>
  <c r="E561" i="40"/>
  <c r="AJ561" i="40"/>
  <c r="AB561" i="40"/>
  <c r="T561" i="40"/>
  <c r="CR561" i="40" s="1"/>
  <c r="L561" i="40"/>
  <c r="CL561" i="40" s="1"/>
  <c r="Y561" i="40"/>
  <c r="Q561" i="40"/>
  <c r="I561" i="40"/>
  <c r="AG561" i="40"/>
  <c r="BF561" i="40"/>
  <c r="BV561" i="40"/>
  <c r="DT561" i="40"/>
  <c r="BC561" i="40"/>
  <c r="BS561" i="40"/>
  <c r="CJ561" i="40"/>
  <c r="AZ561" i="40"/>
  <c r="BP561" i="40"/>
  <c r="CF561" i="40"/>
  <c r="BU561" i="40"/>
  <c r="BY561" i="40"/>
  <c r="HY561" i="40"/>
  <c r="IX561" i="40"/>
  <c r="C562" i="40"/>
  <c r="BJ561" i="40"/>
  <c r="BZ561" i="40"/>
  <c r="BG561" i="40"/>
  <c r="BW561" i="40"/>
  <c r="DU561" i="40"/>
  <c r="BD561" i="40"/>
  <c r="BT561" i="40"/>
  <c r="DM561" i="40"/>
  <c r="DS561" i="40"/>
  <c r="DW561" i="40"/>
  <c r="BM561" i="40"/>
  <c r="IA561" i="40"/>
  <c r="IY561" i="40"/>
  <c r="AW561" i="40"/>
  <c r="BN561" i="40"/>
  <c r="CD561" i="40"/>
  <c r="BK561" i="40"/>
  <c r="CA561" i="40"/>
  <c r="A561" i="40"/>
  <c r="BH561" i="40"/>
  <c r="BX561" i="40"/>
  <c r="DV561" i="40"/>
  <c r="BQ561" i="40"/>
  <c r="CG561" i="40"/>
  <c r="CC561" i="40"/>
  <c r="HZ561" i="40"/>
  <c r="JP561" i="40"/>
  <c r="BB561" i="40"/>
  <c r="BR561" i="40"/>
  <c r="CH561" i="40"/>
  <c r="AX561" i="40"/>
  <c r="BO561" i="40"/>
  <c r="CE561" i="40"/>
  <c r="BL561" i="40"/>
  <c r="CB561" i="40"/>
  <c r="BE561" i="40"/>
  <c r="BI561" i="40"/>
  <c r="JO561" i="40"/>
  <c r="BA561" i="40"/>
  <c r="IZ561" i="40"/>
  <c r="CP560" i="40"/>
  <c r="AN560" i="40"/>
  <c r="AP560" i="40"/>
  <c r="AG162" i="40"/>
  <c r="AC162" i="40"/>
  <c r="Y162" i="40"/>
  <c r="U162" i="40"/>
  <c r="CS162" i="40" s="1"/>
  <c r="Q162" i="40"/>
  <c r="M162" i="40"/>
  <c r="CM162" i="40" s="1"/>
  <c r="I162" i="40"/>
  <c r="E162" i="40"/>
  <c r="AI162" i="40"/>
  <c r="AE162" i="40"/>
  <c r="AA162" i="40"/>
  <c r="W162" i="40"/>
  <c r="CU162" i="40" s="1"/>
  <c r="S162" i="40"/>
  <c r="O162" i="40"/>
  <c r="CO162" i="40" s="1"/>
  <c r="K162" i="40"/>
  <c r="G162" i="40"/>
  <c r="AF162" i="40"/>
  <c r="X162" i="40"/>
  <c r="P162" i="40"/>
  <c r="H162" i="40"/>
  <c r="AH162" i="40"/>
  <c r="J162" i="40"/>
  <c r="AD162" i="40"/>
  <c r="V162" i="40"/>
  <c r="CT162" i="40" s="1"/>
  <c r="N162" i="40"/>
  <c r="CN162" i="40" s="1"/>
  <c r="F162" i="40"/>
  <c r="Z162" i="40"/>
  <c r="AJ162" i="40"/>
  <c r="AB162" i="40"/>
  <c r="T162" i="40"/>
  <c r="CR162" i="40" s="1"/>
  <c r="L162" i="40"/>
  <c r="CL162" i="40" s="1"/>
  <c r="R162" i="40"/>
  <c r="AI461" i="40"/>
  <c r="AE461" i="40"/>
  <c r="AA461" i="40"/>
  <c r="W461" i="40"/>
  <c r="CU461" i="40" s="1"/>
  <c r="S461" i="40"/>
  <c r="O461" i="40"/>
  <c r="CO461" i="40" s="1"/>
  <c r="K461" i="40"/>
  <c r="G461" i="40"/>
  <c r="AH461" i="40"/>
  <c r="AD461" i="40"/>
  <c r="Z461" i="40"/>
  <c r="V461" i="40"/>
  <c r="CT461" i="40" s="1"/>
  <c r="R461" i="40"/>
  <c r="N461" i="40"/>
  <c r="CN461" i="40" s="1"/>
  <c r="J461" i="40"/>
  <c r="F461" i="40"/>
  <c r="AG461" i="40"/>
  <c r="AC461" i="40"/>
  <c r="Y461" i="40"/>
  <c r="U461" i="40"/>
  <c r="CS461" i="40" s="1"/>
  <c r="Q461" i="40"/>
  <c r="M461" i="40"/>
  <c r="CM461" i="40" s="1"/>
  <c r="I461" i="40"/>
  <c r="E461" i="40"/>
  <c r="AJ461" i="40"/>
  <c r="T461" i="40"/>
  <c r="CR461" i="40" s="1"/>
  <c r="AF461" i="40"/>
  <c r="P461" i="40"/>
  <c r="AB461" i="40"/>
  <c r="L461" i="40"/>
  <c r="CL461" i="40" s="1"/>
  <c r="X461" i="40"/>
  <c r="H461" i="40"/>
  <c r="CV560" i="40"/>
  <c r="CQ560" i="40"/>
  <c r="AO560" i="40"/>
  <c r="AF662" i="40"/>
  <c r="CG662" i="40"/>
  <c r="BQ662" i="40"/>
  <c r="BA662" i="40"/>
  <c r="A662" i="40"/>
  <c r="BX662" i="40"/>
  <c r="BH662" i="40"/>
  <c r="P662" i="40"/>
  <c r="BZ662" i="40"/>
  <c r="R662" i="40"/>
  <c r="BN662" i="40"/>
  <c r="CE662" i="40"/>
  <c r="DS662" i="40"/>
  <c r="AX662" i="40"/>
  <c r="BO662" i="40"/>
  <c r="JO662" i="40"/>
  <c r="H662" i="40"/>
  <c r="AI662" i="40"/>
  <c r="F662" i="40"/>
  <c r="CJ662" i="40"/>
  <c r="CC662" i="40"/>
  <c r="BM662" i="40"/>
  <c r="AW662" i="40"/>
  <c r="DT662" i="40"/>
  <c r="BT662" i="40"/>
  <c r="BD662" i="40"/>
  <c r="L662" i="40"/>
  <c r="CL662" i="40" s="1"/>
  <c r="BR662" i="40"/>
  <c r="J662" i="40"/>
  <c r="BC662" i="40"/>
  <c r="BV662" i="40"/>
  <c r="CD662" i="40"/>
  <c r="W662" i="40"/>
  <c r="CU662" i="40" s="1"/>
  <c r="BF662" i="40"/>
  <c r="JP662" i="40"/>
  <c r="I662" i="40"/>
  <c r="AJ662" i="40"/>
  <c r="AC662" i="40"/>
  <c r="BY662" i="40"/>
  <c r="BI662" i="40"/>
  <c r="AG662" i="40"/>
  <c r="CF662" i="40"/>
  <c r="BP662" i="40"/>
  <c r="AZ662" i="40"/>
  <c r="DM662" i="40"/>
  <c r="BJ662" i="40"/>
  <c r="DW662" i="40"/>
  <c r="G662" i="40"/>
  <c r="BK662" i="40"/>
  <c r="BS662" i="40"/>
  <c r="N662" i="40"/>
  <c r="CN662" i="40" s="1"/>
  <c r="K662" i="40"/>
  <c r="KN662" i="40"/>
  <c r="BU662" i="40"/>
  <c r="BL662" i="40"/>
  <c r="BW662" i="40"/>
  <c r="CA662" i="40"/>
  <c r="BE662" i="40"/>
  <c r="AB662" i="40"/>
  <c r="DV662" i="40"/>
  <c r="C663" i="40"/>
  <c r="AE662" i="40"/>
  <c r="M662" i="40"/>
  <c r="CM662" i="40" s="1"/>
  <c r="CH662" i="40"/>
  <c r="O662" i="40"/>
  <c r="CO662" i="40" s="1"/>
  <c r="DU662" i="40"/>
  <c r="BG662" i="40"/>
  <c r="CB662" i="40"/>
  <c r="BB662" i="40"/>
  <c r="T662" i="40"/>
  <c r="CR662" i="40" s="1"/>
  <c r="AH662" i="40"/>
  <c r="Z662" i="40"/>
  <c r="U662" i="40"/>
  <c r="CS662" i="40" s="1"/>
  <c r="Q662" i="40"/>
  <c r="V662" i="40"/>
  <c r="CT662" i="40" s="1"/>
  <c r="S662" i="40"/>
  <c r="X662" i="40"/>
  <c r="AD662" i="40"/>
  <c r="AA662" i="40"/>
  <c r="E662" i="40"/>
  <c r="Y662" i="40"/>
  <c r="AJ362" i="40"/>
  <c r="AF362" i="40"/>
  <c r="AB362" i="40"/>
  <c r="X362" i="40"/>
  <c r="T362" i="40"/>
  <c r="CR362" i="40" s="1"/>
  <c r="P362" i="40"/>
  <c r="L362" i="40"/>
  <c r="CL362" i="40" s="1"/>
  <c r="H362" i="40"/>
  <c r="AI362" i="40"/>
  <c r="AE362" i="40"/>
  <c r="AA362" i="40"/>
  <c r="W362" i="40"/>
  <c r="CU362" i="40" s="1"/>
  <c r="S362" i="40"/>
  <c r="O362" i="40"/>
  <c r="CO362" i="40" s="1"/>
  <c r="K362" i="40"/>
  <c r="G362" i="40"/>
  <c r="AH362" i="40"/>
  <c r="AD362" i="40"/>
  <c r="Z362" i="40"/>
  <c r="V362" i="40"/>
  <c r="CT362" i="40" s="1"/>
  <c r="R362" i="40"/>
  <c r="N362" i="40"/>
  <c r="CN362" i="40" s="1"/>
  <c r="J362" i="40"/>
  <c r="F362" i="40"/>
  <c r="U362" i="40"/>
  <c r="CS362" i="40" s="1"/>
  <c r="E362" i="40"/>
  <c r="AG362" i="40"/>
  <c r="Q362" i="40"/>
  <c r="AC362" i="40"/>
  <c r="M362" i="40"/>
  <c r="CM362" i="40" s="1"/>
  <c r="I362" i="40"/>
  <c r="Y362" i="40"/>
  <c r="AH262" i="40"/>
  <c r="AD262" i="40"/>
  <c r="Z262" i="40"/>
  <c r="V262" i="40"/>
  <c r="CT262" i="40" s="1"/>
  <c r="R262" i="40"/>
  <c r="N262" i="40"/>
  <c r="CN262" i="40" s="1"/>
  <c r="J262" i="40"/>
  <c r="F262" i="40"/>
  <c r="AJ262" i="40"/>
  <c r="AF262" i="40"/>
  <c r="AB262" i="40"/>
  <c r="X262" i="40"/>
  <c r="T262" i="40"/>
  <c r="CR262" i="40" s="1"/>
  <c r="P262" i="40"/>
  <c r="L262" i="40"/>
  <c r="CL262" i="40" s="1"/>
  <c r="H262" i="40"/>
  <c r="AC262" i="40"/>
  <c r="U262" i="40"/>
  <c r="CS262" i="40" s="1"/>
  <c r="M262" i="40"/>
  <c r="CM262" i="40" s="1"/>
  <c r="E262" i="40"/>
  <c r="AI262" i="40"/>
  <c r="AA262" i="40"/>
  <c r="S262" i="40"/>
  <c r="K262" i="40"/>
  <c r="AG262" i="40"/>
  <c r="Y262" i="40"/>
  <c r="Q262" i="40"/>
  <c r="I262" i="40"/>
  <c r="AE262" i="40"/>
  <c r="W262" i="40"/>
  <c r="CU262" i="40" s="1"/>
  <c r="O262" i="40"/>
  <c r="CO262" i="40" s="1"/>
  <c r="G262" i="40"/>
  <c r="AN661" i="40"/>
  <c r="CP661" i="40"/>
  <c r="AA51" i="62"/>
  <c r="AC33" i="62"/>
  <c r="A55" i="62" s="1"/>
  <c r="AA57" i="62"/>
  <c r="AA59" i="62"/>
  <c r="AA65" i="62"/>
  <c r="Y63" i="58"/>
  <c r="AC33" i="58"/>
  <c r="A51" i="58" s="1"/>
  <c r="Y49" i="58"/>
  <c r="Y59" i="58"/>
  <c r="Y71" i="58"/>
  <c r="AA67" i="62"/>
  <c r="AA55" i="62"/>
  <c r="AA53" i="62"/>
  <c r="AA71" i="62"/>
  <c r="AA63" i="62"/>
  <c r="AF49" i="58"/>
  <c r="AG49" i="58" s="1"/>
  <c r="AF61" i="58"/>
  <c r="AG61" i="58" s="1"/>
  <c r="AQ157" i="40"/>
  <c r="AF63" i="58"/>
  <c r="AG63" i="58" s="1"/>
  <c r="AF69" i="58"/>
  <c r="AG69" i="58" s="1"/>
  <c r="AF57" i="58"/>
  <c r="AG57" i="58" s="1"/>
  <c r="KP157" i="40"/>
  <c r="KR157" i="40" s="1"/>
  <c r="JD157" i="40"/>
  <c r="JQ157" i="40" s="1"/>
  <c r="JU157" i="40" s="1"/>
  <c r="JV157" i="40" s="1"/>
  <c r="JW157" i="40" s="1"/>
  <c r="JJ159" i="40"/>
  <c r="JK159" i="40" s="1"/>
  <c r="JL159" i="40" s="1"/>
  <c r="JM159" i="40" s="1"/>
  <c r="KQ156" i="40"/>
  <c r="KS156" i="40" s="1"/>
  <c r="JS156" i="40"/>
  <c r="JQ156" i="40"/>
  <c r="JU156" i="40" s="1"/>
  <c r="JV156" i="40" s="1"/>
  <c r="JW156" i="40" s="1"/>
  <c r="IE158" i="40"/>
  <c r="KI158" i="40" s="1"/>
  <c r="JT156" i="40"/>
  <c r="JX156" i="40" s="1"/>
  <c r="IG158" i="40"/>
  <c r="KK158" i="40" s="1"/>
  <c r="A461" i="40"/>
  <c r="BL461" i="40"/>
  <c r="CB461" i="40"/>
  <c r="BM461" i="40"/>
  <c r="CC461" i="40"/>
  <c r="BJ461" i="40"/>
  <c r="BZ461" i="40"/>
  <c r="DU461" i="40"/>
  <c r="CE461" i="40"/>
  <c r="BS461" i="40"/>
  <c r="HZ461" i="40"/>
  <c r="JP461" i="40"/>
  <c r="AZ461" i="40"/>
  <c r="BP461" i="40"/>
  <c r="CF461" i="40"/>
  <c r="BQ461" i="40"/>
  <c r="CG461" i="40"/>
  <c r="AW461" i="40"/>
  <c r="CD461" i="40"/>
  <c r="CJ461" i="40"/>
  <c r="HY461" i="40"/>
  <c r="IX461" i="40"/>
  <c r="BD461" i="40"/>
  <c r="BT461" i="40"/>
  <c r="DM461" i="40"/>
  <c r="BE461" i="40"/>
  <c r="BU461" i="40"/>
  <c r="DS461" i="40"/>
  <c r="BB461" i="40"/>
  <c r="BR461" i="40"/>
  <c r="CH461" i="40"/>
  <c r="CA461" i="40"/>
  <c r="AX461" i="40"/>
  <c r="BG461" i="40"/>
  <c r="IA461" i="40"/>
  <c r="IY461" i="40"/>
  <c r="BK461" i="40"/>
  <c r="C462" i="40"/>
  <c r="BH461" i="40"/>
  <c r="BX461" i="40"/>
  <c r="DV461" i="40"/>
  <c r="BI461" i="40"/>
  <c r="BY461" i="40"/>
  <c r="DW461" i="40"/>
  <c r="BF461" i="40"/>
  <c r="BV461" i="40"/>
  <c r="DT461" i="40"/>
  <c r="BO461" i="40"/>
  <c r="BC461" i="40"/>
  <c r="JO461" i="40"/>
  <c r="IZ461" i="40"/>
  <c r="BA461" i="40"/>
  <c r="BN461" i="40"/>
  <c r="BW461" i="40"/>
  <c r="CK460" i="40"/>
  <c r="AM460" i="40"/>
  <c r="CQ460" i="40"/>
  <c r="AO460" i="40"/>
  <c r="CP460" i="40"/>
  <c r="AN460" i="40"/>
  <c r="DB460" i="40"/>
  <c r="CV460" i="40"/>
  <c r="AN261" i="40"/>
  <c r="CP261" i="40"/>
  <c r="AO261" i="40"/>
  <c r="CQ261" i="40"/>
  <c r="CV261" i="40"/>
  <c r="BJ262" i="40"/>
  <c r="BZ262" i="40"/>
  <c r="AX262" i="40"/>
  <c r="BO262" i="40"/>
  <c r="CE262" i="40"/>
  <c r="AZ262" i="40"/>
  <c r="BP262" i="40"/>
  <c r="CF262" i="40"/>
  <c r="BA262" i="40"/>
  <c r="BE262" i="40"/>
  <c r="BM262" i="40"/>
  <c r="HY262" i="40"/>
  <c r="AW262" i="40"/>
  <c r="BN262" i="40"/>
  <c r="CD262" i="40"/>
  <c r="BC262" i="40"/>
  <c r="BS262" i="40"/>
  <c r="CJ262" i="40"/>
  <c r="BD262" i="40"/>
  <c r="BT262" i="40"/>
  <c r="DM262" i="40"/>
  <c r="BQ262" i="40"/>
  <c r="BU262" i="40"/>
  <c r="BI262" i="40"/>
  <c r="CC262" i="40"/>
  <c r="IZ262" i="40"/>
  <c r="BB262" i="40"/>
  <c r="BR262" i="40"/>
  <c r="CH262" i="40"/>
  <c r="BG262" i="40"/>
  <c r="BW262" i="40"/>
  <c r="DU262" i="40"/>
  <c r="BH262" i="40"/>
  <c r="BX262" i="40"/>
  <c r="DV262" i="40"/>
  <c r="CG262" i="40"/>
  <c r="DS262" i="40"/>
  <c r="BY262" i="40"/>
  <c r="IX262" i="40"/>
  <c r="IA262" i="40"/>
  <c r="IY262" i="40"/>
  <c r="C263" i="40"/>
  <c r="BF262" i="40"/>
  <c r="BV262" i="40"/>
  <c r="DT262" i="40"/>
  <c r="BK262" i="40"/>
  <c r="CA262" i="40"/>
  <c r="A262" i="40"/>
  <c r="BL262" i="40"/>
  <c r="CB262" i="40"/>
  <c r="DW262" i="40"/>
  <c r="JO262" i="40"/>
  <c r="HZ262" i="40"/>
  <c r="JP262" i="40"/>
  <c r="AP261" i="40"/>
  <c r="CK261" i="40"/>
  <c r="AM261" i="40"/>
  <c r="DB261" i="40"/>
  <c r="IP161" i="40"/>
  <c r="JB161" i="40" s="1"/>
  <c r="IB159" i="40"/>
  <c r="IE159" i="40" s="1"/>
  <c r="HN161" i="40"/>
  <c r="HQ161" i="40" s="1"/>
  <c r="HM161" i="40"/>
  <c r="HP161" i="40" s="1"/>
  <c r="ID160" i="40"/>
  <c r="AP361" i="40"/>
  <c r="D160" i="40"/>
  <c r="AY160" i="40" s="1"/>
  <c r="HT161" i="40"/>
  <c r="CV361" i="40"/>
  <c r="C363" i="40"/>
  <c r="AX362" i="40"/>
  <c r="BC362" i="40"/>
  <c r="BG362" i="40"/>
  <c r="BK362" i="40"/>
  <c r="BO362" i="40"/>
  <c r="BS362" i="40"/>
  <c r="BW362" i="40"/>
  <c r="CA362" i="40"/>
  <c r="CE362" i="40"/>
  <c r="CJ362" i="40"/>
  <c r="DU362" i="40"/>
  <c r="A362" i="40"/>
  <c r="AZ362" i="40"/>
  <c r="BD362" i="40"/>
  <c r="BH362" i="40"/>
  <c r="BL362" i="40"/>
  <c r="BP362" i="40"/>
  <c r="BT362" i="40"/>
  <c r="BX362" i="40"/>
  <c r="CB362" i="40"/>
  <c r="CF362" i="40"/>
  <c r="DM362" i="40"/>
  <c r="DV362" i="40"/>
  <c r="BA362" i="40"/>
  <c r="BE362" i="40"/>
  <c r="BI362" i="40"/>
  <c r="BM362" i="40"/>
  <c r="BQ362" i="40"/>
  <c r="BU362" i="40"/>
  <c r="BY362" i="40"/>
  <c r="CC362" i="40"/>
  <c r="CG362" i="40"/>
  <c r="DS362" i="40"/>
  <c r="DW362" i="40"/>
  <c r="BJ362" i="40"/>
  <c r="BZ362" i="40"/>
  <c r="AW362" i="40"/>
  <c r="BN362" i="40"/>
  <c r="CD362" i="40"/>
  <c r="BB362" i="40"/>
  <c r="BR362" i="40"/>
  <c r="CH362" i="40"/>
  <c r="BF362" i="40"/>
  <c r="BV362" i="40"/>
  <c r="DT362" i="40"/>
  <c r="JO362" i="40"/>
  <c r="IY362" i="40"/>
  <c r="IA362" i="40"/>
  <c r="HY362" i="40"/>
  <c r="IX362" i="40"/>
  <c r="IZ362" i="40"/>
  <c r="HZ362" i="40"/>
  <c r="JP362" i="40"/>
  <c r="AP161" i="40"/>
  <c r="HS161" i="40"/>
  <c r="KT104" i="40"/>
  <c r="KU103" i="40"/>
  <c r="AO361" i="40"/>
  <c r="CQ361" i="40"/>
  <c r="CV161" i="40"/>
  <c r="AL161" i="40"/>
  <c r="AK161" i="40"/>
  <c r="JI160" i="40"/>
  <c r="CP161" i="40"/>
  <c r="HW161" i="40" s="1"/>
  <c r="AN161" i="40"/>
  <c r="CK161" i="40"/>
  <c r="AM161" i="40"/>
  <c r="IO161" i="40"/>
  <c r="JA161" i="40" s="1"/>
  <c r="JT155" i="40"/>
  <c r="JX155" i="40" s="1"/>
  <c r="KQ155" i="40"/>
  <c r="KS155" i="40" s="1"/>
  <c r="JR155" i="40"/>
  <c r="JQ155" i="40"/>
  <c r="JU155" i="40" s="1"/>
  <c r="JV155" i="40" s="1"/>
  <c r="JW155" i="40" s="1"/>
  <c r="JS155" i="40"/>
  <c r="AN361" i="40"/>
  <c r="CP361" i="40"/>
  <c r="CK361" i="40"/>
  <c r="AM361" i="40"/>
  <c r="AO161" i="40"/>
  <c r="CQ161" i="40"/>
  <c r="DB161" i="40"/>
  <c r="IK162" i="40"/>
  <c r="IN162" i="40" s="1"/>
  <c r="II162" i="40"/>
  <c r="IL162" i="40" s="1"/>
  <c r="IJ162" i="40"/>
  <c r="IM162" i="40" s="1"/>
  <c r="JF162" i="40"/>
  <c r="HO162" i="40" s="1"/>
  <c r="HR162" i="40" s="1"/>
  <c r="C163" i="40"/>
  <c r="AX162" i="40"/>
  <c r="BC162" i="40"/>
  <c r="BG162" i="40"/>
  <c r="BK162" i="40"/>
  <c r="BO162" i="40"/>
  <c r="BS162" i="40"/>
  <c r="BW162" i="40"/>
  <c r="CA162" i="40"/>
  <c r="CE162" i="40"/>
  <c r="CJ162" i="40"/>
  <c r="DT162" i="40"/>
  <c r="AZ162" i="40"/>
  <c r="BD162" i="40"/>
  <c r="BH162" i="40"/>
  <c r="BL162" i="40"/>
  <c r="BP162" i="40"/>
  <c r="BT162" i="40"/>
  <c r="BX162" i="40"/>
  <c r="CB162" i="40"/>
  <c r="CF162" i="40"/>
  <c r="DU162" i="40"/>
  <c r="BA162" i="40"/>
  <c r="BE162" i="40"/>
  <c r="BI162" i="40"/>
  <c r="BM162" i="40"/>
  <c r="BQ162" i="40"/>
  <c r="BU162" i="40"/>
  <c r="BY162" i="40"/>
  <c r="CC162" i="40"/>
  <c r="CG162" i="40"/>
  <c r="DM162" i="40"/>
  <c r="DV162" i="40"/>
  <c r="A162" i="40"/>
  <c r="BB162" i="40"/>
  <c r="BR162" i="40"/>
  <c r="CH162" i="40"/>
  <c r="BF162" i="40"/>
  <c r="BV162" i="40"/>
  <c r="DS162" i="40"/>
  <c r="BJ162" i="40"/>
  <c r="BZ162" i="40"/>
  <c r="DW162" i="40"/>
  <c r="AW162" i="40"/>
  <c r="BN162" i="40"/>
  <c r="CD162" i="40"/>
  <c r="JO162" i="40"/>
  <c r="IA162" i="40"/>
  <c r="HZ162" i="40"/>
  <c r="IZ162" i="40"/>
  <c r="IX162" i="40"/>
  <c r="HY162" i="40"/>
  <c r="IY162" i="40"/>
  <c r="JP162" i="40"/>
  <c r="JG162" i="40"/>
  <c r="HU161" i="40"/>
  <c r="KJ158" i="40"/>
  <c r="KO158" i="40"/>
  <c r="KR156" i="40"/>
  <c r="JH160" i="40"/>
  <c r="DB361" i="40"/>
  <c r="IA661" i="40" l="1"/>
  <c r="IZ661" i="40" s="1"/>
  <c r="CI446" i="40"/>
  <c r="CI346" i="40"/>
  <c r="CI645" i="40"/>
  <c r="CI162" i="40"/>
  <c r="CI545" i="40"/>
  <c r="CI246" i="40"/>
  <c r="JJ160" i="40"/>
  <c r="DB461" i="40"/>
  <c r="DB362" i="40"/>
  <c r="HY661" i="40"/>
  <c r="IX661" i="40" s="1"/>
  <c r="HZ661" i="40"/>
  <c r="IY661" i="40" s="1"/>
  <c r="CV662" i="40"/>
  <c r="CV461" i="40"/>
  <c r="A59" i="62"/>
  <c r="AC61" i="62"/>
  <c r="C61" i="62" s="1"/>
  <c r="A69" i="62"/>
  <c r="AC69" i="62"/>
  <c r="C69" i="62" s="1"/>
  <c r="A53" i="62"/>
  <c r="A57" i="62"/>
  <c r="A63" i="62"/>
  <c r="A67" i="62"/>
  <c r="A61" i="62"/>
  <c r="A51" i="62"/>
  <c r="AC67" i="62"/>
  <c r="C67" i="62" s="1"/>
  <c r="AC63" i="62"/>
  <c r="C63" i="62" s="1"/>
  <c r="AC71" i="62"/>
  <c r="C71" i="62" s="1"/>
  <c r="AC53" i="62"/>
  <c r="C53" i="62" s="1"/>
  <c r="A65" i="62"/>
  <c r="AC57" i="58"/>
  <c r="C57" i="58" s="1"/>
  <c r="A57" i="58"/>
  <c r="AD33" i="58"/>
  <c r="AD59" i="58" s="1"/>
  <c r="A59" i="58"/>
  <c r="A63" i="58"/>
  <c r="A65" i="58"/>
  <c r="AC53" i="58"/>
  <c r="C53" i="58" s="1"/>
  <c r="A67" i="58"/>
  <c r="AC65" i="58"/>
  <c r="C65" i="58" s="1"/>
  <c r="A61" i="58"/>
  <c r="A71" i="58"/>
  <c r="A55" i="58"/>
  <c r="AC59" i="58"/>
  <c r="C59" i="58" s="1"/>
  <c r="AC71" i="58"/>
  <c r="C71" i="58" s="1"/>
  <c r="AC49" i="58"/>
  <c r="C49" i="58" s="1"/>
  <c r="AC61" i="58"/>
  <c r="C61" i="58" s="1"/>
  <c r="AC55" i="58"/>
  <c r="C55" i="58" s="1"/>
  <c r="AC69" i="58"/>
  <c r="C69" i="58" s="1"/>
  <c r="A53" i="58"/>
  <c r="A69" i="58"/>
  <c r="AP662" i="40"/>
  <c r="A49" i="58"/>
  <c r="AC67" i="58"/>
  <c r="C67" i="58" s="1"/>
  <c r="AC51" i="58"/>
  <c r="C51" i="58" s="1"/>
  <c r="AC63" i="58"/>
  <c r="C63" i="58" s="1"/>
  <c r="CV561" i="40"/>
  <c r="JT157" i="40"/>
  <c r="JX157" i="40" s="1"/>
  <c r="AC51" i="62"/>
  <c r="C51" i="62" s="1"/>
  <c r="AC65" i="62"/>
  <c r="C65" i="62" s="1"/>
  <c r="AC55" i="62"/>
  <c r="C55" i="62" s="1"/>
  <c r="A71" i="62"/>
  <c r="AC57" i="62"/>
  <c r="C57" i="62" s="1"/>
  <c r="AC59" i="62"/>
  <c r="C59" i="62" s="1"/>
  <c r="AD33" i="62"/>
  <c r="AD55" i="62" s="1"/>
  <c r="AG163" i="40"/>
  <c r="AC163" i="40"/>
  <c r="Y163" i="40"/>
  <c r="U163" i="40"/>
  <c r="CS163" i="40" s="1"/>
  <c r="Q163" i="40"/>
  <c r="M163" i="40"/>
  <c r="CM163" i="40" s="1"/>
  <c r="I163" i="40"/>
  <c r="E163" i="40"/>
  <c r="AI163" i="40"/>
  <c r="AE163" i="40"/>
  <c r="AA163" i="40"/>
  <c r="W163" i="40"/>
  <c r="CU163" i="40" s="1"/>
  <c r="S163" i="40"/>
  <c r="O163" i="40"/>
  <c r="CO163" i="40" s="1"/>
  <c r="K163" i="40"/>
  <c r="G163" i="40"/>
  <c r="AF163" i="40"/>
  <c r="X163" i="40"/>
  <c r="P163" i="40"/>
  <c r="H163" i="40"/>
  <c r="Z163" i="40"/>
  <c r="AD163" i="40"/>
  <c r="V163" i="40"/>
  <c r="CT163" i="40" s="1"/>
  <c r="N163" i="40"/>
  <c r="CN163" i="40" s="1"/>
  <c r="F163" i="40"/>
  <c r="AH163" i="40"/>
  <c r="J163" i="40"/>
  <c r="AJ163" i="40"/>
  <c r="AB163" i="40"/>
  <c r="T163" i="40"/>
  <c r="CR163" i="40" s="1"/>
  <c r="L163" i="40"/>
  <c r="CL163" i="40" s="1"/>
  <c r="R163" i="40"/>
  <c r="AJ363" i="40"/>
  <c r="AF363" i="40"/>
  <c r="AB363" i="40"/>
  <c r="X363" i="40"/>
  <c r="T363" i="40"/>
  <c r="CR363" i="40" s="1"/>
  <c r="P363" i="40"/>
  <c r="L363" i="40"/>
  <c r="CL363" i="40" s="1"/>
  <c r="H363" i="40"/>
  <c r="AI363" i="40"/>
  <c r="AE363" i="40"/>
  <c r="AA363" i="40"/>
  <c r="CI447" i="40" s="1"/>
  <c r="W363" i="40"/>
  <c r="CU363" i="40" s="1"/>
  <c r="S363" i="40"/>
  <c r="O363" i="40"/>
  <c r="CO363" i="40" s="1"/>
  <c r="K363" i="40"/>
  <c r="G363" i="40"/>
  <c r="AH363" i="40"/>
  <c r="AD363" i="40"/>
  <c r="Z363" i="40"/>
  <c r="V363" i="40"/>
  <c r="CT363" i="40" s="1"/>
  <c r="R363" i="40"/>
  <c r="N363" i="40"/>
  <c r="CN363" i="40" s="1"/>
  <c r="J363" i="40"/>
  <c r="F363" i="40"/>
  <c r="U363" i="40"/>
  <c r="CS363" i="40" s="1"/>
  <c r="E363" i="40"/>
  <c r="AG363" i="40"/>
  <c r="Q363" i="40"/>
  <c r="AC363" i="40"/>
  <c r="M363" i="40"/>
  <c r="CM363" i="40" s="1"/>
  <c r="Y363" i="40"/>
  <c r="I363" i="40"/>
  <c r="AH263" i="40"/>
  <c r="AD263" i="40"/>
  <c r="Z263" i="40"/>
  <c r="V263" i="40"/>
  <c r="CT263" i="40" s="1"/>
  <c r="R263" i="40"/>
  <c r="N263" i="40"/>
  <c r="CN263" i="40" s="1"/>
  <c r="J263" i="40"/>
  <c r="F263" i="40"/>
  <c r="AJ263" i="40"/>
  <c r="AF263" i="40"/>
  <c r="AB263" i="40"/>
  <c r="X263" i="40"/>
  <c r="T263" i="40"/>
  <c r="CR263" i="40" s="1"/>
  <c r="P263" i="40"/>
  <c r="L263" i="40"/>
  <c r="CL263" i="40" s="1"/>
  <c r="H263" i="40"/>
  <c r="AC263" i="40"/>
  <c r="U263" i="40"/>
  <c r="CS263" i="40" s="1"/>
  <c r="M263" i="40"/>
  <c r="CM263" i="40" s="1"/>
  <c r="E263" i="40"/>
  <c r="AI263" i="40"/>
  <c r="AA263" i="40"/>
  <c r="S263" i="40"/>
  <c r="K263" i="40"/>
  <c r="AG263" i="40"/>
  <c r="Y263" i="40"/>
  <c r="Q263" i="40"/>
  <c r="I263" i="40"/>
  <c r="AE263" i="40"/>
  <c r="W263" i="40"/>
  <c r="CU263" i="40" s="1"/>
  <c r="O263" i="40"/>
  <c r="CO263" i="40" s="1"/>
  <c r="G263" i="40"/>
  <c r="I663" i="40"/>
  <c r="AJ663" i="40"/>
  <c r="AC663" i="40"/>
  <c r="CJ663" i="40"/>
  <c r="DU663" i="40"/>
  <c r="BU663" i="40"/>
  <c r="BE663" i="40"/>
  <c r="M663" i="40"/>
  <c r="CM663" i="40" s="1"/>
  <c r="CB663" i="40"/>
  <c r="BL663" i="40"/>
  <c r="AB663" i="40"/>
  <c r="CD663" i="40"/>
  <c r="AX663" i="40"/>
  <c r="BS663" i="40"/>
  <c r="BR663" i="40"/>
  <c r="J663" i="40"/>
  <c r="K663" i="40"/>
  <c r="W663" i="40"/>
  <c r="CU663" i="40" s="1"/>
  <c r="BW663" i="40"/>
  <c r="JO663" i="40"/>
  <c r="AE663" i="40"/>
  <c r="CG663" i="40"/>
  <c r="BQ663" i="40"/>
  <c r="BA663" i="40"/>
  <c r="A663" i="40"/>
  <c r="BX663" i="40"/>
  <c r="BH663" i="40"/>
  <c r="P663" i="40"/>
  <c r="BV663" i="40"/>
  <c r="N663" i="40"/>
  <c r="CN663" i="40" s="1"/>
  <c r="DM663" i="40"/>
  <c r="BJ663" i="40"/>
  <c r="BO663" i="40"/>
  <c r="C664" i="40"/>
  <c r="G663" i="40"/>
  <c r="JP663" i="40"/>
  <c r="AF663" i="40"/>
  <c r="CC663" i="40"/>
  <c r="BM663" i="40"/>
  <c r="AW663" i="40"/>
  <c r="DT663" i="40"/>
  <c r="BT663" i="40"/>
  <c r="BD663" i="40"/>
  <c r="L663" i="40"/>
  <c r="CL663" i="40" s="1"/>
  <c r="BN663" i="40"/>
  <c r="DS663" i="40"/>
  <c r="CH663" i="40"/>
  <c r="BB663" i="40"/>
  <c r="O663" i="40"/>
  <c r="CO663" i="40" s="1"/>
  <c r="CE663" i="40"/>
  <c r="BC663" i="40"/>
  <c r="H663" i="40"/>
  <c r="BY663" i="40"/>
  <c r="BP663" i="40"/>
  <c r="CA663" i="40"/>
  <c r="BG663" i="40"/>
  <c r="AI663" i="40"/>
  <c r="F663" i="40"/>
  <c r="BI663" i="40"/>
  <c r="AZ663" i="40"/>
  <c r="BZ663" i="40"/>
  <c r="DW663" i="40"/>
  <c r="KN663" i="40"/>
  <c r="AG663" i="40"/>
  <c r="DV663" i="40"/>
  <c r="R663" i="40"/>
  <c r="BK663" i="40"/>
  <c r="CF663" i="40"/>
  <c r="BF663" i="40"/>
  <c r="AH663" i="40"/>
  <c r="T663" i="40"/>
  <c r="CR663" i="40" s="1"/>
  <c r="Z663" i="40"/>
  <c r="Q663" i="40"/>
  <c r="S663" i="40"/>
  <c r="V663" i="40"/>
  <c r="CT663" i="40" s="1"/>
  <c r="U663" i="40"/>
  <c r="CS663" i="40" s="1"/>
  <c r="X663" i="40"/>
  <c r="AD663" i="40"/>
  <c r="AA663" i="40"/>
  <c r="E663" i="40"/>
  <c r="Y663" i="40"/>
  <c r="CQ561" i="40"/>
  <c r="AO561" i="40"/>
  <c r="AI462" i="40"/>
  <c r="AE462" i="40"/>
  <c r="AA462" i="40"/>
  <c r="W462" i="40"/>
  <c r="CU462" i="40" s="1"/>
  <c r="S462" i="40"/>
  <c r="O462" i="40"/>
  <c r="CO462" i="40" s="1"/>
  <c r="K462" i="40"/>
  <c r="G462" i="40"/>
  <c r="AH462" i="40"/>
  <c r="AD462" i="40"/>
  <c r="Z462" i="40"/>
  <c r="V462" i="40"/>
  <c r="CT462" i="40" s="1"/>
  <c r="R462" i="40"/>
  <c r="N462" i="40"/>
  <c r="CN462" i="40" s="1"/>
  <c r="J462" i="40"/>
  <c r="F462" i="40"/>
  <c r="AG462" i="40"/>
  <c r="AC462" i="40"/>
  <c r="Y462" i="40"/>
  <c r="U462" i="40"/>
  <c r="CS462" i="40" s="1"/>
  <c r="Q462" i="40"/>
  <c r="M462" i="40"/>
  <c r="CM462" i="40" s="1"/>
  <c r="I462" i="40"/>
  <c r="E462" i="40"/>
  <c r="AJ462" i="40"/>
  <c r="T462" i="40"/>
  <c r="CR462" i="40" s="1"/>
  <c r="AF462" i="40"/>
  <c r="P462" i="40"/>
  <c r="AB462" i="40"/>
  <c r="L462" i="40"/>
  <c r="CL462" i="40" s="1"/>
  <c r="H462" i="40"/>
  <c r="X462" i="40"/>
  <c r="AO662" i="40"/>
  <c r="CQ662" i="40"/>
  <c r="DB662" i="40"/>
  <c r="CK662" i="40"/>
  <c r="AM662" i="40"/>
  <c r="DB561" i="40"/>
  <c r="CK561" i="40"/>
  <c r="AM561" i="40"/>
  <c r="AN662" i="40"/>
  <c r="CP662" i="40"/>
  <c r="AI562" i="40"/>
  <c r="AE562" i="40"/>
  <c r="AA562" i="40"/>
  <c r="W562" i="40"/>
  <c r="CU562" i="40" s="1"/>
  <c r="S562" i="40"/>
  <c r="O562" i="40"/>
  <c r="CO562" i="40" s="1"/>
  <c r="K562" i="40"/>
  <c r="G562" i="40"/>
  <c r="AH562" i="40"/>
  <c r="AD562" i="40"/>
  <c r="Z562" i="40"/>
  <c r="V562" i="40"/>
  <c r="CT562" i="40" s="1"/>
  <c r="R562" i="40"/>
  <c r="N562" i="40"/>
  <c r="CN562" i="40" s="1"/>
  <c r="J562" i="40"/>
  <c r="F562" i="40"/>
  <c r="AF562" i="40"/>
  <c r="X562" i="40"/>
  <c r="P562" i="40"/>
  <c r="H562" i="40"/>
  <c r="AC562" i="40"/>
  <c r="U562" i="40"/>
  <c r="CS562" i="40" s="1"/>
  <c r="M562" i="40"/>
  <c r="CM562" i="40" s="1"/>
  <c r="E562" i="40"/>
  <c r="AJ562" i="40"/>
  <c r="AB562" i="40"/>
  <c r="T562" i="40"/>
  <c r="CR562" i="40" s="1"/>
  <c r="L562" i="40"/>
  <c r="CL562" i="40" s="1"/>
  <c r="Y562" i="40"/>
  <c r="Q562" i="40"/>
  <c r="I562" i="40"/>
  <c r="AG562" i="40"/>
  <c r="A562" i="40"/>
  <c r="BH562" i="40"/>
  <c r="BX562" i="40"/>
  <c r="DV562" i="40"/>
  <c r="BI562" i="40"/>
  <c r="BY562" i="40"/>
  <c r="DW562" i="40"/>
  <c r="BJ562" i="40"/>
  <c r="BZ562" i="40"/>
  <c r="BC562" i="40"/>
  <c r="CE562" i="40"/>
  <c r="DU562" i="40"/>
  <c r="CA562" i="40"/>
  <c r="IA562" i="40"/>
  <c r="JP562" i="40"/>
  <c r="BL562" i="40"/>
  <c r="CB562" i="40"/>
  <c r="BM562" i="40"/>
  <c r="CC562" i="40"/>
  <c r="AW562" i="40"/>
  <c r="BN562" i="40"/>
  <c r="CD562" i="40"/>
  <c r="BS562" i="40"/>
  <c r="AX562" i="40"/>
  <c r="BO562" i="40"/>
  <c r="IZ562" i="40"/>
  <c r="AZ562" i="40"/>
  <c r="BP562" i="40"/>
  <c r="CF562" i="40"/>
  <c r="BA562" i="40"/>
  <c r="BQ562" i="40"/>
  <c r="CG562" i="40"/>
  <c r="BB562" i="40"/>
  <c r="BR562" i="40"/>
  <c r="CH562" i="40"/>
  <c r="CJ562" i="40"/>
  <c r="BG562" i="40"/>
  <c r="HZ562" i="40"/>
  <c r="IX562" i="40"/>
  <c r="C563" i="40"/>
  <c r="BD562" i="40"/>
  <c r="BT562" i="40"/>
  <c r="DM562" i="40"/>
  <c r="BE562" i="40"/>
  <c r="BU562" i="40"/>
  <c r="DS562" i="40"/>
  <c r="BF562" i="40"/>
  <c r="BV562" i="40"/>
  <c r="DT562" i="40"/>
  <c r="JO562" i="40"/>
  <c r="BW562" i="40"/>
  <c r="BK562" i="40"/>
  <c r="HY562" i="40"/>
  <c r="IY562" i="40"/>
  <c r="AN561" i="40"/>
  <c r="CP561" i="40"/>
  <c r="AP561" i="40"/>
  <c r="JR157" i="40"/>
  <c r="JS157" i="40"/>
  <c r="KQ157" i="40"/>
  <c r="KS157" i="40" s="1"/>
  <c r="D161" i="40"/>
  <c r="AY161" i="40" s="1"/>
  <c r="KP158" i="40"/>
  <c r="KR158" i="40" s="1"/>
  <c r="AQ158" i="40"/>
  <c r="JD158" i="40"/>
  <c r="JS158" i="40" s="1"/>
  <c r="CQ461" i="40"/>
  <c r="AO461" i="40"/>
  <c r="AW462" i="40"/>
  <c r="BN462" i="40"/>
  <c r="CD462" i="40"/>
  <c r="BC462" i="40"/>
  <c r="BS462" i="40"/>
  <c r="CJ462" i="40"/>
  <c r="BD462" i="40"/>
  <c r="BT462" i="40"/>
  <c r="DM462" i="40"/>
  <c r="BI462" i="40"/>
  <c r="BU462" i="40"/>
  <c r="BE462" i="40"/>
  <c r="CG462" i="40"/>
  <c r="HY462" i="40"/>
  <c r="IY462" i="40"/>
  <c r="BB462" i="40"/>
  <c r="BR462" i="40"/>
  <c r="CH462" i="40"/>
  <c r="BG462" i="40"/>
  <c r="BW462" i="40"/>
  <c r="DU462" i="40"/>
  <c r="BH462" i="40"/>
  <c r="BX462" i="40"/>
  <c r="DV462" i="40"/>
  <c r="BY462" i="40"/>
  <c r="IA462" i="40"/>
  <c r="IX462" i="40"/>
  <c r="C463" i="40"/>
  <c r="BF462" i="40"/>
  <c r="BV462" i="40"/>
  <c r="DT462" i="40"/>
  <c r="BK462" i="40"/>
  <c r="CA462" i="40"/>
  <c r="A462" i="40"/>
  <c r="BL462" i="40"/>
  <c r="CB462" i="40"/>
  <c r="DW462" i="40"/>
  <c r="BM462" i="40"/>
  <c r="BA462" i="40"/>
  <c r="DS462" i="40"/>
  <c r="IZ462" i="40"/>
  <c r="JP462" i="40"/>
  <c r="BJ462" i="40"/>
  <c r="BZ462" i="40"/>
  <c r="AX462" i="40"/>
  <c r="BO462" i="40"/>
  <c r="CE462" i="40"/>
  <c r="AZ462" i="40"/>
  <c r="BP462" i="40"/>
  <c r="CF462" i="40"/>
  <c r="JO462" i="40"/>
  <c r="CC462" i="40"/>
  <c r="BQ462" i="40"/>
  <c r="HZ462" i="40"/>
  <c r="AP262" i="40"/>
  <c r="AN461" i="40"/>
  <c r="CP461" i="40"/>
  <c r="CK461" i="40"/>
  <c r="AM461" i="40"/>
  <c r="AP461" i="40"/>
  <c r="IG159" i="40"/>
  <c r="KK159" i="40" s="1"/>
  <c r="IF159" i="40"/>
  <c r="DB262" i="40"/>
  <c r="CV262" i="40"/>
  <c r="CP262" i="40"/>
  <c r="AN262" i="40"/>
  <c r="BD263" i="40"/>
  <c r="BT263" i="40"/>
  <c r="DM263" i="40"/>
  <c r="BE263" i="40"/>
  <c r="BU263" i="40"/>
  <c r="DS263" i="40"/>
  <c r="BB263" i="40"/>
  <c r="BR263" i="40"/>
  <c r="CH263" i="40"/>
  <c r="BO263" i="40"/>
  <c r="BS263" i="40"/>
  <c r="BW263" i="40"/>
  <c r="IZ263" i="40"/>
  <c r="IA263" i="40"/>
  <c r="IY263" i="40"/>
  <c r="C264" i="40"/>
  <c r="BH263" i="40"/>
  <c r="BX263" i="40"/>
  <c r="DV263" i="40"/>
  <c r="BI263" i="40"/>
  <c r="BY263" i="40"/>
  <c r="DW263" i="40"/>
  <c r="BF263" i="40"/>
  <c r="BV263" i="40"/>
  <c r="DT263" i="40"/>
  <c r="CE263" i="40"/>
  <c r="CJ263" i="40"/>
  <c r="DU263" i="40"/>
  <c r="JO263" i="40"/>
  <c r="IX263" i="40"/>
  <c r="JP263" i="40"/>
  <c r="A263" i="40"/>
  <c r="BL263" i="40"/>
  <c r="CB263" i="40"/>
  <c r="BM263" i="40"/>
  <c r="CC263" i="40"/>
  <c r="BJ263" i="40"/>
  <c r="BZ263" i="40"/>
  <c r="BK263" i="40"/>
  <c r="HY263" i="40"/>
  <c r="AZ263" i="40"/>
  <c r="BP263" i="40"/>
  <c r="CF263" i="40"/>
  <c r="BA263" i="40"/>
  <c r="BQ263" i="40"/>
  <c r="CG263" i="40"/>
  <c r="AW263" i="40"/>
  <c r="BN263" i="40"/>
  <c r="CD263" i="40"/>
  <c r="AX263" i="40"/>
  <c r="BC263" i="40"/>
  <c r="BG263" i="40"/>
  <c r="CA263" i="40"/>
  <c r="HZ263" i="40"/>
  <c r="AM262" i="40"/>
  <c r="CK262" i="40"/>
  <c r="AO262" i="40"/>
  <c r="CQ262" i="40"/>
  <c r="HN162" i="40"/>
  <c r="HQ162" i="40" s="1"/>
  <c r="IQ162" i="40"/>
  <c r="JC162" i="40" s="1"/>
  <c r="IO162" i="40"/>
  <c r="JA162" i="40" s="1"/>
  <c r="IB160" i="40"/>
  <c r="IG160" i="40" s="1"/>
  <c r="JH161" i="40"/>
  <c r="HM162" i="40"/>
  <c r="HP162" i="40" s="1"/>
  <c r="AP162" i="40"/>
  <c r="IC161" i="40"/>
  <c r="CV162" i="40"/>
  <c r="AL162" i="40"/>
  <c r="AK162" i="40"/>
  <c r="AO162" i="40"/>
  <c r="CQ162" i="40"/>
  <c r="HX161" i="40"/>
  <c r="ID161" i="40" s="1"/>
  <c r="DB162" i="40"/>
  <c r="IP162" i="40"/>
  <c r="JB162" i="40" s="1"/>
  <c r="HT162" i="40"/>
  <c r="JK160" i="40"/>
  <c r="JL160" i="40" s="1"/>
  <c r="HV161" i="40"/>
  <c r="AP362" i="40"/>
  <c r="CK362" i="40"/>
  <c r="AM362" i="40"/>
  <c r="C364" i="40"/>
  <c r="BA363" i="40"/>
  <c r="BE363" i="40"/>
  <c r="BI363" i="40"/>
  <c r="BM363" i="40"/>
  <c r="BQ363" i="40"/>
  <c r="BU363" i="40"/>
  <c r="BY363" i="40"/>
  <c r="CC363" i="40"/>
  <c r="CG363" i="40"/>
  <c r="DS363" i="40"/>
  <c r="DW363" i="40"/>
  <c r="AW363" i="40"/>
  <c r="BB363" i="40"/>
  <c r="BF363" i="40"/>
  <c r="BJ363" i="40"/>
  <c r="BN363" i="40"/>
  <c r="BR363" i="40"/>
  <c r="BV363" i="40"/>
  <c r="BZ363" i="40"/>
  <c r="CD363" i="40"/>
  <c r="CH363" i="40"/>
  <c r="DT363" i="40"/>
  <c r="AX363" i="40"/>
  <c r="BC363" i="40"/>
  <c r="BG363" i="40"/>
  <c r="BK363" i="40"/>
  <c r="BO363" i="40"/>
  <c r="BS363" i="40"/>
  <c r="BW363" i="40"/>
  <c r="CA363" i="40"/>
  <c r="CE363" i="40"/>
  <c r="CJ363" i="40"/>
  <c r="DU363" i="40"/>
  <c r="A363" i="40"/>
  <c r="BH363" i="40"/>
  <c r="BX363" i="40"/>
  <c r="DV363" i="40"/>
  <c r="BL363" i="40"/>
  <c r="CB363" i="40"/>
  <c r="AZ363" i="40"/>
  <c r="BP363" i="40"/>
  <c r="CF363" i="40"/>
  <c r="BD363" i="40"/>
  <c r="BT363" i="40"/>
  <c r="DM363" i="40"/>
  <c r="JO363" i="40"/>
  <c r="IY363" i="40"/>
  <c r="IX363" i="40"/>
  <c r="IA363" i="40"/>
  <c r="HY363" i="40"/>
  <c r="IZ363" i="40"/>
  <c r="HZ363" i="40"/>
  <c r="JP363" i="40"/>
  <c r="CK162" i="40"/>
  <c r="AM162" i="40"/>
  <c r="HS162" i="40"/>
  <c r="KI159" i="40"/>
  <c r="KO159" i="40"/>
  <c r="CV362" i="40"/>
  <c r="CP162" i="40"/>
  <c r="HX162" i="40" s="1"/>
  <c r="AN162" i="40"/>
  <c r="IK163" i="40"/>
  <c r="IN163" i="40" s="1"/>
  <c r="IJ163" i="40"/>
  <c r="IM163" i="40" s="1"/>
  <c r="JF163" i="40"/>
  <c r="HO163" i="40" s="1"/>
  <c r="II163" i="40"/>
  <c r="IL163" i="40" s="1"/>
  <c r="C164" i="40"/>
  <c r="A163" i="40"/>
  <c r="AX163" i="40"/>
  <c r="BC163" i="40"/>
  <c r="BG163" i="40"/>
  <c r="BK163" i="40"/>
  <c r="BO163" i="40"/>
  <c r="BS163" i="40"/>
  <c r="BW163" i="40"/>
  <c r="CA163" i="40"/>
  <c r="CE163" i="40"/>
  <c r="CJ163" i="40"/>
  <c r="DU163" i="40"/>
  <c r="AZ163" i="40"/>
  <c r="BD163" i="40"/>
  <c r="BH163" i="40"/>
  <c r="BL163" i="40"/>
  <c r="BP163" i="40"/>
  <c r="BT163" i="40"/>
  <c r="BX163" i="40"/>
  <c r="CB163" i="40"/>
  <c r="CF163" i="40"/>
  <c r="DM163" i="40"/>
  <c r="DV163" i="40"/>
  <c r="BA163" i="40"/>
  <c r="BE163" i="40"/>
  <c r="BI163" i="40"/>
  <c r="BM163" i="40"/>
  <c r="BQ163" i="40"/>
  <c r="BU163" i="40"/>
  <c r="BY163" i="40"/>
  <c r="CC163" i="40"/>
  <c r="CG163" i="40"/>
  <c r="DS163" i="40"/>
  <c r="DW163" i="40"/>
  <c r="BJ163" i="40"/>
  <c r="BZ163" i="40"/>
  <c r="AW163" i="40"/>
  <c r="BN163" i="40"/>
  <c r="CD163" i="40"/>
  <c r="BB163" i="40"/>
  <c r="BR163" i="40"/>
  <c r="CH163" i="40"/>
  <c r="BV163" i="40"/>
  <c r="DT163" i="40"/>
  <c r="BF163" i="40"/>
  <c r="JO163" i="40"/>
  <c r="IX163" i="40"/>
  <c r="IA163" i="40"/>
  <c r="HY163" i="40"/>
  <c r="IZ163" i="40"/>
  <c r="HZ163" i="40"/>
  <c r="IY163" i="40"/>
  <c r="JP163" i="40"/>
  <c r="JG163" i="40"/>
  <c r="HU162" i="40"/>
  <c r="KU104" i="40"/>
  <c r="KT105" i="40"/>
  <c r="JI161" i="40"/>
  <c r="CQ362" i="40"/>
  <c r="AO362" i="40"/>
  <c r="CP362" i="40"/>
  <c r="AN362" i="40"/>
  <c r="HY662" i="40" l="1"/>
  <c r="CI247" i="40"/>
  <c r="CI546" i="40"/>
  <c r="CI347" i="40"/>
  <c r="CI646" i="40"/>
  <c r="CI163" i="40"/>
  <c r="DB663" i="40"/>
  <c r="AP263" i="40"/>
  <c r="AD71" i="62"/>
  <c r="HZ662" i="40"/>
  <c r="IY662" i="40" s="1"/>
  <c r="DB263" i="40"/>
  <c r="DB562" i="40"/>
  <c r="AD53" i="58"/>
  <c r="AD69" i="58"/>
  <c r="AD65" i="58"/>
  <c r="AD49" i="58"/>
  <c r="AD55" i="58"/>
  <c r="AD71" i="58"/>
  <c r="AD57" i="58"/>
  <c r="AD63" i="58"/>
  <c r="AD61" i="58"/>
  <c r="AD67" i="58"/>
  <c r="AD51" i="58"/>
  <c r="IA662" i="40"/>
  <c r="IZ662" i="40" s="1"/>
  <c r="CV263" i="40"/>
  <c r="AD65" i="62"/>
  <c r="D162" i="40"/>
  <c r="AY162" i="40" s="1"/>
  <c r="AD63" i="62"/>
  <c r="IX662" i="40"/>
  <c r="AD61" i="62"/>
  <c r="AD51" i="62"/>
  <c r="CV663" i="40"/>
  <c r="AD67" i="62"/>
  <c r="AD53" i="62"/>
  <c r="AD59" i="62"/>
  <c r="AD69" i="62"/>
  <c r="AD57" i="62"/>
  <c r="JT158" i="40"/>
  <c r="JX158" i="40" s="1"/>
  <c r="CK562" i="40"/>
  <c r="AM562" i="40"/>
  <c r="AG164" i="40"/>
  <c r="AC164" i="40"/>
  <c r="Y164" i="40"/>
  <c r="U164" i="40"/>
  <c r="CS164" i="40" s="1"/>
  <c r="Q164" i="40"/>
  <c r="M164" i="40"/>
  <c r="I164" i="40"/>
  <c r="E164" i="40"/>
  <c r="AI164" i="40"/>
  <c r="AE164" i="40"/>
  <c r="AA164" i="40"/>
  <c r="W164" i="40"/>
  <c r="CU164" i="40" s="1"/>
  <c r="S164" i="40"/>
  <c r="O164" i="40"/>
  <c r="K164" i="40"/>
  <c r="G164" i="40"/>
  <c r="AF164" i="40"/>
  <c r="X164" i="40"/>
  <c r="P164" i="40"/>
  <c r="H164" i="40"/>
  <c r="AH164" i="40"/>
  <c r="R164" i="40"/>
  <c r="AD164" i="40"/>
  <c r="V164" i="40"/>
  <c r="CT164" i="40" s="1"/>
  <c r="N164" i="40"/>
  <c r="CN164" i="40" s="1"/>
  <c r="F164" i="40"/>
  <c r="Z164" i="40"/>
  <c r="AJ164" i="40"/>
  <c r="AB164" i="40"/>
  <c r="T164" i="40"/>
  <c r="L164" i="40"/>
  <c r="CL164" i="40" s="1"/>
  <c r="J164" i="40"/>
  <c r="AJ364" i="40"/>
  <c r="AF364" i="40"/>
  <c r="AB364" i="40"/>
  <c r="X364" i="40"/>
  <c r="T364" i="40"/>
  <c r="CR364" i="40" s="1"/>
  <c r="P364" i="40"/>
  <c r="L364" i="40"/>
  <c r="CL364" i="40" s="1"/>
  <c r="H364" i="40"/>
  <c r="AI364" i="40"/>
  <c r="AE364" i="40"/>
  <c r="AA364" i="40"/>
  <c r="CI448" i="40" s="1"/>
  <c r="W364" i="40"/>
  <c r="CU364" i="40" s="1"/>
  <c r="S364" i="40"/>
  <c r="O364" i="40"/>
  <c r="K364" i="40"/>
  <c r="G364" i="40"/>
  <c r="AH364" i="40"/>
  <c r="AD364" i="40"/>
  <c r="Z364" i="40"/>
  <c r="V364" i="40"/>
  <c r="CT364" i="40" s="1"/>
  <c r="R364" i="40"/>
  <c r="N364" i="40"/>
  <c r="J364" i="40"/>
  <c r="F364" i="40"/>
  <c r="U364" i="40"/>
  <c r="CS364" i="40" s="1"/>
  <c r="E364" i="40"/>
  <c r="AG364" i="40"/>
  <c r="Q364" i="40"/>
  <c r="AC364" i="40"/>
  <c r="M364" i="40"/>
  <c r="I364" i="40"/>
  <c r="Y364" i="40"/>
  <c r="AH264" i="40"/>
  <c r="AD264" i="40"/>
  <c r="Z264" i="40"/>
  <c r="V264" i="40"/>
  <c r="CT264" i="40" s="1"/>
  <c r="R264" i="40"/>
  <c r="N264" i="40"/>
  <c r="J264" i="40"/>
  <c r="F264" i="40"/>
  <c r="AJ264" i="40"/>
  <c r="AF264" i="40"/>
  <c r="AB264" i="40"/>
  <c r="X264" i="40"/>
  <c r="T264" i="40"/>
  <c r="CR264" i="40" s="1"/>
  <c r="P264" i="40"/>
  <c r="L264" i="40"/>
  <c r="CL264" i="40" s="1"/>
  <c r="H264" i="40"/>
  <c r="AC264" i="40"/>
  <c r="U264" i="40"/>
  <c r="M264" i="40"/>
  <c r="CM264" i="40" s="1"/>
  <c r="E264" i="40"/>
  <c r="AI264" i="40"/>
  <c r="AA264" i="40"/>
  <c r="S264" i="40"/>
  <c r="K264" i="40"/>
  <c r="AG264" i="40"/>
  <c r="Y264" i="40"/>
  <c r="Q264" i="40"/>
  <c r="I264" i="40"/>
  <c r="AE264" i="40"/>
  <c r="W264" i="40"/>
  <c r="CU264" i="40" s="1"/>
  <c r="O264" i="40"/>
  <c r="CO264" i="40" s="1"/>
  <c r="G264" i="40"/>
  <c r="AI463" i="40"/>
  <c r="AE463" i="40"/>
  <c r="AA463" i="40"/>
  <c r="W463" i="40"/>
  <c r="CU463" i="40" s="1"/>
  <c r="S463" i="40"/>
  <c r="O463" i="40"/>
  <c r="CO463" i="40" s="1"/>
  <c r="K463" i="40"/>
  <c r="G463" i="40"/>
  <c r="AH463" i="40"/>
  <c r="AD463" i="40"/>
  <c r="Z463" i="40"/>
  <c r="V463" i="40"/>
  <c r="CT463" i="40" s="1"/>
  <c r="R463" i="40"/>
  <c r="N463" i="40"/>
  <c r="CN463" i="40" s="1"/>
  <c r="J463" i="40"/>
  <c r="F463" i="40"/>
  <c r="AG463" i="40"/>
  <c r="AC463" i="40"/>
  <c r="Y463" i="40"/>
  <c r="U463" i="40"/>
  <c r="CS463" i="40" s="1"/>
  <c r="Q463" i="40"/>
  <c r="M463" i="40"/>
  <c r="CM463" i="40" s="1"/>
  <c r="I463" i="40"/>
  <c r="E463" i="40"/>
  <c r="AJ463" i="40"/>
  <c r="T463" i="40"/>
  <c r="CR463" i="40" s="1"/>
  <c r="AF463" i="40"/>
  <c r="P463" i="40"/>
  <c r="AB463" i="40"/>
  <c r="L463" i="40"/>
  <c r="CL463" i="40" s="1"/>
  <c r="X463" i="40"/>
  <c r="H463" i="40"/>
  <c r="AN562" i="40"/>
  <c r="CP562" i="40"/>
  <c r="AP562" i="40"/>
  <c r="CP663" i="40"/>
  <c r="CV562" i="40"/>
  <c r="CQ562" i="40"/>
  <c r="AO562" i="40"/>
  <c r="AO663" i="40"/>
  <c r="CQ663" i="40"/>
  <c r="AF664" i="40"/>
  <c r="BY664" i="40"/>
  <c r="BI664" i="40"/>
  <c r="AG664" i="40"/>
  <c r="CF664" i="40"/>
  <c r="BP664" i="40"/>
  <c r="AZ664" i="40"/>
  <c r="DM664" i="40"/>
  <c r="BJ664" i="40"/>
  <c r="C665" i="40"/>
  <c r="BO664" i="40"/>
  <c r="G664" i="40"/>
  <c r="BN664" i="40"/>
  <c r="BC664" i="40"/>
  <c r="BS664" i="40"/>
  <c r="JO664" i="40"/>
  <c r="H664" i="40"/>
  <c r="AI664" i="40"/>
  <c r="F664" i="40"/>
  <c r="DU664" i="40"/>
  <c r="BU664" i="40"/>
  <c r="BE664" i="40"/>
  <c r="M664" i="40"/>
  <c r="CM664" i="40" s="1"/>
  <c r="CB664" i="40"/>
  <c r="BL664" i="40"/>
  <c r="AB664" i="40"/>
  <c r="CH664" i="40"/>
  <c r="BB664" i="40"/>
  <c r="DW664" i="40"/>
  <c r="BG664" i="40"/>
  <c r="DV664" i="40"/>
  <c r="BF664" i="40"/>
  <c r="CA664" i="40"/>
  <c r="BK664" i="40"/>
  <c r="JP664" i="40"/>
  <c r="I664" i="40"/>
  <c r="AJ664" i="40"/>
  <c r="AC664" i="40"/>
  <c r="CG664" i="40"/>
  <c r="BQ664" i="40"/>
  <c r="BA664" i="40"/>
  <c r="A664" i="40"/>
  <c r="BX664" i="40"/>
  <c r="BH664" i="40"/>
  <c r="P664" i="40"/>
  <c r="BZ664" i="40"/>
  <c r="R664" i="40"/>
  <c r="CE664" i="40"/>
  <c r="W664" i="40"/>
  <c r="CU664" i="40" s="1"/>
  <c r="CD664" i="40"/>
  <c r="AX664" i="40"/>
  <c r="K664" i="40"/>
  <c r="KN664" i="40"/>
  <c r="BM664" i="40"/>
  <c r="BD664" i="40"/>
  <c r="BW664" i="40"/>
  <c r="DS664" i="40"/>
  <c r="AW664" i="40"/>
  <c r="L664" i="40"/>
  <c r="CL664" i="40" s="1"/>
  <c r="O664" i="40"/>
  <c r="CO664" i="40" s="1"/>
  <c r="CJ664" i="40"/>
  <c r="DT664" i="40"/>
  <c r="BR664" i="40"/>
  <c r="BV664" i="40"/>
  <c r="AE664" i="40"/>
  <c r="CC664" i="40"/>
  <c r="N664" i="40"/>
  <c r="CN664" i="40" s="1"/>
  <c r="BT664" i="40"/>
  <c r="J664" i="40"/>
  <c r="T664" i="40"/>
  <c r="CR664" i="40" s="1"/>
  <c r="AH664" i="40"/>
  <c r="Z664" i="40"/>
  <c r="U664" i="40"/>
  <c r="CS664" i="40" s="1"/>
  <c r="X664" i="40"/>
  <c r="V664" i="40"/>
  <c r="CT664" i="40" s="1"/>
  <c r="S664" i="40"/>
  <c r="Q664" i="40"/>
  <c r="AA664" i="40"/>
  <c r="AD664" i="40"/>
  <c r="E664" i="40"/>
  <c r="Y664" i="40"/>
  <c r="AI563" i="40"/>
  <c r="AE563" i="40"/>
  <c r="AA563" i="40"/>
  <c r="W563" i="40"/>
  <c r="CU563" i="40" s="1"/>
  <c r="S563" i="40"/>
  <c r="O563" i="40"/>
  <c r="CO563" i="40" s="1"/>
  <c r="K563" i="40"/>
  <c r="G563" i="40"/>
  <c r="AH563" i="40"/>
  <c r="AD563" i="40"/>
  <c r="Z563" i="40"/>
  <c r="V563" i="40"/>
  <c r="CT563" i="40" s="1"/>
  <c r="R563" i="40"/>
  <c r="N563" i="40"/>
  <c r="CN563" i="40" s="1"/>
  <c r="J563" i="40"/>
  <c r="F563" i="40"/>
  <c r="AF563" i="40"/>
  <c r="X563" i="40"/>
  <c r="P563" i="40"/>
  <c r="H563" i="40"/>
  <c r="AC563" i="40"/>
  <c r="U563" i="40"/>
  <c r="CS563" i="40" s="1"/>
  <c r="M563" i="40"/>
  <c r="CM563" i="40" s="1"/>
  <c r="E563" i="40"/>
  <c r="AJ563" i="40"/>
  <c r="AB563" i="40"/>
  <c r="T563" i="40"/>
  <c r="CR563" i="40" s="1"/>
  <c r="L563" i="40"/>
  <c r="CL563" i="40" s="1"/>
  <c r="Y563" i="40"/>
  <c r="Q563" i="40"/>
  <c r="I563" i="40"/>
  <c r="AG563" i="40"/>
  <c r="AW563" i="40"/>
  <c r="BN563" i="40"/>
  <c r="CD563" i="40"/>
  <c r="BK563" i="40"/>
  <c r="CA563" i="40"/>
  <c r="A563" i="40"/>
  <c r="BH563" i="40"/>
  <c r="BX563" i="40"/>
  <c r="DV563" i="40"/>
  <c r="BE563" i="40"/>
  <c r="DW563" i="40"/>
  <c r="HY563" i="40"/>
  <c r="JP563" i="40"/>
  <c r="BB563" i="40"/>
  <c r="BR563" i="40"/>
  <c r="CH563" i="40"/>
  <c r="AX563" i="40"/>
  <c r="BO563" i="40"/>
  <c r="CE563" i="40"/>
  <c r="BL563" i="40"/>
  <c r="CB563" i="40"/>
  <c r="BA563" i="40"/>
  <c r="BU563" i="40"/>
  <c r="CC563" i="40"/>
  <c r="BM563" i="40"/>
  <c r="IZ563" i="40"/>
  <c r="BF563" i="40"/>
  <c r="BV563" i="40"/>
  <c r="DT563" i="40"/>
  <c r="BC563" i="40"/>
  <c r="BS563" i="40"/>
  <c r="CJ563" i="40"/>
  <c r="AZ563" i="40"/>
  <c r="BP563" i="40"/>
  <c r="CF563" i="40"/>
  <c r="BQ563" i="40"/>
  <c r="DS563" i="40"/>
  <c r="BI563" i="40"/>
  <c r="IA563" i="40"/>
  <c r="IX563" i="40"/>
  <c r="C564" i="40"/>
  <c r="BJ563" i="40"/>
  <c r="BZ563" i="40"/>
  <c r="BG563" i="40"/>
  <c r="BW563" i="40"/>
  <c r="DU563" i="40"/>
  <c r="BD563" i="40"/>
  <c r="BT563" i="40"/>
  <c r="DM563" i="40"/>
  <c r="CG563" i="40"/>
  <c r="JO563" i="40"/>
  <c r="BY563" i="40"/>
  <c r="HZ563" i="40"/>
  <c r="IY563" i="40"/>
  <c r="AP663" i="40"/>
  <c r="AN663" i="40"/>
  <c r="CK663" i="40"/>
  <c r="AM663" i="40"/>
  <c r="JR158" i="40"/>
  <c r="KQ158" i="40"/>
  <c r="KS158" i="40" s="1"/>
  <c r="IE160" i="40"/>
  <c r="JQ158" i="40"/>
  <c r="JU158" i="40" s="1"/>
  <c r="JV158" i="40" s="1"/>
  <c r="JW158" i="40" s="1"/>
  <c r="AQ159" i="40"/>
  <c r="KP159" i="40"/>
  <c r="KR159" i="40" s="1"/>
  <c r="IF160" i="40"/>
  <c r="JD160" i="40" s="1"/>
  <c r="JD159" i="40"/>
  <c r="JS159" i="40" s="1"/>
  <c r="KJ159" i="40"/>
  <c r="CK462" i="40"/>
  <c r="AM462" i="40"/>
  <c r="AO462" i="40"/>
  <c r="CQ462" i="40"/>
  <c r="DB462" i="40"/>
  <c r="AN462" i="40"/>
  <c r="CP462" i="40"/>
  <c r="BC463" i="40"/>
  <c r="BS463" i="40"/>
  <c r="CJ463" i="40"/>
  <c r="BD463" i="40"/>
  <c r="BT463" i="40"/>
  <c r="DM463" i="40"/>
  <c r="BE463" i="40"/>
  <c r="BU463" i="40"/>
  <c r="DS463" i="40"/>
  <c r="BV463" i="40"/>
  <c r="BN463" i="40"/>
  <c r="IZ463" i="40"/>
  <c r="IY463" i="40"/>
  <c r="BJ463" i="40"/>
  <c r="HY463" i="40"/>
  <c r="BB463" i="40"/>
  <c r="IA463" i="40"/>
  <c r="JP463" i="40"/>
  <c r="C464" i="40"/>
  <c r="BG463" i="40"/>
  <c r="BW463" i="40"/>
  <c r="DU463" i="40"/>
  <c r="BH463" i="40"/>
  <c r="BX463" i="40"/>
  <c r="DV463" i="40"/>
  <c r="BI463" i="40"/>
  <c r="BY463" i="40"/>
  <c r="DW463" i="40"/>
  <c r="DT463" i="40"/>
  <c r="CH463" i="40"/>
  <c r="CD463" i="40"/>
  <c r="BL463" i="40"/>
  <c r="BZ463" i="40"/>
  <c r="CA463" i="40"/>
  <c r="CB463" i="40"/>
  <c r="CC463" i="40"/>
  <c r="BR463" i="40"/>
  <c r="AX463" i="40"/>
  <c r="BO463" i="40"/>
  <c r="CE463" i="40"/>
  <c r="AZ463" i="40"/>
  <c r="BP463" i="40"/>
  <c r="CF463" i="40"/>
  <c r="BA463" i="40"/>
  <c r="BQ463" i="40"/>
  <c r="CG463" i="40"/>
  <c r="BF463" i="40"/>
  <c r="JO463" i="40"/>
  <c r="AW463" i="40"/>
  <c r="HZ463" i="40"/>
  <c r="IX463" i="40"/>
  <c r="A463" i="40"/>
  <c r="BK463" i="40"/>
  <c r="BM463" i="40"/>
  <c r="AP462" i="40"/>
  <c r="CV462" i="40"/>
  <c r="AN263" i="40"/>
  <c r="CP263" i="40"/>
  <c r="BB264" i="40"/>
  <c r="BR264" i="40"/>
  <c r="CH264" i="40"/>
  <c r="BG264" i="40"/>
  <c r="BW264" i="40"/>
  <c r="DU264" i="40"/>
  <c r="BH264" i="40"/>
  <c r="BX264" i="40"/>
  <c r="DV264" i="40"/>
  <c r="BI264" i="40"/>
  <c r="IZ264" i="40"/>
  <c r="IX264" i="40"/>
  <c r="IY264" i="40"/>
  <c r="C265" i="40"/>
  <c r="BF264" i="40"/>
  <c r="BV264" i="40"/>
  <c r="DT264" i="40"/>
  <c r="BK264" i="40"/>
  <c r="CA264" i="40"/>
  <c r="A264" i="40"/>
  <c r="BL264" i="40"/>
  <c r="CB264" i="40"/>
  <c r="CN264" i="40"/>
  <c r="BA264" i="40"/>
  <c r="BE264" i="40"/>
  <c r="BY264" i="40"/>
  <c r="JO264" i="40"/>
  <c r="HZ264" i="40"/>
  <c r="CS264" i="40"/>
  <c r="JP264" i="40"/>
  <c r="BJ264" i="40"/>
  <c r="BZ264" i="40"/>
  <c r="AX264" i="40"/>
  <c r="BO264" i="40"/>
  <c r="CE264" i="40"/>
  <c r="AZ264" i="40"/>
  <c r="BP264" i="40"/>
  <c r="CF264" i="40"/>
  <c r="BM264" i="40"/>
  <c r="BQ264" i="40"/>
  <c r="BU264" i="40"/>
  <c r="IA264" i="40"/>
  <c r="AW264" i="40"/>
  <c r="BN264" i="40"/>
  <c r="CD264" i="40"/>
  <c r="BC264" i="40"/>
  <c r="BS264" i="40"/>
  <c r="CJ264" i="40"/>
  <c r="BD264" i="40"/>
  <c r="BT264" i="40"/>
  <c r="DM264" i="40"/>
  <c r="CC264" i="40"/>
  <c r="CG264" i="40"/>
  <c r="DS264" i="40"/>
  <c r="DW264" i="40"/>
  <c r="HY264" i="40"/>
  <c r="AM263" i="40"/>
  <c r="CK263" i="40"/>
  <c r="AO263" i="40"/>
  <c r="CQ263" i="40"/>
  <c r="IO163" i="40"/>
  <c r="JA163" i="40" s="1"/>
  <c r="DB163" i="40"/>
  <c r="HV162" i="40"/>
  <c r="HM163" i="40"/>
  <c r="HP163" i="40" s="1"/>
  <c r="HN163" i="40"/>
  <c r="HQ163" i="40" s="1"/>
  <c r="KT106" i="40"/>
  <c r="KU105" i="40"/>
  <c r="CV163" i="40"/>
  <c r="AL163" i="40"/>
  <c r="AK163" i="40"/>
  <c r="CP163" i="40"/>
  <c r="HW163" i="40" s="1"/>
  <c r="AN163" i="40"/>
  <c r="HS163" i="40"/>
  <c r="JI162" i="40"/>
  <c r="AN363" i="40"/>
  <c r="CP363" i="40"/>
  <c r="JJ161" i="40"/>
  <c r="JK161" i="40" s="1"/>
  <c r="JL161" i="40" s="1"/>
  <c r="HU163" i="40"/>
  <c r="AO363" i="40"/>
  <c r="CQ363" i="40"/>
  <c r="AP163" i="40"/>
  <c r="CK163" i="40"/>
  <c r="AM163" i="40"/>
  <c r="HR163" i="40"/>
  <c r="HW162" i="40"/>
  <c r="IC162" i="40" s="1"/>
  <c r="CK363" i="40"/>
  <c r="AM363" i="40"/>
  <c r="JM160" i="40"/>
  <c r="CQ163" i="40"/>
  <c r="AO163" i="40"/>
  <c r="JH162" i="40"/>
  <c r="CV363" i="40"/>
  <c r="IP163" i="40"/>
  <c r="JB163" i="40" s="1"/>
  <c r="IQ163" i="40"/>
  <c r="JC163" i="40" s="1"/>
  <c r="IK164" i="40"/>
  <c r="IN164" i="40" s="1"/>
  <c r="JF164" i="40"/>
  <c r="HO164" i="40" s="1"/>
  <c r="HR164" i="40" s="1"/>
  <c r="II164" i="40"/>
  <c r="IL164" i="40" s="1"/>
  <c r="IJ164" i="40"/>
  <c r="IM164" i="40" s="1"/>
  <c r="C165" i="40"/>
  <c r="AZ164" i="40"/>
  <c r="BD164" i="40"/>
  <c r="BH164" i="40"/>
  <c r="BL164" i="40"/>
  <c r="BP164" i="40"/>
  <c r="BT164" i="40"/>
  <c r="BX164" i="40"/>
  <c r="CB164" i="40"/>
  <c r="CF164" i="40"/>
  <c r="DM164" i="40"/>
  <c r="DV164" i="40"/>
  <c r="BA164" i="40"/>
  <c r="BE164" i="40"/>
  <c r="BI164" i="40"/>
  <c r="BM164" i="40"/>
  <c r="BQ164" i="40"/>
  <c r="BU164" i="40"/>
  <c r="BY164" i="40"/>
  <c r="CC164" i="40"/>
  <c r="CG164" i="40"/>
  <c r="DS164" i="40"/>
  <c r="DW164" i="40"/>
  <c r="CO164" i="40"/>
  <c r="AW164" i="40"/>
  <c r="BB164" i="40"/>
  <c r="BF164" i="40"/>
  <c r="BJ164" i="40"/>
  <c r="BN164" i="40"/>
  <c r="BR164" i="40"/>
  <c r="BV164" i="40"/>
  <c r="BZ164" i="40"/>
  <c r="CD164" i="40"/>
  <c r="CH164" i="40"/>
  <c r="DT164" i="40"/>
  <c r="A164" i="40"/>
  <c r="BC164" i="40"/>
  <c r="BS164" i="40"/>
  <c r="CJ164" i="40"/>
  <c r="CM164" i="40"/>
  <c r="BG164" i="40"/>
  <c r="BW164" i="40"/>
  <c r="DU164" i="40"/>
  <c r="BK164" i="40"/>
  <c r="CA164" i="40"/>
  <c r="AX164" i="40"/>
  <c r="BO164" i="40"/>
  <c r="CE164" i="40"/>
  <c r="JO164" i="40"/>
  <c r="IZ164" i="40"/>
  <c r="IX164" i="40"/>
  <c r="HY164" i="40"/>
  <c r="IA164" i="40"/>
  <c r="HZ164" i="40"/>
  <c r="CR164" i="40"/>
  <c r="IY164" i="40"/>
  <c r="JP164" i="40"/>
  <c r="JG164" i="40"/>
  <c r="HT163" i="40"/>
  <c r="DB363" i="40"/>
  <c r="AP363" i="40"/>
  <c r="C365" i="40"/>
  <c r="CO364" i="40"/>
  <c r="AX364" i="40"/>
  <c r="BC364" i="40"/>
  <c r="BG364" i="40"/>
  <c r="BK364" i="40"/>
  <c r="BO364" i="40"/>
  <c r="BS364" i="40"/>
  <c r="BW364" i="40"/>
  <c r="CA364" i="40"/>
  <c r="CE364" i="40"/>
  <c r="CJ364" i="40"/>
  <c r="DU364" i="40"/>
  <c r="A364" i="40"/>
  <c r="CM364" i="40"/>
  <c r="AZ364" i="40"/>
  <c r="BD364" i="40"/>
  <c r="BH364" i="40"/>
  <c r="BL364" i="40"/>
  <c r="BP364" i="40"/>
  <c r="BT364" i="40"/>
  <c r="BX364" i="40"/>
  <c r="CB364" i="40"/>
  <c r="CF364" i="40"/>
  <c r="DM364" i="40"/>
  <c r="DV364" i="40"/>
  <c r="CN364" i="40"/>
  <c r="BA364" i="40"/>
  <c r="BE364" i="40"/>
  <c r="BI364" i="40"/>
  <c r="BM364" i="40"/>
  <c r="BQ364" i="40"/>
  <c r="BU364" i="40"/>
  <c r="BY364" i="40"/>
  <c r="CC364" i="40"/>
  <c r="CG364" i="40"/>
  <c r="DS364" i="40"/>
  <c r="DW364" i="40"/>
  <c r="BF364" i="40"/>
  <c r="BV364" i="40"/>
  <c r="DT364" i="40"/>
  <c r="BJ364" i="40"/>
  <c r="BZ364" i="40"/>
  <c r="AW364" i="40"/>
  <c r="BN364" i="40"/>
  <c r="CD364" i="40"/>
  <c r="BB364" i="40"/>
  <c r="BR364" i="40"/>
  <c r="CH364" i="40"/>
  <c r="JO364" i="40"/>
  <c r="IY364" i="40"/>
  <c r="IZ364" i="40"/>
  <c r="IX364" i="40"/>
  <c r="HZ364" i="40"/>
  <c r="IA364" i="40"/>
  <c r="HY364" i="40"/>
  <c r="JP364" i="40"/>
  <c r="ID162" i="40"/>
  <c r="IB161" i="40"/>
  <c r="IG161" i="40" s="1"/>
  <c r="CI248" i="40" l="1"/>
  <c r="CI348" i="40"/>
  <c r="CI647" i="40"/>
  <c r="CI164" i="40"/>
  <c r="CI547" i="40"/>
  <c r="AP463" i="40"/>
  <c r="HY663" i="40"/>
  <c r="IX663" i="40" s="1"/>
  <c r="HZ663" i="40"/>
  <c r="IY663" i="40" s="1"/>
  <c r="AQ160" i="40"/>
  <c r="IA663" i="40"/>
  <c r="IZ663" i="40" s="1"/>
  <c r="DB463" i="40"/>
  <c r="CV664" i="40"/>
  <c r="KP160" i="40"/>
  <c r="AI464" i="40"/>
  <c r="AE464" i="40"/>
  <c r="AA464" i="40"/>
  <c r="W464" i="40"/>
  <c r="CU464" i="40" s="1"/>
  <c r="S464" i="40"/>
  <c r="O464" i="40"/>
  <c r="CO464" i="40" s="1"/>
  <c r="K464" i="40"/>
  <c r="G464" i="40"/>
  <c r="AH464" i="40"/>
  <c r="AD464" i="40"/>
  <c r="Z464" i="40"/>
  <c r="V464" i="40"/>
  <c r="CT464" i="40" s="1"/>
  <c r="R464" i="40"/>
  <c r="N464" i="40"/>
  <c r="CN464" i="40" s="1"/>
  <c r="J464" i="40"/>
  <c r="F464" i="40"/>
  <c r="AG464" i="40"/>
  <c r="AC464" i="40"/>
  <c r="Y464" i="40"/>
  <c r="U464" i="40"/>
  <c r="CS464" i="40" s="1"/>
  <c r="Q464" i="40"/>
  <c r="M464" i="40"/>
  <c r="CM464" i="40" s="1"/>
  <c r="I464" i="40"/>
  <c r="E464" i="40"/>
  <c r="AJ464" i="40"/>
  <c r="T464" i="40"/>
  <c r="AF464" i="40"/>
  <c r="P464" i="40"/>
  <c r="AB464" i="40"/>
  <c r="L464" i="40"/>
  <c r="H464" i="40"/>
  <c r="X464" i="40"/>
  <c r="AP464" i="40" s="1"/>
  <c r="CP664" i="40"/>
  <c r="AN664" i="40"/>
  <c r="AG165" i="40"/>
  <c r="AC165" i="40"/>
  <c r="Y165" i="40"/>
  <c r="U165" i="40"/>
  <c r="CS165" i="40" s="1"/>
  <c r="Q165" i="40"/>
  <c r="M165" i="40"/>
  <c r="CM165" i="40" s="1"/>
  <c r="I165" i="40"/>
  <c r="E165" i="40"/>
  <c r="AI165" i="40"/>
  <c r="AE165" i="40"/>
  <c r="AA165" i="40"/>
  <c r="W165" i="40"/>
  <c r="CU165" i="40" s="1"/>
  <c r="S165" i="40"/>
  <c r="O165" i="40"/>
  <c r="CO165" i="40" s="1"/>
  <c r="K165" i="40"/>
  <c r="G165" i="40"/>
  <c r="AF165" i="40"/>
  <c r="X165" i="40"/>
  <c r="P165" i="40"/>
  <c r="H165" i="40"/>
  <c r="Z165" i="40"/>
  <c r="AD165" i="40"/>
  <c r="V165" i="40"/>
  <c r="CT165" i="40" s="1"/>
  <c r="N165" i="40"/>
  <c r="F165" i="40"/>
  <c r="R165" i="40"/>
  <c r="AJ165" i="40"/>
  <c r="AB165" i="40"/>
  <c r="T165" i="40"/>
  <c r="CR165" i="40" s="1"/>
  <c r="L165" i="40"/>
  <c r="CL165" i="40" s="1"/>
  <c r="AH165" i="40"/>
  <c r="J165" i="40"/>
  <c r="DB563" i="40"/>
  <c r="CK563" i="40"/>
  <c r="AM563" i="40"/>
  <c r="AO664" i="40"/>
  <c r="CQ664" i="40"/>
  <c r="DB664" i="40"/>
  <c r="CK664" i="40"/>
  <c r="AM664" i="40"/>
  <c r="AJ365" i="40"/>
  <c r="AF365" i="40"/>
  <c r="AB365" i="40"/>
  <c r="X365" i="40"/>
  <c r="T365" i="40"/>
  <c r="CR365" i="40" s="1"/>
  <c r="P365" i="40"/>
  <c r="L365" i="40"/>
  <c r="CL365" i="40" s="1"/>
  <c r="H365" i="40"/>
  <c r="AI365" i="40"/>
  <c r="AE365" i="40"/>
  <c r="AA365" i="40"/>
  <c r="CI449" i="40" s="1"/>
  <c r="W365" i="40"/>
  <c r="CU365" i="40" s="1"/>
  <c r="S365" i="40"/>
  <c r="O365" i="40"/>
  <c r="K365" i="40"/>
  <c r="G365" i="40"/>
  <c r="AH365" i="40"/>
  <c r="AD365" i="40"/>
  <c r="Z365" i="40"/>
  <c r="V365" i="40"/>
  <c r="CT365" i="40" s="1"/>
  <c r="R365" i="40"/>
  <c r="N365" i="40"/>
  <c r="CN365" i="40" s="1"/>
  <c r="J365" i="40"/>
  <c r="F365" i="40"/>
  <c r="U365" i="40"/>
  <c r="CS365" i="40" s="1"/>
  <c r="E365" i="40"/>
  <c r="AG365" i="40"/>
  <c r="Q365" i="40"/>
  <c r="AC365" i="40"/>
  <c r="M365" i="40"/>
  <c r="Y365" i="40"/>
  <c r="I365" i="40"/>
  <c r="AH265" i="40"/>
  <c r="AD265" i="40"/>
  <c r="Z265" i="40"/>
  <c r="V265" i="40"/>
  <c r="CT265" i="40" s="1"/>
  <c r="R265" i="40"/>
  <c r="N265" i="40"/>
  <c r="J265" i="40"/>
  <c r="F265" i="40"/>
  <c r="AJ265" i="40"/>
  <c r="AF265" i="40"/>
  <c r="AB265" i="40"/>
  <c r="X265" i="40"/>
  <c r="T265" i="40"/>
  <c r="CR265" i="40" s="1"/>
  <c r="P265" i="40"/>
  <c r="L265" i="40"/>
  <c r="CL265" i="40" s="1"/>
  <c r="H265" i="40"/>
  <c r="AC265" i="40"/>
  <c r="U265" i="40"/>
  <c r="M265" i="40"/>
  <c r="CM265" i="40" s="1"/>
  <c r="E265" i="40"/>
  <c r="AI265" i="40"/>
  <c r="AA265" i="40"/>
  <c r="S265" i="40"/>
  <c r="K265" i="40"/>
  <c r="AG265" i="40"/>
  <c r="Y265" i="40"/>
  <c r="Q265" i="40"/>
  <c r="I265" i="40"/>
  <c r="AE265" i="40"/>
  <c r="W265" i="40"/>
  <c r="CU265" i="40" s="1"/>
  <c r="O265" i="40"/>
  <c r="CO265" i="40" s="1"/>
  <c r="G265" i="40"/>
  <c r="AN563" i="40"/>
  <c r="CP563" i="40"/>
  <c r="AP563" i="40"/>
  <c r="AI564" i="40"/>
  <c r="AE564" i="40"/>
  <c r="AA564" i="40"/>
  <c r="W564" i="40"/>
  <c r="CU564" i="40" s="1"/>
  <c r="S564" i="40"/>
  <c r="O564" i="40"/>
  <c r="CO564" i="40" s="1"/>
  <c r="K564" i="40"/>
  <c r="G564" i="40"/>
  <c r="AH564" i="40"/>
  <c r="AD564" i="40"/>
  <c r="Z564" i="40"/>
  <c r="V564" i="40"/>
  <c r="CT564" i="40" s="1"/>
  <c r="R564" i="40"/>
  <c r="N564" i="40"/>
  <c r="CN564" i="40" s="1"/>
  <c r="J564" i="40"/>
  <c r="F564" i="40"/>
  <c r="AF564" i="40"/>
  <c r="X564" i="40"/>
  <c r="P564" i="40"/>
  <c r="H564" i="40"/>
  <c r="AC564" i="40"/>
  <c r="U564" i="40"/>
  <c r="CS564" i="40" s="1"/>
  <c r="M564" i="40"/>
  <c r="CM564" i="40" s="1"/>
  <c r="E564" i="40"/>
  <c r="AJ564" i="40"/>
  <c r="AB564" i="40"/>
  <c r="T564" i="40"/>
  <c r="CR564" i="40" s="1"/>
  <c r="L564" i="40"/>
  <c r="CL564" i="40" s="1"/>
  <c r="Y564" i="40"/>
  <c r="Q564" i="40"/>
  <c r="I564" i="40"/>
  <c r="AG564" i="40"/>
  <c r="C565" i="40"/>
  <c r="BD564" i="40"/>
  <c r="BT564" i="40"/>
  <c r="DM564" i="40"/>
  <c r="BE564" i="40"/>
  <c r="BU564" i="40"/>
  <c r="DS564" i="40"/>
  <c r="BF564" i="40"/>
  <c r="BV564" i="40"/>
  <c r="DT564" i="40"/>
  <c r="CJ564" i="40"/>
  <c r="BW564" i="40"/>
  <c r="IA564" i="40"/>
  <c r="IX564" i="40"/>
  <c r="A564" i="40"/>
  <c r="BH564" i="40"/>
  <c r="BX564" i="40"/>
  <c r="DV564" i="40"/>
  <c r="BI564" i="40"/>
  <c r="BY564" i="40"/>
  <c r="DW564" i="40"/>
  <c r="BJ564" i="40"/>
  <c r="BZ564" i="40"/>
  <c r="AX564" i="40"/>
  <c r="CA564" i="40"/>
  <c r="BK564" i="40"/>
  <c r="DU564" i="40"/>
  <c r="HZ564" i="40"/>
  <c r="JP564" i="40"/>
  <c r="BL564" i="40"/>
  <c r="CB564" i="40"/>
  <c r="BM564" i="40"/>
  <c r="CC564" i="40"/>
  <c r="AW564" i="40"/>
  <c r="BN564" i="40"/>
  <c r="CD564" i="40"/>
  <c r="BO564" i="40"/>
  <c r="BC564" i="40"/>
  <c r="JO564" i="40"/>
  <c r="IZ564" i="40"/>
  <c r="AZ564" i="40"/>
  <c r="BP564" i="40"/>
  <c r="CF564" i="40"/>
  <c r="BA564" i="40"/>
  <c r="BQ564" i="40"/>
  <c r="CG564" i="40"/>
  <c r="BB564" i="40"/>
  <c r="BR564" i="40"/>
  <c r="CH564" i="40"/>
  <c r="CE564" i="40"/>
  <c r="BS564" i="40"/>
  <c r="BG564" i="40"/>
  <c r="HY564" i="40"/>
  <c r="IY564" i="40"/>
  <c r="CV563" i="40"/>
  <c r="AO563" i="40"/>
  <c r="CQ563" i="40"/>
  <c r="AP664" i="40"/>
  <c r="I665" i="40"/>
  <c r="AJ665" i="40"/>
  <c r="AC665" i="40"/>
  <c r="DU665" i="40"/>
  <c r="BU665" i="40"/>
  <c r="BE665" i="40"/>
  <c r="M665" i="40"/>
  <c r="CM665" i="40" s="1"/>
  <c r="CB665" i="40"/>
  <c r="BL665" i="40"/>
  <c r="AB665" i="40"/>
  <c r="DW665" i="40"/>
  <c r="BF665" i="40"/>
  <c r="DS665" i="40"/>
  <c r="BC665" i="40"/>
  <c r="BZ665" i="40"/>
  <c r="J665" i="40"/>
  <c r="BG665" i="40"/>
  <c r="JO665" i="40"/>
  <c r="AE665" i="40"/>
  <c r="CG665" i="40"/>
  <c r="BQ665" i="40"/>
  <c r="BA665" i="40"/>
  <c r="A665" i="40"/>
  <c r="BX665" i="40"/>
  <c r="BH665" i="40"/>
  <c r="P665" i="40"/>
  <c r="CD665" i="40"/>
  <c r="AX665" i="40"/>
  <c r="CA665" i="40"/>
  <c r="K665" i="40"/>
  <c r="BR665" i="40"/>
  <c r="BW665" i="40"/>
  <c r="W665" i="40"/>
  <c r="CU665" i="40" s="1"/>
  <c r="JP665" i="40"/>
  <c r="AF665" i="40"/>
  <c r="CJ665" i="40"/>
  <c r="CC665" i="40"/>
  <c r="BM665" i="40"/>
  <c r="AW665" i="40"/>
  <c r="DT665" i="40"/>
  <c r="BT665" i="40"/>
  <c r="BD665" i="40"/>
  <c r="L665" i="40"/>
  <c r="CL665" i="40" s="1"/>
  <c r="BV665" i="40"/>
  <c r="N665" i="40"/>
  <c r="CN665" i="40" s="1"/>
  <c r="BS665" i="40"/>
  <c r="DM665" i="40"/>
  <c r="BJ665" i="40"/>
  <c r="G665" i="40"/>
  <c r="CE665" i="40"/>
  <c r="F665" i="40"/>
  <c r="BI665" i="40"/>
  <c r="AZ665" i="40"/>
  <c r="BK665" i="40"/>
  <c r="O665" i="40"/>
  <c r="CO665" i="40" s="1"/>
  <c r="H665" i="40"/>
  <c r="AG665" i="40"/>
  <c r="DV665" i="40"/>
  <c r="CH665" i="40"/>
  <c r="KN665" i="40"/>
  <c r="AI665" i="40"/>
  <c r="CF665" i="40"/>
  <c r="BN665" i="40"/>
  <c r="BB665" i="40"/>
  <c r="BO665" i="40"/>
  <c r="BY665" i="40"/>
  <c r="C666" i="40"/>
  <c r="BP665" i="40"/>
  <c r="Z665" i="40"/>
  <c r="AH665" i="40"/>
  <c r="X665" i="40"/>
  <c r="Q665" i="40"/>
  <c r="R665" i="40"/>
  <c r="AD665" i="40"/>
  <c r="AA665" i="40"/>
  <c r="T665" i="40"/>
  <c r="CR665" i="40" s="1"/>
  <c r="E665" i="40"/>
  <c r="S665" i="40"/>
  <c r="V665" i="40"/>
  <c r="CT665" i="40" s="1"/>
  <c r="U665" i="40"/>
  <c r="CS665" i="40" s="1"/>
  <c r="Y665" i="40"/>
  <c r="JT159" i="40"/>
  <c r="JX159" i="40" s="1"/>
  <c r="JR159" i="40"/>
  <c r="JQ159" i="40"/>
  <c r="JU159" i="40" s="1"/>
  <c r="JV159" i="40" s="1"/>
  <c r="JW159" i="40" s="1"/>
  <c r="KQ159" i="40"/>
  <c r="KS159" i="40" s="1"/>
  <c r="CV264" i="40"/>
  <c r="CV463" i="40"/>
  <c r="CK463" i="40"/>
  <c r="AM463" i="40"/>
  <c r="C465" i="40"/>
  <c r="BG464" i="40"/>
  <c r="BW464" i="40"/>
  <c r="DS464" i="40"/>
  <c r="BD464" i="40"/>
  <c r="BT464" i="40"/>
  <c r="DT464" i="40"/>
  <c r="BI464" i="40"/>
  <c r="BY464" i="40"/>
  <c r="BF464" i="40"/>
  <c r="DV464" i="40"/>
  <c r="IA464" i="40"/>
  <c r="JP464" i="40"/>
  <c r="BK464" i="40"/>
  <c r="CA464" i="40"/>
  <c r="DW464" i="40"/>
  <c r="BH464" i="40"/>
  <c r="BX464" i="40"/>
  <c r="CL464" i="40"/>
  <c r="BM464" i="40"/>
  <c r="CC464" i="40"/>
  <c r="BB464" i="40"/>
  <c r="CD464" i="40"/>
  <c r="BV464" i="40"/>
  <c r="JO464" i="40"/>
  <c r="IZ464" i="40"/>
  <c r="CR464" i="40"/>
  <c r="AX464" i="40"/>
  <c r="BO464" i="40"/>
  <c r="CE464" i="40"/>
  <c r="BL464" i="40"/>
  <c r="CB464" i="40"/>
  <c r="BA464" i="40"/>
  <c r="BQ464" i="40"/>
  <c r="CG464" i="40"/>
  <c r="BR464" i="40"/>
  <c r="A464" i="40"/>
  <c r="DM464" i="40"/>
  <c r="BJ464" i="40"/>
  <c r="AW464" i="40"/>
  <c r="HZ464" i="40"/>
  <c r="IX464" i="40"/>
  <c r="BC464" i="40"/>
  <c r="BS464" i="40"/>
  <c r="CJ464" i="40"/>
  <c r="AZ464" i="40"/>
  <c r="BP464" i="40"/>
  <c r="CF464" i="40"/>
  <c r="BE464" i="40"/>
  <c r="BU464" i="40"/>
  <c r="DU464" i="40"/>
  <c r="CH464" i="40"/>
  <c r="BN464" i="40"/>
  <c r="BZ464" i="40"/>
  <c r="HY464" i="40"/>
  <c r="IY464" i="40"/>
  <c r="CQ463" i="40"/>
  <c r="AO463" i="40"/>
  <c r="CP463" i="40"/>
  <c r="AN463" i="40"/>
  <c r="AM264" i="40"/>
  <c r="CK264" i="40"/>
  <c r="AP264" i="40"/>
  <c r="AN264" i="40"/>
  <c r="CP264" i="40"/>
  <c r="DB264" i="40"/>
  <c r="AO264" i="40"/>
  <c r="CQ264" i="40"/>
  <c r="C266" i="40"/>
  <c r="BG265" i="40"/>
  <c r="BW265" i="40"/>
  <c r="DU265" i="40"/>
  <c r="BH265" i="40"/>
  <c r="BX265" i="40"/>
  <c r="DV265" i="40"/>
  <c r="BI265" i="40"/>
  <c r="BY265" i="40"/>
  <c r="DW265" i="40"/>
  <c r="BZ265" i="40"/>
  <c r="CD265" i="40"/>
  <c r="CH265" i="40"/>
  <c r="IZ265" i="40"/>
  <c r="JP265" i="40"/>
  <c r="A265" i="40"/>
  <c r="BK265" i="40"/>
  <c r="CA265" i="40"/>
  <c r="BL265" i="40"/>
  <c r="CB265" i="40"/>
  <c r="BM265" i="40"/>
  <c r="CC265" i="40"/>
  <c r="BF265" i="40"/>
  <c r="JO265" i="40"/>
  <c r="HY265" i="40"/>
  <c r="CS265" i="40"/>
  <c r="AX265" i="40"/>
  <c r="BO265" i="40"/>
  <c r="CE265" i="40"/>
  <c r="CN265" i="40"/>
  <c r="AZ265" i="40"/>
  <c r="BP265" i="40"/>
  <c r="CF265" i="40"/>
  <c r="BA265" i="40"/>
  <c r="BQ265" i="40"/>
  <c r="CG265" i="40"/>
  <c r="AW265" i="40"/>
  <c r="BB265" i="40"/>
  <c r="BV265" i="40"/>
  <c r="IX265" i="40"/>
  <c r="IY265" i="40"/>
  <c r="BC265" i="40"/>
  <c r="BS265" i="40"/>
  <c r="CJ265" i="40"/>
  <c r="BD265" i="40"/>
  <c r="BT265" i="40"/>
  <c r="DM265" i="40"/>
  <c r="BE265" i="40"/>
  <c r="BU265" i="40"/>
  <c r="DS265" i="40"/>
  <c r="BJ265" i="40"/>
  <c r="BN265" i="40"/>
  <c r="BR265" i="40"/>
  <c r="DT265" i="40"/>
  <c r="IA265" i="40"/>
  <c r="HZ265" i="40"/>
  <c r="IQ164" i="40"/>
  <c r="JC164" i="40" s="1"/>
  <c r="HV163" i="40"/>
  <c r="HN164" i="40"/>
  <c r="HQ164" i="40" s="1"/>
  <c r="HX163" i="40"/>
  <c r="ID163" i="40" s="1"/>
  <c r="D163" i="40"/>
  <c r="AY163" i="40" s="1"/>
  <c r="HS164" i="40"/>
  <c r="KJ160" i="40"/>
  <c r="KI160" i="40"/>
  <c r="KK160" i="40"/>
  <c r="KO160" i="40"/>
  <c r="JS160" i="40"/>
  <c r="IB162" i="40"/>
  <c r="DB364" i="40"/>
  <c r="AP364" i="40"/>
  <c r="DB164" i="40"/>
  <c r="CQ164" i="40"/>
  <c r="AO164" i="40"/>
  <c r="CK164" i="40"/>
  <c r="AM164" i="40"/>
  <c r="IO164" i="40"/>
  <c r="JA164" i="40" s="1"/>
  <c r="KQ160" i="40"/>
  <c r="JR160" i="40"/>
  <c r="JT160" i="40"/>
  <c r="JX160" i="40" s="1"/>
  <c r="JQ160" i="40"/>
  <c r="JU160" i="40" s="1"/>
  <c r="JV160" i="40" s="1"/>
  <c r="JW160" i="40" s="1"/>
  <c r="JJ162" i="40"/>
  <c r="JK162" i="40" s="1"/>
  <c r="JL162" i="40" s="1"/>
  <c r="AO364" i="40"/>
  <c r="CQ364" i="40"/>
  <c r="AM364" i="40"/>
  <c r="CK364" i="40"/>
  <c r="C366" i="40"/>
  <c r="BA365" i="40"/>
  <c r="BE365" i="40"/>
  <c r="BI365" i="40"/>
  <c r="BM365" i="40"/>
  <c r="BQ365" i="40"/>
  <c r="BU365" i="40"/>
  <c r="BY365" i="40"/>
  <c r="CC365" i="40"/>
  <c r="CG365" i="40"/>
  <c r="DS365" i="40"/>
  <c r="DW365" i="40"/>
  <c r="AW365" i="40"/>
  <c r="BB365" i="40"/>
  <c r="BF365" i="40"/>
  <c r="BJ365" i="40"/>
  <c r="BN365" i="40"/>
  <c r="BR365" i="40"/>
  <c r="BV365" i="40"/>
  <c r="BZ365" i="40"/>
  <c r="CD365" i="40"/>
  <c r="CH365" i="40"/>
  <c r="DT365" i="40"/>
  <c r="CO365" i="40"/>
  <c r="AX365" i="40"/>
  <c r="BC365" i="40"/>
  <c r="BG365" i="40"/>
  <c r="BK365" i="40"/>
  <c r="BO365" i="40"/>
  <c r="BS365" i="40"/>
  <c r="BW365" i="40"/>
  <c r="CA365" i="40"/>
  <c r="CE365" i="40"/>
  <c r="CJ365" i="40"/>
  <c r="DU365" i="40"/>
  <c r="BD365" i="40"/>
  <c r="BT365" i="40"/>
  <c r="DM365" i="40"/>
  <c r="A365" i="40"/>
  <c r="BH365" i="40"/>
  <c r="BX365" i="40"/>
  <c r="DV365" i="40"/>
  <c r="CM365" i="40"/>
  <c r="BL365" i="40"/>
  <c r="CB365" i="40"/>
  <c r="AZ365" i="40"/>
  <c r="BP365" i="40"/>
  <c r="CF365" i="40"/>
  <c r="JO365" i="40"/>
  <c r="IY365" i="40"/>
  <c r="IZ365" i="40"/>
  <c r="IX365" i="40"/>
  <c r="HZ365" i="40"/>
  <c r="IA365" i="40"/>
  <c r="HY365" i="40"/>
  <c r="JP365" i="40"/>
  <c r="CP164" i="40"/>
  <c r="HV164" i="40" s="1"/>
  <c r="AN164" i="40"/>
  <c r="IK165" i="40"/>
  <c r="IN165" i="40" s="1"/>
  <c r="JF165" i="40"/>
  <c r="HO165" i="40" s="1"/>
  <c r="HR165" i="40" s="1"/>
  <c r="II165" i="40"/>
  <c r="IL165" i="40" s="1"/>
  <c r="IJ165" i="40"/>
  <c r="IM165" i="40" s="1"/>
  <c r="C166" i="40"/>
  <c r="AZ165" i="40"/>
  <c r="BD165" i="40"/>
  <c r="BH165" i="40"/>
  <c r="BL165" i="40"/>
  <c r="BP165" i="40"/>
  <c r="BT165" i="40"/>
  <c r="BX165" i="40"/>
  <c r="CB165" i="40"/>
  <c r="CF165" i="40"/>
  <c r="DM165" i="40"/>
  <c r="DV165" i="40"/>
  <c r="BA165" i="40"/>
  <c r="BE165" i="40"/>
  <c r="BI165" i="40"/>
  <c r="BM165" i="40"/>
  <c r="BQ165" i="40"/>
  <c r="BU165" i="40"/>
  <c r="BY165" i="40"/>
  <c r="CC165" i="40"/>
  <c r="CG165" i="40"/>
  <c r="DS165" i="40"/>
  <c r="DW165" i="40"/>
  <c r="A165" i="40"/>
  <c r="AW165" i="40"/>
  <c r="BB165" i="40"/>
  <c r="BF165" i="40"/>
  <c r="BJ165" i="40"/>
  <c r="BN165" i="40"/>
  <c r="BR165" i="40"/>
  <c r="BV165" i="40"/>
  <c r="BZ165" i="40"/>
  <c r="CD165" i="40"/>
  <c r="CH165" i="40"/>
  <c r="DT165" i="40"/>
  <c r="BK165" i="40"/>
  <c r="CA165" i="40"/>
  <c r="AX165" i="40"/>
  <c r="BO165" i="40"/>
  <c r="CE165" i="40"/>
  <c r="BC165" i="40"/>
  <c r="BS165" i="40"/>
  <c r="CJ165" i="40"/>
  <c r="CN165" i="40"/>
  <c r="BW165" i="40"/>
  <c r="DU165" i="40"/>
  <c r="BG165" i="40"/>
  <c r="JO165" i="40"/>
  <c r="IA165" i="40"/>
  <c r="IX165" i="40"/>
  <c r="IZ165" i="40"/>
  <c r="HZ165" i="40"/>
  <c r="HY165" i="40"/>
  <c r="IY165" i="40"/>
  <c r="JP165" i="40"/>
  <c r="JG165" i="40"/>
  <c r="HU164" i="40"/>
  <c r="KT107" i="40"/>
  <c r="KU106" i="40"/>
  <c r="I20" i="70" s="1"/>
  <c r="IE161" i="40"/>
  <c r="IF161" i="40"/>
  <c r="CV364" i="40"/>
  <c r="AN364" i="40"/>
  <c r="CP364" i="40"/>
  <c r="CV164" i="40"/>
  <c r="AK164" i="40"/>
  <c r="AL164" i="40"/>
  <c r="AP164" i="40"/>
  <c r="HM164" i="40"/>
  <c r="HP164" i="40" s="1"/>
  <c r="IP164" i="40"/>
  <c r="JB164" i="40" s="1"/>
  <c r="HT164" i="40"/>
  <c r="IC163" i="40"/>
  <c r="JM161" i="40"/>
  <c r="JI163" i="40"/>
  <c r="JH163" i="40"/>
  <c r="CI349" i="40" l="1"/>
  <c r="CI249" i="40"/>
  <c r="CI548" i="40"/>
  <c r="CI165" i="40"/>
  <c r="CI648" i="40"/>
  <c r="HY664" i="40"/>
  <c r="HZ664" i="40"/>
  <c r="IY664" i="40" s="1"/>
  <c r="DB464" i="40"/>
  <c r="IA664" i="40"/>
  <c r="IZ664" i="40" s="1"/>
  <c r="CV564" i="40"/>
  <c r="D164" i="40"/>
  <c r="AY164" i="40" s="1"/>
  <c r="AJ366" i="40"/>
  <c r="AF366" i="40"/>
  <c r="AB366" i="40"/>
  <c r="X366" i="40"/>
  <c r="T366" i="40"/>
  <c r="CR366" i="40" s="1"/>
  <c r="P366" i="40"/>
  <c r="L366" i="40"/>
  <c r="CL366" i="40" s="1"/>
  <c r="H366" i="40"/>
  <c r="AI366" i="40"/>
  <c r="AE366" i="40"/>
  <c r="AA366" i="40"/>
  <c r="CI450" i="40" s="1"/>
  <c r="W366" i="40"/>
  <c r="S366" i="40"/>
  <c r="O366" i="40"/>
  <c r="CO366" i="40" s="1"/>
  <c r="K366" i="40"/>
  <c r="G366" i="40"/>
  <c r="AH366" i="40"/>
  <c r="AD366" i="40"/>
  <c r="Z366" i="40"/>
  <c r="V366" i="40"/>
  <c r="CT366" i="40" s="1"/>
  <c r="R366" i="40"/>
  <c r="N366" i="40"/>
  <c r="CN366" i="40" s="1"/>
  <c r="J366" i="40"/>
  <c r="F366" i="40"/>
  <c r="U366" i="40"/>
  <c r="CS366" i="40" s="1"/>
  <c r="E366" i="40"/>
  <c r="AG366" i="40"/>
  <c r="Q366" i="40"/>
  <c r="AC366" i="40"/>
  <c r="M366" i="40"/>
  <c r="CM366" i="40" s="1"/>
  <c r="I366" i="40"/>
  <c r="Y366" i="40"/>
  <c r="AO665" i="40"/>
  <c r="CQ665" i="40"/>
  <c r="CK665" i="40"/>
  <c r="AM665" i="40"/>
  <c r="AG166" i="40"/>
  <c r="AC166" i="40"/>
  <c r="Y166" i="40"/>
  <c r="U166" i="40"/>
  <c r="CS166" i="40" s="1"/>
  <c r="Q166" i="40"/>
  <c r="M166" i="40"/>
  <c r="CM166" i="40" s="1"/>
  <c r="I166" i="40"/>
  <c r="E166" i="40"/>
  <c r="AI166" i="40"/>
  <c r="AE166" i="40"/>
  <c r="AA166" i="40"/>
  <c r="W166" i="40"/>
  <c r="CU166" i="40" s="1"/>
  <c r="S166" i="40"/>
  <c r="O166" i="40"/>
  <c r="CO166" i="40" s="1"/>
  <c r="K166" i="40"/>
  <c r="G166" i="40"/>
  <c r="AF166" i="40"/>
  <c r="X166" i="40"/>
  <c r="P166" i="40"/>
  <c r="H166" i="40"/>
  <c r="R166" i="40"/>
  <c r="AD166" i="40"/>
  <c r="V166" i="40"/>
  <c r="CT166" i="40" s="1"/>
  <c r="N166" i="40"/>
  <c r="CN166" i="40" s="1"/>
  <c r="F166" i="40"/>
  <c r="AH166" i="40"/>
  <c r="J166" i="40"/>
  <c r="AJ166" i="40"/>
  <c r="AB166" i="40"/>
  <c r="T166" i="40"/>
  <c r="CR166" i="40" s="1"/>
  <c r="L166" i="40"/>
  <c r="Z166" i="40"/>
  <c r="CV665" i="40"/>
  <c r="DB665" i="40"/>
  <c r="DB564" i="40"/>
  <c r="CK564" i="40"/>
  <c r="AM564" i="40"/>
  <c r="AH266" i="40"/>
  <c r="AD266" i="40"/>
  <c r="Z266" i="40"/>
  <c r="V266" i="40"/>
  <c r="CT266" i="40" s="1"/>
  <c r="R266" i="40"/>
  <c r="N266" i="40"/>
  <c r="CN266" i="40" s="1"/>
  <c r="J266" i="40"/>
  <c r="F266" i="40"/>
  <c r="AJ266" i="40"/>
  <c r="AF266" i="40"/>
  <c r="AB266" i="40"/>
  <c r="X266" i="40"/>
  <c r="T266" i="40"/>
  <c r="CR266" i="40" s="1"/>
  <c r="P266" i="40"/>
  <c r="L266" i="40"/>
  <c r="CL266" i="40" s="1"/>
  <c r="H266" i="40"/>
  <c r="AC266" i="40"/>
  <c r="U266" i="40"/>
  <c r="CS266" i="40" s="1"/>
  <c r="M266" i="40"/>
  <c r="CM266" i="40" s="1"/>
  <c r="E266" i="40"/>
  <c r="AI266" i="40"/>
  <c r="AA266" i="40"/>
  <c r="S266" i="40"/>
  <c r="K266" i="40"/>
  <c r="AG266" i="40"/>
  <c r="Y266" i="40"/>
  <c r="Q266" i="40"/>
  <c r="I266" i="40"/>
  <c r="AE266" i="40"/>
  <c r="W266" i="40"/>
  <c r="CU266" i="40" s="1"/>
  <c r="O266" i="40"/>
  <c r="CO266" i="40" s="1"/>
  <c r="G266" i="40"/>
  <c r="CP665" i="40"/>
  <c r="AN665" i="40"/>
  <c r="AN564" i="40"/>
  <c r="CP564" i="40"/>
  <c r="AP564" i="40"/>
  <c r="AI465" i="40"/>
  <c r="AE465" i="40"/>
  <c r="AA465" i="40"/>
  <c r="W465" i="40"/>
  <c r="CU465" i="40" s="1"/>
  <c r="S465" i="40"/>
  <c r="O465" i="40"/>
  <c r="CO465" i="40" s="1"/>
  <c r="K465" i="40"/>
  <c r="G465" i="40"/>
  <c r="AH465" i="40"/>
  <c r="AD465" i="40"/>
  <c r="Z465" i="40"/>
  <c r="V465" i="40"/>
  <c r="CT465" i="40" s="1"/>
  <c r="R465" i="40"/>
  <c r="N465" i="40"/>
  <c r="CN465" i="40" s="1"/>
  <c r="J465" i="40"/>
  <c r="F465" i="40"/>
  <c r="AG465" i="40"/>
  <c r="AC465" i="40"/>
  <c r="Y465" i="40"/>
  <c r="U465" i="40"/>
  <c r="CS465" i="40" s="1"/>
  <c r="Q465" i="40"/>
  <c r="M465" i="40"/>
  <c r="CM465" i="40" s="1"/>
  <c r="I465" i="40"/>
  <c r="E465" i="40"/>
  <c r="AJ465" i="40"/>
  <c r="T465" i="40"/>
  <c r="CR465" i="40" s="1"/>
  <c r="AF465" i="40"/>
  <c r="P465" i="40"/>
  <c r="AB465" i="40"/>
  <c r="L465" i="40"/>
  <c r="CL465" i="40" s="1"/>
  <c r="X465" i="40"/>
  <c r="H465" i="40"/>
  <c r="AP665" i="40"/>
  <c r="AF666" i="40"/>
  <c r="CG666" i="40"/>
  <c r="BQ666" i="40"/>
  <c r="BA666" i="40"/>
  <c r="A666" i="40"/>
  <c r="BX666" i="40"/>
  <c r="BH666" i="40"/>
  <c r="P666" i="40"/>
  <c r="BZ666" i="40"/>
  <c r="J666" i="40"/>
  <c r="BV666" i="40"/>
  <c r="CD666" i="40"/>
  <c r="W666" i="40"/>
  <c r="CU666" i="40" s="1"/>
  <c r="BF666" i="40"/>
  <c r="BC666" i="40"/>
  <c r="JO666" i="40"/>
  <c r="H666" i="40"/>
  <c r="AI666" i="40"/>
  <c r="F666" i="40"/>
  <c r="CJ666" i="40"/>
  <c r="CC666" i="40"/>
  <c r="BM666" i="40"/>
  <c r="AW666" i="40"/>
  <c r="DT666" i="40"/>
  <c r="BT666" i="40"/>
  <c r="BD666" i="40"/>
  <c r="L666" i="40"/>
  <c r="CL666" i="40" s="1"/>
  <c r="BR666" i="40"/>
  <c r="C667" i="40"/>
  <c r="BK666" i="40"/>
  <c r="BS666" i="40"/>
  <c r="N666" i="40"/>
  <c r="CN666" i="40" s="1"/>
  <c r="K666" i="40"/>
  <c r="G666" i="40"/>
  <c r="JP666" i="40"/>
  <c r="I666" i="40"/>
  <c r="AJ666" i="40"/>
  <c r="AC666" i="40"/>
  <c r="BY666" i="40"/>
  <c r="BI666" i="40"/>
  <c r="AG666" i="40"/>
  <c r="CF666" i="40"/>
  <c r="BP666" i="40"/>
  <c r="AZ666" i="40"/>
  <c r="DM666" i="40"/>
  <c r="BJ666" i="40"/>
  <c r="DV666" i="40"/>
  <c r="O666" i="40"/>
  <c r="CO666" i="40" s="1"/>
  <c r="BG666" i="40"/>
  <c r="CA666" i="40"/>
  <c r="DW666" i="40"/>
  <c r="BW666" i="40"/>
  <c r="KN666" i="40"/>
  <c r="AE666" i="40"/>
  <c r="DU666" i="40"/>
  <c r="CB666" i="40"/>
  <c r="BB666" i="40"/>
  <c r="BO666" i="40"/>
  <c r="BU666" i="40"/>
  <c r="BL666" i="40"/>
  <c r="CE666" i="40"/>
  <c r="BN666" i="40"/>
  <c r="BE666" i="40"/>
  <c r="AB666" i="40"/>
  <c r="DS666" i="40"/>
  <c r="M666" i="40"/>
  <c r="CM666" i="40" s="1"/>
  <c r="CH666" i="40"/>
  <c r="AX666" i="40"/>
  <c r="Z666" i="40"/>
  <c r="AH666" i="40"/>
  <c r="X666" i="40"/>
  <c r="Q666" i="40"/>
  <c r="R666" i="40"/>
  <c r="T666" i="40"/>
  <c r="CR666" i="40" s="1"/>
  <c r="AD666" i="40"/>
  <c r="AA666" i="40"/>
  <c r="U666" i="40"/>
  <c r="CS666" i="40" s="1"/>
  <c r="E666" i="40"/>
  <c r="S666" i="40"/>
  <c r="V666" i="40"/>
  <c r="CT666" i="40" s="1"/>
  <c r="Y666" i="40"/>
  <c r="AI565" i="40"/>
  <c r="AE565" i="40"/>
  <c r="AA565" i="40"/>
  <c r="W565" i="40"/>
  <c r="CU565" i="40" s="1"/>
  <c r="S565" i="40"/>
  <c r="O565" i="40"/>
  <c r="CO565" i="40" s="1"/>
  <c r="K565" i="40"/>
  <c r="G565" i="40"/>
  <c r="AH565" i="40"/>
  <c r="AD565" i="40"/>
  <c r="Z565" i="40"/>
  <c r="V565" i="40"/>
  <c r="CT565" i="40" s="1"/>
  <c r="R565" i="40"/>
  <c r="N565" i="40"/>
  <c r="CN565" i="40" s="1"/>
  <c r="J565" i="40"/>
  <c r="F565" i="40"/>
  <c r="AF565" i="40"/>
  <c r="X565" i="40"/>
  <c r="P565" i="40"/>
  <c r="H565" i="40"/>
  <c r="AC565" i="40"/>
  <c r="U565" i="40"/>
  <c r="CS565" i="40" s="1"/>
  <c r="M565" i="40"/>
  <c r="CM565" i="40" s="1"/>
  <c r="E565" i="40"/>
  <c r="AJ565" i="40"/>
  <c r="AB565" i="40"/>
  <c r="T565" i="40"/>
  <c r="CR565" i="40" s="1"/>
  <c r="L565" i="40"/>
  <c r="CL565" i="40" s="1"/>
  <c r="Y565" i="40"/>
  <c r="Q565" i="40"/>
  <c r="I565" i="40"/>
  <c r="AG565" i="40"/>
  <c r="C566" i="40"/>
  <c r="BJ565" i="40"/>
  <c r="BZ565" i="40"/>
  <c r="BG565" i="40"/>
  <c r="BW565" i="40"/>
  <c r="DU565" i="40"/>
  <c r="BD565" i="40"/>
  <c r="BT565" i="40"/>
  <c r="DM565" i="40"/>
  <c r="CC565" i="40"/>
  <c r="BQ565" i="40"/>
  <c r="BU565" i="40"/>
  <c r="HZ565" i="40"/>
  <c r="IZ565" i="40"/>
  <c r="AW565" i="40"/>
  <c r="BN565" i="40"/>
  <c r="CD565" i="40"/>
  <c r="BK565" i="40"/>
  <c r="CA565" i="40"/>
  <c r="A565" i="40"/>
  <c r="BH565" i="40"/>
  <c r="BX565" i="40"/>
  <c r="DV565" i="40"/>
  <c r="BI565" i="40"/>
  <c r="CG565" i="40"/>
  <c r="DS565" i="40"/>
  <c r="HY565" i="40"/>
  <c r="IY565" i="40"/>
  <c r="JP565" i="40"/>
  <c r="BB565" i="40"/>
  <c r="BR565" i="40"/>
  <c r="CH565" i="40"/>
  <c r="AX565" i="40"/>
  <c r="BO565" i="40"/>
  <c r="CE565" i="40"/>
  <c r="BL565" i="40"/>
  <c r="CB565" i="40"/>
  <c r="JO565" i="40"/>
  <c r="DW565" i="40"/>
  <c r="BY565" i="40"/>
  <c r="IX565" i="40"/>
  <c r="BF565" i="40"/>
  <c r="BV565" i="40"/>
  <c r="DT565" i="40"/>
  <c r="BC565" i="40"/>
  <c r="BS565" i="40"/>
  <c r="CJ565" i="40"/>
  <c r="AZ565" i="40"/>
  <c r="BP565" i="40"/>
  <c r="CF565" i="40"/>
  <c r="BM565" i="40"/>
  <c r="BA565" i="40"/>
  <c r="BE565" i="40"/>
  <c r="IA565" i="40"/>
  <c r="CQ564" i="40"/>
  <c r="AO564" i="40"/>
  <c r="JJ163" i="40"/>
  <c r="JK163" i="40" s="1"/>
  <c r="JL163" i="40" s="1"/>
  <c r="JM163" i="40" s="1"/>
  <c r="CV265" i="40"/>
  <c r="AN464" i="40"/>
  <c r="CP464" i="40"/>
  <c r="CK464" i="40"/>
  <c r="AM464" i="40"/>
  <c r="C466" i="40"/>
  <c r="BK465" i="40"/>
  <c r="CA465" i="40"/>
  <c r="A465" i="40"/>
  <c r="BL465" i="40"/>
  <c r="CB465" i="40"/>
  <c r="BM465" i="40"/>
  <c r="CC465" i="40"/>
  <c r="BJ465" i="40"/>
  <c r="BR465" i="40"/>
  <c r="BF465" i="40"/>
  <c r="BZ465" i="40"/>
  <c r="HZ465" i="40"/>
  <c r="JP465" i="40"/>
  <c r="AX465" i="40"/>
  <c r="BO465" i="40"/>
  <c r="CE465" i="40"/>
  <c r="AZ465" i="40"/>
  <c r="BP465" i="40"/>
  <c r="CF465" i="40"/>
  <c r="BA465" i="40"/>
  <c r="BQ465" i="40"/>
  <c r="CG465" i="40"/>
  <c r="AW465" i="40"/>
  <c r="JO465" i="40"/>
  <c r="CH465" i="40"/>
  <c r="BV465" i="40"/>
  <c r="HY465" i="40"/>
  <c r="BC465" i="40"/>
  <c r="BS465" i="40"/>
  <c r="CJ465" i="40"/>
  <c r="BD465" i="40"/>
  <c r="BT465" i="40"/>
  <c r="DM465" i="40"/>
  <c r="BE465" i="40"/>
  <c r="BU465" i="40"/>
  <c r="DS465" i="40"/>
  <c r="BN465" i="40"/>
  <c r="DT465" i="40"/>
  <c r="IA465" i="40"/>
  <c r="IX465" i="40"/>
  <c r="BG465" i="40"/>
  <c r="BW465" i="40"/>
  <c r="DU465" i="40"/>
  <c r="BH465" i="40"/>
  <c r="BX465" i="40"/>
  <c r="DV465" i="40"/>
  <c r="BI465" i="40"/>
  <c r="BY465" i="40"/>
  <c r="DW465" i="40"/>
  <c r="CD465" i="40"/>
  <c r="BB465" i="40"/>
  <c r="IZ465" i="40"/>
  <c r="IY465" i="40"/>
  <c r="CV464" i="40"/>
  <c r="CQ464" i="40"/>
  <c r="AO464" i="40"/>
  <c r="AM265" i="40"/>
  <c r="CK265" i="40"/>
  <c r="AP265" i="40"/>
  <c r="CQ265" i="40"/>
  <c r="AO265" i="40"/>
  <c r="DB265" i="40"/>
  <c r="BM266" i="40"/>
  <c r="CC266" i="40"/>
  <c r="BJ266" i="40"/>
  <c r="BZ266" i="40"/>
  <c r="AX266" i="40"/>
  <c r="BO266" i="40"/>
  <c r="CE266" i="40"/>
  <c r="AZ266" i="40"/>
  <c r="BT266" i="40"/>
  <c r="HZ266" i="40"/>
  <c r="BW266" i="40"/>
  <c r="HY266" i="40"/>
  <c r="CA266" i="40"/>
  <c r="IZ266" i="40"/>
  <c r="JP266" i="40"/>
  <c r="BA266" i="40"/>
  <c r="BQ266" i="40"/>
  <c r="CG266" i="40"/>
  <c r="AW266" i="40"/>
  <c r="BN266" i="40"/>
  <c r="CD266" i="40"/>
  <c r="BC266" i="40"/>
  <c r="BS266" i="40"/>
  <c r="CJ266" i="40"/>
  <c r="BH266" i="40"/>
  <c r="BL266" i="40"/>
  <c r="BP266" i="40"/>
  <c r="DM266" i="40"/>
  <c r="IA266" i="40"/>
  <c r="IY266" i="40"/>
  <c r="BE266" i="40"/>
  <c r="BU266" i="40"/>
  <c r="DS266" i="40"/>
  <c r="BB266" i="40"/>
  <c r="BR266" i="40"/>
  <c r="BG266" i="40"/>
  <c r="DU266" i="40"/>
  <c r="BX266" i="40"/>
  <c r="CB266" i="40"/>
  <c r="IX266" i="40"/>
  <c r="BY266" i="40"/>
  <c r="BV266" i="40"/>
  <c r="BK266" i="40"/>
  <c r="A266" i="40"/>
  <c r="BD266" i="40"/>
  <c r="CH266" i="40"/>
  <c r="CF266" i="40"/>
  <c r="C267" i="40"/>
  <c r="BI266" i="40"/>
  <c r="DW266" i="40"/>
  <c r="BF266" i="40"/>
  <c r="DT266" i="40"/>
  <c r="DV266" i="40"/>
  <c r="JO266" i="40"/>
  <c r="CP265" i="40"/>
  <c r="AN265" i="40"/>
  <c r="DB165" i="40"/>
  <c r="IO165" i="40"/>
  <c r="JA165" i="40" s="1"/>
  <c r="HN165" i="40"/>
  <c r="HQ165" i="40" s="1"/>
  <c r="HM165" i="40"/>
  <c r="HP165" i="40" s="1"/>
  <c r="DB365" i="40"/>
  <c r="KK161" i="40"/>
  <c r="KO161" i="40"/>
  <c r="KJ161" i="40"/>
  <c r="KI161" i="40"/>
  <c r="KT108" i="40"/>
  <c r="KU107" i="40"/>
  <c r="I21" i="70" s="1"/>
  <c r="IB163" i="40"/>
  <c r="IG163" i="40" s="1"/>
  <c r="AP165" i="40"/>
  <c r="IQ165" i="40"/>
  <c r="JC165" i="40" s="1"/>
  <c r="IK166" i="40"/>
  <c r="IN166" i="40" s="1"/>
  <c r="II166" i="40"/>
  <c r="IL166" i="40" s="1"/>
  <c r="IJ166" i="40"/>
  <c r="IM166" i="40" s="1"/>
  <c r="JF166" i="40"/>
  <c r="HO166" i="40" s="1"/>
  <c r="C167" i="40"/>
  <c r="AZ166" i="40"/>
  <c r="BD166" i="40"/>
  <c r="BH166" i="40"/>
  <c r="BL166" i="40"/>
  <c r="BP166" i="40"/>
  <c r="BT166" i="40"/>
  <c r="BX166" i="40"/>
  <c r="CB166" i="40"/>
  <c r="CF166" i="40"/>
  <c r="DT166" i="40"/>
  <c r="CL166" i="40"/>
  <c r="L34" i="58"/>
  <c r="L35" i="58" s="1"/>
  <c r="BA166" i="40"/>
  <c r="BE166" i="40"/>
  <c r="BI166" i="40"/>
  <c r="BM166" i="40"/>
  <c r="BQ166" i="40"/>
  <c r="BU166" i="40"/>
  <c r="BY166" i="40"/>
  <c r="CC166" i="40"/>
  <c r="CG166" i="40"/>
  <c r="DU166" i="40"/>
  <c r="A166" i="40"/>
  <c r="AW166" i="40"/>
  <c r="BB166" i="40"/>
  <c r="BF166" i="40"/>
  <c r="BJ166" i="40"/>
  <c r="BN166" i="40"/>
  <c r="BR166" i="40"/>
  <c r="BV166" i="40"/>
  <c r="BZ166" i="40"/>
  <c r="CD166" i="40"/>
  <c r="CH166" i="40"/>
  <c r="DM166" i="40"/>
  <c r="DV166" i="40"/>
  <c r="BC166" i="40"/>
  <c r="BS166" i="40"/>
  <c r="CJ166" i="40"/>
  <c r="BG166" i="40"/>
  <c r="BW166" i="40"/>
  <c r="DS166" i="40"/>
  <c r="BK166" i="40"/>
  <c r="CA166" i="40"/>
  <c r="DW166" i="40"/>
  <c r="AX166" i="40"/>
  <c r="BO166" i="40"/>
  <c r="CE166" i="40"/>
  <c r="JO166" i="40"/>
  <c r="HY166" i="40"/>
  <c r="IX166" i="40"/>
  <c r="HZ166" i="40"/>
  <c r="IA166" i="40"/>
  <c r="IZ166" i="40"/>
  <c r="IY166" i="40"/>
  <c r="JP166" i="40"/>
  <c r="JG166" i="40"/>
  <c r="HU165" i="40"/>
  <c r="CV365" i="40"/>
  <c r="AP365" i="40"/>
  <c r="KR160" i="40"/>
  <c r="KS160" i="40"/>
  <c r="HX164" i="40"/>
  <c r="ID164" i="40" s="1"/>
  <c r="JD161" i="40"/>
  <c r="KP161" i="40"/>
  <c r="CV165" i="40"/>
  <c r="AL165" i="40"/>
  <c r="AK165" i="40"/>
  <c r="AO165" i="40"/>
  <c r="CQ165" i="40"/>
  <c r="CP165" i="40"/>
  <c r="HV165" i="40" s="1"/>
  <c r="AN165" i="40"/>
  <c r="IP165" i="40"/>
  <c r="JB165" i="40" s="1"/>
  <c r="HT165" i="40"/>
  <c r="AO365" i="40"/>
  <c r="CQ365" i="40"/>
  <c r="CK365" i="40"/>
  <c r="AM365" i="40"/>
  <c r="JM162" i="40"/>
  <c r="IF162" i="40"/>
  <c r="IE162" i="40"/>
  <c r="HW164" i="40"/>
  <c r="HS165" i="40"/>
  <c r="C367" i="40"/>
  <c r="AX366" i="40"/>
  <c r="BC366" i="40"/>
  <c r="BG366" i="40"/>
  <c r="BK366" i="40"/>
  <c r="BO366" i="40"/>
  <c r="BS366" i="40"/>
  <c r="BW366" i="40"/>
  <c r="CA366" i="40"/>
  <c r="CE366" i="40"/>
  <c r="CJ366" i="40"/>
  <c r="DU366" i="40"/>
  <c r="A366" i="40"/>
  <c r="AZ366" i="40"/>
  <c r="BD366" i="40"/>
  <c r="BH366" i="40"/>
  <c r="BL366" i="40"/>
  <c r="BP366" i="40"/>
  <c r="BT366" i="40"/>
  <c r="BX366" i="40"/>
  <c r="CB366" i="40"/>
  <c r="CF366" i="40"/>
  <c r="DM366" i="40"/>
  <c r="DV366" i="40"/>
  <c r="BA366" i="40"/>
  <c r="BE366" i="40"/>
  <c r="BI366" i="40"/>
  <c r="BM366" i="40"/>
  <c r="BQ366" i="40"/>
  <c r="BU366" i="40"/>
  <c r="BY366" i="40"/>
  <c r="CC366" i="40"/>
  <c r="CG366" i="40"/>
  <c r="DS366" i="40"/>
  <c r="DW366" i="40"/>
  <c r="BB366" i="40"/>
  <c r="BR366" i="40"/>
  <c r="CH366" i="40"/>
  <c r="BF366" i="40"/>
  <c r="BV366" i="40"/>
  <c r="DT366" i="40"/>
  <c r="BJ366" i="40"/>
  <c r="BZ366" i="40"/>
  <c r="AW366" i="40"/>
  <c r="BN366" i="40"/>
  <c r="CD366" i="40"/>
  <c r="JO366" i="40"/>
  <c r="IY366" i="40"/>
  <c r="IA366" i="40"/>
  <c r="HY366" i="40"/>
  <c r="IX366" i="40"/>
  <c r="IZ366" i="40"/>
  <c r="HZ366" i="40"/>
  <c r="CU366" i="40"/>
  <c r="JP366" i="40"/>
  <c r="JI164" i="40"/>
  <c r="JH164" i="40"/>
  <c r="AQ161" i="40"/>
  <c r="CK165" i="40"/>
  <c r="AM165" i="40"/>
  <c r="CP365" i="40"/>
  <c r="AN365" i="40"/>
  <c r="IG162" i="40"/>
  <c r="IX664" i="40"/>
  <c r="CI166" i="40" l="1"/>
  <c r="CI649" i="40"/>
  <c r="CI250" i="40"/>
  <c r="HY665" i="40"/>
  <c r="IX665" i="40" s="1"/>
  <c r="CI549" i="40"/>
  <c r="CI350" i="40"/>
  <c r="HZ665" i="40"/>
  <c r="IY665" i="40" s="1"/>
  <c r="IA665" i="40"/>
  <c r="IZ665" i="40" s="1"/>
  <c r="DB266" i="40"/>
  <c r="IO166" i="40"/>
  <c r="JA166" i="40" s="1"/>
  <c r="AP465" i="40"/>
  <c r="CV465" i="40"/>
  <c r="DB465" i="40"/>
  <c r="DB166" i="40"/>
  <c r="DB666" i="40"/>
  <c r="DB565" i="40"/>
  <c r="CP565" i="40"/>
  <c r="AN565" i="40"/>
  <c r="AP565" i="40"/>
  <c r="CQ666" i="40"/>
  <c r="AO666" i="40"/>
  <c r="AP666" i="40"/>
  <c r="AJ367" i="40"/>
  <c r="AF367" i="40"/>
  <c r="AB367" i="40"/>
  <c r="X367" i="40"/>
  <c r="T367" i="40"/>
  <c r="P367" i="40"/>
  <c r="L367" i="40"/>
  <c r="CL367" i="40" s="1"/>
  <c r="H367" i="40"/>
  <c r="AI367" i="40"/>
  <c r="AE367" i="40"/>
  <c r="AA367" i="40"/>
  <c r="CI451" i="40" s="1"/>
  <c r="W367" i="40"/>
  <c r="CU367" i="40" s="1"/>
  <c r="S367" i="40"/>
  <c r="O367" i="40"/>
  <c r="CO367" i="40" s="1"/>
  <c r="K367" i="40"/>
  <c r="G367" i="40"/>
  <c r="AH367" i="40"/>
  <c r="AD367" i="40"/>
  <c r="Z367" i="40"/>
  <c r="V367" i="40"/>
  <c r="CT367" i="40" s="1"/>
  <c r="R367" i="40"/>
  <c r="N367" i="40"/>
  <c r="CN367" i="40" s="1"/>
  <c r="J367" i="40"/>
  <c r="F367" i="40"/>
  <c r="U367" i="40"/>
  <c r="CS367" i="40" s="1"/>
  <c r="E367" i="40"/>
  <c r="AG367" i="40"/>
  <c r="Q367" i="40"/>
  <c r="AC367" i="40"/>
  <c r="M367" i="40"/>
  <c r="CM367" i="40" s="1"/>
  <c r="Y367" i="40"/>
  <c r="I367" i="40"/>
  <c r="AI566" i="40"/>
  <c r="AE566" i="40"/>
  <c r="AA566" i="40"/>
  <c r="W566" i="40"/>
  <c r="CU566" i="40" s="1"/>
  <c r="S566" i="40"/>
  <c r="O566" i="40"/>
  <c r="CO566" i="40" s="1"/>
  <c r="K566" i="40"/>
  <c r="G566" i="40"/>
  <c r="AH566" i="40"/>
  <c r="AD566" i="40"/>
  <c r="Z566" i="40"/>
  <c r="V566" i="40"/>
  <c r="CT566" i="40" s="1"/>
  <c r="R566" i="40"/>
  <c r="N566" i="40"/>
  <c r="CN566" i="40" s="1"/>
  <c r="J566" i="40"/>
  <c r="F566" i="40"/>
  <c r="AF566" i="40"/>
  <c r="X566" i="40"/>
  <c r="P566" i="40"/>
  <c r="H566" i="40"/>
  <c r="AC566" i="40"/>
  <c r="U566" i="40"/>
  <c r="CS566" i="40" s="1"/>
  <c r="M566" i="40"/>
  <c r="CM566" i="40" s="1"/>
  <c r="E566" i="40"/>
  <c r="AJ566" i="40"/>
  <c r="AB566" i="40"/>
  <c r="T566" i="40"/>
  <c r="CR566" i="40" s="1"/>
  <c r="L566" i="40"/>
  <c r="CL566" i="40" s="1"/>
  <c r="Y566" i="40"/>
  <c r="Q566" i="40"/>
  <c r="I566" i="40"/>
  <c r="AG566" i="40"/>
  <c r="BL566" i="40"/>
  <c r="CB566" i="40"/>
  <c r="BM566" i="40"/>
  <c r="CC566" i="40"/>
  <c r="AW566" i="40"/>
  <c r="BN566" i="40"/>
  <c r="CD566" i="40"/>
  <c r="BK566" i="40"/>
  <c r="DU566" i="40"/>
  <c r="BW566" i="40"/>
  <c r="BG566" i="40"/>
  <c r="HZ566" i="40"/>
  <c r="IY566" i="40"/>
  <c r="CJ566" i="40"/>
  <c r="AZ566" i="40"/>
  <c r="BP566" i="40"/>
  <c r="CF566" i="40"/>
  <c r="BA566" i="40"/>
  <c r="BQ566" i="40"/>
  <c r="CG566" i="40"/>
  <c r="BB566" i="40"/>
  <c r="BR566" i="40"/>
  <c r="CH566" i="40"/>
  <c r="CA566" i="40"/>
  <c r="AX566" i="40"/>
  <c r="BC566" i="40"/>
  <c r="IA566" i="40"/>
  <c r="BH566" i="40"/>
  <c r="DV566" i="40"/>
  <c r="BY566" i="40"/>
  <c r="BJ566" i="40"/>
  <c r="CE566" i="40"/>
  <c r="IX566" i="40"/>
  <c r="C567" i="40"/>
  <c r="BD566" i="40"/>
  <c r="BT566" i="40"/>
  <c r="DM566" i="40"/>
  <c r="BE566" i="40"/>
  <c r="BU566" i="40"/>
  <c r="DS566" i="40"/>
  <c r="BF566" i="40"/>
  <c r="BV566" i="40"/>
  <c r="DT566" i="40"/>
  <c r="JO566" i="40"/>
  <c r="BO566" i="40"/>
  <c r="BS566" i="40"/>
  <c r="IZ566" i="40"/>
  <c r="A566" i="40"/>
  <c r="BX566" i="40"/>
  <c r="BI566" i="40"/>
  <c r="DW566" i="40"/>
  <c r="BZ566" i="40"/>
  <c r="HY566" i="40"/>
  <c r="JP566" i="40"/>
  <c r="CV565" i="40"/>
  <c r="CQ565" i="40"/>
  <c r="AO565" i="40"/>
  <c r="AG167" i="40"/>
  <c r="AC167" i="40"/>
  <c r="Y167" i="40"/>
  <c r="U167" i="40"/>
  <c r="Q167" i="40"/>
  <c r="M167" i="40"/>
  <c r="CM167" i="40" s="1"/>
  <c r="I167" i="40"/>
  <c r="E167" i="40"/>
  <c r="AI167" i="40"/>
  <c r="AE167" i="40"/>
  <c r="AA167" i="40"/>
  <c r="W167" i="40"/>
  <c r="S167" i="40"/>
  <c r="O167" i="40"/>
  <c r="CO167" i="40" s="1"/>
  <c r="K167" i="40"/>
  <c r="G167" i="40"/>
  <c r="AF167" i="40"/>
  <c r="X167" i="40"/>
  <c r="P167" i="40"/>
  <c r="H167" i="40"/>
  <c r="AH167" i="40"/>
  <c r="J167" i="40"/>
  <c r="AD167" i="40"/>
  <c r="V167" i="40"/>
  <c r="N167" i="40"/>
  <c r="CN167" i="40" s="1"/>
  <c r="F167" i="40"/>
  <c r="Z167" i="40"/>
  <c r="AJ167" i="40"/>
  <c r="AB167" i="40"/>
  <c r="T167" i="40"/>
  <c r="CR167" i="40" s="1"/>
  <c r="L167" i="40"/>
  <c r="CL167" i="40" s="1"/>
  <c r="R167" i="40"/>
  <c r="AH267" i="40"/>
  <c r="AD267" i="40"/>
  <c r="Z267" i="40"/>
  <c r="V267" i="40"/>
  <c r="R267" i="40"/>
  <c r="N267" i="40"/>
  <c r="CN267" i="40" s="1"/>
  <c r="J267" i="40"/>
  <c r="F267" i="40"/>
  <c r="AJ267" i="40"/>
  <c r="AF267" i="40"/>
  <c r="AB267" i="40"/>
  <c r="X267" i="40"/>
  <c r="T267" i="40"/>
  <c r="CR267" i="40" s="1"/>
  <c r="P267" i="40"/>
  <c r="L267" i="40"/>
  <c r="CL267" i="40" s="1"/>
  <c r="H267" i="40"/>
  <c r="AC267" i="40"/>
  <c r="U267" i="40"/>
  <c r="CS267" i="40" s="1"/>
  <c r="M267" i="40"/>
  <c r="CM267" i="40" s="1"/>
  <c r="E267" i="40"/>
  <c r="AI267" i="40"/>
  <c r="AA267" i="40"/>
  <c r="S267" i="40"/>
  <c r="K267" i="40"/>
  <c r="AG267" i="40"/>
  <c r="Y267" i="40"/>
  <c r="Q267" i="40"/>
  <c r="I267" i="40"/>
  <c r="AE267" i="40"/>
  <c r="W267" i="40"/>
  <c r="CU267" i="40" s="1"/>
  <c r="O267" i="40"/>
  <c r="CO267" i="40" s="1"/>
  <c r="G267" i="40"/>
  <c r="AI466" i="40"/>
  <c r="AE466" i="40"/>
  <c r="AA466" i="40"/>
  <c r="W466" i="40"/>
  <c r="CU466" i="40" s="1"/>
  <c r="S466" i="40"/>
  <c r="O466" i="40"/>
  <c r="CO466" i="40" s="1"/>
  <c r="K466" i="40"/>
  <c r="G466" i="40"/>
  <c r="AH466" i="40"/>
  <c r="AD466" i="40"/>
  <c r="Z466" i="40"/>
  <c r="V466" i="40"/>
  <c r="CT466" i="40" s="1"/>
  <c r="R466" i="40"/>
  <c r="N466" i="40"/>
  <c r="CN466" i="40" s="1"/>
  <c r="J466" i="40"/>
  <c r="F466" i="40"/>
  <c r="AG466" i="40"/>
  <c r="AC466" i="40"/>
  <c r="Y466" i="40"/>
  <c r="U466" i="40"/>
  <c r="CS466" i="40" s="1"/>
  <c r="Q466" i="40"/>
  <c r="M466" i="40"/>
  <c r="CM466" i="40" s="1"/>
  <c r="I466" i="40"/>
  <c r="E466" i="40"/>
  <c r="AJ466" i="40"/>
  <c r="T466" i="40"/>
  <c r="CR466" i="40" s="1"/>
  <c r="AF466" i="40"/>
  <c r="P466" i="40"/>
  <c r="AB466" i="40"/>
  <c r="L466" i="40"/>
  <c r="CL466" i="40" s="1"/>
  <c r="H466" i="40"/>
  <c r="X466" i="40"/>
  <c r="CV666" i="40"/>
  <c r="CK666" i="40"/>
  <c r="AM666" i="40"/>
  <c r="I667" i="40"/>
  <c r="AJ667" i="40"/>
  <c r="AC667" i="40"/>
  <c r="CJ667" i="40"/>
  <c r="CC667" i="40"/>
  <c r="BM667" i="40"/>
  <c r="AW667" i="40"/>
  <c r="DT667" i="40"/>
  <c r="BT667" i="40"/>
  <c r="BD667" i="40"/>
  <c r="L667" i="40"/>
  <c r="CL667" i="40" s="1"/>
  <c r="BN667" i="40"/>
  <c r="C668" i="40"/>
  <c r="BJ667" i="40"/>
  <c r="BR667" i="40"/>
  <c r="BZ667" i="40"/>
  <c r="DW667" i="40"/>
  <c r="CH667" i="40"/>
  <c r="JO667" i="40"/>
  <c r="AE667" i="40"/>
  <c r="BY667" i="40"/>
  <c r="BI667" i="40"/>
  <c r="AG667" i="40"/>
  <c r="CF667" i="40"/>
  <c r="BP667" i="40"/>
  <c r="AZ667" i="40"/>
  <c r="DV667" i="40"/>
  <c r="BF667" i="40"/>
  <c r="DS667" i="40"/>
  <c r="O667" i="40"/>
  <c r="CO667" i="40" s="1"/>
  <c r="BG667" i="40"/>
  <c r="BO667" i="40"/>
  <c r="BK667" i="40"/>
  <c r="BW667" i="40"/>
  <c r="JP667" i="40"/>
  <c r="AF667" i="40"/>
  <c r="DU667" i="40"/>
  <c r="BU667" i="40"/>
  <c r="BE667" i="40"/>
  <c r="M667" i="40"/>
  <c r="CM667" i="40" s="1"/>
  <c r="CB667" i="40"/>
  <c r="BL667" i="40"/>
  <c r="AB667" i="40"/>
  <c r="CD667" i="40"/>
  <c r="AX667" i="40"/>
  <c r="CE667" i="40"/>
  <c r="DM667" i="40"/>
  <c r="W667" i="40"/>
  <c r="CU667" i="40" s="1"/>
  <c r="BC667" i="40"/>
  <c r="BB667" i="40"/>
  <c r="CG667" i="40"/>
  <c r="BX667" i="40"/>
  <c r="N667" i="40"/>
  <c r="CN667" i="40" s="1"/>
  <c r="J667" i="40"/>
  <c r="BQ667" i="40"/>
  <c r="BH667" i="40"/>
  <c r="BS667" i="40"/>
  <c r="G667" i="40"/>
  <c r="KN667" i="40"/>
  <c r="H667" i="40"/>
  <c r="BA667" i="40"/>
  <c r="P667" i="40"/>
  <c r="CA667" i="40"/>
  <c r="AI667" i="40"/>
  <c r="F667" i="40"/>
  <c r="A667" i="40"/>
  <c r="BV667" i="40"/>
  <c r="K667" i="40"/>
  <c r="Z667" i="40"/>
  <c r="AH667" i="40"/>
  <c r="Q667" i="40"/>
  <c r="X667" i="40"/>
  <c r="AD667" i="40"/>
  <c r="R667" i="40"/>
  <c r="AA667" i="40"/>
  <c r="T667" i="40"/>
  <c r="CR667" i="40" s="1"/>
  <c r="U667" i="40"/>
  <c r="CS667" i="40" s="1"/>
  <c r="E667" i="40"/>
  <c r="V667" i="40"/>
  <c r="CT667" i="40" s="1"/>
  <c r="S667" i="40"/>
  <c r="Y667" i="40"/>
  <c r="AM565" i="40"/>
  <c r="CK565" i="40"/>
  <c r="CP666" i="40"/>
  <c r="AN666" i="40"/>
  <c r="IF163" i="40"/>
  <c r="KJ163" i="40" s="1"/>
  <c r="CK465" i="40"/>
  <c r="AM465" i="40"/>
  <c r="AN465" i="40"/>
  <c r="CP465" i="40"/>
  <c r="BE466" i="40"/>
  <c r="BU466" i="40"/>
  <c r="DS466" i="40"/>
  <c r="BB466" i="40"/>
  <c r="BR466" i="40"/>
  <c r="CH466" i="40"/>
  <c r="BG466" i="40"/>
  <c r="BW466" i="40"/>
  <c r="DU466" i="40"/>
  <c r="JO466" i="40"/>
  <c r="AZ466" i="40"/>
  <c r="BX466" i="40"/>
  <c r="DM466" i="40"/>
  <c r="IZ466" i="40"/>
  <c r="C467" i="40"/>
  <c r="BI466" i="40"/>
  <c r="BY466" i="40"/>
  <c r="DW466" i="40"/>
  <c r="BF466" i="40"/>
  <c r="BV466" i="40"/>
  <c r="DT466" i="40"/>
  <c r="BK466" i="40"/>
  <c r="CA466" i="40"/>
  <c r="BP466" i="40"/>
  <c r="BH466" i="40"/>
  <c r="HZ466" i="40"/>
  <c r="IX466" i="40"/>
  <c r="BM466" i="40"/>
  <c r="CC466" i="40"/>
  <c r="BJ466" i="40"/>
  <c r="BZ466" i="40"/>
  <c r="AX466" i="40"/>
  <c r="BO466" i="40"/>
  <c r="CE466" i="40"/>
  <c r="BL466" i="40"/>
  <c r="DV466" i="40"/>
  <c r="CF466" i="40"/>
  <c r="BD466" i="40"/>
  <c r="HY466" i="40"/>
  <c r="JP466" i="40"/>
  <c r="BA466" i="40"/>
  <c r="BQ466" i="40"/>
  <c r="CG466" i="40"/>
  <c r="AW466" i="40"/>
  <c r="BN466" i="40"/>
  <c r="CD466" i="40"/>
  <c r="BC466" i="40"/>
  <c r="BS466" i="40"/>
  <c r="CJ466" i="40"/>
  <c r="CB466" i="40"/>
  <c r="A466" i="40"/>
  <c r="BT466" i="40"/>
  <c r="IA466" i="40"/>
  <c r="IY466" i="40"/>
  <c r="CQ465" i="40"/>
  <c r="AO465" i="40"/>
  <c r="CK266" i="40"/>
  <c r="AM266" i="40"/>
  <c r="AP266" i="40"/>
  <c r="BG267" i="40"/>
  <c r="BW267" i="40"/>
  <c r="DU267" i="40"/>
  <c r="BH267" i="40"/>
  <c r="BX267" i="40"/>
  <c r="DV267" i="40"/>
  <c r="BI267" i="40"/>
  <c r="BY267" i="40"/>
  <c r="DW267" i="40"/>
  <c r="DT267" i="40"/>
  <c r="BZ267" i="40"/>
  <c r="CD267" i="40"/>
  <c r="HZ267" i="40"/>
  <c r="IX267" i="40"/>
  <c r="CT267" i="40"/>
  <c r="C268" i="40"/>
  <c r="BK267" i="40"/>
  <c r="CA267" i="40"/>
  <c r="A267" i="40"/>
  <c r="BL267" i="40"/>
  <c r="CB267" i="40"/>
  <c r="BM267" i="40"/>
  <c r="CC267" i="40"/>
  <c r="BB267" i="40"/>
  <c r="JO267" i="40"/>
  <c r="IZ267" i="40"/>
  <c r="IY267" i="40"/>
  <c r="AX267" i="40"/>
  <c r="BO267" i="40"/>
  <c r="CE267" i="40"/>
  <c r="AZ267" i="40"/>
  <c r="BP267" i="40"/>
  <c r="CF267" i="40"/>
  <c r="BA267" i="40"/>
  <c r="BQ267" i="40"/>
  <c r="CG267" i="40"/>
  <c r="BF267" i="40"/>
  <c r="AW267" i="40"/>
  <c r="BR267" i="40"/>
  <c r="IA267" i="40"/>
  <c r="BC267" i="40"/>
  <c r="BS267" i="40"/>
  <c r="CJ267" i="40"/>
  <c r="BD267" i="40"/>
  <c r="BT267" i="40"/>
  <c r="DM267" i="40"/>
  <c r="BE267" i="40"/>
  <c r="BU267" i="40"/>
  <c r="DS267" i="40"/>
  <c r="BV267" i="40"/>
  <c r="BJ267" i="40"/>
  <c r="BN267" i="40"/>
  <c r="CH267" i="40"/>
  <c r="HY267" i="40"/>
  <c r="JP267" i="40"/>
  <c r="AN266" i="40"/>
  <c r="CP266" i="40"/>
  <c r="AO266" i="40"/>
  <c r="CQ266" i="40"/>
  <c r="CV266" i="40"/>
  <c r="JH165" i="40"/>
  <c r="HM166" i="40"/>
  <c r="HP166" i="40" s="1"/>
  <c r="DB366" i="40"/>
  <c r="D165" i="40"/>
  <c r="AY165" i="40" s="1"/>
  <c r="HX165" i="40"/>
  <c r="ID165" i="40" s="1"/>
  <c r="HN166" i="40"/>
  <c r="HQ166" i="40" s="1"/>
  <c r="JJ164" i="40"/>
  <c r="JK164" i="40" s="1"/>
  <c r="JL164" i="40" s="1"/>
  <c r="AO366" i="40"/>
  <c r="CQ366" i="40"/>
  <c r="CP366" i="40"/>
  <c r="AN366" i="40"/>
  <c r="CK366" i="40"/>
  <c r="AM366" i="40"/>
  <c r="C368" i="40"/>
  <c r="BA367" i="40"/>
  <c r="BE367" i="40"/>
  <c r="BI367" i="40"/>
  <c r="BM367" i="40"/>
  <c r="BQ367" i="40"/>
  <c r="BU367" i="40"/>
  <c r="BY367" i="40"/>
  <c r="CC367" i="40"/>
  <c r="CG367" i="40"/>
  <c r="DS367" i="40"/>
  <c r="DW367" i="40"/>
  <c r="AW367" i="40"/>
  <c r="BB367" i="40"/>
  <c r="BF367" i="40"/>
  <c r="BJ367" i="40"/>
  <c r="BN367" i="40"/>
  <c r="BR367" i="40"/>
  <c r="BV367" i="40"/>
  <c r="BZ367" i="40"/>
  <c r="CD367" i="40"/>
  <c r="CH367" i="40"/>
  <c r="DT367" i="40"/>
  <c r="AX367" i="40"/>
  <c r="BC367" i="40"/>
  <c r="BG367" i="40"/>
  <c r="BK367" i="40"/>
  <c r="BO367" i="40"/>
  <c r="BS367" i="40"/>
  <c r="BW367" i="40"/>
  <c r="CA367" i="40"/>
  <c r="CE367" i="40"/>
  <c r="CJ367" i="40"/>
  <c r="DU367" i="40"/>
  <c r="AZ367" i="40"/>
  <c r="BP367" i="40"/>
  <c r="CF367" i="40"/>
  <c r="BD367" i="40"/>
  <c r="BT367" i="40"/>
  <c r="DM367" i="40"/>
  <c r="A367" i="40"/>
  <c r="BH367" i="40"/>
  <c r="BX367" i="40"/>
  <c r="DV367" i="40"/>
  <c r="BL367" i="40"/>
  <c r="CB367" i="40"/>
  <c r="JO367" i="40"/>
  <c r="IY367" i="40"/>
  <c r="IZ367" i="40"/>
  <c r="IA367" i="40"/>
  <c r="HZ367" i="40"/>
  <c r="IX367" i="40"/>
  <c r="HY367" i="40"/>
  <c r="JP367" i="40"/>
  <c r="CR367" i="40"/>
  <c r="JD162" i="40"/>
  <c r="JS162" i="40" s="1"/>
  <c r="KP162" i="40"/>
  <c r="JR161" i="40"/>
  <c r="KQ161" i="40"/>
  <c r="KS161" i="40" s="1"/>
  <c r="JT161" i="40"/>
  <c r="JX161" i="40" s="1"/>
  <c r="JQ161" i="40"/>
  <c r="JU161" i="40" s="1"/>
  <c r="JV161" i="40" s="1"/>
  <c r="JW161" i="40" s="1"/>
  <c r="JI165" i="40"/>
  <c r="CP166" i="40"/>
  <c r="HW166" i="40" s="1"/>
  <c r="AN166" i="40"/>
  <c r="CK166" i="40"/>
  <c r="AM166" i="40"/>
  <c r="HS166" i="40"/>
  <c r="KR161" i="40"/>
  <c r="IC164" i="40"/>
  <c r="IB164" i="40" s="1"/>
  <c r="KK163" i="40"/>
  <c r="KO163" i="40"/>
  <c r="CV366" i="40"/>
  <c r="AP366" i="40"/>
  <c r="CQ166" i="40"/>
  <c r="AO166" i="40"/>
  <c r="IK167" i="40"/>
  <c r="IN167" i="40" s="1"/>
  <c r="JF167" i="40"/>
  <c r="HO167" i="40" s="1"/>
  <c r="II167" i="40"/>
  <c r="IL167" i="40" s="1"/>
  <c r="IJ167" i="40"/>
  <c r="IM167" i="40" s="1"/>
  <c r="C168" i="40"/>
  <c r="A167" i="40"/>
  <c r="AX167" i="40"/>
  <c r="BC167" i="40"/>
  <c r="BG167" i="40"/>
  <c r="BK167" i="40"/>
  <c r="BO167" i="40"/>
  <c r="BS167" i="40"/>
  <c r="BW167" i="40"/>
  <c r="CA167" i="40"/>
  <c r="CE167" i="40"/>
  <c r="CJ167" i="40"/>
  <c r="DU167" i="40"/>
  <c r="AZ167" i="40"/>
  <c r="BD167" i="40"/>
  <c r="BH167" i="40"/>
  <c r="BL167" i="40"/>
  <c r="BP167" i="40"/>
  <c r="BT167" i="40"/>
  <c r="BX167" i="40"/>
  <c r="CB167" i="40"/>
  <c r="CF167" i="40"/>
  <c r="DM167" i="40"/>
  <c r="DV167" i="40"/>
  <c r="BA167" i="40"/>
  <c r="BE167" i="40"/>
  <c r="BI167" i="40"/>
  <c r="BM167" i="40"/>
  <c r="BQ167" i="40"/>
  <c r="BU167" i="40"/>
  <c r="BY167" i="40"/>
  <c r="CC167" i="40"/>
  <c r="CG167" i="40"/>
  <c r="DS167" i="40"/>
  <c r="DW167" i="40"/>
  <c r="BJ167" i="40"/>
  <c r="BZ167" i="40"/>
  <c r="AW167" i="40"/>
  <c r="BN167" i="40"/>
  <c r="CD167" i="40"/>
  <c r="BB167" i="40"/>
  <c r="BR167" i="40"/>
  <c r="CH167" i="40"/>
  <c r="DT167" i="40"/>
  <c r="BF167" i="40"/>
  <c r="BV167" i="40"/>
  <c r="JO167" i="40"/>
  <c r="HZ167" i="40"/>
  <c r="IA167" i="40"/>
  <c r="IX167" i="40"/>
  <c r="IZ167" i="40"/>
  <c r="HY167" i="40"/>
  <c r="CU167" i="40"/>
  <c r="IY167" i="40"/>
  <c r="CT167" i="40"/>
  <c r="CS167" i="40"/>
  <c r="JP167" i="40"/>
  <c r="JG167" i="40"/>
  <c r="HU166" i="40"/>
  <c r="HW165" i="40"/>
  <c r="IC165" i="40" s="1"/>
  <c r="AQ162" i="40"/>
  <c r="KK162" i="40"/>
  <c r="KI162" i="40"/>
  <c r="KO162" i="40"/>
  <c r="KJ162" i="40"/>
  <c r="CV166" i="40"/>
  <c r="AK166" i="40"/>
  <c r="J34" i="58" s="1"/>
  <c r="J35" i="58" s="1"/>
  <c r="AL166" i="40"/>
  <c r="AP166" i="40"/>
  <c r="K34" i="58"/>
  <c r="K35" i="58" s="1"/>
  <c r="HR166" i="40"/>
  <c r="IE163" i="40"/>
  <c r="KI163" i="40" s="1"/>
  <c r="IQ166" i="40"/>
  <c r="JC166" i="40" s="1"/>
  <c r="IP166" i="40"/>
  <c r="JB166" i="40" s="1"/>
  <c r="HT166" i="40"/>
  <c r="KT109" i="40"/>
  <c r="KU108" i="40"/>
  <c r="I22" i="70" s="1"/>
  <c r="JS161" i="40"/>
  <c r="CI550" i="40" l="1"/>
  <c r="CI251" i="40"/>
  <c r="CI650" i="40"/>
  <c r="CI351" i="40"/>
  <c r="CI167" i="40"/>
  <c r="HZ666" i="40"/>
  <c r="IY666" i="40" s="1"/>
  <c r="HY666" i="40"/>
  <c r="IX666" i="40" s="1"/>
  <c r="DB466" i="40"/>
  <c r="DB267" i="40"/>
  <c r="IA666" i="40"/>
  <c r="IZ666" i="40" s="1"/>
  <c r="CV267" i="40"/>
  <c r="D166" i="40"/>
  <c r="AY166" i="40" s="1"/>
  <c r="CV667" i="40"/>
  <c r="CV566" i="40"/>
  <c r="CQ667" i="40"/>
  <c r="AO667" i="40"/>
  <c r="AP667" i="40"/>
  <c r="CK667" i="40"/>
  <c r="AM667" i="40"/>
  <c r="AI567" i="40"/>
  <c r="AE567" i="40"/>
  <c r="AA567" i="40"/>
  <c r="W567" i="40"/>
  <c r="CU567" i="40" s="1"/>
  <c r="S567" i="40"/>
  <c r="O567" i="40"/>
  <c r="CO567" i="40" s="1"/>
  <c r="K567" i="40"/>
  <c r="G567" i="40"/>
  <c r="AH567" i="40"/>
  <c r="AD567" i="40"/>
  <c r="Z567" i="40"/>
  <c r="V567" i="40"/>
  <c r="CT567" i="40" s="1"/>
  <c r="R567" i="40"/>
  <c r="N567" i="40"/>
  <c r="CN567" i="40" s="1"/>
  <c r="J567" i="40"/>
  <c r="F567" i="40"/>
  <c r="AF567" i="40"/>
  <c r="X567" i="40"/>
  <c r="P567" i="40"/>
  <c r="H567" i="40"/>
  <c r="AC567" i="40"/>
  <c r="U567" i="40"/>
  <c r="CS567" i="40" s="1"/>
  <c r="M567" i="40"/>
  <c r="CM567" i="40" s="1"/>
  <c r="E567" i="40"/>
  <c r="AJ567" i="40"/>
  <c r="AB567" i="40"/>
  <c r="T567" i="40"/>
  <c r="CR567" i="40" s="1"/>
  <c r="L567" i="40"/>
  <c r="CL567" i="40" s="1"/>
  <c r="Y567" i="40"/>
  <c r="Q567" i="40"/>
  <c r="I567" i="40"/>
  <c r="AG567" i="40"/>
  <c r="AW567" i="40"/>
  <c r="BN567" i="40"/>
  <c r="CD567" i="40"/>
  <c r="BK567" i="40"/>
  <c r="CA567" i="40"/>
  <c r="A567" i="40"/>
  <c r="BH567" i="40"/>
  <c r="BX567" i="40"/>
  <c r="DV567" i="40"/>
  <c r="BU567" i="40"/>
  <c r="JO567" i="40"/>
  <c r="CG567" i="40"/>
  <c r="HZ567" i="40"/>
  <c r="IX567" i="40"/>
  <c r="JP567" i="40"/>
  <c r="BB567" i="40"/>
  <c r="BR567" i="40"/>
  <c r="CH567" i="40"/>
  <c r="AX567" i="40"/>
  <c r="BO567" i="40"/>
  <c r="CE567" i="40"/>
  <c r="BL567" i="40"/>
  <c r="CB567" i="40"/>
  <c r="BI567" i="40"/>
  <c r="BE567" i="40"/>
  <c r="DS567" i="40"/>
  <c r="IY567" i="40"/>
  <c r="BF567" i="40"/>
  <c r="BV567" i="40"/>
  <c r="DT567" i="40"/>
  <c r="BC567" i="40"/>
  <c r="BS567" i="40"/>
  <c r="CJ567" i="40"/>
  <c r="AZ567" i="40"/>
  <c r="BP567" i="40"/>
  <c r="CF567" i="40"/>
  <c r="BY567" i="40"/>
  <c r="BM567" i="40"/>
  <c r="BA567" i="40"/>
  <c r="IA567" i="40"/>
  <c r="IZ567" i="40"/>
  <c r="C568" i="40"/>
  <c r="BJ567" i="40"/>
  <c r="BZ567" i="40"/>
  <c r="BG567" i="40"/>
  <c r="BW567" i="40"/>
  <c r="DU567" i="40"/>
  <c r="BD567" i="40"/>
  <c r="BT567" i="40"/>
  <c r="DM567" i="40"/>
  <c r="DW567" i="40"/>
  <c r="CC567" i="40"/>
  <c r="BQ567" i="40"/>
  <c r="HY567" i="40"/>
  <c r="CP566" i="40"/>
  <c r="AN566" i="40"/>
  <c r="AP566" i="40"/>
  <c r="AJ368" i="40"/>
  <c r="AF368" i="40"/>
  <c r="AB368" i="40"/>
  <c r="X368" i="40"/>
  <c r="T368" i="40"/>
  <c r="CR368" i="40" s="1"/>
  <c r="P368" i="40"/>
  <c r="L368" i="40"/>
  <c r="CL368" i="40" s="1"/>
  <c r="H368" i="40"/>
  <c r="AI368" i="40"/>
  <c r="AE368" i="40"/>
  <c r="AA368" i="40"/>
  <c r="CI452" i="40" s="1"/>
  <c r="W368" i="40"/>
  <c r="CU368" i="40" s="1"/>
  <c r="S368" i="40"/>
  <c r="O368" i="40"/>
  <c r="K368" i="40"/>
  <c r="G368" i="40"/>
  <c r="AH368" i="40"/>
  <c r="AD368" i="40"/>
  <c r="Z368" i="40"/>
  <c r="V368" i="40"/>
  <c r="CT368" i="40" s="1"/>
  <c r="R368" i="40"/>
  <c r="N368" i="40"/>
  <c r="CN368" i="40" s="1"/>
  <c r="J368" i="40"/>
  <c r="F368" i="40"/>
  <c r="U368" i="40"/>
  <c r="CS368" i="40" s="1"/>
  <c r="E368" i="40"/>
  <c r="AG368" i="40"/>
  <c r="Q368" i="40"/>
  <c r="AC368" i="40"/>
  <c r="M368" i="40"/>
  <c r="CM368" i="40" s="1"/>
  <c r="I368" i="40"/>
  <c r="Y368" i="40"/>
  <c r="AI467" i="40"/>
  <c r="AE467" i="40"/>
  <c r="AA467" i="40"/>
  <c r="W467" i="40"/>
  <c r="CU467" i="40" s="1"/>
  <c r="S467" i="40"/>
  <c r="O467" i="40"/>
  <c r="CO467" i="40" s="1"/>
  <c r="K467" i="40"/>
  <c r="G467" i="40"/>
  <c r="AH467" i="40"/>
  <c r="AD467" i="40"/>
  <c r="Z467" i="40"/>
  <c r="V467" i="40"/>
  <c r="CT467" i="40" s="1"/>
  <c r="R467" i="40"/>
  <c r="N467" i="40"/>
  <c r="CN467" i="40" s="1"/>
  <c r="J467" i="40"/>
  <c r="F467" i="40"/>
  <c r="AG467" i="40"/>
  <c r="AC467" i="40"/>
  <c r="Y467" i="40"/>
  <c r="U467" i="40"/>
  <c r="CS467" i="40" s="1"/>
  <c r="Q467" i="40"/>
  <c r="M467" i="40"/>
  <c r="CM467" i="40" s="1"/>
  <c r="I467" i="40"/>
  <c r="E467" i="40"/>
  <c r="AJ467" i="40"/>
  <c r="T467" i="40"/>
  <c r="AF467" i="40"/>
  <c r="P467" i="40"/>
  <c r="AB467" i="40"/>
  <c r="L467" i="40"/>
  <c r="CL467" i="40" s="1"/>
  <c r="X467" i="40"/>
  <c r="H467" i="40"/>
  <c r="CP667" i="40"/>
  <c r="AN667" i="40"/>
  <c r="AO566" i="40"/>
  <c r="CQ566" i="40"/>
  <c r="AG168" i="40"/>
  <c r="AC168" i="40"/>
  <c r="Y168" i="40"/>
  <c r="U168" i="40"/>
  <c r="CS168" i="40" s="1"/>
  <c r="Q168" i="40"/>
  <c r="M168" i="40"/>
  <c r="CM168" i="40" s="1"/>
  <c r="I168" i="40"/>
  <c r="E168" i="40"/>
  <c r="AI168" i="40"/>
  <c r="AE168" i="40"/>
  <c r="AA168" i="40"/>
  <c r="W168" i="40"/>
  <c r="CU168" i="40" s="1"/>
  <c r="S168" i="40"/>
  <c r="O168" i="40"/>
  <c r="CO168" i="40" s="1"/>
  <c r="K168" i="40"/>
  <c r="G168" i="40"/>
  <c r="AF168" i="40"/>
  <c r="X168" i="40"/>
  <c r="P168" i="40"/>
  <c r="H168" i="40"/>
  <c r="AD168" i="40"/>
  <c r="V168" i="40"/>
  <c r="CT168" i="40" s="1"/>
  <c r="N168" i="40"/>
  <c r="CN168" i="40" s="1"/>
  <c r="F168" i="40"/>
  <c r="AH168" i="40"/>
  <c r="R168" i="40"/>
  <c r="AJ168" i="40"/>
  <c r="AB168" i="40"/>
  <c r="T168" i="40"/>
  <c r="CR168" i="40" s="1"/>
  <c r="L168" i="40"/>
  <c r="CL168" i="40" s="1"/>
  <c r="Z168" i="40"/>
  <c r="J168" i="40"/>
  <c r="AH268" i="40"/>
  <c r="AD268" i="40"/>
  <c r="Z268" i="40"/>
  <c r="V268" i="40"/>
  <c r="CT268" i="40" s="1"/>
  <c r="R268" i="40"/>
  <c r="N268" i="40"/>
  <c r="CN268" i="40" s="1"/>
  <c r="J268" i="40"/>
  <c r="F268" i="40"/>
  <c r="AJ268" i="40"/>
  <c r="AF268" i="40"/>
  <c r="AB268" i="40"/>
  <c r="X268" i="40"/>
  <c r="T268" i="40"/>
  <c r="CR268" i="40" s="1"/>
  <c r="P268" i="40"/>
  <c r="L268" i="40"/>
  <c r="CL268" i="40" s="1"/>
  <c r="H268" i="40"/>
  <c r="AC268" i="40"/>
  <c r="U268" i="40"/>
  <c r="CS268" i="40" s="1"/>
  <c r="M268" i="40"/>
  <c r="CM268" i="40" s="1"/>
  <c r="E268" i="40"/>
  <c r="AI268" i="40"/>
  <c r="AA268" i="40"/>
  <c r="S268" i="40"/>
  <c r="K268" i="40"/>
  <c r="AG268" i="40"/>
  <c r="Y268" i="40"/>
  <c r="Q268" i="40"/>
  <c r="I268" i="40"/>
  <c r="AE268" i="40"/>
  <c r="W268" i="40"/>
  <c r="CU268" i="40" s="1"/>
  <c r="O268" i="40"/>
  <c r="CO268" i="40" s="1"/>
  <c r="G268" i="40"/>
  <c r="DB667" i="40"/>
  <c r="AF668" i="40"/>
  <c r="BY668" i="40"/>
  <c r="BI668" i="40"/>
  <c r="AG668" i="40"/>
  <c r="CF668" i="40"/>
  <c r="BP668" i="40"/>
  <c r="AZ668" i="40"/>
  <c r="DM668" i="40"/>
  <c r="BJ668" i="40"/>
  <c r="DS668" i="40"/>
  <c r="JO668" i="40"/>
  <c r="H668" i="40"/>
  <c r="AI668" i="40"/>
  <c r="F668" i="40"/>
  <c r="DU668" i="40"/>
  <c r="BU668" i="40"/>
  <c r="BE668" i="40"/>
  <c r="M668" i="40"/>
  <c r="CM668" i="40" s="1"/>
  <c r="CB668" i="40"/>
  <c r="BL668" i="40"/>
  <c r="AB668" i="40"/>
  <c r="CH668" i="40"/>
  <c r="BB668" i="40"/>
  <c r="CD668" i="40"/>
  <c r="W668" i="40"/>
  <c r="CU668" i="40" s="1"/>
  <c r="BF668" i="40"/>
  <c r="BN668" i="40"/>
  <c r="BK668" i="40"/>
  <c r="JP668" i="40"/>
  <c r="I668" i="40"/>
  <c r="AJ668" i="40"/>
  <c r="AC668" i="40"/>
  <c r="CG668" i="40"/>
  <c r="BQ668" i="40"/>
  <c r="BA668" i="40"/>
  <c r="A668" i="40"/>
  <c r="BX668" i="40"/>
  <c r="BH668" i="40"/>
  <c r="P668" i="40"/>
  <c r="KN668" i="40"/>
  <c r="DT668" i="40"/>
  <c r="BZ668" i="40"/>
  <c r="BS668" i="40"/>
  <c r="CA668" i="40"/>
  <c r="BW668" i="40"/>
  <c r="O668" i="40"/>
  <c r="CO668" i="40" s="1"/>
  <c r="AE668" i="40"/>
  <c r="CC668" i="40"/>
  <c r="BT668" i="40"/>
  <c r="BR668" i="40"/>
  <c r="BG668" i="40"/>
  <c r="BO668" i="40"/>
  <c r="BC668" i="40"/>
  <c r="C669" i="40"/>
  <c r="CJ668" i="40"/>
  <c r="BM668" i="40"/>
  <c r="BD668" i="40"/>
  <c r="AH668" i="40"/>
  <c r="AX668" i="40"/>
  <c r="K668" i="40"/>
  <c r="G668" i="40"/>
  <c r="CE668" i="40"/>
  <c r="J668" i="40"/>
  <c r="BV668" i="40"/>
  <c r="N668" i="40"/>
  <c r="CN668" i="40" s="1"/>
  <c r="DV668" i="40"/>
  <c r="AW668" i="40"/>
  <c r="DW668" i="40"/>
  <c r="L668" i="40"/>
  <c r="CL668" i="40" s="1"/>
  <c r="Z668" i="40"/>
  <c r="Q668" i="40"/>
  <c r="X668" i="40"/>
  <c r="R668" i="40"/>
  <c r="AA668" i="40"/>
  <c r="T668" i="40"/>
  <c r="CR668" i="40" s="1"/>
  <c r="AD668" i="40"/>
  <c r="U668" i="40"/>
  <c r="CS668" i="40" s="1"/>
  <c r="E668" i="40"/>
  <c r="V668" i="40"/>
  <c r="CT668" i="40" s="1"/>
  <c r="S668" i="40"/>
  <c r="Y668" i="40"/>
  <c r="DB566" i="40"/>
  <c r="AM566" i="40"/>
  <c r="CK566" i="40"/>
  <c r="HV166" i="40"/>
  <c r="AO466" i="40"/>
  <c r="CQ466" i="40"/>
  <c r="CP466" i="40"/>
  <c r="AN466" i="40"/>
  <c r="BG467" i="40"/>
  <c r="BW467" i="40"/>
  <c r="DU467" i="40"/>
  <c r="BH467" i="40"/>
  <c r="BX467" i="40"/>
  <c r="DV467" i="40"/>
  <c r="BI467" i="40"/>
  <c r="BY467" i="40"/>
  <c r="DW467" i="40"/>
  <c r="BZ467" i="40"/>
  <c r="BN467" i="40"/>
  <c r="HZ467" i="40"/>
  <c r="C468" i="40"/>
  <c r="BK467" i="40"/>
  <c r="CA467" i="40"/>
  <c r="A467" i="40"/>
  <c r="BL467" i="40"/>
  <c r="CB467" i="40"/>
  <c r="BM467" i="40"/>
  <c r="CC467" i="40"/>
  <c r="BV467" i="40"/>
  <c r="CD467" i="40"/>
  <c r="BB467" i="40"/>
  <c r="DT467" i="40"/>
  <c r="HY467" i="40"/>
  <c r="IY467" i="40"/>
  <c r="JP467" i="40"/>
  <c r="AX467" i="40"/>
  <c r="BO467" i="40"/>
  <c r="CE467" i="40"/>
  <c r="AZ467" i="40"/>
  <c r="BP467" i="40"/>
  <c r="CF467" i="40"/>
  <c r="BA467" i="40"/>
  <c r="BQ467" i="40"/>
  <c r="CG467" i="40"/>
  <c r="JO467" i="40"/>
  <c r="BR467" i="40"/>
  <c r="IZ467" i="40"/>
  <c r="CR467" i="40"/>
  <c r="BC467" i="40"/>
  <c r="BS467" i="40"/>
  <c r="CJ467" i="40"/>
  <c r="BD467" i="40"/>
  <c r="BT467" i="40"/>
  <c r="DM467" i="40"/>
  <c r="BE467" i="40"/>
  <c r="BU467" i="40"/>
  <c r="DS467" i="40"/>
  <c r="BJ467" i="40"/>
  <c r="AW467" i="40"/>
  <c r="BF467" i="40"/>
  <c r="CH467" i="40"/>
  <c r="IA467" i="40"/>
  <c r="IX467" i="40"/>
  <c r="AP466" i="40"/>
  <c r="CV466" i="40"/>
  <c r="AM466" i="40"/>
  <c r="CK466" i="40"/>
  <c r="CQ267" i="40"/>
  <c r="AO267" i="40"/>
  <c r="CK267" i="40"/>
  <c r="AM267" i="40"/>
  <c r="AP267" i="40"/>
  <c r="AN267" i="40"/>
  <c r="CP267" i="40"/>
  <c r="C269" i="40"/>
  <c r="BI268" i="40"/>
  <c r="BY268" i="40"/>
  <c r="DW268" i="40"/>
  <c r="BF268" i="40"/>
  <c r="BV268" i="40"/>
  <c r="DT268" i="40"/>
  <c r="BK268" i="40"/>
  <c r="CA268" i="40"/>
  <c r="A268" i="40"/>
  <c r="DV268" i="40"/>
  <c r="AZ268" i="40"/>
  <c r="JO268" i="40"/>
  <c r="HZ268" i="40"/>
  <c r="JP268" i="40"/>
  <c r="BM268" i="40"/>
  <c r="CC268" i="40"/>
  <c r="BJ268" i="40"/>
  <c r="BZ268" i="40"/>
  <c r="AX268" i="40"/>
  <c r="BO268" i="40"/>
  <c r="CE268" i="40"/>
  <c r="BD268" i="40"/>
  <c r="BP268" i="40"/>
  <c r="IA268" i="40"/>
  <c r="BA268" i="40"/>
  <c r="BQ268" i="40"/>
  <c r="CG268" i="40"/>
  <c r="AW268" i="40"/>
  <c r="BN268" i="40"/>
  <c r="CD268" i="40"/>
  <c r="BC268" i="40"/>
  <c r="BS268" i="40"/>
  <c r="CJ268" i="40"/>
  <c r="BT268" i="40"/>
  <c r="BH268" i="40"/>
  <c r="BL268" i="40"/>
  <c r="CF268" i="40"/>
  <c r="IZ268" i="40"/>
  <c r="BE268" i="40"/>
  <c r="BU268" i="40"/>
  <c r="DS268" i="40"/>
  <c r="BB268" i="40"/>
  <c r="BR268" i="40"/>
  <c r="CH268" i="40"/>
  <c r="BG268" i="40"/>
  <c r="BW268" i="40"/>
  <c r="DU268" i="40"/>
  <c r="DM268" i="40"/>
  <c r="BX268" i="40"/>
  <c r="CB268" i="40"/>
  <c r="IX268" i="40"/>
  <c r="HY268" i="40"/>
  <c r="IY268" i="40"/>
  <c r="HX166" i="40"/>
  <c r="ID166" i="40" s="1"/>
  <c r="DB367" i="40"/>
  <c r="IO167" i="40"/>
  <c r="JA167" i="40" s="1"/>
  <c r="HM167" i="40"/>
  <c r="HP167" i="40" s="1"/>
  <c r="HN167" i="40"/>
  <c r="HQ167" i="40" s="1"/>
  <c r="CV167" i="40"/>
  <c r="AL167" i="40"/>
  <c r="AK167" i="40"/>
  <c r="AP167" i="40"/>
  <c r="HT167" i="40"/>
  <c r="CP367" i="40"/>
  <c r="AN367" i="40"/>
  <c r="IE164" i="40"/>
  <c r="JH166" i="40"/>
  <c r="CP167" i="40"/>
  <c r="HX167" i="40" s="1"/>
  <c r="AN167" i="40"/>
  <c r="DB167" i="40"/>
  <c r="HS167" i="40"/>
  <c r="IF164" i="40"/>
  <c r="JR162" i="40"/>
  <c r="JT162" i="40"/>
  <c r="JX162" i="40" s="1"/>
  <c r="KQ162" i="40"/>
  <c r="KS162" i="40" s="1"/>
  <c r="JQ162" i="40"/>
  <c r="JU162" i="40" s="1"/>
  <c r="JV162" i="40" s="1"/>
  <c r="JW162" i="40" s="1"/>
  <c r="AO367" i="40"/>
  <c r="CQ367" i="40"/>
  <c r="AP367" i="40"/>
  <c r="CK367" i="40"/>
  <c r="AM367" i="40"/>
  <c r="JJ165" i="40"/>
  <c r="JK165" i="40" s="1"/>
  <c r="JL165" i="40" s="1"/>
  <c r="IC166" i="40"/>
  <c r="KR162" i="40"/>
  <c r="JM164" i="40"/>
  <c r="JI166" i="40"/>
  <c r="CQ167" i="40"/>
  <c r="AO167" i="40"/>
  <c r="CK167" i="40"/>
  <c r="AM167" i="40"/>
  <c r="HR167" i="40"/>
  <c r="C369" i="40"/>
  <c r="CO368" i="40"/>
  <c r="AW368" i="40"/>
  <c r="BB368" i="40"/>
  <c r="BF368" i="40"/>
  <c r="BJ368" i="40"/>
  <c r="BN368" i="40"/>
  <c r="BR368" i="40"/>
  <c r="BV368" i="40"/>
  <c r="BZ368" i="40"/>
  <c r="CD368" i="40"/>
  <c r="CH368" i="40"/>
  <c r="DT368" i="40"/>
  <c r="A368" i="40"/>
  <c r="AX368" i="40"/>
  <c r="BC368" i="40"/>
  <c r="BG368" i="40"/>
  <c r="BK368" i="40"/>
  <c r="BO368" i="40"/>
  <c r="BS368" i="40"/>
  <c r="BW368" i="40"/>
  <c r="CA368" i="40"/>
  <c r="CE368" i="40"/>
  <c r="CJ368" i="40"/>
  <c r="DU368" i="40"/>
  <c r="AZ368" i="40"/>
  <c r="BD368" i="40"/>
  <c r="BH368" i="40"/>
  <c r="BL368" i="40"/>
  <c r="BP368" i="40"/>
  <c r="BT368" i="40"/>
  <c r="BX368" i="40"/>
  <c r="CB368" i="40"/>
  <c r="CF368" i="40"/>
  <c r="DM368" i="40"/>
  <c r="DV368" i="40"/>
  <c r="BM368" i="40"/>
  <c r="CC368" i="40"/>
  <c r="BA368" i="40"/>
  <c r="BQ368" i="40"/>
  <c r="CG368" i="40"/>
  <c r="BE368" i="40"/>
  <c r="BU368" i="40"/>
  <c r="DS368" i="40"/>
  <c r="BI368" i="40"/>
  <c r="BY368" i="40"/>
  <c r="DW368" i="40"/>
  <c r="JO368" i="40"/>
  <c r="IY368" i="40"/>
  <c r="HZ368" i="40"/>
  <c r="HY368" i="40"/>
  <c r="IZ368" i="40"/>
  <c r="IX368" i="40"/>
  <c r="IA368" i="40"/>
  <c r="JP368" i="40"/>
  <c r="IB165" i="40"/>
  <c r="KT110" i="40"/>
  <c r="KU109" i="40"/>
  <c r="I23" i="70" s="1"/>
  <c r="IG164" i="40"/>
  <c r="JD163" i="40"/>
  <c r="KP163" i="40"/>
  <c r="KR163" i="40" s="1"/>
  <c r="AQ163" i="40"/>
  <c r="IP167" i="40"/>
  <c r="JB167" i="40" s="1"/>
  <c r="IQ167" i="40"/>
  <c r="JC167" i="40" s="1"/>
  <c r="IK168" i="40"/>
  <c r="IN168" i="40" s="1"/>
  <c r="JF168" i="40"/>
  <c r="HO168" i="40" s="1"/>
  <c r="II168" i="40"/>
  <c r="IL168" i="40" s="1"/>
  <c r="IJ168" i="40"/>
  <c r="IM168" i="40" s="1"/>
  <c r="C169" i="40"/>
  <c r="AX168" i="40"/>
  <c r="BC168" i="40"/>
  <c r="BG168" i="40"/>
  <c r="BK168" i="40"/>
  <c r="BO168" i="40"/>
  <c r="BS168" i="40"/>
  <c r="BW168" i="40"/>
  <c r="CA168" i="40"/>
  <c r="CE168" i="40"/>
  <c r="CJ168" i="40"/>
  <c r="DS168" i="40"/>
  <c r="DW168" i="40"/>
  <c r="AZ168" i="40"/>
  <c r="BD168" i="40"/>
  <c r="BH168" i="40"/>
  <c r="BL168" i="40"/>
  <c r="BP168" i="40"/>
  <c r="BT168" i="40"/>
  <c r="BX168" i="40"/>
  <c r="CB168" i="40"/>
  <c r="CF168" i="40"/>
  <c r="DT168" i="40"/>
  <c r="BA168" i="40"/>
  <c r="BE168" i="40"/>
  <c r="BI168" i="40"/>
  <c r="BM168" i="40"/>
  <c r="BQ168" i="40"/>
  <c r="BU168" i="40"/>
  <c r="BY168" i="40"/>
  <c r="CC168" i="40"/>
  <c r="CG168" i="40"/>
  <c r="DU168" i="40"/>
  <c r="A168" i="40"/>
  <c r="BB168" i="40"/>
  <c r="BR168" i="40"/>
  <c r="CH168" i="40"/>
  <c r="BF168" i="40"/>
  <c r="BV168" i="40"/>
  <c r="DM168" i="40"/>
  <c r="BJ168" i="40"/>
  <c r="BZ168" i="40"/>
  <c r="DV168" i="40"/>
  <c r="BN168" i="40"/>
  <c r="CD168" i="40"/>
  <c r="AW168" i="40"/>
  <c r="JO168" i="40"/>
  <c r="HY168" i="40"/>
  <c r="HZ168" i="40"/>
  <c r="IX168" i="40"/>
  <c r="IZ168" i="40"/>
  <c r="IA168" i="40"/>
  <c r="IY168" i="40"/>
  <c r="JP168" i="40"/>
  <c r="JG168" i="40"/>
  <c r="HU167" i="40"/>
  <c r="CV367" i="40"/>
  <c r="HZ667" i="40" l="1"/>
  <c r="IY667" i="40" s="1"/>
  <c r="CI252" i="40"/>
  <c r="CI352" i="40"/>
  <c r="CI651" i="40"/>
  <c r="CI168" i="40"/>
  <c r="CI551" i="40"/>
  <c r="HY667" i="40"/>
  <c r="IX667" i="40" s="1"/>
  <c r="IA667" i="40"/>
  <c r="IZ667" i="40" s="1"/>
  <c r="DB467" i="40"/>
  <c r="CV567" i="40"/>
  <c r="DB668" i="40"/>
  <c r="AG169" i="40"/>
  <c r="AC169" i="40"/>
  <c r="Y169" i="40"/>
  <c r="U169" i="40"/>
  <c r="CS169" i="40" s="1"/>
  <c r="Q169" i="40"/>
  <c r="M169" i="40"/>
  <c r="CM169" i="40" s="1"/>
  <c r="I169" i="40"/>
  <c r="E169" i="40"/>
  <c r="AI169" i="40"/>
  <c r="AE169" i="40"/>
  <c r="AA169" i="40"/>
  <c r="W169" i="40"/>
  <c r="CU169" i="40" s="1"/>
  <c r="S169" i="40"/>
  <c r="O169" i="40"/>
  <c r="CO169" i="40" s="1"/>
  <c r="K169" i="40"/>
  <c r="G169" i="40"/>
  <c r="AF169" i="40"/>
  <c r="X169" i="40"/>
  <c r="P169" i="40"/>
  <c r="H169" i="40"/>
  <c r="AH169" i="40"/>
  <c r="J169" i="40"/>
  <c r="AD169" i="40"/>
  <c r="V169" i="40"/>
  <c r="CT169" i="40" s="1"/>
  <c r="N169" i="40"/>
  <c r="CN169" i="40" s="1"/>
  <c r="F169" i="40"/>
  <c r="Z169" i="40"/>
  <c r="AJ169" i="40"/>
  <c r="AB169" i="40"/>
  <c r="T169" i="40"/>
  <c r="CR169" i="40" s="1"/>
  <c r="L169" i="40"/>
  <c r="R169" i="40"/>
  <c r="CV668" i="40"/>
  <c r="DB567" i="40"/>
  <c r="AM567" i="40"/>
  <c r="CK567" i="40"/>
  <c r="AJ369" i="40"/>
  <c r="AF369" i="40"/>
  <c r="AB369" i="40"/>
  <c r="X369" i="40"/>
  <c r="T369" i="40"/>
  <c r="CR369" i="40" s="1"/>
  <c r="P369" i="40"/>
  <c r="L369" i="40"/>
  <c r="H369" i="40"/>
  <c r="AI369" i="40"/>
  <c r="AE369" i="40"/>
  <c r="AA369" i="40"/>
  <c r="CI453" i="40" s="1"/>
  <c r="W369" i="40"/>
  <c r="CU369" i="40" s="1"/>
  <c r="S369" i="40"/>
  <c r="O369" i="40"/>
  <c r="CO369" i="40" s="1"/>
  <c r="K369" i="40"/>
  <c r="G369" i="40"/>
  <c r="AH369" i="40"/>
  <c r="AD369" i="40"/>
  <c r="Z369" i="40"/>
  <c r="V369" i="40"/>
  <c r="CT369" i="40" s="1"/>
  <c r="R369" i="40"/>
  <c r="N369" i="40"/>
  <c r="CN369" i="40" s="1"/>
  <c r="J369" i="40"/>
  <c r="F369" i="40"/>
  <c r="U369" i="40"/>
  <c r="CS369" i="40" s="1"/>
  <c r="E369" i="40"/>
  <c r="AG369" i="40"/>
  <c r="Q369" i="40"/>
  <c r="AC369" i="40"/>
  <c r="M369" i="40"/>
  <c r="CM369" i="40" s="1"/>
  <c r="Y369" i="40"/>
  <c r="I369" i="40"/>
  <c r="CQ668" i="40"/>
  <c r="AO668" i="40"/>
  <c r="AP668" i="40"/>
  <c r="CK668" i="40"/>
  <c r="AM668" i="40"/>
  <c r="AI568" i="40"/>
  <c r="AE568" i="40"/>
  <c r="AA568" i="40"/>
  <c r="W568" i="40"/>
  <c r="CU568" i="40" s="1"/>
  <c r="S568" i="40"/>
  <c r="O568" i="40"/>
  <c r="CO568" i="40" s="1"/>
  <c r="K568" i="40"/>
  <c r="G568" i="40"/>
  <c r="AH568" i="40"/>
  <c r="AD568" i="40"/>
  <c r="Z568" i="40"/>
  <c r="V568" i="40"/>
  <c r="CT568" i="40" s="1"/>
  <c r="R568" i="40"/>
  <c r="N568" i="40"/>
  <c r="CN568" i="40" s="1"/>
  <c r="J568" i="40"/>
  <c r="F568" i="40"/>
  <c r="AF568" i="40"/>
  <c r="X568" i="40"/>
  <c r="P568" i="40"/>
  <c r="H568" i="40"/>
  <c r="AC568" i="40"/>
  <c r="U568" i="40"/>
  <c r="CS568" i="40" s="1"/>
  <c r="M568" i="40"/>
  <c r="CM568" i="40" s="1"/>
  <c r="E568" i="40"/>
  <c r="AJ568" i="40"/>
  <c r="AB568" i="40"/>
  <c r="T568" i="40"/>
  <c r="CR568" i="40" s="1"/>
  <c r="L568" i="40"/>
  <c r="CL568" i="40" s="1"/>
  <c r="Y568" i="40"/>
  <c r="Q568" i="40"/>
  <c r="I568" i="40"/>
  <c r="AG568" i="40"/>
  <c r="BL568" i="40"/>
  <c r="CB568" i="40"/>
  <c r="BM568" i="40"/>
  <c r="CC568" i="40"/>
  <c r="AW568" i="40"/>
  <c r="BN568" i="40"/>
  <c r="CD568" i="40"/>
  <c r="BG568" i="40"/>
  <c r="AX568" i="40"/>
  <c r="BS568" i="40"/>
  <c r="IX568" i="40"/>
  <c r="AZ568" i="40"/>
  <c r="BP568" i="40"/>
  <c r="CF568" i="40"/>
  <c r="BA568" i="40"/>
  <c r="BQ568" i="40"/>
  <c r="CG568" i="40"/>
  <c r="BB568" i="40"/>
  <c r="BR568" i="40"/>
  <c r="CH568" i="40"/>
  <c r="BW568" i="40"/>
  <c r="BK568" i="40"/>
  <c r="BO568" i="40"/>
  <c r="HZ568" i="40"/>
  <c r="C569" i="40"/>
  <c r="BD568" i="40"/>
  <c r="BT568" i="40"/>
  <c r="DM568" i="40"/>
  <c r="BE568" i="40"/>
  <c r="BU568" i="40"/>
  <c r="DS568" i="40"/>
  <c r="BF568" i="40"/>
  <c r="BV568" i="40"/>
  <c r="DT568" i="40"/>
  <c r="DU568" i="40"/>
  <c r="CA568" i="40"/>
  <c r="CE568" i="40"/>
  <c r="HY568" i="40"/>
  <c r="IZ568" i="40"/>
  <c r="A568" i="40"/>
  <c r="BH568" i="40"/>
  <c r="BX568" i="40"/>
  <c r="DV568" i="40"/>
  <c r="BI568" i="40"/>
  <c r="BY568" i="40"/>
  <c r="DW568" i="40"/>
  <c r="BJ568" i="40"/>
  <c r="BZ568" i="40"/>
  <c r="BC568" i="40"/>
  <c r="CJ568" i="40"/>
  <c r="JO568" i="40"/>
  <c r="IA568" i="40"/>
  <c r="IY568" i="40"/>
  <c r="JP568" i="40"/>
  <c r="AN567" i="40"/>
  <c r="CP567" i="40"/>
  <c r="AP567" i="40"/>
  <c r="AI468" i="40"/>
  <c r="AE468" i="40"/>
  <c r="AA468" i="40"/>
  <c r="W468" i="40"/>
  <c r="CU468" i="40" s="1"/>
  <c r="S468" i="40"/>
  <c r="O468" i="40"/>
  <c r="CO468" i="40" s="1"/>
  <c r="K468" i="40"/>
  <c r="G468" i="40"/>
  <c r="AH468" i="40"/>
  <c r="AD468" i="40"/>
  <c r="Z468" i="40"/>
  <c r="V468" i="40"/>
  <c r="CT468" i="40" s="1"/>
  <c r="R468" i="40"/>
  <c r="N468" i="40"/>
  <c r="CN468" i="40" s="1"/>
  <c r="J468" i="40"/>
  <c r="F468" i="40"/>
  <c r="AG468" i="40"/>
  <c r="AC468" i="40"/>
  <c r="Y468" i="40"/>
  <c r="U468" i="40"/>
  <c r="CS468" i="40" s="1"/>
  <c r="Q468" i="40"/>
  <c r="M468" i="40"/>
  <c r="CM468" i="40" s="1"/>
  <c r="I468" i="40"/>
  <c r="E468" i="40"/>
  <c r="AJ468" i="40"/>
  <c r="T468" i="40"/>
  <c r="CR468" i="40" s="1"/>
  <c r="AF468" i="40"/>
  <c r="P468" i="40"/>
  <c r="AB468" i="40"/>
  <c r="L468" i="40"/>
  <c r="CL468" i="40" s="1"/>
  <c r="H468" i="40"/>
  <c r="X468" i="40"/>
  <c r="CP668" i="40"/>
  <c r="AN668" i="40"/>
  <c r="CQ567" i="40"/>
  <c r="AO567" i="40"/>
  <c r="AH269" i="40"/>
  <c r="AD269" i="40"/>
  <c r="Z269" i="40"/>
  <c r="V269" i="40"/>
  <c r="CT269" i="40" s="1"/>
  <c r="R269" i="40"/>
  <c r="N269" i="40"/>
  <c r="CN269" i="40" s="1"/>
  <c r="J269" i="40"/>
  <c r="F269" i="40"/>
  <c r="AJ269" i="40"/>
  <c r="AF269" i="40"/>
  <c r="AB269" i="40"/>
  <c r="X269" i="40"/>
  <c r="T269" i="40"/>
  <c r="CR269" i="40" s="1"/>
  <c r="P269" i="40"/>
  <c r="L269" i="40"/>
  <c r="CL269" i="40" s="1"/>
  <c r="H269" i="40"/>
  <c r="AC269" i="40"/>
  <c r="U269" i="40"/>
  <c r="CS269" i="40" s="1"/>
  <c r="M269" i="40"/>
  <c r="CM269" i="40" s="1"/>
  <c r="E269" i="40"/>
  <c r="AI269" i="40"/>
  <c r="AA269" i="40"/>
  <c r="S269" i="40"/>
  <c r="K269" i="40"/>
  <c r="AG269" i="40"/>
  <c r="Y269" i="40"/>
  <c r="Q269" i="40"/>
  <c r="I269" i="40"/>
  <c r="AE269" i="40"/>
  <c r="W269" i="40"/>
  <c r="CU269" i="40" s="1"/>
  <c r="O269" i="40"/>
  <c r="CO269" i="40" s="1"/>
  <c r="G269" i="40"/>
  <c r="I669" i="40"/>
  <c r="AJ669" i="40"/>
  <c r="AC669" i="40"/>
  <c r="JO669" i="40"/>
  <c r="AE669" i="40"/>
  <c r="JP669" i="40"/>
  <c r="AF669" i="40"/>
  <c r="CJ669" i="40"/>
  <c r="AI669" i="40"/>
  <c r="DU669" i="40"/>
  <c r="BU669" i="40"/>
  <c r="BE669" i="40"/>
  <c r="M669" i="40"/>
  <c r="CM669" i="40" s="1"/>
  <c r="CB669" i="40"/>
  <c r="BL669" i="40"/>
  <c r="AB669" i="40"/>
  <c r="CD669" i="40"/>
  <c r="AX669" i="40"/>
  <c r="BR669" i="40"/>
  <c r="K669" i="40"/>
  <c r="BC669" i="40"/>
  <c r="BW669" i="40"/>
  <c r="G669" i="40"/>
  <c r="CE669" i="40"/>
  <c r="CG669" i="40"/>
  <c r="BQ669" i="40"/>
  <c r="BA669" i="40"/>
  <c r="A669" i="40"/>
  <c r="BX669" i="40"/>
  <c r="BH669" i="40"/>
  <c r="P669" i="40"/>
  <c r="BV669" i="40"/>
  <c r="N669" i="40"/>
  <c r="CN669" i="40" s="1"/>
  <c r="BG669" i="40"/>
  <c r="C670" i="40"/>
  <c r="J669" i="40"/>
  <c r="BK669" i="40"/>
  <c r="DS669" i="40"/>
  <c r="BS669" i="40"/>
  <c r="H669" i="40"/>
  <c r="KN669" i="40"/>
  <c r="F669" i="40"/>
  <c r="CC669" i="40"/>
  <c r="BM669" i="40"/>
  <c r="AW669" i="40"/>
  <c r="DT669" i="40"/>
  <c r="BT669" i="40"/>
  <c r="BD669" i="40"/>
  <c r="L669" i="40"/>
  <c r="CL669" i="40" s="1"/>
  <c r="BN669" i="40"/>
  <c r="DM669" i="40"/>
  <c r="AH669" i="40"/>
  <c r="BZ669" i="40"/>
  <c r="DW669" i="40"/>
  <c r="BB669" i="40"/>
  <c r="BJ669" i="40"/>
  <c r="CF669" i="40"/>
  <c r="BF669" i="40"/>
  <c r="CH669" i="40"/>
  <c r="BO669" i="40"/>
  <c r="BY669" i="40"/>
  <c r="BP669" i="40"/>
  <c r="CA669" i="40"/>
  <c r="R669" i="40"/>
  <c r="AG669" i="40"/>
  <c r="BI669" i="40"/>
  <c r="AZ669" i="40"/>
  <c r="W669" i="40"/>
  <c r="CU669" i="40" s="1"/>
  <c r="O669" i="40"/>
  <c r="CO669" i="40" s="1"/>
  <c r="DV669" i="40"/>
  <c r="Z669" i="40"/>
  <c r="T669" i="40"/>
  <c r="CR669" i="40" s="1"/>
  <c r="V669" i="40"/>
  <c r="CT669" i="40" s="1"/>
  <c r="U669" i="40"/>
  <c r="CS669" i="40" s="1"/>
  <c r="X669" i="40"/>
  <c r="S669" i="40"/>
  <c r="Q669" i="40"/>
  <c r="AD669" i="40"/>
  <c r="AA669" i="40"/>
  <c r="E669" i="40"/>
  <c r="Y669" i="40"/>
  <c r="JJ166" i="40"/>
  <c r="JK166" i="40" s="1"/>
  <c r="JL166" i="40" s="1"/>
  <c r="AM467" i="40"/>
  <c r="CK467" i="40"/>
  <c r="BE468" i="40"/>
  <c r="BU468" i="40"/>
  <c r="DS468" i="40"/>
  <c r="BB468" i="40"/>
  <c r="BR468" i="40"/>
  <c r="CH468" i="40"/>
  <c r="BG468" i="40"/>
  <c r="BW468" i="40"/>
  <c r="DU468" i="40"/>
  <c r="BX468" i="40"/>
  <c r="BL468" i="40"/>
  <c r="JO468" i="40"/>
  <c r="IZ468" i="40"/>
  <c r="IY468" i="40"/>
  <c r="C469" i="40"/>
  <c r="BI468" i="40"/>
  <c r="BY468" i="40"/>
  <c r="DW468" i="40"/>
  <c r="BF468" i="40"/>
  <c r="BV468" i="40"/>
  <c r="DT468" i="40"/>
  <c r="BK468" i="40"/>
  <c r="CA468" i="40"/>
  <c r="A468" i="40"/>
  <c r="DV468" i="40"/>
  <c r="CB468" i="40"/>
  <c r="AZ468" i="40"/>
  <c r="BT468" i="40"/>
  <c r="HZ468" i="40"/>
  <c r="BM468" i="40"/>
  <c r="CC468" i="40"/>
  <c r="BJ468" i="40"/>
  <c r="BZ468" i="40"/>
  <c r="AX468" i="40"/>
  <c r="BO468" i="40"/>
  <c r="CE468" i="40"/>
  <c r="BD468" i="40"/>
  <c r="BP468" i="40"/>
  <c r="HY468" i="40"/>
  <c r="HY668" i="40" s="1"/>
  <c r="IX468" i="40"/>
  <c r="BA468" i="40"/>
  <c r="BQ468" i="40"/>
  <c r="CG468" i="40"/>
  <c r="AW468" i="40"/>
  <c r="BN468" i="40"/>
  <c r="CD468" i="40"/>
  <c r="BC468" i="40"/>
  <c r="BS468" i="40"/>
  <c r="CJ468" i="40"/>
  <c r="BH468" i="40"/>
  <c r="DM468" i="40"/>
  <c r="CF468" i="40"/>
  <c r="IA468" i="40"/>
  <c r="JP468" i="40"/>
  <c r="CP467" i="40"/>
  <c r="AN467" i="40"/>
  <c r="AO467" i="40"/>
  <c r="CQ467" i="40"/>
  <c r="CV467" i="40"/>
  <c r="AP467" i="40"/>
  <c r="AO268" i="40"/>
  <c r="CQ268" i="40"/>
  <c r="DB268" i="40"/>
  <c r="C270" i="40"/>
  <c r="BK269" i="40"/>
  <c r="CA269" i="40"/>
  <c r="A269" i="40"/>
  <c r="BL269" i="40"/>
  <c r="CB269" i="40"/>
  <c r="BM269" i="40"/>
  <c r="CC269" i="40"/>
  <c r="AW269" i="40"/>
  <c r="JO269" i="40"/>
  <c r="IZ269" i="40"/>
  <c r="JP269" i="40"/>
  <c r="AX269" i="40"/>
  <c r="BO269" i="40"/>
  <c r="CE269" i="40"/>
  <c r="AZ269" i="40"/>
  <c r="BP269" i="40"/>
  <c r="CF269" i="40"/>
  <c r="BA269" i="40"/>
  <c r="BQ269" i="40"/>
  <c r="CG269" i="40"/>
  <c r="BB269" i="40"/>
  <c r="BF269" i="40"/>
  <c r="BN269" i="40"/>
  <c r="HZ269" i="40"/>
  <c r="HY269" i="40"/>
  <c r="BC269" i="40"/>
  <c r="BS269" i="40"/>
  <c r="CJ269" i="40"/>
  <c r="BD269" i="40"/>
  <c r="BT269" i="40"/>
  <c r="DM269" i="40"/>
  <c r="BE269" i="40"/>
  <c r="BU269" i="40"/>
  <c r="DS269" i="40"/>
  <c r="BR269" i="40"/>
  <c r="BV269" i="40"/>
  <c r="BJ269" i="40"/>
  <c r="CD269" i="40"/>
  <c r="IA269" i="40"/>
  <c r="BW269" i="40"/>
  <c r="BH269" i="40"/>
  <c r="DV269" i="40"/>
  <c r="BI269" i="40"/>
  <c r="DW269" i="40"/>
  <c r="DT269" i="40"/>
  <c r="IX269" i="40"/>
  <c r="IY269" i="40"/>
  <c r="BG269" i="40"/>
  <c r="DU269" i="40"/>
  <c r="BX269" i="40"/>
  <c r="BY269" i="40"/>
  <c r="CH269" i="40"/>
  <c r="BZ269" i="40"/>
  <c r="CP268" i="40"/>
  <c r="AN268" i="40"/>
  <c r="CV268" i="40"/>
  <c r="CK268" i="40"/>
  <c r="AM268" i="40"/>
  <c r="AP268" i="40"/>
  <c r="HW167" i="40"/>
  <c r="IC167" i="40" s="1"/>
  <c r="IB166" i="40"/>
  <c r="IE166" i="40" s="1"/>
  <c r="HV167" i="40"/>
  <c r="HM168" i="40"/>
  <c r="HP168" i="40" s="1"/>
  <c r="ID167" i="40"/>
  <c r="CP168" i="40"/>
  <c r="HV168" i="40" s="1"/>
  <c r="AN168" i="40"/>
  <c r="IK169" i="40"/>
  <c r="IN169" i="40" s="1"/>
  <c r="II169" i="40"/>
  <c r="IL169" i="40" s="1"/>
  <c r="IJ169" i="40"/>
  <c r="IM169" i="40" s="1"/>
  <c r="JF169" i="40"/>
  <c r="HO169" i="40" s="1"/>
  <c r="HR169" i="40" s="1"/>
  <c r="C170" i="40"/>
  <c r="CL169" i="40"/>
  <c r="AW169" i="40"/>
  <c r="BB169" i="40"/>
  <c r="BF169" i="40"/>
  <c r="BJ169" i="40"/>
  <c r="BN169" i="40"/>
  <c r="BR169" i="40"/>
  <c r="BV169" i="40"/>
  <c r="BZ169" i="40"/>
  <c r="CD169" i="40"/>
  <c r="CH169" i="40"/>
  <c r="DT169" i="40"/>
  <c r="A169" i="40"/>
  <c r="AX169" i="40"/>
  <c r="BC169" i="40"/>
  <c r="BG169" i="40"/>
  <c r="BK169" i="40"/>
  <c r="BO169" i="40"/>
  <c r="BS169" i="40"/>
  <c r="BW169" i="40"/>
  <c r="CA169" i="40"/>
  <c r="CE169" i="40"/>
  <c r="CJ169" i="40"/>
  <c r="DU169" i="40"/>
  <c r="AZ169" i="40"/>
  <c r="BD169" i="40"/>
  <c r="BH169" i="40"/>
  <c r="BL169" i="40"/>
  <c r="BP169" i="40"/>
  <c r="BT169" i="40"/>
  <c r="BX169" i="40"/>
  <c r="CB169" i="40"/>
  <c r="CF169" i="40"/>
  <c r="DM169" i="40"/>
  <c r="DV169" i="40"/>
  <c r="BI169" i="40"/>
  <c r="BY169" i="40"/>
  <c r="DW169" i="40"/>
  <c r="BM169" i="40"/>
  <c r="CC169" i="40"/>
  <c r="BA169" i="40"/>
  <c r="BQ169" i="40"/>
  <c r="CG169" i="40"/>
  <c r="BE169" i="40"/>
  <c r="BU169" i="40"/>
  <c r="DS169" i="40"/>
  <c r="JO169" i="40"/>
  <c r="IX169" i="40"/>
  <c r="IZ169" i="40"/>
  <c r="HY169" i="40"/>
  <c r="HZ169" i="40"/>
  <c r="IA169" i="40"/>
  <c r="IY169" i="40"/>
  <c r="JP169" i="40"/>
  <c r="JG169" i="40"/>
  <c r="CQ368" i="40"/>
  <c r="AO368" i="40"/>
  <c r="CP368" i="40"/>
  <c r="AN368" i="40"/>
  <c r="CV168" i="40"/>
  <c r="AK168" i="40"/>
  <c r="AL168" i="40"/>
  <c r="IQ168" i="40"/>
  <c r="JC168" i="40" s="1"/>
  <c r="DB168" i="40"/>
  <c r="CK168" i="40"/>
  <c r="AM168" i="40"/>
  <c r="HS168" i="40"/>
  <c r="JR163" i="40"/>
  <c r="JT163" i="40"/>
  <c r="JX163" i="40" s="1"/>
  <c r="KQ163" i="40"/>
  <c r="KS163" i="40" s="1"/>
  <c r="JQ163" i="40"/>
  <c r="JU163" i="40" s="1"/>
  <c r="JV163" i="40" s="1"/>
  <c r="JW163" i="40" s="1"/>
  <c r="JS163" i="40"/>
  <c r="IE165" i="40"/>
  <c r="IG165" i="40"/>
  <c r="DB368" i="40"/>
  <c r="C370" i="40"/>
  <c r="A369" i="40"/>
  <c r="AZ369" i="40"/>
  <c r="BD369" i="40"/>
  <c r="BH369" i="40"/>
  <c r="BL369" i="40"/>
  <c r="BP369" i="40"/>
  <c r="BT369" i="40"/>
  <c r="BX369" i="40"/>
  <c r="CB369" i="40"/>
  <c r="CF369" i="40"/>
  <c r="DM369" i="40"/>
  <c r="DV369" i="40"/>
  <c r="BA369" i="40"/>
  <c r="BE369" i="40"/>
  <c r="BI369" i="40"/>
  <c r="BM369" i="40"/>
  <c r="BQ369" i="40"/>
  <c r="BU369" i="40"/>
  <c r="BY369" i="40"/>
  <c r="CC369" i="40"/>
  <c r="CG369" i="40"/>
  <c r="DS369" i="40"/>
  <c r="DW369" i="40"/>
  <c r="AW369" i="40"/>
  <c r="BB369" i="40"/>
  <c r="BF369" i="40"/>
  <c r="BJ369" i="40"/>
  <c r="BN369" i="40"/>
  <c r="BR369" i="40"/>
  <c r="BV369" i="40"/>
  <c r="BZ369" i="40"/>
  <c r="CD369" i="40"/>
  <c r="CH369" i="40"/>
  <c r="DT369" i="40"/>
  <c r="CL369" i="40"/>
  <c r="BK369" i="40"/>
  <c r="CA369" i="40"/>
  <c r="AX369" i="40"/>
  <c r="BO369" i="40"/>
  <c r="CE369" i="40"/>
  <c r="BC369" i="40"/>
  <c r="BS369" i="40"/>
  <c r="CJ369" i="40"/>
  <c r="BG369" i="40"/>
  <c r="BW369" i="40"/>
  <c r="JO369" i="40"/>
  <c r="DU369" i="40"/>
  <c r="IY369" i="40"/>
  <c r="HZ369" i="40"/>
  <c r="IZ369" i="40"/>
  <c r="IA369" i="40"/>
  <c r="HY369" i="40"/>
  <c r="IX369" i="40"/>
  <c r="JP369" i="40"/>
  <c r="AQ164" i="40"/>
  <c r="JD164" i="40"/>
  <c r="JS164" i="40" s="1"/>
  <c r="KP164" i="40"/>
  <c r="JM165" i="40"/>
  <c r="JI167" i="40"/>
  <c r="IO168" i="40"/>
  <c r="JA168" i="40" s="1"/>
  <c r="HR168" i="40"/>
  <c r="CV368" i="40"/>
  <c r="D167" i="40"/>
  <c r="AY167" i="40" s="1"/>
  <c r="IF165" i="40"/>
  <c r="HU168" i="40"/>
  <c r="AO168" i="40"/>
  <c r="CQ168" i="40"/>
  <c r="AP168" i="40"/>
  <c r="HN168" i="40"/>
  <c r="HQ168" i="40" s="1"/>
  <c r="IP168" i="40"/>
  <c r="JB168" i="40" s="1"/>
  <c r="HT168" i="40"/>
  <c r="JH167" i="40"/>
  <c r="KT111" i="40"/>
  <c r="KU110" i="40"/>
  <c r="I24" i="70" s="1"/>
  <c r="AP368" i="40"/>
  <c r="CK368" i="40"/>
  <c r="AM368" i="40"/>
  <c r="KJ164" i="40"/>
  <c r="KI164" i="40"/>
  <c r="KK164" i="40"/>
  <c r="KO164" i="40"/>
  <c r="CI353" i="40" l="1"/>
  <c r="CI552" i="40"/>
  <c r="CI652" i="40"/>
  <c r="CI169" i="40"/>
  <c r="CI253" i="40"/>
  <c r="DB468" i="40"/>
  <c r="IA668" i="40"/>
  <c r="IZ668" i="40" s="1"/>
  <c r="D168" i="40"/>
  <c r="AY168" i="40" s="1"/>
  <c r="HZ668" i="40"/>
  <c r="IY668" i="40" s="1"/>
  <c r="HX168" i="40"/>
  <c r="ID168" i="40" s="1"/>
  <c r="CV568" i="40"/>
  <c r="DB568" i="40"/>
  <c r="CK568" i="40"/>
  <c r="AM568" i="40"/>
  <c r="CV669" i="40"/>
  <c r="AN669" i="40"/>
  <c r="CP669" i="40"/>
  <c r="AJ370" i="40"/>
  <c r="AF370" i="40"/>
  <c r="AB370" i="40"/>
  <c r="X370" i="40"/>
  <c r="T370" i="40"/>
  <c r="P370" i="40"/>
  <c r="L370" i="40"/>
  <c r="CL370" i="40" s="1"/>
  <c r="H370" i="40"/>
  <c r="AI370" i="40"/>
  <c r="AE370" i="40"/>
  <c r="AA370" i="40"/>
  <c r="W370" i="40"/>
  <c r="CU370" i="40" s="1"/>
  <c r="S370" i="40"/>
  <c r="O370" i="40"/>
  <c r="CO370" i="40" s="1"/>
  <c r="K370" i="40"/>
  <c r="G370" i="40"/>
  <c r="AH370" i="40"/>
  <c r="AD370" i="40"/>
  <c r="Z370" i="40"/>
  <c r="V370" i="40"/>
  <c r="CT370" i="40" s="1"/>
  <c r="R370" i="40"/>
  <c r="N370" i="40"/>
  <c r="CN370" i="40" s="1"/>
  <c r="J370" i="40"/>
  <c r="F370" i="40"/>
  <c r="U370" i="40"/>
  <c r="E370" i="40"/>
  <c r="AG370" i="40"/>
  <c r="Q370" i="40"/>
  <c r="AC370" i="40"/>
  <c r="M370" i="40"/>
  <c r="CM370" i="40" s="1"/>
  <c r="I370" i="40"/>
  <c r="Y370" i="40"/>
  <c r="CQ669" i="40"/>
  <c r="AO669" i="40"/>
  <c r="CK669" i="40"/>
  <c r="AM669" i="40"/>
  <c r="CP568" i="40"/>
  <c r="AN568" i="40"/>
  <c r="AP568" i="40"/>
  <c r="AG170" i="40"/>
  <c r="AC170" i="40"/>
  <c r="Y170" i="40"/>
  <c r="U170" i="40"/>
  <c r="CS170" i="40" s="1"/>
  <c r="Q170" i="40"/>
  <c r="M170" i="40"/>
  <c r="CM170" i="40" s="1"/>
  <c r="I170" i="40"/>
  <c r="E170" i="40"/>
  <c r="AI170" i="40"/>
  <c r="AE170" i="40"/>
  <c r="AA170" i="40"/>
  <c r="W170" i="40"/>
  <c r="CU170" i="40" s="1"/>
  <c r="S170" i="40"/>
  <c r="O170" i="40"/>
  <c r="CO170" i="40" s="1"/>
  <c r="K170" i="40"/>
  <c r="G170" i="40"/>
  <c r="AF170" i="40"/>
  <c r="X170" i="40"/>
  <c r="P170" i="40"/>
  <c r="H170" i="40"/>
  <c r="R170" i="40"/>
  <c r="AD170" i="40"/>
  <c r="V170" i="40"/>
  <c r="CT170" i="40" s="1"/>
  <c r="N170" i="40"/>
  <c r="CN170" i="40" s="1"/>
  <c r="F170" i="40"/>
  <c r="Z170" i="40"/>
  <c r="AJ170" i="40"/>
  <c r="AB170" i="40"/>
  <c r="T170" i="40"/>
  <c r="CR170" i="40" s="1"/>
  <c r="L170" i="40"/>
  <c r="CL170" i="40" s="1"/>
  <c r="AH170" i="40"/>
  <c r="J170" i="40"/>
  <c r="AH270" i="40"/>
  <c r="AD270" i="40"/>
  <c r="Z270" i="40"/>
  <c r="V270" i="40"/>
  <c r="CT270" i="40" s="1"/>
  <c r="R270" i="40"/>
  <c r="N270" i="40"/>
  <c r="CN270" i="40" s="1"/>
  <c r="J270" i="40"/>
  <c r="F270" i="40"/>
  <c r="AG270" i="40"/>
  <c r="AJ270" i="40"/>
  <c r="AF270" i="40"/>
  <c r="AB270" i="40"/>
  <c r="X270" i="40"/>
  <c r="T270" i="40"/>
  <c r="CR270" i="40" s="1"/>
  <c r="P270" i="40"/>
  <c r="L270" i="40"/>
  <c r="CL270" i="40" s="1"/>
  <c r="H270" i="40"/>
  <c r="AC270" i="40"/>
  <c r="U270" i="40"/>
  <c r="CS270" i="40" s="1"/>
  <c r="M270" i="40"/>
  <c r="CM270" i="40" s="1"/>
  <c r="E270" i="40"/>
  <c r="AA270" i="40"/>
  <c r="S270" i="40"/>
  <c r="K270" i="40"/>
  <c r="AI270" i="40"/>
  <c r="Y270" i="40"/>
  <c r="Q270" i="40"/>
  <c r="I270" i="40"/>
  <c r="AE270" i="40"/>
  <c r="W270" i="40"/>
  <c r="CU270" i="40" s="1"/>
  <c r="O270" i="40"/>
  <c r="CO270" i="40" s="1"/>
  <c r="G270" i="40"/>
  <c r="AP669" i="40"/>
  <c r="DB669" i="40"/>
  <c r="AF670" i="40"/>
  <c r="JO670" i="40"/>
  <c r="H670" i="40"/>
  <c r="AI670" i="40"/>
  <c r="F670" i="40"/>
  <c r="CJ670" i="40"/>
  <c r="JP670" i="40"/>
  <c r="I670" i="40"/>
  <c r="AJ670" i="40"/>
  <c r="AC670" i="40"/>
  <c r="KN670" i="40"/>
  <c r="DM670" i="40"/>
  <c r="BV670" i="40"/>
  <c r="BF670" i="40"/>
  <c r="DS670" i="40"/>
  <c r="BM670" i="40"/>
  <c r="N670" i="40"/>
  <c r="CN670" i="40" s="1"/>
  <c r="CB670" i="40"/>
  <c r="BG670" i="40"/>
  <c r="W670" i="40"/>
  <c r="CU670" i="40" s="1"/>
  <c r="CE670" i="40"/>
  <c r="G670" i="40"/>
  <c r="P670" i="40"/>
  <c r="CF670" i="40"/>
  <c r="AZ670" i="40"/>
  <c r="CH670" i="40"/>
  <c r="BR670" i="40"/>
  <c r="BB670" i="40"/>
  <c r="CC670" i="40"/>
  <c r="BH670" i="40"/>
  <c r="J670" i="40"/>
  <c r="BW670" i="40"/>
  <c r="BA670" i="40"/>
  <c r="M670" i="40"/>
  <c r="CM670" i="40" s="1"/>
  <c r="BT670" i="40"/>
  <c r="DU670" i="40"/>
  <c r="BU670" i="40"/>
  <c r="BP670" i="40"/>
  <c r="CA670" i="40"/>
  <c r="AE670" i="40"/>
  <c r="C671" i="40"/>
  <c r="CD670" i="40"/>
  <c r="BN670" i="40"/>
  <c r="AX670" i="40"/>
  <c r="BX670" i="40"/>
  <c r="BC670" i="40"/>
  <c r="DW670" i="40"/>
  <c r="BQ670" i="40"/>
  <c r="AG670" i="40"/>
  <c r="A670" i="40"/>
  <c r="BI670" i="40"/>
  <c r="BY670" i="40"/>
  <c r="BE670" i="40"/>
  <c r="BD670" i="40"/>
  <c r="BO670" i="40"/>
  <c r="BZ670" i="40"/>
  <c r="AW670" i="40"/>
  <c r="DT670" i="40"/>
  <c r="K670" i="40"/>
  <c r="BS670" i="40"/>
  <c r="BJ670" i="40"/>
  <c r="CG670" i="40"/>
  <c r="O670" i="40"/>
  <c r="CO670" i="40" s="1"/>
  <c r="DV670" i="40"/>
  <c r="L670" i="40"/>
  <c r="CL670" i="40" s="1"/>
  <c r="R670" i="40"/>
  <c r="BL670" i="40"/>
  <c r="BK670" i="40"/>
  <c r="AB670" i="40"/>
  <c r="AH670" i="40"/>
  <c r="Z670" i="40"/>
  <c r="T670" i="40"/>
  <c r="CR670" i="40" s="1"/>
  <c r="V670" i="40"/>
  <c r="CT670" i="40" s="1"/>
  <c r="Q670" i="40"/>
  <c r="U670" i="40"/>
  <c r="CS670" i="40" s="1"/>
  <c r="X670" i="40"/>
  <c r="S670" i="40"/>
  <c r="AA670" i="40"/>
  <c r="AD670" i="40"/>
  <c r="E670" i="40"/>
  <c r="Y670" i="40"/>
  <c r="AI569" i="40"/>
  <c r="AE569" i="40"/>
  <c r="AA569" i="40"/>
  <c r="W569" i="40"/>
  <c r="CU569" i="40" s="1"/>
  <c r="S569" i="40"/>
  <c r="O569" i="40"/>
  <c r="CO569" i="40" s="1"/>
  <c r="K569" i="40"/>
  <c r="G569" i="40"/>
  <c r="AH569" i="40"/>
  <c r="AD569" i="40"/>
  <c r="Z569" i="40"/>
  <c r="V569" i="40"/>
  <c r="CT569" i="40" s="1"/>
  <c r="R569" i="40"/>
  <c r="N569" i="40"/>
  <c r="CN569" i="40" s="1"/>
  <c r="J569" i="40"/>
  <c r="F569" i="40"/>
  <c r="AF569" i="40"/>
  <c r="X569" i="40"/>
  <c r="P569" i="40"/>
  <c r="H569" i="40"/>
  <c r="AC569" i="40"/>
  <c r="U569" i="40"/>
  <c r="CS569" i="40" s="1"/>
  <c r="M569" i="40"/>
  <c r="CM569" i="40" s="1"/>
  <c r="E569" i="40"/>
  <c r="AJ569" i="40"/>
  <c r="AB569" i="40"/>
  <c r="T569" i="40"/>
  <c r="CR569" i="40" s="1"/>
  <c r="L569" i="40"/>
  <c r="CL569" i="40" s="1"/>
  <c r="Y569" i="40"/>
  <c r="Q569" i="40"/>
  <c r="I569" i="40"/>
  <c r="AG569" i="40"/>
  <c r="C570" i="40"/>
  <c r="BJ569" i="40"/>
  <c r="BZ569" i="40"/>
  <c r="BG569" i="40"/>
  <c r="BW569" i="40"/>
  <c r="DU569" i="40"/>
  <c r="BD569" i="40"/>
  <c r="BT569" i="40"/>
  <c r="DM569" i="40"/>
  <c r="DS569" i="40"/>
  <c r="DW569" i="40"/>
  <c r="CC569" i="40"/>
  <c r="HY569" i="40"/>
  <c r="IY569" i="40"/>
  <c r="AW569" i="40"/>
  <c r="BN569" i="40"/>
  <c r="CD569" i="40"/>
  <c r="BK569" i="40"/>
  <c r="CA569" i="40"/>
  <c r="A569" i="40"/>
  <c r="BH569" i="40"/>
  <c r="BX569" i="40"/>
  <c r="DV569" i="40"/>
  <c r="CG569" i="40"/>
  <c r="BQ569" i="40"/>
  <c r="BA569" i="40"/>
  <c r="IA569" i="40"/>
  <c r="JP569" i="40"/>
  <c r="BB569" i="40"/>
  <c r="BR569" i="40"/>
  <c r="CH569" i="40"/>
  <c r="AX569" i="40"/>
  <c r="BO569" i="40"/>
  <c r="CE569" i="40"/>
  <c r="BL569" i="40"/>
  <c r="CB569" i="40"/>
  <c r="BE569" i="40"/>
  <c r="BI569" i="40"/>
  <c r="JO569" i="40"/>
  <c r="IZ569" i="40"/>
  <c r="BF569" i="40"/>
  <c r="BV569" i="40"/>
  <c r="DT569" i="40"/>
  <c r="BC569" i="40"/>
  <c r="BS569" i="40"/>
  <c r="CJ569" i="40"/>
  <c r="AZ569" i="40"/>
  <c r="BP569" i="40"/>
  <c r="CF569" i="40"/>
  <c r="BU569" i="40"/>
  <c r="BY569" i="40"/>
  <c r="BM569" i="40"/>
  <c r="HZ569" i="40"/>
  <c r="IX569" i="40"/>
  <c r="CQ568" i="40"/>
  <c r="AO568" i="40"/>
  <c r="IX668" i="40"/>
  <c r="AI469" i="40"/>
  <c r="AE469" i="40"/>
  <c r="AA469" i="40"/>
  <c r="W469" i="40"/>
  <c r="CU469" i="40" s="1"/>
  <c r="S469" i="40"/>
  <c r="O469" i="40"/>
  <c r="CO469" i="40" s="1"/>
  <c r="K469" i="40"/>
  <c r="G469" i="40"/>
  <c r="AH469" i="40"/>
  <c r="AD469" i="40"/>
  <c r="Z469" i="40"/>
  <c r="V469" i="40"/>
  <c r="CT469" i="40" s="1"/>
  <c r="R469" i="40"/>
  <c r="N469" i="40"/>
  <c r="CN469" i="40" s="1"/>
  <c r="J469" i="40"/>
  <c r="F469" i="40"/>
  <c r="AG469" i="40"/>
  <c r="AC469" i="40"/>
  <c r="Y469" i="40"/>
  <c r="U469" i="40"/>
  <c r="CS469" i="40" s="1"/>
  <c r="Q469" i="40"/>
  <c r="M469" i="40"/>
  <c r="CM469" i="40" s="1"/>
  <c r="I469" i="40"/>
  <c r="E469" i="40"/>
  <c r="AJ469" i="40"/>
  <c r="T469" i="40"/>
  <c r="CR469" i="40" s="1"/>
  <c r="AF469" i="40"/>
  <c r="P469" i="40"/>
  <c r="AB469" i="40"/>
  <c r="L469" i="40"/>
  <c r="CL469" i="40" s="1"/>
  <c r="X469" i="40"/>
  <c r="H469" i="40"/>
  <c r="HW168" i="40"/>
  <c r="IC168" i="40" s="1"/>
  <c r="IG166" i="40"/>
  <c r="W34" i="58" s="1"/>
  <c r="W35" i="58" s="1"/>
  <c r="IF166" i="40"/>
  <c r="CK468" i="40"/>
  <c r="AM468" i="40"/>
  <c r="AP468" i="40"/>
  <c r="C470" i="40"/>
  <c r="BK469" i="40"/>
  <c r="CA469" i="40"/>
  <c r="A469" i="40"/>
  <c r="BL469" i="40"/>
  <c r="CB469" i="40"/>
  <c r="BM469" i="40"/>
  <c r="CC469" i="40"/>
  <c r="BJ469" i="40"/>
  <c r="BB469" i="40"/>
  <c r="HZ469" i="40"/>
  <c r="JP469" i="40"/>
  <c r="AX469" i="40"/>
  <c r="BO469" i="40"/>
  <c r="CE469" i="40"/>
  <c r="AZ469" i="40"/>
  <c r="BP469" i="40"/>
  <c r="CF469" i="40"/>
  <c r="BA469" i="40"/>
  <c r="BQ469" i="40"/>
  <c r="CG469" i="40"/>
  <c r="BF469" i="40"/>
  <c r="CH469" i="40"/>
  <c r="BZ469" i="40"/>
  <c r="AW469" i="40"/>
  <c r="IZ469" i="40"/>
  <c r="BC469" i="40"/>
  <c r="BS469" i="40"/>
  <c r="CJ469" i="40"/>
  <c r="BD469" i="40"/>
  <c r="BT469" i="40"/>
  <c r="DM469" i="40"/>
  <c r="BE469" i="40"/>
  <c r="BU469" i="40"/>
  <c r="DS469" i="40"/>
  <c r="BV469" i="40"/>
  <c r="BR469" i="40"/>
  <c r="BN469" i="40"/>
  <c r="HY469" i="40"/>
  <c r="IY469" i="40"/>
  <c r="BG469" i="40"/>
  <c r="BW469" i="40"/>
  <c r="DU469" i="40"/>
  <c r="BH469" i="40"/>
  <c r="BX469" i="40"/>
  <c r="DV469" i="40"/>
  <c r="BI469" i="40"/>
  <c r="BY469" i="40"/>
  <c r="DW469" i="40"/>
  <c r="DT469" i="40"/>
  <c r="JO469" i="40"/>
  <c r="CD469" i="40"/>
  <c r="IA469" i="40"/>
  <c r="IX469" i="40"/>
  <c r="CP468" i="40"/>
  <c r="AN468" i="40"/>
  <c r="AO468" i="40"/>
  <c r="CQ468" i="40"/>
  <c r="CV468" i="40"/>
  <c r="AP269" i="40"/>
  <c r="BE270" i="40"/>
  <c r="BU270" i="40"/>
  <c r="DS270" i="40"/>
  <c r="BB270" i="40"/>
  <c r="BR270" i="40"/>
  <c r="CH270" i="40"/>
  <c r="BG270" i="40"/>
  <c r="BW270" i="40"/>
  <c r="DU270" i="40"/>
  <c r="CF270" i="40"/>
  <c r="DM270" i="40"/>
  <c r="BX270" i="40"/>
  <c r="IA270" i="40"/>
  <c r="HZ270" i="40"/>
  <c r="IY270" i="40"/>
  <c r="C271" i="40"/>
  <c r="BI270" i="40"/>
  <c r="BY270" i="40"/>
  <c r="DW270" i="40"/>
  <c r="BF270" i="40"/>
  <c r="BV270" i="40"/>
  <c r="DT270" i="40"/>
  <c r="BK270" i="40"/>
  <c r="CA270" i="40"/>
  <c r="A270" i="40"/>
  <c r="DV270" i="40"/>
  <c r="JO270" i="40"/>
  <c r="HY270" i="40"/>
  <c r="JP270" i="40"/>
  <c r="BM270" i="40"/>
  <c r="CC270" i="40"/>
  <c r="BJ270" i="40"/>
  <c r="BZ270" i="40"/>
  <c r="AX270" i="40"/>
  <c r="BO270" i="40"/>
  <c r="CE270" i="40"/>
  <c r="AZ270" i="40"/>
  <c r="BD270" i="40"/>
  <c r="BL270" i="40"/>
  <c r="IZ270" i="40"/>
  <c r="BA270" i="40"/>
  <c r="BQ270" i="40"/>
  <c r="CG270" i="40"/>
  <c r="AW270" i="40"/>
  <c r="BN270" i="40"/>
  <c r="CD270" i="40"/>
  <c r="BC270" i="40"/>
  <c r="BS270" i="40"/>
  <c r="CJ270" i="40"/>
  <c r="BP270" i="40"/>
  <c r="BT270" i="40"/>
  <c r="BH270" i="40"/>
  <c r="CB270" i="40"/>
  <c r="IX270" i="40"/>
  <c r="CV269" i="40"/>
  <c r="JJ167" i="40"/>
  <c r="JK167" i="40" s="1"/>
  <c r="JL167" i="40" s="1"/>
  <c r="AM269" i="40"/>
  <c r="CK269" i="40"/>
  <c r="AO269" i="40"/>
  <c r="CQ269" i="40"/>
  <c r="CP269" i="40"/>
  <c r="AN269" i="40"/>
  <c r="DB269" i="40"/>
  <c r="HM169" i="40"/>
  <c r="HP169" i="40" s="1"/>
  <c r="IB167" i="40"/>
  <c r="IF167" i="40" s="1"/>
  <c r="HN169" i="40"/>
  <c r="HQ169" i="40" s="1"/>
  <c r="DB169" i="40"/>
  <c r="IO169" i="40"/>
  <c r="JA169" i="40" s="1"/>
  <c r="AQ165" i="40"/>
  <c r="KT112" i="40"/>
  <c r="KU111" i="40"/>
  <c r="CP369" i="40"/>
  <c r="AN369" i="40"/>
  <c r="CK369" i="40"/>
  <c r="AM369" i="40"/>
  <c r="JD165" i="40"/>
  <c r="JS165" i="40" s="1"/>
  <c r="KP165" i="40"/>
  <c r="CP169" i="40"/>
  <c r="HW169" i="40" s="1"/>
  <c r="AN169" i="40"/>
  <c r="CK169" i="40"/>
  <c r="AM169" i="40"/>
  <c r="HS169" i="40"/>
  <c r="JI168" i="40"/>
  <c r="DB369" i="40"/>
  <c r="C371" i="40"/>
  <c r="AW370" i="40"/>
  <c r="BB370" i="40"/>
  <c r="BF370" i="40"/>
  <c r="BJ370" i="40"/>
  <c r="BN370" i="40"/>
  <c r="BR370" i="40"/>
  <c r="BV370" i="40"/>
  <c r="BZ370" i="40"/>
  <c r="CD370" i="40"/>
  <c r="CH370" i="40"/>
  <c r="DT370" i="40"/>
  <c r="AX370" i="40"/>
  <c r="BC370" i="40"/>
  <c r="BG370" i="40"/>
  <c r="BK370" i="40"/>
  <c r="BO370" i="40"/>
  <c r="BS370" i="40"/>
  <c r="BW370" i="40"/>
  <c r="CA370" i="40"/>
  <c r="CE370" i="40"/>
  <c r="CJ370" i="40"/>
  <c r="DU370" i="40"/>
  <c r="A370" i="40"/>
  <c r="AZ370" i="40"/>
  <c r="BD370" i="40"/>
  <c r="BH370" i="40"/>
  <c r="BL370" i="40"/>
  <c r="BP370" i="40"/>
  <c r="BT370" i="40"/>
  <c r="BX370" i="40"/>
  <c r="CB370" i="40"/>
  <c r="CF370" i="40"/>
  <c r="DM370" i="40"/>
  <c r="DV370" i="40"/>
  <c r="BI370" i="40"/>
  <c r="BY370" i="40"/>
  <c r="DW370" i="40"/>
  <c r="BM370" i="40"/>
  <c r="CC370" i="40"/>
  <c r="BA370" i="40"/>
  <c r="BQ370" i="40"/>
  <c r="CG370" i="40"/>
  <c r="BE370" i="40"/>
  <c r="BU370" i="40"/>
  <c r="JO370" i="40"/>
  <c r="DS370" i="40"/>
  <c r="IY370" i="40"/>
  <c r="HY370" i="40"/>
  <c r="IX370" i="40"/>
  <c r="IZ370" i="40"/>
  <c r="IA370" i="40"/>
  <c r="HZ370" i="40"/>
  <c r="CR370" i="40"/>
  <c r="CS370" i="40"/>
  <c r="JP370" i="40"/>
  <c r="CQ169" i="40"/>
  <c r="AO169" i="40"/>
  <c r="IQ169" i="40"/>
  <c r="JC169" i="40" s="1"/>
  <c r="IK170" i="40"/>
  <c r="IN170" i="40" s="1"/>
  <c r="IJ170" i="40"/>
  <c r="IM170" i="40" s="1"/>
  <c r="JF170" i="40"/>
  <c r="HO170" i="40" s="1"/>
  <c r="II170" i="40"/>
  <c r="IL170" i="40" s="1"/>
  <c r="C171" i="40"/>
  <c r="A170" i="40"/>
  <c r="AW170" i="40"/>
  <c r="BB170" i="40"/>
  <c r="BF170" i="40"/>
  <c r="BJ170" i="40"/>
  <c r="BN170" i="40"/>
  <c r="BR170" i="40"/>
  <c r="BV170" i="40"/>
  <c r="BZ170" i="40"/>
  <c r="CD170" i="40"/>
  <c r="CH170" i="40"/>
  <c r="DM170" i="40"/>
  <c r="DV170" i="40"/>
  <c r="AX170" i="40"/>
  <c r="BC170" i="40"/>
  <c r="BG170" i="40"/>
  <c r="BK170" i="40"/>
  <c r="BO170" i="40"/>
  <c r="BS170" i="40"/>
  <c r="BW170" i="40"/>
  <c r="CA170" i="40"/>
  <c r="CE170" i="40"/>
  <c r="CJ170" i="40"/>
  <c r="DS170" i="40"/>
  <c r="DW170" i="40"/>
  <c r="AZ170" i="40"/>
  <c r="BD170" i="40"/>
  <c r="BH170" i="40"/>
  <c r="BL170" i="40"/>
  <c r="BP170" i="40"/>
  <c r="BT170" i="40"/>
  <c r="BX170" i="40"/>
  <c r="CB170" i="40"/>
  <c r="CF170" i="40"/>
  <c r="DT170" i="40"/>
  <c r="BA170" i="40"/>
  <c r="BQ170" i="40"/>
  <c r="CG170" i="40"/>
  <c r="BE170" i="40"/>
  <c r="BU170" i="40"/>
  <c r="BI170" i="40"/>
  <c r="BY170" i="40"/>
  <c r="DU170" i="40"/>
  <c r="CC170" i="40"/>
  <c r="BM170" i="40"/>
  <c r="JO170" i="40"/>
  <c r="IZ170" i="40"/>
  <c r="IA170" i="40"/>
  <c r="HY170" i="40"/>
  <c r="IX170" i="40"/>
  <c r="HZ170" i="40"/>
  <c r="IY170" i="40"/>
  <c r="JP170" i="40"/>
  <c r="JG170" i="40"/>
  <c r="HU169" i="40"/>
  <c r="JM166" i="40"/>
  <c r="KJ165" i="40"/>
  <c r="KI165" i="40"/>
  <c r="KK165" i="40"/>
  <c r="KO165" i="40"/>
  <c r="JR164" i="40"/>
  <c r="JT164" i="40"/>
  <c r="JX164" i="40" s="1"/>
  <c r="KQ164" i="40"/>
  <c r="KS164" i="40" s="1"/>
  <c r="JQ164" i="40"/>
  <c r="JU164" i="40" s="1"/>
  <c r="JV164" i="40" s="1"/>
  <c r="JW164" i="40" s="1"/>
  <c r="CV369" i="40"/>
  <c r="AP369" i="40"/>
  <c r="CV169" i="40"/>
  <c r="AL169" i="40"/>
  <c r="AK169" i="40"/>
  <c r="J46" i="58" s="1"/>
  <c r="J47" i="58" s="1"/>
  <c r="M46" i="58"/>
  <c r="M47" i="58" s="1"/>
  <c r="IP169" i="40"/>
  <c r="JB169" i="40" s="1"/>
  <c r="KR164" i="40"/>
  <c r="CQ369" i="40"/>
  <c r="AO369" i="40"/>
  <c r="AP169" i="40"/>
  <c r="G46" i="58" s="1"/>
  <c r="L46" i="58"/>
  <c r="L47" i="58" s="1"/>
  <c r="HT169" i="40"/>
  <c r="JH168" i="40"/>
  <c r="CI454" i="40" l="1"/>
  <c r="CI170" i="40"/>
  <c r="CI553" i="40"/>
  <c r="CI254" i="40"/>
  <c r="CI653" i="40"/>
  <c r="CI354" i="40"/>
  <c r="DB270" i="40"/>
  <c r="HY669" i="40"/>
  <c r="IX669" i="40" s="1"/>
  <c r="AP469" i="40"/>
  <c r="HZ669" i="40"/>
  <c r="IY669" i="40" s="1"/>
  <c r="JJ168" i="40"/>
  <c r="JK168" i="40" s="1"/>
  <c r="JL168" i="40" s="1"/>
  <c r="AQ166" i="40"/>
  <c r="DB469" i="40"/>
  <c r="IA669" i="40"/>
  <c r="IZ669" i="40" s="1"/>
  <c r="DB569" i="40"/>
  <c r="AP670" i="40"/>
  <c r="CV270" i="40"/>
  <c r="JD166" i="40"/>
  <c r="JR166" i="40" s="1"/>
  <c r="CK569" i="40"/>
  <c r="AM569" i="40"/>
  <c r="AG171" i="40"/>
  <c r="AC171" i="40"/>
  <c r="Y171" i="40"/>
  <c r="U171" i="40"/>
  <c r="CS171" i="40" s="1"/>
  <c r="Q171" i="40"/>
  <c r="M171" i="40"/>
  <c r="CM171" i="40" s="1"/>
  <c r="I171" i="40"/>
  <c r="E171" i="40"/>
  <c r="AI171" i="40"/>
  <c r="AE171" i="40"/>
  <c r="AA171" i="40"/>
  <c r="W171" i="40"/>
  <c r="CU171" i="40" s="1"/>
  <c r="S171" i="40"/>
  <c r="O171" i="40"/>
  <c r="CO171" i="40" s="1"/>
  <c r="K171" i="40"/>
  <c r="G171" i="40"/>
  <c r="AF171" i="40"/>
  <c r="X171" i="40"/>
  <c r="P171" i="40"/>
  <c r="H171" i="40"/>
  <c r="AH171" i="40"/>
  <c r="R171" i="40"/>
  <c r="AD171" i="40"/>
  <c r="V171" i="40"/>
  <c r="CT171" i="40" s="1"/>
  <c r="N171" i="40"/>
  <c r="CN171" i="40" s="1"/>
  <c r="F171" i="40"/>
  <c r="J171" i="40"/>
  <c r="AJ171" i="40"/>
  <c r="AB171" i="40"/>
  <c r="T171" i="40"/>
  <c r="CR171" i="40" s="1"/>
  <c r="L171" i="40"/>
  <c r="Z171" i="40"/>
  <c r="AJ371" i="40"/>
  <c r="AF371" i="40"/>
  <c r="AB371" i="40"/>
  <c r="X371" i="40"/>
  <c r="T371" i="40"/>
  <c r="CR371" i="40" s="1"/>
  <c r="P371" i="40"/>
  <c r="L371" i="40"/>
  <c r="CL371" i="40" s="1"/>
  <c r="H371" i="40"/>
  <c r="AI371" i="40"/>
  <c r="AE371" i="40"/>
  <c r="AA371" i="40"/>
  <c r="CI455" i="40" s="1"/>
  <c r="W371" i="40"/>
  <c r="CU371" i="40" s="1"/>
  <c r="S371" i="40"/>
  <c r="O371" i="40"/>
  <c r="CO371" i="40" s="1"/>
  <c r="K371" i="40"/>
  <c r="G371" i="40"/>
  <c r="AH371" i="40"/>
  <c r="AD371" i="40"/>
  <c r="Z371" i="40"/>
  <c r="V371" i="40"/>
  <c r="CT371" i="40" s="1"/>
  <c r="R371" i="40"/>
  <c r="N371" i="40"/>
  <c r="CN371" i="40" s="1"/>
  <c r="J371" i="40"/>
  <c r="F371" i="40"/>
  <c r="U371" i="40"/>
  <c r="CS371" i="40" s="1"/>
  <c r="E371" i="40"/>
  <c r="AG371" i="40"/>
  <c r="Q371" i="40"/>
  <c r="AC371" i="40"/>
  <c r="M371" i="40"/>
  <c r="CM371" i="40" s="1"/>
  <c r="Y371" i="40"/>
  <c r="I371" i="40"/>
  <c r="CP569" i="40"/>
  <c r="AN569" i="40"/>
  <c r="AP569" i="40"/>
  <c r="DB670" i="40"/>
  <c r="CK670" i="40"/>
  <c r="AM670" i="40"/>
  <c r="AI470" i="40"/>
  <c r="AE470" i="40"/>
  <c r="AA470" i="40"/>
  <c r="W470" i="40"/>
  <c r="CU470" i="40" s="1"/>
  <c r="S470" i="40"/>
  <c r="O470" i="40"/>
  <c r="CO470" i="40" s="1"/>
  <c r="K470" i="40"/>
  <c r="G470" i="40"/>
  <c r="AH470" i="40"/>
  <c r="AD470" i="40"/>
  <c r="Z470" i="40"/>
  <c r="V470" i="40"/>
  <c r="CT470" i="40" s="1"/>
  <c r="R470" i="40"/>
  <c r="N470" i="40"/>
  <c r="J470" i="40"/>
  <c r="F470" i="40"/>
  <c r="AG470" i="40"/>
  <c r="AC470" i="40"/>
  <c r="Y470" i="40"/>
  <c r="U470" i="40"/>
  <c r="CS470" i="40" s="1"/>
  <c r="Q470" i="40"/>
  <c r="M470" i="40"/>
  <c r="CM470" i="40" s="1"/>
  <c r="I470" i="40"/>
  <c r="E470" i="40"/>
  <c r="AJ470" i="40"/>
  <c r="T470" i="40"/>
  <c r="CR470" i="40" s="1"/>
  <c r="AF470" i="40"/>
  <c r="P470" i="40"/>
  <c r="AB470" i="40"/>
  <c r="L470" i="40"/>
  <c r="CL470" i="40" s="1"/>
  <c r="H470" i="40"/>
  <c r="X470" i="40"/>
  <c r="AI570" i="40"/>
  <c r="AE570" i="40"/>
  <c r="AA570" i="40"/>
  <c r="W570" i="40"/>
  <c r="CU570" i="40" s="1"/>
  <c r="S570" i="40"/>
  <c r="O570" i="40"/>
  <c r="CO570" i="40" s="1"/>
  <c r="K570" i="40"/>
  <c r="G570" i="40"/>
  <c r="AH570" i="40"/>
  <c r="AD570" i="40"/>
  <c r="Z570" i="40"/>
  <c r="V570" i="40"/>
  <c r="CT570" i="40" s="1"/>
  <c r="R570" i="40"/>
  <c r="N570" i="40"/>
  <c r="CN570" i="40" s="1"/>
  <c r="J570" i="40"/>
  <c r="F570" i="40"/>
  <c r="AG570" i="40"/>
  <c r="AC570" i="40"/>
  <c r="Y570" i="40"/>
  <c r="X570" i="40"/>
  <c r="P570" i="40"/>
  <c r="H570" i="40"/>
  <c r="AJ570" i="40"/>
  <c r="U570" i="40"/>
  <c r="CS570" i="40" s="1"/>
  <c r="M570" i="40"/>
  <c r="CM570" i="40" s="1"/>
  <c r="E570" i="40"/>
  <c r="AF570" i="40"/>
  <c r="T570" i="40"/>
  <c r="CR570" i="40" s="1"/>
  <c r="L570" i="40"/>
  <c r="CL570" i="40" s="1"/>
  <c r="AB570" i="40"/>
  <c r="Q570" i="40"/>
  <c r="I570" i="40"/>
  <c r="BL570" i="40"/>
  <c r="CB570" i="40"/>
  <c r="BM570" i="40"/>
  <c r="CC570" i="40"/>
  <c r="AW570" i="40"/>
  <c r="BN570" i="40"/>
  <c r="CD570" i="40"/>
  <c r="BS570" i="40"/>
  <c r="CE570" i="40"/>
  <c r="AX570" i="40"/>
  <c r="JP570" i="40"/>
  <c r="AZ570" i="40"/>
  <c r="CF570" i="40"/>
  <c r="BA570" i="40"/>
  <c r="CG570" i="40"/>
  <c r="BB570" i="40"/>
  <c r="CH570" i="40"/>
  <c r="BG570" i="40"/>
  <c r="IA570" i="40"/>
  <c r="BX570" i="40"/>
  <c r="BY570" i="40"/>
  <c r="BJ570" i="40"/>
  <c r="BC570" i="40"/>
  <c r="DU570" i="40"/>
  <c r="HY570" i="40"/>
  <c r="BP570" i="40"/>
  <c r="BQ570" i="40"/>
  <c r="BR570" i="40"/>
  <c r="CJ570" i="40"/>
  <c r="IZ570" i="40"/>
  <c r="C571" i="40"/>
  <c r="BD570" i="40"/>
  <c r="BT570" i="40"/>
  <c r="DM570" i="40"/>
  <c r="BE570" i="40"/>
  <c r="BU570" i="40"/>
  <c r="DS570" i="40"/>
  <c r="BF570" i="40"/>
  <c r="BV570" i="40"/>
  <c r="DT570" i="40"/>
  <c r="JO570" i="40"/>
  <c r="BW570" i="40"/>
  <c r="BK570" i="40"/>
  <c r="HZ570" i="40"/>
  <c r="IY570" i="40"/>
  <c r="A570" i="40"/>
  <c r="BH570" i="40"/>
  <c r="DV570" i="40"/>
  <c r="BI570" i="40"/>
  <c r="DW570" i="40"/>
  <c r="BZ570" i="40"/>
  <c r="BO570" i="40"/>
  <c r="CA570" i="40"/>
  <c r="IX570" i="40"/>
  <c r="CV569" i="40"/>
  <c r="AO569" i="40"/>
  <c r="CQ569" i="40"/>
  <c r="CP670" i="40"/>
  <c r="AN670" i="40"/>
  <c r="AH271" i="40"/>
  <c r="AD271" i="40"/>
  <c r="Z271" i="40"/>
  <c r="V271" i="40"/>
  <c r="CT271" i="40" s="1"/>
  <c r="R271" i="40"/>
  <c r="N271" i="40"/>
  <c r="CN271" i="40" s="1"/>
  <c r="J271" i="40"/>
  <c r="F271" i="40"/>
  <c r="AG271" i="40"/>
  <c r="AC271" i="40"/>
  <c r="Y271" i="40"/>
  <c r="U271" i="40"/>
  <c r="CS271" i="40" s="1"/>
  <c r="Q271" i="40"/>
  <c r="M271" i="40"/>
  <c r="CM271" i="40" s="1"/>
  <c r="I271" i="40"/>
  <c r="E271" i="40"/>
  <c r="AJ271" i="40"/>
  <c r="AF271" i="40"/>
  <c r="AB271" i="40"/>
  <c r="X271" i="40"/>
  <c r="T271" i="40"/>
  <c r="CR271" i="40" s="1"/>
  <c r="P271" i="40"/>
  <c r="L271" i="40"/>
  <c r="CL271" i="40" s="1"/>
  <c r="H271" i="40"/>
  <c r="AA271" i="40"/>
  <c r="K271" i="40"/>
  <c r="W271" i="40"/>
  <c r="CU271" i="40" s="1"/>
  <c r="G271" i="40"/>
  <c r="AI271" i="40"/>
  <c r="S271" i="40"/>
  <c r="AE271" i="40"/>
  <c r="O271" i="40"/>
  <c r="CO271" i="40" s="1"/>
  <c r="CV670" i="40"/>
  <c r="CQ670" i="40"/>
  <c r="AO670" i="40"/>
  <c r="I671" i="40"/>
  <c r="AJ671" i="40"/>
  <c r="AC671" i="40"/>
  <c r="CJ671" i="40"/>
  <c r="JO671" i="40"/>
  <c r="AE671" i="40"/>
  <c r="JP671" i="40"/>
  <c r="AF671" i="40"/>
  <c r="H671" i="40"/>
  <c r="DS671" i="40"/>
  <c r="BS671" i="40"/>
  <c r="BC671" i="40"/>
  <c r="G671" i="40"/>
  <c r="BV671" i="40"/>
  <c r="BA671" i="40"/>
  <c r="A671" i="40"/>
  <c r="BZ671" i="40"/>
  <c r="BE671" i="40"/>
  <c r="CH671" i="40"/>
  <c r="R671" i="40"/>
  <c r="M671" i="40"/>
  <c r="CM671" i="40" s="1"/>
  <c r="CC671" i="40"/>
  <c r="BI671" i="40"/>
  <c r="N671" i="40"/>
  <c r="CN671" i="40" s="1"/>
  <c r="AI671" i="40"/>
  <c r="F671" i="40"/>
  <c r="CE671" i="40"/>
  <c r="BO671" i="40"/>
  <c r="W671" i="40"/>
  <c r="CU671" i="40" s="1"/>
  <c r="DV671" i="40"/>
  <c r="BQ671" i="40"/>
  <c r="AG671" i="40"/>
  <c r="C672" i="40"/>
  <c r="BU671" i="40"/>
  <c r="AZ671" i="40"/>
  <c r="BX671" i="40"/>
  <c r="DM671" i="40"/>
  <c r="CD671" i="40"/>
  <c r="BN671" i="40"/>
  <c r="DT671" i="40"/>
  <c r="KN671" i="40"/>
  <c r="CA671" i="40"/>
  <c r="BK671" i="40"/>
  <c r="O671" i="40"/>
  <c r="CO671" i="40" s="1"/>
  <c r="CG671" i="40"/>
  <c r="BL671" i="40"/>
  <c r="AB671" i="40"/>
  <c r="DU671" i="40"/>
  <c r="BP671" i="40"/>
  <c r="P671" i="40"/>
  <c r="BM671" i="40"/>
  <c r="BT671" i="40"/>
  <c r="BR671" i="40"/>
  <c r="AX671" i="40"/>
  <c r="AW671" i="40"/>
  <c r="K671" i="40"/>
  <c r="CF671" i="40"/>
  <c r="BH671" i="40"/>
  <c r="BG671" i="40"/>
  <c r="BY671" i="40"/>
  <c r="DW671" i="40"/>
  <c r="CB671" i="40"/>
  <c r="BJ671" i="40"/>
  <c r="BD671" i="40"/>
  <c r="BB671" i="40"/>
  <c r="BW671" i="40"/>
  <c r="BF671" i="40"/>
  <c r="J671" i="40"/>
  <c r="AH671" i="40"/>
  <c r="L671" i="40"/>
  <c r="CL671" i="40" s="1"/>
  <c r="T671" i="40"/>
  <c r="CR671" i="40" s="1"/>
  <c r="Z671" i="40"/>
  <c r="S671" i="40"/>
  <c r="X671" i="40"/>
  <c r="U671" i="40"/>
  <c r="CS671" i="40" s="1"/>
  <c r="Q671" i="40"/>
  <c r="V671" i="40"/>
  <c r="CT671" i="40" s="1"/>
  <c r="AD671" i="40"/>
  <c r="AA671" i="40"/>
  <c r="E671" i="40"/>
  <c r="Y671" i="40"/>
  <c r="IG167" i="40"/>
  <c r="KP166" i="40"/>
  <c r="JH169" i="40"/>
  <c r="AO469" i="40"/>
  <c r="CQ469" i="40"/>
  <c r="CV469" i="40"/>
  <c r="CP469" i="40"/>
  <c r="AN469" i="40"/>
  <c r="CK469" i="40"/>
  <c r="AM469" i="40"/>
  <c r="CN470" i="40"/>
  <c r="AZ470" i="40"/>
  <c r="BP470" i="40"/>
  <c r="CF470" i="40"/>
  <c r="BA470" i="40"/>
  <c r="BQ470" i="40"/>
  <c r="CG470" i="40"/>
  <c r="AW470" i="40"/>
  <c r="BN470" i="40"/>
  <c r="CD470" i="40"/>
  <c r="BC470" i="40"/>
  <c r="BO470" i="40"/>
  <c r="BW470" i="40"/>
  <c r="BK470" i="40"/>
  <c r="HY470" i="40"/>
  <c r="IX470" i="40"/>
  <c r="BD470" i="40"/>
  <c r="BT470" i="40"/>
  <c r="DM470" i="40"/>
  <c r="BE470" i="40"/>
  <c r="BU470" i="40"/>
  <c r="DS470" i="40"/>
  <c r="BB470" i="40"/>
  <c r="BR470" i="40"/>
  <c r="CH470" i="40"/>
  <c r="BS470" i="40"/>
  <c r="A470" i="40"/>
  <c r="DU470" i="40"/>
  <c r="CA470" i="40"/>
  <c r="IA470" i="40"/>
  <c r="IY470" i="40"/>
  <c r="C471" i="40"/>
  <c r="BH470" i="40"/>
  <c r="BX470" i="40"/>
  <c r="DV470" i="40"/>
  <c r="BI470" i="40"/>
  <c r="BY470" i="40"/>
  <c r="DW470" i="40"/>
  <c r="BF470" i="40"/>
  <c r="BV470" i="40"/>
  <c r="DT470" i="40"/>
  <c r="CJ470" i="40"/>
  <c r="AX470" i="40"/>
  <c r="HZ470" i="40"/>
  <c r="JP470" i="40"/>
  <c r="BL470" i="40"/>
  <c r="CB470" i="40"/>
  <c r="BM470" i="40"/>
  <c r="CC470" i="40"/>
  <c r="BJ470" i="40"/>
  <c r="BZ470" i="40"/>
  <c r="JO470" i="40"/>
  <c r="BG470" i="40"/>
  <c r="CE470" i="40"/>
  <c r="IZ470" i="40"/>
  <c r="IE167" i="40"/>
  <c r="AN270" i="40"/>
  <c r="CP270" i="40"/>
  <c r="BC271" i="40"/>
  <c r="BS271" i="40"/>
  <c r="CJ271" i="40"/>
  <c r="BD271" i="40"/>
  <c r="BT271" i="40"/>
  <c r="DM271" i="40"/>
  <c r="BE271" i="40"/>
  <c r="BU271" i="40"/>
  <c r="DS271" i="40"/>
  <c r="BN271" i="40"/>
  <c r="BR271" i="40"/>
  <c r="BV271" i="40"/>
  <c r="BZ271" i="40"/>
  <c r="IA271" i="40"/>
  <c r="CD271" i="40"/>
  <c r="BG271" i="40"/>
  <c r="BW271" i="40"/>
  <c r="DU271" i="40"/>
  <c r="BH271" i="40"/>
  <c r="BX271" i="40"/>
  <c r="DV271" i="40"/>
  <c r="BI271" i="40"/>
  <c r="BY271" i="40"/>
  <c r="DW271" i="40"/>
  <c r="CH271" i="40"/>
  <c r="DT271" i="40"/>
  <c r="JO271" i="40"/>
  <c r="IX271" i="40"/>
  <c r="HY271" i="40"/>
  <c r="IY271" i="40"/>
  <c r="C272" i="40"/>
  <c r="BK271" i="40"/>
  <c r="CA271" i="40"/>
  <c r="A271" i="40"/>
  <c r="BL271" i="40"/>
  <c r="CB271" i="40"/>
  <c r="BM271" i="40"/>
  <c r="CC271" i="40"/>
  <c r="IZ271" i="40"/>
  <c r="JP271" i="40"/>
  <c r="AX271" i="40"/>
  <c r="BO271" i="40"/>
  <c r="CE271" i="40"/>
  <c r="AZ271" i="40"/>
  <c r="BP271" i="40"/>
  <c r="CF271" i="40"/>
  <c r="BA271" i="40"/>
  <c r="BQ271" i="40"/>
  <c r="CG271" i="40"/>
  <c r="AW271" i="40"/>
  <c r="BB271" i="40"/>
  <c r="BF271" i="40"/>
  <c r="BJ271" i="40"/>
  <c r="HZ271" i="40"/>
  <c r="CQ270" i="40"/>
  <c r="AO270" i="40"/>
  <c r="IO170" i="40"/>
  <c r="JA170" i="40" s="1"/>
  <c r="HX169" i="40"/>
  <c r="ID169" i="40" s="1"/>
  <c r="CK270" i="40"/>
  <c r="AM270" i="40"/>
  <c r="AP270" i="40"/>
  <c r="DB170" i="40"/>
  <c r="DB370" i="40"/>
  <c r="HV169" i="40"/>
  <c r="IQ170" i="40"/>
  <c r="JC170" i="40" s="1"/>
  <c r="IC169" i="40"/>
  <c r="IB168" i="40"/>
  <c r="IG168" i="40" s="1"/>
  <c r="HN170" i="40"/>
  <c r="HQ170" i="40" s="1"/>
  <c r="HM170" i="40"/>
  <c r="HP170" i="40" s="1"/>
  <c r="JM167" i="40"/>
  <c r="KR165" i="40"/>
  <c r="HT170" i="40"/>
  <c r="D169" i="40"/>
  <c r="AY169" i="40" s="1"/>
  <c r="AO370" i="40"/>
  <c r="CQ370" i="40"/>
  <c r="AN370" i="40"/>
  <c r="CP370" i="40"/>
  <c r="JR165" i="40"/>
  <c r="JT165" i="40"/>
  <c r="JX165" i="40" s="1"/>
  <c r="KQ165" i="40"/>
  <c r="KS165" i="40" s="1"/>
  <c r="JQ165" i="40"/>
  <c r="JU165" i="40" s="1"/>
  <c r="JV165" i="40" s="1"/>
  <c r="JW165" i="40" s="1"/>
  <c r="CQ170" i="40"/>
  <c r="AO170" i="40"/>
  <c r="AN170" i="40"/>
  <c r="CP170" i="40"/>
  <c r="HX170" i="40" s="1"/>
  <c r="CK170" i="40"/>
  <c r="AM170" i="40"/>
  <c r="IK171" i="40"/>
  <c r="IN171" i="40" s="1"/>
  <c r="JF171" i="40"/>
  <c r="HO171" i="40" s="1"/>
  <c r="HR171" i="40" s="1"/>
  <c r="II171" i="40"/>
  <c r="IL171" i="40" s="1"/>
  <c r="IJ171" i="40"/>
  <c r="IM171" i="40" s="1"/>
  <c r="C172" i="40"/>
  <c r="BA171" i="40"/>
  <c r="BE171" i="40"/>
  <c r="BI171" i="40"/>
  <c r="BM171" i="40"/>
  <c r="BQ171" i="40"/>
  <c r="BU171" i="40"/>
  <c r="BY171" i="40"/>
  <c r="CC171" i="40"/>
  <c r="CG171" i="40"/>
  <c r="DS171" i="40"/>
  <c r="DW171" i="40"/>
  <c r="CL171" i="40"/>
  <c r="AW171" i="40"/>
  <c r="BB171" i="40"/>
  <c r="BF171" i="40"/>
  <c r="BJ171" i="40"/>
  <c r="BN171" i="40"/>
  <c r="BR171" i="40"/>
  <c r="BV171" i="40"/>
  <c r="BZ171" i="40"/>
  <c r="CD171" i="40"/>
  <c r="CH171" i="40"/>
  <c r="DT171" i="40"/>
  <c r="A171" i="40"/>
  <c r="AX171" i="40"/>
  <c r="BC171" i="40"/>
  <c r="BG171" i="40"/>
  <c r="BK171" i="40"/>
  <c r="BO171" i="40"/>
  <c r="BS171" i="40"/>
  <c r="BW171" i="40"/>
  <c r="CA171" i="40"/>
  <c r="CE171" i="40"/>
  <c r="CJ171" i="40"/>
  <c r="DU171" i="40"/>
  <c r="BL171" i="40"/>
  <c r="CB171" i="40"/>
  <c r="AZ171" i="40"/>
  <c r="BP171" i="40"/>
  <c r="CF171" i="40"/>
  <c r="BD171" i="40"/>
  <c r="BT171" i="40"/>
  <c r="DM171" i="40"/>
  <c r="BH171" i="40"/>
  <c r="BX171" i="40"/>
  <c r="DV171" i="40"/>
  <c r="JO171" i="40"/>
  <c r="IZ171" i="40"/>
  <c r="HY171" i="40"/>
  <c r="HZ171" i="40"/>
  <c r="IX171" i="40"/>
  <c r="IA171" i="40"/>
  <c r="IY171" i="40"/>
  <c r="JP171" i="40"/>
  <c r="JG171" i="40"/>
  <c r="HU170" i="40"/>
  <c r="CK370" i="40"/>
  <c r="AM370" i="40"/>
  <c r="I11" i="70"/>
  <c r="I25" i="70"/>
  <c r="CV170" i="40"/>
  <c r="AK170" i="40"/>
  <c r="AL170" i="40"/>
  <c r="IP170" i="40"/>
  <c r="JB170" i="40" s="1"/>
  <c r="HS170" i="40"/>
  <c r="AP370" i="40"/>
  <c r="C372" i="40"/>
  <c r="A371" i="40"/>
  <c r="AZ371" i="40"/>
  <c r="BD371" i="40"/>
  <c r="BH371" i="40"/>
  <c r="BL371" i="40"/>
  <c r="BP371" i="40"/>
  <c r="BT371" i="40"/>
  <c r="BX371" i="40"/>
  <c r="CB371" i="40"/>
  <c r="CF371" i="40"/>
  <c r="DM371" i="40"/>
  <c r="DV371" i="40"/>
  <c r="BA371" i="40"/>
  <c r="BE371" i="40"/>
  <c r="BI371" i="40"/>
  <c r="BM371" i="40"/>
  <c r="BQ371" i="40"/>
  <c r="BU371" i="40"/>
  <c r="BY371" i="40"/>
  <c r="CC371" i="40"/>
  <c r="CG371" i="40"/>
  <c r="DS371" i="40"/>
  <c r="DW371" i="40"/>
  <c r="AW371" i="40"/>
  <c r="BB371" i="40"/>
  <c r="BF371" i="40"/>
  <c r="BJ371" i="40"/>
  <c r="BN371" i="40"/>
  <c r="BR371" i="40"/>
  <c r="BV371" i="40"/>
  <c r="BZ371" i="40"/>
  <c r="CD371" i="40"/>
  <c r="CH371" i="40"/>
  <c r="DT371" i="40"/>
  <c r="BG371" i="40"/>
  <c r="BW371" i="40"/>
  <c r="DU371" i="40"/>
  <c r="BK371" i="40"/>
  <c r="CA371" i="40"/>
  <c r="AX371" i="40"/>
  <c r="BO371" i="40"/>
  <c r="CE371" i="40"/>
  <c r="BC371" i="40"/>
  <c r="BS371" i="40"/>
  <c r="CJ371" i="40"/>
  <c r="JO371" i="40"/>
  <c r="IY371" i="40"/>
  <c r="HY371" i="40"/>
  <c r="IX371" i="40"/>
  <c r="IA371" i="40"/>
  <c r="IZ371" i="40"/>
  <c r="HZ371" i="40"/>
  <c r="JP371" i="40"/>
  <c r="KT113" i="40"/>
  <c r="KU112" i="40"/>
  <c r="KK166" i="40"/>
  <c r="KI166" i="40"/>
  <c r="KJ166" i="40"/>
  <c r="KO166" i="40"/>
  <c r="AP170" i="40"/>
  <c r="HR170" i="40"/>
  <c r="CV370" i="40"/>
  <c r="JI169" i="40"/>
  <c r="CI355" i="40" l="1"/>
  <c r="CI554" i="40"/>
  <c r="CI654" i="40"/>
  <c r="CI171" i="40"/>
  <c r="CI255" i="40"/>
  <c r="DB271" i="40"/>
  <c r="AQ167" i="40"/>
  <c r="DB470" i="40"/>
  <c r="HY670" i="40"/>
  <c r="IX670" i="40" s="1"/>
  <c r="KQ166" i="40"/>
  <c r="KS166" i="40" s="1"/>
  <c r="JT166" i="40"/>
  <c r="JX166" i="40" s="1"/>
  <c r="JQ166" i="40"/>
  <c r="JU166" i="40" s="1"/>
  <c r="JV166" i="40" s="1"/>
  <c r="JW166" i="40" s="1"/>
  <c r="JS166" i="40"/>
  <c r="IA670" i="40"/>
  <c r="IZ670" i="40" s="1"/>
  <c r="CV671" i="40"/>
  <c r="HZ670" i="40"/>
  <c r="IY670" i="40" s="1"/>
  <c r="DB570" i="40"/>
  <c r="AO671" i="40"/>
  <c r="CQ671" i="40"/>
  <c r="AP570" i="40"/>
  <c r="AG172" i="40"/>
  <c r="AC172" i="40"/>
  <c r="Y172" i="40"/>
  <c r="U172" i="40"/>
  <c r="CS172" i="40" s="1"/>
  <c r="Q172" i="40"/>
  <c r="M172" i="40"/>
  <c r="CM172" i="40" s="1"/>
  <c r="I172" i="40"/>
  <c r="E172" i="40"/>
  <c r="AJ172" i="40"/>
  <c r="AF172" i="40"/>
  <c r="AI172" i="40"/>
  <c r="AE172" i="40"/>
  <c r="AA172" i="40"/>
  <c r="W172" i="40"/>
  <c r="CU172" i="40" s="1"/>
  <c r="S172" i="40"/>
  <c r="O172" i="40"/>
  <c r="CO172" i="40" s="1"/>
  <c r="K172" i="40"/>
  <c r="G172" i="40"/>
  <c r="AH172" i="40"/>
  <c r="X172" i="40"/>
  <c r="P172" i="40"/>
  <c r="H172" i="40"/>
  <c r="Z172" i="40"/>
  <c r="AD172" i="40"/>
  <c r="V172" i="40"/>
  <c r="CT172" i="40" s="1"/>
  <c r="N172" i="40"/>
  <c r="CN172" i="40" s="1"/>
  <c r="F172" i="40"/>
  <c r="J172" i="40"/>
  <c r="AB172" i="40"/>
  <c r="T172" i="40"/>
  <c r="CR172" i="40" s="1"/>
  <c r="L172" i="40"/>
  <c r="R172" i="40"/>
  <c r="AN671" i="40"/>
  <c r="CP671" i="40"/>
  <c r="DB671" i="40"/>
  <c r="CK671" i="40"/>
  <c r="AM671" i="40"/>
  <c r="AI571" i="40"/>
  <c r="AE571" i="40"/>
  <c r="AA571" i="40"/>
  <c r="W571" i="40"/>
  <c r="CU571" i="40" s="1"/>
  <c r="S571" i="40"/>
  <c r="O571" i="40"/>
  <c r="CO571" i="40" s="1"/>
  <c r="K571" i="40"/>
  <c r="G571" i="40"/>
  <c r="AH571" i="40"/>
  <c r="AD571" i="40"/>
  <c r="Z571" i="40"/>
  <c r="V571" i="40"/>
  <c r="CT571" i="40" s="1"/>
  <c r="R571" i="40"/>
  <c r="N571" i="40"/>
  <c r="CN571" i="40" s="1"/>
  <c r="J571" i="40"/>
  <c r="F571" i="40"/>
  <c r="AG571" i="40"/>
  <c r="AC571" i="40"/>
  <c r="Y571" i="40"/>
  <c r="U571" i="40"/>
  <c r="CS571" i="40" s="1"/>
  <c r="Q571" i="40"/>
  <c r="M571" i="40"/>
  <c r="CM571" i="40" s="1"/>
  <c r="I571" i="40"/>
  <c r="E571" i="40"/>
  <c r="X571" i="40"/>
  <c r="H571" i="40"/>
  <c r="AJ571" i="40"/>
  <c r="T571" i="40"/>
  <c r="CR571" i="40" s="1"/>
  <c r="AF571" i="40"/>
  <c r="P571" i="40"/>
  <c r="AB571" i="40"/>
  <c r="L571" i="40"/>
  <c r="CL571" i="40" s="1"/>
  <c r="BF571" i="40"/>
  <c r="BC571" i="40"/>
  <c r="AZ571" i="40"/>
  <c r="CF571" i="40"/>
  <c r="BY571" i="40"/>
  <c r="C572" i="40"/>
  <c r="BJ571" i="40"/>
  <c r="BZ571" i="40"/>
  <c r="BG571" i="40"/>
  <c r="BW571" i="40"/>
  <c r="DU571" i="40"/>
  <c r="BD571" i="40"/>
  <c r="BT571" i="40"/>
  <c r="DM571" i="40"/>
  <c r="CG571" i="40"/>
  <c r="DS571" i="40"/>
  <c r="DW571" i="40"/>
  <c r="IA571" i="40"/>
  <c r="IX571" i="40"/>
  <c r="BB571" i="40"/>
  <c r="BR571" i="40"/>
  <c r="AX571" i="40"/>
  <c r="CE571" i="40"/>
  <c r="BL571" i="40"/>
  <c r="BA571" i="40"/>
  <c r="BI571" i="40"/>
  <c r="BQ571" i="40"/>
  <c r="AW571" i="40"/>
  <c r="BN571" i="40"/>
  <c r="CD571" i="40"/>
  <c r="BK571" i="40"/>
  <c r="CA571" i="40"/>
  <c r="A571" i="40"/>
  <c r="BH571" i="40"/>
  <c r="BX571" i="40"/>
  <c r="DV571" i="40"/>
  <c r="BM571" i="40"/>
  <c r="JO571" i="40"/>
  <c r="HZ571" i="40"/>
  <c r="JP571" i="40"/>
  <c r="CH571" i="40"/>
  <c r="BO571" i="40"/>
  <c r="CB571" i="40"/>
  <c r="BE571" i="40"/>
  <c r="CC571" i="40"/>
  <c r="IZ571" i="40"/>
  <c r="BV571" i="40"/>
  <c r="DT571" i="40"/>
  <c r="BS571" i="40"/>
  <c r="CJ571" i="40"/>
  <c r="BP571" i="40"/>
  <c r="BU571" i="40"/>
  <c r="HY571" i="40"/>
  <c r="IY571" i="40"/>
  <c r="CP570" i="40"/>
  <c r="AN570" i="40"/>
  <c r="CV570" i="40"/>
  <c r="AM570" i="40"/>
  <c r="CK570" i="40"/>
  <c r="AF672" i="40"/>
  <c r="JO672" i="40"/>
  <c r="H672" i="40"/>
  <c r="AI672" i="40"/>
  <c r="F672" i="40"/>
  <c r="JP672" i="40"/>
  <c r="I672" i="40"/>
  <c r="AJ672" i="40"/>
  <c r="AC672" i="40"/>
  <c r="KN672" i="40"/>
  <c r="BX672" i="40"/>
  <c r="BH672" i="40"/>
  <c r="P672" i="40"/>
  <c r="CE672" i="40"/>
  <c r="BJ672" i="40"/>
  <c r="DS672" i="40"/>
  <c r="BN672" i="40"/>
  <c r="N672" i="40"/>
  <c r="CN672" i="40" s="1"/>
  <c r="AG672" i="40"/>
  <c r="BR672" i="40"/>
  <c r="DW672" i="40"/>
  <c r="R672" i="40"/>
  <c r="AW672" i="40"/>
  <c r="DM672" i="40"/>
  <c r="CJ672" i="40"/>
  <c r="DT672" i="40"/>
  <c r="BT672" i="40"/>
  <c r="BD672" i="40"/>
  <c r="L672" i="40"/>
  <c r="CL672" i="40" s="1"/>
  <c r="BZ672" i="40"/>
  <c r="BE672" i="40"/>
  <c r="CD672" i="40"/>
  <c r="BI672" i="40"/>
  <c r="CA672" i="40"/>
  <c r="K672" i="40"/>
  <c r="BB672" i="40"/>
  <c r="CC672" i="40"/>
  <c r="DV672" i="40"/>
  <c r="BV672" i="40"/>
  <c r="CH672" i="40"/>
  <c r="CF672" i="40"/>
  <c r="BP672" i="40"/>
  <c r="AZ672" i="40"/>
  <c r="C673" i="40"/>
  <c r="BU672" i="40"/>
  <c r="O672" i="40"/>
  <c r="CO672" i="40" s="1"/>
  <c r="BY672" i="40"/>
  <c r="BC672" i="40"/>
  <c r="BQ672" i="40"/>
  <c r="A672" i="40"/>
  <c r="W672" i="40"/>
  <c r="CU672" i="40" s="1"/>
  <c r="BM672" i="40"/>
  <c r="BW672" i="40"/>
  <c r="M672" i="40"/>
  <c r="CM672" i="40" s="1"/>
  <c r="AE672" i="40"/>
  <c r="CB672" i="40"/>
  <c r="BO672" i="40"/>
  <c r="BF672" i="40"/>
  <c r="BK672" i="40"/>
  <c r="BA672" i="40"/>
  <c r="BL672" i="40"/>
  <c r="J672" i="40"/>
  <c r="CG672" i="40"/>
  <c r="BG672" i="40"/>
  <c r="DU672" i="40"/>
  <c r="AB672" i="40"/>
  <c r="BS672" i="40"/>
  <c r="G672" i="40"/>
  <c r="AX672" i="40"/>
  <c r="AH672" i="40"/>
  <c r="Z672" i="40"/>
  <c r="T672" i="40"/>
  <c r="CR672" i="40" s="1"/>
  <c r="U672" i="40"/>
  <c r="CS672" i="40" s="1"/>
  <c r="Q672" i="40"/>
  <c r="X672" i="40"/>
  <c r="V672" i="40"/>
  <c r="CT672" i="40" s="1"/>
  <c r="S672" i="40"/>
  <c r="AD672" i="40"/>
  <c r="AA672" i="40"/>
  <c r="E672" i="40"/>
  <c r="Y672" i="40"/>
  <c r="AI471" i="40"/>
  <c r="AE471" i="40"/>
  <c r="AA471" i="40"/>
  <c r="W471" i="40"/>
  <c r="CU471" i="40" s="1"/>
  <c r="S471" i="40"/>
  <c r="O471" i="40"/>
  <c r="CO471" i="40" s="1"/>
  <c r="K471" i="40"/>
  <c r="G471" i="40"/>
  <c r="AH471" i="40"/>
  <c r="AD471" i="40"/>
  <c r="Z471" i="40"/>
  <c r="V471" i="40"/>
  <c r="CT471" i="40" s="1"/>
  <c r="R471" i="40"/>
  <c r="N471" i="40"/>
  <c r="CN471" i="40" s="1"/>
  <c r="J471" i="40"/>
  <c r="F471" i="40"/>
  <c r="AG471" i="40"/>
  <c r="AC471" i="40"/>
  <c r="Y471" i="40"/>
  <c r="U471" i="40"/>
  <c r="CS471" i="40" s="1"/>
  <c r="Q471" i="40"/>
  <c r="M471" i="40"/>
  <c r="CM471" i="40" s="1"/>
  <c r="I471" i="40"/>
  <c r="E471" i="40"/>
  <c r="AJ471" i="40"/>
  <c r="T471" i="40"/>
  <c r="CR471" i="40" s="1"/>
  <c r="AF471" i="40"/>
  <c r="P471" i="40"/>
  <c r="AB471" i="40"/>
  <c r="L471" i="40"/>
  <c r="CL471" i="40" s="1"/>
  <c r="X471" i="40"/>
  <c r="H471" i="40"/>
  <c r="AJ372" i="40"/>
  <c r="AF372" i="40"/>
  <c r="AB372" i="40"/>
  <c r="X372" i="40"/>
  <c r="T372" i="40"/>
  <c r="CR372" i="40" s="1"/>
  <c r="P372" i="40"/>
  <c r="L372" i="40"/>
  <c r="CL372" i="40" s="1"/>
  <c r="H372" i="40"/>
  <c r="AI372" i="40"/>
  <c r="AE372" i="40"/>
  <c r="AA372" i="40"/>
  <c r="CI456" i="40" s="1"/>
  <c r="W372" i="40"/>
  <c r="CU372" i="40" s="1"/>
  <c r="S372" i="40"/>
  <c r="O372" i="40"/>
  <c r="CO372" i="40" s="1"/>
  <c r="K372" i="40"/>
  <c r="G372" i="40"/>
  <c r="AH372" i="40"/>
  <c r="AD372" i="40"/>
  <c r="Z372" i="40"/>
  <c r="V372" i="40"/>
  <c r="CT372" i="40" s="1"/>
  <c r="R372" i="40"/>
  <c r="N372" i="40"/>
  <c r="CN372" i="40" s="1"/>
  <c r="J372" i="40"/>
  <c r="F372" i="40"/>
  <c r="U372" i="40"/>
  <c r="CS372" i="40" s="1"/>
  <c r="E372" i="40"/>
  <c r="AG372" i="40"/>
  <c r="Q372" i="40"/>
  <c r="AC372" i="40"/>
  <c r="M372" i="40"/>
  <c r="CM372" i="40" s="1"/>
  <c r="I372" i="40"/>
  <c r="Y372" i="40"/>
  <c r="AH272" i="40"/>
  <c r="AD272" i="40"/>
  <c r="Z272" i="40"/>
  <c r="V272" i="40"/>
  <c r="CT272" i="40" s="1"/>
  <c r="R272" i="40"/>
  <c r="N272" i="40"/>
  <c r="CN272" i="40" s="1"/>
  <c r="J272" i="40"/>
  <c r="F272" i="40"/>
  <c r="AG272" i="40"/>
  <c r="AC272" i="40"/>
  <c r="Y272" i="40"/>
  <c r="U272" i="40"/>
  <c r="CS272" i="40" s="1"/>
  <c r="Q272" i="40"/>
  <c r="M272" i="40"/>
  <c r="CM272" i="40" s="1"/>
  <c r="I272" i="40"/>
  <c r="E272" i="40"/>
  <c r="AJ272" i="40"/>
  <c r="AF272" i="40"/>
  <c r="AB272" i="40"/>
  <c r="X272" i="40"/>
  <c r="T272" i="40"/>
  <c r="CR272" i="40" s="1"/>
  <c r="P272" i="40"/>
  <c r="L272" i="40"/>
  <c r="CL272" i="40" s="1"/>
  <c r="H272" i="40"/>
  <c r="AA272" i="40"/>
  <c r="K272" i="40"/>
  <c r="W272" i="40"/>
  <c r="CU272" i="40" s="1"/>
  <c r="G272" i="40"/>
  <c r="AI272" i="40"/>
  <c r="S272" i="40"/>
  <c r="AE272" i="40"/>
  <c r="O272" i="40"/>
  <c r="CO272" i="40" s="1"/>
  <c r="AP671" i="40"/>
  <c r="CQ570" i="40"/>
  <c r="AO570" i="40"/>
  <c r="KP167" i="40"/>
  <c r="IE168" i="40"/>
  <c r="JD167" i="40"/>
  <c r="JR167" i="40" s="1"/>
  <c r="IF168" i="40"/>
  <c r="JJ169" i="40"/>
  <c r="JK169" i="40" s="1"/>
  <c r="JL169" i="40" s="1"/>
  <c r="CV470" i="40"/>
  <c r="CK470" i="40"/>
  <c r="AM470" i="40"/>
  <c r="CQ470" i="40"/>
  <c r="AO470" i="40"/>
  <c r="AN470" i="40"/>
  <c r="CP470" i="40"/>
  <c r="CV271" i="40"/>
  <c r="AW471" i="40"/>
  <c r="BN471" i="40"/>
  <c r="CD471" i="40"/>
  <c r="BC471" i="40"/>
  <c r="BS471" i="40"/>
  <c r="CJ471" i="40"/>
  <c r="BD471" i="40"/>
  <c r="BT471" i="40"/>
  <c r="DM471" i="40"/>
  <c r="BQ471" i="40"/>
  <c r="BE471" i="40"/>
  <c r="BI471" i="40"/>
  <c r="HZ471" i="40"/>
  <c r="IY471" i="40"/>
  <c r="BB471" i="40"/>
  <c r="BR471" i="40"/>
  <c r="CH471" i="40"/>
  <c r="BG471" i="40"/>
  <c r="BW471" i="40"/>
  <c r="DU471" i="40"/>
  <c r="BH471" i="40"/>
  <c r="BX471" i="40"/>
  <c r="DV471" i="40"/>
  <c r="CG471" i="40"/>
  <c r="BU471" i="40"/>
  <c r="CC471" i="40"/>
  <c r="BY471" i="40"/>
  <c r="HY471" i="40"/>
  <c r="HY671" i="40" s="1"/>
  <c r="IX471" i="40"/>
  <c r="C472" i="40"/>
  <c r="BF471" i="40"/>
  <c r="BV471" i="40"/>
  <c r="DT471" i="40"/>
  <c r="BK471" i="40"/>
  <c r="CA471" i="40"/>
  <c r="A471" i="40"/>
  <c r="BL471" i="40"/>
  <c r="CB471" i="40"/>
  <c r="BM471" i="40"/>
  <c r="DS471" i="40"/>
  <c r="DW471" i="40"/>
  <c r="IA471" i="40"/>
  <c r="JP471" i="40"/>
  <c r="BJ471" i="40"/>
  <c r="BZ471" i="40"/>
  <c r="AX471" i="40"/>
  <c r="BO471" i="40"/>
  <c r="CE471" i="40"/>
  <c r="AZ471" i="40"/>
  <c r="BP471" i="40"/>
  <c r="CF471" i="40"/>
  <c r="BA471" i="40"/>
  <c r="JO471" i="40"/>
  <c r="IZ471" i="40"/>
  <c r="AP470" i="40"/>
  <c r="AO271" i="40"/>
  <c r="CQ271" i="40"/>
  <c r="AP271" i="40"/>
  <c r="AN271" i="40"/>
  <c r="CP271" i="40"/>
  <c r="CK271" i="40"/>
  <c r="AM271" i="40"/>
  <c r="BM272" i="40"/>
  <c r="CC272" i="40"/>
  <c r="BJ272" i="40"/>
  <c r="BZ272" i="40"/>
  <c r="AX272" i="40"/>
  <c r="BO272" i="40"/>
  <c r="CE272" i="40"/>
  <c r="BL272" i="40"/>
  <c r="BP272" i="40"/>
  <c r="BT272" i="40"/>
  <c r="BX272" i="40"/>
  <c r="IX272" i="40"/>
  <c r="BA272" i="40"/>
  <c r="BQ272" i="40"/>
  <c r="CG272" i="40"/>
  <c r="AW272" i="40"/>
  <c r="BN272" i="40"/>
  <c r="CD272" i="40"/>
  <c r="BC272" i="40"/>
  <c r="BS272" i="40"/>
  <c r="CJ272" i="40"/>
  <c r="CB272" i="40"/>
  <c r="CF272" i="40"/>
  <c r="DM272" i="40"/>
  <c r="A272" i="40"/>
  <c r="HZ272" i="40"/>
  <c r="BE272" i="40"/>
  <c r="BU272" i="40"/>
  <c r="DS272" i="40"/>
  <c r="BB272" i="40"/>
  <c r="BR272" i="40"/>
  <c r="CH272" i="40"/>
  <c r="BG272" i="40"/>
  <c r="BW272" i="40"/>
  <c r="DU272" i="40"/>
  <c r="DV272" i="40"/>
  <c r="IZ272" i="40"/>
  <c r="IA272" i="40"/>
  <c r="IY272" i="40"/>
  <c r="C273" i="40"/>
  <c r="BI272" i="40"/>
  <c r="BY272" i="40"/>
  <c r="DW272" i="40"/>
  <c r="BF272" i="40"/>
  <c r="BV272" i="40"/>
  <c r="DT272" i="40"/>
  <c r="BK272" i="40"/>
  <c r="CA272" i="40"/>
  <c r="AZ272" i="40"/>
  <c r="BD272" i="40"/>
  <c r="BH272" i="40"/>
  <c r="JO272" i="40"/>
  <c r="HY272" i="40"/>
  <c r="JP272" i="40"/>
  <c r="IB169" i="40"/>
  <c r="IG169" i="40" s="1"/>
  <c r="W46" i="58" s="1"/>
  <c r="W47" i="58" s="1"/>
  <c r="ID170" i="40"/>
  <c r="IQ171" i="40"/>
  <c r="JC171" i="40" s="1"/>
  <c r="DB171" i="40"/>
  <c r="HV170" i="40"/>
  <c r="D170" i="40"/>
  <c r="AY170" i="40" s="1"/>
  <c r="HW170" i="40"/>
  <c r="IC170" i="40" s="1"/>
  <c r="I26" i="70"/>
  <c r="I12" i="70"/>
  <c r="KU113" i="40"/>
  <c r="I27" i="70" s="1"/>
  <c r="KT114" i="40"/>
  <c r="CP371" i="40"/>
  <c r="AN371" i="40"/>
  <c r="CQ171" i="40"/>
  <c r="AO171" i="40"/>
  <c r="IP171" i="40"/>
  <c r="JB171" i="40" s="1"/>
  <c r="HM171" i="40"/>
  <c r="HP171" i="40" s="1"/>
  <c r="HU171" i="40"/>
  <c r="KK167" i="40"/>
  <c r="KJ167" i="40"/>
  <c r="KO167" i="40"/>
  <c r="KI167" i="40"/>
  <c r="KR166" i="40"/>
  <c r="CK371" i="40"/>
  <c r="AM371" i="40"/>
  <c r="JH170" i="40"/>
  <c r="CP171" i="40"/>
  <c r="HV171" i="40" s="1"/>
  <c r="AN171" i="40"/>
  <c r="HN171" i="40"/>
  <c r="HT171" i="40"/>
  <c r="CV371" i="40"/>
  <c r="JM168" i="40"/>
  <c r="CV171" i="40"/>
  <c r="AL171" i="40"/>
  <c r="AK171" i="40"/>
  <c r="DB371" i="40"/>
  <c r="AP371" i="40"/>
  <c r="C373" i="40"/>
  <c r="AW372" i="40"/>
  <c r="BB372" i="40"/>
  <c r="BF372" i="40"/>
  <c r="BJ372" i="40"/>
  <c r="BN372" i="40"/>
  <c r="BR372" i="40"/>
  <c r="BV372" i="40"/>
  <c r="BZ372" i="40"/>
  <c r="CD372" i="40"/>
  <c r="CH372" i="40"/>
  <c r="DT372" i="40"/>
  <c r="AX372" i="40"/>
  <c r="BC372" i="40"/>
  <c r="BG372" i="40"/>
  <c r="BK372" i="40"/>
  <c r="BO372" i="40"/>
  <c r="BS372" i="40"/>
  <c r="BW372" i="40"/>
  <c r="CA372" i="40"/>
  <c r="CE372" i="40"/>
  <c r="CJ372" i="40"/>
  <c r="DU372" i="40"/>
  <c r="A372" i="40"/>
  <c r="AZ372" i="40"/>
  <c r="BD372" i="40"/>
  <c r="BH372" i="40"/>
  <c r="BL372" i="40"/>
  <c r="BP372" i="40"/>
  <c r="BT372" i="40"/>
  <c r="BX372" i="40"/>
  <c r="CB372" i="40"/>
  <c r="CF372" i="40"/>
  <c r="DM372" i="40"/>
  <c r="DV372" i="40"/>
  <c r="BE372" i="40"/>
  <c r="BU372" i="40"/>
  <c r="DS372" i="40"/>
  <c r="BI372" i="40"/>
  <c r="BY372" i="40"/>
  <c r="DW372" i="40"/>
  <c r="BM372" i="40"/>
  <c r="CC372" i="40"/>
  <c r="BA372" i="40"/>
  <c r="BQ372" i="40"/>
  <c r="CG372" i="40"/>
  <c r="JO372" i="40"/>
  <c r="IY372" i="40"/>
  <c r="IZ372" i="40"/>
  <c r="IX372" i="40"/>
  <c r="IA372" i="40"/>
  <c r="HY372" i="40"/>
  <c r="HZ372" i="40"/>
  <c r="JP372" i="40"/>
  <c r="JI170" i="40"/>
  <c r="AP171" i="40"/>
  <c r="IO171" i="40"/>
  <c r="JA171" i="40" s="1"/>
  <c r="CK171" i="40"/>
  <c r="AM171" i="40"/>
  <c r="HS171" i="40"/>
  <c r="CQ371" i="40"/>
  <c r="AO371" i="40"/>
  <c r="IK172" i="40"/>
  <c r="IN172" i="40" s="1"/>
  <c r="JF172" i="40"/>
  <c r="HO172" i="40" s="1"/>
  <c r="II172" i="40"/>
  <c r="IL172" i="40" s="1"/>
  <c r="IJ172" i="40"/>
  <c r="IM172" i="40" s="1"/>
  <c r="C173" i="40"/>
  <c r="CL172" i="40"/>
  <c r="BA172" i="40"/>
  <c r="BE172" i="40"/>
  <c r="BI172" i="40"/>
  <c r="BM172" i="40"/>
  <c r="BQ172" i="40"/>
  <c r="BU172" i="40"/>
  <c r="BY172" i="40"/>
  <c r="CC172" i="40"/>
  <c r="CG172" i="40"/>
  <c r="DU172" i="40"/>
  <c r="A172" i="40"/>
  <c r="AW172" i="40"/>
  <c r="BB172" i="40"/>
  <c r="BF172" i="40"/>
  <c r="BJ172" i="40"/>
  <c r="BN172" i="40"/>
  <c r="BR172" i="40"/>
  <c r="BV172" i="40"/>
  <c r="BZ172" i="40"/>
  <c r="CD172" i="40"/>
  <c r="CH172" i="40"/>
  <c r="DM172" i="40"/>
  <c r="DV172" i="40"/>
  <c r="AX172" i="40"/>
  <c r="BC172" i="40"/>
  <c r="BG172" i="40"/>
  <c r="BK172" i="40"/>
  <c r="BO172" i="40"/>
  <c r="BS172" i="40"/>
  <c r="BW172" i="40"/>
  <c r="CA172" i="40"/>
  <c r="CE172" i="40"/>
  <c r="CJ172" i="40"/>
  <c r="DS172" i="40"/>
  <c r="DW172" i="40"/>
  <c r="BH172" i="40"/>
  <c r="BX172" i="40"/>
  <c r="DT172" i="40"/>
  <c r="BL172" i="40"/>
  <c r="CB172" i="40"/>
  <c r="AZ172" i="40"/>
  <c r="BP172" i="40"/>
  <c r="CF172" i="40"/>
  <c r="BD172" i="40"/>
  <c r="BT172" i="40"/>
  <c r="JO172" i="40"/>
  <c r="IX172" i="40"/>
  <c r="HZ172" i="40"/>
  <c r="IA172" i="40"/>
  <c r="IZ172" i="40"/>
  <c r="HY172" i="40"/>
  <c r="IY172" i="40"/>
  <c r="JP172" i="40"/>
  <c r="JG172" i="40"/>
  <c r="CI356" i="40" l="1"/>
  <c r="CI256" i="40"/>
  <c r="CI555" i="40"/>
  <c r="CI655" i="40"/>
  <c r="CI172" i="40"/>
  <c r="DB672" i="40"/>
  <c r="D171" i="40"/>
  <c r="AY171" i="40" s="1"/>
  <c r="HX171" i="40"/>
  <c r="ID171" i="40" s="1"/>
  <c r="JS167" i="40"/>
  <c r="JT167" i="40"/>
  <c r="JX167" i="40" s="1"/>
  <c r="IA671" i="40"/>
  <c r="IZ671" i="40" s="1"/>
  <c r="IX671" i="40"/>
  <c r="CV471" i="40"/>
  <c r="HZ671" i="40"/>
  <c r="IY671" i="40" s="1"/>
  <c r="CV571" i="40"/>
  <c r="DB571" i="40"/>
  <c r="AP672" i="40"/>
  <c r="CK672" i="40"/>
  <c r="AM672" i="40"/>
  <c r="AI572" i="40"/>
  <c r="AE572" i="40"/>
  <c r="AH572" i="40"/>
  <c r="AD572" i="40"/>
  <c r="AG572" i="40"/>
  <c r="AA572" i="40"/>
  <c r="W572" i="40"/>
  <c r="CU572" i="40" s="1"/>
  <c r="S572" i="40"/>
  <c r="O572" i="40"/>
  <c r="CO572" i="40" s="1"/>
  <c r="K572" i="40"/>
  <c r="G572" i="40"/>
  <c r="AF572" i="40"/>
  <c r="Z572" i="40"/>
  <c r="V572" i="40"/>
  <c r="CT572" i="40" s="1"/>
  <c r="R572" i="40"/>
  <c r="N572" i="40"/>
  <c r="CN572" i="40" s="1"/>
  <c r="J572" i="40"/>
  <c r="F572" i="40"/>
  <c r="AC572" i="40"/>
  <c r="Y572" i="40"/>
  <c r="U572" i="40"/>
  <c r="CS572" i="40" s="1"/>
  <c r="Q572" i="40"/>
  <c r="M572" i="40"/>
  <c r="CM572" i="40" s="1"/>
  <c r="I572" i="40"/>
  <c r="E572" i="40"/>
  <c r="X572" i="40"/>
  <c r="H572" i="40"/>
  <c r="T572" i="40"/>
  <c r="CR572" i="40" s="1"/>
  <c r="AJ572" i="40"/>
  <c r="P572" i="40"/>
  <c r="AB572" i="40"/>
  <c r="L572" i="40"/>
  <c r="CL572" i="40" s="1"/>
  <c r="A572" i="40"/>
  <c r="BH572" i="40"/>
  <c r="BX572" i="40"/>
  <c r="DV572" i="40"/>
  <c r="BI572" i="40"/>
  <c r="BY572" i="40"/>
  <c r="DW572" i="40"/>
  <c r="BJ572" i="40"/>
  <c r="BZ572" i="40"/>
  <c r="AX572" i="40"/>
  <c r="BC572" i="40"/>
  <c r="BK572" i="40"/>
  <c r="DU572" i="40"/>
  <c r="IA572" i="40"/>
  <c r="JP572" i="40"/>
  <c r="BF572" i="40"/>
  <c r="HY572" i="40"/>
  <c r="IY572" i="40"/>
  <c r="BL572" i="40"/>
  <c r="CB572" i="40"/>
  <c r="BM572" i="40"/>
  <c r="CC572" i="40"/>
  <c r="AW572" i="40"/>
  <c r="BN572" i="40"/>
  <c r="CD572" i="40"/>
  <c r="BO572" i="40"/>
  <c r="BS572" i="40"/>
  <c r="JO572" i="40"/>
  <c r="IZ572" i="40"/>
  <c r="C573" i="40"/>
  <c r="BD572" i="40"/>
  <c r="BT572" i="40"/>
  <c r="DM572" i="40"/>
  <c r="BE572" i="40"/>
  <c r="BU572" i="40"/>
  <c r="DS572" i="40"/>
  <c r="BV572" i="40"/>
  <c r="DT572" i="40"/>
  <c r="CA572" i="40"/>
  <c r="BW572" i="40"/>
  <c r="AZ572" i="40"/>
  <c r="BP572" i="40"/>
  <c r="CF572" i="40"/>
  <c r="BA572" i="40"/>
  <c r="BQ572" i="40"/>
  <c r="CG572" i="40"/>
  <c r="BB572" i="40"/>
  <c r="BR572" i="40"/>
  <c r="CH572" i="40"/>
  <c r="CE572" i="40"/>
  <c r="CJ572" i="40"/>
  <c r="BG572" i="40"/>
  <c r="HZ572" i="40"/>
  <c r="IX572" i="40"/>
  <c r="AH273" i="40"/>
  <c r="AD273" i="40"/>
  <c r="Z273" i="40"/>
  <c r="V273" i="40"/>
  <c r="CT273" i="40" s="1"/>
  <c r="R273" i="40"/>
  <c r="N273" i="40"/>
  <c r="J273" i="40"/>
  <c r="F273" i="40"/>
  <c r="AG273" i="40"/>
  <c r="AC273" i="40"/>
  <c r="Y273" i="40"/>
  <c r="U273" i="40"/>
  <c r="CS273" i="40" s="1"/>
  <c r="Q273" i="40"/>
  <c r="M273" i="40"/>
  <c r="CM273" i="40" s="1"/>
  <c r="I273" i="40"/>
  <c r="E273" i="40"/>
  <c r="AJ273" i="40"/>
  <c r="AF273" i="40"/>
  <c r="AB273" i="40"/>
  <c r="X273" i="40"/>
  <c r="T273" i="40"/>
  <c r="CR273" i="40" s="1"/>
  <c r="P273" i="40"/>
  <c r="L273" i="40"/>
  <c r="CL273" i="40" s="1"/>
  <c r="H273" i="40"/>
  <c r="AA273" i="40"/>
  <c r="K273" i="40"/>
  <c r="W273" i="40"/>
  <c r="CU273" i="40" s="1"/>
  <c r="G273" i="40"/>
  <c r="AI273" i="40"/>
  <c r="S273" i="40"/>
  <c r="AE273" i="40"/>
  <c r="O273" i="40"/>
  <c r="CO273" i="40" s="1"/>
  <c r="KQ167" i="40"/>
  <c r="KS167" i="40" s="1"/>
  <c r="AN672" i="40"/>
  <c r="CP672" i="40"/>
  <c r="AP571" i="40"/>
  <c r="CP571" i="40"/>
  <c r="AN571" i="40"/>
  <c r="AO571" i="40"/>
  <c r="CQ571" i="40"/>
  <c r="AI472" i="40"/>
  <c r="AE472" i="40"/>
  <c r="AA472" i="40"/>
  <c r="W472" i="40"/>
  <c r="CU472" i="40" s="1"/>
  <c r="S472" i="40"/>
  <c r="O472" i="40"/>
  <c r="CO472" i="40" s="1"/>
  <c r="K472" i="40"/>
  <c r="G472" i="40"/>
  <c r="AH472" i="40"/>
  <c r="AD472" i="40"/>
  <c r="Z472" i="40"/>
  <c r="V472" i="40"/>
  <c r="CT472" i="40" s="1"/>
  <c r="R472" i="40"/>
  <c r="N472" i="40"/>
  <c r="J472" i="40"/>
  <c r="F472" i="40"/>
  <c r="AG472" i="40"/>
  <c r="AC472" i="40"/>
  <c r="Y472" i="40"/>
  <c r="U472" i="40"/>
  <c r="CS472" i="40" s="1"/>
  <c r="Q472" i="40"/>
  <c r="M472" i="40"/>
  <c r="I472" i="40"/>
  <c r="E472" i="40"/>
  <c r="AJ472" i="40"/>
  <c r="T472" i="40"/>
  <c r="CR472" i="40" s="1"/>
  <c r="AF472" i="40"/>
  <c r="P472" i="40"/>
  <c r="AB472" i="40"/>
  <c r="L472" i="40"/>
  <c r="CL472" i="40" s="1"/>
  <c r="H472" i="40"/>
  <c r="X472" i="40"/>
  <c r="I673" i="40"/>
  <c r="AJ673" i="40"/>
  <c r="AC673" i="40"/>
  <c r="JO673" i="40"/>
  <c r="AE673" i="40"/>
  <c r="JP673" i="40"/>
  <c r="AF673" i="40"/>
  <c r="CJ673" i="40"/>
  <c r="F673" i="40"/>
  <c r="CC673" i="40"/>
  <c r="BM673" i="40"/>
  <c r="AW673" i="40"/>
  <c r="DT673" i="40"/>
  <c r="BT673" i="40"/>
  <c r="BD673" i="40"/>
  <c r="BK673" i="40"/>
  <c r="C674" i="40"/>
  <c r="BR673" i="40"/>
  <c r="W673" i="40"/>
  <c r="CU673" i="40" s="1"/>
  <c r="BN673" i="40"/>
  <c r="BG673" i="40"/>
  <c r="BV673" i="40"/>
  <c r="J673" i="40"/>
  <c r="H673" i="40"/>
  <c r="BY673" i="40"/>
  <c r="BI673" i="40"/>
  <c r="AG673" i="40"/>
  <c r="CF673" i="40"/>
  <c r="BP673" i="40"/>
  <c r="DS673" i="40"/>
  <c r="BC673" i="40"/>
  <c r="DM673" i="40"/>
  <c r="BJ673" i="40"/>
  <c r="L673" i="40"/>
  <c r="CL673" i="40" s="1"/>
  <c r="O673" i="40"/>
  <c r="CO673" i="40" s="1"/>
  <c r="CE673" i="40"/>
  <c r="P673" i="40"/>
  <c r="BF673" i="40"/>
  <c r="KN673" i="40"/>
  <c r="AI673" i="40"/>
  <c r="DU673" i="40"/>
  <c r="BU673" i="40"/>
  <c r="BE673" i="40"/>
  <c r="M673" i="40"/>
  <c r="CM673" i="40" s="1"/>
  <c r="CB673" i="40"/>
  <c r="BL673" i="40"/>
  <c r="CA673" i="40"/>
  <c r="AX673" i="40"/>
  <c r="CH673" i="40"/>
  <c r="BB673" i="40"/>
  <c r="G673" i="40"/>
  <c r="DW673" i="40"/>
  <c r="AZ673" i="40"/>
  <c r="BO673" i="40"/>
  <c r="BA673" i="40"/>
  <c r="BS673" i="40"/>
  <c r="CD673" i="40"/>
  <c r="BH673" i="40"/>
  <c r="K673" i="40"/>
  <c r="A673" i="40"/>
  <c r="N673" i="40"/>
  <c r="CN673" i="40" s="1"/>
  <c r="BW673" i="40"/>
  <c r="BQ673" i="40"/>
  <c r="CG673" i="40"/>
  <c r="BX673" i="40"/>
  <c r="BZ673" i="40"/>
  <c r="DV673" i="40"/>
  <c r="AB673" i="40"/>
  <c r="AH673" i="40"/>
  <c r="Z673" i="40"/>
  <c r="X673" i="40"/>
  <c r="Q673" i="40"/>
  <c r="AA673" i="40"/>
  <c r="R673" i="40"/>
  <c r="T673" i="40"/>
  <c r="CR673" i="40" s="1"/>
  <c r="AD673" i="40"/>
  <c r="U673" i="40"/>
  <c r="CS673" i="40" s="1"/>
  <c r="E673" i="40"/>
  <c r="S673" i="40"/>
  <c r="V673" i="40"/>
  <c r="CT673" i="40" s="1"/>
  <c r="Y673" i="40"/>
  <c r="AM571" i="40"/>
  <c r="CK571" i="40"/>
  <c r="AJ373" i="40"/>
  <c r="AF373" i="40"/>
  <c r="AB373" i="40"/>
  <c r="X373" i="40"/>
  <c r="T373" i="40"/>
  <c r="CR373" i="40" s="1"/>
  <c r="P373" i="40"/>
  <c r="L373" i="40"/>
  <c r="CL373" i="40" s="1"/>
  <c r="H373" i="40"/>
  <c r="AI373" i="40"/>
  <c r="AE373" i="40"/>
  <c r="AA373" i="40"/>
  <c r="CI457" i="40" s="1"/>
  <c r="W373" i="40"/>
  <c r="CU373" i="40" s="1"/>
  <c r="S373" i="40"/>
  <c r="O373" i="40"/>
  <c r="CO373" i="40" s="1"/>
  <c r="K373" i="40"/>
  <c r="G373" i="40"/>
  <c r="AH373" i="40"/>
  <c r="AD373" i="40"/>
  <c r="Z373" i="40"/>
  <c r="V373" i="40"/>
  <c r="CT373" i="40" s="1"/>
  <c r="R373" i="40"/>
  <c r="N373" i="40"/>
  <c r="J373" i="40"/>
  <c r="F373" i="40"/>
  <c r="U373" i="40"/>
  <c r="CS373" i="40" s="1"/>
  <c r="E373" i="40"/>
  <c r="AG373" i="40"/>
  <c r="Q373" i="40"/>
  <c r="AC373" i="40"/>
  <c r="M373" i="40"/>
  <c r="Y373" i="40"/>
  <c r="I373" i="40"/>
  <c r="AG173" i="40"/>
  <c r="AC173" i="40"/>
  <c r="Y173" i="40"/>
  <c r="U173" i="40"/>
  <c r="CS173" i="40" s="1"/>
  <c r="Q173" i="40"/>
  <c r="M173" i="40"/>
  <c r="CM173" i="40" s="1"/>
  <c r="I173" i="40"/>
  <c r="E173" i="40"/>
  <c r="AJ173" i="40"/>
  <c r="AF173" i="40"/>
  <c r="AB173" i="40"/>
  <c r="X173" i="40"/>
  <c r="T173" i="40"/>
  <c r="CR173" i="40" s="1"/>
  <c r="P173" i="40"/>
  <c r="L173" i="40"/>
  <c r="CL173" i="40" s="1"/>
  <c r="H173" i="40"/>
  <c r="AI173" i="40"/>
  <c r="AE173" i="40"/>
  <c r="AA173" i="40"/>
  <c r="CI257" i="40" s="1"/>
  <c r="W173" i="40"/>
  <c r="CU173" i="40" s="1"/>
  <c r="S173" i="40"/>
  <c r="O173" i="40"/>
  <c r="CO173" i="40" s="1"/>
  <c r="K173" i="40"/>
  <c r="G173" i="40"/>
  <c r="AH173" i="40"/>
  <c r="R173" i="40"/>
  <c r="AD173" i="40"/>
  <c r="N173" i="40"/>
  <c r="CN173" i="40" s="1"/>
  <c r="F173" i="40"/>
  <c r="Z173" i="40"/>
  <c r="J173" i="40"/>
  <c r="V173" i="40"/>
  <c r="CT173" i="40" s="1"/>
  <c r="CV672" i="40"/>
  <c r="AO672" i="40"/>
  <c r="CQ672" i="40"/>
  <c r="AQ168" i="40"/>
  <c r="IF169" i="40"/>
  <c r="JD168" i="40"/>
  <c r="JT168" i="40" s="1"/>
  <c r="JX168" i="40" s="1"/>
  <c r="IE169" i="40"/>
  <c r="KP168" i="40"/>
  <c r="JQ167" i="40"/>
  <c r="JU167" i="40" s="1"/>
  <c r="JV167" i="40" s="1"/>
  <c r="JW167" i="40" s="1"/>
  <c r="CK471" i="40"/>
  <c r="AM471" i="40"/>
  <c r="CQ471" i="40"/>
  <c r="AO471" i="40"/>
  <c r="DB471" i="40"/>
  <c r="CM472" i="40"/>
  <c r="AX472" i="40"/>
  <c r="BO472" i="40"/>
  <c r="CE472" i="40"/>
  <c r="CN472" i="40"/>
  <c r="AZ472" i="40"/>
  <c r="BP472" i="40"/>
  <c r="CF472" i="40"/>
  <c r="BA472" i="40"/>
  <c r="BQ472" i="40"/>
  <c r="CG472" i="40"/>
  <c r="AW472" i="40"/>
  <c r="BJ472" i="40"/>
  <c r="DT472" i="40"/>
  <c r="HZ472" i="40"/>
  <c r="IX472" i="40"/>
  <c r="BC472" i="40"/>
  <c r="BS472" i="40"/>
  <c r="CJ472" i="40"/>
  <c r="BT472" i="40"/>
  <c r="DM472" i="40"/>
  <c r="BE472" i="40"/>
  <c r="BU472" i="40"/>
  <c r="BN472" i="40"/>
  <c r="BB472" i="40"/>
  <c r="JO472" i="40"/>
  <c r="IY472" i="40"/>
  <c r="C473" i="40"/>
  <c r="BG472" i="40"/>
  <c r="DU472" i="40"/>
  <c r="BH472" i="40"/>
  <c r="DV472" i="40"/>
  <c r="BY472" i="40"/>
  <c r="DW472" i="40"/>
  <c r="BR472" i="40"/>
  <c r="CB472" i="40"/>
  <c r="BM472" i="40"/>
  <c r="BZ472" i="40"/>
  <c r="BD472" i="40"/>
  <c r="DS472" i="40"/>
  <c r="IZ472" i="40"/>
  <c r="HY472" i="40"/>
  <c r="CA472" i="40"/>
  <c r="BL472" i="40"/>
  <c r="BV472" i="40"/>
  <c r="BW472" i="40"/>
  <c r="BX472" i="40"/>
  <c r="BI472" i="40"/>
  <c r="CD472" i="40"/>
  <c r="BF472" i="40"/>
  <c r="JP472" i="40"/>
  <c r="A472" i="40"/>
  <c r="BK472" i="40"/>
  <c r="CC472" i="40"/>
  <c r="CH472" i="40"/>
  <c r="IA472" i="40"/>
  <c r="AN471" i="40"/>
  <c r="CP471" i="40"/>
  <c r="AP471" i="40"/>
  <c r="AM272" i="40"/>
  <c r="CK272" i="40"/>
  <c r="HW171" i="40"/>
  <c r="CP272" i="40"/>
  <c r="AN272" i="40"/>
  <c r="AX273" i="40"/>
  <c r="BO273" i="40"/>
  <c r="CE273" i="40"/>
  <c r="AZ273" i="40"/>
  <c r="BP273" i="40"/>
  <c r="CF273" i="40"/>
  <c r="CN273" i="40"/>
  <c r="BA273" i="40"/>
  <c r="BQ273" i="40"/>
  <c r="CG273" i="40"/>
  <c r="AW273" i="40"/>
  <c r="BB273" i="40"/>
  <c r="BF273" i="40"/>
  <c r="IZ273" i="40"/>
  <c r="DT273" i="40"/>
  <c r="BC273" i="40"/>
  <c r="BS273" i="40"/>
  <c r="CJ273" i="40"/>
  <c r="BD273" i="40"/>
  <c r="BT273" i="40"/>
  <c r="DM273" i="40"/>
  <c r="BE273" i="40"/>
  <c r="BU273" i="40"/>
  <c r="DS273" i="40"/>
  <c r="BJ273" i="40"/>
  <c r="BN273" i="40"/>
  <c r="BR273" i="40"/>
  <c r="BV273" i="40"/>
  <c r="IX273" i="40"/>
  <c r="IY273" i="40"/>
  <c r="BG273" i="40"/>
  <c r="BW273" i="40"/>
  <c r="DU273" i="40"/>
  <c r="BH273" i="40"/>
  <c r="BX273" i="40"/>
  <c r="DV273" i="40"/>
  <c r="BI273" i="40"/>
  <c r="BY273" i="40"/>
  <c r="DW273" i="40"/>
  <c r="BZ273" i="40"/>
  <c r="CD273" i="40"/>
  <c r="CH273" i="40"/>
  <c r="IA273" i="40"/>
  <c r="HZ273" i="40"/>
  <c r="JP273" i="40"/>
  <c r="C274" i="40"/>
  <c r="BK273" i="40"/>
  <c r="CA273" i="40"/>
  <c r="A273" i="40"/>
  <c r="BL273" i="40"/>
  <c r="CB273" i="40"/>
  <c r="BM273" i="40"/>
  <c r="CC273" i="40"/>
  <c r="JO273" i="40"/>
  <c r="HY273" i="40"/>
  <c r="AP272" i="40"/>
  <c r="CQ272" i="40"/>
  <c r="AO272" i="40"/>
  <c r="DB272" i="40"/>
  <c r="CV272" i="40"/>
  <c r="DB172" i="40"/>
  <c r="JJ170" i="40"/>
  <c r="JK170" i="40" s="1"/>
  <c r="JL170" i="40" s="1"/>
  <c r="IO172" i="40"/>
  <c r="JA172" i="40" s="1"/>
  <c r="HS172" i="40"/>
  <c r="AO372" i="40"/>
  <c r="CQ372" i="40"/>
  <c r="C374" i="40"/>
  <c r="A373" i="40"/>
  <c r="CM373" i="40"/>
  <c r="AZ373" i="40"/>
  <c r="BD373" i="40"/>
  <c r="BH373" i="40"/>
  <c r="BL373" i="40"/>
  <c r="BP373" i="40"/>
  <c r="BT373" i="40"/>
  <c r="BX373" i="40"/>
  <c r="CB373" i="40"/>
  <c r="CF373" i="40"/>
  <c r="DM373" i="40"/>
  <c r="DV373" i="40"/>
  <c r="CN373" i="40"/>
  <c r="BA373" i="40"/>
  <c r="BE373" i="40"/>
  <c r="BI373" i="40"/>
  <c r="BM373" i="40"/>
  <c r="BQ373" i="40"/>
  <c r="BU373" i="40"/>
  <c r="BY373" i="40"/>
  <c r="CC373" i="40"/>
  <c r="CG373" i="40"/>
  <c r="DS373" i="40"/>
  <c r="DW373" i="40"/>
  <c r="AW373" i="40"/>
  <c r="BB373" i="40"/>
  <c r="BF373" i="40"/>
  <c r="BJ373" i="40"/>
  <c r="BN373" i="40"/>
  <c r="BR373" i="40"/>
  <c r="BV373" i="40"/>
  <c r="BZ373" i="40"/>
  <c r="CD373" i="40"/>
  <c r="CH373" i="40"/>
  <c r="DT373" i="40"/>
  <c r="BC373" i="40"/>
  <c r="BS373" i="40"/>
  <c r="CJ373" i="40"/>
  <c r="BG373" i="40"/>
  <c r="BW373" i="40"/>
  <c r="DU373" i="40"/>
  <c r="BK373" i="40"/>
  <c r="CA373" i="40"/>
  <c r="AX373" i="40"/>
  <c r="BO373" i="40"/>
  <c r="JO373" i="40"/>
  <c r="CE373" i="40"/>
  <c r="IY373" i="40"/>
  <c r="HZ373" i="40"/>
  <c r="IX373" i="40"/>
  <c r="IZ373" i="40"/>
  <c r="IA373" i="40"/>
  <c r="HY373" i="40"/>
  <c r="JP373" i="40"/>
  <c r="AO172" i="40"/>
  <c r="CQ172" i="40"/>
  <c r="HR172" i="40"/>
  <c r="CV372" i="40"/>
  <c r="CP372" i="40"/>
  <c r="AN372" i="40"/>
  <c r="JI171" i="40"/>
  <c r="KT115" i="40"/>
  <c r="KU114" i="40"/>
  <c r="I28" i="70" s="1"/>
  <c r="HM172" i="40"/>
  <c r="IK173" i="40"/>
  <c r="IN173" i="40" s="1"/>
  <c r="II173" i="40"/>
  <c r="IL173" i="40" s="1"/>
  <c r="IJ173" i="40"/>
  <c r="IM173" i="40" s="1"/>
  <c r="C174" i="40"/>
  <c r="JF173" i="40"/>
  <c r="HO173" i="40" s="1"/>
  <c r="AZ173" i="40"/>
  <c r="BD173" i="40"/>
  <c r="BH173" i="40"/>
  <c r="BL173" i="40"/>
  <c r="BP173" i="40"/>
  <c r="BT173" i="40"/>
  <c r="BX173" i="40"/>
  <c r="CB173" i="40"/>
  <c r="CF173" i="40"/>
  <c r="DM173" i="40"/>
  <c r="DV173" i="40"/>
  <c r="BA173" i="40"/>
  <c r="BE173" i="40"/>
  <c r="BI173" i="40"/>
  <c r="BM173" i="40"/>
  <c r="BQ173" i="40"/>
  <c r="BU173" i="40"/>
  <c r="BY173" i="40"/>
  <c r="CC173" i="40"/>
  <c r="CG173" i="40"/>
  <c r="DS173" i="40"/>
  <c r="DW173" i="40"/>
  <c r="AW173" i="40"/>
  <c r="BB173" i="40"/>
  <c r="BF173" i="40"/>
  <c r="BJ173" i="40"/>
  <c r="BN173" i="40"/>
  <c r="BR173" i="40"/>
  <c r="BV173" i="40"/>
  <c r="BZ173" i="40"/>
  <c r="CD173" i="40"/>
  <c r="CH173" i="40"/>
  <c r="DT173" i="40"/>
  <c r="BC173" i="40"/>
  <c r="BS173" i="40"/>
  <c r="CJ173" i="40"/>
  <c r="A173" i="40"/>
  <c r="BG173" i="40"/>
  <c r="BW173" i="40"/>
  <c r="DU173" i="40"/>
  <c r="BK173" i="40"/>
  <c r="CA173" i="40"/>
  <c r="AX173" i="40"/>
  <c r="BO173" i="40"/>
  <c r="CE173" i="40"/>
  <c r="JO173" i="40"/>
  <c r="IA173" i="40"/>
  <c r="IX173" i="40"/>
  <c r="IZ173" i="40"/>
  <c r="HY173" i="40"/>
  <c r="HZ173" i="40"/>
  <c r="IY173" i="40"/>
  <c r="JP173" i="40"/>
  <c r="JG173" i="40"/>
  <c r="HU172" i="40"/>
  <c r="KR167" i="40"/>
  <c r="IB170" i="40"/>
  <c r="CV172" i="40"/>
  <c r="AL172" i="40"/>
  <c r="AK172" i="40"/>
  <c r="CP172" i="40"/>
  <c r="HX172" i="40" s="1"/>
  <c r="AN172" i="40"/>
  <c r="AP172" i="40"/>
  <c r="HN172" i="40"/>
  <c r="HQ172" i="40" s="1"/>
  <c r="CK172" i="40"/>
  <c r="AM172" i="40"/>
  <c r="IQ172" i="40"/>
  <c r="JC172" i="40" s="1"/>
  <c r="IP172" i="40"/>
  <c r="JB172" i="40" s="1"/>
  <c r="HT172" i="40"/>
  <c r="DB372" i="40"/>
  <c r="AP372" i="40"/>
  <c r="CK372" i="40"/>
  <c r="AM372" i="40"/>
  <c r="JM169" i="40"/>
  <c r="KJ168" i="40"/>
  <c r="KI168" i="40"/>
  <c r="KK168" i="40"/>
  <c r="KO168" i="40"/>
  <c r="HQ171" i="40"/>
  <c r="JH171" i="40" s="1"/>
  <c r="HY672" i="40" l="1"/>
  <c r="IX672" i="40" s="1"/>
  <c r="CI173" i="40"/>
  <c r="CI556" i="40"/>
  <c r="CI357" i="40"/>
  <c r="CI656" i="40"/>
  <c r="JJ171" i="40"/>
  <c r="KQ168" i="40"/>
  <c r="KS168" i="40" s="1"/>
  <c r="JS168" i="40"/>
  <c r="IA672" i="40"/>
  <c r="IZ672" i="40" s="1"/>
  <c r="DB572" i="40"/>
  <c r="AP673" i="40"/>
  <c r="DB472" i="40"/>
  <c r="HZ672" i="40"/>
  <c r="IY672" i="40" s="1"/>
  <c r="JQ168" i="40"/>
  <c r="JU168" i="40" s="1"/>
  <c r="JV168" i="40" s="1"/>
  <c r="JW168" i="40" s="1"/>
  <c r="JD169" i="40"/>
  <c r="JQ169" i="40" s="1"/>
  <c r="JU169" i="40" s="1"/>
  <c r="JV169" i="40" s="1"/>
  <c r="JW169" i="40" s="1"/>
  <c r="CK673" i="40"/>
  <c r="AM673" i="40"/>
  <c r="DB673" i="40"/>
  <c r="CV572" i="40"/>
  <c r="CQ572" i="40"/>
  <c r="AO572" i="40"/>
  <c r="AJ374" i="40"/>
  <c r="AF374" i="40"/>
  <c r="AB374" i="40"/>
  <c r="X374" i="40"/>
  <c r="T374" i="40"/>
  <c r="CR374" i="40" s="1"/>
  <c r="P374" i="40"/>
  <c r="L374" i="40"/>
  <c r="CL374" i="40" s="1"/>
  <c r="H374" i="40"/>
  <c r="AI374" i="40"/>
  <c r="AE374" i="40"/>
  <c r="AA374" i="40"/>
  <c r="CI458" i="40" s="1"/>
  <c r="W374" i="40"/>
  <c r="CU374" i="40" s="1"/>
  <c r="S374" i="40"/>
  <c r="O374" i="40"/>
  <c r="CO374" i="40" s="1"/>
  <c r="K374" i="40"/>
  <c r="G374" i="40"/>
  <c r="AH374" i="40"/>
  <c r="AD374" i="40"/>
  <c r="Z374" i="40"/>
  <c r="V374" i="40"/>
  <c r="CT374" i="40" s="1"/>
  <c r="R374" i="40"/>
  <c r="N374" i="40"/>
  <c r="CN374" i="40" s="1"/>
  <c r="J374" i="40"/>
  <c r="F374" i="40"/>
  <c r="U374" i="40"/>
  <c r="CS374" i="40" s="1"/>
  <c r="E374" i="40"/>
  <c r="AG374" i="40"/>
  <c r="Q374" i="40"/>
  <c r="AC374" i="40"/>
  <c r="M374" i="40"/>
  <c r="CM374" i="40" s="1"/>
  <c r="I374" i="40"/>
  <c r="Y374" i="40"/>
  <c r="AH274" i="40"/>
  <c r="AD274" i="40"/>
  <c r="Z274" i="40"/>
  <c r="V274" i="40"/>
  <c r="CT274" i="40" s="1"/>
  <c r="R274" i="40"/>
  <c r="N274" i="40"/>
  <c r="CN274" i="40" s="1"/>
  <c r="J274" i="40"/>
  <c r="F274" i="40"/>
  <c r="AG274" i="40"/>
  <c r="AC274" i="40"/>
  <c r="Y274" i="40"/>
  <c r="U274" i="40"/>
  <c r="CS274" i="40" s="1"/>
  <c r="Q274" i="40"/>
  <c r="M274" i="40"/>
  <c r="CM274" i="40" s="1"/>
  <c r="I274" i="40"/>
  <c r="E274" i="40"/>
  <c r="AJ274" i="40"/>
  <c r="AF274" i="40"/>
  <c r="AB274" i="40"/>
  <c r="X274" i="40"/>
  <c r="T274" i="40"/>
  <c r="CR274" i="40" s="1"/>
  <c r="P274" i="40"/>
  <c r="L274" i="40"/>
  <c r="CL274" i="40" s="1"/>
  <c r="H274" i="40"/>
  <c r="AA274" i="40"/>
  <c r="K274" i="40"/>
  <c r="W274" i="40"/>
  <c r="CU274" i="40" s="1"/>
  <c r="G274" i="40"/>
  <c r="AI274" i="40"/>
  <c r="S274" i="40"/>
  <c r="AE274" i="40"/>
  <c r="O274" i="40"/>
  <c r="AI473" i="40"/>
  <c r="AE473" i="40"/>
  <c r="AA473" i="40"/>
  <c r="W473" i="40"/>
  <c r="CU473" i="40" s="1"/>
  <c r="S473" i="40"/>
  <c r="O473" i="40"/>
  <c r="CO473" i="40" s="1"/>
  <c r="K473" i="40"/>
  <c r="G473" i="40"/>
  <c r="AH473" i="40"/>
  <c r="AD473" i="40"/>
  <c r="Z473" i="40"/>
  <c r="V473" i="40"/>
  <c r="CT473" i="40" s="1"/>
  <c r="R473" i="40"/>
  <c r="N473" i="40"/>
  <c r="CN473" i="40" s="1"/>
  <c r="J473" i="40"/>
  <c r="F473" i="40"/>
  <c r="AG473" i="40"/>
  <c r="AC473" i="40"/>
  <c r="Y473" i="40"/>
  <c r="U473" i="40"/>
  <c r="CS473" i="40" s="1"/>
  <c r="Q473" i="40"/>
  <c r="M473" i="40"/>
  <c r="CM473" i="40" s="1"/>
  <c r="I473" i="40"/>
  <c r="E473" i="40"/>
  <c r="AJ473" i="40"/>
  <c r="T473" i="40"/>
  <c r="CR473" i="40" s="1"/>
  <c r="AF473" i="40"/>
  <c r="P473" i="40"/>
  <c r="AB473" i="40"/>
  <c r="L473" i="40"/>
  <c r="CL473" i="40" s="1"/>
  <c r="X473" i="40"/>
  <c r="H473" i="40"/>
  <c r="CV673" i="40"/>
  <c r="CP673" i="40"/>
  <c r="AF674" i="40"/>
  <c r="JO674" i="40"/>
  <c r="H674" i="40"/>
  <c r="AI674" i="40"/>
  <c r="F674" i="40"/>
  <c r="CJ674" i="40"/>
  <c r="JP674" i="40"/>
  <c r="I674" i="40"/>
  <c r="AJ674" i="40"/>
  <c r="AC674" i="40"/>
  <c r="KN674" i="40"/>
  <c r="AE674" i="40"/>
  <c r="DM674" i="40"/>
  <c r="BV674" i="40"/>
  <c r="BF674" i="40"/>
  <c r="N674" i="40"/>
  <c r="CN674" i="40" s="1"/>
  <c r="CC674" i="40"/>
  <c r="BM674" i="40"/>
  <c r="AW674" i="40"/>
  <c r="DT674" i="40"/>
  <c r="BD674" i="40"/>
  <c r="CA674" i="40"/>
  <c r="K674" i="40"/>
  <c r="BG674" i="40"/>
  <c r="BP674" i="40"/>
  <c r="BO674" i="40"/>
  <c r="CH674" i="40"/>
  <c r="BR674" i="40"/>
  <c r="BB674" i="40"/>
  <c r="J674" i="40"/>
  <c r="BY674" i="40"/>
  <c r="BI674" i="40"/>
  <c r="AG674" i="40"/>
  <c r="CB674" i="40"/>
  <c r="AB674" i="40"/>
  <c r="BS674" i="40"/>
  <c r="BX674" i="40"/>
  <c r="W674" i="40"/>
  <c r="CU674" i="40" s="1"/>
  <c r="AZ674" i="40"/>
  <c r="BH674" i="40"/>
  <c r="C675" i="40"/>
  <c r="CD674" i="40"/>
  <c r="BN674" i="40"/>
  <c r="AX674" i="40"/>
  <c r="DU674" i="40"/>
  <c r="BU674" i="40"/>
  <c r="BE674" i="40"/>
  <c r="M674" i="40"/>
  <c r="CM674" i="40" s="1"/>
  <c r="BT674" i="40"/>
  <c r="L674" i="40"/>
  <c r="CL674" i="40" s="1"/>
  <c r="BK674" i="40"/>
  <c r="DW674" i="40"/>
  <c r="G674" i="40"/>
  <c r="P674" i="40"/>
  <c r="O674" i="40"/>
  <c r="CO674" i="40" s="1"/>
  <c r="DV674" i="40"/>
  <c r="CG674" i="40"/>
  <c r="BL674" i="40"/>
  <c r="CF674" i="40"/>
  <c r="BW674" i="40"/>
  <c r="BZ674" i="40"/>
  <c r="BQ674" i="40"/>
  <c r="DS674" i="40"/>
  <c r="CE674" i="40"/>
  <c r="AH674" i="40"/>
  <c r="BJ674" i="40"/>
  <c r="BA674" i="40"/>
  <c r="BC674" i="40"/>
  <c r="A674" i="40"/>
  <c r="Z674" i="40"/>
  <c r="X674" i="40"/>
  <c r="Q674" i="40"/>
  <c r="AD674" i="40"/>
  <c r="T674" i="40"/>
  <c r="CR674" i="40" s="1"/>
  <c r="AA674" i="40"/>
  <c r="R674" i="40"/>
  <c r="S674" i="40"/>
  <c r="U674" i="40"/>
  <c r="CS674" i="40" s="1"/>
  <c r="V674" i="40"/>
  <c r="CT674" i="40" s="1"/>
  <c r="E674" i="40"/>
  <c r="Y674" i="40"/>
  <c r="AO673" i="40"/>
  <c r="CQ673" i="40"/>
  <c r="AG174" i="40"/>
  <c r="AC174" i="40"/>
  <c r="Y174" i="40"/>
  <c r="U174" i="40"/>
  <c r="CS174" i="40" s="1"/>
  <c r="Q174" i="40"/>
  <c r="M174" i="40"/>
  <c r="CM174" i="40" s="1"/>
  <c r="I174" i="40"/>
  <c r="E174" i="40"/>
  <c r="AJ174" i="40"/>
  <c r="AF174" i="40"/>
  <c r="AB174" i="40"/>
  <c r="X174" i="40"/>
  <c r="T174" i="40"/>
  <c r="CR174" i="40" s="1"/>
  <c r="P174" i="40"/>
  <c r="L174" i="40"/>
  <c r="CL174" i="40" s="1"/>
  <c r="H174" i="40"/>
  <c r="AI174" i="40"/>
  <c r="AE174" i="40"/>
  <c r="AA174" i="40"/>
  <c r="CI258" i="40" s="1"/>
  <c r="W174" i="40"/>
  <c r="CU174" i="40" s="1"/>
  <c r="S174" i="40"/>
  <c r="O174" i="40"/>
  <c r="CO174" i="40" s="1"/>
  <c r="K174" i="40"/>
  <c r="G174" i="40"/>
  <c r="AH174" i="40"/>
  <c r="R174" i="40"/>
  <c r="F174" i="40"/>
  <c r="IO174" i="40" s="1"/>
  <c r="AD174" i="40"/>
  <c r="N174" i="40"/>
  <c r="CN174" i="40" s="1"/>
  <c r="V174" i="40"/>
  <c r="CT174" i="40" s="1"/>
  <c r="Z174" i="40"/>
  <c r="J174" i="40"/>
  <c r="AN673" i="40"/>
  <c r="AI573" i="40"/>
  <c r="AE573" i="40"/>
  <c r="AA573" i="40"/>
  <c r="W573" i="40"/>
  <c r="CU573" i="40" s="1"/>
  <c r="S573" i="40"/>
  <c r="O573" i="40"/>
  <c r="CO573" i="40" s="1"/>
  <c r="K573" i="40"/>
  <c r="G573" i="40"/>
  <c r="AH573" i="40"/>
  <c r="AD573" i="40"/>
  <c r="Z573" i="40"/>
  <c r="V573" i="40"/>
  <c r="CT573" i="40" s="1"/>
  <c r="R573" i="40"/>
  <c r="N573" i="40"/>
  <c r="CN573" i="40" s="1"/>
  <c r="J573" i="40"/>
  <c r="F573" i="40"/>
  <c r="AG573" i="40"/>
  <c r="Y573" i="40"/>
  <c r="Q573" i="40"/>
  <c r="I573" i="40"/>
  <c r="AF573" i="40"/>
  <c r="X573" i="40"/>
  <c r="P573" i="40"/>
  <c r="H573" i="40"/>
  <c r="AC573" i="40"/>
  <c r="U573" i="40"/>
  <c r="CS573" i="40" s="1"/>
  <c r="M573" i="40"/>
  <c r="CM573" i="40" s="1"/>
  <c r="E573" i="40"/>
  <c r="T573" i="40"/>
  <c r="CR573" i="40" s="1"/>
  <c r="L573" i="40"/>
  <c r="CL573" i="40" s="1"/>
  <c r="AJ573" i="40"/>
  <c r="AB573" i="40"/>
  <c r="AW573" i="40"/>
  <c r="BN573" i="40"/>
  <c r="CD573" i="40"/>
  <c r="BK573" i="40"/>
  <c r="CA573" i="40"/>
  <c r="A573" i="40"/>
  <c r="BH573" i="40"/>
  <c r="BX573" i="40"/>
  <c r="DV573" i="40"/>
  <c r="JO573" i="40"/>
  <c r="CG573" i="40"/>
  <c r="BU573" i="40"/>
  <c r="HZ573" i="40"/>
  <c r="JP573" i="40"/>
  <c r="BJ573" i="40"/>
  <c r="BZ573" i="40"/>
  <c r="BW573" i="40"/>
  <c r="DU573" i="40"/>
  <c r="BD573" i="40"/>
  <c r="BT573" i="40"/>
  <c r="DM573" i="40"/>
  <c r="CC573" i="40"/>
  <c r="BE573" i="40"/>
  <c r="HY573" i="40"/>
  <c r="BB573" i="40"/>
  <c r="BR573" i="40"/>
  <c r="CH573" i="40"/>
  <c r="AX573" i="40"/>
  <c r="BO573" i="40"/>
  <c r="CE573" i="40"/>
  <c r="BL573" i="40"/>
  <c r="CB573" i="40"/>
  <c r="BI573" i="40"/>
  <c r="BY573" i="40"/>
  <c r="DS573" i="40"/>
  <c r="IY573" i="40"/>
  <c r="BG573" i="40"/>
  <c r="BQ573" i="40"/>
  <c r="IZ573" i="40"/>
  <c r="BF573" i="40"/>
  <c r="BV573" i="40"/>
  <c r="DT573" i="40"/>
  <c r="BC573" i="40"/>
  <c r="BS573" i="40"/>
  <c r="CJ573" i="40"/>
  <c r="AZ573" i="40"/>
  <c r="BP573" i="40"/>
  <c r="CF573" i="40"/>
  <c r="BM573" i="40"/>
  <c r="BA573" i="40"/>
  <c r="DW573" i="40"/>
  <c r="IA573" i="40"/>
  <c r="C574" i="40"/>
  <c r="IX573" i="40"/>
  <c r="AP572" i="40"/>
  <c r="CP572" i="40"/>
  <c r="AN572" i="40"/>
  <c r="CK572" i="40"/>
  <c r="AM572" i="40"/>
  <c r="AQ169" i="40"/>
  <c r="KP169" i="40"/>
  <c r="JR168" i="40"/>
  <c r="CV472" i="40"/>
  <c r="CK472" i="40"/>
  <c r="AM472" i="40"/>
  <c r="AP472" i="40"/>
  <c r="CP472" i="40"/>
  <c r="AN472" i="40"/>
  <c r="AO472" i="40"/>
  <c r="CQ472" i="40"/>
  <c r="C474" i="40"/>
  <c r="BI473" i="40"/>
  <c r="BY473" i="40"/>
  <c r="DW473" i="40"/>
  <c r="BF473" i="40"/>
  <c r="BV473" i="40"/>
  <c r="DT473" i="40"/>
  <c r="BK473" i="40"/>
  <c r="CA473" i="40"/>
  <c r="A473" i="40"/>
  <c r="BP473" i="40"/>
  <c r="BH473" i="40"/>
  <c r="HZ473" i="40"/>
  <c r="IY473" i="40"/>
  <c r="BM473" i="40"/>
  <c r="CC473" i="40"/>
  <c r="BJ473" i="40"/>
  <c r="BZ473" i="40"/>
  <c r="AX473" i="40"/>
  <c r="BO473" i="40"/>
  <c r="CE473" i="40"/>
  <c r="BL473" i="40"/>
  <c r="BX473" i="40"/>
  <c r="CF473" i="40"/>
  <c r="BD473" i="40"/>
  <c r="HY473" i="40"/>
  <c r="IX473" i="40"/>
  <c r="BA473" i="40"/>
  <c r="BQ473" i="40"/>
  <c r="CG473" i="40"/>
  <c r="AW473" i="40"/>
  <c r="BN473" i="40"/>
  <c r="CD473" i="40"/>
  <c r="BC473" i="40"/>
  <c r="BS473" i="40"/>
  <c r="CJ473" i="40"/>
  <c r="CB473" i="40"/>
  <c r="BT473" i="40"/>
  <c r="IA473" i="40"/>
  <c r="JP473" i="40"/>
  <c r="BE473" i="40"/>
  <c r="BU473" i="40"/>
  <c r="DS473" i="40"/>
  <c r="BB473" i="40"/>
  <c r="BR473" i="40"/>
  <c r="CH473" i="40"/>
  <c r="BG473" i="40"/>
  <c r="BW473" i="40"/>
  <c r="DU473" i="40"/>
  <c r="JO473" i="40"/>
  <c r="AZ473" i="40"/>
  <c r="DV473" i="40"/>
  <c r="DM473" i="40"/>
  <c r="IZ473" i="40"/>
  <c r="AP273" i="40"/>
  <c r="DB273" i="40"/>
  <c r="AN273" i="40"/>
  <c r="CP273" i="40"/>
  <c r="CV273" i="40"/>
  <c r="CK273" i="40"/>
  <c r="AM273" i="40"/>
  <c r="BM274" i="40"/>
  <c r="CC274" i="40"/>
  <c r="BJ274" i="40"/>
  <c r="BZ274" i="40"/>
  <c r="AX274" i="40"/>
  <c r="BO274" i="40"/>
  <c r="CE274" i="40"/>
  <c r="AZ274" i="40"/>
  <c r="BD274" i="40"/>
  <c r="HZ274" i="40"/>
  <c r="BA274" i="40"/>
  <c r="BQ274" i="40"/>
  <c r="CG274" i="40"/>
  <c r="AW274" i="40"/>
  <c r="BN274" i="40"/>
  <c r="CD274" i="40"/>
  <c r="BC274" i="40"/>
  <c r="BS274" i="40"/>
  <c r="CJ274" i="40"/>
  <c r="BH274" i="40"/>
  <c r="BL274" i="40"/>
  <c r="BP274" i="40"/>
  <c r="BT274" i="40"/>
  <c r="IX274" i="40"/>
  <c r="IY274" i="40"/>
  <c r="CA274" i="40"/>
  <c r="A274" i="40"/>
  <c r="DV274" i="40"/>
  <c r="HY274" i="40"/>
  <c r="BE274" i="40"/>
  <c r="BU274" i="40"/>
  <c r="DS274" i="40"/>
  <c r="BB274" i="40"/>
  <c r="BR274" i="40"/>
  <c r="CH274" i="40"/>
  <c r="BG274" i="40"/>
  <c r="BW274" i="40"/>
  <c r="DU274" i="40"/>
  <c r="BX274" i="40"/>
  <c r="CB274" i="40"/>
  <c r="CF274" i="40"/>
  <c r="JO274" i="40"/>
  <c r="IZ274" i="40"/>
  <c r="IA274" i="40"/>
  <c r="JP274" i="40"/>
  <c r="C275" i="40"/>
  <c r="BI274" i="40"/>
  <c r="BY274" i="40"/>
  <c r="DW274" i="40"/>
  <c r="BF274" i="40"/>
  <c r="BV274" i="40"/>
  <c r="DT274" i="40"/>
  <c r="CO274" i="40"/>
  <c r="BK274" i="40"/>
  <c r="DM274" i="40"/>
  <c r="CQ273" i="40"/>
  <c r="AO273" i="40"/>
  <c r="HM173" i="40"/>
  <c r="HP173" i="40" s="1"/>
  <c r="DB373" i="40"/>
  <c r="D172" i="40"/>
  <c r="AY172" i="40" s="1"/>
  <c r="AP173" i="40"/>
  <c r="IC171" i="40"/>
  <c r="IB171" i="40" s="1"/>
  <c r="IE170" i="40"/>
  <c r="IG170" i="40"/>
  <c r="JI172" i="40"/>
  <c r="CQ173" i="40"/>
  <c r="AO173" i="40"/>
  <c r="IQ173" i="40"/>
  <c r="JC173" i="40" s="1"/>
  <c r="CK173" i="40"/>
  <c r="AM173" i="40"/>
  <c r="IO173" i="40"/>
  <c r="JA173" i="40" s="1"/>
  <c r="HS173" i="40"/>
  <c r="KT116" i="40"/>
  <c r="KU115" i="40"/>
  <c r="ID172" i="40"/>
  <c r="CQ373" i="40"/>
  <c r="AO373" i="40"/>
  <c r="HW172" i="40"/>
  <c r="IC172" i="40" s="1"/>
  <c r="KR168" i="40"/>
  <c r="CP373" i="40"/>
  <c r="AN373" i="40"/>
  <c r="C375" i="40"/>
  <c r="BA374" i="40"/>
  <c r="BE374" i="40"/>
  <c r="BI374" i="40"/>
  <c r="BM374" i="40"/>
  <c r="BQ374" i="40"/>
  <c r="BU374" i="40"/>
  <c r="BY374" i="40"/>
  <c r="CC374" i="40"/>
  <c r="CG374" i="40"/>
  <c r="DS374" i="40"/>
  <c r="DW374" i="40"/>
  <c r="AW374" i="40"/>
  <c r="BB374" i="40"/>
  <c r="BF374" i="40"/>
  <c r="BJ374" i="40"/>
  <c r="BN374" i="40"/>
  <c r="BR374" i="40"/>
  <c r="BV374" i="40"/>
  <c r="BZ374" i="40"/>
  <c r="CD374" i="40"/>
  <c r="CH374" i="40"/>
  <c r="DT374" i="40"/>
  <c r="A374" i="40"/>
  <c r="AX374" i="40"/>
  <c r="BC374" i="40"/>
  <c r="BG374" i="40"/>
  <c r="BK374" i="40"/>
  <c r="BO374" i="40"/>
  <c r="BS374" i="40"/>
  <c r="BW374" i="40"/>
  <c r="CA374" i="40"/>
  <c r="CE374" i="40"/>
  <c r="CJ374" i="40"/>
  <c r="DU374" i="40"/>
  <c r="AZ374" i="40"/>
  <c r="BP374" i="40"/>
  <c r="CF374" i="40"/>
  <c r="BD374" i="40"/>
  <c r="BT374" i="40"/>
  <c r="DM374" i="40"/>
  <c r="BH374" i="40"/>
  <c r="BX374" i="40"/>
  <c r="DV374" i="40"/>
  <c r="BL374" i="40"/>
  <c r="JO374" i="40"/>
  <c r="CB374" i="40"/>
  <c r="IY374" i="40"/>
  <c r="IX374" i="40"/>
  <c r="IZ374" i="40"/>
  <c r="HZ374" i="40"/>
  <c r="IA374" i="40"/>
  <c r="HY374" i="40"/>
  <c r="JP374" i="40"/>
  <c r="HV172" i="40"/>
  <c r="HU173" i="40"/>
  <c r="CV173" i="40"/>
  <c r="AL173" i="40"/>
  <c r="AK173" i="40"/>
  <c r="CP173" i="40"/>
  <c r="HW173" i="40" s="1"/>
  <c r="AN173" i="40"/>
  <c r="HN173" i="40"/>
  <c r="IP173" i="40"/>
  <c r="JB173" i="40" s="1"/>
  <c r="IK174" i="40"/>
  <c r="IN174" i="40" s="1"/>
  <c r="IJ174" i="40"/>
  <c r="IM174" i="40" s="1"/>
  <c r="JF174" i="40"/>
  <c r="HO174" i="40" s="1"/>
  <c r="C175" i="40"/>
  <c r="II174" i="40"/>
  <c r="IL174" i="40" s="1"/>
  <c r="AZ174" i="40"/>
  <c r="BD174" i="40"/>
  <c r="BH174" i="40"/>
  <c r="BL174" i="40"/>
  <c r="BP174" i="40"/>
  <c r="BT174" i="40"/>
  <c r="BX174" i="40"/>
  <c r="CB174" i="40"/>
  <c r="CF174" i="40"/>
  <c r="DT174" i="40"/>
  <c r="BA174" i="40"/>
  <c r="BE174" i="40"/>
  <c r="BI174" i="40"/>
  <c r="BM174" i="40"/>
  <c r="BQ174" i="40"/>
  <c r="BU174" i="40"/>
  <c r="BY174" i="40"/>
  <c r="CC174" i="40"/>
  <c r="CG174" i="40"/>
  <c r="DU174" i="40"/>
  <c r="A174" i="40"/>
  <c r="AW174" i="40"/>
  <c r="BB174" i="40"/>
  <c r="BF174" i="40"/>
  <c r="BJ174" i="40"/>
  <c r="BN174" i="40"/>
  <c r="BR174" i="40"/>
  <c r="BV174" i="40"/>
  <c r="BZ174" i="40"/>
  <c r="CD174" i="40"/>
  <c r="CH174" i="40"/>
  <c r="DM174" i="40"/>
  <c r="DV174" i="40"/>
  <c r="AX174" i="40"/>
  <c r="BO174" i="40"/>
  <c r="CE174" i="40"/>
  <c r="BC174" i="40"/>
  <c r="BS174" i="40"/>
  <c r="CJ174" i="40"/>
  <c r="BG174" i="40"/>
  <c r="BW174" i="40"/>
  <c r="DS174" i="40"/>
  <c r="BK174" i="40"/>
  <c r="CA174" i="40"/>
  <c r="DW174" i="40"/>
  <c r="JO174" i="40"/>
  <c r="HY174" i="40"/>
  <c r="IZ174" i="40"/>
  <c r="HZ174" i="40"/>
  <c r="IX174" i="40"/>
  <c r="IA174" i="40"/>
  <c r="IY174" i="40"/>
  <c r="JP174" i="40"/>
  <c r="JG174" i="40"/>
  <c r="HP172" i="40"/>
  <c r="CV373" i="40"/>
  <c r="AP373" i="40"/>
  <c r="JM170" i="40"/>
  <c r="HR173" i="40"/>
  <c r="KJ169" i="40"/>
  <c r="KK169" i="40"/>
  <c r="KI169" i="40"/>
  <c r="KO169" i="40"/>
  <c r="DB173" i="40"/>
  <c r="HT173" i="40"/>
  <c r="JK171" i="40"/>
  <c r="JL171" i="40" s="1"/>
  <c r="IF170" i="40"/>
  <c r="CK373" i="40"/>
  <c r="AM373" i="40"/>
  <c r="CI358" i="40" l="1"/>
  <c r="CI657" i="40"/>
  <c r="CI174" i="40"/>
  <c r="CI557" i="40"/>
  <c r="IA673" i="40"/>
  <c r="IZ673" i="40" s="1"/>
  <c r="HY673" i="40"/>
  <c r="IX673" i="40" s="1"/>
  <c r="D173" i="40"/>
  <c r="AY173" i="40" s="1"/>
  <c r="CV674" i="40"/>
  <c r="KQ169" i="40"/>
  <c r="KS169" i="40" s="1"/>
  <c r="JS169" i="40"/>
  <c r="JT169" i="40"/>
  <c r="JX169" i="40" s="1"/>
  <c r="JR169" i="40"/>
  <c r="HZ673" i="40"/>
  <c r="IY673" i="40" s="1"/>
  <c r="AP473" i="40"/>
  <c r="DB473" i="40"/>
  <c r="AH275" i="40"/>
  <c r="AD275" i="40"/>
  <c r="Z275" i="40"/>
  <c r="V275" i="40"/>
  <c r="CT275" i="40" s="1"/>
  <c r="R275" i="40"/>
  <c r="N275" i="40"/>
  <c r="CN275" i="40" s="1"/>
  <c r="J275" i="40"/>
  <c r="F275" i="40"/>
  <c r="AG275" i="40"/>
  <c r="AC275" i="40"/>
  <c r="Y275" i="40"/>
  <c r="U275" i="40"/>
  <c r="CS275" i="40" s="1"/>
  <c r="Q275" i="40"/>
  <c r="M275" i="40"/>
  <c r="CM275" i="40" s="1"/>
  <c r="I275" i="40"/>
  <c r="E275" i="40"/>
  <c r="AJ275" i="40"/>
  <c r="AF275" i="40"/>
  <c r="AB275" i="40"/>
  <c r="X275" i="40"/>
  <c r="T275" i="40"/>
  <c r="CR275" i="40" s="1"/>
  <c r="P275" i="40"/>
  <c r="L275" i="40"/>
  <c r="H275" i="40"/>
  <c r="AA275" i="40"/>
  <c r="K275" i="40"/>
  <c r="W275" i="40"/>
  <c r="G275" i="40"/>
  <c r="AI275" i="40"/>
  <c r="S275" i="40"/>
  <c r="AE275" i="40"/>
  <c r="O275" i="40"/>
  <c r="CO275" i="40" s="1"/>
  <c r="AI574" i="40"/>
  <c r="AE574" i="40"/>
  <c r="AA574" i="40"/>
  <c r="W574" i="40"/>
  <c r="CU574" i="40" s="1"/>
  <c r="S574" i="40"/>
  <c r="O574" i="40"/>
  <c r="CO574" i="40" s="1"/>
  <c r="K574" i="40"/>
  <c r="G574" i="40"/>
  <c r="AH574" i="40"/>
  <c r="AD574" i="40"/>
  <c r="Z574" i="40"/>
  <c r="V574" i="40"/>
  <c r="CT574" i="40" s="1"/>
  <c r="R574" i="40"/>
  <c r="N574" i="40"/>
  <c r="CN574" i="40" s="1"/>
  <c r="J574" i="40"/>
  <c r="F574" i="40"/>
  <c r="AG574" i="40"/>
  <c r="Y574" i="40"/>
  <c r="Q574" i="40"/>
  <c r="I574" i="40"/>
  <c r="AF574" i="40"/>
  <c r="X574" i="40"/>
  <c r="P574" i="40"/>
  <c r="H574" i="40"/>
  <c r="AC574" i="40"/>
  <c r="U574" i="40"/>
  <c r="CS574" i="40" s="1"/>
  <c r="M574" i="40"/>
  <c r="CM574" i="40" s="1"/>
  <c r="E574" i="40"/>
  <c r="T574" i="40"/>
  <c r="CR574" i="40" s="1"/>
  <c r="L574" i="40"/>
  <c r="CL574" i="40" s="1"/>
  <c r="AJ574" i="40"/>
  <c r="AB574" i="40"/>
  <c r="A574" i="40"/>
  <c r="BH574" i="40"/>
  <c r="BX574" i="40"/>
  <c r="DV574" i="40"/>
  <c r="BI574" i="40"/>
  <c r="BY574" i="40"/>
  <c r="DW574" i="40"/>
  <c r="BJ574" i="40"/>
  <c r="BZ574" i="40"/>
  <c r="JO574" i="40"/>
  <c r="BW574" i="40"/>
  <c r="IA574" i="40"/>
  <c r="IX574" i="40"/>
  <c r="JP574" i="40"/>
  <c r="C575" i="40"/>
  <c r="BD574" i="40"/>
  <c r="DM574" i="40"/>
  <c r="BE574" i="40"/>
  <c r="BU574" i="40"/>
  <c r="BF574" i="40"/>
  <c r="DT574" i="40"/>
  <c r="CE574" i="40"/>
  <c r="CJ574" i="40"/>
  <c r="BL574" i="40"/>
  <c r="CB574" i="40"/>
  <c r="BM574" i="40"/>
  <c r="CC574" i="40"/>
  <c r="AW574" i="40"/>
  <c r="BN574" i="40"/>
  <c r="CD574" i="40"/>
  <c r="BK574" i="40"/>
  <c r="AX574" i="40"/>
  <c r="BC574" i="40"/>
  <c r="DU574" i="40"/>
  <c r="IY574" i="40"/>
  <c r="BT574" i="40"/>
  <c r="DS574" i="40"/>
  <c r="BV574" i="40"/>
  <c r="BG574" i="40"/>
  <c r="HY574" i="40"/>
  <c r="AZ574" i="40"/>
  <c r="BP574" i="40"/>
  <c r="CF574" i="40"/>
  <c r="BA574" i="40"/>
  <c r="BQ574" i="40"/>
  <c r="CG574" i="40"/>
  <c r="BB574" i="40"/>
  <c r="BR574" i="40"/>
  <c r="CH574" i="40"/>
  <c r="CA574" i="40"/>
  <c r="BO574" i="40"/>
  <c r="BS574" i="40"/>
  <c r="HZ574" i="40"/>
  <c r="IZ574" i="40"/>
  <c r="AO573" i="40"/>
  <c r="CQ573" i="40"/>
  <c r="AI474" i="40"/>
  <c r="AE474" i="40"/>
  <c r="AA474" i="40"/>
  <c r="W474" i="40"/>
  <c r="CU474" i="40" s="1"/>
  <c r="S474" i="40"/>
  <c r="O474" i="40"/>
  <c r="CO474" i="40" s="1"/>
  <c r="K474" i="40"/>
  <c r="G474" i="40"/>
  <c r="AH474" i="40"/>
  <c r="AD474" i="40"/>
  <c r="Z474" i="40"/>
  <c r="V474" i="40"/>
  <c r="CT474" i="40" s="1"/>
  <c r="R474" i="40"/>
  <c r="N474" i="40"/>
  <c r="CN474" i="40" s="1"/>
  <c r="J474" i="40"/>
  <c r="F474" i="40"/>
  <c r="AG474" i="40"/>
  <c r="AC474" i="40"/>
  <c r="Y474" i="40"/>
  <c r="U474" i="40"/>
  <c r="CS474" i="40" s="1"/>
  <c r="Q474" i="40"/>
  <c r="M474" i="40"/>
  <c r="CM474" i="40" s="1"/>
  <c r="I474" i="40"/>
  <c r="E474" i="40"/>
  <c r="AJ474" i="40"/>
  <c r="T474" i="40"/>
  <c r="CR474" i="40" s="1"/>
  <c r="AF474" i="40"/>
  <c r="P474" i="40"/>
  <c r="AB474" i="40"/>
  <c r="L474" i="40"/>
  <c r="CL474" i="40" s="1"/>
  <c r="H474" i="40"/>
  <c r="X474" i="40"/>
  <c r="AN674" i="40"/>
  <c r="CQ674" i="40"/>
  <c r="AO674" i="40"/>
  <c r="I675" i="40"/>
  <c r="AJ675" i="40"/>
  <c r="AC675" i="40"/>
  <c r="CJ675" i="40"/>
  <c r="JO675" i="40"/>
  <c r="AE675" i="40"/>
  <c r="JP675" i="40"/>
  <c r="AF675" i="40"/>
  <c r="DW675" i="40"/>
  <c r="BW675" i="40"/>
  <c r="BG675" i="40"/>
  <c r="K675" i="40"/>
  <c r="DM675" i="40"/>
  <c r="BV675" i="40"/>
  <c r="BF675" i="40"/>
  <c r="N675" i="40"/>
  <c r="CN675" i="40" s="1"/>
  <c r="BU675" i="40"/>
  <c r="M675" i="40"/>
  <c r="CM675" i="40" s="1"/>
  <c r="BL675" i="40"/>
  <c r="CG675" i="40"/>
  <c r="A675" i="40"/>
  <c r="P675" i="40"/>
  <c r="BH675" i="40"/>
  <c r="DS675" i="40"/>
  <c r="BS675" i="40"/>
  <c r="BC675" i="40"/>
  <c r="G675" i="40"/>
  <c r="CH675" i="40"/>
  <c r="BR675" i="40"/>
  <c r="BB675" i="40"/>
  <c r="J675" i="40"/>
  <c r="BM675" i="40"/>
  <c r="DT675" i="40"/>
  <c r="BD675" i="40"/>
  <c r="BQ675" i="40"/>
  <c r="CF675" i="40"/>
  <c r="BY675" i="40"/>
  <c r="F675" i="40"/>
  <c r="KN675" i="40"/>
  <c r="H675" i="40"/>
  <c r="CE675" i="40"/>
  <c r="BO675" i="40"/>
  <c r="W675" i="40"/>
  <c r="CU675" i="40" s="1"/>
  <c r="C676" i="40"/>
  <c r="CD675" i="40"/>
  <c r="BN675" i="40"/>
  <c r="AX675" i="40"/>
  <c r="DU675" i="40"/>
  <c r="BE675" i="40"/>
  <c r="CB675" i="40"/>
  <c r="AB675" i="40"/>
  <c r="BA675" i="40"/>
  <c r="BP675" i="40"/>
  <c r="BI675" i="40"/>
  <c r="AI675" i="40"/>
  <c r="BK675" i="40"/>
  <c r="BJ675" i="40"/>
  <c r="BT675" i="40"/>
  <c r="BX675" i="40"/>
  <c r="AW675" i="40"/>
  <c r="O675" i="40"/>
  <c r="CO675" i="40" s="1"/>
  <c r="R675" i="40"/>
  <c r="L675" i="40"/>
  <c r="CL675" i="40" s="1"/>
  <c r="CA675" i="40"/>
  <c r="AZ675" i="40"/>
  <c r="DV675" i="40"/>
  <c r="CC675" i="40"/>
  <c r="AG675" i="40"/>
  <c r="BZ675" i="40"/>
  <c r="T675" i="40"/>
  <c r="CR675" i="40" s="1"/>
  <c r="AH675" i="40"/>
  <c r="Z675" i="40"/>
  <c r="S675" i="40"/>
  <c r="V675" i="40"/>
  <c r="CT675" i="40" s="1"/>
  <c r="Q675" i="40"/>
  <c r="U675" i="40"/>
  <c r="CS675" i="40" s="1"/>
  <c r="X675" i="40"/>
  <c r="AD675" i="40"/>
  <c r="AA675" i="40"/>
  <c r="E675" i="40"/>
  <c r="Y675" i="40"/>
  <c r="AJ375" i="40"/>
  <c r="AF375" i="40"/>
  <c r="AB375" i="40"/>
  <c r="X375" i="40"/>
  <c r="T375" i="40"/>
  <c r="CR375" i="40" s="1"/>
  <c r="P375" i="40"/>
  <c r="L375" i="40"/>
  <c r="CL375" i="40" s="1"/>
  <c r="H375" i="40"/>
  <c r="AI375" i="40"/>
  <c r="AE375" i="40"/>
  <c r="AA375" i="40"/>
  <c r="CI459" i="40" s="1"/>
  <c r="W375" i="40"/>
  <c r="S375" i="40"/>
  <c r="O375" i="40"/>
  <c r="CO375" i="40" s="1"/>
  <c r="K375" i="40"/>
  <c r="G375" i="40"/>
  <c r="AH375" i="40"/>
  <c r="AD375" i="40"/>
  <c r="Z375" i="40"/>
  <c r="V375" i="40"/>
  <c r="R375" i="40"/>
  <c r="N375" i="40"/>
  <c r="CN375" i="40" s="1"/>
  <c r="J375" i="40"/>
  <c r="F375" i="40"/>
  <c r="U375" i="40"/>
  <c r="CS375" i="40" s="1"/>
  <c r="E375" i="40"/>
  <c r="AG375" i="40"/>
  <c r="Q375" i="40"/>
  <c r="AC375" i="40"/>
  <c r="M375" i="40"/>
  <c r="CM375" i="40" s="1"/>
  <c r="Y375" i="40"/>
  <c r="I375" i="40"/>
  <c r="CP573" i="40"/>
  <c r="AN573" i="40"/>
  <c r="DB573" i="40"/>
  <c r="AM573" i="40"/>
  <c r="CK573" i="40"/>
  <c r="CP674" i="40"/>
  <c r="AP674" i="40"/>
  <c r="CK674" i="40"/>
  <c r="AM674" i="40"/>
  <c r="AG175" i="40"/>
  <c r="AC175" i="40"/>
  <c r="Y175" i="40"/>
  <c r="U175" i="40"/>
  <c r="CS175" i="40" s="1"/>
  <c r="Q175" i="40"/>
  <c r="M175" i="40"/>
  <c r="CM175" i="40" s="1"/>
  <c r="I175" i="40"/>
  <c r="E175" i="40"/>
  <c r="AJ175" i="40"/>
  <c r="AF175" i="40"/>
  <c r="AB175" i="40"/>
  <c r="X175" i="40"/>
  <c r="T175" i="40"/>
  <c r="CR175" i="40" s="1"/>
  <c r="P175" i="40"/>
  <c r="L175" i="40"/>
  <c r="CL175" i="40" s="1"/>
  <c r="H175" i="40"/>
  <c r="AI175" i="40"/>
  <c r="AE175" i="40"/>
  <c r="AA175" i="40"/>
  <c r="CI259" i="40" s="1"/>
  <c r="W175" i="40"/>
  <c r="CU175" i="40" s="1"/>
  <c r="S175" i="40"/>
  <c r="O175" i="40"/>
  <c r="CO175" i="40" s="1"/>
  <c r="K175" i="40"/>
  <c r="G175" i="40"/>
  <c r="AH175" i="40"/>
  <c r="R175" i="40"/>
  <c r="V175" i="40"/>
  <c r="CT175" i="40" s="1"/>
  <c r="AD175" i="40"/>
  <c r="N175" i="40"/>
  <c r="CN175" i="40" s="1"/>
  <c r="Z175" i="40"/>
  <c r="J175" i="40"/>
  <c r="F175" i="40"/>
  <c r="AP573" i="40"/>
  <c r="CV573" i="40"/>
  <c r="DB674" i="40"/>
  <c r="CK473" i="40"/>
  <c r="AM473" i="40"/>
  <c r="AP274" i="40"/>
  <c r="AO473" i="40"/>
  <c r="CQ473" i="40"/>
  <c r="CP473" i="40"/>
  <c r="AN473" i="40"/>
  <c r="AX474" i="40"/>
  <c r="BO474" i="40"/>
  <c r="CE474" i="40"/>
  <c r="AZ474" i="40"/>
  <c r="BP474" i="40"/>
  <c r="CF474" i="40"/>
  <c r="BA474" i="40"/>
  <c r="BQ474" i="40"/>
  <c r="CG474" i="40"/>
  <c r="BV474" i="40"/>
  <c r="BR474" i="40"/>
  <c r="IA474" i="40"/>
  <c r="IA674" i="40" s="1"/>
  <c r="IX474" i="40"/>
  <c r="JP474" i="40"/>
  <c r="DU474" i="40"/>
  <c r="BX474" i="40"/>
  <c r="BZ474" i="40"/>
  <c r="BC474" i="40"/>
  <c r="BS474" i="40"/>
  <c r="CJ474" i="40"/>
  <c r="BD474" i="40"/>
  <c r="BT474" i="40"/>
  <c r="DM474" i="40"/>
  <c r="BE474" i="40"/>
  <c r="BU474" i="40"/>
  <c r="DS474" i="40"/>
  <c r="BJ474" i="40"/>
  <c r="AW474" i="40"/>
  <c r="JO474" i="40"/>
  <c r="CH474" i="40"/>
  <c r="IZ474" i="40"/>
  <c r="IY474" i="40"/>
  <c r="BY474" i="40"/>
  <c r="BG474" i="40"/>
  <c r="BH474" i="40"/>
  <c r="BI474" i="40"/>
  <c r="BN474" i="40"/>
  <c r="C475" i="40"/>
  <c r="BK474" i="40"/>
  <c r="CA474" i="40"/>
  <c r="A474" i="40"/>
  <c r="BL474" i="40"/>
  <c r="CB474" i="40"/>
  <c r="BM474" i="40"/>
  <c r="CC474" i="40"/>
  <c r="BF474" i="40"/>
  <c r="CD474" i="40"/>
  <c r="BB474" i="40"/>
  <c r="DT474" i="40"/>
  <c r="HY474" i="40"/>
  <c r="BW474" i="40"/>
  <c r="DV474" i="40"/>
  <c r="DW474" i="40"/>
  <c r="HZ474" i="40"/>
  <c r="CV473" i="40"/>
  <c r="HM174" i="40"/>
  <c r="HP174" i="40" s="1"/>
  <c r="AQ170" i="40"/>
  <c r="CV274" i="40"/>
  <c r="AN274" i="40"/>
  <c r="CP274" i="40"/>
  <c r="DB274" i="40"/>
  <c r="AM274" i="40"/>
  <c r="CK274" i="40"/>
  <c r="AO274" i="40"/>
  <c r="CQ274" i="40"/>
  <c r="C276" i="40"/>
  <c r="BK275" i="40"/>
  <c r="CA275" i="40"/>
  <c r="A275" i="40"/>
  <c r="BL275" i="40"/>
  <c r="CB275" i="40"/>
  <c r="BM275" i="40"/>
  <c r="CC275" i="40"/>
  <c r="JO275" i="40"/>
  <c r="HZ275" i="40"/>
  <c r="CU275" i="40"/>
  <c r="JP275" i="40"/>
  <c r="BW275" i="40"/>
  <c r="BH275" i="40"/>
  <c r="DW275" i="40"/>
  <c r="CD275" i="40"/>
  <c r="HY275" i="40"/>
  <c r="IY275" i="40"/>
  <c r="CL275" i="40"/>
  <c r="AX275" i="40"/>
  <c r="BO275" i="40"/>
  <c r="CE275" i="40"/>
  <c r="AZ275" i="40"/>
  <c r="BP275" i="40"/>
  <c r="CF275" i="40"/>
  <c r="BA275" i="40"/>
  <c r="BQ275" i="40"/>
  <c r="CG275" i="40"/>
  <c r="BF275" i="40"/>
  <c r="AW275" i="40"/>
  <c r="BB275" i="40"/>
  <c r="IX275" i="40"/>
  <c r="DU275" i="40"/>
  <c r="DV275" i="40"/>
  <c r="BY275" i="40"/>
  <c r="BZ275" i="40"/>
  <c r="IZ275" i="40"/>
  <c r="BC275" i="40"/>
  <c r="BS275" i="40"/>
  <c r="CJ275" i="40"/>
  <c r="BD275" i="40"/>
  <c r="BT275" i="40"/>
  <c r="DM275" i="40"/>
  <c r="BE275" i="40"/>
  <c r="BU275" i="40"/>
  <c r="DS275" i="40"/>
  <c r="BV275" i="40"/>
  <c r="BJ275" i="40"/>
  <c r="BN275" i="40"/>
  <c r="BR275" i="40"/>
  <c r="IA275" i="40"/>
  <c r="BG275" i="40"/>
  <c r="BX275" i="40"/>
  <c r="BI275" i="40"/>
  <c r="DT275" i="40"/>
  <c r="CH275" i="40"/>
  <c r="HN174" i="40"/>
  <c r="HQ174" i="40" s="1"/>
  <c r="DB174" i="40"/>
  <c r="DB374" i="40"/>
  <c r="KI170" i="40"/>
  <c r="KK170" i="40"/>
  <c r="KJ170" i="40"/>
  <c r="KO170" i="40"/>
  <c r="JH172" i="40"/>
  <c r="CV174" i="40"/>
  <c r="AK174" i="40"/>
  <c r="AL174" i="40"/>
  <c r="AP174" i="40"/>
  <c r="IK175" i="40"/>
  <c r="IN175" i="40" s="1"/>
  <c r="JF175" i="40"/>
  <c r="HO175" i="40" s="1"/>
  <c r="HR175" i="40" s="1"/>
  <c r="II175" i="40"/>
  <c r="IL175" i="40" s="1"/>
  <c r="IJ175" i="40"/>
  <c r="IM175" i="40" s="1"/>
  <c r="C176" i="40"/>
  <c r="A175" i="40"/>
  <c r="AX175" i="40"/>
  <c r="BC175" i="40"/>
  <c r="BG175" i="40"/>
  <c r="BK175" i="40"/>
  <c r="BO175" i="40"/>
  <c r="BS175" i="40"/>
  <c r="BW175" i="40"/>
  <c r="CA175" i="40"/>
  <c r="CE175" i="40"/>
  <c r="CJ175" i="40"/>
  <c r="DU175" i="40"/>
  <c r="AZ175" i="40"/>
  <c r="BD175" i="40"/>
  <c r="BH175" i="40"/>
  <c r="BL175" i="40"/>
  <c r="BP175" i="40"/>
  <c r="BA175" i="40"/>
  <c r="BE175" i="40"/>
  <c r="BI175" i="40"/>
  <c r="BQ175" i="40"/>
  <c r="BV175" i="40"/>
  <c r="CB175" i="40"/>
  <c r="CG175" i="40"/>
  <c r="DT175" i="40"/>
  <c r="AW175" i="40"/>
  <c r="BJ175" i="40"/>
  <c r="BR175" i="40"/>
  <c r="BX175" i="40"/>
  <c r="CC175" i="40"/>
  <c r="CH175" i="40"/>
  <c r="DV175" i="40"/>
  <c r="BB175" i="40"/>
  <c r="BM175" i="40"/>
  <c r="BT175" i="40"/>
  <c r="BY175" i="40"/>
  <c r="CD175" i="40"/>
  <c r="DM175" i="40"/>
  <c r="DW175" i="40"/>
  <c r="BZ175" i="40"/>
  <c r="BF175" i="40"/>
  <c r="CF175" i="40"/>
  <c r="BN175" i="40"/>
  <c r="DS175" i="40"/>
  <c r="BU175" i="40"/>
  <c r="JO175" i="40"/>
  <c r="IX175" i="40"/>
  <c r="HZ175" i="40"/>
  <c r="IZ175" i="40"/>
  <c r="IA175" i="40"/>
  <c r="HY175" i="40"/>
  <c r="IY175" i="40"/>
  <c r="JP175" i="40"/>
  <c r="JG175" i="40"/>
  <c r="KU116" i="40"/>
  <c r="I30" i="70" s="1"/>
  <c r="KT117" i="40"/>
  <c r="HX173" i="40"/>
  <c r="ID173" i="40" s="1"/>
  <c r="IF171" i="40"/>
  <c r="AO174" i="40"/>
  <c r="CQ174" i="40"/>
  <c r="IQ174" i="40"/>
  <c r="JC174" i="40" s="1"/>
  <c r="IP174" i="40"/>
  <c r="JB174" i="40" s="1"/>
  <c r="HR174" i="40"/>
  <c r="HQ173" i="40"/>
  <c r="JH173" i="40" s="1"/>
  <c r="JJ172" i="40"/>
  <c r="CK374" i="40"/>
  <c r="AM374" i="40"/>
  <c r="HV173" i="40"/>
  <c r="JD170" i="40"/>
  <c r="JT170" i="40" s="1"/>
  <c r="JX170" i="40" s="1"/>
  <c r="KP170" i="40"/>
  <c r="IE171" i="40"/>
  <c r="IG171" i="40"/>
  <c r="JM171" i="40"/>
  <c r="CP174" i="40"/>
  <c r="HX174" i="40" s="1"/>
  <c r="AN174" i="40"/>
  <c r="CK174" i="40"/>
  <c r="AM174" i="40"/>
  <c r="HT174" i="40"/>
  <c r="AO374" i="40"/>
  <c r="CQ374" i="40"/>
  <c r="CP374" i="40"/>
  <c r="AN374" i="40"/>
  <c r="C376" i="40"/>
  <c r="AX375" i="40"/>
  <c r="BC375" i="40"/>
  <c r="BG375" i="40"/>
  <c r="BK375" i="40"/>
  <c r="BO375" i="40"/>
  <c r="BS375" i="40"/>
  <c r="BW375" i="40"/>
  <c r="CA375" i="40"/>
  <c r="CE375" i="40"/>
  <c r="CJ375" i="40"/>
  <c r="DU375" i="40"/>
  <c r="A375" i="40"/>
  <c r="AZ375" i="40"/>
  <c r="BD375" i="40"/>
  <c r="BH375" i="40"/>
  <c r="BL375" i="40"/>
  <c r="BP375" i="40"/>
  <c r="BT375" i="40"/>
  <c r="BX375" i="40"/>
  <c r="CB375" i="40"/>
  <c r="CF375" i="40"/>
  <c r="DM375" i="40"/>
  <c r="DV375" i="40"/>
  <c r="BA375" i="40"/>
  <c r="BE375" i="40"/>
  <c r="BI375" i="40"/>
  <c r="BM375" i="40"/>
  <c r="BQ375" i="40"/>
  <c r="BU375" i="40"/>
  <c r="BY375" i="40"/>
  <c r="CC375" i="40"/>
  <c r="CG375" i="40"/>
  <c r="DS375" i="40"/>
  <c r="DW375" i="40"/>
  <c r="AW375" i="40"/>
  <c r="BN375" i="40"/>
  <c r="CD375" i="40"/>
  <c r="BB375" i="40"/>
  <c r="BR375" i="40"/>
  <c r="CH375" i="40"/>
  <c r="BF375" i="40"/>
  <c r="BV375" i="40"/>
  <c r="DT375" i="40"/>
  <c r="BJ375" i="40"/>
  <c r="BZ375" i="40"/>
  <c r="JO375" i="40"/>
  <c r="IY375" i="40"/>
  <c r="IA375" i="40"/>
  <c r="HY375" i="40"/>
  <c r="IX375" i="40"/>
  <c r="IZ375" i="40"/>
  <c r="HZ375" i="40"/>
  <c r="CU375" i="40"/>
  <c r="CT375" i="40"/>
  <c r="JP375" i="40"/>
  <c r="IB172" i="40"/>
  <c r="KR169" i="40"/>
  <c r="JA174" i="40"/>
  <c r="HS174" i="40"/>
  <c r="HU174" i="40"/>
  <c r="CV374" i="40"/>
  <c r="AP374" i="40"/>
  <c r="I13" i="70"/>
  <c r="I29" i="70"/>
  <c r="JI173" i="40"/>
  <c r="CI359" i="40" l="1"/>
  <c r="CI175" i="40"/>
  <c r="CI558" i="40"/>
  <c r="CI658" i="40"/>
  <c r="D174" i="40"/>
  <c r="AY174" i="40" s="1"/>
  <c r="HZ674" i="40"/>
  <c r="IY674" i="40" s="1"/>
  <c r="HY674" i="40"/>
  <c r="IX674" i="40" s="1"/>
  <c r="IZ674" i="40"/>
  <c r="JK172" i="40"/>
  <c r="JL172" i="40" s="1"/>
  <c r="JM172" i="40" s="1"/>
  <c r="AN675" i="40"/>
  <c r="CP675" i="40"/>
  <c r="AI575" i="40"/>
  <c r="AE575" i="40"/>
  <c r="AA575" i="40"/>
  <c r="W575" i="40"/>
  <c r="CU575" i="40" s="1"/>
  <c r="S575" i="40"/>
  <c r="O575" i="40"/>
  <c r="CO575" i="40" s="1"/>
  <c r="K575" i="40"/>
  <c r="G575" i="40"/>
  <c r="AH575" i="40"/>
  <c r="AD575" i="40"/>
  <c r="Z575" i="40"/>
  <c r="V575" i="40"/>
  <c r="CT575" i="40" s="1"/>
  <c r="R575" i="40"/>
  <c r="N575" i="40"/>
  <c r="CN575" i="40" s="1"/>
  <c r="J575" i="40"/>
  <c r="F575" i="40"/>
  <c r="AG575" i="40"/>
  <c r="Y575" i="40"/>
  <c r="Q575" i="40"/>
  <c r="I575" i="40"/>
  <c r="AF575" i="40"/>
  <c r="X575" i="40"/>
  <c r="P575" i="40"/>
  <c r="H575" i="40"/>
  <c r="AC575" i="40"/>
  <c r="U575" i="40"/>
  <c r="CS575" i="40" s="1"/>
  <c r="M575" i="40"/>
  <c r="CM575" i="40" s="1"/>
  <c r="E575" i="40"/>
  <c r="T575" i="40"/>
  <c r="CR575" i="40" s="1"/>
  <c r="L575" i="40"/>
  <c r="CL575" i="40" s="1"/>
  <c r="AJ575" i="40"/>
  <c r="AB575" i="40"/>
  <c r="C576" i="40"/>
  <c r="BJ575" i="40"/>
  <c r="BZ575" i="40"/>
  <c r="BG575" i="40"/>
  <c r="BW575" i="40"/>
  <c r="DU575" i="40"/>
  <c r="BD575" i="40"/>
  <c r="BT575" i="40"/>
  <c r="DM575" i="40"/>
  <c r="DW575" i="40"/>
  <c r="CC575" i="40"/>
  <c r="CG575" i="40"/>
  <c r="IA575" i="40"/>
  <c r="IX575" i="40"/>
  <c r="BF575" i="40"/>
  <c r="DT575" i="40"/>
  <c r="BC575" i="40"/>
  <c r="AZ575" i="40"/>
  <c r="CF575" i="40"/>
  <c r="BM575" i="40"/>
  <c r="AW575" i="40"/>
  <c r="BN575" i="40"/>
  <c r="CD575" i="40"/>
  <c r="BK575" i="40"/>
  <c r="CA575" i="40"/>
  <c r="A575" i="40"/>
  <c r="BH575" i="40"/>
  <c r="BX575" i="40"/>
  <c r="DV575" i="40"/>
  <c r="BU575" i="40"/>
  <c r="BE575" i="40"/>
  <c r="JO575" i="40"/>
  <c r="HZ575" i="40"/>
  <c r="JP575" i="40"/>
  <c r="BV575" i="40"/>
  <c r="BS575" i="40"/>
  <c r="BP575" i="40"/>
  <c r="BY575" i="40"/>
  <c r="HY575" i="40"/>
  <c r="BB575" i="40"/>
  <c r="BR575" i="40"/>
  <c r="CH575" i="40"/>
  <c r="AX575" i="40"/>
  <c r="BO575" i="40"/>
  <c r="CE575" i="40"/>
  <c r="BL575" i="40"/>
  <c r="CB575" i="40"/>
  <c r="BI575" i="40"/>
  <c r="BA575" i="40"/>
  <c r="DS575" i="40"/>
  <c r="IZ575" i="40"/>
  <c r="CJ575" i="40"/>
  <c r="BQ575" i="40"/>
  <c r="IY575" i="40"/>
  <c r="AN574" i="40"/>
  <c r="CP574" i="40"/>
  <c r="DB574" i="40"/>
  <c r="AM574" i="40"/>
  <c r="CK574" i="40"/>
  <c r="AG176" i="40"/>
  <c r="AC176" i="40"/>
  <c r="Y176" i="40"/>
  <c r="U176" i="40"/>
  <c r="Q176" i="40"/>
  <c r="M176" i="40"/>
  <c r="CM176" i="40" s="1"/>
  <c r="I176" i="40"/>
  <c r="E176" i="40"/>
  <c r="AJ176" i="40"/>
  <c r="AF176" i="40"/>
  <c r="AB176" i="40"/>
  <c r="X176" i="40"/>
  <c r="T176" i="40"/>
  <c r="CR176" i="40" s="1"/>
  <c r="P176" i="40"/>
  <c r="L176" i="40"/>
  <c r="H176" i="40"/>
  <c r="AI176" i="40"/>
  <c r="AE176" i="40"/>
  <c r="AA176" i="40"/>
  <c r="CI260" i="40" s="1"/>
  <c r="W176" i="40"/>
  <c r="CU176" i="40" s="1"/>
  <c r="S176" i="40"/>
  <c r="O176" i="40"/>
  <c r="CO176" i="40" s="1"/>
  <c r="K176" i="40"/>
  <c r="G176" i="40"/>
  <c r="AH176" i="40"/>
  <c r="R176" i="40"/>
  <c r="AD176" i="40"/>
  <c r="N176" i="40"/>
  <c r="F176" i="40"/>
  <c r="Z176" i="40"/>
  <c r="J176" i="40"/>
  <c r="V176" i="40"/>
  <c r="AH276" i="40"/>
  <c r="AD276" i="40"/>
  <c r="Z276" i="40"/>
  <c r="V276" i="40"/>
  <c r="R276" i="40"/>
  <c r="N276" i="40"/>
  <c r="CN276" i="40" s="1"/>
  <c r="J276" i="40"/>
  <c r="F276" i="40"/>
  <c r="AG276" i="40"/>
  <c r="AC276" i="40"/>
  <c r="Y276" i="40"/>
  <c r="U276" i="40"/>
  <c r="Q276" i="40"/>
  <c r="M276" i="40"/>
  <c r="CM276" i="40" s="1"/>
  <c r="I276" i="40"/>
  <c r="E276" i="40"/>
  <c r="AJ276" i="40"/>
  <c r="AF276" i="40"/>
  <c r="AB276" i="40"/>
  <c r="X276" i="40"/>
  <c r="T276" i="40"/>
  <c r="CR276" i="40" s="1"/>
  <c r="P276" i="40"/>
  <c r="L276" i="40"/>
  <c r="H276" i="40"/>
  <c r="AA276" i="40"/>
  <c r="K276" i="40"/>
  <c r="W276" i="40"/>
  <c r="G276" i="40"/>
  <c r="AI276" i="40"/>
  <c r="S276" i="40"/>
  <c r="AE276" i="40"/>
  <c r="O276" i="40"/>
  <c r="CV675" i="40"/>
  <c r="AP675" i="40"/>
  <c r="AO675" i="40"/>
  <c r="CQ675" i="40"/>
  <c r="AP574" i="40"/>
  <c r="CV574" i="40"/>
  <c r="AJ376" i="40"/>
  <c r="AF376" i="40"/>
  <c r="AB376" i="40"/>
  <c r="X376" i="40"/>
  <c r="T376" i="40"/>
  <c r="CR376" i="40" s="1"/>
  <c r="P376" i="40"/>
  <c r="L376" i="40"/>
  <c r="CL376" i="40" s="1"/>
  <c r="H376" i="40"/>
  <c r="AI376" i="40"/>
  <c r="AE376" i="40"/>
  <c r="AA376" i="40"/>
  <c r="CI460" i="40" s="1"/>
  <c r="W376" i="40"/>
  <c r="CU376" i="40" s="1"/>
  <c r="S376" i="40"/>
  <c r="O376" i="40"/>
  <c r="CO376" i="40" s="1"/>
  <c r="K376" i="40"/>
  <c r="G376" i="40"/>
  <c r="AH376" i="40"/>
  <c r="AD376" i="40"/>
  <c r="Z376" i="40"/>
  <c r="V376" i="40"/>
  <c r="CT376" i="40" s="1"/>
  <c r="R376" i="40"/>
  <c r="N376" i="40"/>
  <c r="CN376" i="40" s="1"/>
  <c r="J376" i="40"/>
  <c r="F376" i="40"/>
  <c r="U376" i="40"/>
  <c r="CS376" i="40" s="1"/>
  <c r="E376" i="40"/>
  <c r="AG376" i="40"/>
  <c r="Q376" i="40"/>
  <c r="AC376" i="40"/>
  <c r="M376" i="40"/>
  <c r="CM376" i="40" s="1"/>
  <c r="I376" i="40"/>
  <c r="Y376" i="40"/>
  <c r="AI475" i="40"/>
  <c r="AE475" i="40"/>
  <c r="AA475" i="40"/>
  <c r="W475" i="40"/>
  <c r="CU475" i="40" s="1"/>
  <c r="S475" i="40"/>
  <c r="O475" i="40"/>
  <c r="CO475" i="40" s="1"/>
  <c r="K475" i="40"/>
  <c r="G475" i="40"/>
  <c r="AH475" i="40"/>
  <c r="AD475" i="40"/>
  <c r="Z475" i="40"/>
  <c r="V475" i="40"/>
  <c r="CT475" i="40" s="1"/>
  <c r="R475" i="40"/>
  <c r="N475" i="40"/>
  <c r="CN475" i="40" s="1"/>
  <c r="J475" i="40"/>
  <c r="F475" i="40"/>
  <c r="AG475" i="40"/>
  <c r="AC475" i="40"/>
  <c r="Y475" i="40"/>
  <c r="U475" i="40"/>
  <c r="CS475" i="40" s="1"/>
  <c r="Q475" i="40"/>
  <c r="M475" i="40"/>
  <c r="CM475" i="40" s="1"/>
  <c r="I475" i="40"/>
  <c r="E475" i="40"/>
  <c r="AJ475" i="40"/>
  <c r="T475" i="40"/>
  <c r="CR475" i="40" s="1"/>
  <c r="AF475" i="40"/>
  <c r="P475" i="40"/>
  <c r="AB475" i="40"/>
  <c r="L475" i="40"/>
  <c r="CL475" i="40" s="1"/>
  <c r="X475" i="40"/>
  <c r="H475" i="40"/>
  <c r="DB675" i="40"/>
  <c r="AF676" i="40"/>
  <c r="JO676" i="40"/>
  <c r="H676" i="40"/>
  <c r="AI676" i="40"/>
  <c r="F676" i="40"/>
  <c r="JP676" i="40"/>
  <c r="I676" i="40"/>
  <c r="AJ676" i="40"/>
  <c r="AC676" i="40"/>
  <c r="KN676" i="40"/>
  <c r="CJ676" i="40"/>
  <c r="CB676" i="40"/>
  <c r="BL676" i="40"/>
  <c r="AB676" i="40"/>
  <c r="DS676" i="40"/>
  <c r="BS676" i="40"/>
  <c r="BC676" i="40"/>
  <c r="G676" i="40"/>
  <c r="BN676" i="40"/>
  <c r="DU676" i="40"/>
  <c r="BE676" i="40"/>
  <c r="BZ676" i="40"/>
  <c r="BI676" i="40"/>
  <c r="BB676" i="40"/>
  <c r="BA676" i="40"/>
  <c r="AE676" i="40"/>
  <c r="BX676" i="40"/>
  <c r="BH676" i="40"/>
  <c r="P676" i="40"/>
  <c r="CE676" i="40"/>
  <c r="BO676" i="40"/>
  <c r="W676" i="40"/>
  <c r="CU676" i="40" s="1"/>
  <c r="DV676" i="40"/>
  <c r="BF676" i="40"/>
  <c r="CC676" i="40"/>
  <c r="AW676" i="40"/>
  <c r="BJ676" i="40"/>
  <c r="DM676" i="40"/>
  <c r="R676" i="40"/>
  <c r="AG676" i="40"/>
  <c r="DT676" i="40"/>
  <c r="BT676" i="40"/>
  <c r="BD676" i="40"/>
  <c r="L676" i="40"/>
  <c r="CL676" i="40" s="1"/>
  <c r="CA676" i="40"/>
  <c r="BK676" i="40"/>
  <c r="O676" i="40"/>
  <c r="CO676" i="40" s="1"/>
  <c r="CD676" i="40"/>
  <c r="AX676" i="40"/>
  <c r="BU676" i="40"/>
  <c r="M676" i="40"/>
  <c r="CM676" i="40" s="1"/>
  <c r="J676" i="40"/>
  <c r="CH676" i="40"/>
  <c r="BQ676" i="40"/>
  <c r="CG676" i="40"/>
  <c r="AZ676" i="40"/>
  <c r="K676" i="40"/>
  <c r="C677" i="40"/>
  <c r="BG676" i="40"/>
  <c r="A676" i="40"/>
  <c r="DW676" i="40"/>
  <c r="BV676" i="40"/>
  <c r="BY676" i="40"/>
  <c r="BM676" i="40"/>
  <c r="CF676" i="40"/>
  <c r="BW676" i="40"/>
  <c r="N676" i="40"/>
  <c r="CN676" i="40" s="1"/>
  <c r="BR676" i="40"/>
  <c r="BP676" i="40"/>
  <c r="T676" i="40"/>
  <c r="CR676" i="40" s="1"/>
  <c r="AH676" i="40"/>
  <c r="Z676" i="40"/>
  <c r="Q676" i="40"/>
  <c r="V676" i="40"/>
  <c r="CT676" i="40" s="1"/>
  <c r="S676" i="40"/>
  <c r="U676" i="40"/>
  <c r="CS676" i="40" s="1"/>
  <c r="X676" i="40"/>
  <c r="AD676" i="40"/>
  <c r="AA676" i="40"/>
  <c r="E676" i="40"/>
  <c r="Y676" i="40"/>
  <c r="CK675" i="40"/>
  <c r="AM675" i="40"/>
  <c r="AO574" i="40"/>
  <c r="CQ574" i="40"/>
  <c r="HV174" i="40"/>
  <c r="HW174" i="40"/>
  <c r="IC174" i="40" s="1"/>
  <c r="CK474" i="40"/>
  <c r="AM474" i="40"/>
  <c r="BM475" i="40"/>
  <c r="CC475" i="40"/>
  <c r="BJ475" i="40"/>
  <c r="BZ475" i="40"/>
  <c r="AX475" i="40"/>
  <c r="BO475" i="40"/>
  <c r="CE475" i="40"/>
  <c r="CB475" i="40"/>
  <c r="BP475" i="40"/>
  <c r="HY475" i="40"/>
  <c r="HY675" i="40" s="1"/>
  <c r="JP475" i="40"/>
  <c r="BA475" i="40"/>
  <c r="BQ475" i="40"/>
  <c r="CG475" i="40"/>
  <c r="AW475" i="40"/>
  <c r="BN475" i="40"/>
  <c r="CD475" i="40"/>
  <c r="BC475" i="40"/>
  <c r="BS475" i="40"/>
  <c r="CJ475" i="40"/>
  <c r="BH475" i="40"/>
  <c r="DM475" i="40"/>
  <c r="BD475" i="40"/>
  <c r="CF475" i="40"/>
  <c r="IA475" i="40"/>
  <c r="IY475" i="40"/>
  <c r="BE475" i="40"/>
  <c r="BU475" i="40"/>
  <c r="DS475" i="40"/>
  <c r="BB475" i="40"/>
  <c r="BR475" i="40"/>
  <c r="CH475" i="40"/>
  <c r="BG475" i="40"/>
  <c r="BW475" i="40"/>
  <c r="DU475" i="40"/>
  <c r="BX475" i="40"/>
  <c r="JO475" i="40"/>
  <c r="IZ475" i="40"/>
  <c r="IX475" i="40"/>
  <c r="C476" i="40"/>
  <c r="BI475" i="40"/>
  <c r="BY475" i="40"/>
  <c r="DW475" i="40"/>
  <c r="BF475" i="40"/>
  <c r="BV475" i="40"/>
  <c r="DT475" i="40"/>
  <c r="BK475" i="40"/>
  <c r="CA475" i="40"/>
  <c r="A475" i="40"/>
  <c r="DV475" i="40"/>
  <c r="BL475" i="40"/>
  <c r="AZ475" i="40"/>
  <c r="BT475" i="40"/>
  <c r="HZ475" i="40"/>
  <c r="CV474" i="40"/>
  <c r="AN474" i="40"/>
  <c r="CP474" i="40"/>
  <c r="AP474" i="40"/>
  <c r="DB474" i="40"/>
  <c r="AO474" i="40"/>
  <c r="CQ474" i="40"/>
  <c r="DB275" i="40"/>
  <c r="CK275" i="40"/>
  <c r="AM275" i="40"/>
  <c r="AN275" i="40"/>
  <c r="CP275" i="40"/>
  <c r="AP275" i="40"/>
  <c r="BM276" i="40"/>
  <c r="CC276" i="40"/>
  <c r="BJ276" i="40"/>
  <c r="BZ276" i="40"/>
  <c r="CL276" i="40"/>
  <c r="AX276" i="40"/>
  <c r="BO276" i="40"/>
  <c r="CE276" i="40"/>
  <c r="BD276" i="40"/>
  <c r="AZ276" i="40"/>
  <c r="IA276" i="40"/>
  <c r="CT276" i="40"/>
  <c r="BA276" i="40"/>
  <c r="BQ276" i="40"/>
  <c r="CG276" i="40"/>
  <c r="AW276" i="40"/>
  <c r="BN276" i="40"/>
  <c r="CD276" i="40"/>
  <c r="BC276" i="40"/>
  <c r="BS276" i="40"/>
  <c r="CJ276" i="40"/>
  <c r="BT276" i="40"/>
  <c r="BH276" i="40"/>
  <c r="BL276" i="40"/>
  <c r="BP276" i="40"/>
  <c r="IX276" i="40"/>
  <c r="CU276" i="40"/>
  <c r="C277" i="40"/>
  <c r="BI276" i="40"/>
  <c r="BY276" i="40"/>
  <c r="BV276" i="40"/>
  <c r="CO276" i="40"/>
  <c r="CA276" i="40"/>
  <c r="A276" i="40"/>
  <c r="HZ276" i="40"/>
  <c r="CS276" i="40"/>
  <c r="BE276" i="40"/>
  <c r="BU276" i="40"/>
  <c r="DS276" i="40"/>
  <c r="BB276" i="40"/>
  <c r="BR276" i="40"/>
  <c r="CH276" i="40"/>
  <c r="BG276" i="40"/>
  <c r="BW276" i="40"/>
  <c r="DU276" i="40"/>
  <c r="DM276" i="40"/>
  <c r="BX276" i="40"/>
  <c r="CB276" i="40"/>
  <c r="CF276" i="40"/>
  <c r="HY276" i="40"/>
  <c r="IZ276" i="40"/>
  <c r="IY276" i="40"/>
  <c r="DW276" i="40"/>
  <c r="BF276" i="40"/>
  <c r="DT276" i="40"/>
  <c r="BK276" i="40"/>
  <c r="DV276" i="40"/>
  <c r="JO276" i="40"/>
  <c r="JP276" i="40"/>
  <c r="CV275" i="40"/>
  <c r="AO275" i="40"/>
  <c r="CQ275" i="40"/>
  <c r="DB175" i="40"/>
  <c r="DB375" i="40"/>
  <c r="HN175" i="40"/>
  <c r="HQ175" i="40" s="1"/>
  <c r="HM175" i="40"/>
  <c r="HP175" i="40" s="1"/>
  <c r="JH174" i="40"/>
  <c r="AP175" i="40"/>
  <c r="IF172" i="40"/>
  <c r="IE172" i="40"/>
  <c r="CK375" i="40"/>
  <c r="AM375" i="40"/>
  <c r="C377" i="40"/>
  <c r="BA376" i="40"/>
  <c r="BE376" i="40"/>
  <c r="BI376" i="40"/>
  <c r="BM376" i="40"/>
  <c r="BQ376" i="40"/>
  <c r="BU376" i="40"/>
  <c r="BY376" i="40"/>
  <c r="CC376" i="40"/>
  <c r="CG376" i="40"/>
  <c r="DS376" i="40"/>
  <c r="DW376" i="40"/>
  <c r="AW376" i="40"/>
  <c r="BB376" i="40"/>
  <c r="BF376" i="40"/>
  <c r="BJ376" i="40"/>
  <c r="BN376" i="40"/>
  <c r="BR376" i="40"/>
  <c r="BV376" i="40"/>
  <c r="BZ376" i="40"/>
  <c r="CD376" i="40"/>
  <c r="CH376" i="40"/>
  <c r="DT376" i="40"/>
  <c r="AX376" i="40"/>
  <c r="BC376" i="40"/>
  <c r="BG376" i="40"/>
  <c r="BK376" i="40"/>
  <c r="BO376" i="40"/>
  <c r="BS376" i="40"/>
  <c r="BW376" i="40"/>
  <c r="CA376" i="40"/>
  <c r="CE376" i="40"/>
  <c r="CJ376" i="40"/>
  <c r="DU376" i="40"/>
  <c r="BL376" i="40"/>
  <c r="CB376" i="40"/>
  <c r="AZ376" i="40"/>
  <c r="BP376" i="40"/>
  <c r="CF376" i="40"/>
  <c r="BD376" i="40"/>
  <c r="BT376" i="40"/>
  <c r="DM376" i="40"/>
  <c r="A376" i="40"/>
  <c r="DV376" i="40"/>
  <c r="BH376" i="40"/>
  <c r="BX376" i="40"/>
  <c r="JO376" i="40"/>
  <c r="IY376" i="40"/>
  <c r="HY376" i="40"/>
  <c r="IX376" i="40"/>
  <c r="IZ376" i="40"/>
  <c r="IA376" i="40"/>
  <c r="HZ376" i="40"/>
  <c r="JP376" i="40"/>
  <c r="ID174" i="40"/>
  <c r="IO175" i="40"/>
  <c r="JA175" i="40" s="1"/>
  <c r="HS175" i="40"/>
  <c r="KR170" i="40"/>
  <c r="CV375" i="40"/>
  <c r="JJ173" i="40"/>
  <c r="JK173" i="40" s="1"/>
  <c r="JL173" i="40" s="1"/>
  <c r="IQ175" i="40"/>
  <c r="JC175" i="40" s="1"/>
  <c r="IK176" i="40"/>
  <c r="IN176" i="40" s="1"/>
  <c r="JF176" i="40"/>
  <c r="HO176" i="40" s="1"/>
  <c r="II176" i="40"/>
  <c r="IL176" i="40" s="1"/>
  <c r="IJ176" i="40"/>
  <c r="IM176" i="40" s="1"/>
  <c r="C177" i="40"/>
  <c r="CN176" i="40"/>
  <c r="AX176" i="40"/>
  <c r="BC176" i="40"/>
  <c r="BG176" i="40"/>
  <c r="BK176" i="40"/>
  <c r="BO176" i="40"/>
  <c r="BS176" i="40"/>
  <c r="BW176" i="40"/>
  <c r="CA176" i="40"/>
  <c r="CE176" i="40"/>
  <c r="CJ176" i="40"/>
  <c r="DS176" i="40"/>
  <c r="DW176" i="40"/>
  <c r="AZ176" i="40"/>
  <c r="BD176" i="40"/>
  <c r="BH176" i="40"/>
  <c r="BL176" i="40"/>
  <c r="BP176" i="40"/>
  <c r="BT176" i="40"/>
  <c r="BX176" i="40"/>
  <c r="CB176" i="40"/>
  <c r="CF176" i="40"/>
  <c r="DT176" i="40"/>
  <c r="CL176" i="40"/>
  <c r="BA176" i="40"/>
  <c r="BE176" i="40"/>
  <c r="BI176" i="40"/>
  <c r="BM176" i="40"/>
  <c r="BQ176" i="40"/>
  <c r="BU176" i="40"/>
  <c r="BY176" i="40"/>
  <c r="CC176" i="40"/>
  <c r="CG176" i="40"/>
  <c r="DU176" i="40"/>
  <c r="BJ176" i="40"/>
  <c r="BZ176" i="40"/>
  <c r="DV176" i="40"/>
  <c r="AW176" i="40"/>
  <c r="BN176" i="40"/>
  <c r="CD176" i="40"/>
  <c r="IQ176" i="40"/>
  <c r="BB176" i="40"/>
  <c r="BR176" i="40"/>
  <c r="CH176" i="40"/>
  <c r="A176" i="40"/>
  <c r="DM176" i="40"/>
  <c r="BF176" i="40"/>
  <c r="BV176" i="40"/>
  <c r="JO176" i="40"/>
  <c r="IX176" i="40"/>
  <c r="HY176" i="40"/>
  <c r="HZ176" i="40"/>
  <c r="IZ176" i="40"/>
  <c r="IA176" i="40"/>
  <c r="CS176" i="40"/>
  <c r="CT176" i="40"/>
  <c r="IY176" i="40"/>
  <c r="JP176" i="40"/>
  <c r="JG176" i="40"/>
  <c r="JS170" i="40"/>
  <c r="IG172" i="40"/>
  <c r="AN375" i="40"/>
  <c r="CP375" i="40"/>
  <c r="KJ171" i="40"/>
  <c r="KI171" i="40"/>
  <c r="KK171" i="40"/>
  <c r="KO171" i="40"/>
  <c r="IC173" i="40"/>
  <c r="AQ171" i="40"/>
  <c r="CK175" i="40"/>
  <c r="AM175" i="40"/>
  <c r="HT175" i="40"/>
  <c r="HU175" i="40"/>
  <c r="JI174" i="40"/>
  <c r="AO375" i="40"/>
  <c r="CQ375" i="40"/>
  <c r="AP375" i="40"/>
  <c r="JD171" i="40"/>
  <c r="KP171" i="40"/>
  <c r="JR170" i="40"/>
  <c r="KQ170" i="40"/>
  <c r="KS170" i="40" s="1"/>
  <c r="JQ170" i="40"/>
  <c r="JU170" i="40" s="1"/>
  <c r="JV170" i="40" s="1"/>
  <c r="JW170" i="40" s="1"/>
  <c r="KU117" i="40"/>
  <c r="KT118" i="40"/>
  <c r="CV175" i="40"/>
  <c r="AK175" i="40"/>
  <c r="AL175" i="40"/>
  <c r="CQ175" i="40"/>
  <c r="AO175" i="40"/>
  <c r="CP175" i="40"/>
  <c r="HW175" i="40" s="1"/>
  <c r="AN175" i="40"/>
  <c r="IP175" i="40"/>
  <c r="JB175" i="40" s="1"/>
  <c r="HZ675" i="40" l="1"/>
  <c r="CI360" i="40"/>
  <c r="CI559" i="40"/>
  <c r="CI176" i="40"/>
  <c r="CI659" i="40"/>
  <c r="DB475" i="40"/>
  <c r="DB376" i="40"/>
  <c r="CV475" i="40"/>
  <c r="DB176" i="40"/>
  <c r="IA675" i="40"/>
  <c r="IZ675" i="40" s="1"/>
  <c r="JJ174" i="40"/>
  <c r="JK174" i="40" s="1"/>
  <c r="JL174" i="40" s="1"/>
  <c r="JM174" i="40" s="1"/>
  <c r="IX675" i="40"/>
  <c r="CV676" i="40"/>
  <c r="I677" i="40"/>
  <c r="AJ677" i="40"/>
  <c r="AC677" i="40"/>
  <c r="JO677" i="40"/>
  <c r="AE677" i="40"/>
  <c r="JP677" i="40"/>
  <c r="AF677" i="40"/>
  <c r="CJ677" i="40"/>
  <c r="AI677" i="40"/>
  <c r="DV677" i="40"/>
  <c r="CC677" i="40"/>
  <c r="BM677" i="40"/>
  <c r="AW677" i="40"/>
  <c r="DT677" i="40"/>
  <c r="BT677" i="40"/>
  <c r="BD677" i="40"/>
  <c r="L677" i="40"/>
  <c r="CL677" i="40" s="1"/>
  <c r="BO677" i="40"/>
  <c r="G677" i="40"/>
  <c r="BF677" i="40"/>
  <c r="BC677" i="40"/>
  <c r="BB677" i="40"/>
  <c r="K677" i="40"/>
  <c r="DM677" i="40"/>
  <c r="BY677" i="40"/>
  <c r="BI677" i="40"/>
  <c r="AG677" i="40"/>
  <c r="CF677" i="40"/>
  <c r="BP677" i="40"/>
  <c r="AZ677" i="40"/>
  <c r="DS677" i="40"/>
  <c r="BG677" i="40"/>
  <c r="CD677" i="40"/>
  <c r="AX677" i="40"/>
  <c r="DW677" i="40"/>
  <c r="R677" i="40"/>
  <c r="BZ677" i="40"/>
  <c r="KN677" i="40"/>
  <c r="F677" i="40"/>
  <c r="DU677" i="40"/>
  <c r="BU677" i="40"/>
  <c r="BE677" i="40"/>
  <c r="M677" i="40"/>
  <c r="CM677" i="40" s="1"/>
  <c r="CB677" i="40"/>
  <c r="BL677" i="40"/>
  <c r="AB677" i="40"/>
  <c r="CE677" i="40"/>
  <c r="W677" i="40"/>
  <c r="CU677" i="40" s="1"/>
  <c r="BV677" i="40"/>
  <c r="N677" i="40"/>
  <c r="CN677" i="40" s="1"/>
  <c r="CH677" i="40"/>
  <c r="CA677" i="40"/>
  <c r="J677" i="40"/>
  <c r="H677" i="40"/>
  <c r="C678" i="40"/>
  <c r="A677" i="40"/>
  <c r="BW677" i="40"/>
  <c r="BR677" i="40"/>
  <c r="BS677" i="40"/>
  <c r="CG677" i="40"/>
  <c r="BX677" i="40"/>
  <c r="O677" i="40"/>
  <c r="CO677" i="40" s="1"/>
  <c r="BK677" i="40"/>
  <c r="P677" i="40"/>
  <c r="BQ677" i="40"/>
  <c r="BH677" i="40"/>
  <c r="BN677" i="40"/>
  <c r="BJ677" i="40"/>
  <c r="BA677" i="40"/>
  <c r="AH677" i="40"/>
  <c r="T677" i="40"/>
  <c r="CR677" i="40" s="1"/>
  <c r="Z677" i="40"/>
  <c r="Q677" i="40"/>
  <c r="V677" i="40"/>
  <c r="CT677" i="40" s="1"/>
  <c r="X677" i="40"/>
  <c r="U677" i="40"/>
  <c r="CS677" i="40" s="1"/>
  <c r="S677" i="40"/>
  <c r="AD677" i="40"/>
  <c r="AA677" i="40"/>
  <c r="E677" i="40"/>
  <c r="Y677" i="40"/>
  <c r="AI576" i="40"/>
  <c r="AE576" i="40"/>
  <c r="AA576" i="40"/>
  <c r="W576" i="40"/>
  <c r="CU576" i="40" s="1"/>
  <c r="S576" i="40"/>
  <c r="O576" i="40"/>
  <c r="CO576" i="40" s="1"/>
  <c r="K576" i="40"/>
  <c r="G576" i="40"/>
  <c r="AH576" i="40"/>
  <c r="AD576" i="40"/>
  <c r="Z576" i="40"/>
  <c r="V576" i="40"/>
  <c r="CT576" i="40" s="1"/>
  <c r="R576" i="40"/>
  <c r="N576" i="40"/>
  <c r="CN576" i="40" s="1"/>
  <c r="J576" i="40"/>
  <c r="F576" i="40"/>
  <c r="AG576" i="40"/>
  <c r="Y576" i="40"/>
  <c r="Q576" i="40"/>
  <c r="I576" i="40"/>
  <c r="AF576" i="40"/>
  <c r="X576" i="40"/>
  <c r="P576" i="40"/>
  <c r="H576" i="40"/>
  <c r="AC576" i="40"/>
  <c r="U576" i="40"/>
  <c r="CS576" i="40" s="1"/>
  <c r="M576" i="40"/>
  <c r="CM576" i="40" s="1"/>
  <c r="E576" i="40"/>
  <c r="T576" i="40"/>
  <c r="CR576" i="40" s="1"/>
  <c r="L576" i="40"/>
  <c r="CL576" i="40" s="1"/>
  <c r="AJ576" i="40"/>
  <c r="AB576" i="40"/>
  <c r="BL576" i="40"/>
  <c r="CB576" i="40"/>
  <c r="BM576" i="40"/>
  <c r="CC576" i="40"/>
  <c r="AW576" i="40"/>
  <c r="BN576" i="40"/>
  <c r="CD576" i="40"/>
  <c r="BG576" i="40"/>
  <c r="CJ576" i="40"/>
  <c r="BS576" i="40"/>
  <c r="IZ576" i="40"/>
  <c r="BH576" i="40"/>
  <c r="BX576" i="40"/>
  <c r="DV576" i="40"/>
  <c r="BY576" i="40"/>
  <c r="BJ576" i="40"/>
  <c r="JO576" i="40"/>
  <c r="JP576" i="40"/>
  <c r="AZ576" i="40"/>
  <c r="BP576" i="40"/>
  <c r="CF576" i="40"/>
  <c r="BA576" i="40"/>
  <c r="BQ576" i="40"/>
  <c r="CG576" i="40"/>
  <c r="BB576" i="40"/>
  <c r="BR576" i="40"/>
  <c r="CH576" i="40"/>
  <c r="BW576" i="40"/>
  <c r="BK576" i="40"/>
  <c r="AX576" i="40"/>
  <c r="HZ576" i="40"/>
  <c r="IX576" i="40"/>
  <c r="DW576" i="40"/>
  <c r="IA576" i="40"/>
  <c r="C577" i="40"/>
  <c r="BD576" i="40"/>
  <c r="BT576" i="40"/>
  <c r="DM576" i="40"/>
  <c r="BE576" i="40"/>
  <c r="BU576" i="40"/>
  <c r="DS576" i="40"/>
  <c r="BF576" i="40"/>
  <c r="BV576" i="40"/>
  <c r="DT576" i="40"/>
  <c r="DU576" i="40"/>
  <c r="CA576" i="40"/>
  <c r="BO576" i="40"/>
  <c r="HY576" i="40"/>
  <c r="IY576" i="40"/>
  <c r="A576" i="40"/>
  <c r="BI576" i="40"/>
  <c r="BZ576" i="40"/>
  <c r="BC576" i="40"/>
  <c r="CE576" i="40"/>
  <c r="AO575" i="40"/>
  <c r="CQ575" i="40"/>
  <c r="AP676" i="40"/>
  <c r="AN676" i="40"/>
  <c r="CP676" i="40"/>
  <c r="CK676" i="40"/>
  <c r="AM676" i="40"/>
  <c r="AJ377" i="40"/>
  <c r="AF377" i="40"/>
  <c r="AB377" i="40"/>
  <c r="X377" i="40"/>
  <c r="T377" i="40"/>
  <c r="CR377" i="40" s="1"/>
  <c r="P377" i="40"/>
  <c r="L377" i="40"/>
  <c r="CL377" i="40" s="1"/>
  <c r="H377" i="40"/>
  <c r="AI377" i="40"/>
  <c r="AE377" i="40"/>
  <c r="AA377" i="40"/>
  <c r="CI461" i="40" s="1"/>
  <c r="W377" i="40"/>
  <c r="S377" i="40"/>
  <c r="O377" i="40"/>
  <c r="K377" i="40"/>
  <c r="G377" i="40"/>
  <c r="AH377" i="40"/>
  <c r="AD377" i="40"/>
  <c r="Z377" i="40"/>
  <c r="V377" i="40"/>
  <c r="CT377" i="40" s="1"/>
  <c r="R377" i="40"/>
  <c r="N377" i="40"/>
  <c r="CN377" i="40" s="1"/>
  <c r="J377" i="40"/>
  <c r="F377" i="40"/>
  <c r="U377" i="40"/>
  <c r="CS377" i="40" s="1"/>
  <c r="E377" i="40"/>
  <c r="AG377" i="40"/>
  <c r="Q377" i="40"/>
  <c r="AC377" i="40"/>
  <c r="M377" i="40"/>
  <c r="CM377" i="40" s="1"/>
  <c r="Y377" i="40"/>
  <c r="I377" i="40"/>
  <c r="DB676" i="40"/>
  <c r="AN575" i="40"/>
  <c r="CP575" i="40"/>
  <c r="DB575" i="40"/>
  <c r="CK575" i="40"/>
  <c r="AM575" i="40"/>
  <c r="AG177" i="40"/>
  <c r="AC177" i="40"/>
  <c r="Y177" i="40"/>
  <c r="U177" i="40"/>
  <c r="CS177" i="40" s="1"/>
  <c r="Q177" i="40"/>
  <c r="M177" i="40"/>
  <c r="CM177" i="40" s="1"/>
  <c r="I177" i="40"/>
  <c r="E177" i="40"/>
  <c r="AJ177" i="40"/>
  <c r="AF177" i="40"/>
  <c r="AB177" i="40"/>
  <c r="X177" i="40"/>
  <c r="T177" i="40"/>
  <c r="P177" i="40"/>
  <c r="L177" i="40"/>
  <c r="CL177" i="40" s="1"/>
  <c r="H177" i="40"/>
  <c r="AI177" i="40"/>
  <c r="AE177" i="40"/>
  <c r="AA177" i="40"/>
  <c r="CI261" i="40" s="1"/>
  <c r="W177" i="40"/>
  <c r="CU177" i="40" s="1"/>
  <c r="S177" i="40"/>
  <c r="O177" i="40"/>
  <c r="CO177" i="40" s="1"/>
  <c r="K177" i="40"/>
  <c r="G177" i="40"/>
  <c r="AH177" i="40"/>
  <c r="R177" i="40"/>
  <c r="V177" i="40"/>
  <c r="CT177" i="40" s="1"/>
  <c r="AD177" i="40"/>
  <c r="N177" i="40"/>
  <c r="Z177" i="40"/>
  <c r="J177" i="40"/>
  <c r="F177" i="40"/>
  <c r="AH277" i="40"/>
  <c r="AD277" i="40"/>
  <c r="Z277" i="40"/>
  <c r="V277" i="40"/>
  <c r="CT277" i="40" s="1"/>
  <c r="R277" i="40"/>
  <c r="N277" i="40"/>
  <c r="CN277" i="40" s="1"/>
  <c r="J277" i="40"/>
  <c r="F277" i="40"/>
  <c r="AG277" i="40"/>
  <c r="AC277" i="40"/>
  <c r="Y277" i="40"/>
  <c r="U277" i="40"/>
  <c r="CS277" i="40" s="1"/>
  <c r="Q277" i="40"/>
  <c r="M277" i="40"/>
  <c r="CM277" i="40" s="1"/>
  <c r="I277" i="40"/>
  <c r="E277" i="40"/>
  <c r="AJ277" i="40"/>
  <c r="AF277" i="40"/>
  <c r="AB277" i="40"/>
  <c r="X277" i="40"/>
  <c r="T277" i="40"/>
  <c r="CR277" i="40" s="1"/>
  <c r="P277" i="40"/>
  <c r="L277" i="40"/>
  <c r="CL277" i="40" s="1"/>
  <c r="H277" i="40"/>
  <c r="AA277" i="40"/>
  <c r="K277" i="40"/>
  <c r="W277" i="40"/>
  <c r="CU277" i="40" s="1"/>
  <c r="G277" i="40"/>
  <c r="AI277" i="40"/>
  <c r="S277" i="40"/>
  <c r="AE277" i="40"/>
  <c r="O277" i="40"/>
  <c r="CO277" i="40" s="1"/>
  <c r="AI476" i="40"/>
  <c r="AE476" i="40"/>
  <c r="AA476" i="40"/>
  <c r="W476" i="40"/>
  <c r="CU476" i="40" s="1"/>
  <c r="S476" i="40"/>
  <c r="O476" i="40"/>
  <c r="CO476" i="40" s="1"/>
  <c r="K476" i="40"/>
  <c r="G476" i="40"/>
  <c r="AH476" i="40"/>
  <c r="AD476" i="40"/>
  <c r="Z476" i="40"/>
  <c r="V476" i="40"/>
  <c r="CT476" i="40" s="1"/>
  <c r="R476" i="40"/>
  <c r="N476" i="40"/>
  <c r="CN476" i="40" s="1"/>
  <c r="J476" i="40"/>
  <c r="F476" i="40"/>
  <c r="AG476" i="40"/>
  <c r="AC476" i="40"/>
  <c r="Y476" i="40"/>
  <c r="U476" i="40"/>
  <c r="CS476" i="40" s="1"/>
  <c r="Q476" i="40"/>
  <c r="M476" i="40"/>
  <c r="CM476" i="40" s="1"/>
  <c r="I476" i="40"/>
  <c r="E476" i="40"/>
  <c r="AJ476" i="40"/>
  <c r="T476" i="40"/>
  <c r="CR476" i="40" s="1"/>
  <c r="AF476" i="40"/>
  <c r="P476" i="40"/>
  <c r="AB476" i="40"/>
  <c r="L476" i="40"/>
  <c r="CL476" i="40" s="1"/>
  <c r="H476" i="40"/>
  <c r="X476" i="40"/>
  <c r="CQ676" i="40"/>
  <c r="AO676" i="40"/>
  <c r="AP575" i="40"/>
  <c r="CV575" i="40"/>
  <c r="AX476" i="40"/>
  <c r="BO476" i="40"/>
  <c r="CE476" i="40"/>
  <c r="AZ476" i="40"/>
  <c r="BP476" i="40"/>
  <c r="CF476" i="40"/>
  <c r="BA476" i="40"/>
  <c r="BQ476" i="40"/>
  <c r="CG476" i="40"/>
  <c r="BF476" i="40"/>
  <c r="JO476" i="40"/>
  <c r="AW476" i="40"/>
  <c r="HY476" i="40"/>
  <c r="BC476" i="40"/>
  <c r="BS476" i="40"/>
  <c r="CJ476" i="40"/>
  <c r="BD476" i="40"/>
  <c r="BT476" i="40"/>
  <c r="DM476" i="40"/>
  <c r="BE476" i="40"/>
  <c r="BU476" i="40"/>
  <c r="DS476" i="40"/>
  <c r="BV476" i="40"/>
  <c r="BN476" i="40"/>
  <c r="IA476" i="40"/>
  <c r="IX476" i="40"/>
  <c r="BG476" i="40"/>
  <c r="BW476" i="40"/>
  <c r="DU476" i="40"/>
  <c r="BH476" i="40"/>
  <c r="BX476" i="40"/>
  <c r="DV476" i="40"/>
  <c r="BI476" i="40"/>
  <c r="BY476" i="40"/>
  <c r="DW476" i="40"/>
  <c r="DT476" i="40"/>
  <c r="BJ476" i="40"/>
  <c r="CH476" i="40"/>
  <c r="CD476" i="40"/>
  <c r="HZ476" i="40"/>
  <c r="IY476" i="40"/>
  <c r="C477" i="40"/>
  <c r="BK476" i="40"/>
  <c r="CA476" i="40"/>
  <c r="A476" i="40"/>
  <c r="BL476" i="40"/>
  <c r="CB476" i="40"/>
  <c r="BM476" i="40"/>
  <c r="CC476" i="40"/>
  <c r="BR476" i="40"/>
  <c r="BZ476" i="40"/>
  <c r="BB476" i="40"/>
  <c r="IZ476" i="40"/>
  <c r="JP476" i="40"/>
  <c r="CP475" i="40"/>
  <c r="AN475" i="40"/>
  <c r="CK475" i="40"/>
  <c r="AM475" i="40"/>
  <c r="IO176" i="40"/>
  <c r="JA176" i="40" s="1"/>
  <c r="AP475" i="40"/>
  <c r="AO475" i="40"/>
  <c r="CQ475" i="40"/>
  <c r="AM276" i="40"/>
  <c r="CK276" i="40"/>
  <c r="AP276" i="40"/>
  <c r="AX277" i="40"/>
  <c r="BO277" i="40"/>
  <c r="CE277" i="40"/>
  <c r="AZ277" i="40"/>
  <c r="BP277" i="40"/>
  <c r="CF277" i="40"/>
  <c r="BA277" i="40"/>
  <c r="BQ277" i="40"/>
  <c r="CG277" i="40"/>
  <c r="BB277" i="40"/>
  <c r="BF277" i="40"/>
  <c r="AW277" i="40"/>
  <c r="HY277" i="40"/>
  <c r="BC277" i="40"/>
  <c r="BS277" i="40"/>
  <c r="CJ277" i="40"/>
  <c r="BD277" i="40"/>
  <c r="BT277" i="40"/>
  <c r="DM277" i="40"/>
  <c r="BE277" i="40"/>
  <c r="BU277" i="40"/>
  <c r="DS277" i="40"/>
  <c r="BR277" i="40"/>
  <c r="BV277" i="40"/>
  <c r="BJ277" i="40"/>
  <c r="BN277" i="40"/>
  <c r="IX277" i="40"/>
  <c r="BG277" i="40"/>
  <c r="BW277" i="40"/>
  <c r="DU277" i="40"/>
  <c r="BH277" i="40"/>
  <c r="BX277" i="40"/>
  <c r="DV277" i="40"/>
  <c r="BI277" i="40"/>
  <c r="BY277" i="40"/>
  <c r="DW277" i="40"/>
  <c r="CH277" i="40"/>
  <c r="DT277" i="40"/>
  <c r="BZ277" i="40"/>
  <c r="CD277" i="40"/>
  <c r="IZ277" i="40"/>
  <c r="IA277" i="40"/>
  <c r="IY277" i="40"/>
  <c r="C278" i="40"/>
  <c r="BK277" i="40"/>
  <c r="CA277" i="40"/>
  <c r="A277" i="40"/>
  <c r="BL277" i="40"/>
  <c r="CB277" i="40"/>
  <c r="BM277" i="40"/>
  <c r="CC277" i="40"/>
  <c r="JO277" i="40"/>
  <c r="HZ277" i="40"/>
  <c r="JP277" i="40"/>
  <c r="AN276" i="40"/>
  <c r="CP276" i="40"/>
  <c r="DB276" i="40"/>
  <c r="AO276" i="40"/>
  <c r="CQ276" i="40"/>
  <c r="CV276" i="40"/>
  <c r="D175" i="40"/>
  <c r="AY175" i="40" s="1"/>
  <c r="HN176" i="40"/>
  <c r="HQ176" i="40" s="1"/>
  <c r="JM173" i="40"/>
  <c r="KR171" i="40"/>
  <c r="CV176" i="40"/>
  <c r="AL176" i="40"/>
  <c r="AK176" i="40"/>
  <c r="CQ176" i="40"/>
  <c r="AO176" i="40"/>
  <c r="IP176" i="40"/>
  <c r="JB176" i="40" s="1"/>
  <c r="HT176" i="40"/>
  <c r="HV175" i="40"/>
  <c r="IC175" i="40"/>
  <c r="AQ172" i="40"/>
  <c r="I15" i="70"/>
  <c r="I31" i="70"/>
  <c r="JH175" i="40"/>
  <c r="JR171" i="40"/>
  <c r="JT171" i="40"/>
  <c r="JX171" i="40" s="1"/>
  <c r="KQ171" i="40"/>
  <c r="KS171" i="40" s="1"/>
  <c r="JQ171" i="40"/>
  <c r="JU171" i="40" s="1"/>
  <c r="JV171" i="40" s="1"/>
  <c r="JW171" i="40" s="1"/>
  <c r="CK176" i="40"/>
  <c r="AM176" i="40"/>
  <c r="HS176" i="40"/>
  <c r="HX175" i="40"/>
  <c r="ID175" i="40" s="1"/>
  <c r="CK376" i="40"/>
  <c r="AM376" i="40"/>
  <c r="KI172" i="40"/>
  <c r="KJ172" i="40"/>
  <c r="KK172" i="40"/>
  <c r="KO172" i="40"/>
  <c r="JI175" i="40"/>
  <c r="JS171" i="40"/>
  <c r="HR176" i="40"/>
  <c r="IB174" i="40"/>
  <c r="IG174" i="40" s="1"/>
  <c r="AN376" i="40"/>
  <c r="CP376" i="40"/>
  <c r="C378" i="40"/>
  <c r="CO377" i="40"/>
  <c r="AX377" i="40"/>
  <c r="BC377" i="40"/>
  <c r="BG377" i="40"/>
  <c r="BK377" i="40"/>
  <c r="BO377" i="40"/>
  <c r="BS377" i="40"/>
  <c r="BW377" i="40"/>
  <c r="CA377" i="40"/>
  <c r="CE377" i="40"/>
  <c r="CJ377" i="40"/>
  <c r="DU377" i="40"/>
  <c r="A377" i="40"/>
  <c r="AZ377" i="40"/>
  <c r="BD377" i="40"/>
  <c r="BH377" i="40"/>
  <c r="BL377" i="40"/>
  <c r="BP377" i="40"/>
  <c r="BT377" i="40"/>
  <c r="BX377" i="40"/>
  <c r="CB377" i="40"/>
  <c r="CF377" i="40"/>
  <c r="DM377" i="40"/>
  <c r="DV377" i="40"/>
  <c r="BA377" i="40"/>
  <c r="BE377" i="40"/>
  <c r="BI377" i="40"/>
  <c r="BM377" i="40"/>
  <c r="BQ377" i="40"/>
  <c r="BU377" i="40"/>
  <c r="BY377" i="40"/>
  <c r="CC377" i="40"/>
  <c r="CG377" i="40"/>
  <c r="DS377" i="40"/>
  <c r="DW377" i="40"/>
  <c r="BJ377" i="40"/>
  <c r="BZ377" i="40"/>
  <c r="AW377" i="40"/>
  <c r="BN377" i="40"/>
  <c r="CD377" i="40"/>
  <c r="BB377" i="40"/>
  <c r="BR377" i="40"/>
  <c r="CH377" i="40"/>
  <c r="DT377" i="40"/>
  <c r="BF377" i="40"/>
  <c r="JO377" i="40"/>
  <c r="BV377" i="40"/>
  <c r="IY377" i="40"/>
  <c r="HZ377" i="40"/>
  <c r="IX377" i="40"/>
  <c r="IZ377" i="40"/>
  <c r="IA377" i="40"/>
  <c r="HY377" i="40"/>
  <c r="CU377" i="40"/>
  <c r="JP377" i="40"/>
  <c r="JD172" i="40"/>
  <c r="JS172" i="40" s="1"/>
  <c r="KP172" i="40"/>
  <c r="AN176" i="40"/>
  <c r="CP176" i="40"/>
  <c r="HW176" i="40" s="1"/>
  <c r="KT119" i="40"/>
  <c r="KU118" i="40"/>
  <c r="IB173" i="40"/>
  <c r="AP176" i="40"/>
  <c r="HM176" i="40"/>
  <c r="IK177" i="40"/>
  <c r="IN177" i="40" s="1"/>
  <c r="II177" i="40"/>
  <c r="IL177" i="40" s="1"/>
  <c r="IJ177" i="40"/>
  <c r="IM177" i="40" s="1"/>
  <c r="JF177" i="40"/>
  <c r="HO177" i="40" s="1"/>
  <c r="HR177" i="40" s="1"/>
  <c r="C178" i="40"/>
  <c r="AW177" i="40"/>
  <c r="BB177" i="40"/>
  <c r="BF177" i="40"/>
  <c r="BJ177" i="40"/>
  <c r="BN177" i="40"/>
  <c r="BR177" i="40"/>
  <c r="BV177" i="40"/>
  <c r="BZ177" i="40"/>
  <c r="CD177" i="40"/>
  <c r="CH177" i="40"/>
  <c r="DT177" i="40"/>
  <c r="A177" i="40"/>
  <c r="AX177" i="40"/>
  <c r="BC177" i="40"/>
  <c r="BG177" i="40"/>
  <c r="BK177" i="40"/>
  <c r="BO177" i="40"/>
  <c r="BS177" i="40"/>
  <c r="BW177" i="40"/>
  <c r="CA177" i="40"/>
  <c r="CE177" i="40"/>
  <c r="CJ177" i="40"/>
  <c r="DU177" i="40"/>
  <c r="CN177" i="40"/>
  <c r="AZ177" i="40"/>
  <c r="BD177" i="40"/>
  <c r="BH177" i="40"/>
  <c r="BL177" i="40"/>
  <c r="BP177" i="40"/>
  <c r="BT177" i="40"/>
  <c r="BX177" i="40"/>
  <c r="CB177" i="40"/>
  <c r="CF177" i="40"/>
  <c r="DM177" i="40"/>
  <c r="DV177" i="40"/>
  <c r="BE177" i="40"/>
  <c r="BU177" i="40"/>
  <c r="DS177" i="40"/>
  <c r="BI177" i="40"/>
  <c r="BY177" i="40"/>
  <c r="DW177" i="40"/>
  <c r="BM177" i="40"/>
  <c r="CC177" i="40"/>
  <c r="CG177" i="40"/>
  <c r="BA177" i="40"/>
  <c r="BQ177" i="40"/>
  <c r="JO177" i="40"/>
  <c r="HY177" i="40"/>
  <c r="HZ177" i="40"/>
  <c r="IX177" i="40"/>
  <c r="IZ177" i="40"/>
  <c r="IA177" i="40"/>
  <c r="CR177" i="40"/>
  <c r="IY177" i="40"/>
  <c r="JP177" i="40"/>
  <c r="JG177" i="40"/>
  <c r="JC176" i="40"/>
  <c r="HU176" i="40"/>
  <c r="IY675" i="40"/>
  <c r="CV376" i="40"/>
  <c r="AO376" i="40"/>
  <c r="CQ376" i="40"/>
  <c r="AP376" i="40"/>
  <c r="CI177" i="40" l="1"/>
  <c r="CI660" i="40"/>
  <c r="CI560" i="40"/>
  <c r="CI361" i="40"/>
  <c r="HZ676" i="40"/>
  <c r="IY676" i="40" s="1"/>
  <c r="HY676" i="40"/>
  <c r="IX676" i="40" s="1"/>
  <c r="DB277" i="40"/>
  <c r="CV576" i="40"/>
  <c r="AP677" i="40"/>
  <c r="DB576" i="40"/>
  <c r="AJ378" i="40"/>
  <c r="AF378" i="40"/>
  <c r="AB378" i="40"/>
  <c r="X378" i="40"/>
  <c r="T378" i="40"/>
  <c r="CR378" i="40" s="1"/>
  <c r="P378" i="40"/>
  <c r="L378" i="40"/>
  <c r="CL378" i="40" s="1"/>
  <c r="H378" i="40"/>
  <c r="AI378" i="40"/>
  <c r="AE378" i="40"/>
  <c r="AA378" i="40"/>
  <c r="CI462" i="40" s="1"/>
  <c r="W378" i="40"/>
  <c r="S378" i="40"/>
  <c r="O378" i="40"/>
  <c r="CO378" i="40" s="1"/>
  <c r="K378" i="40"/>
  <c r="G378" i="40"/>
  <c r="AH378" i="40"/>
  <c r="AD378" i="40"/>
  <c r="Z378" i="40"/>
  <c r="V378" i="40"/>
  <c r="R378" i="40"/>
  <c r="N378" i="40"/>
  <c r="CN378" i="40" s="1"/>
  <c r="J378" i="40"/>
  <c r="F378" i="40"/>
  <c r="U378" i="40"/>
  <c r="CS378" i="40" s="1"/>
  <c r="E378" i="40"/>
  <c r="AG378" i="40"/>
  <c r="Q378" i="40"/>
  <c r="AC378" i="40"/>
  <c r="M378" i="40"/>
  <c r="CM378" i="40" s="1"/>
  <c r="I378" i="40"/>
  <c r="Y378" i="40"/>
  <c r="IA676" i="40"/>
  <c r="IZ676" i="40" s="1"/>
  <c r="AI577" i="40"/>
  <c r="AE577" i="40"/>
  <c r="AA577" i="40"/>
  <c r="W577" i="40"/>
  <c r="CU577" i="40" s="1"/>
  <c r="S577" i="40"/>
  <c r="O577" i="40"/>
  <c r="CO577" i="40" s="1"/>
  <c r="K577" i="40"/>
  <c r="G577" i="40"/>
  <c r="AH577" i="40"/>
  <c r="AD577" i="40"/>
  <c r="Z577" i="40"/>
  <c r="V577" i="40"/>
  <c r="CT577" i="40" s="1"/>
  <c r="R577" i="40"/>
  <c r="N577" i="40"/>
  <c r="CN577" i="40" s="1"/>
  <c r="J577" i="40"/>
  <c r="F577" i="40"/>
  <c r="AG577" i="40"/>
  <c r="Y577" i="40"/>
  <c r="Q577" i="40"/>
  <c r="I577" i="40"/>
  <c r="AF577" i="40"/>
  <c r="X577" i="40"/>
  <c r="P577" i="40"/>
  <c r="H577" i="40"/>
  <c r="AC577" i="40"/>
  <c r="U577" i="40"/>
  <c r="CS577" i="40" s="1"/>
  <c r="M577" i="40"/>
  <c r="CM577" i="40" s="1"/>
  <c r="E577" i="40"/>
  <c r="T577" i="40"/>
  <c r="CR577" i="40" s="1"/>
  <c r="L577" i="40"/>
  <c r="CL577" i="40" s="1"/>
  <c r="AJ577" i="40"/>
  <c r="AB577" i="40"/>
  <c r="BF577" i="40"/>
  <c r="BV577" i="40"/>
  <c r="DT577" i="40"/>
  <c r="BC577" i="40"/>
  <c r="BS577" i="40"/>
  <c r="CJ577" i="40"/>
  <c r="AZ577" i="40"/>
  <c r="BP577" i="40"/>
  <c r="BU577" i="40"/>
  <c r="BI577" i="40"/>
  <c r="IA577" i="40"/>
  <c r="IY577" i="40"/>
  <c r="C578" i="40"/>
  <c r="BJ577" i="40"/>
  <c r="BZ577" i="40"/>
  <c r="BG577" i="40"/>
  <c r="BW577" i="40"/>
  <c r="DU577" i="40"/>
  <c r="BD577" i="40"/>
  <c r="BT577" i="40"/>
  <c r="DM577" i="40"/>
  <c r="DS577" i="40"/>
  <c r="BY577" i="40"/>
  <c r="BM577" i="40"/>
  <c r="HZ577" i="40"/>
  <c r="IX577" i="40"/>
  <c r="AW577" i="40"/>
  <c r="BN577" i="40"/>
  <c r="CD577" i="40"/>
  <c r="BK577" i="40"/>
  <c r="CA577" i="40"/>
  <c r="A577" i="40"/>
  <c r="BH577" i="40"/>
  <c r="BX577" i="40"/>
  <c r="DV577" i="40"/>
  <c r="JO577" i="40"/>
  <c r="DW577" i="40"/>
  <c r="CC577" i="40"/>
  <c r="HY577" i="40"/>
  <c r="JP577" i="40"/>
  <c r="CE577" i="40"/>
  <c r="BE577" i="40"/>
  <c r="BA577" i="40"/>
  <c r="IZ577" i="40"/>
  <c r="BB577" i="40"/>
  <c r="BR577" i="40"/>
  <c r="CH577" i="40"/>
  <c r="AX577" i="40"/>
  <c r="BO577" i="40"/>
  <c r="BL577" i="40"/>
  <c r="CB577" i="40"/>
  <c r="CG577" i="40"/>
  <c r="BQ577" i="40"/>
  <c r="CF577" i="40"/>
  <c r="AN576" i="40"/>
  <c r="CP576" i="40"/>
  <c r="CK576" i="40"/>
  <c r="AM576" i="40"/>
  <c r="DB677" i="40"/>
  <c r="AP576" i="40"/>
  <c r="AF678" i="40"/>
  <c r="JO678" i="40"/>
  <c r="H678" i="40"/>
  <c r="AI678" i="40"/>
  <c r="F678" i="40"/>
  <c r="CJ678" i="40"/>
  <c r="JP678" i="40"/>
  <c r="I678" i="40"/>
  <c r="AJ678" i="40"/>
  <c r="AC678" i="40"/>
  <c r="KN678" i="40"/>
  <c r="DW678" i="40"/>
  <c r="BW678" i="40"/>
  <c r="BG678" i="40"/>
  <c r="K678" i="40"/>
  <c r="BY678" i="40"/>
  <c r="BD678" i="40"/>
  <c r="CH678" i="40"/>
  <c r="BM678" i="40"/>
  <c r="R678" i="40"/>
  <c r="BV678" i="40"/>
  <c r="DU678" i="40"/>
  <c r="AZ678" i="40"/>
  <c r="C679" i="40"/>
  <c r="AG678" i="40"/>
  <c r="J678" i="40"/>
  <c r="DS678" i="40"/>
  <c r="BS678" i="40"/>
  <c r="BC678" i="40"/>
  <c r="G678" i="40"/>
  <c r="BT678" i="40"/>
  <c r="AX678" i="40"/>
  <c r="CC678" i="40"/>
  <c r="BH678" i="40"/>
  <c r="M678" i="40"/>
  <c r="CM678" i="40" s="1"/>
  <c r="BL678" i="40"/>
  <c r="CF678" i="40"/>
  <c r="P678" i="40"/>
  <c r="BP678" i="40"/>
  <c r="L678" i="40"/>
  <c r="CL678" i="40" s="1"/>
  <c r="AE678" i="40"/>
  <c r="CE678" i="40"/>
  <c r="BO678" i="40"/>
  <c r="W678" i="40"/>
  <c r="CU678" i="40" s="1"/>
  <c r="DT678" i="40"/>
  <c r="BN678" i="40"/>
  <c r="N678" i="40"/>
  <c r="CN678" i="40" s="1"/>
  <c r="BX678" i="40"/>
  <c r="BB678" i="40"/>
  <c r="DV678" i="40"/>
  <c r="BA678" i="40"/>
  <c r="BU678" i="40"/>
  <c r="BQ678" i="40"/>
  <c r="CB678" i="40"/>
  <c r="BZ678" i="40"/>
  <c r="BK678" i="40"/>
  <c r="DM678" i="40"/>
  <c r="AB678" i="40"/>
  <c r="BE678" i="40"/>
  <c r="CG678" i="40"/>
  <c r="O678" i="40"/>
  <c r="CO678" i="40" s="1"/>
  <c r="BR678" i="40"/>
  <c r="BJ678" i="40"/>
  <c r="BI678" i="40"/>
  <c r="BF678" i="40"/>
  <c r="CD678" i="40"/>
  <c r="AW678" i="40"/>
  <c r="A678" i="40"/>
  <c r="CA678" i="40"/>
  <c r="AH678" i="40"/>
  <c r="T678" i="40"/>
  <c r="CR678" i="40" s="1"/>
  <c r="Z678" i="40"/>
  <c r="X678" i="40"/>
  <c r="V678" i="40"/>
  <c r="CT678" i="40" s="1"/>
  <c r="U678" i="40"/>
  <c r="CS678" i="40" s="1"/>
  <c r="S678" i="40"/>
  <c r="Q678" i="40"/>
  <c r="AD678" i="40"/>
  <c r="AA678" i="40"/>
  <c r="E678" i="40"/>
  <c r="Y678" i="40"/>
  <c r="CK677" i="40"/>
  <c r="AM677" i="40"/>
  <c r="AG178" i="40"/>
  <c r="AC178" i="40"/>
  <c r="Y178" i="40"/>
  <c r="U178" i="40"/>
  <c r="CS178" i="40" s="1"/>
  <c r="Q178" i="40"/>
  <c r="M178" i="40"/>
  <c r="CM178" i="40" s="1"/>
  <c r="I178" i="40"/>
  <c r="E178" i="40"/>
  <c r="AJ178" i="40"/>
  <c r="AF178" i="40"/>
  <c r="AB178" i="40"/>
  <c r="X178" i="40"/>
  <c r="T178" i="40"/>
  <c r="P178" i="40"/>
  <c r="L178" i="40"/>
  <c r="H178" i="40"/>
  <c r="AI178" i="40"/>
  <c r="AE178" i="40"/>
  <c r="AA178" i="40"/>
  <c r="CI262" i="40" s="1"/>
  <c r="W178" i="40"/>
  <c r="CU178" i="40" s="1"/>
  <c r="S178" i="40"/>
  <c r="O178" i="40"/>
  <c r="CO178" i="40" s="1"/>
  <c r="K178" i="40"/>
  <c r="G178" i="40"/>
  <c r="AH178" i="40"/>
  <c r="R178" i="40"/>
  <c r="AD178" i="40"/>
  <c r="N178" i="40"/>
  <c r="CN178" i="40" s="1"/>
  <c r="F178" i="40"/>
  <c r="Z178" i="40"/>
  <c r="J178" i="40"/>
  <c r="V178" i="40"/>
  <c r="CT178" i="40" s="1"/>
  <c r="AJ477" i="40"/>
  <c r="AF477" i="40"/>
  <c r="AB477" i="40"/>
  <c r="X477" i="40"/>
  <c r="T477" i="40"/>
  <c r="CR477" i="40" s="1"/>
  <c r="AH477" i="40"/>
  <c r="AD477" i="40"/>
  <c r="Z477" i="40"/>
  <c r="V477" i="40"/>
  <c r="CT477" i="40" s="1"/>
  <c r="AI477" i="40"/>
  <c r="AA477" i="40"/>
  <c r="CI561" i="40" s="1"/>
  <c r="S477" i="40"/>
  <c r="O477" i="40"/>
  <c r="CO477" i="40" s="1"/>
  <c r="K477" i="40"/>
  <c r="G477" i="40"/>
  <c r="AG477" i="40"/>
  <c r="Y477" i="40"/>
  <c r="R477" i="40"/>
  <c r="N477" i="40"/>
  <c r="CN477" i="40" s="1"/>
  <c r="J477" i="40"/>
  <c r="F477" i="40"/>
  <c r="AE477" i="40"/>
  <c r="W477" i="40"/>
  <c r="CU477" i="40" s="1"/>
  <c r="Q477" i="40"/>
  <c r="M477" i="40"/>
  <c r="CM477" i="40" s="1"/>
  <c r="I477" i="40"/>
  <c r="E477" i="40"/>
  <c r="U477" i="40"/>
  <c r="CS477" i="40" s="1"/>
  <c r="P477" i="40"/>
  <c r="L477" i="40"/>
  <c r="CL477" i="40" s="1"/>
  <c r="AC477" i="40"/>
  <c r="H477" i="40"/>
  <c r="AO576" i="40"/>
  <c r="CQ576" i="40"/>
  <c r="AH278" i="40"/>
  <c r="AD278" i="40"/>
  <c r="Z278" i="40"/>
  <c r="V278" i="40"/>
  <c r="CT278" i="40" s="1"/>
  <c r="R278" i="40"/>
  <c r="N278" i="40"/>
  <c r="CN278" i="40" s="1"/>
  <c r="J278" i="40"/>
  <c r="F278" i="40"/>
  <c r="AG278" i="40"/>
  <c r="AC278" i="40"/>
  <c r="Y278" i="40"/>
  <c r="U278" i="40"/>
  <c r="CS278" i="40" s="1"/>
  <c r="Q278" i="40"/>
  <c r="M278" i="40"/>
  <c r="CM278" i="40" s="1"/>
  <c r="I278" i="40"/>
  <c r="E278" i="40"/>
  <c r="AJ278" i="40"/>
  <c r="AF278" i="40"/>
  <c r="AB278" i="40"/>
  <c r="X278" i="40"/>
  <c r="T278" i="40"/>
  <c r="CR278" i="40" s="1"/>
  <c r="P278" i="40"/>
  <c r="L278" i="40"/>
  <c r="CL278" i="40" s="1"/>
  <c r="H278" i="40"/>
  <c r="AA278" i="40"/>
  <c r="K278" i="40"/>
  <c r="W278" i="40"/>
  <c r="CU278" i="40" s="1"/>
  <c r="G278" i="40"/>
  <c r="AI278" i="40"/>
  <c r="S278" i="40"/>
  <c r="AE278" i="40"/>
  <c r="O278" i="40"/>
  <c r="CO278" i="40" s="1"/>
  <c r="CV677" i="40"/>
  <c r="AO677" i="40"/>
  <c r="CQ677" i="40"/>
  <c r="AN677" i="40"/>
  <c r="CP677" i="40"/>
  <c r="CP476" i="40"/>
  <c r="AN476" i="40"/>
  <c r="CV476" i="40"/>
  <c r="AM476" i="40"/>
  <c r="CK476" i="40"/>
  <c r="BE477" i="40"/>
  <c r="BU477" i="40"/>
  <c r="DS477" i="40"/>
  <c r="BB477" i="40"/>
  <c r="BR477" i="40"/>
  <c r="CH477" i="40"/>
  <c r="BG477" i="40"/>
  <c r="BW477" i="40"/>
  <c r="DU477" i="40"/>
  <c r="DM477" i="40"/>
  <c r="BP477" i="40"/>
  <c r="IA477" i="40"/>
  <c r="IA677" i="40" s="1"/>
  <c r="IX477" i="40"/>
  <c r="C478" i="40"/>
  <c r="BI477" i="40"/>
  <c r="BY477" i="40"/>
  <c r="DW477" i="40"/>
  <c r="BF477" i="40"/>
  <c r="BV477" i="40"/>
  <c r="DT477" i="40"/>
  <c r="BK477" i="40"/>
  <c r="CA477" i="40"/>
  <c r="JO477" i="40"/>
  <c r="BH477" i="40"/>
  <c r="CF477" i="40"/>
  <c r="HZ477" i="40"/>
  <c r="BM477" i="40"/>
  <c r="CC477" i="40"/>
  <c r="BJ477" i="40"/>
  <c r="BZ477" i="40"/>
  <c r="AX477" i="40"/>
  <c r="BO477" i="40"/>
  <c r="CE477" i="40"/>
  <c r="BD477" i="40"/>
  <c r="AZ477" i="40"/>
  <c r="BX477" i="40"/>
  <c r="BL477" i="40"/>
  <c r="IZ477" i="40"/>
  <c r="JP477" i="40"/>
  <c r="BA477" i="40"/>
  <c r="BQ477" i="40"/>
  <c r="CG477" i="40"/>
  <c r="AW477" i="40"/>
  <c r="BN477" i="40"/>
  <c r="CD477" i="40"/>
  <c r="BC477" i="40"/>
  <c r="BS477" i="40"/>
  <c r="CJ477" i="40"/>
  <c r="BT477" i="40"/>
  <c r="A477" i="40"/>
  <c r="DV477" i="40"/>
  <c r="CB477" i="40"/>
  <c r="HY477" i="40"/>
  <c r="IY477" i="40"/>
  <c r="AO476" i="40"/>
  <c r="CQ476" i="40"/>
  <c r="AP476" i="40"/>
  <c r="DB476" i="40"/>
  <c r="BM278" i="40"/>
  <c r="CC278" i="40"/>
  <c r="BJ278" i="40"/>
  <c r="BZ278" i="40"/>
  <c r="AX278" i="40"/>
  <c r="BO278" i="40"/>
  <c r="CE278" i="40"/>
  <c r="AZ278" i="40"/>
  <c r="BD278" i="40"/>
  <c r="IX278" i="40"/>
  <c r="BA278" i="40"/>
  <c r="BQ278" i="40"/>
  <c r="CG278" i="40"/>
  <c r="AW278" i="40"/>
  <c r="BN278" i="40"/>
  <c r="CD278" i="40"/>
  <c r="BC278" i="40"/>
  <c r="BS278" i="40"/>
  <c r="CJ278" i="40"/>
  <c r="BP278" i="40"/>
  <c r="BT278" i="40"/>
  <c r="BH278" i="40"/>
  <c r="BL278" i="40"/>
  <c r="HY278" i="40"/>
  <c r="C279" i="40"/>
  <c r="BI278" i="40"/>
  <c r="BY278" i="40"/>
  <c r="DW278" i="40"/>
  <c r="BF278" i="40"/>
  <c r="BV278" i="40"/>
  <c r="DT278" i="40"/>
  <c r="BK278" i="40"/>
  <c r="CA278" i="40"/>
  <c r="A278" i="40"/>
  <c r="DV278" i="40"/>
  <c r="JO278" i="40"/>
  <c r="IA278" i="40"/>
  <c r="JP278" i="40"/>
  <c r="BE278" i="40"/>
  <c r="BU278" i="40"/>
  <c r="DS278" i="40"/>
  <c r="BB278" i="40"/>
  <c r="BR278" i="40"/>
  <c r="CH278" i="40"/>
  <c r="BG278" i="40"/>
  <c r="BW278" i="40"/>
  <c r="DU278" i="40"/>
  <c r="CF278" i="40"/>
  <c r="DM278" i="40"/>
  <c r="BX278" i="40"/>
  <c r="CB278" i="40"/>
  <c r="HZ278" i="40"/>
  <c r="IZ278" i="40"/>
  <c r="IY278" i="40"/>
  <c r="AN277" i="40"/>
  <c r="CP277" i="40"/>
  <c r="DB377" i="40"/>
  <c r="CK277" i="40"/>
  <c r="AM277" i="40"/>
  <c r="CQ277" i="40"/>
  <c r="AO277" i="40"/>
  <c r="AP277" i="40"/>
  <c r="CV277" i="40"/>
  <c r="HN177" i="40"/>
  <c r="HQ177" i="40" s="1"/>
  <c r="DB177" i="40"/>
  <c r="IO177" i="40"/>
  <c r="JA177" i="40" s="1"/>
  <c r="D176" i="40"/>
  <c r="AY176" i="40" s="1"/>
  <c r="HM177" i="40"/>
  <c r="HP177" i="40" s="1"/>
  <c r="IB175" i="40"/>
  <c r="IG175" i="40" s="1"/>
  <c r="HT177" i="40"/>
  <c r="I16" i="70"/>
  <c r="I32" i="70"/>
  <c r="HV176" i="40"/>
  <c r="CK177" i="40"/>
  <c r="AM177" i="40"/>
  <c r="HS177" i="40"/>
  <c r="KU119" i="40"/>
  <c r="KT120" i="40"/>
  <c r="KR172" i="40"/>
  <c r="HX176" i="40"/>
  <c r="ID176" i="40" s="1"/>
  <c r="JJ175" i="40"/>
  <c r="JK175" i="40" s="1"/>
  <c r="JL175" i="40" s="1"/>
  <c r="AN177" i="40"/>
  <c r="CP177" i="40"/>
  <c r="HV177" i="40" s="1"/>
  <c r="AO177" i="40"/>
  <c r="CQ177" i="40"/>
  <c r="IQ177" i="40"/>
  <c r="JC177" i="40" s="1"/>
  <c r="IK178" i="40"/>
  <c r="IN178" i="40" s="1"/>
  <c r="IJ178" i="40"/>
  <c r="IM178" i="40" s="1"/>
  <c r="JF178" i="40"/>
  <c r="HO178" i="40" s="1"/>
  <c r="C179" i="40"/>
  <c r="II178" i="40"/>
  <c r="IL178" i="40" s="1"/>
  <c r="A178" i="40"/>
  <c r="AX178" i="40"/>
  <c r="BC178" i="40"/>
  <c r="BG178" i="40"/>
  <c r="BK178" i="40"/>
  <c r="BO178" i="40"/>
  <c r="BS178" i="40"/>
  <c r="BW178" i="40"/>
  <c r="CA178" i="40"/>
  <c r="CE178" i="40"/>
  <c r="CJ178" i="40"/>
  <c r="DU178" i="40"/>
  <c r="AZ178" i="40"/>
  <c r="BD178" i="40"/>
  <c r="BH178" i="40"/>
  <c r="BL178" i="40"/>
  <c r="BP178" i="40"/>
  <c r="BT178" i="40"/>
  <c r="BX178" i="40"/>
  <c r="CB178" i="40"/>
  <c r="CF178" i="40"/>
  <c r="DM178" i="40"/>
  <c r="DV178" i="40"/>
  <c r="BA178" i="40"/>
  <c r="BE178" i="40"/>
  <c r="BI178" i="40"/>
  <c r="BM178" i="40"/>
  <c r="BQ178" i="40"/>
  <c r="BU178" i="40"/>
  <c r="BY178" i="40"/>
  <c r="CC178" i="40"/>
  <c r="CG178" i="40"/>
  <c r="DS178" i="40"/>
  <c r="DW178" i="40"/>
  <c r="BB178" i="40"/>
  <c r="BR178" i="40"/>
  <c r="CH178" i="40"/>
  <c r="BF178" i="40"/>
  <c r="BV178" i="40"/>
  <c r="DT178" i="40"/>
  <c r="CL178" i="40"/>
  <c r="BJ178" i="40"/>
  <c r="BZ178" i="40"/>
  <c r="CD178" i="40"/>
  <c r="AW178" i="40"/>
  <c r="BN178" i="40"/>
  <c r="JO178" i="40"/>
  <c r="HZ178" i="40"/>
  <c r="IZ178" i="40"/>
  <c r="HY178" i="40"/>
  <c r="IX178" i="40"/>
  <c r="IA178" i="40"/>
  <c r="CR178" i="40"/>
  <c r="IY178" i="40"/>
  <c r="JP178" i="40"/>
  <c r="JG178" i="40"/>
  <c r="HU177" i="40"/>
  <c r="AN377" i="40"/>
  <c r="CP377" i="40"/>
  <c r="AO377" i="40"/>
  <c r="CQ377" i="40"/>
  <c r="CK377" i="40"/>
  <c r="AM377" i="40"/>
  <c r="C379" i="40"/>
  <c r="BA378" i="40"/>
  <c r="BE378" i="40"/>
  <c r="BI378" i="40"/>
  <c r="BM378" i="40"/>
  <c r="BQ378" i="40"/>
  <c r="BU378" i="40"/>
  <c r="BY378" i="40"/>
  <c r="CC378" i="40"/>
  <c r="CG378" i="40"/>
  <c r="DS378" i="40"/>
  <c r="DW378" i="40"/>
  <c r="AW378" i="40"/>
  <c r="BB378" i="40"/>
  <c r="BF378" i="40"/>
  <c r="BJ378" i="40"/>
  <c r="BN378" i="40"/>
  <c r="BR378" i="40"/>
  <c r="BV378" i="40"/>
  <c r="BZ378" i="40"/>
  <c r="CD378" i="40"/>
  <c r="CH378" i="40"/>
  <c r="DT378" i="40"/>
  <c r="AX378" i="40"/>
  <c r="BC378" i="40"/>
  <c r="BG378" i="40"/>
  <c r="BK378" i="40"/>
  <c r="BO378" i="40"/>
  <c r="BS378" i="40"/>
  <c r="BW378" i="40"/>
  <c r="CA378" i="40"/>
  <c r="CE378" i="40"/>
  <c r="CJ378" i="40"/>
  <c r="DU378" i="40"/>
  <c r="A378" i="40"/>
  <c r="BH378" i="40"/>
  <c r="BX378" i="40"/>
  <c r="DV378" i="40"/>
  <c r="BL378" i="40"/>
  <c r="CB378" i="40"/>
  <c r="AZ378" i="40"/>
  <c r="BP378" i="40"/>
  <c r="CF378" i="40"/>
  <c r="DM378" i="40"/>
  <c r="BD378" i="40"/>
  <c r="JO378" i="40"/>
  <c r="BT378" i="40"/>
  <c r="IY378" i="40"/>
  <c r="HZ378" i="40"/>
  <c r="IX378" i="40"/>
  <c r="IZ378" i="40"/>
  <c r="IA378" i="40"/>
  <c r="HY378" i="40"/>
  <c r="CT378" i="40"/>
  <c r="CU378" i="40"/>
  <c r="JP378" i="40"/>
  <c r="IF174" i="40"/>
  <c r="KJ174" i="40" s="1"/>
  <c r="IE174" i="40"/>
  <c r="IC176" i="40"/>
  <c r="KO173" i="40"/>
  <c r="CV177" i="40"/>
  <c r="AL177" i="40"/>
  <c r="AK177" i="40"/>
  <c r="AP177" i="40"/>
  <c r="IP177" i="40"/>
  <c r="JB177" i="40" s="1"/>
  <c r="HP176" i="40"/>
  <c r="IF173" i="40"/>
  <c r="KJ173" i="40" s="1"/>
  <c r="IE173" i="40"/>
  <c r="KI173" i="40" s="1"/>
  <c r="IG173" i="40"/>
  <c r="KO174" i="40"/>
  <c r="KK174" i="40"/>
  <c r="JT172" i="40"/>
  <c r="JX172" i="40" s="1"/>
  <c r="JR172" i="40"/>
  <c r="KQ172" i="40"/>
  <c r="KS172" i="40" s="1"/>
  <c r="JQ172" i="40"/>
  <c r="JU172" i="40" s="1"/>
  <c r="JV172" i="40" s="1"/>
  <c r="JW172" i="40" s="1"/>
  <c r="CV377" i="40"/>
  <c r="AP377" i="40"/>
  <c r="JI176" i="40"/>
  <c r="HY677" i="40" l="1"/>
  <c r="CI178" i="40"/>
  <c r="CI661" i="40"/>
  <c r="CI362" i="40"/>
  <c r="CV678" i="40"/>
  <c r="AN678" i="40"/>
  <c r="AP678" i="40"/>
  <c r="CV477" i="40"/>
  <c r="IZ677" i="40"/>
  <c r="HZ677" i="40"/>
  <c r="IY677" i="40" s="1"/>
  <c r="IX677" i="40"/>
  <c r="AP477" i="40"/>
  <c r="AP577" i="40"/>
  <c r="CV577" i="40"/>
  <c r="AJ379" i="40"/>
  <c r="AF379" i="40"/>
  <c r="AB379" i="40"/>
  <c r="X379" i="40"/>
  <c r="T379" i="40"/>
  <c r="CR379" i="40" s="1"/>
  <c r="P379" i="40"/>
  <c r="L379" i="40"/>
  <c r="CL379" i="40" s="1"/>
  <c r="H379" i="40"/>
  <c r="AI379" i="40"/>
  <c r="AE379" i="40"/>
  <c r="AA379" i="40"/>
  <c r="CI463" i="40" s="1"/>
  <c r="W379" i="40"/>
  <c r="S379" i="40"/>
  <c r="O379" i="40"/>
  <c r="CO379" i="40" s="1"/>
  <c r="K379" i="40"/>
  <c r="G379" i="40"/>
  <c r="AH379" i="40"/>
  <c r="AD379" i="40"/>
  <c r="Z379" i="40"/>
  <c r="V379" i="40"/>
  <c r="CT379" i="40" s="1"/>
  <c r="R379" i="40"/>
  <c r="N379" i="40"/>
  <c r="CN379" i="40" s="1"/>
  <c r="J379" i="40"/>
  <c r="F379" i="40"/>
  <c r="U379" i="40"/>
  <c r="CS379" i="40" s="1"/>
  <c r="E379" i="40"/>
  <c r="AG379" i="40"/>
  <c r="Q379" i="40"/>
  <c r="AC379" i="40"/>
  <c r="M379" i="40"/>
  <c r="CM379" i="40" s="1"/>
  <c r="Y379" i="40"/>
  <c r="I379" i="40"/>
  <c r="AH279" i="40"/>
  <c r="AD279" i="40"/>
  <c r="Z279" i="40"/>
  <c r="V279" i="40"/>
  <c r="CT279" i="40" s="1"/>
  <c r="R279" i="40"/>
  <c r="N279" i="40"/>
  <c r="CN279" i="40" s="1"/>
  <c r="J279" i="40"/>
  <c r="F279" i="40"/>
  <c r="AG279" i="40"/>
  <c r="AC279" i="40"/>
  <c r="Y279" i="40"/>
  <c r="U279" i="40"/>
  <c r="CS279" i="40" s="1"/>
  <c r="Q279" i="40"/>
  <c r="M279" i="40"/>
  <c r="CM279" i="40" s="1"/>
  <c r="I279" i="40"/>
  <c r="E279" i="40"/>
  <c r="AJ279" i="40"/>
  <c r="AF279" i="40"/>
  <c r="AB279" i="40"/>
  <c r="X279" i="40"/>
  <c r="T279" i="40"/>
  <c r="CR279" i="40" s="1"/>
  <c r="P279" i="40"/>
  <c r="L279" i="40"/>
  <c r="CL279" i="40" s="1"/>
  <c r="H279" i="40"/>
  <c r="AA279" i="40"/>
  <c r="K279" i="40"/>
  <c r="W279" i="40"/>
  <c r="CU279" i="40" s="1"/>
  <c r="G279" i="40"/>
  <c r="AI279" i="40"/>
  <c r="S279" i="40"/>
  <c r="AE279" i="40"/>
  <c r="O279" i="40"/>
  <c r="CO279" i="40" s="1"/>
  <c r="AO678" i="40"/>
  <c r="CQ678" i="40"/>
  <c r="DB678" i="40"/>
  <c r="I679" i="40"/>
  <c r="AJ679" i="40"/>
  <c r="AC679" i="40"/>
  <c r="CJ679" i="40"/>
  <c r="JO679" i="40"/>
  <c r="AE679" i="40"/>
  <c r="JP679" i="40"/>
  <c r="AF679" i="40"/>
  <c r="H679" i="40"/>
  <c r="BX679" i="40"/>
  <c r="BH679" i="40"/>
  <c r="P679" i="40"/>
  <c r="CH679" i="40"/>
  <c r="BM679" i="40"/>
  <c r="W679" i="40"/>
  <c r="CU679" i="40" s="1"/>
  <c r="DV679" i="40"/>
  <c r="BQ679" i="40"/>
  <c r="AG679" i="40"/>
  <c r="BZ679" i="40"/>
  <c r="BY679" i="40"/>
  <c r="BS679" i="40"/>
  <c r="BJ679" i="40"/>
  <c r="N679" i="40"/>
  <c r="CN679" i="40" s="1"/>
  <c r="AI679" i="40"/>
  <c r="F679" i="40"/>
  <c r="DT679" i="40"/>
  <c r="BT679" i="40"/>
  <c r="BD679" i="40"/>
  <c r="L679" i="40"/>
  <c r="CL679" i="40" s="1"/>
  <c r="CC679" i="40"/>
  <c r="BG679" i="40"/>
  <c r="R679" i="40"/>
  <c r="CG679" i="40"/>
  <c r="BK679" i="40"/>
  <c r="K679" i="40"/>
  <c r="BO679" i="40"/>
  <c r="BN679" i="40"/>
  <c r="AX679" i="40"/>
  <c r="O679" i="40"/>
  <c r="CO679" i="40" s="1"/>
  <c r="CD679" i="40"/>
  <c r="KN679" i="40"/>
  <c r="CF679" i="40"/>
  <c r="BP679" i="40"/>
  <c r="AZ679" i="40"/>
  <c r="DW679" i="40"/>
  <c r="BW679" i="40"/>
  <c r="BB679" i="40"/>
  <c r="M679" i="40"/>
  <c r="CM679" i="40" s="1"/>
  <c r="CA679" i="40"/>
  <c r="BF679" i="40"/>
  <c r="A679" i="40"/>
  <c r="BE679" i="40"/>
  <c r="BC679" i="40"/>
  <c r="DU679" i="40"/>
  <c r="BI679" i="40"/>
  <c r="DM679" i="40"/>
  <c r="BV679" i="40"/>
  <c r="BU679" i="40"/>
  <c r="AB679" i="40"/>
  <c r="CB679" i="40"/>
  <c r="BR679" i="40"/>
  <c r="BA679" i="40"/>
  <c r="CE679" i="40"/>
  <c r="G679" i="40"/>
  <c r="BL679" i="40"/>
  <c r="AW679" i="40"/>
  <c r="C680" i="40"/>
  <c r="DS679" i="40"/>
  <c r="J679" i="40"/>
  <c r="T679" i="40"/>
  <c r="CR679" i="40" s="1"/>
  <c r="AH679" i="40"/>
  <c r="Z679" i="40"/>
  <c r="U679" i="40"/>
  <c r="CS679" i="40" s="1"/>
  <c r="X679" i="40"/>
  <c r="S679" i="40"/>
  <c r="Q679" i="40"/>
  <c r="V679" i="40"/>
  <c r="CT679" i="40" s="1"/>
  <c r="AA679" i="40"/>
  <c r="AD679" i="40"/>
  <c r="E679" i="40"/>
  <c r="Y679" i="40"/>
  <c r="AI578" i="40"/>
  <c r="AE578" i="40"/>
  <c r="AA578" i="40"/>
  <c r="W578" i="40"/>
  <c r="CU578" i="40" s="1"/>
  <c r="S578" i="40"/>
  <c r="O578" i="40"/>
  <c r="CO578" i="40" s="1"/>
  <c r="K578" i="40"/>
  <c r="G578" i="40"/>
  <c r="AH578" i="40"/>
  <c r="AD578" i="40"/>
  <c r="Z578" i="40"/>
  <c r="V578" i="40"/>
  <c r="CT578" i="40" s="1"/>
  <c r="R578" i="40"/>
  <c r="N578" i="40"/>
  <c r="CN578" i="40" s="1"/>
  <c r="J578" i="40"/>
  <c r="F578" i="40"/>
  <c r="AG578" i="40"/>
  <c r="Y578" i="40"/>
  <c r="Q578" i="40"/>
  <c r="I578" i="40"/>
  <c r="AF578" i="40"/>
  <c r="X578" i="40"/>
  <c r="P578" i="40"/>
  <c r="H578" i="40"/>
  <c r="AC578" i="40"/>
  <c r="U578" i="40"/>
  <c r="CS578" i="40" s="1"/>
  <c r="M578" i="40"/>
  <c r="CM578" i="40" s="1"/>
  <c r="E578" i="40"/>
  <c r="T578" i="40"/>
  <c r="CR578" i="40" s="1"/>
  <c r="L578" i="40"/>
  <c r="CL578" i="40" s="1"/>
  <c r="AJ578" i="40"/>
  <c r="AB578" i="40"/>
  <c r="A578" i="40"/>
  <c r="BH578" i="40"/>
  <c r="BX578" i="40"/>
  <c r="DV578" i="40"/>
  <c r="BI578" i="40"/>
  <c r="BY578" i="40"/>
  <c r="DW578" i="40"/>
  <c r="BJ578" i="40"/>
  <c r="BZ578" i="40"/>
  <c r="BC578" i="40"/>
  <c r="AX578" i="40"/>
  <c r="CA578" i="40"/>
  <c r="IA578" i="40"/>
  <c r="JP578" i="40"/>
  <c r="CC578" i="40"/>
  <c r="BG578" i="40"/>
  <c r="CE578" i="40"/>
  <c r="IZ578" i="40"/>
  <c r="BL578" i="40"/>
  <c r="CB578" i="40"/>
  <c r="BM578" i="40"/>
  <c r="AW578" i="40"/>
  <c r="BN578" i="40"/>
  <c r="CD578" i="40"/>
  <c r="BS578" i="40"/>
  <c r="JO578" i="40"/>
  <c r="AZ578" i="40"/>
  <c r="CF578" i="40"/>
  <c r="BA578" i="40"/>
  <c r="BQ578" i="40"/>
  <c r="BB578" i="40"/>
  <c r="BR578" i="40"/>
  <c r="CJ578" i="40"/>
  <c r="IY578" i="40"/>
  <c r="BP578" i="40"/>
  <c r="CG578" i="40"/>
  <c r="CH578" i="40"/>
  <c r="BW578" i="40"/>
  <c r="HZ578" i="40"/>
  <c r="C579" i="40"/>
  <c r="BD578" i="40"/>
  <c r="BT578" i="40"/>
  <c r="DM578" i="40"/>
  <c r="BE578" i="40"/>
  <c r="BU578" i="40"/>
  <c r="DS578" i="40"/>
  <c r="BF578" i="40"/>
  <c r="BV578" i="40"/>
  <c r="DT578" i="40"/>
  <c r="BO578" i="40"/>
  <c r="DU578" i="40"/>
  <c r="BK578" i="40"/>
  <c r="HY578" i="40"/>
  <c r="IX578" i="40"/>
  <c r="CQ577" i="40"/>
  <c r="AO577" i="40"/>
  <c r="AG179" i="40"/>
  <c r="AC179" i="40"/>
  <c r="Y179" i="40"/>
  <c r="U179" i="40"/>
  <c r="CS179" i="40" s="1"/>
  <c r="Q179" i="40"/>
  <c r="M179" i="40"/>
  <c r="CM179" i="40" s="1"/>
  <c r="I179" i="40"/>
  <c r="E179" i="40"/>
  <c r="AJ179" i="40"/>
  <c r="AF179" i="40"/>
  <c r="AB179" i="40"/>
  <c r="X179" i="40"/>
  <c r="T179" i="40"/>
  <c r="P179" i="40"/>
  <c r="L179" i="40"/>
  <c r="CL179" i="40" s="1"/>
  <c r="H179" i="40"/>
  <c r="AI179" i="40"/>
  <c r="AE179" i="40"/>
  <c r="AA179" i="40"/>
  <c r="CI263" i="40" s="1"/>
  <c r="W179" i="40"/>
  <c r="CU179" i="40" s="1"/>
  <c r="S179" i="40"/>
  <c r="O179" i="40"/>
  <c r="CO179" i="40" s="1"/>
  <c r="K179" i="40"/>
  <c r="G179" i="40"/>
  <c r="AH179" i="40"/>
  <c r="R179" i="40"/>
  <c r="V179" i="40"/>
  <c r="CT179" i="40" s="1"/>
  <c r="AD179" i="40"/>
  <c r="N179" i="40"/>
  <c r="Z179" i="40"/>
  <c r="J179" i="40"/>
  <c r="F179" i="40"/>
  <c r="AJ478" i="40"/>
  <c r="AF478" i="40"/>
  <c r="AB478" i="40"/>
  <c r="X478" i="40"/>
  <c r="T478" i="40"/>
  <c r="CR478" i="40" s="1"/>
  <c r="P478" i="40"/>
  <c r="L478" i="40"/>
  <c r="CL478" i="40" s="1"/>
  <c r="H478" i="40"/>
  <c r="AH478" i="40"/>
  <c r="AD478" i="40"/>
  <c r="Z478" i="40"/>
  <c r="V478" i="40"/>
  <c r="CT478" i="40" s="1"/>
  <c r="R478" i="40"/>
  <c r="N478" i="40"/>
  <c r="CN478" i="40" s="1"/>
  <c r="J478" i="40"/>
  <c r="F478" i="40"/>
  <c r="AI478" i="40"/>
  <c r="AA478" i="40"/>
  <c r="S478" i="40"/>
  <c r="K478" i="40"/>
  <c r="AG478" i="40"/>
  <c r="Y478" i="40"/>
  <c r="Q478" i="40"/>
  <c r="I478" i="40"/>
  <c r="AE478" i="40"/>
  <c r="W478" i="40"/>
  <c r="CU478" i="40" s="1"/>
  <c r="O478" i="40"/>
  <c r="CO478" i="40" s="1"/>
  <c r="G478" i="40"/>
  <c r="U478" i="40"/>
  <c r="CS478" i="40" s="1"/>
  <c r="M478" i="40"/>
  <c r="CM478" i="40" s="1"/>
  <c r="E478" i="40"/>
  <c r="AC478" i="40"/>
  <c r="CP678" i="40"/>
  <c r="CK678" i="40"/>
  <c r="AM678" i="40"/>
  <c r="AN577" i="40"/>
  <c r="CP577" i="40"/>
  <c r="DB577" i="40"/>
  <c r="CK577" i="40"/>
  <c r="AM577" i="40"/>
  <c r="AX478" i="40"/>
  <c r="BO478" i="40"/>
  <c r="CE478" i="40"/>
  <c r="AZ478" i="40"/>
  <c r="BP478" i="40"/>
  <c r="CF478" i="40"/>
  <c r="BA478" i="40"/>
  <c r="BQ478" i="40"/>
  <c r="CG478" i="40"/>
  <c r="BB478" i="40"/>
  <c r="CD478" i="40"/>
  <c r="DT478" i="40"/>
  <c r="BJ478" i="40"/>
  <c r="HZ478" i="40"/>
  <c r="JP478" i="40"/>
  <c r="BC478" i="40"/>
  <c r="BS478" i="40"/>
  <c r="CJ478" i="40"/>
  <c r="BD478" i="40"/>
  <c r="BT478" i="40"/>
  <c r="DM478" i="40"/>
  <c r="BE478" i="40"/>
  <c r="BU478" i="40"/>
  <c r="DS478" i="40"/>
  <c r="BR478" i="40"/>
  <c r="AW478" i="40"/>
  <c r="BZ478" i="40"/>
  <c r="HY478" i="40"/>
  <c r="IY478" i="40"/>
  <c r="BG478" i="40"/>
  <c r="BW478" i="40"/>
  <c r="DU478" i="40"/>
  <c r="BH478" i="40"/>
  <c r="BX478" i="40"/>
  <c r="DV478" i="40"/>
  <c r="BI478" i="40"/>
  <c r="BY478" i="40"/>
  <c r="DW478" i="40"/>
  <c r="CH478" i="40"/>
  <c r="BF478" i="40"/>
  <c r="BN478" i="40"/>
  <c r="IA478" i="40"/>
  <c r="IX478" i="40"/>
  <c r="C479" i="40"/>
  <c r="BK478" i="40"/>
  <c r="CA478" i="40"/>
  <c r="A478" i="40"/>
  <c r="BL478" i="40"/>
  <c r="CB478" i="40"/>
  <c r="BM478" i="40"/>
  <c r="CC478" i="40"/>
  <c r="BV478" i="40"/>
  <c r="JO478" i="40"/>
  <c r="IZ478" i="40"/>
  <c r="DB477" i="40"/>
  <c r="AM477" i="40"/>
  <c r="CK477" i="40"/>
  <c r="CP477" i="40"/>
  <c r="AN477" i="40"/>
  <c r="AO477" i="40"/>
  <c r="CQ477" i="40"/>
  <c r="C280" i="40"/>
  <c r="BK279" i="40"/>
  <c r="CA279" i="40"/>
  <c r="A279" i="40"/>
  <c r="BL279" i="40"/>
  <c r="CB279" i="40"/>
  <c r="BM279" i="40"/>
  <c r="CC279" i="40"/>
  <c r="JO279" i="40"/>
  <c r="HY279" i="40"/>
  <c r="JP279" i="40"/>
  <c r="BO279" i="40"/>
  <c r="BP279" i="40"/>
  <c r="BA279" i="40"/>
  <c r="CG279" i="40"/>
  <c r="AW279" i="40"/>
  <c r="BF279" i="40"/>
  <c r="HZ279" i="40"/>
  <c r="BR279" i="40"/>
  <c r="DU279" i="40"/>
  <c r="BH279" i="40"/>
  <c r="DV279" i="40"/>
  <c r="BY279" i="40"/>
  <c r="DT279" i="40"/>
  <c r="IA279" i="40"/>
  <c r="AX279" i="40"/>
  <c r="CE279" i="40"/>
  <c r="AZ279" i="40"/>
  <c r="CF279" i="40"/>
  <c r="BQ279" i="40"/>
  <c r="BB279" i="40"/>
  <c r="DS279" i="40"/>
  <c r="BJ279" i="40"/>
  <c r="IZ279" i="40"/>
  <c r="CH279" i="40"/>
  <c r="IX279" i="40"/>
  <c r="IY279" i="40"/>
  <c r="BC279" i="40"/>
  <c r="BS279" i="40"/>
  <c r="CJ279" i="40"/>
  <c r="BD279" i="40"/>
  <c r="BT279" i="40"/>
  <c r="DM279" i="40"/>
  <c r="BE279" i="40"/>
  <c r="BU279" i="40"/>
  <c r="BN279" i="40"/>
  <c r="BV279" i="40"/>
  <c r="BG279" i="40"/>
  <c r="BX279" i="40"/>
  <c r="BI279" i="40"/>
  <c r="DW279" i="40"/>
  <c r="BZ279" i="40"/>
  <c r="BW279" i="40"/>
  <c r="CD279" i="40"/>
  <c r="DB278" i="40"/>
  <c r="AP278" i="40"/>
  <c r="CQ278" i="40"/>
  <c r="AO278" i="40"/>
  <c r="CV278" i="40"/>
  <c r="AN278" i="40"/>
  <c r="CP278" i="40"/>
  <c r="CK278" i="40"/>
  <c r="AM278" i="40"/>
  <c r="HM178" i="40"/>
  <c r="HP178" i="40" s="1"/>
  <c r="HN178" i="40"/>
  <c r="HQ178" i="40" s="1"/>
  <c r="D177" i="40"/>
  <c r="AY177" i="40" s="1"/>
  <c r="IQ178" i="40"/>
  <c r="JC178" i="40" s="1"/>
  <c r="HU178" i="40"/>
  <c r="AQ173" i="40"/>
  <c r="JH176" i="40"/>
  <c r="IB176" i="40"/>
  <c r="IG176" i="40" s="1"/>
  <c r="CV378" i="40"/>
  <c r="CQ378" i="40"/>
  <c r="AO378" i="40"/>
  <c r="AP378" i="40"/>
  <c r="CV178" i="40"/>
  <c r="AL178" i="40"/>
  <c r="AK178" i="40"/>
  <c r="AO178" i="40"/>
  <c r="CQ178" i="40"/>
  <c r="IK179" i="40"/>
  <c r="IN179" i="40" s="1"/>
  <c r="JF179" i="40"/>
  <c r="HO179" i="40" s="1"/>
  <c r="II179" i="40"/>
  <c r="IL179" i="40" s="1"/>
  <c r="IJ179" i="40"/>
  <c r="IM179" i="40" s="1"/>
  <c r="C180" i="40"/>
  <c r="CN179" i="40"/>
  <c r="AZ179" i="40"/>
  <c r="BD179" i="40"/>
  <c r="BH179" i="40"/>
  <c r="BL179" i="40"/>
  <c r="BP179" i="40"/>
  <c r="BT179" i="40"/>
  <c r="BX179" i="40"/>
  <c r="CB179" i="40"/>
  <c r="CF179" i="40"/>
  <c r="DM179" i="40"/>
  <c r="DV179" i="40"/>
  <c r="BA179" i="40"/>
  <c r="BE179" i="40"/>
  <c r="BI179" i="40"/>
  <c r="BM179" i="40"/>
  <c r="BQ179" i="40"/>
  <c r="BU179" i="40"/>
  <c r="BY179" i="40"/>
  <c r="CC179" i="40"/>
  <c r="CG179" i="40"/>
  <c r="DS179" i="40"/>
  <c r="DW179" i="40"/>
  <c r="AW179" i="40"/>
  <c r="BB179" i="40"/>
  <c r="BF179" i="40"/>
  <c r="BJ179" i="40"/>
  <c r="BN179" i="40"/>
  <c r="BR179" i="40"/>
  <c r="BV179" i="40"/>
  <c r="BZ179" i="40"/>
  <c r="CD179" i="40"/>
  <c r="CH179" i="40"/>
  <c r="DT179" i="40"/>
  <c r="AX179" i="40"/>
  <c r="BO179" i="40"/>
  <c r="CE179" i="40"/>
  <c r="BC179" i="40"/>
  <c r="BS179" i="40"/>
  <c r="CJ179" i="40"/>
  <c r="A179" i="40"/>
  <c r="BG179" i="40"/>
  <c r="BW179" i="40"/>
  <c r="DU179" i="40"/>
  <c r="CA179" i="40"/>
  <c r="BK179" i="40"/>
  <c r="JO179" i="40"/>
  <c r="HZ179" i="40"/>
  <c r="IX179" i="40"/>
  <c r="IZ179" i="40"/>
  <c r="IA179" i="40"/>
  <c r="HY179" i="40"/>
  <c r="CR179" i="40"/>
  <c r="IY179" i="40"/>
  <c r="JP179" i="40"/>
  <c r="JG179" i="40"/>
  <c r="JM175" i="40"/>
  <c r="KT121" i="40"/>
  <c r="KU120" i="40"/>
  <c r="I34" i="70" s="1"/>
  <c r="JI177" i="40"/>
  <c r="JJ176" i="40"/>
  <c r="AN378" i="40"/>
  <c r="CP378" i="40"/>
  <c r="C380" i="40"/>
  <c r="AX379" i="40"/>
  <c r="BC379" i="40"/>
  <c r="BG379" i="40"/>
  <c r="BK379" i="40"/>
  <c r="BO379" i="40"/>
  <c r="BS379" i="40"/>
  <c r="A379" i="40"/>
  <c r="AZ379" i="40"/>
  <c r="BD379" i="40"/>
  <c r="BH379" i="40"/>
  <c r="BL379" i="40"/>
  <c r="BP379" i="40"/>
  <c r="BT379" i="40"/>
  <c r="BA379" i="40"/>
  <c r="BE379" i="40"/>
  <c r="BI379" i="40"/>
  <c r="BM379" i="40"/>
  <c r="BQ379" i="40"/>
  <c r="BF379" i="40"/>
  <c r="BU379" i="40"/>
  <c r="BY379" i="40"/>
  <c r="CC379" i="40"/>
  <c r="CG379" i="40"/>
  <c r="DS379" i="40"/>
  <c r="DW379" i="40"/>
  <c r="BJ379" i="40"/>
  <c r="BV379" i="40"/>
  <c r="BZ379" i="40"/>
  <c r="CD379" i="40"/>
  <c r="CH379" i="40"/>
  <c r="DT379" i="40"/>
  <c r="AW379" i="40"/>
  <c r="BN379" i="40"/>
  <c r="BW379" i="40"/>
  <c r="CA379" i="40"/>
  <c r="CE379" i="40"/>
  <c r="CJ379" i="40"/>
  <c r="DU379" i="40"/>
  <c r="BX379" i="40"/>
  <c r="DV379" i="40"/>
  <c r="CB379" i="40"/>
  <c r="BB379" i="40"/>
  <c r="CF379" i="40"/>
  <c r="DM379" i="40"/>
  <c r="BR379" i="40"/>
  <c r="JO379" i="40"/>
  <c r="IY379" i="40"/>
  <c r="IX379" i="40"/>
  <c r="HY379" i="40"/>
  <c r="IZ379" i="40"/>
  <c r="IA379" i="40"/>
  <c r="HZ379" i="40"/>
  <c r="CU379" i="40"/>
  <c r="JP379" i="40"/>
  <c r="AP178" i="40"/>
  <c r="JD174" i="40"/>
  <c r="KP174" i="40"/>
  <c r="KR174" i="40" s="1"/>
  <c r="KI174" i="40"/>
  <c r="JD173" i="40"/>
  <c r="KP173" i="40"/>
  <c r="KR173" i="40" s="1"/>
  <c r="KK173" i="40"/>
  <c r="CP178" i="40"/>
  <c r="HX178" i="40" s="1"/>
  <c r="AN178" i="40"/>
  <c r="HR178" i="40"/>
  <c r="I17" i="70"/>
  <c r="I33" i="70"/>
  <c r="HX177" i="40"/>
  <c r="ID177" i="40" s="1"/>
  <c r="HS178" i="40"/>
  <c r="AQ174" i="40"/>
  <c r="DB378" i="40"/>
  <c r="CK378" i="40"/>
  <c r="AM378" i="40"/>
  <c r="DB178" i="40"/>
  <c r="IP178" i="40"/>
  <c r="JB178" i="40" s="1"/>
  <c r="CK178" i="40"/>
  <c r="AM178" i="40"/>
  <c r="IO178" i="40"/>
  <c r="JA178" i="40" s="1"/>
  <c r="HT178" i="40"/>
  <c r="JH177" i="40"/>
  <c r="HW177" i="40"/>
  <c r="IC177" i="40" s="1"/>
  <c r="IF175" i="40"/>
  <c r="IE175" i="40"/>
  <c r="IA678" i="40" l="1"/>
  <c r="IZ678" i="40" s="1"/>
  <c r="HY678" i="40"/>
  <c r="IX678" i="40" s="1"/>
  <c r="CI662" i="40"/>
  <c r="CI179" i="40"/>
  <c r="CI562" i="40"/>
  <c r="CI363" i="40"/>
  <c r="HZ678" i="40"/>
  <c r="IY678" i="40" s="1"/>
  <c r="DB679" i="40"/>
  <c r="CV679" i="40"/>
  <c r="CP679" i="40"/>
  <c r="AG180" i="40"/>
  <c r="AC180" i="40"/>
  <c r="Y180" i="40"/>
  <c r="U180" i="40"/>
  <c r="CS180" i="40" s="1"/>
  <c r="Q180" i="40"/>
  <c r="M180" i="40"/>
  <c r="CM180" i="40" s="1"/>
  <c r="I180" i="40"/>
  <c r="E180" i="40"/>
  <c r="AJ180" i="40"/>
  <c r="AF180" i="40"/>
  <c r="AB180" i="40"/>
  <c r="X180" i="40"/>
  <c r="T180" i="40"/>
  <c r="P180" i="40"/>
  <c r="L180" i="40"/>
  <c r="CL180" i="40" s="1"/>
  <c r="H180" i="40"/>
  <c r="AI180" i="40"/>
  <c r="AE180" i="40"/>
  <c r="AA180" i="40"/>
  <c r="CI264" i="40" s="1"/>
  <c r="W180" i="40"/>
  <c r="CU180" i="40" s="1"/>
  <c r="S180" i="40"/>
  <c r="O180" i="40"/>
  <c r="CO180" i="40" s="1"/>
  <c r="K180" i="40"/>
  <c r="G180" i="40"/>
  <c r="AH180" i="40"/>
  <c r="R180" i="40"/>
  <c r="AD180" i="40"/>
  <c r="N180" i="40"/>
  <c r="CN180" i="40" s="1"/>
  <c r="F180" i="40"/>
  <c r="Z180" i="40"/>
  <c r="J180" i="40"/>
  <c r="V180" i="40"/>
  <c r="CT180" i="40" s="1"/>
  <c r="AO578" i="40"/>
  <c r="CQ578" i="40"/>
  <c r="AP679" i="40"/>
  <c r="AJ380" i="40"/>
  <c r="AF380" i="40"/>
  <c r="AB380" i="40"/>
  <c r="X380" i="40"/>
  <c r="T380" i="40"/>
  <c r="CR380" i="40" s="1"/>
  <c r="P380" i="40"/>
  <c r="L380" i="40"/>
  <c r="CL380" i="40" s="1"/>
  <c r="H380" i="40"/>
  <c r="AI380" i="40"/>
  <c r="AE380" i="40"/>
  <c r="AA380" i="40"/>
  <c r="CI464" i="40" s="1"/>
  <c r="W380" i="40"/>
  <c r="CU380" i="40" s="1"/>
  <c r="S380" i="40"/>
  <c r="O380" i="40"/>
  <c r="K380" i="40"/>
  <c r="G380" i="40"/>
  <c r="AH380" i="40"/>
  <c r="AD380" i="40"/>
  <c r="Z380" i="40"/>
  <c r="V380" i="40"/>
  <c r="CT380" i="40" s="1"/>
  <c r="R380" i="40"/>
  <c r="N380" i="40"/>
  <c r="CN380" i="40" s="1"/>
  <c r="J380" i="40"/>
  <c r="F380" i="40"/>
  <c r="U380" i="40"/>
  <c r="CS380" i="40" s="1"/>
  <c r="E380" i="40"/>
  <c r="AG380" i="40"/>
  <c r="Q380" i="40"/>
  <c r="AC380" i="40"/>
  <c r="M380" i="40"/>
  <c r="CM380" i="40" s="1"/>
  <c r="I380" i="40"/>
  <c r="Y380" i="40"/>
  <c r="AH280" i="40"/>
  <c r="AD280" i="40"/>
  <c r="Z280" i="40"/>
  <c r="V280" i="40"/>
  <c r="CT280" i="40" s="1"/>
  <c r="R280" i="40"/>
  <c r="N280" i="40"/>
  <c r="CN280" i="40" s="1"/>
  <c r="J280" i="40"/>
  <c r="F280" i="40"/>
  <c r="AG280" i="40"/>
  <c r="AC280" i="40"/>
  <c r="Y280" i="40"/>
  <c r="U280" i="40"/>
  <c r="CS280" i="40" s="1"/>
  <c r="Q280" i="40"/>
  <c r="M280" i="40"/>
  <c r="CM280" i="40" s="1"/>
  <c r="I280" i="40"/>
  <c r="E280" i="40"/>
  <c r="AJ280" i="40"/>
  <c r="AF280" i="40"/>
  <c r="AB280" i="40"/>
  <c r="X280" i="40"/>
  <c r="T280" i="40"/>
  <c r="CR280" i="40" s="1"/>
  <c r="P280" i="40"/>
  <c r="L280" i="40"/>
  <c r="CL280" i="40" s="1"/>
  <c r="H280" i="40"/>
  <c r="AA280" i="40"/>
  <c r="K280" i="40"/>
  <c r="W280" i="40"/>
  <c r="CU280" i="40" s="1"/>
  <c r="G280" i="40"/>
  <c r="AI280" i="40"/>
  <c r="S280" i="40"/>
  <c r="AE280" i="40"/>
  <c r="O280" i="40"/>
  <c r="CO280" i="40" s="1"/>
  <c r="AI579" i="40"/>
  <c r="AE579" i="40"/>
  <c r="AA579" i="40"/>
  <c r="W579" i="40"/>
  <c r="CU579" i="40" s="1"/>
  <c r="S579" i="40"/>
  <c r="O579" i="40"/>
  <c r="CO579" i="40" s="1"/>
  <c r="K579" i="40"/>
  <c r="G579" i="40"/>
  <c r="AH579" i="40"/>
  <c r="AD579" i="40"/>
  <c r="Z579" i="40"/>
  <c r="V579" i="40"/>
  <c r="CT579" i="40" s="1"/>
  <c r="R579" i="40"/>
  <c r="N579" i="40"/>
  <c r="CN579" i="40" s="1"/>
  <c r="J579" i="40"/>
  <c r="F579" i="40"/>
  <c r="AG579" i="40"/>
  <c r="Y579" i="40"/>
  <c r="Q579" i="40"/>
  <c r="I579" i="40"/>
  <c r="AF579" i="40"/>
  <c r="X579" i="40"/>
  <c r="P579" i="40"/>
  <c r="H579" i="40"/>
  <c r="AC579" i="40"/>
  <c r="U579" i="40"/>
  <c r="CS579" i="40" s="1"/>
  <c r="M579" i="40"/>
  <c r="CM579" i="40" s="1"/>
  <c r="E579" i="40"/>
  <c r="T579" i="40"/>
  <c r="CR579" i="40" s="1"/>
  <c r="L579" i="40"/>
  <c r="CL579" i="40" s="1"/>
  <c r="AJ579" i="40"/>
  <c r="AB579" i="40"/>
  <c r="BB579" i="40"/>
  <c r="BR579" i="40"/>
  <c r="CH579" i="40"/>
  <c r="AX579" i="40"/>
  <c r="BO579" i="40"/>
  <c r="CE579" i="40"/>
  <c r="BL579" i="40"/>
  <c r="CB579" i="40"/>
  <c r="BA579" i="40"/>
  <c r="BU579" i="40"/>
  <c r="BI579" i="40"/>
  <c r="BM579" i="40"/>
  <c r="IZ579" i="40"/>
  <c r="DM579" i="40"/>
  <c r="IY579" i="40"/>
  <c r="AW579" i="40"/>
  <c r="BN579" i="40"/>
  <c r="CD579" i="40"/>
  <c r="BK579" i="40"/>
  <c r="CA579" i="40"/>
  <c r="A579" i="40"/>
  <c r="BX579" i="40"/>
  <c r="BE579" i="40"/>
  <c r="HY579" i="40"/>
  <c r="BF579" i="40"/>
  <c r="BV579" i="40"/>
  <c r="DT579" i="40"/>
  <c r="BC579" i="40"/>
  <c r="BS579" i="40"/>
  <c r="CJ579" i="40"/>
  <c r="AZ579" i="40"/>
  <c r="BP579" i="40"/>
  <c r="CF579" i="40"/>
  <c r="BQ579" i="40"/>
  <c r="DS579" i="40"/>
  <c r="BY579" i="40"/>
  <c r="IA579" i="40"/>
  <c r="IX579" i="40"/>
  <c r="C580" i="40"/>
  <c r="BJ579" i="40"/>
  <c r="BZ579" i="40"/>
  <c r="BG579" i="40"/>
  <c r="BW579" i="40"/>
  <c r="DU579" i="40"/>
  <c r="BD579" i="40"/>
  <c r="BT579" i="40"/>
  <c r="CG579" i="40"/>
  <c r="DW579" i="40"/>
  <c r="HZ579" i="40"/>
  <c r="BH579" i="40"/>
  <c r="DV579" i="40"/>
  <c r="JO579" i="40"/>
  <c r="JP579" i="40"/>
  <c r="CC579" i="40"/>
  <c r="AN578" i="40"/>
  <c r="CP578" i="40"/>
  <c r="DB578" i="40"/>
  <c r="CK578" i="40"/>
  <c r="AM578" i="40"/>
  <c r="AN679" i="40"/>
  <c r="AJ479" i="40"/>
  <c r="AF479" i="40"/>
  <c r="AB479" i="40"/>
  <c r="X479" i="40"/>
  <c r="T479" i="40"/>
  <c r="CR479" i="40" s="1"/>
  <c r="P479" i="40"/>
  <c r="L479" i="40"/>
  <c r="H479" i="40"/>
  <c r="AH479" i="40"/>
  <c r="AD479" i="40"/>
  <c r="Z479" i="40"/>
  <c r="V479" i="40"/>
  <c r="CT479" i="40" s="1"/>
  <c r="R479" i="40"/>
  <c r="N479" i="40"/>
  <c r="CN479" i="40" s="1"/>
  <c r="J479" i="40"/>
  <c r="F479" i="40"/>
  <c r="AI479" i="40"/>
  <c r="AA479" i="40"/>
  <c r="S479" i="40"/>
  <c r="K479" i="40"/>
  <c r="AG479" i="40"/>
  <c r="Y479" i="40"/>
  <c r="Q479" i="40"/>
  <c r="I479" i="40"/>
  <c r="AE479" i="40"/>
  <c r="W479" i="40"/>
  <c r="CU479" i="40" s="1"/>
  <c r="O479" i="40"/>
  <c r="CO479" i="40" s="1"/>
  <c r="G479" i="40"/>
  <c r="U479" i="40"/>
  <c r="CS479" i="40" s="1"/>
  <c r="M479" i="40"/>
  <c r="CM479" i="40" s="1"/>
  <c r="E479" i="40"/>
  <c r="AC479" i="40"/>
  <c r="AP578" i="40"/>
  <c r="CV578" i="40"/>
  <c r="AO679" i="40"/>
  <c r="CQ679" i="40"/>
  <c r="AF680" i="40"/>
  <c r="JO680" i="40"/>
  <c r="H680" i="40"/>
  <c r="AI680" i="40"/>
  <c r="F680" i="40"/>
  <c r="JP680" i="40"/>
  <c r="I680" i="40"/>
  <c r="AJ680" i="40"/>
  <c r="AC680" i="40"/>
  <c r="KN680" i="40"/>
  <c r="CC680" i="40"/>
  <c r="BM680" i="40"/>
  <c r="AW680" i="40"/>
  <c r="DV680" i="40"/>
  <c r="BP680" i="40"/>
  <c r="P680" i="40"/>
  <c r="CE680" i="40"/>
  <c r="BJ680" i="40"/>
  <c r="DS680" i="40"/>
  <c r="AX680" i="40"/>
  <c r="BR680" i="40"/>
  <c r="BX680" i="40"/>
  <c r="AB680" i="40"/>
  <c r="R680" i="40"/>
  <c r="BY680" i="40"/>
  <c r="BI680" i="40"/>
  <c r="AG680" i="40"/>
  <c r="CF680" i="40"/>
  <c r="BK680" i="40"/>
  <c r="K680" i="40"/>
  <c r="BZ680" i="40"/>
  <c r="BD680" i="40"/>
  <c r="CD680" i="40"/>
  <c r="N680" i="40"/>
  <c r="CN680" i="40" s="1"/>
  <c r="BG680" i="40"/>
  <c r="BC680" i="40"/>
  <c r="G680" i="40"/>
  <c r="CH680" i="40"/>
  <c r="DU680" i="40"/>
  <c r="BU680" i="40"/>
  <c r="BE680" i="40"/>
  <c r="M680" i="40"/>
  <c r="CM680" i="40" s="1"/>
  <c r="CA680" i="40"/>
  <c r="BF680" i="40"/>
  <c r="C681" i="40"/>
  <c r="BT680" i="40"/>
  <c r="O680" i="40"/>
  <c r="CO680" i="40" s="1"/>
  <c r="BS680" i="40"/>
  <c r="DM680" i="40"/>
  <c r="W680" i="40"/>
  <c r="CU680" i="40" s="1"/>
  <c r="BW680" i="40"/>
  <c r="BN680" i="40"/>
  <c r="BL680" i="40"/>
  <c r="AE680" i="40"/>
  <c r="CJ680" i="40"/>
  <c r="BQ680" i="40"/>
  <c r="AZ680" i="40"/>
  <c r="BH680" i="40"/>
  <c r="DW680" i="40"/>
  <c r="CG680" i="40"/>
  <c r="J680" i="40"/>
  <c r="BA680" i="40"/>
  <c r="DT680" i="40"/>
  <c r="CB680" i="40"/>
  <c r="BV680" i="40"/>
  <c r="A680" i="40"/>
  <c r="BO680" i="40"/>
  <c r="L680" i="40"/>
  <c r="CL680" i="40" s="1"/>
  <c r="BB680" i="40"/>
  <c r="T680" i="40"/>
  <c r="CR680" i="40" s="1"/>
  <c r="AH680" i="40"/>
  <c r="Z680" i="40"/>
  <c r="U680" i="40"/>
  <c r="CS680" i="40" s="1"/>
  <c r="X680" i="40"/>
  <c r="Q680" i="40"/>
  <c r="V680" i="40"/>
  <c r="CT680" i="40" s="1"/>
  <c r="S680" i="40"/>
  <c r="AA680" i="40"/>
  <c r="AD680" i="40"/>
  <c r="E680" i="40"/>
  <c r="Y680" i="40"/>
  <c r="CK679" i="40"/>
  <c r="AM679" i="40"/>
  <c r="CV478" i="40"/>
  <c r="CK478" i="40"/>
  <c r="AM478" i="40"/>
  <c r="CQ478" i="40"/>
  <c r="AO478" i="40"/>
  <c r="CP478" i="40"/>
  <c r="AN478" i="40"/>
  <c r="BM479" i="40"/>
  <c r="CC479" i="40"/>
  <c r="BJ479" i="40"/>
  <c r="BZ479" i="40"/>
  <c r="CL479" i="40"/>
  <c r="AX479" i="40"/>
  <c r="BO479" i="40"/>
  <c r="CE479" i="40"/>
  <c r="AZ479" i="40"/>
  <c r="BH479" i="40"/>
  <c r="IA479" i="40"/>
  <c r="IA679" i="40" s="1"/>
  <c r="BA479" i="40"/>
  <c r="BQ479" i="40"/>
  <c r="CG479" i="40"/>
  <c r="AW479" i="40"/>
  <c r="BN479" i="40"/>
  <c r="CD479" i="40"/>
  <c r="BC479" i="40"/>
  <c r="BS479" i="40"/>
  <c r="CJ479" i="40"/>
  <c r="BP479" i="40"/>
  <c r="BD479" i="40"/>
  <c r="CB479" i="40"/>
  <c r="BX479" i="40"/>
  <c r="HZ479" i="40"/>
  <c r="IY479" i="40"/>
  <c r="BE479" i="40"/>
  <c r="BU479" i="40"/>
  <c r="DS479" i="40"/>
  <c r="BB479" i="40"/>
  <c r="BR479" i="40"/>
  <c r="CH479" i="40"/>
  <c r="BG479" i="40"/>
  <c r="BW479" i="40"/>
  <c r="DU479" i="40"/>
  <c r="CF479" i="40"/>
  <c r="BT479" i="40"/>
  <c r="A479" i="40"/>
  <c r="DV479" i="40"/>
  <c r="IZ479" i="40"/>
  <c r="IX479" i="40"/>
  <c r="C480" i="40"/>
  <c r="BI479" i="40"/>
  <c r="BY479" i="40"/>
  <c r="DW479" i="40"/>
  <c r="BF479" i="40"/>
  <c r="BV479" i="40"/>
  <c r="DT479" i="40"/>
  <c r="BK479" i="40"/>
  <c r="CA479" i="40"/>
  <c r="BL479" i="40"/>
  <c r="DM479" i="40"/>
  <c r="JO479" i="40"/>
  <c r="HY479" i="40"/>
  <c r="HY679" i="40" s="1"/>
  <c r="JP479" i="40"/>
  <c r="AP478" i="40"/>
  <c r="DB478" i="40"/>
  <c r="AO279" i="40"/>
  <c r="CQ279" i="40"/>
  <c r="AM279" i="40"/>
  <c r="CK279" i="40"/>
  <c r="DB279" i="40"/>
  <c r="CP279" i="40"/>
  <c r="AN279" i="40"/>
  <c r="CV279" i="40"/>
  <c r="AP279" i="40"/>
  <c r="BE280" i="40"/>
  <c r="BU280" i="40"/>
  <c r="DS280" i="40"/>
  <c r="BB280" i="40"/>
  <c r="BR280" i="40"/>
  <c r="CH280" i="40"/>
  <c r="BG280" i="40"/>
  <c r="BW280" i="40"/>
  <c r="DU280" i="40"/>
  <c r="A280" i="40"/>
  <c r="BX280" i="40"/>
  <c r="HZ280" i="40"/>
  <c r="HY280" i="40"/>
  <c r="IY280" i="40"/>
  <c r="C281" i="40"/>
  <c r="BI280" i="40"/>
  <c r="BY280" i="40"/>
  <c r="DW280" i="40"/>
  <c r="BF280" i="40"/>
  <c r="BV280" i="40"/>
  <c r="DT280" i="40"/>
  <c r="BK280" i="40"/>
  <c r="CA280" i="40"/>
  <c r="AZ280" i="40"/>
  <c r="BD280" i="40"/>
  <c r="DV280" i="40"/>
  <c r="JO280" i="40"/>
  <c r="IA280" i="40"/>
  <c r="JP280" i="40"/>
  <c r="BM280" i="40"/>
  <c r="CC280" i="40"/>
  <c r="BJ280" i="40"/>
  <c r="BZ280" i="40"/>
  <c r="AX280" i="40"/>
  <c r="BO280" i="40"/>
  <c r="CE280" i="40"/>
  <c r="BL280" i="40"/>
  <c r="BP280" i="40"/>
  <c r="BT280" i="40"/>
  <c r="IX280" i="40"/>
  <c r="BA280" i="40"/>
  <c r="BQ280" i="40"/>
  <c r="CG280" i="40"/>
  <c r="AW280" i="40"/>
  <c r="BN280" i="40"/>
  <c r="CD280" i="40"/>
  <c r="BC280" i="40"/>
  <c r="BS280" i="40"/>
  <c r="CJ280" i="40"/>
  <c r="CB280" i="40"/>
  <c r="CF280" i="40"/>
  <c r="DM280" i="40"/>
  <c r="BH280" i="40"/>
  <c r="IZ280" i="40"/>
  <c r="HN179" i="40"/>
  <c r="HQ179" i="40" s="1"/>
  <c r="HM179" i="40"/>
  <c r="HP179" i="40" s="1"/>
  <c r="IQ179" i="40"/>
  <c r="JC179" i="40" s="1"/>
  <c r="JK176" i="40"/>
  <c r="JL176" i="40" s="1"/>
  <c r="JM176" i="40" s="1"/>
  <c r="HW178" i="40"/>
  <c r="IC178" i="40" s="1"/>
  <c r="HV178" i="40"/>
  <c r="AQ175" i="40"/>
  <c r="IF176" i="40"/>
  <c r="D178" i="40"/>
  <c r="AY178" i="40" s="1"/>
  <c r="AP379" i="40"/>
  <c r="IB177" i="40"/>
  <c r="IG177" i="40" s="1"/>
  <c r="CQ379" i="40"/>
  <c r="AO379" i="40"/>
  <c r="KK175" i="40"/>
  <c r="KI175" i="40"/>
  <c r="KJ175" i="40"/>
  <c r="KO175" i="40"/>
  <c r="CQ179" i="40"/>
  <c r="AO179" i="40"/>
  <c r="HS179" i="40"/>
  <c r="IE176" i="40"/>
  <c r="ID178" i="40"/>
  <c r="JR174" i="40"/>
  <c r="KQ174" i="40"/>
  <c r="KS174" i="40" s="1"/>
  <c r="JQ174" i="40"/>
  <c r="JU174" i="40" s="1"/>
  <c r="JV174" i="40" s="1"/>
  <c r="JW174" i="40" s="1"/>
  <c r="JT174" i="40"/>
  <c r="JX174" i="40" s="1"/>
  <c r="JS174" i="40"/>
  <c r="JH178" i="40"/>
  <c r="CK379" i="40"/>
  <c r="AM379" i="40"/>
  <c r="C381" i="40"/>
  <c r="CO380" i="40"/>
  <c r="AX380" i="40"/>
  <c r="BC380" i="40"/>
  <c r="BG380" i="40"/>
  <c r="BK380" i="40"/>
  <c r="BO380" i="40"/>
  <c r="BS380" i="40"/>
  <c r="BW380" i="40"/>
  <c r="CA380" i="40"/>
  <c r="CE380" i="40"/>
  <c r="CJ380" i="40"/>
  <c r="DU380" i="40"/>
  <c r="A380" i="40"/>
  <c r="AZ380" i="40"/>
  <c r="BD380" i="40"/>
  <c r="BH380" i="40"/>
  <c r="BL380" i="40"/>
  <c r="BP380" i="40"/>
  <c r="BT380" i="40"/>
  <c r="BX380" i="40"/>
  <c r="CB380" i="40"/>
  <c r="CF380" i="40"/>
  <c r="DM380" i="40"/>
  <c r="DV380" i="40"/>
  <c r="BA380" i="40"/>
  <c r="BE380" i="40"/>
  <c r="BI380" i="40"/>
  <c r="BM380" i="40"/>
  <c r="BQ380" i="40"/>
  <c r="BU380" i="40"/>
  <c r="BY380" i="40"/>
  <c r="CC380" i="40"/>
  <c r="CG380" i="40"/>
  <c r="DS380" i="40"/>
  <c r="DW380" i="40"/>
  <c r="BF380" i="40"/>
  <c r="BV380" i="40"/>
  <c r="DT380" i="40"/>
  <c r="BJ380" i="40"/>
  <c r="BZ380" i="40"/>
  <c r="AW380" i="40"/>
  <c r="BN380" i="40"/>
  <c r="CD380" i="40"/>
  <c r="CH380" i="40"/>
  <c r="JO380" i="40"/>
  <c r="BB380" i="40"/>
  <c r="BR380" i="40"/>
  <c r="IY380" i="40"/>
  <c r="IX380" i="40"/>
  <c r="IZ380" i="40"/>
  <c r="HZ380" i="40"/>
  <c r="IA380" i="40"/>
  <c r="HY380" i="40"/>
  <c r="JP380" i="40"/>
  <c r="KT122" i="40"/>
  <c r="KU121" i="40"/>
  <c r="I35" i="70" s="1"/>
  <c r="CK179" i="40"/>
  <c r="AM179" i="40"/>
  <c r="IO179" i="40"/>
  <c r="JA179" i="40" s="1"/>
  <c r="HR179" i="40"/>
  <c r="JJ177" i="40"/>
  <c r="JK177" i="40" s="1"/>
  <c r="JL177" i="40" s="1"/>
  <c r="JT173" i="40"/>
  <c r="JX173" i="40" s="1"/>
  <c r="JR173" i="40"/>
  <c r="KQ173" i="40"/>
  <c r="KS173" i="40" s="1"/>
  <c r="JQ173" i="40"/>
  <c r="JU173" i="40" s="1"/>
  <c r="JV173" i="40" s="1"/>
  <c r="JW173" i="40" s="1"/>
  <c r="JS173" i="40"/>
  <c r="CV379" i="40"/>
  <c r="DB379" i="40"/>
  <c r="CP179" i="40"/>
  <c r="HW179" i="40" s="1"/>
  <c r="AN179" i="40"/>
  <c r="IK180" i="40"/>
  <c r="IN180" i="40" s="1"/>
  <c r="JF180" i="40"/>
  <c r="HO180" i="40" s="1"/>
  <c r="II180" i="40"/>
  <c r="IL180" i="40" s="1"/>
  <c r="IJ180" i="40"/>
  <c r="IM180" i="40" s="1"/>
  <c r="C181" i="40"/>
  <c r="BA180" i="40"/>
  <c r="BE180" i="40"/>
  <c r="BI180" i="40"/>
  <c r="BM180" i="40"/>
  <c r="BQ180" i="40"/>
  <c r="BU180" i="40"/>
  <c r="BY180" i="40"/>
  <c r="CC180" i="40"/>
  <c r="CG180" i="40"/>
  <c r="DS180" i="40"/>
  <c r="DW180" i="40"/>
  <c r="AW180" i="40"/>
  <c r="BB180" i="40"/>
  <c r="BF180" i="40"/>
  <c r="BJ180" i="40"/>
  <c r="BN180" i="40"/>
  <c r="BR180" i="40"/>
  <c r="BV180" i="40"/>
  <c r="BZ180" i="40"/>
  <c r="CD180" i="40"/>
  <c r="CH180" i="40"/>
  <c r="DT180" i="40"/>
  <c r="A180" i="40"/>
  <c r="AX180" i="40"/>
  <c r="BC180" i="40"/>
  <c r="BG180" i="40"/>
  <c r="BK180" i="40"/>
  <c r="BO180" i="40"/>
  <c r="BS180" i="40"/>
  <c r="BW180" i="40"/>
  <c r="CA180" i="40"/>
  <c r="CE180" i="40"/>
  <c r="CJ180" i="40"/>
  <c r="DU180" i="40"/>
  <c r="BL180" i="40"/>
  <c r="CB180" i="40"/>
  <c r="AZ180" i="40"/>
  <c r="BP180" i="40"/>
  <c r="CF180" i="40"/>
  <c r="BD180" i="40"/>
  <c r="BT180" i="40"/>
  <c r="DM180" i="40"/>
  <c r="BX180" i="40"/>
  <c r="DV180" i="40"/>
  <c r="BH180" i="40"/>
  <c r="JO180" i="40"/>
  <c r="IZ180" i="40"/>
  <c r="HY180" i="40"/>
  <c r="IX180" i="40"/>
  <c r="HZ180" i="40"/>
  <c r="IA180" i="40"/>
  <c r="CR180" i="40"/>
  <c r="IY180" i="40"/>
  <c r="JP180" i="40"/>
  <c r="JG180" i="40"/>
  <c r="HU179" i="40"/>
  <c r="JI178" i="40"/>
  <c r="JD175" i="40"/>
  <c r="KP175" i="40"/>
  <c r="CP379" i="40"/>
  <c r="AN379" i="40"/>
  <c r="CV179" i="40"/>
  <c r="AK179" i="40"/>
  <c r="AL179" i="40"/>
  <c r="DB179" i="40"/>
  <c r="AP179" i="40"/>
  <c r="IP179" i="40"/>
  <c r="JB179" i="40" s="1"/>
  <c r="HT179" i="40"/>
  <c r="CI663" i="40" l="1"/>
  <c r="CI563" i="40"/>
  <c r="CI364" i="40"/>
  <c r="CI180" i="40"/>
  <c r="HZ679" i="40"/>
  <c r="IY679" i="40" s="1"/>
  <c r="IZ679" i="40"/>
  <c r="DB479" i="40"/>
  <c r="CV680" i="40"/>
  <c r="DB680" i="40"/>
  <c r="AJ480" i="40"/>
  <c r="AF480" i="40"/>
  <c r="AB480" i="40"/>
  <c r="X480" i="40"/>
  <c r="T480" i="40"/>
  <c r="P480" i="40"/>
  <c r="L480" i="40"/>
  <c r="CL480" i="40" s="1"/>
  <c r="H480" i="40"/>
  <c r="AH480" i="40"/>
  <c r="AD480" i="40"/>
  <c r="Z480" i="40"/>
  <c r="V480" i="40"/>
  <c r="CT480" i="40" s="1"/>
  <c r="R480" i="40"/>
  <c r="N480" i="40"/>
  <c r="J480" i="40"/>
  <c r="F480" i="40"/>
  <c r="AI480" i="40"/>
  <c r="AA480" i="40"/>
  <c r="S480" i="40"/>
  <c r="K480" i="40"/>
  <c r="AG480" i="40"/>
  <c r="Y480" i="40"/>
  <c r="Q480" i="40"/>
  <c r="I480" i="40"/>
  <c r="AE480" i="40"/>
  <c r="W480" i="40"/>
  <c r="O480" i="40"/>
  <c r="CO480" i="40" s="1"/>
  <c r="G480" i="40"/>
  <c r="U480" i="40"/>
  <c r="CS480" i="40" s="1"/>
  <c r="M480" i="40"/>
  <c r="E480" i="40"/>
  <c r="AC480" i="40"/>
  <c r="CQ680" i="40"/>
  <c r="AO680" i="40"/>
  <c r="AI681" i="40"/>
  <c r="AG681" i="40"/>
  <c r="H681" i="40"/>
  <c r="AJ681" i="40"/>
  <c r="AC681" i="40"/>
  <c r="JO681" i="40"/>
  <c r="I681" i="40"/>
  <c r="JP681" i="40"/>
  <c r="AE681" i="40"/>
  <c r="CJ681" i="40"/>
  <c r="F681" i="40"/>
  <c r="DV681" i="40"/>
  <c r="BZ681" i="40"/>
  <c r="BJ681" i="40"/>
  <c r="R681" i="40"/>
  <c r="CE681" i="40"/>
  <c r="BI681" i="40"/>
  <c r="CC681" i="40"/>
  <c r="BH681" i="40"/>
  <c r="DW681" i="40"/>
  <c r="BA681" i="40"/>
  <c r="CF681" i="40"/>
  <c r="P681" i="40"/>
  <c r="CA681" i="40"/>
  <c r="W681" i="40"/>
  <c r="CU681" i="40" s="1"/>
  <c r="DM681" i="40"/>
  <c r="BV681" i="40"/>
  <c r="BF681" i="40"/>
  <c r="N681" i="40"/>
  <c r="CN681" i="40" s="1"/>
  <c r="BY681" i="40"/>
  <c r="BD681" i="40"/>
  <c r="BX681" i="40"/>
  <c r="BC681" i="40"/>
  <c r="CG681" i="40"/>
  <c r="AB681" i="40"/>
  <c r="BU681" i="40"/>
  <c r="CB681" i="40"/>
  <c r="BE681" i="40"/>
  <c r="A681" i="40"/>
  <c r="KN681" i="40"/>
  <c r="AF681" i="40"/>
  <c r="CH681" i="40"/>
  <c r="BR681" i="40"/>
  <c r="BB681" i="40"/>
  <c r="J681" i="40"/>
  <c r="BT681" i="40"/>
  <c r="O681" i="40"/>
  <c r="CO681" i="40" s="1"/>
  <c r="BS681" i="40"/>
  <c r="AW681" i="40"/>
  <c r="BW681" i="40"/>
  <c r="G681" i="40"/>
  <c r="BK681" i="40"/>
  <c r="BG681" i="40"/>
  <c r="K681" i="40"/>
  <c r="BP681" i="40"/>
  <c r="AX681" i="40"/>
  <c r="BM681" i="40"/>
  <c r="AZ681" i="40"/>
  <c r="DS681" i="40"/>
  <c r="C682" i="40"/>
  <c r="DT681" i="40"/>
  <c r="M681" i="40"/>
  <c r="CM681" i="40" s="1"/>
  <c r="L681" i="40"/>
  <c r="CL681" i="40" s="1"/>
  <c r="BN681" i="40"/>
  <c r="DU681" i="40"/>
  <c r="CD681" i="40"/>
  <c r="BO681" i="40"/>
  <c r="BL681" i="40"/>
  <c r="BQ681" i="40"/>
  <c r="Z681" i="40"/>
  <c r="AH681" i="40"/>
  <c r="T681" i="40"/>
  <c r="CR681" i="40" s="1"/>
  <c r="Q681" i="40"/>
  <c r="V681" i="40"/>
  <c r="CT681" i="40" s="1"/>
  <c r="S681" i="40"/>
  <c r="U681" i="40"/>
  <c r="CS681" i="40" s="1"/>
  <c r="X681" i="40"/>
  <c r="AA681" i="40"/>
  <c r="AD681" i="40"/>
  <c r="E681" i="40"/>
  <c r="Y681" i="40"/>
  <c r="AO579" i="40"/>
  <c r="CQ579" i="40"/>
  <c r="AH281" i="40"/>
  <c r="AD281" i="40"/>
  <c r="Z281" i="40"/>
  <c r="V281" i="40"/>
  <c r="CT281" i="40" s="1"/>
  <c r="R281" i="40"/>
  <c r="N281" i="40"/>
  <c r="CN281" i="40" s="1"/>
  <c r="J281" i="40"/>
  <c r="F281" i="40"/>
  <c r="AG281" i="40"/>
  <c r="AC281" i="40"/>
  <c r="Y281" i="40"/>
  <c r="U281" i="40"/>
  <c r="CS281" i="40" s="1"/>
  <c r="Q281" i="40"/>
  <c r="M281" i="40"/>
  <c r="CM281" i="40" s="1"/>
  <c r="I281" i="40"/>
  <c r="E281" i="40"/>
  <c r="AJ281" i="40"/>
  <c r="AF281" i="40"/>
  <c r="AB281" i="40"/>
  <c r="X281" i="40"/>
  <c r="T281" i="40"/>
  <c r="P281" i="40"/>
  <c r="L281" i="40"/>
  <c r="CL281" i="40" s="1"/>
  <c r="H281" i="40"/>
  <c r="AA281" i="40"/>
  <c r="K281" i="40"/>
  <c r="W281" i="40"/>
  <c r="G281" i="40"/>
  <c r="AI281" i="40"/>
  <c r="S281" i="40"/>
  <c r="AE281" i="40"/>
  <c r="O281" i="40"/>
  <c r="CO281" i="40" s="1"/>
  <c r="AN680" i="40"/>
  <c r="AI580" i="40"/>
  <c r="AE580" i="40"/>
  <c r="AA580" i="40"/>
  <c r="W580" i="40"/>
  <c r="CU580" i="40" s="1"/>
  <c r="S580" i="40"/>
  <c r="O580" i="40"/>
  <c r="CO580" i="40" s="1"/>
  <c r="K580" i="40"/>
  <c r="G580" i="40"/>
  <c r="AH580" i="40"/>
  <c r="AD580" i="40"/>
  <c r="Z580" i="40"/>
  <c r="V580" i="40"/>
  <c r="CT580" i="40" s="1"/>
  <c r="R580" i="40"/>
  <c r="N580" i="40"/>
  <c r="CN580" i="40" s="1"/>
  <c r="J580" i="40"/>
  <c r="F580" i="40"/>
  <c r="AG580" i="40"/>
  <c r="Y580" i="40"/>
  <c r="Q580" i="40"/>
  <c r="I580" i="40"/>
  <c r="AF580" i="40"/>
  <c r="X580" i="40"/>
  <c r="P580" i="40"/>
  <c r="H580" i="40"/>
  <c r="AC580" i="40"/>
  <c r="U580" i="40"/>
  <c r="CS580" i="40" s="1"/>
  <c r="M580" i="40"/>
  <c r="CM580" i="40" s="1"/>
  <c r="E580" i="40"/>
  <c r="T580" i="40"/>
  <c r="CR580" i="40" s="1"/>
  <c r="L580" i="40"/>
  <c r="CL580" i="40" s="1"/>
  <c r="AJ580" i="40"/>
  <c r="AB580" i="40"/>
  <c r="BU580" i="40"/>
  <c r="CJ580" i="40"/>
  <c r="A580" i="40"/>
  <c r="BX580" i="40"/>
  <c r="DW580" i="40"/>
  <c r="AX580" i="40"/>
  <c r="BW580" i="40"/>
  <c r="BH580" i="40"/>
  <c r="BI580" i="40"/>
  <c r="BZ580" i="40"/>
  <c r="JO580" i="40"/>
  <c r="JP580" i="40"/>
  <c r="BL580" i="40"/>
  <c r="CB580" i="40"/>
  <c r="BM580" i="40"/>
  <c r="CC580" i="40"/>
  <c r="AW580" i="40"/>
  <c r="BN580" i="40"/>
  <c r="CD580" i="40"/>
  <c r="BO580" i="40"/>
  <c r="BC580" i="40"/>
  <c r="BK580" i="40"/>
  <c r="DU580" i="40"/>
  <c r="IZ580" i="40"/>
  <c r="BE580" i="40"/>
  <c r="BV580" i="40"/>
  <c r="HY580" i="40"/>
  <c r="IY580" i="40"/>
  <c r="DV580" i="40"/>
  <c r="BY580" i="40"/>
  <c r="BJ580" i="40"/>
  <c r="CA580" i="40"/>
  <c r="IA580" i="40"/>
  <c r="AZ580" i="40"/>
  <c r="BP580" i="40"/>
  <c r="CF580" i="40"/>
  <c r="BA580" i="40"/>
  <c r="BQ580" i="40"/>
  <c r="CG580" i="40"/>
  <c r="BB580" i="40"/>
  <c r="BR580" i="40"/>
  <c r="CH580" i="40"/>
  <c r="CE580" i="40"/>
  <c r="BS580" i="40"/>
  <c r="HZ580" i="40"/>
  <c r="IX580" i="40"/>
  <c r="C581" i="40"/>
  <c r="BD580" i="40"/>
  <c r="BT580" i="40"/>
  <c r="DM580" i="40"/>
  <c r="DS580" i="40"/>
  <c r="BF580" i="40"/>
  <c r="DT580" i="40"/>
  <c r="BG580" i="40"/>
  <c r="AN579" i="40"/>
  <c r="CP579" i="40"/>
  <c r="DB579" i="40"/>
  <c r="AM579" i="40"/>
  <c r="CK579" i="40"/>
  <c r="AG181" i="40"/>
  <c r="AC181" i="40"/>
  <c r="Y181" i="40"/>
  <c r="U181" i="40"/>
  <c r="CS181" i="40" s="1"/>
  <c r="Q181" i="40"/>
  <c r="M181" i="40"/>
  <c r="CM181" i="40" s="1"/>
  <c r="I181" i="40"/>
  <c r="E181" i="40"/>
  <c r="AJ181" i="40"/>
  <c r="AF181" i="40"/>
  <c r="AB181" i="40"/>
  <c r="X181" i="40"/>
  <c r="T181" i="40"/>
  <c r="P181" i="40"/>
  <c r="L181" i="40"/>
  <c r="CL181" i="40" s="1"/>
  <c r="H181" i="40"/>
  <c r="AI181" i="40"/>
  <c r="AE181" i="40"/>
  <c r="AA181" i="40"/>
  <c r="CI265" i="40" s="1"/>
  <c r="W181" i="40"/>
  <c r="CU181" i="40" s="1"/>
  <c r="S181" i="40"/>
  <c r="O181" i="40"/>
  <c r="CO181" i="40" s="1"/>
  <c r="K181" i="40"/>
  <c r="G181" i="40"/>
  <c r="AH181" i="40"/>
  <c r="R181" i="40"/>
  <c r="AD181" i="40"/>
  <c r="N181" i="40"/>
  <c r="Z181" i="40"/>
  <c r="J181" i="40"/>
  <c r="V181" i="40"/>
  <c r="CT181" i="40" s="1"/>
  <c r="F181" i="40"/>
  <c r="AJ381" i="40"/>
  <c r="AF381" i="40"/>
  <c r="AB381" i="40"/>
  <c r="X381" i="40"/>
  <c r="T381" i="40"/>
  <c r="P381" i="40"/>
  <c r="L381" i="40"/>
  <c r="CL381" i="40" s="1"/>
  <c r="H381" i="40"/>
  <c r="AI381" i="40"/>
  <c r="AE381" i="40"/>
  <c r="AA381" i="40"/>
  <c r="CI465" i="40" s="1"/>
  <c r="W381" i="40"/>
  <c r="S381" i="40"/>
  <c r="O381" i="40"/>
  <c r="CO381" i="40" s="1"/>
  <c r="K381" i="40"/>
  <c r="G381" i="40"/>
  <c r="AH381" i="40"/>
  <c r="AD381" i="40"/>
  <c r="Z381" i="40"/>
  <c r="V381" i="40"/>
  <c r="CT381" i="40" s="1"/>
  <c r="R381" i="40"/>
  <c r="N381" i="40"/>
  <c r="CN381" i="40" s="1"/>
  <c r="J381" i="40"/>
  <c r="F381" i="40"/>
  <c r="U381" i="40"/>
  <c r="E381" i="40"/>
  <c r="AG381" i="40"/>
  <c r="Q381" i="40"/>
  <c r="AC381" i="40"/>
  <c r="M381" i="40"/>
  <c r="CM381" i="40" s="1"/>
  <c r="Y381" i="40"/>
  <c r="I381" i="40"/>
  <c r="CP680" i="40"/>
  <c r="AP680" i="40"/>
  <c r="CK680" i="40"/>
  <c r="AM680" i="40"/>
  <c r="AP579" i="40"/>
  <c r="CV579" i="40"/>
  <c r="BN480" i="40"/>
  <c r="CD480" i="40"/>
  <c r="CM480" i="40"/>
  <c r="AX480" i="40"/>
  <c r="BO480" i="40"/>
  <c r="CE480" i="40"/>
  <c r="CN480" i="40"/>
  <c r="AZ480" i="40"/>
  <c r="BP480" i="40"/>
  <c r="BM480" i="40"/>
  <c r="BU480" i="40"/>
  <c r="IY480" i="40"/>
  <c r="BB480" i="40"/>
  <c r="BR480" i="40"/>
  <c r="CH480" i="40"/>
  <c r="BC480" i="40"/>
  <c r="BS480" i="40"/>
  <c r="CJ480" i="40"/>
  <c r="BD480" i="40"/>
  <c r="BT480" i="40"/>
  <c r="DM480" i="40"/>
  <c r="CC480" i="40"/>
  <c r="BA480" i="40"/>
  <c r="BI480" i="40"/>
  <c r="DS480" i="40"/>
  <c r="HY480" i="40"/>
  <c r="HY680" i="40" s="1"/>
  <c r="CR480" i="40"/>
  <c r="IX480" i="40"/>
  <c r="C481" i="40"/>
  <c r="BF480" i="40"/>
  <c r="BV480" i="40"/>
  <c r="DT480" i="40"/>
  <c r="BG480" i="40"/>
  <c r="BW480" i="40"/>
  <c r="DU480" i="40"/>
  <c r="BH480" i="40"/>
  <c r="BX480" i="40"/>
  <c r="DV480" i="40"/>
  <c r="BQ480" i="40"/>
  <c r="IZ480" i="40"/>
  <c r="BJ480" i="40"/>
  <c r="BZ480" i="40"/>
  <c r="A480" i="40"/>
  <c r="BK480" i="40"/>
  <c r="CA480" i="40"/>
  <c r="BL480" i="40"/>
  <c r="CB480" i="40"/>
  <c r="DW480" i="40"/>
  <c r="CG480" i="40"/>
  <c r="BE480" i="40"/>
  <c r="BY480" i="40"/>
  <c r="IA480" i="40"/>
  <c r="JP480" i="40"/>
  <c r="AW480" i="40"/>
  <c r="CF480" i="40"/>
  <c r="JO480" i="40"/>
  <c r="HZ480" i="40"/>
  <c r="CU480" i="40"/>
  <c r="AN479" i="40"/>
  <c r="CP479" i="40"/>
  <c r="CK479" i="40"/>
  <c r="AM479" i="40"/>
  <c r="DB280" i="40"/>
  <c r="AP479" i="40"/>
  <c r="AO479" i="40"/>
  <c r="CQ479" i="40"/>
  <c r="CV479" i="40"/>
  <c r="C282" i="40"/>
  <c r="BK281" i="40"/>
  <c r="CA281" i="40"/>
  <c r="A281" i="40"/>
  <c r="BL281" i="40"/>
  <c r="CB281" i="40"/>
  <c r="BM281" i="40"/>
  <c r="CC281" i="40"/>
  <c r="DT281" i="40"/>
  <c r="JO281" i="40"/>
  <c r="IZ281" i="40"/>
  <c r="CR281" i="40"/>
  <c r="JP281" i="40"/>
  <c r="AX281" i="40"/>
  <c r="BO281" i="40"/>
  <c r="CE281" i="40"/>
  <c r="AZ281" i="40"/>
  <c r="BP281" i="40"/>
  <c r="CF281" i="40"/>
  <c r="BA281" i="40"/>
  <c r="BQ281" i="40"/>
  <c r="CG281" i="40"/>
  <c r="AW281" i="40"/>
  <c r="BB281" i="40"/>
  <c r="HY281" i="40"/>
  <c r="BC281" i="40"/>
  <c r="BS281" i="40"/>
  <c r="CJ281" i="40"/>
  <c r="BD281" i="40"/>
  <c r="BT281" i="40"/>
  <c r="DM281" i="40"/>
  <c r="BE281" i="40"/>
  <c r="BU281" i="40"/>
  <c r="DS281" i="40"/>
  <c r="BJ281" i="40"/>
  <c r="BN281" i="40"/>
  <c r="BR281" i="40"/>
  <c r="BF281" i="40"/>
  <c r="IX281" i="40"/>
  <c r="BG281" i="40"/>
  <c r="BW281" i="40"/>
  <c r="DU281" i="40"/>
  <c r="BH281" i="40"/>
  <c r="BX281" i="40"/>
  <c r="DV281" i="40"/>
  <c r="BI281" i="40"/>
  <c r="BY281" i="40"/>
  <c r="DW281" i="40"/>
  <c r="BZ281" i="40"/>
  <c r="CD281" i="40"/>
  <c r="CH281" i="40"/>
  <c r="BV281" i="40"/>
  <c r="IA281" i="40"/>
  <c r="HZ281" i="40"/>
  <c r="CU281" i="40"/>
  <c r="IY281" i="40"/>
  <c r="CQ280" i="40"/>
  <c r="AO280" i="40"/>
  <c r="CV280" i="40"/>
  <c r="CK280" i="40"/>
  <c r="AM280" i="40"/>
  <c r="AP280" i="40"/>
  <c r="AN280" i="40"/>
  <c r="CP280" i="40"/>
  <c r="DB380" i="40"/>
  <c r="IB178" i="40"/>
  <c r="IE178" i="40" s="1"/>
  <c r="JJ178" i="40"/>
  <c r="JK178" i="40" s="1"/>
  <c r="JL178" i="40" s="1"/>
  <c r="JM178" i="40" s="1"/>
  <c r="IF177" i="40"/>
  <c r="AQ176" i="40"/>
  <c r="HN180" i="40"/>
  <c r="HQ180" i="40" s="1"/>
  <c r="HM180" i="40"/>
  <c r="HP180" i="40" s="1"/>
  <c r="D179" i="40"/>
  <c r="AY179" i="40" s="1"/>
  <c r="CV180" i="40"/>
  <c r="AL180" i="40"/>
  <c r="AK180" i="40"/>
  <c r="CQ180" i="40"/>
  <c r="AO180" i="40"/>
  <c r="AP180" i="40"/>
  <c r="IP180" i="40"/>
  <c r="JB180" i="40" s="1"/>
  <c r="HT180" i="40"/>
  <c r="HV179" i="40"/>
  <c r="IX679" i="40"/>
  <c r="JR175" i="40"/>
  <c r="JT175" i="40"/>
  <c r="JX175" i="40" s="1"/>
  <c r="KQ175" i="40"/>
  <c r="KS175" i="40" s="1"/>
  <c r="JQ175" i="40"/>
  <c r="JU175" i="40" s="1"/>
  <c r="JV175" i="40" s="1"/>
  <c r="JW175" i="40" s="1"/>
  <c r="HS180" i="40"/>
  <c r="JD176" i="40"/>
  <c r="JS176" i="40" s="1"/>
  <c r="KP176" i="40"/>
  <c r="HX179" i="40"/>
  <c r="ID179" i="40" s="1"/>
  <c r="KR175" i="40"/>
  <c r="IO180" i="40"/>
  <c r="JA180" i="40" s="1"/>
  <c r="CK180" i="40"/>
  <c r="AM180" i="40"/>
  <c r="HR180" i="40"/>
  <c r="KK176" i="40"/>
  <c r="KI176" i="40"/>
  <c r="KJ176" i="40"/>
  <c r="KO176" i="40"/>
  <c r="IC179" i="40"/>
  <c r="CP380" i="40"/>
  <c r="AN380" i="40"/>
  <c r="AM380" i="40"/>
  <c r="CK380" i="40"/>
  <c r="C382" i="40"/>
  <c r="BA381" i="40"/>
  <c r="BE381" i="40"/>
  <c r="BI381" i="40"/>
  <c r="BM381" i="40"/>
  <c r="BQ381" i="40"/>
  <c r="BU381" i="40"/>
  <c r="BY381" i="40"/>
  <c r="CC381" i="40"/>
  <c r="CG381" i="40"/>
  <c r="DS381" i="40"/>
  <c r="DW381" i="40"/>
  <c r="AW381" i="40"/>
  <c r="BB381" i="40"/>
  <c r="BF381" i="40"/>
  <c r="BJ381" i="40"/>
  <c r="BN381" i="40"/>
  <c r="BR381" i="40"/>
  <c r="BV381" i="40"/>
  <c r="BZ381" i="40"/>
  <c r="CD381" i="40"/>
  <c r="CH381" i="40"/>
  <c r="DT381" i="40"/>
  <c r="AX381" i="40"/>
  <c r="BC381" i="40"/>
  <c r="BG381" i="40"/>
  <c r="BK381" i="40"/>
  <c r="BO381" i="40"/>
  <c r="BS381" i="40"/>
  <c r="BW381" i="40"/>
  <c r="CA381" i="40"/>
  <c r="CE381" i="40"/>
  <c r="CJ381" i="40"/>
  <c r="DU381" i="40"/>
  <c r="BD381" i="40"/>
  <c r="BT381" i="40"/>
  <c r="DM381" i="40"/>
  <c r="A381" i="40"/>
  <c r="BH381" i="40"/>
  <c r="BX381" i="40"/>
  <c r="DV381" i="40"/>
  <c r="BL381" i="40"/>
  <c r="CB381" i="40"/>
  <c r="CF381" i="40"/>
  <c r="BP381" i="40"/>
  <c r="AZ381" i="40"/>
  <c r="JO381" i="40"/>
  <c r="IY381" i="40"/>
  <c r="IX381" i="40"/>
  <c r="IZ381" i="40"/>
  <c r="HZ381" i="40"/>
  <c r="HY381" i="40"/>
  <c r="IA381" i="40"/>
  <c r="CR381" i="40"/>
  <c r="CU381" i="40"/>
  <c r="CS381" i="40"/>
  <c r="JP381" i="40"/>
  <c r="JI179" i="40"/>
  <c r="JS175" i="40"/>
  <c r="CP180" i="40"/>
  <c r="HX180" i="40" s="1"/>
  <c r="AN180" i="40"/>
  <c r="DB180" i="40"/>
  <c r="IQ180" i="40"/>
  <c r="JC180" i="40" s="1"/>
  <c r="IK181" i="40"/>
  <c r="IN181" i="40" s="1"/>
  <c r="II181" i="40"/>
  <c r="IL181" i="40" s="1"/>
  <c r="IJ181" i="40"/>
  <c r="IM181" i="40" s="1"/>
  <c r="JF181" i="40"/>
  <c r="HN181" i="40" s="1"/>
  <c r="HQ181" i="40" s="1"/>
  <c r="C182" i="40"/>
  <c r="AW181" i="40"/>
  <c r="BB181" i="40"/>
  <c r="BF181" i="40"/>
  <c r="BJ181" i="40"/>
  <c r="BN181" i="40"/>
  <c r="BR181" i="40"/>
  <c r="BV181" i="40"/>
  <c r="BZ181" i="40"/>
  <c r="CD181" i="40"/>
  <c r="CH181" i="40"/>
  <c r="DT181" i="40"/>
  <c r="A181" i="40"/>
  <c r="AX181" i="40"/>
  <c r="BC181" i="40"/>
  <c r="BG181" i="40"/>
  <c r="BK181" i="40"/>
  <c r="BO181" i="40"/>
  <c r="BS181" i="40"/>
  <c r="BW181" i="40"/>
  <c r="CA181" i="40"/>
  <c r="CE181" i="40"/>
  <c r="CJ181" i="40"/>
  <c r="DU181" i="40"/>
  <c r="CN181" i="40"/>
  <c r="AZ181" i="40"/>
  <c r="BD181" i="40"/>
  <c r="BH181" i="40"/>
  <c r="BL181" i="40"/>
  <c r="BP181" i="40"/>
  <c r="BT181" i="40"/>
  <c r="BX181" i="40"/>
  <c r="CB181" i="40"/>
  <c r="CF181" i="40"/>
  <c r="DM181" i="40"/>
  <c r="DV181" i="40"/>
  <c r="BI181" i="40"/>
  <c r="BY181" i="40"/>
  <c r="DW181" i="40"/>
  <c r="BM181" i="40"/>
  <c r="CC181" i="40"/>
  <c r="BA181" i="40"/>
  <c r="BQ181" i="40"/>
  <c r="CG181" i="40"/>
  <c r="BU181" i="40"/>
  <c r="DS181" i="40"/>
  <c r="BE181" i="40"/>
  <c r="JO181" i="40"/>
  <c r="IX181" i="40"/>
  <c r="IA181" i="40"/>
  <c r="IZ181" i="40"/>
  <c r="HY181" i="40"/>
  <c r="HZ181" i="40"/>
  <c r="CR181" i="40"/>
  <c r="IY181" i="40"/>
  <c r="JP181" i="40"/>
  <c r="JG181" i="40"/>
  <c r="HU180" i="40"/>
  <c r="JM177" i="40"/>
  <c r="KT123" i="40"/>
  <c r="KU122" i="40"/>
  <c r="I36" i="70" s="1"/>
  <c r="CV380" i="40"/>
  <c r="AO380" i="40"/>
  <c r="CQ380" i="40"/>
  <c r="AP380" i="40"/>
  <c r="JH179" i="40"/>
  <c r="IE177" i="40"/>
  <c r="DB480" i="40" l="1"/>
  <c r="CI564" i="40"/>
  <c r="CI365" i="40"/>
  <c r="CI181" i="40"/>
  <c r="CI664" i="40"/>
  <c r="HZ680" i="40"/>
  <c r="IY680" i="40" s="1"/>
  <c r="CV681" i="40"/>
  <c r="IA680" i="40"/>
  <c r="IZ680" i="40" s="1"/>
  <c r="IX680" i="40"/>
  <c r="DB281" i="40"/>
  <c r="CP681" i="40"/>
  <c r="CV480" i="40"/>
  <c r="D180" i="40"/>
  <c r="AY180" i="40" s="1"/>
  <c r="AP681" i="40"/>
  <c r="AJ481" i="40"/>
  <c r="AF481" i="40"/>
  <c r="AB481" i="40"/>
  <c r="X481" i="40"/>
  <c r="T481" i="40"/>
  <c r="P481" i="40"/>
  <c r="L481" i="40"/>
  <c r="CL481" i="40" s="1"/>
  <c r="H481" i="40"/>
  <c r="AH481" i="40"/>
  <c r="AD481" i="40"/>
  <c r="Z481" i="40"/>
  <c r="V481" i="40"/>
  <c r="R481" i="40"/>
  <c r="N481" i="40"/>
  <c r="CN481" i="40" s="1"/>
  <c r="J481" i="40"/>
  <c r="F481" i="40"/>
  <c r="AI481" i="40"/>
  <c r="AA481" i="40"/>
  <c r="S481" i="40"/>
  <c r="K481" i="40"/>
  <c r="AG481" i="40"/>
  <c r="Y481" i="40"/>
  <c r="Q481" i="40"/>
  <c r="I481" i="40"/>
  <c r="AE481" i="40"/>
  <c r="W481" i="40"/>
  <c r="O481" i="40"/>
  <c r="CO481" i="40" s="1"/>
  <c r="G481" i="40"/>
  <c r="U481" i="40"/>
  <c r="M481" i="40"/>
  <c r="CM481" i="40" s="1"/>
  <c r="E481" i="40"/>
  <c r="AC481" i="40"/>
  <c r="AP580" i="40"/>
  <c r="CV580" i="40"/>
  <c r="DB681" i="40"/>
  <c r="CK681" i="40"/>
  <c r="AM681" i="40"/>
  <c r="AG182" i="40"/>
  <c r="AC182" i="40"/>
  <c r="Y182" i="40"/>
  <c r="U182" i="40"/>
  <c r="Q182" i="40"/>
  <c r="M182" i="40"/>
  <c r="CM182" i="40" s="1"/>
  <c r="I182" i="40"/>
  <c r="E182" i="40"/>
  <c r="AJ182" i="40"/>
  <c r="AF182" i="40"/>
  <c r="AB182" i="40"/>
  <c r="X182" i="40"/>
  <c r="T182" i="40"/>
  <c r="P182" i="40"/>
  <c r="L182" i="40"/>
  <c r="H182" i="40"/>
  <c r="AI182" i="40"/>
  <c r="AE182" i="40"/>
  <c r="AA182" i="40"/>
  <c r="CI266" i="40" s="1"/>
  <c r="W182" i="40"/>
  <c r="S182" i="40"/>
  <c r="O182" i="40"/>
  <c r="CO182" i="40" s="1"/>
  <c r="K182" i="40"/>
  <c r="G182" i="40"/>
  <c r="AH182" i="40"/>
  <c r="R182" i="40"/>
  <c r="AD182" i="40"/>
  <c r="N182" i="40"/>
  <c r="Z182" i="40"/>
  <c r="J182" i="40"/>
  <c r="V182" i="40"/>
  <c r="CT182" i="40" s="1"/>
  <c r="F182" i="40"/>
  <c r="AH282" i="40"/>
  <c r="AD282" i="40"/>
  <c r="Z282" i="40"/>
  <c r="V282" i="40"/>
  <c r="R282" i="40"/>
  <c r="N282" i="40"/>
  <c r="CN282" i="40" s="1"/>
  <c r="J282" i="40"/>
  <c r="F282" i="40"/>
  <c r="AG282" i="40"/>
  <c r="AC282" i="40"/>
  <c r="Y282" i="40"/>
  <c r="U282" i="40"/>
  <c r="Q282" i="40"/>
  <c r="M282" i="40"/>
  <c r="CM282" i="40" s="1"/>
  <c r="I282" i="40"/>
  <c r="E282" i="40"/>
  <c r="AJ282" i="40"/>
  <c r="AF282" i="40"/>
  <c r="AB282" i="40"/>
  <c r="X282" i="40"/>
  <c r="T282" i="40"/>
  <c r="CR282" i="40" s="1"/>
  <c r="P282" i="40"/>
  <c r="L282" i="40"/>
  <c r="CL282" i="40" s="1"/>
  <c r="H282" i="40"/>
  <c r="AA282" i="40"/>
  <c r="K282" i="40"/>
  <c r="W282" i="40"/>
  <c r="CU282" i="40" s="1"/>
  <c r="G282" i="40"/>
  <c r="AI282" i="40"/>
  <c r="S282" i="40"/>
  <c r="AE282" i="40"/>
  <c r="O282" i="40"/>
  <c r="CQ580" i="40"/>
  <c r="AO580" i="40"/>
  <c r="AN681" i="40"/>
  <c r="AJ382" i="40"/>
  <c r="AF382" i="40"/>
  <c r="AB382" i="40"/>
  <c r="X382" i="40"/>
  <c r="T382" i="40"/>
  <c r="P382" i="40"/>
  <c r="L382" i="40"/>
  <c r="CL382" i="40" s="1"/>
  <c r="H382" i="40"/>
  <c r="AI382" i="40"/>
  <c r="AE382" i="40"/>
  <c r="AA382" i="40"/>
  <c r="CI466" i="40" s="1"/>
  <c r="W382" i="40"/>
  <c r="CU382" i="40" s="1"/>
  <c r="S382" i="40"/>
  <c r="O382" i="40"/>
  <c r="CO382" i="40" s="1"/>
  <c r="K382" i="40"/>
  <c r="G382" i="40"/>
  <c r="AH382" i="40"/>
  <c r="AD382" i="40"/>
  <c r="Z382" i="40"/>
  <c r="V382" i="40"/>
  <c r="CT382" i="40" s="1"/>
  <c r="R382" i="40"/>
  <c r="N382" i="40"/>
  <c r="CN382" i="40" s="1"/>
  <c r="J382" i="40"/>
  <c r="F382" i="40"/>
  <c r="U382" i="40"/>
  <c r="E382" i="40"/>
  <c r="AG382" i="40"/>
  <c r="Q382" i="40"/>
  <c r="AC382" i="40"/>
  <c r="M382" i="40"/>
  <c r="CM382" i="40" s="1"/>
  <c r="I382" i="40"/>
  <c r="Y382" i="40"/>
  <c r="AE682" i="40"/>
  <c r="JO682" i="40"/>
  <c r="AF682" i="40"/>
  <c r="F682" i="40"/>
  <c r="CJ682" i="40"/>
  <c r="JP682" i="40"/>
  <c r="H682" i="40"/>
  <c r="AI682" i="40"/>
  <c r="AC682" i="40"/>
  <c r="KN682" i="40"/>
  <c r="I682" i="40"/>
  <c r="DS682" i="40"/>
  <c r="BS682" i="40"/>
  <c r="BC682" i="40"/>
  <c r="G682" i="40"/>
  <c r="BX682" i="40"/>
  <c r="BB682" i="40"/>
  <c r="DV682" i="40"/>
  <c r="BQ682" i="40"/>
  <c r="AG682" i="40"/>
  <c r="C683" i="40"/>
  <c r="J682" i="40"/>
  <c r="DU682" i="40"/>
  <c r="DT682" i="40"/>
  <c r="BU682" i="40"/>
  <c r="AJ682" i="40"/>
  <c r="CE682" i="40"/>
  <c r="BO682" i="40"/>
  <c r="W682" i="40"/>
  <c r="CU682" i="40" s="1"/>
  <c r="DM682" i="40"/>
  <c r="BR682" i="40"/>
  <c r="AW682" i="40"/>
  <c r="CG682" i="40"/>
  <c r="BL682" i="40"/>
  <c r="AB682" i="40"/>
  <c r="BZ682" i="40"/>
  <c r="BY682" i="40"/>
  <c r="CF682" i="40"/>
  <c r="CD682" i="40"/>
  <c r="AZ682" i="40"/>
  <c r="CA682" i="40"/>
  <c r="BK682" i="40"/>
  <c r="O682" i="40"/>
  <c r="CO682" i="40" s="1"/>
  <c r="CH682" i="40"/>
  <c r="BM682" i="40"/>
  <c r="R682" i="40"/>
  <c r="CB682" i="40"/>
  <c r="BF682" i="40"/>
  <c r="L682" i="40"/>
  <c r="CL682" i="40" s="1"/>
  <c r="BP682" i="40"/>
  <c r="BN682" i="40"/>
  <c r="BJ682" i="40"/>
  <c r="BI682" i="40"/>
  <c r="BT682" i="40"/>
  <c r="BW682" i="40"/>
  <c r="BH682" i="40"/>
  <c r="A682" i="40"/>
  <c r="N682" i="40"/>
  <c r="CN682" i="40" s="1"/>
  <c r="CC682" i="40"/>
  <c r="BG682" i="40"/>
  <c r="M682" i="40"/>
  <c r="CM682" i="40" s="1"/>
  <c r="BE682" i="40"/>
  <c r="AX682" i="40"/>
  <c r="BA682" i="40"/>
  <c r="K682" i="40"/>
  <c r="BV682" i="40"/>
  <c r="BD682" i="40"/>
  <c r="DW682" i="40"/>
  <c r="P682" i="40"/>
  <c r="AH682" i="40"/>
  <c r="Z682" i="40"/>
  <c r="T682" i="40"/>
  <c r="CR682" i="40" s="1"/>
  <c r="U682" i="40"/>
  <c r="CS682" i="40" s="1"/>
  <c r="S682" i="40"/>
  <c r="Q682" i="40"/>
  <c r="V682" i="40"/>
  <c r="CT682" i="40" s="1"/>
  <c r="X682" i="40"/>
  <c r="AD682" i="40"/>
  <c r="AA682" i="40"/>
  <c r="E682" i="40"/>
  <c r="Y682" i="40"/>
  <c r="AI581" i="40"/>
  <c r="AE581" i="40"/>
  <c r="AA581" i="40"/>
  <c r="W581" i="40"/>
  <c r="CU581" i="40" s="1"/>
  <c r="S581" i="40"/>
  <c r="O581" i="40"/>
  <c r="CO581" i="40" s="1"/>
  <c r="K581" i="40"/>
  <c r="G581" i="40"/>
  <c r="AH581" i="40"/>
  <c r="AD581" i="40"/>
  <c r="Z581" i="40"/>
  <c r="V581" i="40"/>
  <c r="CT581" i="40" s="1"/>
  <c r="R581" i="40"/>
  <c r="N581" i="40"/>
  <c r="CN581" i="40" s="1"/>
  <c r="J581" i="40"/>
  <c r="F581" i="40"/>
  <c r="AG581" i="40"/>
  <c r="Y581" i="40"/>
  <c r="Q581" i="40"/>
  <c r="I581" i="40"/>
  <c r="AF581" i="40"/>
  <c r="X581" i="40"/>
  <c r="P581" i="40"/>
  <c r="H581" i="40"/>
  <c r="AC581" i="40"/>
  <c r="U581" i="40"/>
  <c r="CS581" i="40" s="1"/>
  <c r="M581" i="40"/>
  <c r="CM581" i="40" s="1"/>
  <c r="E581" i="40"/>
  <c r="T581" i="40"/>
  <c r="CR581" i="40" s="1"/>
  <c r="L581" i="40"/>
  <c r="CL581" i="40" s="1"/>
  <c r="AJ581" i="40"/>
  <c r="AB581" i="40"/>
  <c r="AW581" i="40"/>
  <c r="BN581" i="40"/>
  <c r="CD581" i="40"/>
  <c r="BK581" i="40"/>
  <c r="CA581" i="40"/>
  <c r="A581" i="40"/>
  <c r="BH581" i="40"/>
  <c r="BX581" i="40"/>
  <c r="DV581" i="40"/>
  <c r="DW581" i="40"/>
  <c r="BI581" i="40"/>
  <c r="JO581" i="40"/>
  <c r="HZ581" i="40"/>
  <c r="JP581" i="40"/>
  <c r="BT581" i="40"/>
  <c r="CG581" i="40"/>
  <c r="HY581" i="40"/>
  <c r="IX581" i="40"/>
  <c r="BB581" i="40"/>
  <c r="BR581" i="40"/>
  <c r="CH581" i="40"/>
  <c r="AX581" i="40"/>
  <c r="BO581" i="40"/>
  <c r="CE581" i="40"/>
  <c r="BL581" i="40"/>
  <c r="CB581" i="40"/>
  <c r="BA581" i="40"/>
  <c r="BE581" i="40"/>
  <c r="BY581" i="40"/>
  <c r="IZ581" i="40"/>
  <c r="BF581" i="40"/>
  <c r="BV581" i="40"/>
  <c r="DT581" i="40"/>
  <c r="BC581" i="40"/>
  <c r="BS581" i="40"/>
  <c r="CJ581" i="40"/>
  <c r="AZ581" i="40"/>
  <c r="BP581" i="40"/>
  <c r="CF581" i="40"/>
  <c r="BM581" i="40"/>
  <c r="BQ581" i="40"/>
  <c r="BU581" i="40"/>
  <c r="IA581" i="40"/>
  <c r="IY581" i="40"/>
  <c r="C582" i="40"/>
  <c r="BJ581" i="40"/>
  <c r="BZ581" i="40"/>
  <c r="BG581" i="40"/>
  <c r="BW581" i="40"/>
  <c r="DU581" i="40"/>
  <c r="BD581" i="40"/>
  <c r="DM581" i="40"/>
  <c r="CC581" i="40"/>
  <c r="DS581" i="40"/>
  <c r="CP580" i="40"/>
  <c r="AN580" i="40"/>
  <c r="DB580" i="40"/>
  <c r="CK580" i="40"/>
  <c r="AM580" i="40"/>
  <c r="AO681" i="40"/>
  <c r="CQ681" i="40"/>
  <c r="IF178" i="40"/>
  <c r="IG178" i="40"/>
  <c r="KK178" i="40" s="1"/>
  <c r="HM181" i="40"/>
  <c r="HP181" i="40" s="1"/>
  <c r="AP480" i="40"/>
  <c r="CP480" i="40"/>
  <c r="AN480" i="40"/>
  <c r="AM480" i="40"/>
  <c r="CK480" i="40"/>
  <c r="BD481" i="40"/>
  <c r="BT481" i="40"/>
  <c r="DM481" i="40"/>
  <c r="BE481" i="40"/>
  <c r="BU481" i="40"/>
  <c r="DS481" i="40"/>
  <c r="BB481" i="40"/>
  <c r="BR481" i="40"/>
  <c r="CH481" i="40"/>
  <c r="CA481" i="40"/>
  <c r="AX481" i="40"/>
  <c r="DU481" i="40"/>
  <c r="CJ481" i="40"/>
  <c r="HZ481" i="40"/>
  <c r="IY481" i="40"/>
  <c r="C482" i="40"/>
  <c r="BH481" i="40"/>
  <c r="BX481" i="40"/>
  <c r="DV481" i="40"/>
  <c r="BI481" i="40"/>
  <c r="BY481" i="40"/>
  <c r="DW481" i="40"/>
  <c r="BF481" i="40"/>
  <c r="BV481" i="40"/>
  <c r="DT481" i="40"/>
  <c r="JO481" i="40"/>
  <c r="BO481" i="40"/>
  <c r="BG481" i="40"/>
  <c r="HY481" i="40"/>
  <c r="CU481" i="40"/>
  <c r="CS481" i="40"/>
  <c r="CT481" i="40"/>
  <c r="JP481" i="40"/>
  <c r="CB481" i="40"/>
  <c r="BZ481" i="40"/>
  <c r="BW481" i="40"/>
  <c r="BC481" i="40"/>
  <c r="IA481" i="40"/>
  <c r="A481" i="40"/>
  <c r="BL481" i="40"/>
  <c r="BM481" i="40"/>
  <c r="CC481" i="40"/>
  <c r="BJ481" i="40"/>
  <c r="CE481" i="40"/>
  <c r="CR481" i="40"/>
  <c r="AZ481" i="40"/>
  <c r="BP481" i="40"/>
  <c r="CF481" i="40"/>
  <c r="BA481" i="40"/>
  <c r="BQ481" i="40"/>
  <c r="CG481" i="40"/>
  <c r="AW481" i="40"/>
  <c r="BN481" i="40"/>
  <c r="CD481" i="40"/>
  <c r="BK481" i="40"/>
  <c r="BS481" i="40"/>
  <c r="IZ481" i="40"/>
  <c r="IX481" i="40"/>
  <c r="AO480" i="40"/>
  <c r="CQ480" i="40"/>
  <c r="AO281" i="40"/>
  <c r="CQ281" i="40"/>
  <c r="AP281" i="40"/>
  <c r="CK281" i="40"/>
  <c r="AM281" i="40"/>
  <c r="IY282" i="40"/>
  <c r="IA282" i="40"/>
  <c r="IX282" i="40"/>
  <c r="JP282" i="40"/>
  <c r="IZ282" i="40"/>
  <c r="HY282" i="40"/>
  <c r="HZ282" i="40"/>
  <c r="JO282" i="40"/>
  <c r="BK282" i="40"/>
  <c r="CA282" i="40"/>
  <c r="BL282" i="40"/>
  <c r="CB282" i="40"/>
  <c r="BA282" i="40"/>
  <c r="BQ282" i="40"/>
  <c r="CG282" i="40"/>
  <c r="AW282" i="40"/>
  <c r="BB282" i="40"/>
  <c r="CD282" i="40"/>
  <c r="BV282" i="40"/>
  <c r="AX282" i="40"/>
  <c r="BO282" i="40"/>
  <c r="CE282" i="40"/>
  <c r="AZ282" i="40"/>
  <c r="BP282" i="40"/>
  <c r="CF282" i="40"/>
  <c r="BE282" i="40"/>
  <c r="BU282" i="40"/>
  <c r="DS282" i="40"/>
  <c r="BJ282" i="40"/>
  <c r="BN282" i="40"/>
  <c r="BR282" i="40"/>
  <c r="BF282" i="40"/>
  <c r="CS282" i="40"/>
  <c r="BC282" i="40"/>
  <c r="BS282" i="40"/>
  <c r="CJ282" i="40"/>
  <c r="BD282" i="40"/>
  <c r="BT282" i="40"/>
  <c r="DM282" i="40"/>
  <c r="BI282" i="40"/>
  <c r="BY282" i="40"/>
  <c r="DW282" i="40"/>
  <c r="BZ282" i="40"/>
  <c r="CH282" i="40"/>
  <c r="CT282" i="40"/>
  <c r="C283" i="40"/>
  <c r="BG282" i="40"/>
  <c r="BW282" i="40"/>
  <c r="DU282" i="40"/>
  <c r="BH282" i="40"/>
  <c r="BX282" i="40"/>
  <c r="DV282" i="40"/>
  <c r="CO282" i="40"/>
  <c r="BM282" i="40"/>
  <c r="CC282" i="40"/>
  <c r="A282" i="40"/>
  <c r="DT282" i="40"/>
  <c r="IA182" i="40"/>
  <c r="IJ182" i="40"/>
  <c r="IM182" i="40" s="1"/>
  <c r="IX182" i="40"/>
  <c r="JG182" i="40"/>
  <c r="JP182" i="40"/>
  <c r="IK182" i="40"/>
  <c r="IN182" i="40" s="1"/>
  <c r="IY182" i="40"/>
  <c r="HY182" i="40"/>
  <c r="HZ182" i="40"/>
  <c r="II182" i="40"/>
  <c r="IL182" i="40" s="1"/>
  <c r="JF182" i="40"/>
  <c r="HM182" i="40" s="1"/>
  <c r="JO182" i="40"/>
  <c r="IZ182" i="40"/>
  <c r="HZ382" i="40"/>
  <c r="JO382" i="40"/>
  <c r="HY382" i="40"/>
  <c r="IA382" i="40"/>
  <c r="IX382" i="40"/>
  <c r="JP382" i="40"/>
  <c r="IY382" i="40"/>
  <c r="IZ382" i="40"/>
  <c r="CV281" i="40"/>
  <c r="CP281" i="40"/>
  <c r="AN281" i="40"/>
  <c r="AP181" i="40"/>
  <c r="DB381" i="40"/>
  <c r="AP381" i="40"/>
  <c r="KK177" i="40"/>
  <c r="KO177" i="40"/>
  <c r="KJ177" i="40"/>
  <c r="KI177" i="40"/>
  <c r="IP181" i="40"/>
  <c r="JB181" i="40" s="1"/>
  <c r="HW180" i="40"/>
  <c r="IC180" i="40" s="1"/>
  <c r="KR176" i="40"/>
  <c r="ID180" i="40"/>
  <c r="AO181" i="40"/>
  <c r="CQ181" i="40"/>
  <c r="HT181" i="40"/>
  <c r="KI178" i="40"/>
  <c r="KO178" i="40"/>
  <c r="CK381" i="40"/>
  <c r="AM381" i="40"/>
  <c r="IB179" i="40"/>
  <c r="HV180" i="40"/>
  <c r="CV181" i="40"/>
  <c r="AL181" i="40"/>
  <c r="AK181" i="40"/>
  <c r="J36" i="58" s="1"/>
  <c r="J37" i="58" s="1"/>
  <c r="JD177" i="40"/>
  <c r="JT177" i="40" s="1"/>
  <c r="JX177" i="40" s="1"/>
  <c r="KP177" i="40"/>
  <c r="AM181" i="40"/>
  <c r="CK181" i="40"/>
  <c r="IO181" i="40"/>
  <c r="JA181" i="40" s="1"/>
  <c r="HS181" i="40"/>
  <c r="JH180" i="40"/>
  <c r="AQ177" i="40"/>
  <c r="AN381" i="40"/>
  <c r="CP381" i="40"/>
  <c r="CQ381" i="40"/>
  <c r="AO381" i="40"/>
  <c r="JI180" i="40"/>
  <c r="JJ179" i="40"/>
  <c r="JK179" i="40" s="1"/>
  <c r="JL179" i="40" s="1"/>
  <c r="CP181" i="40"/>
  <c r="HV181" i="40" s="1"/>
  <c r="AN181" i="40"/>
  <c r="KU123" i="40"/>
  <c r="I37" i="70" s="1"/>
  <c r="KT124" i="40"/>
  <c r="HO181" i="40"/>
  <c r="DB181" i="40"/>
  <c r="IQ181" i="40"/>
  <c r="JC181" i="40" s="1"/>
  <c r="C183" i="40"/>
  <c r="A182" i="40"/>
  <c r="BA182" i="40"/>
  <c r="BE182" i="40"/>
  <c r="BI182" i="40"/>
  <c r="BM182" i="40"/>
  <c r="BQ182" i="40"/>
  <c r="BU182" i="40"/>
  <c r="BY182" i="40"/>
  <c r="CC182" i="40"/>
  <c r="CG182" i="40"/>
  <c r="DS182" i="40"/>
  <c r="DW182" i="40"/>
  <c r="CN182" i="40"/>
  <c r="AW182" i="40"/>
  <c r="BB182" i="40"/>
  <c r="BF182" i="40"/>
  <c r="BJ182" i="40"/>
  <c r="BN182" i="40"/>
  <c r="BR182" i="40"/>
  <c r="BV182" i="40"/>
  <c r="BZ182" i="40"/>
  <c r="CD182" i="40"/>
  <c r="CH182" i="40"/>
  <c r="DT182" i="40"/>
  <c r="AX182" i="40"/>
  <c r="BC182" i="40"/>
  <c r="BG182" i="40"/>
  <c r="BK182" i="40"/>
  <c r="BO182" i="40"/>
  <c r="BS182" i="40"/>
  <c r="BW182" i="40"/>
  <c r="CA182" i="40"/>
  <c r="CE182" i="40"/>
  <c r="CJ182" i="40"/>
  <c r="DU182" i="40"/>
  <c r="BH182" i="40"/>
  <c r="BX182" i="40"/>
  <c r="DV182" i="40"/>
  <c r="CL182" i="40"/>
  <c r="BL182" i="40"/>
  <c r="CB182" i="40"/>
  <c r="AZ182" i="40"/>
  <c r="BP182" i="40"/>
  <c r="CF182" i="40"/>
  <c r="BT182" i="40"/>
  <c r="DM182" i="40"/>
  <c r="BD182" i="40"/>
  <c r="CU182" i="40"/>
  <c r="CR182" i="40"/>
  <c r="CS182" i="40"/>
  <c r="HU181" i="40"/>
  <c r="CV381" i="40"/>
  <c r="C383" i="40"/>
  <c r="AZ382" i="40"/>
  <c r="BD382" i="40"/>
  <c r="BH382" i="40"/>
  <c r="BL382" i="40"/>
  <c r="BP382" i="40"/>
  <c r="BT382" i="40"/>
  <c r="BX382" i="40"/>
  <c r="CB382" i="40"/>
  <c r="CF382" i="40"/>
  <c r="DM382" i="40"/>
  <c r="DV382" i="40"/>
  <c r="A382" i="40"/>
  <c r="BA382" i="40"/>
  <c r="BE382" i="40"/>
  <c r="BI382" i="40"/>
  <c r="BM382" i="40"/>
  <c r="BQ382" i="40"/>
  <c r="BU382" i="40"/>
  <c r="BY382" i="40"/>
  <c r="CC382" i="40"/>
  <c r="CG382" i="40"/>
  <c r="DS382" i="40"/>
  <c r="DW382" i="40"/>
  <c r="AW382" i="40"/>
  <c r="BB382" i="40"/>
  <c r="BF382" i="40"/>
  <c r="BJ382" i="40"/>
  <c r="BN382" i="40"/>
  <c r="BR382" i="40"/>
  <c r="BV382" i="40"/>
  <c r="BZ382" i="40"/>
  <c r="CD382" i="40"/>
  <c r="CH382" i="40"/>
  <c r="DT382" i="40"/>
  <c r="BC382" i="40"/>
  <c r="BS382" i="40"/>
  <c r="CJ382" i="40"/>
  <c r="BG382" i="40"/>
  <c r="BW382" i="40"/>
  <c r="DU382" i="40"/>
  <c r="BK382" i="40"/>
  <c r="CA382" i="40"/>
  <c r="CE382" i="40"/>
  <c r="BO382" i="40"/>
  <c r="AX382" i="40"/>
  <c r="CS382" i="40"/>
  <c r="CR382" i="40"/>
  <c r="JT176" i="40"/>
  <c r="JX176" i="40" s="1"/>
  <c r="JR176" i="40"/>
  <c r="KQ176" i="40"/>
  <c r="KS176" i="40" s="1"/>
  <c r="JQ176" i="40"/>
  <c r="JU176" i="40" s="1"/>
  <c r="JV176" i="40" s="1"/>
  <c r="JW176" i="40" s="1"/>
  <c r="CI665" i="40" l="1"/>
  <c r="CI366" i="40"/>
  <c r="CI565" i="40"/>
  <c r="CI182" i="40"/>
  <c r="IA681" i="40"/>
  <c r="IZ681" i="40" s="1"/>
  <c r="AQ178" i="40"/>
  <c r="HZ681" i="40"/>
  <c r="IY681" i="40" s="1"/>
  <c r="HY681" i="40"/>
  <c r="DB581" i="40"/>
  <c r="DB682" i="40"/>
  <c r="D181" i="40"/>
  <c r="AY181" i="40" s="1"/>
  <c r="CV682" i="40"/>
  <c r="AP481" i="40"/>
  <c r="CV481" i="40"/>
  <c r="KP178" i="40"/>
  <c r="KR178" i="40" s="1"/>
  <c r="JD178" i="40"/>
  <c r="JS178" i="40" s="1"/>
  <c r="KJ178" i="40"/>
  <c r="AJ383" i="40"/>
  <c r="AF383" i="40"/>
  <c r="AB383" i="40"/>
  <c r="X383" i="40"/>
  <c r="T383" i="40"/>
  <c r="CR383" i="40" s="1"/>
  <c r="P383" i="40"/>
  <c r="L383" i="40"/>
  <c r="CL383" i="40" s="1"/>
  <c r="H383" i="40"/>
  <c r="AI383" i="40"/>
  <c r="AE383" i="40"/>
  <c r="AA383" i="40"/>
  <c r="CI467" i="40" s="1"/>
  <c r="W383" i="40"/>
  <c r="CU383" i="40" s="1"/>
  <c r="S383" i="40"/>
  <c r="O383" i="40"/>
  <c r="CO383" i="40" s="1"/>
  <c r="K383" i="40"/>
  <c r="G383" i="40"/>
  <c r="AH383" i="40"/>
  <c r="AD383" i="40"/>
  <c r="Z383" i="40"/>
  <c r="V383" i="40"/>
  <c r="CT383" i="40" s="1"/>
  <c r="R383" i="40"/>
  <c r="N383" i="40"/>
  <c r="CN383" i="40" s="1"/>
  <c r="J383" i="40"/>
  <c r="F383" i="40"/>
  <c r="U383" i="40"/>
  <c r="CS383" i="40" s="1"/>
  <c r="E383" i="40"/>
  <c r="AG383" i="40"/>
  <c r="Q383" i="40"/>
  <c r="AC383" i="40"/>
  <c r="M383" i="40"/>
  <c r="CM383" i="40" s="1"/>
  <c r="Y383" i="40"/>
  <c r="I383" i="40"/>
  <c r="AJ482" i="40"/>
  <c r="AF482" i="40"/>
  <c r="AB482" i="40"/>
  <c r="X482" i="40"/>
  <c r="T482" i="40"/>
  <c r="CR482" i="40" s="1"/>
  <c r="P482" i="40"/>
  <c r="L482" i="40"/>
  <c r="H482" i="40"/>
  <c r="AH482" i="40"/>
  <c r="AD482" i="40"/>
  <c r="Z482" i="40"/>
  <c r="V482" i="40"/>
  <c r="CT482" i="40" s="1"/>
  <c r="R482" i="40"/>
  <c r="N482" i="40"/>
  <c r="CN482" i="40" s="1"/>
  <c r="J482" i="40"/>
  <c r="F482" i="40"/>
  <c r="AI482" i="40"/>
  <c r="AA482" i="40"/>
  <c r="S482" i="40"/>
  <c r="K482" i="40"/>
  <c r="AG482" i="40"/>
  <c r="Y482" i="40"/>
  <c r="Q482" i="40"/>
  <c r="I482" i="40"/>
  <c r="AE482" i="40"/>
  <c r="W482" i="40"/>
  <c r="O482" i="40"/>
  <c r="G482" i="40"/>
  <c r="U482" i="40"/>
  <c r="CS482" i="40" s="1"/>
  <c r="M482" i="40"/>
  <c r="CM482" i="40" s="1"/>
  <c r="E482" i="40"/>
  <c r="AC482" i="40"/>
  <c r="AP581" i="40"/>
  <c r="CV581" i="40"/>
  <c r="AN682" i="40"/>
  <c r="CP682" i="40"/>
  <c r="AI582" i="40"/>
  <c r="AE582" i="40"/>
  <c r="AA582" i="40"/>
  <c r="W582" i="40"/>
  <c r="CU582" i="40" s="1"/>
  <c r="S582" i="40"/>
  <c r="O582" i="40"/>
  <c r="CO582" i="40" s="1"/>
  <c r="K582" i="40"/>
  <c r="G582" i="40"/>
  <c r="AH582" i="40"/>
  <c r="AD582" i="40"/>
  <c r="Z582" i="40"/>
  <c r="V582" i="40"/>
  <c r="CT582" i="40" s="1"/>
  <c r="R582" i="40"/>
  <c r="N582" i="40"/>
  <c r="CN582" i="40" s="1"/>
  <c r="J582" i="40"/>
  <c r="F582" i="40"/>
  <c r="AG582" i="40"/>
  <c r="Y582" i="40"/>
  <c r="Q582" i="40"/>
  <c r="I582" i="40"/>
  <c r="AF582" i="40"/>
  <c r="X582" i="40"/>
  <c r="P582" i="40"/>
  <c r="H582" i="40"/>
  <c r="AC582" i="40"/>
  <c r="U582" i="40"/>
  <c r="CS582" i="40" s="1"/>
  <c r="M582" i="40"/>
  <c r="CM582" i="40" s="1"/>
  <c r="E582" i="40"/>
  <c r="T582" i="40"/>
  <c r="CR582" i="40" s="1"/>
  <c r="L582" i="40"/>
  <c r="CL582" i="40" s="1"/>
  <c r="AJ582" i="40"/>
  <c r="AB582" i="40"/>
  <c r="IA582" i="40"/>
  <c r="HZ582" i="40"/>
  <c r="A582" i="40"/>
  <c r="BF582" i="40"/>
  <c r="BV582" i="40"/>
  <c r="DT582" i="40"/>
  <c r="BG582" i="40"/>
  <c r="BW582" i="40"/>
  <c r="DU582" i="40"/>
  <c r="BL582" i="40"/>
  <c r="CB582" i="40"/>
  <c r="BA582" i="40"/>
  <c r="DW582" i="40"/>
  <c r="BI582" i="40"/>
  <c r="IX582" i="40"/>
  <c r="HY582" i="40"/>
  <c r="BJ582" i="40"/>
  <c r="BZ582" i="40"/>
  <c r="BK582" i="40"/>
  <c r="CA582" i="40"/>
  <c r="AZ582" i="40"/>
  <c r="BP582" i="40"/>
  <c r="CF582" i="40"/>
  <c r="BM582" i="40"/>
  <c r="BQ582" i="40"/>
  <c r="BE582" i="40"/>
  <c r="JP582" i="40"/>
  <c r="IZ582" i="40"/>
  <c r="AW582" i="40"/>
  <c r="BN582" i="40"/>
  <c r="CD582" i="40"/>
  <c r="AX582" i="40"/>
  <c r="BO582" i="40"/>
  <c r="CE582" i="40"/>
  <c r="BD582" i="40"/>
  <c r="BT582" i="40"/>
  <c r="DM582" i="40"/>
  <c r="CC582" i="40"/>
  <c r="CG582" i="40"/>
  <c r="BU582" i="40"/>
  <c r="IY582" i="40"/>
  <c r="JO582" i="40"/>
  <c r="C583" i="40"/>
  <c r="BB582" i="40"/>
  <c r="BR582" i="40"/>
  <c r="CH582" i="40"/>
  <c r="BC582" i="40"/>
  <c r="BS582" i="40"/>
  <c r="CJ582" i="40"/>
  <c r="BH582" i="40"/>
  <c r="BX582" i="40"/>
  <c r="DV582" i="40"/>
  <c r="BY582" i="40"/>
  <c r="DS582" i="40"/>
  <c r="AO581" i="40"/>
  <c r="CQ581" i="40"/>
  <c r="CQ682" i="40"/>
  <c r="AO682" i="40"/>
  <c r="AP682" i="40"/>
  <c r="CK682" i="40"/>
  <c r="AM682" i="40"/>
  <c r="AI683" i="40"/>
  <c r="CJ683" i="40"/>
  <c r="JO683" i="40"/>
  <c r="AJ683" i="40"/>
  <c r="JP683" i="40"/>
  <c r="DT683" i="40"/>
  <c r="BT683" i="40"/>
  <c r="BD683" i="40"/>
  <c r="CD683" i="40"/>
  <c r="BI683" i="40"/>
  <c r="L683" i="40"/>
  <c r="CL683" i="40" s="1"/>
  <c r="BQ683" i="40"/>
  <c r="A683" i="40"/>
  <c r="BV683" i="40"/>
  <c r="AH683" i="40"/>
  <c r="BU683" i="40"/>
  <c r="BR683" i="40"/>
  <c r="DW683" i="40"/>
  <c r="AW683" i="40"/>
  <c r="CF683" i="40"/>
  <c r="BP683" i="40"/>
  <c r="AZ683" i="40"/>
  <c r="BY683" i="40"/>
  <c r="BC683" i="40"/>
  <c r="DU683" i="40"/>
  <c r="BJ683" i="40"/>
  <c r="C684" i="40"/>
  <c r="BO683" i="40"/>
  <c r="O683" i="40"/>
  <c r="CO683" i="40" s="1"/>
  <c r="BF683" i="40"/>
  <c r="BE683" i="40"/>
  <c r="CA683" i="40"/>
  <c r="BM683" i="40"/>
  <c r="KN683" i="40"/>
  <c r="CB683" i="40"/>
  <c r="BL683" i="40"/>
  <c r="AB683" i="40"/>
  <c r="BS683" i="40"/>
  <c r="AX683" i="40"/>
  <c r="CE683" i="40"/>
  <c r="BB683" i="40"/>
  <c r="DM683" i="40"/>
  <c r="BG683" i="40"/>
  <c r="J683" i="40"/>
  <c r="N683" i="40"/>
  <c r="CN683" i="40" s="1"/>
  <c r="W683" i="40"/>
  <c r="CU683" i="40" s="1"/>
  <c r="DV683" i="40"/>
  <c r="AG683" i="40"/>
  <c r="AF683" i="40"/>
  <c r="DS683" i="40"/>
  <c r="K683" i="40"/>
  <c r="CG683" i="40"/>
  <c r="BH683" i="40"/>
  <c r="BK683" i="40"/>
  <c r="BN683" i="40"/>
  <c r="CC683" i="40"/>
  <c r="M683" i="40"/>
  <c r="CM683" i="40" s="1"/>
  <c r="BW683" i="40"/>
  <c r="BX683" i="40"/>
  <c r="P683" i="40"/>
  <c r="BA683" i="40"/>
  <c r="BZ683" i="40"/>
  <c r="CH683" i="40"/>
  <c r="R683" i="40"/>
  <c r="AE683" i="40"/>
  <c r="Z683" i="40"/>
  <c r="G683" i="40"/>
  <c r="F683" i="40"/>
  <c r="I683" i="40"/>
  <c r="AC683" i="40"/>
  <c r="H683" i="40"/>
  <c r="T683" i="40"/>
  <c r="CR683" i="40" s="1"/>
  <c r="Q683" i="40"/>
  <c r="U683" i="40"/>
  <c r="CS683" i="40" s="1"/>
  <c r="S683" i="40"/>
  <c r="X683" i="40"/>
  <c r="V683" i="40"/>
  <c r="CT683" i="40" s="1"/>
  <c r="AD683" i="40"/>
  <c r="AA683" i="40"/>
  <c r="E683" i="40"/>
  <c r="Y683" i="40"/>
  <c r="AG183" i="40"/>
  <c r="AC183" i="40"/>
  <c r="Y183" i="40"/>
  <c r="U183" i="40"/>
  <c r="CS183" i="40" s="1"/>
  <c r="Q183" i="40"/>
  <c r="M183" i="40"/>
  <c r="CM183" i="40" s="1"/>
  <c r="I183" i="40"/>
  <c r="E183" i="40"/>
  <c r="AJ183" i="40"/>
  <c r="AF183" i="40"/>
  <c r="AB183" i="40"/>
  <c r="X183" i="40"/>
  <c r="T183" i="40"/>
  <c r="CR183" i="40" s="1"/>
  <c r="P183" i="40"/>
  <c r="L183" i="40"/>
  <c r="CL183" i="40" s="1"/>
  <c r="H183" i="40"/>
  <c r="AI183" i="40"/>
  <c r="AE183" i="40"/>
  <c r="AA183" i="40"/>
  <c r="CI267" i="40" s="1"/>
  <c r="W183" i="40"/>
  <c r="S183" i="40"/>
  <c r="O183" i="40"/>
  <c r="K183" i="40"/>
  <c r="G183" i="40"/>
  <c r="AH183" i="40"/>
  <c r="R183" i="40"/>
  <c r="AD183" i="40"/>
  <c r="N183" i="40"/>
  <c r="CN183" i="40" s="1"/>
  <c r="Z183" i="40"/>
  <c r="J183" i="40"/>
  <c r="V183" i="40"/>
  <c r="CT183" i="40" s="1"/>
  <c r="F183" i="40"/>
  <c r="AH283" i="40"/>
  <c r="AD283" i="40"/>
  <c r="Z283" i="40"/>
  <c r="V283" i="40"/>
  <c r="CT283" i="40" s="1"/>
  <c r="R283" i="40"/>
  <c r="N283" i="40"/>
  <c r="CN283" i="40" s="1"/>
  <c r="J283" i="40"/>
  <c r="F283" i="40"/>
  <c r="AG283" i="40"/>
  <c r="AC283" i="40"/>
  <c r="Y283" i="40"/>
  <c r="U283" i="40"/>
  <c r="CS283" i="40" s="1"/>
  <c r="Q283" i="40"/>
  <c r="M283" i="40"/>
  <c r="CM283" i="40" s="1"/>
  <c r="I283" i="40"/>
  <c r="E283" i="40"/>
  <c r="AJ283" i="40"/>
  <c r="AF283" i="40"/>
  <c r="AB283" i="40"/>
  <c r="X283" i="40"/>
  <c r="T283" i="40"/>
  <c r="CR283" i="40" s="1"/>
  <c r="P283" i="40"/>
  <c r="L283" i="40"/>
  <c r="CL283" i="40" s="1"/>
  <c r="H283" i="40"/>
  <c r="AA283" i="40"/>
  <c r="K283" i="40"/>
  <c r="W283" i="40"/>
  <c r="CU283" i="40" s="1"/>
  <c r="G283" i="40"/>
  <c r="AI283" i="40"/>
  <c r="S283" i="40"/>
  <c r="AE283" i="40"/>
  <c r="O283" i="40"/>
  <c r="CO283" i="40" s="1"/>
  <c r="IX681" i="40"/>
  <c r="AN581" i="40"/>
  <c r="CP581" i="40"/>
  <c r="AM581" i="40"/>
  <c r="CK581" i="40"/>
  <c r="HN182" i="40"/>
  <c r="HQ182" i="40" s="1"/>
  <c r="CK481" i="40"/>
  <c r="AM481" i="40"/>
  <c r="CQ481" i="40"/>
  <c r="AO481" i="40"/>
  <c r="AN481" i="40"/>
  <c r="CP481" i="40"/>
  <c r="IZ482" i="40"/>
  <c r="IY482" i="40"/>
  <c r="BL482" i="40"/>
  <c r="CB482" i="40"/>
  <c r="CL482" i="40"/>
  <c r="BA482" i="40"/>
  <c r="BQ482" i="40"/>
  <c r="CG482" i="40"/>
  <c r="AW482" i="40"/>
  <c r="BN482" i="40"/>
  <c r="CD482" i="40"/>
  <c r="BW482" i="40"/>
  <c r="BS482" i="40"/>
  <c r="HY482" i="40"/>
  <c r="JP482" i="40"/>
  <c r="AZ482" i="40"/>
  <c r="BP482" i="40"/>
  <c r="CF482" i="40"/>
  <c r="BE482" i="40"/>
  <c r="BU482" i="40"/>
  <c r="DS482" i="40"/>
  <c r="BB482" i="40"/>
  <c r="BR482" i="40"/>
  <c r="CH482" i="40"/>
  <c r="BK482" i="40"/>
  <c r="AX482" i="40"/>
  <c r="DU482" i="40"/>
  <c r="CJ482" i="40"/>
  <c r="CU482" i="40"/>
  <c r="HZ482" i="40"/>
  <c r="IA482" i="40"/>
  <c r="BD482" i="40"/>
  <c r="BT482" i="40"/>
  <c r="DM482" i="40"/>
  <c r="BI482" i="40"/>
  <c r="BY482" i="40"/>
  <c r="DW482" i="40"/>
  <c r="BF482" i="40"/>
  <c r="BV482" i="40"/>
  <c r="DT482" i="40"/>
  <c r="CA482" i="40"/>
  <c r="BO482" i="40"/>
  <c r="JO482" i="40"/>
  <c r="IX482" i="40"/>
  <c r="C483" i="40"/>
  <c r="BH482" i="40"/>
  <c r="BX482" i="40"/>
  <c r="DV482" i="40"/>
  <c r="CO482" i="40"/>
  <c r="BM482" i="40"/>
  <c r="CC482" i="40"/>
  <c r="A482" i="40"/>
  <c r="BJ482" i="40"/>
  <c r="BZ482" i="40"/>
  <c r="BG482" i="40"/>
  <c r="CE482" i="40"/>
  <c r="BC482" i="40"/>
  <c r="DB481" i="40"/>
  <c r="HP182" i="40"/>
  <c r="IQ182" i="40"/>
  <c r="JC182" i="40" s="1"/>
  <c r="HZ183" i="40"/>
  <c r="II183" i="40"/>
  <c r="IL183" i="40" s="1"/>
  <c r="JF183" i="40"/>
  <c r="HO183" i="40" s="1"/>
  <c r="JO183" i="40"/>
  <c r="IA183" i="40"/>
  <c r="IJ183" i="40"/>
  <c r="IM183" i="40" s="1"/>
  <c r="IX183" i="40"/>
  <c r="JG183" i="40"/>
  <c r="JP183" i="40"/>
  <c r="IK183" i="40"/>
  <c r="IN183" i="40" s="1"/>
  <c r="IY183" i="40"/>
  <c r="IZ183" i="40"/>
  <c r="HY183" i="40"/>
  <c r="HO182" i="40"/>
  <c r="IA283" i="40"/>
  <c r="IX283" i="40"/>
  <c r="JP283" i="40"/>
  <c r="IY283" i="40"/>
  <c r="IZ283" i="40"/>
  <c r="HY283" i="40"/>
  <c r="HZ283" i="40"/>
  <c r="JO283" i="40"/>
  <c r="C284" i="40"/>
  <c r="BG283" i="40"/>
  <c r="BW283" i="40"/>
  <c r="DU283" i="40"/>
  <c r="BH283" i="40"/>
  <c r="BX283" i="40"/>
  <c r="DV283" i="40"/>
  <c r="BM283" i="40"/>
  <c r="CC283" i="40"/>
  <c r="A283" i="40"/>
  <c r="DT283" i="40"/>
  <c r="BK283" i="40"/>
  <c r="CA283" i="40"/>
  <c r="BL283" i="40"/>
  <c r="CB283" i="40"/>
  <c r="BA283" i="40"/>
  <c r="BQ283" i="40"/>
  <c r="CG283" i="40"/>
  <c r="AW283" i="40"/>
  <c r="BB283" i="40"/>
  <c r="BP283" i="40"/>
  <c r="BU283" i="40"/>
  <c r="BJ283" i="40"/>
  <c r="BR283" i="40"/>
  <c r="AX283" i="40"/>
  <c r="BO283" i="40"/>
  <c r="CE283" i="40"/>
  <c r="AZ283" i="40"/>
  <c r="CF283" i="40"/>
  <c r="BE283" i="40"/>
  <c r="DS283" i="40"/>
  <c r="BN283" i="40"/>
  <c r="BF283" i="40"/>
  <c r="BC283" i="40"/>
  <c r="BS283" i="40"/>
  <c r="CJ283" i="40"/>
  <c r="BD283" i="40"/>
  <c r="BT283" i="40"/>
  <c r="DM283" i="40"/>
  <c r="BI283" i="40"/>
  <c r="BY283" i="40"/>
  <c r="DW283" i="40"/>
  <c r="BZ283" i="40"/>
  <c r="CD283" i="40"/>
  <c r="CH283" i="40"/>
  <c r="BV283" i="40"/>
  <c r="AN282" i="40"/>
  <c r="CP282" i="40"/>
  <c r="IP182" i="40"/>
  <c r="JB182" i="40" s="1"/>
  <c r="AP282" i="40"/>
  <c r="HS182" i="40"/>
  <c r="HU182" i="40"/>
  <c r="HT182" i="40"/>
  <c r="CQ282" i="40"/>
  <c r="AO282" i="40"/>
  <c r="AM282" i="40"/>
  <c r="CK282" i="40"/>
  <c r="HY383" i="40"/>
  <c r="IZ383" i="40"/>
  <c r="HZ383" i="40"/>
  <c r="JO383" i="40"/>
  <c r="IA383" i="40"/>
  <c r="IX383" i="40"/>
  <c r="JP383" i="40"/>
  <c r="IY383" i="40"/>
  <c r="IO182" i="40"/>
  <c r="JA182" i="40" s="1"/>
  <c r="DB282" i="40"/>
  <c r="CV282" i="40"/>
  <c r="DB382" i="40"/>
  <c r="DB182" i="40"/>
  <c r="IB180" i="40"/>
  <c r="IE180" i="40" s="1"/>
  <c r="AP382" i="40"/>
  <c r="JM179" i="40"/>
  <c r="C384" i="40"/>
  <c r="AZ383" i="40"/>
  <c r="BD383" i="40"/>
  <c r="BH383" i="40"/>
  <c r="BL383" i="40"/>
  <c r="BP383" i="40"/>
  <c r="BT383" i="40"/>
  <c r="BX383" i="40"/>
  <c r="CB383" i="40"/>
  <c r="CF383" i="40"/>
  <c r="DM383" i="40"/>
  <c r="DV383" i="40"/>
  <c r="BA383" i="40"/>
  <c r="BE383" i="40"/>
  <c r="BI383" i="40"/>
  <c r="BM383" i="40"/>
  <c r="BQ383" i="40"/>
  <c r="BU383" i="40"/>
  <c r="BY383" i="40"/>
  <c r="CC383" i="40"/>
  <c r="CG383" i="40"/>
  <c r="DS383" i="40"/>
  <c r="DW383" i="40"/>
  <c r="A383" i="40"/>
  <c r="AW383" i="40"/>
  <c r="BB383" i="40"/>
  <c r="BF383" i="40"/>
  <c r="BJ383" i="40"/>
  <c r="BN383" i="40"/>
  <c r="BR383" i="40"/>
  <c r="BV383" i="40"/>
  <c r="BZ383" i="40"/>
  <c r="CD383" i="40"/>
  <c r="CH383" i="40"/>
  <c r="DT383" i="40"/>
  <c r="BC383" i="40"/>
  <c r="BS383" i="40"/>
  <c r="CJ383" i="40"/>
  <c r="BG383" i="40"/>
  <c r="BW383" i="40"/>
  <c r="DU383" i="40"/>
  <c r="BK383" i="40"/>
  <c r="CA383" i="40"/>
  <c r="CE383" i="40"/>
  <c r="AX383" i="40"/>
  <c r="BO383" i="40"/>
  <c r="AP182" i="40"/>
  <c r="AN182" i="40"/>
  <c r="CP182" i="40"/>
  <c r="HV182" i="40" s="1"/>
  <c r="JI181" i="40"/>
  <c r="JJ180" i="40"/>
  <c r="JK180" i="40" s="1"/>
  <c r="JL180" i="40" s="1"/>
  <c r="CP382" i="40"/>
  <c r="AN382" i="40"/>
  <c r="CV182" i="40"/>
  <c r="AL182" i="40"/>
  <c r="AK182" i="40"/>
  <c r="CQ182" i="40"/>
  <c r="AO182" i="40"/>
  <c r="CK182" i="40"/>
  <c r="AM182" i="40"/>
  <c r="HX181" i="40"/>
  <c r="IF179" i="40"/>
  <c r="IE179" i="40"/>
  <c r="AO382" i="40"/>
  <c r="CQ382" i="40"/>
  <c r="C184" i="40"/>
  <c r="CO183" i="40"/>
  <c r="AZ183" i="40"/>
  <c r="BD183" i="40"/>
  <c r="BH183" i="40"/>
  <c r="BL183" i="40"/>
  <c r="BP183" i="40"/>
  <c r="BT183" i="40"/>
  <c r="BX183" i="40"/>
  <c r="CB183" i="40"/>
  <c r="CF183" i="40"/>
  <c r="DM183" i="40"/>
  <c r="DV183" i="40"/>
  <c r="A183" i="40"/>
  <c r="BA183" i="40"/>
  <c r="BE183" i="40"/>
  <c r="BI183" i="40"/>
  <c r="BM183" i="40"/>
  <c r="BQ183" i="40"/>
  <c r="BU183" i="40"/>
  <c r="BY183" i="40"/>
  <c r="CC183" i="40"/>
  <c r="CG183" i="40"/>
  <c r="DS183" i="40"/>
  <c r="DW183" i="40"/>
  <c r="AW183" i="40"/>
  <c r="BB183" i="40"/>
  <c r="BF183" i="40"/>
  <c r="BJ183" i="40"/>
  <c r="BN183" i="40"/>
  <c r="BR183" i="40"/>
  <c r="BV183" i="40"/>
  <c r="BZ183" i="40"/>
  <c r="CD183" i="40"/>
  <c r="CH183" i="40"/>
  <c r="DT183" i="40"/>
  <c r="BG183" i="40"/>
  <c r="BW183" i="40"/>
  <c r="DU183" i="40"/>
  <c r="BK183" i="40"/>
  <c r="CA183" i="40"/>
  <c r="AX183" i="40"/>
  <c r="BO183" i="40"/>
  <c r="CE183" i="40"/>
  <c r="BS183" i="40"/>
  <c r="CJ183" i="40"/>
  <c r="BC183" i="40"/>
  <c r="CU183" i="40"/>
  <c r="HR181" i="40"/>
  <c r="JH181" i="40" s="1"/>
  <c r="HW181" i="40"/>
  <c r="KR177" i="40"/>
  <c r="CV382" i="40"/>
  <c r="CK382" i="40"/>
  <c r="AM382" i="40"/>
  <c r="KU124" i="40"/>
  <c r="I38" i="70" s="1"/>
  <c r="KT125" i="40"/>
  <c r="JR177" i="40"/>
  <c r="KQ177" i="40"/>
  <c r="KS177" i="40" s="1"/>
  <c r="JQ177" i="40"/>
  <c r="JU177" i="40" s="1"/>
  <c r="JV177" i="40" s="1"/>
  <c r="JW177" i="40" s="1"/>
  <c r="IG179" i="40"/>
  <c r="JS177" i="40"/>
  <c r="CI566" i="40" l="1"/>
  <c r="CI367" i="40"/>
  <c r="CI666" i="40"/>
  <c r="CI183" i="40"/>
  <c r="JQ178" i="40"/>
  <c r="JU178" i="40" s="1"/>
  <c r="JV178" i="40" s="1"/>
  <c r="JW178" i="40" s="1"/>
  <c r="KQ178" i="40"/>
  <c r="KS178" i="40" s="1"/>
  <c r="IA682" i="40"/>
  <c r="IG180" i="40"/>
  <c r="HZ682" i="40"/>
  <c r="IY682" i="40" s="1"/>
  <c r="DB283" i="40"/>
  <c r="DB582" i="40"/>
  <c r="HY682" i="40"/>
  <c r="IX682" i="40" s="1"/>
  <c r="JR178" i="40"/>
  <c r="IF180" i="40"/>
  <c r="JT178" i="40"/>
  <c r="JX178" i="40" s="1"/>
  <c r="AJ384" i="40"/>
  <c r="AF384" i="40"/>
  <c r="AB384" i="40"/>
  <c r="X384" i="40"/>
  <c r="T384" i="40"/>
  <c r="CR384" i="40" s="1"/>
  <c r="P384" i="40"/>
  <c r="L384" i="40"/>
  <c r="CL384" i="40" s="1"/>
  <c r="H384" i="40"/>
  <c r="AI384" i="40"/>
  <c r="AE384" i="40"/>
  <c r="AA384" i="40"/>
  <c r="CI468" i="40" s="1"/>
  <c r="W384" i="40"/>
  <c r="CU384" i="40" s="1"/>
  <c r="S384" i="40"/>
  <c r="O384" i="40"/>
  <c r="CO384" i="40" s="1"/>
  <c r="K384" i="40"/>
  <c r="G384" i="40"/>
  <c r="AH384" i="40"/>
  <c r="AD384" i="40"/>
  <c r="Z384" i="40"/>
  <c r="V384" i="40"/>
  <c r="CT384" i="40" s="1"/>
  <c r="R384" i="40"/>
  <c r="N384" i="40"/>
  <c r="CN384" i="40" s="1"/>
  <c r="J384" i="40"/>
  <c r="F384" i="40"/>
  <c r="U384" i="40"/>
  <c r="CS384" i="40" s="1"/>
  <c r="E384" i="40"/>
  <c r="AG384" i="40"/>
  <c r="Q384" i="40"/>
  <c r="AC384" i="40"/>
  <c r="M384" i="40"/>
  <c r="CM384" i="40" s="1"/>
  <c r="I384" i="40"/>
  <c r="Y384" i="40"/>
  <c r="CQ683" i="40"/>
  <c r="AO683" i="40"/>
  <c r="CK683" i="40"/>
  <c r="AM683" i="40"/>
  <c r="AF684" i="40"/>
  <c r="JO684" i="40"/>
  <c r="AI684" i="40"/>
  <c r="JP684" i="40"/>
  <c r="AJ684" i="40"/>
  <c r="KN684" i="40"/>
  <c r="DU684" i="40"/>
  <c r="BU684" i="40"/>
  <c r="BE684" i="40"/>
  <c r="M684" i="40"/>
  <c r="CM684" i="40" s="1"/>
  <c r="CH684" i="40"/>
  <c r="BL684" i="40"/>
  <c r="W684" i="40"/>
  <c r="CU684" i="40" s="1"/>
  <c r="BN684" i="40"/>
  <c r="CF684" i="40"/>
  <c r="BD684" i="40"/>
  <c r="CE684" i="40"/>
  <c r="CD684" i="40"/>
  <c r="BH684" i="40"/>
  <c r="DS684" i="40"/>
  <c r="CG684" i="40"/>
  <c r="BQ684" i="40"/>
  <c r="BA684" i="40"/>
  <c r="A684" i="40"/>
  <c r="CB684" i="40"/>
  <c r="BG684" i="40"/>
  <c r="L684" i="40"/>
  <c r="CL684" i="40" s="1"/>
  <c r="BF684" i="40"/>
  <c r="BZ684" i="40"/>
  <c r="AX684" i="40"/>
  <c r="BP684" i="40"/>
  <c r="BO684" i="40"/>
  <c r="DT684" i="40"/>
  <c r="BV684" i="40"/>
  <c r="CJ684" i="40"/>
  <c r="CC684" i="40"/>
  <c r="BM684" i="40"/>
  <c r="AW684" i="40"/>
  <c r="DW684" i="40"/>
  <c r="BW684" i="40"/>
  <c r="BB684" i="40"/>
  <c r="CA684" i="40"/>
  <c r="K684" i="40"/>
  <c r="BS684" i="40"/>
  <c r="P684" i="40"/>
  <c r="BC684" i="40"/>
  <c r="AZ684" i="40"/>
  <c r="BX684" i="40"/>
  <c r="N684" i="40"/>
  <c r="CN684" i="40" s="1"/>
  <c r="BY684" i="40"/>
  <c r="BR684" i="40"/>
  <c r="BK684" i="40"/>
  <c r="O684" i="40"/>
  <c r="CO684" i="40" s="1"/>
  <c r="BJ684" i="40"/>
  <c r="BI684" i="40"/>
  <c r="AB684" i="40"/>
  <c r="J684" i="40"/>
  <c r="DM684" i="40"/>
  <c r="AG684" i="40"/>
  <c r="BT684" i="40"/>
  <c r="C685" i="40"/>
  <c r="DV684" i="40"/>
  <c r="Z684" i="40"/>
  <c r="AH684" i="40"/>
  <c r="T684" i="40"/>
  <c r="CR684" i="40" s="1"/>
  <c r="AC684" i="40"/>
  <c r="Q684" i="40"/>
  <c r="H684" i="40"/>
  <c r="AE684" i="40"/>
  <c r="F684" i="40"/>
  <c r="R684" i="40"/>
  <c r="G684" i="40"/>
  <c r="S684" i="40"/>
  <c r="I684" i="40"/>
  <c r="X684" i="40"/>
  <c r="AA684" i="40"/>
  <c r="AD684" i="40"/>
  <c r="U684" i="40"/>
  <c r="CS684" i="40" s="1"/>
  <c r="V684" i="40"/>
  <c r="CT684" i="40" s="1"/>
  <c r="E684" i="40"/>
  <c r="Y684" i="40"/>
  <c r="AH284" i="40"/>
  <c r="AD284" i="40"/>
  <c r="Z284" i="40"/>
  <c r="V284" i="40"/>
  <c r="CT284" i="40" s="1"/>
  <c r="R284" i="40"/>
  <c r="N284" i="40"/>
  <c r="CN284" i="40" s="1"/>
  <c r="J284" i="40"/>
  <c r="F284" i="40"/>
  <c r="AG284" i="40"/>
  <c r="AC284" i="40"/>
  <c r="Y284" i="40"/>
  <c r="U284" i="40"/>
  <c r="CS284" i="40" s="1"/>
  <c r="Q284" i="40"/>
  <c r="M284" i="40"/>
  <c r="CM284" i="40" s="1"/>
  <c r="I284" i="40"/>
  <c r="E284" i="40"/>
  <c r="AJ284" i="40"/>
  <c r="AF284" i="40"/>
  <c r="AB284" i="40"/>
  <c r="X284" i="40"/>
  <c r="T284" i="40"/>
  <c r="P284" i="40"/>
  <c r="L284" i="40"/>
  <c r="CL284" i="40" s="1"/>
  <c r="H284" i="40"/>
  <c r="AA284" i="40"/>
  <c r="K284" i="40"/>
  <c r="W284" i="40"/>
  <c r="CU284" i="40" s="1"/>
  <c r="G284" i="40"/>
  <c r="AI284" i="40"/>
  <c r="S284" i="40"/>
  <c r="AE284" i="40"/>
  <c r="O284" i="40"/>
  <c r="CO284" i="40" s="1"/>
  <c r="AI583" i="40"/>
  <c r="AE583" i="40"/>
  <c r="AA583" i="40"/>
  <c r="W583" i="40"/>
  <c r="CU583" i="40" s="1"/>
  <c r="S583" i="40"/>
  <c r="O583" i="40"/>
  <c r="CO583" i="40" s="1"/>
  <c r="K583" i="40"/>
  <c r="G583" i="40"/>
  <c r="AH583" i="40"/>
  <c r="AD583" i="40"/>
  <c r="Z583" i="40"/>
  <c r="V583" i="40"/>
  <c r="CT583" i="40" s="1"/>
  <c r="R583" i="40"/>
  <c r="N583" i="40"/>
  <c r="CN583" i="40" s="1"/>
  <c r="J583" i="40"/>
  <c r="F583" i="40"/>
  <c r="AG583" i="40"/>
  <c r="Y583" i="40"/>
  <c r="Q583" i="40"/>
  <c r="I583" i="40"/>
  <c r="AF583" i="40"/>
  <c r="X583" i="40"/>
  <c r="P583" i="40"/>
  <c r="H583" i="40"/>
  <c r="AC583" i="40"/>
  <c r="U583" i="40"/>
  <c r="CS583" i="40" s="1"/>
  <c r="M583" i="40"/>
  <c r="CM583" i="40" s="1"/>
  <c r="E583" i="40"/>
  <c r="T583" i="40"/>
  <c r="CR583" i="40" s="1"/>
  <c r="L583" i="40"/>
  <c r="CL583" i="40" s="1"/>
  <c r="AJ583" i="40"/>
  <c r="AB583" i="40"/>
  <c r="HZ583" i="40"/>
  <c r="JP583" i="40"/>
  <c r="AW583" i="40"/>
  <c r="BN583" i="40"/>
  <c r="CD583" i="40"/>
  <c r="AX583" i="40"/>
  <c r="BO583" i="40"/>
  <c r="CE583" i="40"/>
  <c r="BD583" i="40"/>
  <c r="BT583" i="40"/>
  <c r="DM583" i="40"/>
  <c r="CC583" i="40"/>
  <c r="CG583" i="40"/>
  <c r="DS583" i="40"/>
  <c r="BG583" i="40"/>
  <c r="DW583" i="40"/>
  <c r="JO583" i="40"/>
  <c r="HY583" i="40"/>
  <c r="C584" i="40"/>
  <c r="BB583" i="40"/>
  <c r="BR583" i="40"/>
  <c r="CH583" i="40"/>
  <c r="BC583" i="40"/>
  <c r="BS583" i="40"/>
  <c r="CJ583" i="40"/>
  <c r="BH583" i="40"/>
  <c r="BX583" i="40"/>
  <c r="DV583" i="40"/>
  <c r="BY583" i="40"/>
  <c r="BI583" i="40"/>
  <c r="IZ583" i="40"/>
  <c r="BV583" i="40"/>
  <c r="BW583" i="40"/>
  <c r="BL583" i="40"/>
  <c r="BE583" i="40"/>
  <c r="IX583" i="40"/>
  <c r="IA583" i="40"/>
  <c r="BJ583" i="40"/>
  <c r="BZ583" i="40"/>
  <c r="BK583" i="40"/>
  <c r="CA583" i="40"/>
  <c r="AZ583" i="40"/>
  <c r="BP583" i="40"/>
  <c r="CF583" i="40"/>
  <c r="BM583" i="40"/>
  <c r="BQ583" i="40"/>
  <c r="BU583" i="40"/>
  <c r="IY583" i="40"/>
  <c r="A583" i="40"/>
  <c r="BF583" i="40"/>
  <c r="DT583" i="40"/>
  <c r="DU583" i="40"/>
  <c r="CB583" i="40"/>
  <c r="BA583" i="40"/>
  <c r="AN582" i="40"/>
  <c r="CP582" i="40"/>
  <c r="CK582" i="40"/>
  <c r="AM582" i="40"/>
  <c r="AJ483" i="40"/>
  <c r="AF483" i="40"/>
  <c r="AB483" i="40"/>
  <c r="X483" i="40"/>
  <c r="T483" i="40"/>
  <c r="CR483" i="40" s="1"/>
  <c r="P483" i="40"/>
  <c r="L483" i="40"/>
  <c r="H483" i="40"/>
  <c r="AH483" i="40"/>
  <c r="AD483" i="40"/>
  <c r="Z483" i="40"/>
  <c r="V483" i="40"/>
  <c r="CT483" i="40" s="1"/>
  <c r="R483" i="40"/>
  <c r="N483" i="40"/>
  <c r="CN483" i="40" s="1"/>
  <c r="J483" i="40"/>
  <c r="F483" i="40"/>
  <c r="AI483" i="40"/>
  <c r="AA483" i="40"/>
  <c r="S483" i="40"/>
  <c r="K483" i="40"/>
  <c r="AG483" i="40"/>
  <c r="Y483" i="40"/>
  <c r="Q483" i="40"/>
  <c r="I483" i="40"/>
  <c r="AE483" i="40"/>
  <c r="W483" i="40"/>
  <c r="CU483" i="40" s="1"/>
  <c r="O483" i="40"/>
  <c r="CO483" i="40" s="1"/>
  <c r="G483" i="40"/>
  <c r="U483" i="40"/>
  <c r="CS483" i="40" s="1"/>
  <c r="M483" i="40"/>
  <c r="CM483" i="40" s="1"/>
  <c r="E483" i="40"/>
  <c r="AC483" i="40"/>
  <c r="DB683" i="40"/>
  <c r="AG184" i="40"/>
  <c r="AC184" i="40"/>
  <c r="Y184" i="40"/>
  <c r="U184" i="40"/>
  <c r="CS184" i="40" s="1"/>
  <c r="Q184" i="40"/>
  <c r="M184" i="40"/>
  <c r="CM184" i="40" s="1"/>
  <c r="I184" i="40"/>
  <c r="E184" i="40"/>
  <c r="AJ184" i="40"/>
  <c r="AF184" i="40"/>
  <c r="AB184" i="40"/>
  <c r="X184" i="40"/>
  <c r="T184" i="40"/>
  <c r="CR184" i="40" s="1"/>
  <c r="P184" i="40"/>
  <c r="L184" i="40"/>
  <c r="CL184" i="40" s="1"/>
  <c r="H184" i="40"/>
  <c r="AI184" i="40"/>
  <c r="AE184" i="40"/>
  <c r="AA184" i="40"/>
  <c r="CI268" i="40" s="1"/>
  <c r="W184" i="40"/>
  <c r="CU184" i="40" s="1"/>
  <c r="S184" i="40"/>
  <c r="O184" i="40"/>
  <c r="CO184" i="40" s="1"/>
  <c r="K184" i="40"/>
  <c r="G184" i="40"/>
  <c r="AH184" i="40"/>
  <c r="R184" i="40"/>
  <c r="AD184" i="40"/>
  <c r="N184" i="40"/>
  <c r="CN184" i="40" s="1"/>
  <c r="V184" i="40"/>
  <c r="CT184" i="40" s="1"/>
  <c r="Z184" i="40"/>
  <c r="J184" i="40"/>
  <c r="F184" i="40"/>
  <c r="CV683" i="40"/>
  <c r="AN683" i="40"/>
  <c r="CP683" i="40"/>
  <c r="AP582" i="40"/>
  <c r="CV582" i="40"/>
  <c r="IZ682" i="40"/>
  <c r="AP683" i="40"/>
  <c r="CQ582" i="40"/>
  <c r="AO582" i="40"/>
  <c r="D182" i="40"/>
  <c r="AY182" i="40" s="1"/>
  <c r="AP482" i="40"/>
  <c r="AO482" i="40"/>
  <c r="CQ482" i="40"/>
  <c r="CP482" i="40"/>
  <c r="AN482" i="40"/>
  <c r="DB482" i="40"/>
  <c r="IZ483" i="40"/>
  <c r="IY483" i="40"/>
  <c r="BL483" i="40"/>
  <c r="CB483" i="40"/>
  <c r="CL483" i="40"/>
  <c r="BA483" i="40"/>
  <c r="BQ483" i="40"/>
  <c r="CG483" i="40"/>
  <c r="AW483" i="40"/>
  <c r="BN483" i="40"/>
  <c r="CD483" i="40"/>
  <c r="BW483" i="40"/>
  <c r="BS483" i="40"/>
  <c r="IA483" i="40"/>
  <c r="JP483" i="40"/>
  <c r="AZ483" i="40"/>
  <c r="BP483" i="40"/>
  <c r="CF483" i="40"/>
  <c r="BE483" i="40"/>
  <c r="BU483" i="40"/>
  <c r="DS483" i="40"/>
  <c r="BB483" i="40"/>
  <c r="BR483" i="40"/>
  <c r="CH483" i="40"/>
  <c r="BK483" i="40"/>
  <c r="AX483" i="40"/>
  <c r="DU483" i="40"/>
  <c r="CJ483" i="40"/>
  <c r="IX483" i="40"/>
  <c r="HZ483" i="40"/>
  <c r="BD483" i="40"/>
  <c r="BT483" i="40"/>
  <c r="DM483" i="40"/>
  <c r="BI483" i="40"/>
  <c r="BY483" i="40"/>
  <c r="DW483" i="40"/>
  <c r="BF483" i="40"/>
  <c r="BV483" i="40"/>
  <c r="DT483" i="40"/>
  <c r="CA483" i="40"/>
  <c r="BO483" i="40"/>
  <c r="BG483" i="40"/>
  <c r="HY483" i="40"/>
  <c r="JO483" i="40"/>
  <c r="C484" i="40"/>
  <c r="BH483" i="40"/>
  <c r="BX483" i="40"/>
  <c r="DV483" i="40"/>
  <c r="BM483" i="40"/>
  <c r="CC483" i="40"/>
  <c r="A483" i="40"/>
  <c r="BJ483" i="40"/>
  <c r="BZ483" i="40"/>
  <c r="CE483" i="40"/>
  <c r="BC483" i="40"/>
  <c r="AM482" i="40"/>
  <c r="CK482" i="40"/>
  <c r="CV482" i="40"/>
  <c r="HR183" i="40"/>
  <c r="IO183" i="40"/>
  <c r="JA183" i="40" s="1"/>
  <c r="IY384" i="40"/>
  <c r="HZ384" i="40"/>
  <c r="JO384" i="40"/>
  <c r="IA384" i="40"/>
  <c r="IX384" i="40"/>
  <c r="JP384" i="40"/>
  <c r="IZ384" i="40"/>
  <c r="HY384" i="40"/>
  <c r="AN283" i="40"/>
  <c r="CP283" i="40"/>
  <c r="CV283" i="40"/>
  <c r="HM183" i="40"/>
  <c r="IQ183" i="40"/>
  <c r="JC183" i="40" s="1"/>
  <c r="HY184" i="40"/>
  <c r="IZ184" i="40"/>
  <c r="HZ184" i="40"/>
  <c r="II184" i="40"/>
  <c r="IL184" i="40" s="1"/>
  <c r="JF184" i="40"/>
  <c r="HN184" i="40" s="1"/>
  <c r="JO184" i="40"/>
  <c r="IA184" i="40"/>
  <c r="IJ184" i="40"/>
  <c r="IM184" i="40" s="1"/>
  <c r="IX184" i="40"/>
  <c r="JG184" i="40"/>
  <c r="JP184" i="40"/>
  <c r="IK184" i="40"/>
  <c r="IN184" i="40" s="1"/>
  <c r="IY184" i="40"/>
  <c r="JI182" i="40"/>
  <c r="HX182" i="40"/>
  <c r="AP283" i="40"/>
  <c r="HR182" i="40"/>
  <c r="JH182" i="40" s="1"/>
  <c r="IP183" i="40"/>
  <c r="JB183" i="40" s="1"/>
  <c r="DB383" i="40"/>
  <c r="HW182" i="40"/>
  <c r="AO283" i="40"/>
  <c r="CQ283" i="40"/>
  <c r="HU183" i="40"/>
  <c r="HT183" i="40"/>
  <c r="HN183" i="40"/>
  <c r="AM283" i="40"/>
  <c r="CK283" i="40"/>
  <c r="HZ284" i="40"/>
  <c r="JO284" i="40"/>
  <c r="IY284" i="40"/>
  <c r="IZ284" i="40"/>
  <c r="IX284" i="40"/>
  <c r="HY284" i="40"/>
  <c r="IA284" i="40"/>
  <c r="JP284" i="40"/>
  <c r="BC284" i="40"/>
  <c r="BS284" i="40"/>
  <c r="CJ284" i="40"/>
  <c r="BD284" i="40"/>
  <c r="BT284" i="40"/>
  <c r="DM284" i="40"/>
  <c r="BI284" i="40"/>
  <c r="BY284" i="40"/>
  <c r="DW284" i="40"/>
  <c r="BZ284" i="40"/>
  <c r="CD284" i="40"/>
  <c r="CH284" i="40"/>
  <c r="BV284" i="40"/>
  <c r="CR284" i="40"/>
  <c r="C285" i="40"/>
  <c r="BG284" i="40"/>
  <c r="BW284" i="40"/>
  <c r="DU284" i="40"/>
  <c r="BH284" i="40"/>
  <c r="BX284" i="40"/>
  <c r="DV284" i="40"/>
  <c r="BM284" i="40"/>
  <c r="CC284" i="40"/>
  <c r="A284" i="40"/>
  <c r="DT284" i="40"/>
  <c r="BK284" i="40"/>
  <c r="CA284" i="40"/>
  <c r="BL284" i="40"/>
  <c r="CB284" i="40"/>
  <c r="BA284" i="40"/>
  <c r="BQ284" i="40"/>
  <c r="CG284" i="40"/>
  <c r="AW284" i="40"/>
  <c r="BB284" i="40"/>
  <c r="AX284" i="40"/>
  <c r="BO284" i="40"/>
  <c r="CE284" i="40"/>
  <c r="AZ284" i="40"/>
  <c r="BP284" i="40"/>
  <c r="CF284" i="40"/>
  <c r="BE284" i="40"/>
  <c r="BU284" i="40"/>
  <c r="DS284" i="40"/>
  <c r="BJ284" i="40"/>
  <c r="BN284" i="40"/>
  <c r="BR284" i="40"/>
  <c r="BF284" i="40"/>
  <c r="HS183" i="40"/>
  <c r="JJ181" i="40"/>
  <c r="JK181" i="40" s="1"/>
  <c r="JL181" i="40" s="1"/>
  <c r="DB183" i="40"/>
  <c r="IC181" i="40"/>
  <c r="AP183" i="40"/>
  <c r="CP183" i="40"/>
  <c r="HW183" i="40" s="1"/>
  <c r="AN183" i="40"/>
  <c r="AQ179" i="40"/>
  <c r="AO383" i="40"/>
  <c r="CQ383" i="40"/>
  <c r="AP383" i="40"/>
  <c r="C385" i="40"/>
  <c r="A384" i="40"/>
  <c r="BA384" i="40"/>
  <c r="BE384" i="40"/>
  <c r="BI384" i="40"/>
  <c r="BM384" i="40"/>
  <c r="BQ384" i="40"/>
  <c r="BU384" i="40"/>
  <c r="BY384" i="40"/>
  <c r="CC384" i="40"/>
  <c r="CG384" i="40"/>
  <c r="DS384" i="40"/>
  <c r="DW384" i="40"/>
  <c r="AW384" i="40"/>
  <c r="BB384" i="40"/>
  <c r="BF384" i="40"/>
  <c r="BJ384" i="40"/>
  <c r="BN384" i="40"/>
  <c r="BR384" i="40"/>
  <c r="BV384" i="40"/>
  <c r="BZ384" i="40"/>
  <c r="CD384" i="40"/>
  <c r="CH384" i="40"/>
  <c r="DT384" i="40"/>
  <c r="AX384" i="40"/>
  <c r="BC384" i="40"/>
  <c r="BG384" i="40"/>
  <c r="BK384" i="40"/>
  <c r="BO384" i="40"/>
  <c r="BS384" i="40"/>
  <c r="BW384" i="40"/>
  <c r="CA384" i="40"/>
  <c r="CE384" i="40"/>
  <c r="CJ384" i="40"/>
  <c r="DU384" i="40"/>
  <c r="BD384" i="40"/>
  <c r="BT384" i="40"/>
  <c r="DM384" i="40"/>
  <c r="BH384" i="40"/>
  <c r="BX384" i="40"/>
  <c r="DV384" i="40"/>
  <c r="BL384" i="40"/>
  <c r="CB384" i="40"/>
  <c r="CF384" i="40"/>
  <c r="BP384" i="40"/>
  <c r="AZ384" i="40"/>
  <c r="KK179" i="40"/>
  <c r="KI179" i="40"/>
  <c r="KJ179" i="40"/>
  <c r="KO179" i="40"/>
  <c r="CV183" i="40"/>
  <c r="AK183" i="40"/>
  <c r="AL183" i="40"/>
  <c r="AO183" i="40"/>
  <c r="CQ183" i="40"/>
  <c r="CK183" i="40"/>
  <c r="AM183" i="40"/>
  <c r="ID181" i="40"/>
  <c r="C185" i="40"/>
  <c r="AX184" i="40"/>
  <c r="BC184" i="40"/>
  <c r="BG184" i="40"/>
  <c r="BK184" i="40"/>
  <c r="BO184" i="40"/>
  <c r="BS184" i="40"/>
  <c r="BW184" i="40"/>
  <c r="CA184" i="40"/>
  <c r="CE184" i="40"/>
  <c r="CJ184" i="40"/>
  <c r="DU184" i="40"/>
  <c r="AZ184" i="40"/>
  <c r="BD184" i="40"/>
  <c r="BH184" i="40"/>
  <c r="BL184" i="40"/>
  <c r="BP184" i="40"/>
  <c r="BT184" i="40"/>
  <c r="BX184" i="40"/>
  <c r="CB184" i="40"/>
  <c r="CF184" i="40"/>
  <c r="DM184" i="40"/>
  <c r="DV184" i="40"/>
  <c r="A184" i="40"/>
  <c r="BA184" i="40"/>
  <c r="BE184" i="40"/>
  <c r="BI184" i="40"/>
  <c r="BM184" i="40"/>
  <c r="BQ184" i="40"/>
  <c r="BU184" i="40"/>
  <c r="BY184" i="40"/>
  <c r="CC184" i="40"/>
  <c r="CG184" i="40"/>
  <c r="DS184" i="40"/>
  <c r="DW184" i="40"/>
  <c r="BF184" i="40"/>
  <c r="BV184" i="40"/>
  <c r="DT184" i="40"/>
  <c r="BJ184" i="40"/>
  <c r="BZ184" i="40"/>
  <c r="AW184" i="40"/>
  <c r="BN184" i="40"/>
  <c r="CD184" i="40"/>
  <c r="BR184" i="40"/>
  <c r="CH184" i="40"/>
  <c r="BB184" i="40"/>
  <c r="JD179" i="40"/>
  <c r="JS179" i="40" s="1"/>
  <c r="KP179" i="40"/>
  <c r="JM180" i="40"/>
  <c r="KT126" i="40"/>
  <c r="KU125" i="40"/>
  <c r="I39" i="70" s="1"/>
  <c r="CV383" i="40"/>
  <c r="AN383" i="40"/>
  <c r="CP383" i="40"/>
  <c r="AM383" i="40"/>
  <c r="CK383" i="40"/>
  <c r="CI368" i="40" l="1"/>
  <c r="CI567" i="40"/>
  <c r="CI184" i="40"/>
  <c r="CI667" i="40"/>
  <c r="CI684" i="40"/>
  <c r="HZ683" i="40"/>
  <c r="IY683" i="40" s="1"/>
  <c r="JD180" i="40"/>
  <c r="JT180" i="40" s="1"/>
  <c r="JX180" i="40" s="1"/>
  <c r="IA683" i="40"/>
  <c r="IZ683" i="40" s="1"/>
  <c r="DB384" i="40"/>
  <c r="D183" i="40"/>
  <c r="AY183" i="40" s="1"/>
  <c r="KP180" i="40"/>
  <c r="AQ180" i="40"/>
  <c r="HY683" i="40"/>
  <c r="IX683" i="40" s="1"/>
  <c r="IO184" i="40"/>
  <c r="JA184" i="40" s="1"/>
  <c r="IQ184" i="40"/>
  <c r="JC184" i="40" s="1"/>
  <c r="DB583" i="40"/>
  <c r="CK583" i="40"/>
  <c r="AM583" i="40"/>
  <c r="AG185" i="40"/>
  <c r="AC185" i="40"/>
  <c r="Y185" i="40"/>
  <c r="U185" i="40"/>
  <c r="CS185" i="40" s="1"/>
  <c r="Q185" i="40"/>
  <c r="M185" i="40"/>
  <c r="CM185" i="40" s="1"/>
  <c r="I185" i="40"/>
  <c r="E185" i="40"/>
  <c r="AJ185" i="40"/>
  <c r="AF185" i="40"/>
  <c r="AB185" i="40"/>
  <c r="X185" i="40"/>
  <c r="T185" i="40"/>
  <c r="CR185" i="40" s="1"/>
  <c r="P185" i="40"/>
  <c r="L185" i="40"/>
  <c r="H185" i="40"/>
  <c r="AI185" i="40"/>
  <c r="AE185" i="40"/>
  <c r="AA185" i="40"/>
  <c r="CI269" i="40" s="1"/>
  <c r="W185" i="40"/>
  <c r="CU185" i="40" s="1"/>
  <c r="S185" i="40"/>
  <c r="O185" i="40"/>
  <c r="CO185" i="40" s="1"/>
  <c r="K185" i="40"/>
  <c r="G185" i="40"/>
  <c r="AH185" i="40"/>
  <c r="R185" i="40"/>
  <c r="F185" i="40"/>
  <c r="AD185" i="40"/>
  <c r="N185" i="40"/>
  <c r="CN185" i="40" s="1"/>
  <c r="Z185" i="40"/>
  <c r="J185" i="40"/>
  <c r="V185" i="40"/>
  <c r="CT185" i="40" s="1"/>
  <c r="AJ385" i="40"/>
  <c r="AF385" i="40"/>
  <c r="AB385" i="40"/>
  <c r="X385" i="40"/>
  <c r="T385" i="40"/>
  <c r="CR385" i="40" s="1"/>
  <c r="P385" i="40"/>
  <c r="L385" i="40"/>
  <c r="H385" i="40"/>
  <c r="AI385" i="40"/>
  <c r="AE385" i="40"/>
  <c r="AA385" i="40"/>
  <c r="CI469" i="40" s="1"/>
  <c r="W385" i="40"/>
  <c r="CU385" i="40" s="1"/>
  <c r="S385" i="40"/>
  <c r="O385" i="40"/>
  <c r="CO385" i="40" s="1"/>
  <c r="K385" i="40"/>
  <c r="G385" i="40"/>
  <c r="AH385" i="40"/>
  <c r="AD385" i="40"/>
  <c r="Z385" i="40"/>
  <c r="V385" i="40"/>
  <c r="CT385" i="40" s="1"/>
  <c r="R385" i="40"/>
  <c r="N385" i="40"/>
  <c r="CN385" i="40" s="1"/>
  <c r="J385" i="40"/>
  <c r="F385" i="40"/>
  <c r="U385" i="40"/>
  <c r="E385" i="40"/>
  <c r="AG385" i="40"/>
  <c r="Q385" i="40"/>
  <c r="AC385" i="40"/>
  <c r="M385" i="40"/>
  <c r="CM385" i="40" s="1"/>
  <c r="Y385" i="40"/>
  <c r="I385" i="40"/>
  <c r="AP583" i="40"/>
  <c r="CV583" i="40"/>
  <c r="AP684" i="40"/>
  <c r="CP684" i="40"/>
  <c r="AN684" i="40"/>
  <c r="DB684" i="40"/>
  <c r="CK684" i="40"/>
  <c r="AM684" i="40"/>
  <c r="AJ484" i="40"/>
  <c r="AF484" i="40"/>
  <c r="AB484" i="40"/>
  <c r="X484" i="40"/>
  <c r="T484" i="40"/>
  <c r="CR484" i="40" s="1"/>
  <c r="P484" i="40"/>
  <c r="L484" i="40"/>
  <c r="CL484" i="40" s="1"/>
  <c r="H484" i="40"/>
  <c r="AH484" i="40"/>
  <c r="AD484" i="40"/>
  <c r="Z484" i="40"/>
  <c r="V484" i="40"/>
  <c r="CT484" i="40" s="1"/>
  <c r="R484" i="40"/>
  <c r="N484" i="40"/>
  <c r="CN484" i="40" s="1"/>
  <c r="J484" i="40"/>
  <c r="F484" i="40"/>
  <c r="AI484" i="40"/>
  <c r="AA484" i="40"/>
  <c r="S484" i="40"/>
  <c r="K484" i="40"/>
  <c r="AG484" i="40"/>
  <c r="Y484" i="40"/>
  <c r="Q484" i="40"/>
  <c r="I484" i="40"/>
  <c r="AE484" i="40"/>
  <c r="W484" i="40"/>
  <c r="CU484" i="40" s="1"/>
  <c r="O484" i="40"/>
  <c r="G484" i="40"/>
  <c r="U484" i="40"/>
  <c r="CS484" i="40" s="1"/>
  <c r="M484" i="40"/>
  <c r="CM484" i="40" s="1"/>
  <c r="E484" i="40"/>
  <c r="AC484" i="40"/>
  <c r="AN583" i="40"/>
  <c r="CP583" i="40"/>
  <c r="AH285" i="40"/>
  <c r="AD285" i="40"/>
  <c r="Z285" i="40"/>
  <c r="V285" i="40"/>
  <c r="CT285" i="40" s="1"/>
  <c r="R285" i="40"/>
  <c r="N285" i="40"/>
  <c r="CN285" i="40" s="1"/>
  <c r="J285" i="40"/>
  <c r="F285" i="40"/>
  <c r="AG285" i="40"/>
  <c r="AC285" i="40"/>
  <c r="Y285" i="40"/>
  <c r="U285" i="40"/>
  <c r="CS285" i="40" s="1"/>
  <c r="Q285" i="40"/>
  <c r="M285" i="40"/>
  <c r="CM285" i="40" s="1"/>
  <c r="I285" i="40"/>
  <c r="E285" i="40"/>
  <c r="AJ285" i="40"/>
  <c r="AF285" i="40"/>
  <c r="AB285" i="40"/>
  <c r="X285" i="40"/>
  <c r="T285" i="40"/>
  <c r="CR285" i="40" s="1"/>
  <c r="P285" i="40"/>
  <c r="L285" i="40"/>
  <c r="CL285" i="40" s="1"/>
  <c r="H285" i="40"/>
  <c r="AA285" i="40"/>
  <c r="K285" i="40"/>
  <c r="W285" i="40"/>
  <c r="CU285" i="40" s="1"/>
  <c r="G285" i="40"/>
  <c r="AI285" i="40"/>
  <c r="S285" i="40"/>
  <c r="AE285" i="40"/>
  <c r="O285" i="40"/>
  <c r="CO285" i="40" s="1"/>
  <c r="AO583" i="40"/>
  <c r="CQ583" i="40"/>
  <c r="AI584" i="40"/>
  <c r="AE584" i="40"/>
  <c r="AA584" i="40"/>
  <c r="W584" i="40"/>
  <c r="CU584" i="40" s="1"/>
  <c r="S584" i="40"/>
  <c r="O584" i="40"/>
  <c r="CO584" i="40" s="1"/>
  <c r="K584" i="40"/>
  <c r="G584" i="40"/>
  <c r="AH584" i="40"/>
  <c r="AD584" i="40"/>
  <c r="Z584" i="40"/>
  <c r="V584" i="40"/>
  <c r="CT584" i="40" s="1"/>
  <c r="R584" i="40"/>
  <c r="N584" i="40"/>
  <c r="CN584" i="40" s="1"/>
  <c r="J584" i="40"/>
  <c r="F584" i="40"/>
  <c r="AG584" i="40"/>
  <c r="Y584" i="40"/>
  <c r="Q584" i="40"/>
  <c r="I584" i="40"/>
  <c r="AF584" i="40"/>
  <c r="X584" i="40"/>
  <c r="P584" i="40"/>
  <c r="H584" i="40"/>
  <c r="AC584" i="40"/>
  <c r="U584" i="40"/>
  <c r="CS584" i="40" s="1"/>
  <c r="M584" i="40"/>
  <c r="CM584" i="40" s="1"/>
  <c r="E584" i="40"/>
  <c r="T584" i="40"/>
  <c r="CR584" i="40" s="1"/>
  <c r="L584" i="40"/>
  <c r="CL584" i="40" s="1"/>
  <c r="AJ584" i="40"/>
  <c r="AB584" i="40"/>
  <c r="IZ584" i="40"/>
  <c r="JO584" i="40"/>
  <c r="C585" i="40"/>
  <c r="BB584" i="40"/>
  <c r="BR584" i="40"/>
  <c r="CH584" i="40"/>
  <c r="BC584" i="40"/>
  <c r="BS584" i="40"/>
  <c r="CJ584" i="40"/>
  <c r="BH584" i="40"/>
  <c r="BX584" i="40"/>
  <c r="DV584" i="40"/>
  <c r="BI584" i="40"/>
  <c r="DS584" i="40"/>
  <c r="JP584" i="40"/>
  <c r="IX584" i="40"/>
  <c r="AZ584" i="40"/>
  <c r="BM584" i="40"/>
  <c r="IA584" i="40"/>
  <c r="DM584" i="40"/>
  <c r="IY584" i="40"/>
  <c r="HZ584" i="40"/>
  <c r="A584" i="40"/>
  <c r="BF584" i="40"/>
  <c r="BV584" i="40"/>
  <c r="DT584" i="40"/>
  <c r="BG584" i="40"/>
  <c r="BW584" i="40"/>
  <c r="DU584" i="40"/>
  <c r="BL584" i="40"/>
  <c r="CB584" i="40"/>
  <c r="BA584" i="40"/>
  <c r="DW584" i="40"/>
  <c r="BY584" i="40"/>
  <c r="BP584" i="40"/>
  <c r="BE584" i="40"/>
  <c r="BJ584" i="40"/>
  <c r="BZ584" i="40"/>
  <c r="BK584" i="40"/>
  <c r="CA584" i="40"/>
  <c r="CF584" i="40"/>
  <c r="BQ584" i="40"/>
  <c r="BT584" i="40"/>
  <c r="HY584" i="40"/>
  <c r="AW584" i="40"/>
  <c r="BN584" i="40"/>
  <c r="CD584" i="40"/>
  <c r="AX584" i="40"/>
  <c r="BO584" i="40"/>
  <c r="CE584" i="40"/>
  <c r="BD584" i="40"/>
  <c r="CC584" i="40"/>
  <c r="CG584" i="40"/>
  <c r="BU584" i="40"/>
  <c r="AP483" i="40"/>
  <c r="CV684" i="40"/>
  <c r="CQ684" i="40"/>
  <c r="AO684" i="40"/>
  <c r="JO685" i="40"/>
  <c r="AF685" i="40"/>
  <c r="JP685" i="40"/>
  <c r="AI685" i="40"/>
  <c r="CJ685" i="40"/>
  <c r="DV685" i="40"/>
  <c r="BZ685" i="40"/>
  <c r="BJ685" i="40"/>
  <c r="N685" i="40"/>
  <c r="CN685" i="40" s="1"/>
  <c r="CA685" i="40"/>
  <c r="BE685" i="40"/>
  <c r="DT685" i="40"/>
  <c r="BI685" i="40"/>
  <c r="A685" i="40"/>
  <c r="BO685" i="40"/>
  <c r="M685" i="40"/>
  <c r="CM685" i="40" s="1"/>
  <c r="DW685" i="40"/>
  <c r="BT685" i="40"/>
  <c r="CG685" i="40"/>
  <c r="DM685" i="40"/>
  <c r="BV685" i="40"/>
  <c r="BF685" i="40"/>
  <c r="J685" i="40"/>
  <c r="BU685" i="40"/>
  <c r="AZ685" i="40"/>
  <c r="CE685" i="40"/>
  <c r="BC685" i="40"/>
  <c r="DS685" i="40"/>
  <c r="BH685" i="40"/>
  <c r="CB685" i="40"/>
  <c r="BY685" i="40"/>
  <c r="L685" i="40"/>
  <c r="CL685" i="40" s="1"/>
  <c r="BD685" i="40"/>
  <c r="KN685" i="40"/>
  <c r="AJ685" i="40"/>
  <c r="CH685" i="40"/>
  <c r="BR685" i="40"/>
  <c r="BB685" i="40"/>
  <c r="DU685" i="40"/>
  <c r="BP685" i="40"/>
  <c r="P685" i="40"/>
  <c r="BX685" i="40"/>
  <c r="W685" i="40"/>
  <c r="CU685" i="40" s="1"/>
  <c r="CC685" i="40"/>
  <c r="BA685" i="40"/>
  <c r="BM685" i="40"/>
  <c r="BL685" i="40"/>
  <c r="BS685" i="40"/>
  <c r="AX685" i="40"/>
  <c r="BQ685" i="40"/>
  <c r="AG685" i="40"/>
  <c r="AB685" i="40"/>
  <c r="C686" i="40"/>
  <c r="CF685" i="40"/>
  <c r="O685" i="40"/>
  <c r="CO685" i="40" s="1"/>
  <c r="AW685" i="40"/>
  <c r="BN685" i="40"/>
  <c r="CD685" i="40"/>
  <c r="BK685" i="40"/>
  <c r="BW685" i="40"/>
  <c r="BG685" i="40"/>
  <c r="K685" i="40"/>
  <c r="AH685" i="40"/>
  <c r="AC685" i="40"/>
  <c r="H685" i="40"/>
  <c r="Q685" i="40"/>
  <c r="T685" i="40"/>
  <c r="CR685" i="40" s="1"/>
  <c r="F685" i="40"/>
  <c r="U685" i="40"/>
  <c r="CS685" i="40" s="1"/>
  <c r="S685" i="40"/>
  <c r="G685" i="40"/>
  <c r="X685" i="40"/>
  <c r="V685" i="40"/>
  <c r="CT685" i="40" s="1"/>
  <c r="AE685" i="40"/>
  <c r="AD685" i="40"/>
  <c r="AA685" i="40"/>
  <c r="Z685" i="40"/>
  <c r="R685" i="40"/>
  <c r="I685" i="40"/>
  <c r="E685" i="40"/>
  <c r="Y685" i="40"/>
  <c r="HM184" i="40"/>
  <c r="HP184" i="40" s="1"/>
  <c r="DB483" i="40"/>
  <c r="CV483" i="40"/>
  <c r="DB284" i="40"/>
  <c r="HO184" i="40"/>
  <c r="HR184" i="40" s="1"/>
  <c r="AN483" i="40"/>
  <c r="CP483" i="40"/>
  <c r="JO484" i="40"/>
  <c r="IA484" i="40"/>
  <c r="C485" i="40"/>
  <c r="BG484" i="40"/>
  <c r="BW484" i="40"/>
  <c r="DU484" i="40"/>
  <c r="CO484" i="40"/>
  <c r="BH484" i="40"/>
  <c r="BX484" i="40"/>
  <c r="DV484" i="40"/>
  <c r="BI484" i="40"/>
  <c r="BY484" i="40"/>
  <c r="DW484" i="40"/>
  <c r="BZ484" i="40"/>
  <c r="AW484" i="40"/>
  <c r="BF484" i="40"/>
  <c r="IY484" i="40"/>
  <c r="IZ484" i="40"/>
  <c r="BK484" i="40"/>
  <c r="CA484" i="40"/>
  <c r="BL484" i="40"/>
  <c r="CB484" i="40"/>
  <c r="A484" i="40"/>
  <c r="BM484" i="40"/>
  <c r="CC484" i="40"/>
  <c r="BN484" i="40"/>
  <c r="BB484" i="40"/>
  <c r="HY484" i="40"/>
  <c r="JP484" i="40"/>
  <c r="AX484" i="40"/>
  <c r="BO484" i="40"/>
  <c r="CE484" i="40"/>
  <c r="AZ484" i="40"/>
  <c r="BP484" i="40"/>
  <c r="CF484" i="40"/>
  <c r="BA484" i="40"/>
  <c r="BQ484" i="40"/>
  <c r="CG484" i="40"/>
  <c r="DT484" i="40"/>
  <c r="CD484" i="40"/>
  <c r="BR484" i="40"/>
  <c r="IX484" i="40"/>
  <c r="HZ484" i="40"/>
  <c r="BC484" i="40"/>
  <c r="BS484" i="40"/>
  <c r="CJ484" i="40"/>
  <c r="BD484" i="40"/>
  <c r="BT484" i="40"/>
  <c r="DM484" i="40"/>
  <c r="BE484" i="40"/>
  <c r="BU484" i="40"/>
  <c r="DS484" i="40"/>
  <c r="BJ484" i="40"/>
  <c r="BV484" i="40"/>
  <c r="CH484" i="40"/>
  <c r="AO483" i="40"/>
  <c r="CQ483" i="40"/>
  <c r="AM483" i="40"/>
  <c r="CK483" i="40"/>
  <c r="HQ184" i="40"/>
  <c r="JI183" i="40"/>
  <c r="AO284" i="40"/>
  <c r="CQ284" i="40"/>
  <c r="HQ183" i="40"/>
  <c r="HP183" i="40"/>
  <c r="IK185" i="40"/>
  <c r="IN185" i="40" s="1"/>
  <c r="IY185" i="40"/>
  <c r="HZ185" i="40"/>
  <c r="JO185" i="40"/>
  <c r="IA185" i="40"/>
  <c r="IX185" i="40"/>
  <c r="JP185" i="40"/>
  <c r="II185" i="40"/>
  <c r="IL185" i="40" s="1"/>
  <c r="IZ185" i="40"/>
  <c r="JF185" i="40"/>
  <c r="HY185" i="40"/>
  <c r="IJ185" i="40"/>
  <c r="IM185" i="40" s="1"/>
  <c r="JG185" i="40"/>
  <c r="HX183" i="40"/>
  <c r="HV183" i="40"/>
  <c r="CP284" i="40"/>
  <c r="AN284" i="40"/>
  <c r="IC182" i="40"/>
  <c r="IP184" i="40"/>
  <c r="JB184" i="40" s="1"/>
  <c r="AP284" i="40"/>
  <c r="AM284" i="40"/>
  <c r="CK284" i="40"/>
  <c r="HY285" i="40"/>
  <c r="IZ285" i="40"/>
  <c r="IY285" i="40"/>
  <c r="HZ285" i="40"/>
  <c r="JO285" i="40"/>
  <c r="IA285" i="40"/>
  <c r="JP285" i="40"/>
  <c r="IX285" i="40"/>
  <c r="C286" i="40"/>
  <c r="BG285" i="40"/>
  <c r="BW285" i="40"/>
  <c r="DU285" i="40"/>
  <c r="BH285" i="40"/>
  <c r="BX285" i="40"/>
  <c r="DV285" i="40"/>
  <c r="BM285" i="40"/>
  <c r="CC285" i="40"/>
  <c r="A285" i="40"/>
  <c r="DT285" i="40"/>
  <c r="BK285" i="40"/>
  <c r="CA285" i="40"/>
  <c r="BL285" i="40"/>
  <c r="CB285" i="40"/>
  <c r="BA285" i="40"/>
  <c r="BQ285" i="40"/>
  <c r="CG285" i="40"/>
  <c r="AW285" i="40"/>
  <c r="BB285" i="40"/>
  <c r="AX285" i="40"/>
  <c r="BO285" i="40"/>
  <c r="CE285" i="40"/>
  <c r="AZ285" i="40"/>
  <c r="BP285" i="40"/>
  <c r="CF285" i="40"/>
  <c r="BE285" i="40"/>
  <c r="BU285" i="40"/>
  <c r="DS285" i="40"/>
  <c r="BJ285" i="40"/>
  <c r="BN285" i="40"/>
  <c r="BR285" i="40"/>
  <c r="BF285" i="40"/>
  <c r="BC285" i="40"/>
  <c r="BS285" i="40"/>
  <c r="CJ285" i="40"/>
  <c r="BD285" i="40"/>
  <c r="BT285" i="40"/>
  <c r="DM285" i="40"/>
  <c r="BI285" i="40"/>
  <c r="BY285" i="40"/>
  <c r="DW285" i="40"/>
  <c r="BZ285" i="40"/>
  <c r="CD285" i="40"/>
  <c r="CH285" i="40"/>
  <c r="BV285" i="40"/>
  <c r="HU184" i="40"/>
  <c r="HT184" i="40"/>
  <c r="IA385" i="40"/>
  <c r="IX385" i="40"/>
  <c r="JP385" i="40"/>
  <c r="HZ385" i="40"/>
  <c r="JO385" i="40"/>
  <c r="IY385" i="40"/>
  <c r="IZ385" i="40"/>
  <c r="HY385" i="40"/>
  <c r="CV284" i="40"/>
  <c r="ID182" i="40"/>
  <c r="HS184" i="40"/>
  <c r="JJ182" i="40"/>
  <c r="JK182" i="40" s="1"/>
  <c r="JL182" i="40" s="1"/>
  <c r="DB184" i="40"/>
  <c r="AP184" i="40"/>
  <c r="CP384" i="40"/>
  <c r="AN384" i="40"/>
  <c r="AM384" i="40"/>
  <c r="CK384" i="40"/>
  <c r="C386" i="40"/>
  <c r="CL385" i="40"/>
  <c r="BA385" i="40"/>
  <c r="BE385" i="40"/>
  <c r="BI385" i="40"/>
  <c r="BM385" i="40"/>
  <c r="BQ385" i="40"/>
  <c r="BU385" i="40"/>
  <c r="BY385" i="40"/>
  <c r="CC385" i="40"/>
  <c r="CG385" i="40"/>
  <c r="DS385" i="40"/>
  <c r="DW385" i="40"/>
  <c r="A385" i="40"/>
  <c r="AW385" i="40"/>
  <c r="BB385" i="40"/>
  <c r="BF385" i="40"/>
  <c r="BJ385" i="40"/>
  <c r="BN385" i="40"/>
  <c r="BR385" i="40"/>
  <c r="BV385" i="40"/>
  <c r="BZ385" i="40"/>
  <c r="CD385" i="40"/>
  <c r="CH385" i="40"/>
  <c r="DT385" i="40"/>
  <c r="AX385" i="40"/>
  <c r="BC385" i="40"/>
  <c r="BG385" i="40"/>
  <c r="BK385" i="40"/>
  <c r="BO385" i="40"/>
  <c r="BS385" i="40"/>
  <c r="BW385" i="40"/>
  <c r="CA385" i="40"/>
  <c r="CE385" i="40"/>
  <c r="CJ385" i="40"/>
  <c r="DU385" i="40"/>
  <c r="BD385" i="40"/>
  <c r="BT385" i="40"/>
  <c r="DM385" i="40"/>
  <c r="BH385" i="40"/>
  <c r="BX385" i="40"/>
  <c r="DV385" i="40"/>
  <c r="BL385" i="40"/>
  <c r="CB385" i="40"/>
  <c r="CF385" i="40"/>
  <c r="BP385" i="40"/>
  <c r="AZ385" i="40"/>
  <c r="CS385" i="40"/>
  <c r="JM181" i="40"/>
  <c r="AE36" i="58" s="1"/>
  <c r="KK180" i="40"/>
  <c r="KI180" i="40"/>
  <c r="KJ180" i="40"/>
  <c r="JS180" i="40"/>
  <c r="KO180" i="40"/>
  <c r="CV184" i="40"/>
  <c r="AL184" i="40"/>
  <c r="AK184" i="40"/>
  <c r="CK184" i="40"/>
  <c r="AM184" i="40"/>
  <c r="CQ384" i="40"/>
  <c r="AO384" i="40"/>
  <c r="JT179" i="40"/>
  <c r="JX179" i="40" s="1"/>
  <c r="JR179" i="40"/>
  <c r="KQ179" i="40"/>
  <c r="KS179" i="40" s="1"/>
  <c r="JQ179" i="40"/>
  <c r="JU179" i="40" s="1"/>
  <c r="JV179" i="40" s="1"/>
  <c r="JW179" i="40" s="1"/>
  <c r="AN184" i="40"/>
  <c r="CP184" i="40"/>
  <c r="HV184" i="40" s="1"/>
  <c r="C186" i="40"/>
  <c r="IO185" i="40"/>
  <c r="AW185" i="40"/>
  <c r="BB185" i="40"/>
  <c r="BF185" i="40"/>
  <c r="BJ185" i="40"/>
  <c r="BN185" i="40"/>
  <c r="BR185" i="40"/>
  <c r="BV185" i="40"/>
  <c r="BZ185" i="40"/>
  <c r="CD185" i="40"/>
  <c r="CH185" i="40"/>
  <c r="DT185" i="40"/>
  <c r="AX185" i="40"/>
  <c r="BC185" i="40"/>
  <c r="BG185" i="40"/>
  <c r="BK185" i="40"/>
  <c r="BO185" i="40"/>
  <c r="BS185" i="40"/>
  <c r="BW185" i="40"/>
  <c r="CA185" i="40"/>
  <c r="CE185" i="40"/>
  <c r="CJ185" i="40"/>
  <c r="DU185" i="40"/>
  <c r="CL185" i="40"/>
  <c r="AZ185" i="40"/>
  <c r="BD185" i="40"/>
  <c r="BH185" i="40"/>
  <c r="BL185" i="40"/>
  <c r="BP185" i="40"/>
  <c r="BT185" i="40"/>
  <c r="BX185" i="40"/>
  <c r="CB185" i="40"/>
  <c r="CF185" i="40"/>
  <c r="DM185" i="40"/>
  <c r="DV185" i="40"/>
  <c r="BE185" i="40"/>
  <c r="BU185" i="40"/>
  <c r="DS185" i="40"/>
  <c r="A185" i="40"/>
  <c r="BI185" i="40"/>
  <c r="BY185" i="40"/>
  <c r="DW185" i="40"/>
  <c r="BM185" i="40"/>
  <c r="CC185" i="40"/>
  <c r="BQ185" i="40"/>
  <c r="CG185" i="40"/>
  <c r="BA185" i="40"/>
  <c r="JR180" i="40"/>
  <c r="KQ180" i="40"/>
  <c r="JQ180" i="40"/>
  <c r="JU180" i="40" s="1"/>
  <c r="JV180" i="40" s="1"/>
  <c r="JW180" i="40" s="1"/>
  <c r="AP384" i="40"/>
  <c r="KU126" i="40"/>
  <c r="I40" i="70" s="1"/>
  <c r="KT127" i="40"/>
  <c r="CQ184" i="40"/>
  <c r="AO184" i="40"/>
  <c r="IB181" i="40"/>
  <c r="IG181" i="40" s="1"/>
  <c r="W36" i="58" s="1"/>
  <c r="KR179" i="40"/>
  <c r="CV384" i="40"/>
  <c r="CI369" i="40" l="1"/>
  <c r="CI685" i="40"/>
  <c r="CI285" i="40"/>
  <c r="CI568" i="40"/>
  <c r="CI385" i="40"/>
  <c r="CI668" i="40"/>
  <c r="CI185" i="40"/>
  <c r="IQ185" i="40"/>
  <c r="DB484" i="40"/>
  <c r="IA684" i="40"/>
  <c r="IZ684" i="40" s="1"/>
  <c r="D184" i="40"/>
  <c r="HY684" i="40"/>
  <c r="IX684" i="40" s="1"/>
  <c r="HZ684" i="40"/>
  <c r="IY684" i="40" s="1"/>
  <c r="W37" i="58"/>
  <c r="S36" i="58"/>
  <c r="S37" i="58" s="1"/>
  <c r="AE37" i="58"/>
  <c r="AI37" i="58" s="1"/>
  <c r="AN37" i="58"/>
  <c r="CV685" i="40"/>
  <c r="DB685" i="40"/>
  <c r="DB584" i="40"/>
  <c r="AG186" i="40"/>
  <c r="M44" i="58" s="1"/>
  <c r="M45" i="58" s="1"/>
  <c r="AC186" i="40"/>
  <c r="L44" i="58" s="1"/>
  <c r="L45" i="58" s="1"/>
  <c r="Y186" i="40"/>
  <c r="U186" i="40"/>
  <c r="CS186" i="40" s="1"/>
  <c r="Q186" i="40"/>
  <c r="M186" i="40"/>
  <c r="I186" i="40"/>
  <c r="E186" i="40"/>
  <c r="AJ186" i="40"/>
  <c r="AF186" i="40"/>
  <c r="AB186" i="40"/>
  <c r="X186" i="40"/>
  <c r="T186" i="40"/>
  <c r="CR186" i="40" s="1"/>
  <c r="P186" i="40"/>
  <c r="L186" i="40"/>
  <c r="CL186" i="40" s="1"/>
  <c r="H186" i="40"/>
  <c r="AI186" i="40"/>
  <c r="AE186" i="40"/>
  <c r="AA186" i="40"/>
  <c r="CI270" i="40" s="1"/>
  <c r="W186" i="40"/>
  <c r="CU186" i="40" s="1"/>
  <c r="S186" i="40"/>
  <c r="O186" i="40"/>
  <c r="K186" i="40"/>
  <c r="G186" i="40"/>
  <c r="AH186" i="40"/>
  <c r="R186" i="40"/>
  <c r="AD186" i="40"/>
  <c r="N186" i="40"/>
  <c r="CN186" i="40" s="1"/>
  <c r="Z186" i="40"/>
  <c r="J186" i="40"/>
  <c r="V186" i="40"/>
  <c r="CT186" i="40" s="1"/>
  <c r="F186" i="40"/>
  <c r="CQ685" i="40"/>
  <c r="AO685" i="40"/>
  <c r="AN685" i="40"/>
  <c r="CP685" i="40"/>
  <c r="CK685" i="40"/>
  <c r="AM685" i="40"/>
  <c r="CQ584" i="40"/>
  <c r="AO584" i="40"/>
  <c r="AH286" i="40"/>
  <c r="AD286" i="40"/>
  <c r="Z286" i="40"/>
  <c r="V286" i="40"/>
  <c r="CT286" i="40" s="1"/>
  <c r="R286" i="40"/>
  <c r="N286" i="40"/>
  <c r="J286" i="40"/>
  <c r="F286" i="40"/>
  <c r="AG286" i="40"/>
  <c r="AC286" i="40"/>
  <c r="Y286" i="40"/>
  <c r="U286" i="40"/>
  <c r="CS286" i="40" s="1"/>
  <c r="Q286" i="40"/>
  <c r="M286" i="40"/>
  <c r="I286" i="40"/>
  <c r="E286" i="40"/>
  <c r="AJ286" i="40"/>
  <c r="AF286" i="40"/>
  <c r="AB286" i="40"/>
  <c r="X286" i="40"/>
  <c r="T286" i="40"/>
  <c r="CR286" i="40" s="1"/>
  <c r="P286" i="40"/>
  <c r="L286" i="40"/>
  <c r="CL286" i="40" s="1"/>
  <c r="H286" i="40"/>
  <c r="AA286" i="40"/>
  <c r="K286" i="40"/>
  <c r="W286" i="40"/>
  <c r="CU286" i="40" s="1"/>
  <c r="G286" i="40"/>
  <c r="AI286" i="40"/>
  <c r="S286" i="40"/>
  <c r="AE286" i="40"/>
  <c r="O286" i="40"/>
  <c r="CO286" i="40" s="1"/>
  <c r="AJ686" i="40"/>
  <c r="JO686" i="40"/>
  <c r="CJ686" i="40"/>
  <c r="JP686" i="40"/>
  <c r="AF686" i="40"/>
  <c r="KN686" i="40"/>
  <c r="CE686" i="40"/>
  <c r="BO686" i="40"/>
  <c r="W686" i="40"/>
  <c r="CU686" i="40" s="1"/>
  <c r="CD686" i="40"/>
  <c r="BI686" i="40"/>
  <c r="DM686" i="40"/>
  <c r="BR686" i="40"/>
  <c r="AW686" i="40"/>
  <c r="BV686" i="40"/>
  <c r="DU686" i="40"/>
  <c r="AZ686" i="40"/>
  <c r="C687" i="40"/>
  <c r="BZ686" i="40"/>
  <c r="BE686" i="40"/>
  <c r="AI686" i="40"/>
  <c r="CA686" i="40"/>
  <c r="BK686" i="40"/>
  <c r="O686" i="40"/>
  <c r="CO686" i="40" s="1"/>
  <c r="BY686" i="40"/>
  <c r="BD686" i="40"/>
  <c r="CH686" i="40"/>
  <c r="BM686" i="40"/>
  <c r="M686" i="40"/>
  <c r="CM686" i="40" s="1"/>
  <c r="BL686" i="40"/>
  <c r="CF686" i="40"/>
  <c r="P686" i="40"/>
  <c r="BP686" i="40"/>
  <c r="BF686" i="40"/>
  <c r="DW686" i="40"/>
  <c r="BW686" i="40"/>
  <c r="BG686" i="40"/>
  <c r="K686" i="40"/>
  <c r="BT686" i="40"/>
  <c r="AX686" i="40"/>
  <c r="CC686" i="40"/>
  <c r="BH686" i="40"/>
  <c r="DV686" i="40"/>
  <c r="BA686" i="40"/>
  <c r="BU686" i="40"/>
  <c r="BQ686" i="40"/>
  <c r="CB686" i="40"/>
  <c r="L686" i="40"/>
  <c r="CL686" i="40" s="1"/>
  <c r="BS686" i="40"/>
  <c r="N686" i="40"/>
  <c r="CN686" i="40" s="1"/>
  <c r="AB686" i="40"/>
  <c r="J686" i="40"/>
  <c r="CG686" i="40"/>
  <c r="BC686" i="40"/>
  <c r="BX686" i="40"/>
  <c r="BJ686" i="40"/>
  <c r="DS686" i="40"/>
  <c r="AG686" i="40"/>
  <c r="DT686" i="40"/>
  <c r="BB686" i="40"/>
  <c r="A686" i="40"/>
  <c r="BN686" i="40"/>
  <c r="AH686" i="40"/>
  <c r="X686" i="40"/>
  <c r="AA686" i="40"/>
  <c r="AD686" i="40"/>
  <c r="AC686" i="40"/>
  <c r="G686" i="40"/>
  <c r="E686" i="40"/>
  <c r="F686" i="40"/>
  <c r="H686" i="40"/>
  <c r="U686" i="40"/>
  <c r="CS686" i="40" s="1"/>
  <c r="I686" i="40"/>
  <c r="AE686" i="40"/>
  <c r="S686" i="40"/>
  <c r="T686" i="40"/>
  <c r="CR686" i="40" s="1"/>
  <c r="R686" i="40"/>
  <c r="Q686" i="40"/>
  <c r="Z686" i="40"/>
  <c r="V686" i="40"/>
  <c r="CT686" i="40" s="1"/>
  <c r="Y686" i="40"/>
  <c r="AP685" i="40"/>
  <c r="AI585" i="40"/>
  <c r="AE585" i="40"/>
  <c r="AA585" i="40"/>
  <c r="W585" i="40"/>
  <c r="CU585" i="40" s="1"/>
  <c r="S585" i="40"/>
  <c r="O585" i="40"/>
  <c r="CO585" i="40" s="1"/>
  <c r="K585" i="40"/>
  <c r="G585" i="40"/>
  <c r="AH585" i="40"/>
  <c r="AD585" i="40"/>
  <c r="Z585" i="40"/>
  <c r="V585" i="40"/>
  <c r="CT585" i="40" s="1"/>
  <c r="R585" i="40"/>
  <c r="N585" i="40"/>
  <c r="CN585" i="40" s="1"/>
  <c r="J585" i="40"/>
  <c r="F585" i="40"/>
  <c r="AG585" i="40"/>
  <c r="AC585" i="40"/>
  <c r="Y585" i="40"/>
  <c r="U585" i="40"/>
  <c r="CS585" i="40" s="1"/>
  <c r="AF585" i="40"/>
  <c r="Q585" i="40"/>
  <c r="I585" i="40"/>
  <c r="AB585" i="40"/>
  <c r="P585" i="40"/>
  <c r="H585" i="40"/>
  <c r="X585" i="40"/>
  <c r="M585" i="40"/>
  <c r="CM585" i="40" s="1"/>
  <c r="E585" i="40"/>
  <c r="T585" i="40"/>
  <c r="CR585" i="40" s="1"/>
  <c r="L585" i="40"/>
  <c r="CL585" i="40" s="1"/>
  <c r="AJ585" i="40"/>
  <c r="IZ585" i="40"/>
  <c r="IA585" i="40"/>
  <c r="AW585" i="40"/>
  <c r="BN585" i="40"/>
  <c r="CD585" i="40"/>
  <c r="AX585" i="40"/>
  <c r="BO585" i="40"/>
  <c r="CE585" i="40"/>
  <c r="BD585" i="40"/>
  <c r="BT585" i="40"/>
  <c r="DM585" i="40"/>
  <c r="CC585" i="40"/>
  <c r="BQ585" i="40"/>
  <c r="BU585" i="40"/>
  <c r="HY585" i="40"/>
  <c r="BL585" i="40"/>
  <c r="IX585" i="40"/>
  <c r="AZ585" i="40"/>
  <c r="BA585" i="40"/>
  <c r="HZ585" i="40"/>
  <c r="JO585" i="40"/>
  <c r="C586" i="40"/>
  <c r="BB585" i="40"/>
  <c r="BR585" i="40"/>
  <c r="CH585" i="40"/>
  <c r="BC585" i="40"/>
  <c r="BS585" i="40"/>
  <c r="CJ585" i="40"/>
  <c r="BH585" i="40"/>
  <c r="BX585" i="40"/>
  <c r="DV585" i="40"/>
  <c r="CG585" i="40"/>
  <c r="DS585" i="40"/>
  <c r="BF585" i="40"/>
  <c r="DT585" i="40"/>
  <c r="BG585" i="40"/>
  <c r="DU585" i="40"/>
  <c r="DW585" i="40"/>
  <c r="BI585" i="40"/>
  <c r="IY585" i="40"/>
  <c r="JP585" i="40"/>
  <c r="A585" i="40"/>
  <c r="BV585" i="40"/>
  <c r="BW585" i="40"/>
  <c r="CB585" i="40"/>
  <c r="BY585" i="40"/>
  <c r="BJ585" i="40"/>
  <c r="BZ585" i="40"/>
  <c r="BK585" i="40"/>
  <c r="CA585" i="40"/>
  <c r="BP585" i="40"/>
  <c r="CF585" i="40"/>
  <c r="BM585" i="40"/>
  <c r="BE585" i="40"/>
  <c r="AN584" i="40"/>
  <c r="CP584" i="40"/>
  <c r="CK584" i="40"/>
  <c r="AM584" i="40"/>
  <c r="AJ386" i="40"/>
  <c r="AF386" i="40"/>
  <c r="AB386" i="40"/>
  <c r="X386" i="40"/>
  <c r="T386" i="40"/>
  <c r="P386" i="40"/>
  <c r="L386" i="40"/>
  <c r="CL386" i="40" s="1"/>
  <c r="H386" i="40"/>
  <c r="AI386" i="40"/>
  <c r="AE386" i="40"/>
  <c r="AA386" i="40"/>
  <c r="CI470" i="40" s="1"/>
  <c r="W386" i="40"/>
  <c r="CU386" i="40" s="1"/>
  <c r="S386" i="40"/>
  <c r="O386" i="40"/>
  <c r="K386" i="40"/>
  <c r="G386" i="40"/>
  <c r="AH386" i="40"/>
  <c r="AD386" i="40"/>
  <c r="Z386" i="40"/>
  <c r="V386" i="40"/>
  <c r="CT386" i="40" s="1"/>
  <c r="R386" i="40"/>
  <c r="N386" i="40"/>
  <c r="J386" i="40"/>
  <c r="F386" i="40"/>
  <c r="U386" i="40"/>
  <c r="CS386" i="40" s="1"/>
  <c r="E386" i="40"/>
  <c r="AG386" i="40"/>
  <c r="Q386" i="40"/>
  <c r="AC386" i="40"/>
  <c r="M386" i="40"/>
  <c r="I386" i="40"/>
  <c r="Y386" i="40"/>
  <c r="AJ485" i="40"/>
  <c r="AF485" i="40"/>
  <c r="AB485" i="40"/>
  <c r="X485" i="40"/>
  <c r="T485" i="40"/>
  <c r="CR485" i="40" s="1"/>
  <c r="P485" i="40"/>
  <c r="L485" i="40"/>
  <c r="CL485" i="40" s="1"/>
  <c r="H485" i="40"/>
  <c r="AH485" i="40"/>
  <c r="AD485" i="40"/>
  <c r="Z485" i="40"/>
  <c r="V485" i="40"/>
  <c r="CT485" i="40" s="1"/>
  <c r="R485" i="40"/>
  <c r="N485" i="40"/>
  <c r="CN485" i="40" s="1"/>
  <c r="J485" i="40"/>
  <c r="F485" i="40"/>
  <c r="AI485" i="40"/>
  <c r="AA485" i="40"/>
  <c r="S485" i="40"/>
  <c r="K485" i="40"/>
  <c r="AG485" i="40"/>
  <c r="Y485" i="40"/>
  <c r="Q485" i="40"/>
  <c r="I485" i="40"/>
  <c r="AE485" i="40"/>
  <c r="W485" i="40"/>
  <c r="CU485" i="40" s="1"/>
  <c r="O485" i="40"/>
  <c r="CO485" i="40" s="1"/>
  <c r="G485" i="40"/>
  <c r="U485" i="40"/>
  <c r="CS485" i="40" s="1"/>
  <c r="M485" i="40"/>
  <c r="CM485" i="40" s="1"/>
  <c r="E485" i="40"/>
  <c r="AC485" i="40"/>
  <c r="AP584" i="40"/>
  <c r="CV584" i="40"/>
  <c r="CK484" i="40"/>
  <c r="AM484" i="40"/>
  <c r="CV484" i="40"/>
  <c r="CP484" i="40"/>
  <c r="AN484" i="40"/>
  <c r="IP185" i="40"/>
  <c r="JB185" i="40" s="1"/>
  <c r="AO484" i="40"/>
  <c r="CQ484" i="40"/>
  <c r="IX485" i="40"/>
  <c r="HZ485" i="40"/>
  <c r="BK485" i="40"/>
  <c r="CA485" i="40"/>
  <c r="BL485" i="40"/>
  <c r="CB485" i="40"/>
  <c r="BA485" i="40"/>
  <c r="BQ485" i="40"/>
  <c r="CG485" i="40"/>
  <c r="BF485" i="40"/>
  <c r="CH485" i="40"/>
  <c r="JP485" i="40"/>
  <c r="IY485" i="40"/>
  <c r="AX485" i="40"/>
  <c r="BO485" i="40"/>
  <c r="CE485" i="40"/>
  <c r="AZ485" i="40"/>
  <c r="BP485" i="40"/>
  <c r="CF485" i="40"/>
  <c r="BE485" i="40"/>
  <c r="BU485" i="40"/>
  <c r="DS485" i="40"/>
  <c r="BJ485" i="40"/>
  <c r="AW485" i="40"/>
  <c r="HY485" i="40"/>
  <c r="JO485" i="40"/>
  <c r="BC485" i="40"/>
  <c r="BS485" i="40"/>
  <c r="CJ485" i="40"/>
  <c r="BD485" i="40"/>
  <c r="BT485" i="40"/>
  <c r="DM485" i="40"/>
  <c r="BI485" i="40"/>
  <c r="BY485" i="40"/>
  <c r="DW485" i="40"/>
  <c r="BZ485" i="40"/>
  <c r="BN485" i="40"/>
  <c r="BB485" i="40"/>
  <c r="DT485" i="40"/>
  <c r="IA485" i="40"/>
  <c r="IZ485" i="40"/>
  <c r="C486" i="40"/>
  <c r="BG485" i="40"/>
  <c r="BW485" i="40"/>
  <c r="DU485" i="40"/>
  <c r="BH485" i="40"/>
  <c r="BX485" i="40"/>
  <c r="DV485" i="40"/>
  <c r="BM485" i="40"/>
  <c r="CC485" i="40"/>
  <c r="A485" i="40"/>
  <c r="BV485" i="40"/>
  <c r="CD485" i="40"/>
  <c r="BR485" i="40"/>
  <c r="DB285" i="40"/>
  <c r="AP484" i="40"/>
  <c r="AY184" i="40"/>
  <c r="JM182" i="40"/>
  <c r="HZ386" i="40"/>
  <c r="JO386" i="40"/>
  <c r="IA386" i="40"/>
  <c r="IX386" i="40"/>
  <c r="JP386" i="40"/>
  <c r="IY386" i="40"/>
  <c r="IZ386" i="40"/>
  <c r="HY386" i="40"/>
  <c r="AP285" i="40"/>
  <c r="CV285" i="40"/>
  <c r="HT185" i="40"/>
  <c r="IA186" i="40"/>
  <c r="IJ186" i="40"/>
  <c r="IM186" i="40" s="1"/>
  <c r="IX186" i="40"/>
  <c r="JG186" i="40"/>
  <c r="JP186" i="40"/>
  <c r="HZ186" i="40"/>
  <c r="JO186" i="40"/>
  <c r="IY186" i="40"/>
  <c r="II186" i="40"/>
  <c r="IL186" i="40" s="1"/>
  <c r="IZ186" i="40"/>
  <c r="JF186" i="40"/>
  <c r="HM186" i="40" s="1"/>
  <c r="HY186" i="40"/>
  <c r="IK186" i="40"/>
  <c r="IN186" i="40" s="1"/>
  <c r="HW184" i="40"/>
  <c r="CQ285" i="40"/>
  <c r="AO285" i="40"/>
  <c r="HO185" i="40"/>
  <c r="IC183" i="40"/>
  <c r="ID183" i="40"/>
  <c r="JI184" i="40"/>
  <c r="AN285" i="40"/>
  <c r="CP285" i="40"/>
  <c r="JA185" i="40"/>
  <c r="HS185" i="40"/>
  <c r="HX184" i="40"/>
  <c r="ID184" i="40" s="1"/>
  <c r="AM285" i="40"/>
  <c r="CK285" i="40"/>
  <c r="IY286" i="40"/>
  <c r="IZ286" i="40"/>
  <c r="HY286" i="40"/>
  <c r="IX286" i="40"/>
  <c r="HZ286" i="40"/>
  <c r="JO286" i="40"/>
  <c r="IA286" i="40"/>
  <c r="JP286" i="40"/>
  <c r="BK286" i="40"/>
  <c r="CA286" i="40"/>
  <c r="BL286" i="40"/>
  <c r="CB286" i="40"/>
  <c r="BA286" i="40"/>
  <c r="BQ286" i="40"/>
  <c r="CG286" i="40"/>
  <c r="AW286" i="40"/>
  <c r="BB286" i="40"/>
  <c r="CN286" i="40"/>
  <c r="AX286" i="40"/>
  <c r="BO286" i="40"/>
  <c r="CE286" i="40"/>
  <c r="AZ286" i="40"/>
  <c r="BP286" i="40"/>
  <c r="CF286" i="40"/>
  <c r="BE286" i="40"/>
  <c r="BU286" i="40"/>
  <c r="DS286" i="40"/>
  <c r="BJ286" i="40"/>
  <c r="BN286" i="40"/>
  <c r="BR286" i="40"/>
  <c r="BF286" i="40"/>
  <c r="BC286" i="40"/>
  <c r="BS286" i="40"/>
  <c r="CJ286" i="40"/>
  <c r="BD286" i="40"/>
  <c r="BT286" i="40"/>
  <c r="DM286" i="40"/>
  <c r="BI286" i="40"/>
  <c r="BY286" i="40"/>
  <c r="DW286" i="40"/>
  <c r="BZ286" i="40"/>
  <c r="CD286" i="40"/>
  <c r="CH286" i="40"/>
  <c r="BV286" i="40"/>
  <c r="C287" i="40"/>
  <c r="BG286" i="40"/>
  <c r="BW286" i="40"/>
  <c r="DU286" i="40"/>
  <c r="BH286" i="40"/>
  <c r="BX286" i="40"/>
  <c r="DV286" i="40"/>
  <c r="BM286" i="40"/>
  <c r="CC286" i="40"/>
  <c r="A286" i="40"/>
  <c r="CM286" i="40"/>
  <c r="DT286" i="40"/>
  <c r="JH184" i="40"/>
  <c r="IB182" i="40"/>
  <c r="JJ183" i="40"/>
  <c r="HN185" i="40"/>
  <c r="HM185" i="40"/>
  <c r="JC185" i="40"/>
  <c r="HU185" i="40"/>
  <c r="JH183" i="40"/>
  <c r="DB185" i="40"/>
  <c r="CP385" i="40"/>
  <c r="AN385" i="40"/>
  <c r="CV185" i="40"/>
  <c r="AK185" i="40"/>
  <c r="AL185" i="40"/>
  <c r="AP185" i="40"/>
  <c r="AN185" i="40"/>
  <c r="CP185" i="40"/>
  <c r="HV185" i="40" s="1"/>
  <c r="CK185" i="40"/>
  <c r="AM185" i="40"/>
  <c r="D185" i="40" s="1"/>
  <c r="KS180" i="40"/>
  <c r="KR180" i="40"/>
  <c r="CV385" i="40"/>
  <c r="DB385" i="40"/>
  <c r="IE181" i="40"/>
  <c r="IF181" i="40"/>
  <c r="KT128" i="40"/>
  <c r="KU127" i="40"/>
  <c r="I41" i="70" s="1"/>
  <c r="CQ185" i="40"/>
  <c r="AO185" i="40"/>
  <c r="C187" i="40"/>
  <c r="A186" i="40"/>
  <c r="CM186" i="40"/>
  <c r="BA186" i="40"/>
  <c r="BE186" i="40"/>
  <c r="BI186" i="40"/>
  <c r="BM186" i="40"/>
  <c r="BQ186" i="40"/>
  <c r="BU186" i="40"/>
  <c r="BY186" i="40"/>
  <c r="CC186" i="40"/>
  <c r="CG186" i="40"/>
  <c r="DS186" i="40"/>
  <c r="DW186" i="40"/>
  <c r="AW186" i="40"/>
  <c r="BB186" i="40"/>
  <c r="BF186" i="40"/>
  <c r="BJ186" i="40"/>
  <c r="BN186" i="40"/>
  <c r="BR186" i="40"/>
  <c r="BV186" i="40"/>
  <c r="BZ186" i="40"/>
  <c r="CD186" i="40"/>
  <c r="CH186" i="40"/>
  <c r="DT186" i="40"/>
  <c r="AX186" i="40"/>
  <c r="BC186" i="40"/>
  <c r="BG186" i="40"/>
  <c r="BK186" i="40"/>
  <c r="BO186" i="40"/>
  <c r="BS186" i="40"/>
  <c r="BW186" i="40"/>
  <c r="CA186" i="40"/>
  <c r="CE186" i="40"/>
  <c r="CJ186" i="40"/>
  <c r="DU186" i="40"/>
  <c r="BD186" i="40"/>
  <c r="BT186" i="40"/>
  <c r="DM186" i="40"/>
  <c r="CO186" i="40"/>
  <c r="BH186" i="40"/>
  <c r="BX186" i="40"/>
  <c r="DV186" i="40"/>
  <c r="BL186" i="40"/>
  <c r="CB186" i="40"/>
  <c r="BP186" i="40"/>
  <c r="CF186" i="40"/>
  <c r="AZ186" i="40"/>
  <c r="KK181" i="40"/>
  <c r="KO181" i="40"/>
  <c r="AO385" i="40"/>
  <c r="CQ385" i="40"/>
  <c r="AM385" i="40"/>
  <c r="CK385" i="40"/>
  <c r="C387" i="40"/>
  <c r="CO386" i="40"/>
  <c r="BA386" i="40"/>
  <c r="BE386" i="40"/>
  <c r="BI386" i="40"/>
  <c r="BM386" i="40"/>
  <c r="BQ386" i="40"/>
  <c r="BU386" i="40"/>
  <c r="BY386" i="40"/>
  <c r="CC386" i="40"/>
  <c r="CG386" i="40"/>
  <c r="DS386" i="40"/>
  <c r="DW386" i="40"/>
  <c r="A386" i="40"/>
  <c r="CM386" i="40"/>
  <c r="AW386" i="40"/>
  <c r="BB386" i="40"/>
  <c r="BF386" i="40"/>
  <c r="BJ386" i="40"/>
  <c r="BN386" i="40"/>
  <c r="BR386" i="40"/>
  <c r="BV386" i="40"/>
  <c r="BZ386" i="40"/>
  <c r="CD386" i="40"/>
  <c r="CH386" i="40"/>
  <c r="DT386" i="40"/>
  <c r="CN386" i="40"/>
  <c r="AX386" i="40"/>
  <c r="BC386" i="40"/>
  <c r="BG386" i="40"/>
  <c r="BK386" i="40"/>
  <c r="BO386" i="40"/>
  <c r="BS386" i="40"/>
  <c r="BW386" i="40"/>
  <c r="CA386" i="40"/>
  <c r="CE386" i="40"/>
  <c r="CJ386" i="40"/>
  <c r="DU386" i="40"/>
  <c r="BD386" i="40"/>
  <c r="BT386" i="40"/>
  <c r="DM386" i="40"/>
  <c r="BH386" i="40"/>
  <c r="BX386" i="40"/>
  <c r="DV386" i="40"/>
  <c r="BL386" i="40"/>
  <c r="CB386" i="40"/>
  <c r="CF386" i="40"/>
  <c r="AZ386" i="40"/>
  <c r="BP386" i="40"/>
  <c r="CR386" i="40"/>
  <c r="AP385" i="40"/>
  <c r="CI585" i="40" l="1"/>
  <c r="CI286" i="40"/>
  <c r="CI186" i="40"/>
  <c r="CI485" i="40"/>
  <c r="CI569" i="40"/>
  <c r="CI386" i="40"/>
  <c r="CI669" i="40"/>
  <c r="CI686" i="40"/>
  <c r="CI370" i="40"/>
  <c r="HY685" i="40"/>
  <c r="IX685" i="40" s="1"/>
  <c r="HZ685" i="40"/>
  <c r="IY685" i="40" s="1"/>
  <c r="DB686" i="40"/>
  <c r="AP485" i="40"/>
  <c r="IA685" i="40"/>
  <c r="IZ685" i="40" s="1"/>
  <c r="AP585" i="40"/>
  <c r="KI181" i="40"/>
  <c r="U36" i="58"/>
  <c r="AA36" i="58"/>
  <c r="AA37" i="58" s="1"/>
  <c r="KJ181" i="40"/>
  <c r="V36" i="58"/>
  <c r="DB485" i="40"/>
  <c r="DB585" i="40"/>
  <c r="CV686" i="40"/>
  <c r="AJ387" i="40"/>
  <c r="AF387" i="40"/>
  <c r="AB387" i="40"/>
  <c r="X387" i="40"/>
  <c r="T387" i="40"/>
  <c r="CR387" i="40" s="1"/>
  <c r="P387" i="40"/>
  <c r="L387" i="40"/>
  <c r="H387" i="40"/>
  <c r="AI387" i="40"/>
  <c r="AE387" i="40"/>
  <c r="AA387" i="40"/>
  <c r="CI471" i="40" s="1"/>
  <c r="W387" i="40"/>
  <c r="CU387" i="40" s="1"/>
  <c r="S387" i="40"/>
  <c r="O387" i="40"/>
  <c r="CO387" i="40" s="1"/>
  <c r="K387" i="40"/>
  <c r="G387" i="40"/>
  <c r="AH387" i="40"/>
  <c r="AD387" i="40"/>
  <c r="Z387" i="40"/>
  <c r="V387" i="40"/>
  <c r="CT387" i="40" s="1"/>
  <c r="R387" i="40"/>
  <c r="N387" i="40"/>
  <c r="CN387" i="40" s="1"/>
  <c r="J387" i="40"/>
  <c r="F387" i="40"/>
  <c r="U387" i="40"/>
  <c r="CS387" i="40" s="1"/>
  <c r="E387" i="40"/>
  <c r="AG387" i="40"/>
  <c r="Q387" i="40"/>
  <c r="AC387" i="40"/>
  <c r="M387" i="40"/>
  <c r="CM387" i="40" s="1"/>
  <c r="Y387" i="40"/>
  <c r="I387" i="40"/>
  <c r="AG187" i="40"/>
  <c r="M42" i="58" s="1"/>
  <c r="M43" i="58" s="1"/>
  <c r="AC187" i="40"/>
  <c r="L42" i="58" s="1"/>
  <c r="L43" i="58" s="1"/>
  <c r="Y187" i="40"/>
  <c r="U187" i="40"/>
  <c r="CS187" i="40" s="1"/>
  <c r="Q187" i="40"/>
  <c r="M187" i="40"/>
  <c r="I187" i="40"/>
  <c r="E187" i="40"/>
  <c r="AJ187" i="40"/>
  <c r="AF187" i="40"/>
  <c r="AB187" i="40"/>
  <c r="X187" i="40"/>
  <c r="T187" i="40"/>
  <c r="CR187" i="40" s="1"/>
  <c r="P187" i="40"/>
  <c r="L187" i="40"/>
  <c r="H187" i="40"/>
  <c r="AI187" i="40"/>
  <c r="AE187" i="40"/>
  <c r="AA187" i="40"/>
  <c r="CI271" i="40" s="1"/>
  <c r="W187" i="40"/>
  <c r="CU187" i="40" s="1"/>
  <c r="S187" i="40"/>
  <c r="O187" i="40"/>
  <c r="CO187" i="40" s="1"/>
  <c r="K187" i="40"/>
  <c r="G187" i="40"/>
  <c r="AH187" i="40"/>
  <c r="R187" i="40"/>
  <c r="AD187" i="40"/>
  <c r="N187" i="40"/>
  <c r="CN187" i="40" s="1"/>
  <c r="Z187" i="40"/>
  <c r="J187" i="40"/>
  <c r="V187" i="40"/>
  <c r="F187" i="40"/>
  <c r="AJ486" i="40"/>
  <c r="AF486" i="40"/>
  <c r="AB486" i="40"/>
  <c r="X486" i="40"/>
  <c r="T486" i="40"/>
  <c r="CR486" i="40" s="1"/>
  <c r="P486" i="40"/>
  <c r="L486" i="40"/>
  <c r="CL486" i="40" s="1"/>
  <c r="H486" i="40"/>
  <c r="AH486" i="40"/>
  <c r="AD486" i="40"/>
  <c r="Z486" i="40"/>
  <c r="V486" i="40"/>
  <c r="CT486" i="40" s="1"/>
  <c r="R486" i="40"/>
  <c r="N486" i="40"/>
  <c r="CN486" i="40" s="1"/>
  <c r="J486" i="40"/>
  <c r="F486" i="40"/>
  <c r="AI486" i="40"/>
  <c r="AA486" i="40"/>
  <c r="S486" i="40"/>
  <c r="K486" i="40"/>
  <c r="AG486" i="40"/>
  <c r="Y486" i="40"/>
  <c r="Q486" i="40"/>
  <c r="I486" i="40"/>
  <c r="AE486" i="40"/>
  <c r="W486" i="40"/>
  <c r="O486" i="40"/>
  <c r="G486" i="40"/>
  <c r="U486" i="40"/>
  <c r="CS486" i="40" s="1"/>
  <c r="M486" i="40"/>
  <c r="CM486" i="40" s="1"/>
  <c r="E486" i="40"/>
  <c r="AC486" i="40"/>
  <c r="AJ586" i="40"/>
  <c r="AF586" i="40"/>
  <c r="AB586" i="40"/>
  <c r="X586" i="40"/>
  <c r="AH586" i="40"/>
  <c r="AC586" i="40"/>
  <c r="W586" i="40"/>
  <c r="CU586" i="40" s="1"/>
  <c r="S586" i="40"/>
  <c r="O586" i="40"/>
  <c r="CO586" i="40" s="1"/>
  <c r="K586" i="40"/>
  <c r="G586" i="40"/>
  <c r="AG586" i="40"/>
  <c r="AA586" i="40"/>
  <c r="V586" i="40"/>
  <c r="CT586" i="40" s="1"/>
  <c r="R586" i="40"/>
  <c r="N586" i="40"/>
  <c r="CN586" i="40" s="1"/>
  <c r="J586" i="40"/>
  <c r="F586" i="40"/>
  <c r="AE586" i="40"/>
  <c r="Z586" i="40"/>
  <c r="U586" i="40"/>
  <c r="CS586" i="40" s="1"/>
  <c r="Q586" i="40"/>
  <c r="M586" i="40"/>
  <c r="CM586" i="40" s="1"/>
  <c r="I586" i="40"/>
  <c r="E586" i="40"/>
  <c r="AI586" i="40"/>
  <c r="P586" i="40"/>
  <c r="AD586" i="40"/>
  <c r="L586" i="40"/>
  <c r="CL586" i="40" s="1"/>
  <c r="Y586" i="40"/>
  <c r="H586" i="40"/>
  <c r="T586" i="40"/>
  <c r="CR586" i="40" s="1"/>
  <c r="IZ586" i="40"/>
  <c r="JO586" i="40"/>
  <c r="BJ586" i="40"/>
  <c r="BZ586" i="40"/>
  <c r="BK586" i="40"/>
  <c r="CA586" i="40"/>
  <c r="AZ586" i="40"/>
  <c r="BP586" i="40"/>
  <c r="CF586" i="40"/>
  <c r="BM586" i="40"/>
  <c r="BQ586" i="40"/>
  <c r="BU586" i="40"/>
  <c r="IA586" i="40"/>
  <c r="HY586" i="40"/>
  <c r="AW586" i="40"/>
  <c r="BN586" i="40"/>
  <c r="CD586" i="40"/>
  <c r="AX586" i="40"/>
  <c r="BO586" i="40"/>
  <c r="CE586" i="40"/>
  <c r="BD586" i="40"/>
  <c r="BT586" i="40"/>
  <c r="DM586" i="40"/>
  <c r="CC586" i="40"/>
  <c r="CG586" i="40"/>
  <c r="DS586" i="40"/>
  <c r="IX586" i="40"/>
  <c r="IY586" i="40"/>
  <c r="C587" i="40"/>
  <c r="BB586" i="40"/>
  <c r="BR586" i="40"/>
  <c r="CH586" i="40"/>
  <c r="BC586" i="40"/>
  <c r="BS586" i="40"/>
  <c r="CJ586" i="40"/>
  <c r="BH586" i="40"/>
  <c r="BX586" i="40"/>
  <c r="DV586" i="40"/>
  <c r="BI586" i="40"/>
  <c r="BY586" i="40"/>
  <c r="JP586" i="40"/>
  <c r="HZ586" i="40"/>
  <c r="A586" i="40"/>
  <c r="BF586" i="40"/>
  <c r="BV586" i="40"/>
  <c r="DT586" i="40"/>
  <c r="BG586" i="40"/>
  <c r="BW586" i="40"/>
  <c r="DU586" i="40"/>
  <c r="BL586" i="40"/>
  <c r="CB586" i="40"/>
  <c r="BA586" i="40"/>
  <c r="BE586" i="40"/>
  <c r="DW586" i="40"/>
  <c r="AN585" i="40"/>
  <c r="CP585" i="40"/>
  <c r="AP686" i="40"/>
  <c r="AO585" i="40"/>
  <c r="CQ585" i="40"/>
  <c r="AO686" i="40"/>
  <c r="CQ686" i="40"/>
  <c r="AN686" i="40"/>
  <c r="CP686" i="40"/>
  <c r="CK686" i="40"/>
  <c r="AM686" i="40"/>
  <c r="AI687" i="40"/>
  <c r="CJ687" i="40"/>
  <c r="JO687" i="40"/>
  <c r="AJ687" i="40"/>
  <c r="JP687" i="40"/>
  <c r="AF687" i="40"/>
  <c r="BX687" i="40"/>
  <c r="BH687" i="40"/>
  <c r="P687" i="40"/>
  <c r="CH687" i="40"/>
  <c r="BM687" i="40"/>
  <c r="W687" i="40"/>
  <c r="CU687" i="40" s="1"/>
  <c r="CA687" i="40"/>
  <c r="BF687" i="40"/>
  <c r="A687" i="40"/>
  <c r="BE687" i="40"/>
  <c r="BC687" i="40"/>
  <c r="DU687" i="40"/>
  <c r="BI687" i="40"/>
  <c r="DT687" i="40"/>
  <c r="BT687" i="40"/>
  <c r="BD687" i="40"/>
  <c r="L687" i="40"/>
  <c r="CL687" i="40" s="1"/>
  <c r="CC687" i="40"/>
  <c r="BG687" i="40"/>
  <c r="M687" i="40"/>
  <c r="CM687" i="40" s="1"/>
  <c r="BV687" i="40"/>
  <c r="BA687" i="40"/>
  <c r="C688" i="40"/>
  <c r="J687" i="40"/>
  <c r="BU687" i="40"/>
  <c r="BJ687" i="40"/>
  <c r="N687" i="40"/>
  <c r="CN687" i="40" s="1"/>
  <c r="KN687" i="40"/>
  <c r="CF687" i="40"/>
  <c r="BP687" i="40"/>
  <c r="AZ687" i="40"/>
  <c r="DW687" i="40"/>
  <c r="BW687" i="40"/>
  <c r="BB687" i="40"/>
  <c r="DV687" i="40"/>
  <c r="BQ687" i="40"/>
  <c r="AG687" i="40"/>
  <c r="BZ687" i="40"/>
  <c r="BY687" i="40"/>
  <c r="BS687" i="40"/>
  <c r="O687" i="40"/>
  <c r="CO687" i="40" s="1"/>
  <c r="CE687" i="40"/>
  <c r="DM687" i="40"/>
  <c r="BK687" i="40"/>
  <c r="AX687" i="40"/>
  <c r="AB687" i="40"/>
  <c r="BN687" i="40"/>
  <c r="CB687" i="40"/>
  <c r="BR687" i="40"/>
  <c r="K687" i="40"/>
  <c r="DS687" i="40"/>
  <c r="BL687" i="40"/>
  <c r="AW687" i="40"/>
  <c r="BO687" i="40"/>
  <c r="CD687" i="40"/>
  <c r="CG687" i="40"/>
  <c r="AH687" i="40"/>
  <c r="X687" i="40"/>
  <c r="AA687" i="40"/>
  <c r="AD687" i="40"/>
  <c r="Z687" i="40"/>
  <c r="DB687" i="40" s="1"/>
  <c r="F687" i="40"/>
  <c r="R687" i="40"/>
  <c r="G687" i="40"/>
  <c r="AC687" i="40"/>
  <c r="U687" i="40"/>
  <c r="CS687" i="40" s="1"/>
  <c r="AE687" i="40"/>
  <c r="I687" i="40"/>
  <c r="T687" i="40"/>
  <c r="CR687" i="40" s="1"/>
  <c r="V687" i="40"/>
  <c r="CT687" i="40" s="1"/>
  <c r="E687" i="40"/>
  <c r="Q687" i="40"/>
  <c r="S687" i="40"/>
  <c r="H687" i="40"/>
  <c r="Y687" i="40"/>
  <c r="AH287" i="40"/>
  <c r="AD287" i="40"/>
  <c r="Z287" i="40"/>
  <c r="V287" i="40"/>
  <c r="CT287" i="40" s="1"/>
  <c r="R287" i="40"/>
  <c r="N287" i="40"/>
  <c r="CN287" i="40" s="1"/>
  <c r="J287" i="40"/>
  <c r="F287" i="40"/>
  <c r="AG287" i="40"/>
  <c r="AC287" i="40"/>
  <c r="Y287" i="40"/>
  <c r="U287" i="40"/>
  <c r="CS287" i="40" s="1"/>
  <c r="Q287" i="40"/>
  <c r="M287" i="40"/>
  <c r="CM287" i="40" s="1"/>
  <c r="I287" i="40"/>
  <c r="E287" i="40"/>
  <c r="AJ287" i="40"/>
  <c r="AF287" i="40"/>
  <c r="AB287" i="40"/>
  <c r="X287" i="40"/>
  <c r="T287" i="40"/>
  <c r="CR287" i="40" s="1"/>
  <c r="P287" i="40"/>
  <c r="L287" i="40"/>
  <c r="CL287" i="40" s="1"/>
  <c r="H287" i="40"/>
  <c r="AA287" i="40"/>
  <c r="K287" i="40"/>
  <c r="W287" i="40"/>
  <c r="CU287" i="40" s="1"/>
  <c r="G287" i="40"/>
  <c r="AI287" i="40"/>
  <c r="S287" i="40"/>
  <c r="AE287" i="40"/>
  <c r="O287" i="40"/>
  <c r="CO287" i="40" s="1"/>
  <c r="CV585" i="40"/>
  <c r="CK585" i="40"/>
  <c r="AM585" i="40"/>
  <c r="JO486" i="40"/>
  <c r="IY486" i="40"/>
  <c r="HY486" i="40"/>
  <c r="JP486" i="40"/>
  <c r="BK486" i="40"/>
  <c r="CA486" i="40"/>
  <c r="BL486" i="40"/>
  <c r="CB486" i="40"/>
  <c r="BA486" i="40"/>
  <c r="BQ486" i="40"/>
  <c r="CG486" i="40"/>
  <c r="BR486" i="40"/>
  <c r="BJ486" i="40"/>
  <c r="CH486" i="40"/>
  <c r="CJ486" i="40"/>
  <c r="DM486" i="40"/>
  <c r="BY486" i="40"/>
  <c r="BV486" i="40"/>
  <c r="BW486" i="40"/>
  <c r="BH486" i="40"/>
  <c r="BX486" i="40"/>
  <c r="DV486" i="40"/>
  <c r="CO486" i="40"/>
  <c r="CC486" i="40"/>
  <c r="A486" i="40"/>
  <c r="CD486" i="40"/>
  <c r="IA486" i="40"/>
  <c r="IZ486" i="40"/>
  <c r="AX486" i="40"/>
  <c r="BO486" i="40"/>
  <c r="CE486" i="40"/>
  <c r="AZ486" i="40"/>
  <c r="BP486" i="40"/>
  <c r="CF486" i="40"/>
  <c r="BE486" i="40"/>
  <c r="BU486" i="40"/>
  <c r="DS486" i="40"/>
  <c r="AW486" i="40"/>
  <c r="DT486" i="40"/>
  <c r="BC486" i="40"/>
  <c r="BT486" i="40"/>
  <c r="BI486" i="40"/>
  <c r="DW486" i="40"/>
  <c r="HZ486" i="40"/>
  <c r="IX486" i="40"/>
  <c r="BS486" i="40"/>
  <c r="BD486" i="40"/>
  <c r="BZ486" i="40"/>
  <c r="BN486" i="40"/>
  <c r="C487" i="40"/>
  <c r="BG486" i="40"/>
  <c r="DU486" i="40"/>
  <c r="BM486" i="40"/>
  <c r="BF486" i="40"/>
  <c r="BB486" i="40"/>
  <c r="CK485" i="40"/>
  <c r="AM485" i="40"/>
  <c r="CP485" i="40"/>
  <c r="AN485" i="40"/>
  <c r="CQ485" i="40"/>
  <c r="AO485" i="40"/>
  <c r="CV485" i="40"/>
  <c r="HP186" i="40"/>
  <c r="IE182" i="40"/>
  <c r="KI182" i="40" s="1"/>
  <c r="CV286" i="40"/>
  <c r="HX185" i="40"/>
  <c r="HU186" i="40"/>
  <c r="HO186" i="40"/>
  <c r="KO182" i="40"/>
  <c r="DB386" i="40"/>
  <c r="IA287" i="40"/>
  <c r="IY287" i="40"/>
  <c r="HY287" i="40"/>
  <c r="IZ287" i="40"/>
  <c r="HZ287" i="40"/>
  <c r="JO287" i="40"/>
  <c r="IX287" i="40"/>
  <c r="JP287" i="40"/>
  <c r="C288" i="40"/>
  <c r="BG287" i="40"/>
  <c r="BW287" i="40"/>
  <c r="DU287" i="40"/>
  <c r="BH287" i="40"/>
  <c r="BX287" i="40"/>
  <c r="DV287" i="40"/>
  <c r="BM287" i="40"/>
  <c r="CC287" i="40"/>
  <c r="A287" i="40"/>
  <c r="DT287" i="40"/>
  <c r="AX287" i="40"/>
  <c r="BO287" i="40"/>
  <c r="CE287" i="40"/>
  <c r="AZ287" i="40"/>
  <c r="BP287" i="40"/>
  <c r="CF287" i="40"/>
  <c r="BE287" i="40"/>
  <c r="BU287" i="40"/>
  <c r="DS287" i="40"/>
  <c r="BJ287" i="40"/>
  <c r="BN287" i="40"/>
  <c r="BR287" i="40"/>
  <c r="BF287" i="40"/>
  <c r="BS287" i="40"/>
  <c r="BT287" i="40"/>
  <c r="BY287" i="40"/>
  <c r="BZ287" i="40"/>
  <c r="CH287" i="40"/>
  <c r="CA287" i="40"/>
  <c r="CB287" i="40"/>
  <c r="BA287" i="40"/>
  <c r="CG287" i="40"/>
  <c r="AW287" i="40"/>
  <c r="BC287" i="40"/>
  <c r="CJ287" i="40"/>
  <c r="BD287" i="40"/>
  <c r="DM287" i="40"/>
  <c r="BI287" i="40"/>
  <c r="DW287" i="40"/>
  <c r="CD287" i="40"/>
  <c r="BV287" i="40"/>
  <c r="BK287" i="40"/>
  <c r="BL287" i="40"/>
  <c r="BQ287" i="40"/>
  <c r="BB287" i="40"/>
  <c r="CP286" i="40"/>
  <c r="AN286" i="40"/>
  <c r="HW185" i="40"/>
  <c r="HR185" i="40"/>
  <c r="IC184" i="40"/>
  <c r="IP186" i="40"/>
  <c r="JB186" i="40" s="1"/>
  <c r="IO186" i="40"/>
  <c r="JA186" i="40" s="1"/>
  <c r="AY185" i="40"/>
  <c r="JK183" i="40"/>
  <c r="JL183" i="40" s="1"/>
  <c r="HP185" i="40"/>
  <c r="AP286" i="40"/>
  <c r="IB183" i="40"/>
  <c r="IF183" i="40" s="1"/>
  <c r="HS186" i="40"/>
  <c r="HT186" i="40"/>
  <c r="HY387" i="40"/>
  <c r="IZ387" i="40"/>
  <c r="IA387" i="40"/>
  <c r="IX387" i="40"/>
  <c r="JP387" i="40"/>
  <c r="IY387" i="40"/>
  <c r="HZ387" i="40"/>
  <c r="JO387" i="40"/>
  <c r="IQ186" i="40"/>
  <c r="JC186" i="40" s="1"/>
  <c r="HZ187" i="40"/>
  <c r="II187" i="40"/>
  <c r="IL187" i="40" s="1"/>
  <c r="JF187" i="40"/>
  <c r="HM187" i="40" s="1"/>
  <c r="JO187" i="40"/>
  <c r="IA187" i="40"/>
  <c r="IX187" i="40"/>
  <c r="JP187" i="40"/>
  <c r="IY187" i="40"/>
  <c r="IJ187" i="40"/>
  <c r="IM187" i="40" s="1"/>
  <c r="IZ187" i="40"/>
  <c r="JG187" i="40"/>
  <c r="HY187" i="40"/>
  <c r="IK187" i="40"/>
  <c r="IN187" i="40" s="1"/>
  <c r="HQ185" i="40"/>
  <c r="IF182" i="40"/>
  <c r="DB286" i="40"/>
  <c r="AO286" i="40"/>
  <c r="CQ286" i="40"/>
  <c r="AM286" i="40"/>
  <c r="CK286" i="40"/>
  <c r="JI185" i="40"/>
  <c r="IG182" i="40"/>
  <c r="KK182" i="40" s="1"/>
  <c r="HN186" i="40"/>
  <c r="JJ184" i="40"/>
  <c r="JK184" i="40" s="1"/>
  <c r="JL184" i="40" s="1"/>
  <c r="AQ181" i="40"/>
  <c r="CV386" i="40"/>
  <c r="DB186" i="40"/>
  <c r="AP386" i="40"/>
  <c r="AM386" i="40"/>
  <c r="CK386" i="40"/>
  <c r="C388" i="40"/>
  <c r="CL387" i="40"/>
  <c r="BA387" i="40"/>
  <c r="BE387" i="40"/>
  <c r="BI387" i="40"/>
  <c r="BM387" i="40"/>
  <c r="BQ387" i="40"/>
  <c r="BU387" i="40"/>
  <c r="BY387" i="40"/>
  <c r="CC387" i="40"/>
  <c r="CG387" i="40"/>
  <c r="DS387" i="40"/>
  <c r="DW387" i="40"/>
  <c r="A387" i="40"/>
  <c r="AW387" i="40"/>
  <c r="BB387" i="40"/>
  <c r="BF387" i="40"/>
  <c r="BJ387" i="40"/>
  <c r="BN387" i="40"/>
  <c r="BR387" i="40"/>
  <c r="BV387" i="40"/>
  <c r="BZ387" i="40"/>
  <c r="CD387" i="40"/>
  <c r="CH387" i="40"/>
  <c r="DT387" i="40"/>
  <c r="AX387" i="40"/>
  <c r="BC387" i="40"/>
  <c r="BG387" i="40"/>
  <c r="BK387" i="40"/>
  <c r="BO387" i="40"/>
  <c r="BS387" i="40"/>
  <c r="BW387" i="40"/>
  <c r="CA387" i="40"/>
  <c r="CE387" i="40"/>
  <c r="CJ387" i="40"/>
  <c r="DU387" i="40"/>
  <c r="BD387" i="40"/>
  <c r="BT387" i="40"/>
  <c r="DM387" i="40"/>
  <c r="BH387" i="40"/>
  <c r="BX387" i="40"/>
  <c r="DV387" i="40"/>
  <c r="BL387" i="40"/>
  <c r="CB387" i="40"/>
  <c r="CF387" i="40"/>
  <c r="BP387" i="40"/>
  <c r="AZ387" i="40"/>
  <c r="AP186" i="40"/>
  <c r="G44" i="58" s="1"/>
  <c r="CP186" i="40"/>
  <c r="HV186" i="40" s="1"/>
  <c r="AN186" i="40"/>
  <c r="CP386" i="40"/>
  <c r="AN386" i="40"/>
  <c r="CV186" i="40"/>
  <c r="AL186" i="40"/>
  <c r="AK186" i="40"/>
  <c r="AO186" i="40"/>
  <c r="CQ186" i="40"/>
  <c r="CK186" i="40"/>
  <c r="AM186" i="40"/>
  <c r="JD181" i="40"/>
  <c r="KP181" i="40"/>
  <c r="KR181" i="40" s="1"/>
  <c r="CQ386" i="40"/>
  <c r="AO386" i="40"/>
  <c r="C188" i="40"/>
  <c r="CL187" i="40"/>
  <c r="AZ187" i="40"/>
  <c r="BD187" i="40"/>
  <c r="BH187" i="40"/>
  <c r="BL187" i="40"/>
  <c r="BP187" i="40"/>
  <c r="BT187" i="40"/>
  <c r="BX187" i="40"/>
  <c r="CB187" i="40"/>
  <c r="CF187" i="40"/>
  <c r="DM187" i="40"/>
  <c r="DV187" i="40"/>
  <c r="A187" i="40"/>
  <c r="CM187" i="40"/>
  <c r="BA187" i="40"/>
  <c r="BE187" i="40"/>
  <c r="BI187" i="40"/>
  <c r="BM187" i="40"/>
  <c r="BQ187" i="40"/>
  <c r="BU187" i="40"/>
  <c r="BY187" i="40"/>
  <c r="CC187" i="40"/>
  <c r="CG187" i="40"/>
  <c r="DS187" i="40"/>
  <c r="DW187" i="40"/>
  <c r="AW187" i="40"/>
  <c r="BB187" i="40"/>
  <c r="BF187" i="40"/>
  <c r="BJ187" i="40"/>
  <c r="BN187" i="40"/>
  <c r="BR187" i="40"/>
  <c r="BV187" i="40"/>
  <c r="BZ187" i="40"/>
  <c r="CD187" i="40"/>
  <c r="CH187" i="40"/>
  <c r="DT187" i="40"/>
  <c r="BC187" i="40"/>
  <c r="BS187" i="40"/>
  <c r="CJ187" i="40"/>
  <c r="BG187" i="40"/>
  <c r="BW187" i="40"/>
  <c r="DU187" i="40"/>
  <c r="BK187" i="40"/>
  <c r="CA187" i="40"/>
  <c r="BO187" i="40"/>
  <c r="CE187" i="40"/>
  <c r="AX187" i="40"/>
  <c r="CT187" i="40"/>
  <c r="KU128" i="40"/>
  <c r="KT129" i="40"/>
  <c r="HY686" i="40" l="1"/>
  <c r="IX686" i="40" s="1"/>
  <c r="CI687" i="40"/>
  <c r="CI570" i="40"/>
  <c r="CI586" i="40"/>
  <c r="CI670" i="40"/>
  <c r="CI287" i="40"/>
  <c r="CI387" i="40"/>
  <c r="CI187" i="40"/>
  <c r="CI371" i="40"/>
  <c r="CI486" i="40"/>
  <c r="IA686" i="40"/>
  <c r="IZ686" i="40" s="1"/>
  <c r="J40" i="58"/>
  <c r="J41" i="58" s="1"/>
  <c r="J44" i="58"/>
  <c r="J45" i="58" s="1"/>
  <c r="DB586" i="40"/>
  <c r="CV486" i="40"/>
  <c r="HZ686" i="40"/>
  <c r="IY686" i="40" s="1"/>
  <c r="AP486" i="40"/>
  <c r="V37" i="58"/>
  <c r="R36" i="58"/>
  <c r="R37" i="58" s="1"/>
  <c r="AM37" i="58"/>
  <c r="U37" i="58"/>
  <c r="Q36" i="58"/>
  <c r="Q37" i="58" s="1"/>
  <c r="AL37" i="58"/>
  <c r="CU486" i="40"/>
  <c r="AP586" i="40"/>
  <c r="CP687" i="40"/>
  <c r="AN687" i="40"/>
  <c r="CQ586" i="40"/>
  <c r="AO586" i="40"/>
  <c r="CV687" i="40"/>
  <c r="AF688" i="40"/>
  <c r="KN688" i="40"/>
  <c r="JO688" i="40"/>
  <c r="JQ688" i="40" s="1"/>
  <c r="JU688" i="40" s="1"/>
  <c r="AI688" i="40"/>
  <c r="JP688" i="40"/>
  <c r="AJ688" i="40"/>
  <c r="DU688" i="40"/>
  <c r="BU688" i="40"/>
  <c r="BE688" i="40"/>
  <c r="M688" i="40"/>
  <c r="CM688" i="40" s="1"/>
  <c r="CA688" i="40"/>
  <c r="BF688" i="40"/>
  <c r="C689" i="40"/>
  <c r="BT688" i="40"/>
  <c r="O688" i="40"/>
  <c r="CO688" i="40" s="1"/>
  <c r="BS688" i="40"/>
  <c r="DM688" i="40"/>
  <c r="W688" i="40"/>
  <c r="CU688" i="40" s="1"/>
  <c r="BW688" i="40"/>
  <c r="BN688" i="40"/>
  <c r="CJ688" i="40"/>
  <c r="CG688" i="40"/>
  <c r="BQ688" i="40"/>
  <c r="BA688" i="40"/>
  <c r="A688" i="40"/>
  <c r="BV688" i="40"/>
  <c r="AZ688" i="40"/>
  <c r="DT688" i="40"/>
  <c r="BO688" i="40"/>
  <c r="J688" i="40"/>
  <c r="BH688" i="40"/>
  <c r="CB688" i="40"/>
  <c r="L688" i="40"/>
  <c r="CL688" i="40" s="1"/>
  <c r="BB688" i="40"/>
  <c r="DW688" i="40"/>
  <c r="CC688" i="40"/>
  <c r="BM688" i="40"/>
  <c r="AW688" i="40"/>
  <c r="DV688" i="40"/>
  <c r="BP688" i="40"/>
  <c r="P688" i="40"/>
  <c r="CE688" i="40"/>
  <c r="BJ688" i="40"/>
  <c r="DS688" i="40"/>
  <c r="AX688" i="40"/>
  <c r="BR688" i="40"/>
  <c r="BX688" i="40"/>
  <c r="AB688" i="40"/>
  <c r="BL688" i="40"/>
  <c r="BI688" i="40"/>
  <c r="K688" i="40"/>
  <c r="N688" i="40"/>
  <c r="CN688" i="40" s="1"/>
  <c r="CD688" i="40"/>
  <c r="AG688" i="40"/>
  <c r="BZ688" i="40"/>
  <c r="BG688" i="40"/>
  <c r="BY688" i="40"/>
  <c r="CH688" i="40"/>
  <c r="CF688" i="40"/>
  <c r="BD688" i="40"/>
  <c r="BC688" i="40"/>
  <c r="BK688" i="40"/>
  <c r="AH688" i="40"/>
  <c r="X688" i="40"/>
  <c r="AA688" i="40"/>
  <c r="AD688" i="40"/>
  <c r="T688" i="40"/>
  <c r="CR688" i="40" s="1"/>
  <c r="H688" i="40"/>
  <c r="I688" i="40"/>
  <c r="Q688" i="40"/>
  <c r="V688" i="40"/>
  <c r="CT688" i="40" s="1"/>
  <c r="E688" i="40"/>
  <c r="AC688" i="40"/>
  <c r="F688" i="40"/>
  <c r="Y688" i="40"/>
  <c r="Z688" i="40"/>
  <c r="U688" i="40"/>
  <c r="CS688" i="40" s="1"/>
  <c r="R688" i="40"/>
  <c r="G688" i="40"/>
  <c r="S688" i="40"/>
  <c r="AE688" i="40"/>
  <c r="AG188" i="40"/>
  <c r="AC188" i="40"/>
  <c r="Y188" i="40"/>
  <c r="U188" i="40"/>
  <c r="CS188" i="40" s="1"/>
  <c r="Q188" i="40"/>
  <c r="M188" i="40"/>
  <c r="I188" i="40"/>
  <c r="E188" i="40"/>
  <c r="AJ188" i="40"/>
  <c r="AF188" i="40"/>
  <c r="AB188" i="40"/>
  <c r="X188" i="40"/>
  <c r="T188" i="40"/>
  <c r="CR188" i="40" s="1"/>
  <c r="P188" i="40"/>
  <c r="L188" i="40"/>
  <c r="CL188" i="40" s="1"/>
  <c r="H188" i="40"/>
  <c r="AI188" i="40"/>
  <c r="AE188" i="40"/>
  <c r="AA188" i="40"/>
  <c r="CI272" i="40" s="1"/>
  <c r="W188" i="40"/>
  <c r="CU188" i="40" s="1"/>
  <c r="S188" i="40"/>
  <c r="O188" i="40"/>
  <c r="K188" i="40"/>
  <c r="G188" i="40"/>
  <c r="AH188" i="40"/>
  <c r="R188" i="40"/>
  <c r="AD188" i="40"/>
  <c r="N188" i="40"/>
  <c r="CN188" i="40" s="1"/>
  <c r="Z188" i="40"/>
  <c r="DB188" i="40" s="1"/>
  <c r="J188" i="40"/>
  <c r="V188" i="40"/>
  <c r="CT188" i="40" s="1"/>
  <c r="F188" i="40"/>
  <c r="AJ388" i="40"/>
  <c r="AF388" i="40"/>
  <c r="AB388" i="40"/>
  <c r="X388" i="40"/>
  <c r="T388" i="40"/>
  <c r="CR388" i="40" s="1"/>
  <c r="P388" i="40"/>
  <c r="L388" i="40"/>
  <c r="CL388" i="40" s="1"/>
  <c r="H388" i="40"/>
  <c r="AI388" i="40"/>
  <c r="AE388" i="40"/>
  <c r="AA388" i="40"/>
  <c r="CI472" i="40" s="1"/>
  <c r="W388" i="40"/>
  <c r="CU388" i="40" s="1"/>
  <c r="S388" i="40"/>
  <c r="O388" i="40"/>
  <c r="K388" i="40"/>
  <c r="G388" i="40"/>
  <c r="AH388" i="40"/>
  <c r="AD388" i="40"/>
  <c r="Z388" i="40"/>
  <c r="V388" i="40"/>
  <c r="CT388" i="40" s="1"/>
  <c r="R388" i="40"/>
  <c r="N388" i="40"/>
  <c r="J388" i="40"/>
  <c r="F388" i="40"/>
  <c r="U388" i="40"/>
  <c r="CS388" i="40" s="1"/>
  <c r="E388" i="40"/>
  <c r="AG388" i="40"/>
  <c r="Q388" i="40"/>
  <c r="AC388" i="40"/>
  <c r="M388" i="40"/>
  <c r="I388" i="40"/>
  <c r="Y388" i="40"/>
  <c r="AJ487" i="40"/>
  <c r="AF487" i="40"/>
  <c r="AB487" i="40"/>
  <c r="X487" i="40"/>
  <c r="T487" i="40"/>
  <c r="CR487" i="40" s="1"/>
  <c r="P487" i="40"/>
  <c r="L487" i="40"/>
  <c r="CL487" i="40" s="1"/>
  <c r="H487" i="40"/>
  <c r="AH487" i="40"/>
  <c r="AD487" i="40"/>
  <c r="Z487" i="40"/>
  <c r="V487" i="40"/>
  <c r="CT487" i="40" s="1"/>
  <c r="R487" i="40"/>
  <c r="N487" i="40"/>
  <c r="J487" i="40"/>
  <c r="F487" i="40"/>
  <c r="AI487" i="40"/>
  <c r="AA487" i="40"/>
  <c r="S487" i="40"/>
  <c r="K487" i="40"/>
  <c r="AG487" i="40"/>
  <c r="Y487" i="40"/>
  <c r="Q487" i="40"/>
  <c r="I487" i="40"/>
  <c r="AE487" i="40"/>
  <c r="W487" i="40"/>
  <c r="O487" i="40"/>
  <c r="CO487" i="40" s="1"/>
  <c r="G487" i="40"/>
  <c r="U487" i="40"/>
  <c r="CS487" i="40" s="1"/>
  <c r="M487" i="40"/>
  <c r="CM487" i="40" s="1"/>
  <c r="E487" i="40"/>
  <c r="AC487" i="40"/>
  <c r="AP687" i="40"/>
  <c r="CK687" i="40"/>
  <c r="AM687" i="40"/>
  <c r="CV586" i="40"/>
  <c r="CP586" i="40"/>
  <c r="AN586" i="40"/>
  <c r="CK586" i="40"/>
  <c r="AM586" i="40"/>
  <c r="AH288" i="40"/>
  <c r="AD288" i="40"/>
  <c r="Z288" i="40"/>
  <c r="V288" i="40"/>
  <c r="CT288" i="40" s="1"/>
  <c r="R288" i="40"/>
  <c r="N288" i="40"/>
  <c r="J288" i="40"/>
  <c r="F288" i="40"/>
  <c r="AG288" i="40"/>
  <c r="AC288" i="40"/>
  <c r="Y288" i="40"/>
  <c r="U288" i="40"/>
  <c r="CS288" i="40" s="1"/>
  <c r="Q288" i="40"/>
  <c r="M288" i="40"/>
  <c r="I288" i="40"/>
  <c r="E288" i="40"/>
  <c r="AJ288" i="40"/>
  <c r="AF288" i="40"/>
  <c r="AB288" i="40"/>
  <c r="X288" i="40"/>
  <c r="T288" i="40"/>
  <c r="CR288" i="40" s="1"/>
  <c r="P288" i="40"/>
  <c r="L288" i="40"/>
  <c r="CL288" i="40" s="1"/>
  <c r="H288" i="40"/>
  <c r="AA288" i="40"/>
  <c r="K288" i="40"/>
  <c r="W288" i="40"/>
  <c r="CU288" i="40" s="1"/>
  <c r="G288" i="40"/>
  <c r="AI288" i="40"/>
  <c r="S288" i="40"/>
  <c r="AE288" i="40"/>
  <c r="O288" i="40"/>
  <c r="CO288" i="40" s="1"/>
  <c r="AO687" i="40"/>
  <c r="CQ687" i="40"/>
  <c r="AJ587" i="40"/>
  <c r="AF587" i="40"/>
  <c r="AB587" i="40"/>
  <c r="X587" i="40"/>
  <c r="T587" i="40"/>
  <c r="CR587" i="40" s="1"/>
  <c r="P587" i="40"/>
  <c r="L587" i="40"/>
  <c r="CL587" i="40" s="1"/>
  <c r="H587" i="40"/>
  <c r="AH587" i="40"/>
  <c r="AC587" i="40"/>
  <c r="W587" i="40"/>
  <c r="CU587" i="40" s="1"/>
  <c r="R587" i="40"/>
  <c r="M587" i="40"/>
  <c r="CM587" i="40" s="1"/>
  <c r="G587" i="40"/>
  <c r="AG587" i="40"/>
  <c r="AA587" i="40"/>
  <c r="V587" i="40"/>
  <c r="CT587" i="40" s="1"/>
  <c r="Q587" i="40"/>
  <c r="K587" i="40"/>
  <c r="F587" i="40"/>
  <c r="AE587" i="40"/>
  <c r="Z587" i="40"/>
  <c r="U587" i="40"/>
  <c r="CS587" i="40" s="1"/>
  <c r="O587" i="40"/>
  <c r="CO587" i="40" s="1"/>
  <c r="J587" i="40"/>
  <c r="E587" i="40"/>
  <c r="Y587" i="40"/>
  <c r="S587" i="40"/>
  <c r="AI587" i="40"/>
  <c r="N587" i="40"/>
  <c r="CN587" i="40" s="1"/>
  <c r="AD587" i="40"/>
  <c r="I587" i="40"/>
  <c r="IZ587" i="40"/>
  <c r="HZ587" i="40"/>
  <c r="BJ587" i="40"/>
  <c r="BZ587" i="40"/>
  <c r="BK587" i="40"/>
  <c r="CA587" i="40"/>
  <c r="AZ587" i="40"/>
  <c r="BP587" i="40"/>
  <c r="CF587" i="40"/>
  <c r="BM587" i="40"/>
  <c r="BQ587" i="40"/>
  <c r="BU587" i="40"/>
  <c r="IA587" i="40"/>
  <c r="IY587" i="40"/>
  <c r="AW587" i="40"/>
  <c r="BN587" i="40"/>
  <c r="CD587" i="40"/>
  <c r="AX587" i="40"/>
  <c r="BO587" i="40"/>
  <c r="CE587" i="40"/>
  <c r="BD587" i="40"/>
  <c r="BT587" i="40"/>
  <c r="DM587" i="40"/>
  <c r="CC587" i="40"/>
  <c r="CG587" i="40"/>
  <c r="DS587" i="40"/>
  <c r="C588" i="40"/>
  <c r="BB587" i="40"/>
  <c r="BR587" i="40"/>
  <c r="CH587" i="40"/>
  <c r="BC587" i="40"/>
  <c r="BS587" i="40"/>
  <c r="CJ587" i="40"/>
  <c r="BH587" i="40"/>
  <c r="BX587" i="40"/>
  <c r="DV587" i="40"/>
  <c r="BY587" i="40"/>
  <c r="BI587" i="40"/>
  <c r="IX587" i="40"/>
  <c r="JO587" i="40"/>
  <c r="JP587" i="40"/>
  <c r="HY587" i="40"/>
  <c r="A587" i="40"/>
  <c r="BF587" i="40"/>
  <c r="BV587" i="40"/>
  <c r="DT587" i="40"/>
  <c r="BG587" i="40"/>
  <c r="BW587" i="40"/>
  <c r="DU587" i="40"/>
  <c r="BL587" i="40"/>
  <c r="CB587" i="40"/>
  <c r="BA587" i="40"/>
  <c r="BE587" i="40"/>
  <c r="DW587" i="40"/>
  <c r="D186" i="40"/>
  <c r="AY186" i="40" s="1"/>
  <c r="CV287" i="40"/>
  <c r="AP287" i="40"/>
  <c r="CQ486" i="40"/>
  <c r="AO486" i="40"/>
  <c r="JP487" i="40"/>
  <c r="IY487" i="40"/>
  <c r="CN487" i="40"/>
  <c r="AX487" i="40"/>
  <c r="BO487" i="40"/>
  <c r="CE487" i="40"/>
  <c r="AZ487" i="40"/>
  <c r="BP487" i="40"/>
  <c r="CF487" i="40"/>
  <c r="BE487" i="40"/>
  <c r="BU487" i="40"/>
  <c r="DS487" i="40"/>
  <c r="BJ487" i="40"/>
  <c r="BV487" i="40"/>
  <c r="CH487" i="40"/>
  <c r="BC487" i="40"/>
  <c r="BS487" i="40"/>
  <c r="CJ487" i="40"/>
  <c r="BD487" i="40"/>
  <c r="BT487" i="40"/>
  <c r="DM487" i="40"/>
  <c r="BI487" i="40"/>
  <c r="BY487" i="40"/>
  <c r="DW487" i="40"/>
  <c r="BZ487" i="40"/>
  <c r="AW487" i="40"/>
  <c r="BF487" i="40"/>
  <c r="CU487" i="40"/>
  <c r="HY487" i="40"/>
  <c r="IZ487" i="40"/>
  <c r="IA487" i="40"/>
  <c r="HZ487" i="40"/>
  <c r="C488" i="40"/>
  <c r="BG487" i="40"/>
  <c r="BW487" i="40"/>
  <c r="DU487" i="40"/>
  <c r="BH487" i="40"/>
  <c r="BX487" i="40"/>
  <c r="DV487" i="40"/>
  <c r="BM487" i="40"/>
  <c r="CC487" i="40"/>
  <c r="A487" i="40"/>
  <c r="BN487" i="40"/>
  <c r="BB487" i="40"/>
  <c r="IX487" i="40"/>
  <c r="JO487" i="40"/>
  <c r="BK487" i="40"/>
  <c r="CA487" i="40"/>
  <c r="BL487" i="40"/>
  <c r="CB487" i="40"/>
  <c r="BA487" i="40"/>
  <c r="BQ487" i="40"/>
  <c r="CG487" i="40"/>
  <c r="DT487" i="40"/>
  <c r="CD487" i="40"/>
  <c r="BR487" i="40"/>
  <c r="DB486" i="40"/>
  <c r="DB287" i="40"/>
  <c r="AN486" i="40"/>
  <c r="CP486" i="40"/>
  <c r="AM486" i="40"/>
  <c r="CK486" i="40"/>
  <c r="AQ182" i="40"/>
  <c r="JM184" i="40"/>
  <c r="HP187" i="40"/>
  <c r="IP187" i="40"/>
  <c r="JB187" i="40" s="1"/>
  <c r="IC185" i="40"/>
  <c r="HO187" i="40"/>
  <c r="HW186" i="40"/>
  <c r="JM183" i="40"/>
  <c r="ID185" i="40"/>
  <c r="AO287" i="40"/>
  <c r="CQ287" i="40"/>
  <c r="HX186" i="40"/>
  <c r="CN288" i="40"/>
  <c r="AX288" i="40"/>
  <c r="BO288" i="40"/>
  <c r="CE288" i="40"/>
  <c r="AZ288" i="40"/>
  <c r="BP288" i="40"/>
  <c r="CF288" i="40"/>
  <c r="BE288" i="40"/>
  <c r="BU288" i="40"/>
  <c r="DS288" i="40"/>
  <c r="BJ288" i="40"/>
  <c r="BN288" i="40"/>
  <c r="BR288" i="40"/>
  <c r="BF288" i="40"/>
  <c r="C289" i="40"/>
  <c r="BC288" i="40"/>
  <c r="BS288" i="40"/>
  <c r="CJ288" i="40"/>
  <c r="BD288" i="40"/>
  <c r="BT288" i="40"/>
  <c r="DM288" i="40"/>
  <c r="BI288" i="40"/>
  <c r="BY288" i="40"/>
  <c r="DW288" i="40"/>
  <c r="BZ288" i="40"/>
  <c r="CD288" i="40"/>
  <c r="CH288" i="40"/>
  <c r="BV288" i="40"/>
  <c r="BW288" i="40"/>
  <c r="BX288" i="40"/>
  <c r="CC288" i="40"/>
  <c r="CM288" i="40"/>
  <c r="DT288" i="40"/>
  <c r="CA288" i="40"/>
  <c r="CB288" i="40"/>
  <c r="BA288" i="40"/>
  <c r="CG288" i="40"/>
  <c r="AW288" i="40"/>
  <c r="BL288" i="40"/>
  <c r="BQ288" i="40"/>
  <c r="BB288" i="40"/>
  <c r="BG288" i="40"/>
  <c r="DU288" i="40"/>
  <c r="BH288" i="40"/>
  <c r="DV288" i="40"/>
  <c r="BM288" i="40"/>
  <c r="A288" i="40"/>
  <c r="BK288" i="40"/>
  <c r="JD182" i="40"/>
  <c r="KP182" i="40"/>
  <c r="KR182" i="40" s="1"/>
  <c r="IO187" i="40"/>
  <c r="JA187" i="40" s="1"/>
  <c r="HQ186" i="40"/>
  <c r="HU187" i="40"/>
  <c r="HN187" i="40"/>
  <c r="IE183" i="40"/>
  <c r="IB184" i="40"/>
  <c r="IF184" i="40" s="1"/>
  <c r="IG183" i="40"/>
  <c r="CP287" i="40"/>
  <c r="AN287" i="40"/>
  <c r="JJ185" i="40"/>
  <c r="IQ187" i="40"/>
  <c r="JC187" i="40" s="1"/>
  <c r="HT187" i="40"/>
  <c r="HS187" i="40"/>
  <c r="JI186" i="40"/>
  <c r="JH185" i="40"/>
  <c r="AM287" i="40"/>
  <c r="CK287" i="40"/>
  <c r="KJ182" i="40"/>
  <c r="HR186" i="40"/>
  <c r="DB187" i="40"/>
  <c r="AP187" i="40"/>
  <c r="G42" i="58" s="1"/>
  <c r="AN187" i="40"/>
  <c r="CP187" i="40"/>
  <c r="HW187" i="40" s="1"/>
  <c r="JT181" i="40"/>
  <c r="JX181" i="40" s="1"/>
  <c r="JR181" i="40"/>
  <c r="KQ181" i="40"/>
  <c r="KS181" i="40" s="1"/>
  <c r="JQ181" i="40"/>
  <c r="JU181" i="40" s="1"/>
  <c r="JS181" i="40"/>
  <c r="CV387" i="40"/>
  <c r="CP387" i="40"/>
  <c r="AN387" i="40"/>
  <c r="KT130" i="40"/>
  <c r="KU129" i="40"/>
  <c r="I43" i="70" s="1"/>
  <c r="CV187" i="40"/>
  <c r="AL187" i="40"/>
  <c r="AK187" i="40"/>
  <c r="J42" i="58" s="1"/>
  <c r="J43" i="58" s="1"/>
  <c r="AO187" i="40"/>
  <c r="CQ187" i="40"/>
  <c r="CK187" i="40"/>
  <c r="AM187" i="40"/>
  <c r="DB387" i="40"/>
  <c r="AO387" i="40"/>
  <c r="CQ387" i="40"/>
  <c r="AM387" i="40"/>
  <c r="CK387" i="40"/>
  <c r="C389" i="40"/>
  <c r="CO388" i="40"/>
  <c r="BA388" i="40"/>
  <c r="BE388" i="40"/>
  <c r="BI388" i="40"/>
  <c r="BM388" i="40"/>
  <c r="BQ388" i="40"/>
  <c r="BU388" i="40"/>
  <c r="BY388" i="40"/>
  <c r="CC388" i="40"/>
  <c r="CG388" i="40"/>
  <c r="DS388" i="40"/>
  <c r="DW388" i="40"/>
  <c r="A388" i="40"/>
  <c r="CM388" i="40"/>
  <c r="AW388" i="40"/>
  <c r="BB388" i="40"/>
  <c r="BF388" i="40"/>
  <c r="BJ388" i="40"/>
  <c r="BN388" i="40"/>
  <c r="BR388" i="40"/>
  <c r="BV388" i="40"/>
  <c r="BZ388" i="40"/>
  <c r="CD388" i="40"/>
  <c r="CH388" i="40"/>
  <c r="DT388" i="40"/>
  <c r="CN388" i="40"/>
  <c r="AX388" i="40"/>
  <c r="BC388" i="40"/>
  <c r="BG388" i="40"/>
  <c r="BK388" i="40"/>
  <c r="BO388" i="40"/>
  <c r="BS388" i="40"/>
  <c r="BW388" i="40"/>
  <c r="CA388" i="40"/>
  <c r="CE388" i="40"/>
  <c r="CJ388" i="40"/>
  <c r="DU388" i="40"/>
  <c r="BD388" i="40"/>
  <c r="BT388" i="40"/>
  <c r="DM388" i="40"/>
  <c r="BH388" i="40"/>
  <c r="BX388" i="40"/>
  <c r="DV388" i="40"/>
  <c r="BL388" i="40"/>
  <c r="CB388" i="40"/>
  <c r="CF388" i="40"/>
  <c r="BP388" i="40"/>
  <c r="AZ388" i="40"/>
  <c r="I14" i="70"/>
  <c r="I42" i="70"/>
  <c r="C189" i="40"/>
  <c r="AX188" i="40"/>
  <c r="BC188" i="40"/>
  <c r="BG188" i="40"/>
  <c r="BK188" i="40"/>
  <c r="BO188" i="40"/>
  <c r="BS188" i="40"/>
  <c r="BW188" i="40"/>
  <c r="CA188" i="40"/>
  <c r="CE188" i="40"/>
  <c r="CJ188" i="40"/>
  <c r="DU188" i="40"/>
  <c r="CO188" i="40"/>
  <c r="AZ188" i="40"/>
  <c r="BD188" i="40"/>
  <c r="BH188" i="40"/>
  <c r="BL188" i="40"/>
  <c r="BP188" i="40"/>
  <c r="BT188" i="40"/>
  <c r="BX188" i="40"/>
  <c r="CB188" i="40"/>
  <c r="CF188" i="40"/>
  <c r="DM188" i="40"/>
  <c r="DV188" i="40"/>
  <c r="A188" i="40"/>
  <c r="CM188" i="40"/>
  <c r="BA188" i="40"/>
  <c r="BE188" i="40"/>
  <c r="BI188" i="40"/>
  <c r="BM188" i="40"/>
  <c r="BQ188" i="40"/>
  <c r="BU188" i="40"/>
  <c r="BY188" i="40"/>
  <c r="CC188" i="40"/>
  <c r="CG188" i="40"/>
  <c r="DS188" i="40"/>
  <c r="DW188" i="40"/>
  <c r="BB188" i="40"/>
  <c r="BR188" i="40"/>
  <c r="CH188" i="40"/>
  <c r="BF188" i="40"/>
  <c r="BV188" i="40"/>
  <c r="DT188" i="40"/>
  <c r="BJ188" i="40"/>
  <c r="BZ188" i="40"/>
  <c r="BN188" i="40"/>
  <c r="CD188" i="40"/>
  <c r="AW188" i="40"/>
  <c r="AP387" i="40"/>
  <c r="CI571" i="40" l="1"/>
  <c r="CI288" i="40"/>
  <c r="CI372" i="40"/>
  <c r="CI587" i="40"/>
  <c r="CI188" i="40"/>
  <c r="D187" i="40"/>
  <c r="HY687" i="40"/>
  <c r="IX687" i="40" s="1"/>
  <c r="CI487" i="40"/>
  <c r="CI688" i="40"/>
  <c r="CI671" i="40"/>
  <c r="CI388" i="40"/>
  <c r="IA687" i="40"/>
  <c r="IZ687" i="40" s="1"/>
  <c r="A37" i="58"/>
  <c r="JV181" i="40"/>
  <c r="JW181" i="40" s="1"/>
  <c r="AF36" i="58"/>
  <c r="AF37" i="58" s="1"/>
  <c r="AG37" i="58" s="1"/>
  <c r="Z36" i="58"/>
  <c r="Z37" i="58" s="1"/>
  <c r="Y36" i="58"/>
  <c r="CV587" i="40"/>
  <c r="DB487" i="40"/>
  <c r="AH289" i="40"/>
  <c r="AD289" i="40"/>
  <c r="Z289" i="40"/>
  <c r="V289" i="40"/>
  <c r="CT289" i="40" s="1"/>
  <c r="R289" i="40"/>
  <c r="N289" i="40"/>
  <c r="J289" i="40"/>
  <c r="F289" i="40"/>
  <c r="AG289" i="40"/>
  <c r="AC289" i="40"/>
  <c r="Y289" i="40"/>
  <c r="U289" i="40"/>
  <c r="Q289" i="40"/>
  <c r="M289" i="40"/>
  <c r="CM289" i="40" s="1"/>
  <c r="I289" i="40"/>
  <c r="E289" i="40"/>
  <c r="AJ289" i="40"/>
  <c r="AF289" i="40"/>
  <c r="AB289" i="40"/>
  <c r="X289" i="40"/>
  <c r="T289" i="40"/>
  <c r="CR289" i="40" s="1"/>
  <c r="P289" i="40"/>
  <c r="L289" i="40"/>
  <c r="CL289" i="40" s="1"/>
  <c r="H289" i="40"/>
  <c r="AA289" i="40"/>
  <c r="K289" i="40"/>
  <c r="W289" i="40"/>
  <c r="CU289" i="40" s="1"/>
  <c r="G289" i="40"/>
  <c r="AI289" i="40"/>
  <c r="S289" i="40"/>
  <c r="AE289" i="40"/>
  <c r="O289" i="40"/>
  <c r="CO289" i="40" s="1"/>
  <c r="AJ588" i="40"/>
  <c r="AF588" i="40"/>
  <c r="AB588" i="40"/>
  <c r="X588" i="40"/>
  <c r="T588" i="40"/>
  <c r="CR588" i="40" s="1"/>
  <c r="P588" i="40"/>
  <c r="L588" i="40"/>
  <c r="CL588" i="40" s="1"/>
  <c r="H588" i="40"/>
  <c r="AH588" i="40"/>
  <c r="AC588" i="40"/>
  <c r="W588" i="40"/>
  <c r="CU588" i="40" s="1"/>
  <c r="R588" i="40"/>
  <c r="M588" i="40"/>
  <c r="CM588" i="40" s="1"/>
  <c r="G588" i="40"/>
  <c r="AG588" i="40"/>
  <c r="AA588" i="40"/>
  <c r="V588" i="40"/>
  <c r="CT588" i="40" s="1"/>
  <c r="Q588" i="40"/>
  <c r="K588" i="40"/>
  <c r="F588" i="40"/>
  <c r="AE588" i="40"/>
  <c r="Z588" i="40"/>
  <c r="U588" i="40"/>
  <c r="CS588" i="40" s="1"/>
  <c r="O588" i="40"/>
  <c r="CO588" i="40" s="1"/>
  <c r="J588" i="40"/>
  <c r="E588" i="40"/>
  <c r="AI588" i="40"/>
  <c r="N588" i="40"/>
  <c r="CN588" i="40" s="1"/>
  <c r="AD588" i="40"/>
  <c r="I588" i="40"/>
  <c r="Y588" i="40"/>
  <c r="S588" i="40"/>
  <c r="AW588" i="40"/>
  <c r="BN588" i="40"/>
  <c r="CD588" i="40"/>
  <c r="AX588" i="40"/>
  <c r="BO588" i="40"/>
  <c r="CE588" i="40"/>
  <c r="BD588" i="40"/>
  <c r="BT588" i="40"/>
  <c r="DM588" i="40"/>
  <c r="CC588" i="40"/>
  <c r="CG588" i="40"/>
  <c r="BU588" i="40"/>
  <c r="BJ588" i="40"/>
  <c r="AZ588" i="40"/>
  <c r="BM588" i="40"/>
  <c r="C589" i="40"/>
  <c r="BB588" i="40"/>
  <c r="BR588" i="40"/>
  <c r="CH588" i="40"/>
  <c r="BC588" i="40"/>
  <c r="BS588" i="40"/>
  <c r="CJ588" i="40"/>
  <c r="BH588" i="40"/>
  <c r="BX588" i="40"/>
  <c r="DV588" i="40"/>
  <c r="BI588" i="40"/>
  <c r="DS588" i="40"/>
  <c r="DT588" i="40"/>
  <c r="BW588" i="40"/>
  <c r="BL588" i="40"/>
  <c r="BA588" i="40"/>
  <c r="BY588" i="40"/>
  <c r="BQ588" i="40"/>
  <c r="A588" i="40"/>
  <c r="BF588" i="40"/>
  <c r="BV588" i="40"/>
  <c r="BG588" i="40"/>
  <c r="DU588" i="40"/>
  <c r="CB588" i="40"/>
  <c r="DW588" i="40"/>
  <c r="BZ588" i="40"/>
  <c r="BK588" i="40"/>
  <c r="CA588" i="40"/>
  <c r="BP588" i="40"/>
  <c r="CF588" i="40"/>
  <c r="BE588" i="40"/>
  <c r="CK587" i="40"/>
  <c r="AM587" i="40"/>
  <c r="AN688" i="40"/>
  <c r="CP688" i="40"/>
  <c r="DB587" i="40"/>
  <c r="CP587" i="40"/>
  <c r="AN587" i="40"/>
  <c r="JP689" i="40"/>
  <c r="AF689" i="40"/>
  <c r="KN689" i="40"/>
  <c r="AI689" i="40"/>
  <c r="CJ689" i="40"/>
  <c r="DV689" i="40"/>
  <c r="BZ689" i="40"/>
  <c r="BJ689" i="40"/>
  <c r="N689" i="40"/>
  <c r="CN689" i="40" s="1"/>
  <c r="BY689" i="40"/>
  <c r="BD689" i="40"/>
  <c r="BX689" i="40"/>
  <c r="BC689" i="40"/>
  <c r="CG689" i="40"/>
  <c r="AB689" i="40"/>
  <c r="BK689" i="40"/>
  <c r="BG689" i="40"/>
  <c r="BE689" i="40"/>
  <c r="BP689" i="40"/>
  <c r="JO689" i="40"/>
  <c r="JQ689" i="40" s="1"/>
  <c r="JU689" i="40" s="1"/>
  <c r="DM689" i="40"/>
  <c r="BV689" i="40"/>
  <c r="BF689" i="40"/>
  <c r="J689" i="40"/>
  <c r="BT689" i="40"/>
  <c r="O689" i="40"/>
  <c r="CO689" i="40" s="1"/>
  <c r="BS689" i="40"/>
  <c r="AW689" i="40"/>
  <c r="BW689" i="40"/>
  <c r="DU689" i="40"/>
  <c r="AZ689" i="40"/>
  <c r="AG689" i="40"/>
  <c r="K689" i="40"/>
  <c r="A689" i="40"/>
  <c r="CH689" i="40"/>
  <c r="BR689" i="40"/>
  <c r="BB689" i="40"/>
  <c r="DT689" i="40"/>
  <c r="BO689" i="40"/>
  <c r="DS689" i="40"/>
  <c r="BM689" i="40"/>
  <c r="M689" i="40"/>
  <c r="CM689" i="40" s="1"/>
  <c r="BL689" i="40"/>
  <c r="CF689" i="40"/>
  <c r="P689" i="40"/>
  <c r="L689" i="40"/>
  <c r="CL689" i="40" s="1"/>
  <c r="BQ689" i="40"/>
  <c r="AJ689" i="40"/>
  <c r="C690" i="40"/>
  <c r="CE689" i="40"/>
  <c r="DW689" i="40"/>
  <c r="CA689" i="40"/>
  <c r="BH689" i="40"/>
  <c r="CD689" i="40"/>
  <c r="BI689" i="40"/>
  <c r="BA689" i="40"/>
  <c r="W689" i="40"/>
  <c r="CU689" i="40" s="1"/>
  <c r="CB689" i="40"/>
  <c r="BN689" i="40"/>
  <c r="CC689" i="40"/>
  <c r="BU689" i="40"/>
  <c r="AX689" i="40"/>
  <c r="AH689" i="40"/>
  <c r="X689" i="40"/>
  <c r="AA689" i="40"/>
  <c r="AD689" i="40"/>
  <c r="R689" i="40"/>
  <c r="G689" i="40"/>
  <c r="Y689" i="40"/>
  <c r="S689" i="40"/>
  <c r="U689" i="40"/>
  <c r="CS689" i="40" s="1"/>
  <c r="V689" i="40"/>
  <c r="CT689" i="40" s="1"/>
  <c r="I689" i="40"/>
  <c r="E689" i="40"/>
  <c r="H689" i="40"/>
  <c r="Q689" i="40"/>
  <c r="T689" i="40"/>
  <c r="CR689" i="40" s="1"/>
  <c r="Z689" i="40"/>
  <c r="AC689" i="40"/>
  <c r="F689" i="40"/>
  <c r="AE689" i="40"/>
  <c r="JR688" i="40"/>
  <c r="JT688" i="40"/>
  <c r="AJ389" i="40"/>
  <c r="AF389" i="40"/>
  <c r="AB389" i="40"/>
  <c r="X389" i="40"/>
  <c r="T389" i="40"/>
  <c r="CR389" i="40" s="1"/>
  <c r="P389" i="40"/>
  <c r="L389" i="40"/>
  <c r="H389" i="40"/>
  <c r="AI389" i="40"/>
  <c r="AE389" i="40"/>
  <c r="AA389" i="40"/>
  <c r="CI473" i="40" s="1"/>
  <c r="W389" i="40"/>
  <c r="CU389" i="40" s="1"/>
  <c r="S389" i="40"/>
  <c r="O389" i="40"/>
  <c r="CO389" i="40" s="1"/>
  <c r="K389" i="40"/>
  <c r="G389" i="40"/>
  <c r="AH389" i="40"/>
  <c r="AD389" i="40"/>
  <c r="Z389" i="40"/>
  <c r="V389" i="40"/>
  <c r="CT389" i="40" s="1"/>
  <c r="R389" i="40"/>
  <c r="N389" i="40"/>
  <c r="CN389" i="40" s="1"/>
  <c r="J389" i="40"/>
  <c r="F389" i="40"/>
  <c r="U389" i="40"/>
  <c r="CS389" i="40" s="1"/>
  <c r="E389" i="40"/>
  <c r="AG389" i="40"/>
  <c r="Q389" i="40"/>
  <c r="AC389" i="40"/>
  <c r="M389" i="40"/>
  <c r="CM389" i="40" s="1"/>
  <c r="Y389" i="40"/>
  <c r="I389" i="40"/>
  <c r="AG189" i="40"/>
  <c r="AC189" i="40"/>
  <c r="Y189" i="40"/>
  <c r="U189" i="40"/>
  <c r="CS189" i="40" s="1"/>
  <c r="Q189" i="40"/>
  <c r="M189" i="40"/>
  <c r="CM189" i="40" s="1"/>
  <c r="I189" i="40"/>
  <c r="E189" i="40"/>
  <c r="AJ189" i="40"/>
  <c r="AF189" i="40"/>
  <c r="AB189" i="40"/>
  <c r="X189" i="40"/>
  <c r="T189" i="40"/>
  <c r="CR189" i="40" s="1"/>
  <c r="P189" i="40"/>
  <c r="L189" i="40"/>
  <c r="CL189" i="40" s="1"/>
  <c r="H189" i="40"/>
  <c r="AI189" i="40"/>
  <c r="AE189" i="40"/>
  <c r="AA189" i="40"/>
  <c r="CI273" i="40" s="1"/>
  <c r="W189" i="40"/>
  <c r="CU189" i="40" s="1"/>
  <c r="S189" i="40"/>
  <c r="O189" i="40"/>
  <c r="CO189" i="40" s="1"/>
  <c r="K189" i="40"/>
  <c r="G189" i="40"/>
  <c r="AH189" i="40"/>
  <c r="R189" i="40"/>
  <c r="AD189" i="40"/>
  <c r="N189" i="40"/>
  <c r="CN189" i="40" s="1"/>
  <c r="Z189" i="40"/>
  <c r="J189" i="40"/>
  <c r="V189" i="40"/>
  <c r="CT189" i="40" s="1"/>
  <c r="F189" i="40"/>
  <c r="CQ688" i="40"/>
  <c r="AO688" i="40"/>
  <c r="DB688" i="40"/>
  <c r="AP688" i="40"/>
  <c r="AJ488" i="40"/>
  <c r="AF488" i="40"/>
  <c r="AB488" i="40"/>
  <c r="X488" i="40"/>
  <c r="T488" i="40"/>
  <c r="CR488" i="40" s="1"/>
  <c r="P488" i="40"/>
  <c r="L488" i="40"/>
  <c r="CL488" i="40" s="1"/>
  <c r="H488" i="40"/>
  <c r="AH488" i="40"/>
  <c r="AD488" i="40"/>
  <c r="Z488" i="40"/>
  <c r="V488" i="40"/>
  <c r="CT488" i="40" s="1"/>
  <c r="R488" i="40"/>
  <c r="N488" i="40"/>
  <c r="CN488" i="40" s="1"/>
  <c r="J488" i="40"/>
  <c r="F488" i="40"/>
  <c r="AI488" i="40"/>
  <c r="AA488" i="40"/>
  <c r="S488" i="40"/>
  <c r="K488" i="40"/>
  <c r="AG488" i="40"/>
  <c r="Y488" i="40"/>
  <c r="Q488" i="40"/>
  <c r="I488" i="40"/>
  <c r="AE488" i="40"/>
  <c r="W488" i="40"/>
  <c r="CU488" i="40" s="1"/>
  <c r="O488" i="40"/>
  <c r="CO488" i="40" s="1"/>
  <c r="G488" i="40"/>
  <c r="U488" i="40"/>
  <c r="CS488" i="40" s="1"/>
  <c r="M488" i="40"/>
  <c r="CM488" i="40" s="1"/>
  <c r="E488" i="40"/>
  <c r="AC488" i="40"/>
  <c r="AO587" i="40"/>
  <c r="CQ587" i="40"/>
  <c r="AP587" i="40"/>
  <c r="AQ688" i="40"/>
  <c r="CV688" i="40"/>
  <c r="CK688" i="40"/>
  <c r="AM688" i="40"/>
  <c r="JV688" i="40"/>
  <c r="JW688" i="40" s="1"/>
  <c r="JH186" i="40"/>
  <c r="AQ183" i="40"/>
  <c r="HZ687" i="40"/>
  <c r="IY687" i="40" s="1"/>
  <c r="CK487" i="40"/>
  <c r="AM487" i="40"/>
  <c r="CP487" i="40"/>
  <c r="AN487" i="40"/>
  <c r="JK185" i="40"/>
  <c r="JL185" i="40" s="1"/>
  <c r="JM185" i="40" s="1"/>
  <c r="CV487" i="40"/>
  <c r="AP487" i="40"/>
  <c r="AX488" i="40"/>
  <c r="BO488" i="40"/>
  <c r="CE488" i="40"/>
  <c r="AZ488" i="40"/>
  <c r="BP488" i="40"/>
  <c r="CF488" i="40"/>
  <c r="BE488" i="40"/>
  <c r="BU488" i="40"/>
  <c r="DS488" i="40"/>
  <c r="BJ488" i="40"/>
  <c r="AW488" i="40"/>
  <c r="BC488" i="40"/>
  <c r="BS488" i="40"/>
  <c r="CJ488" i="40"/>
  <c r="BD488" i="40"/>
  <c r="BT488" i="40"/>
  <c r="DM488" i="40"/>
  <c r="BI488" i="40"/>
  <c r="BY488" i="40"/>
  <c r="DW488" i="40"/>
  <c r="BZ488" i="40"/>
  <c r="BN488" i="40"/>
  <c r="BB488" i="40"/>
  <c r="DT488" i="40"/>
  <c r="BK488" i="40"/>
  <c r="CA488" i="40"/>
  <c r="BL488" i="40"/>
  <c r="CB488" i="40"/>
  <c r="BQ488" i="40"/>
  <c r="BF488" i="40"/>
  <c r="C489" i="40"/>
  <c r="BG488" i="40"/>
  <c r="BW488" i="40"/>
  <c r="DU488" i="40"/>
  <c r="BH488" i="40"/>
  <c r="BX488" i="40"/>
  <c r="DV488" i="40"/>
  <c r="BM488" i="40"/>
  <c r="CC488" i="40"/>
  <c r="A488" i="40"/>
  <c r="BV488" i="40"/>
  <c r="CD488" i="40"/>
  <c r="BR488" i="40"/>
  <c r="BA488" i="40"/>
  <c r="CG488" i="40"/>
  <c r="CH488" i="40"/>
  <c r="AO487" i="40"/>
  <c r="CQ487" i="40"/>
  <c r="JI187" i="40"/>
  <c r="AP288" i="40"/>
  <c r="HR187" i="40"/>
  <c r="ID186" i="40"/>
  <c r="HX187" i="40"/>
  <c r="HV187" i="40"/>
  <c r="IC186" i="40"/>
  <c r="AM288" i="40"/>
  <c r="CK288" i="40"/>
  <c r="C290" i="40"/>
  <c r="BG289" i="40"/>
  <c r="BW289" i="40"/>
  <c r="DU289" i="40"/>
  <c r="BH289" i="40"/>
  <c r="BX289" i="40"/>
  <c r="DV289" i="40"/>
  <c r="BM289" i="40"/>
  <c r="CC289" i="40"/>
  <c r="A289" i="40"/>
  <c r="DT289" i="40"/>
  <c r="CS289" i="40"/>
  <c r="BK289" i="40"/>
  <c r="CA289" i="40"/>
  <c r="BL289" i="40"/>
  <c r="CB289" i="40"/>
  <c r="BA289" i="40"/>
  <c r="BQ289" i="40"/>
  <c r="CG289" i="40"/>
  <c r="AW289" i="40"/>
  <c r="BB289" i="40"/>
  <c r="CN289" i="40"/>
  <c r="AX289" i="40"/>
  <c r="BO289" i="40"/>
  <c r="CE289" i="40"/>
  <c r="AZ289" i="40"/>
  <c r="BP289" i="40"/>
  <c r="CF289" i="40"/>
  <c r="BE289" i="40"/>
  <c r="BU289" i="40"/>
  <c r="DS289" i="40"/>
  <c r="BJ289" i="40"/>
  <c r="BN289" i="40"/>
  <c r="BR289" i="40"/>
  <c r="BF289" i="40"/>
  <c r="BC289" i="40"/>
  <c r="BS289" i="40"/>
  <c r="CJ289" i="40"/>
  <c r="BD289" i="40"/>
  <c r="BT289" i="40"/>
  <c r="DM289" i="40"/>
  <c r="BI289" i="40"/>
  <c r="BY289" i="40"/>
  <c r="DW289" i="40"/>
  <c r="BZ289" i="40"/>
  <c r="CD289" i="40"/>
  <c r="CH289" i="40"/>
  <c r="BV289" i="40"/>
  <c r="CV288" i="40"/>
  <c r="KJ183" i="40"/>
  <c r="KK183" i="40"/>
  <c r="KI183" i="40"/>
  <c r="KO183" i="40"/>
  <c r="IB185" i="40"/>
  <c r="IF185" i="40" s="1"/>
  <c r="AY187" i="40"/>
  <c r="IE184" i="40"/>
  <c r="IG184" i="40"/>
  <c r="JD183" i="40"/>
  <c r="KP183" i="40"/>
  <c r="HQ187" i="40"/>
  <c r="JT182" i="40"/>
  <c r="JX182" i="40" s="1"/>
  <c r="KQ182" i="40"/>
  <c r="KS182" i="40" s="1"/>
  <c r="JR182" i="40"/>
  <c r="JQ182" i="40"/>
  <c r="JU182" i="40" s="1"/>
  <c r="JV182" i="40" s="1"/>
  <c r="JW182" i="40" s="1"/>
  <c r="JS182" i="40"/>
  <c r="CQ288" i="40"/>
  <c r="AO288" i="40"/>
  <c r="CP288" i="40"/>
  <c r="AN288" i="40"/>
  <c r="DB288" i="40"/>
  <c r="AQ288" i="40"/>
  <c r="KI184" i="40"/>
  <c r="KO184" i="40"/>
  <c r="KJ184" i="40"/>
  <c r="JJ186" i="40"/>
  <c r="AP388" i="40"/>
  <c r="AP188" i="40"/>
  <c r="CK188" i="40"/>
  <c r="AM188" i="40"/>
  <c r="CP388" i="40"/>
  <c r="AN388" i="40"/>
  <c r="DB388" i="40"/>
  <c r="AM388" i="40"/>
  <c r="CK388" i="40"/>
  <c r="C390" i="40"/>
  <c r="CL389" i="40"/>
  <c r="BA389" i="40"/>
  <c r="BE389" i="40"/>
  <c r="BI389" i="40"/>
  <c r="BM389" i="40"/>
  <c r="BQ389" i="40"/>
  <c r="BU389" i="40"/>
  <c r="BY389" i="40"/>
  <c r="CC389" i="40"/>
  <c r="CG389" i="40"/>
  <c r="DS389" i="40"/>
  <c r="DW389" i="40"/>
  <c r="A389" i="40"/>
  <c r="AW389" i="40"/>
  <c r="BB389" i="40"/>
  <c r="BF389" i="40"/>
  <c r="BJ389" i="40"/>
  <c r="BN389" i="40"/>
  <c r="BR389" i="40"/>
  <c r="BV389" i="40"/>
  <c r="BZ389" i="40"/>
  <c r="CD389" i="40"/>
  <c r="CH389" i="40"/>
  <c r="DT389" i="40"/>
  <c r="AX389" i="40"/>
  <c r="BC389" i="40"/>
  <c r="BG389" i="40"/>
  <c r="BK389" i="40"/>
  <c r="BO389" i="40"/>
  <c r="BS389" i="40"/>
  <c r="BW389" i="40"/>
  <c r="CA389" i="40"/>
  <c r="CE389" i="40"/>
  <c r="CJ389" i="40"/>
  <c r="DU389" i="40"/>
  <c r="BD389" i="40"/>
  <c r="BT389" i="40"/>
  <c r="DM389" i="40"/>
  <c r="BH389" i="40"/>
  <c r="BX389" i="40"/>
  <c r="DV389" i="40"/>
  <c r="BL389" i="40"/>
  <c r="CB389" i="40"/>
  <c r="CF389" i="40"/>
  <c r="AZ389" i="40"/>
  <c r="BP389" i="40"/>
  <c r="CV188" i="40"/>
  <c r="AL188" i="40"/>
  <c r="AK188" i="40"/>
  <c r="AN188" i="40"/>
  <c r="CP188" i="40"/>
  <c r="C190" i="40"/>
  <c r="AW189" i="40"/>
  <c r="BB189" i="40"/>
  <c r="BF189" i="40"/>
  <c r="BJ189" i="40"/>
  <c r="BN189" i="40"/>
  <c r="BR189" i="40"/>
  <c r="BV189" i="40"/>
  <c r="BZ189" i="40"/>
  <c r="CD189" i="40"/>
  <c r="CH189" i="40"/>
  <c r="DT189" i="40"/>
  <c r="AX189" i="40"/>
  <c r="BC189" i="40"/>
  <c r="BG189" i="40"/>
  <c r="BK189" i="40"/>
  <c r="BO189" i="40"/>
  <c r="BS189" i="40"/>
  <c r="BW189" i="40"/>
  <c r="CA189" i="40"/>
  <c r="CE189" i="40"/>
  <c r="CJ189" i="40"/>
  <c r="DU189" i="40"/>
  <c r="AZ189" i="40"/>
  <c r="BD189" i="40"/>
  <c r="BH189" i="40"/>
  <c r="BL189" i="40"/>
  <c r="BP189" i="40"/>
  <c r="BT189" i="40"/>
  <c r="BX189" i="40"/>
  <c r="CB189" i="40"/>
  <c r="CF189" i="40"/>
  <c r="DM189" i="40"/>
  <c r="DV189" i="40"/>
  <c r="BA189" i="40"/>
  <c r="BQ189" i="40"/>
  <c r="CG189" i="40"/>
  <c r="BE189" i="40"/>
  <c r="BU189" i="40"/>
  <c r="DS189" i="40"/>
  <c r="A189" i="40"/>
  <c r="BI189" i="40"/>
  <c r="BY189" i="40"/>
  <c r="DW189" i="40"/>
  <c r="BM189" i="40"/>
  <c r="CC189" i="40"/>
  <c r="AO388" i="40"/>
  <c r="CQ388" i="40"/>
  <c r="AO188" i="40"/>
  <c r="CQ188" i="40"/>
  <c r="AQ188" i="40"/>
  <c r="CV388" i="40"/>
  <c r="AQ388" i="40"/>
  <c r="KU130" i="40"/>
  <c r="I44" i="70" s="1"/>
  <c r="KT131" i="40"/>
  <c r="CI572" i="40" l="1"/>
  <c r="CI373" i="40"/>
  <c r="CI672" i="40"/>
  <c r="CI189" i="40"/>
  <c r="CI289" i="40"/>
  <c r="CI488" i="40"/>
  <c r="CI689" i="40"/>
  <c r="CI389" i="40"/>
  <c r="CI588" i="40"/>
  <c r="CV488" i="40"/>
  <c r="JV689" i="40"/>
  <c r="JW689" i="40" s="1"/>
  <c r="DB488" i="40"/>
  <c r="DB289" i="40"/>
  <c r="AC36" i="58"/>
  <c r="Y37" i="58"/>
  <c r="DB689" i="40"/>
  <c r="CV588" i="40"/>
  <c r="DB588" i="40"/>
  <c r="JK186" i="40"/>
  <c r="JL186" i="40" s="1"/>
  <c r="JM186" i="40" s="1"/>
  <c r="AH290" i="40"/>
  <c r="AD290" i="40"/>
  <c r="Z290" i="40"/>
  <c r="V290" i="40"/>
  <c r="CT290" i="40" s="1"/>
  <c r="R290" i="40"/>
  <c r="N290" i="40"/>
  <c r="CN290" i="40" s="1"/>
  <c r="J290" i="40"/>
  <c r="F290" i="40"/>
  <c r="AG290" i="40"/>
  <c r="AC290" i="40"/>
  <c r="Y290" i="40"/>
  <c r="U290" i="40"/>
  <c r="CS290" i="40" s="1"/>
  <c r="Q290" i="40"/>
  <c r="M290" i="40"/>
  <c r="CM290" i="40" s="1"/>
  <c r="I290" i="40"/>
  <c r="E290" i="40"/>
  <c r="AJ290" i="40"/>
  <c r="AF290" i="40"/>
  <c r="AB290" i="40"/>
  <c r="X290" i="40"/>
  <c r="T290" i="40"/>
  <c r="CR290" i="40" s="1"/>
  <c r="P290" i="40"/>
  <c r="L290" i="40"/>
  <c r="CL290" i="40" s="1"/>
  <c r="H290" i="40"/>
  <c r="AA290" i="40"/>
  <c r="K290" i="40"/>
  <c r="W290" i="40"/>
  <c r="CU290" i="40" s="1"/>
  <c r="G290" i="40"/>
  <c r="AI290" i="40"/>
  <c r="S290" i="40"/>
  <c r="AE290" i="40"/>
  <c r="O290" i="40"/>
  <c r="CO290" i="40" s="1"/>
  <c r="AJ489" i="40"/>
  <c r="AF489" i="40"/>
  <c r="AB489" i="40"/>
  <c r="X489" i="40"/>
  <c r="T489" i="40"/>
  <c r="CR489" i="40" s="1"/>
  <c r="P489" i="40"/>
  <c r="L489" i="40"/>
  <c r="CL489" i="40" s="1"/>
  <c r="H489" i="40"/>
  <c r="AH489" i="40"/>
  <c r="AD489" i="40"/>
  <c r="Z489" i="40"/>
  <c r="V489" i="40"/>
  <c r="CT489" i="40" s="1"/>
  <c r="R489" i="40"/>
  <c r="N489" i="40"/>
  <c r="CN489" i="40" s="1"/>
  <c r="J489" i="40"/>
  <c r="F489" i="40"/>
  <c r="AI489" i="40"/>
  <c r="AA489" i="40"/>
  <c r="S489" i="40"/>
  <c r="K489" i="40"/>
  <c r="AG489" i="40"/>
  <c r="Y489" i="40"/>
  <c r="Q489" i="40"/>
  <c r="I489" i="40"/>
  <c r="AE489" i="40"/>
  <c r="W489" i="40"/>
  <c r="CU489" i="40" s="1"/>
  <c r="O489" i="40"/>
  <c r="CO489" i="40" s="1"/>
  <c r="G489" i="40"/>
  <c r="U489" i="40"/>
  <c r="CS489" i="40" s="1"/>
  <c r="M489" i="40"/>
  <c r="CM489" i="40" s="1"/>
  <c r="E489" i="40"/>
  <c r="AC489" i="40"/>
  <c r="CQ689" i="40"/>
  <c r="AO689" i="40"/>
  <c r="AJ589" i="40"/>
  <c r="AF589" i="40"/>
  <c r="AB589" i="40"/>
  <c r="X589" i="40"/>
  <c r="T589" i="40"/>
  <c r="CR589" i="40" s="1"/>
  <c r="P589" i="40"/>
  <c r="L589" i="40"/>
  <c r="CL589" i="40" s="1"/>
  <c r="H589" i="40"/>
  <c r="AI589" i="40"/>
  <c r="AE589" i="40"/>
  <c r="AA589" i="40"/>
  <c r="CI673" i="40" s="1"/>
  <c r="W589" i="40"/>
  <c r="CU589" i="40" s="1"/>
  <c r="S589" i="40"/>
  <c r="AH589" i="40"/>
  <c r="Z589" i="40"/>
  <c r="R589" i="40"/>
  <c r="M589" i="40"/>
  <c r="CM589" i="40" s="1"/>
  <c r="G589" i="40"/>
  <c r="AG589" i="40"/>
  <c r="Y589" i="40"/>
  <c r="Q589" i="40"/>
  <c r="K589" i="40"/>
  <c r="F589" i="40"/>
  <c r="AD589" i="40"/>
  <c r="V589" i="40"/>
  <c r="CT589" i="40" s="1"/>
  <c r="O589" i="40"/>
  <c r="CO589" i="40" s="1"/>
  <c r="J589" i="40"/>
  <c r="E589" i="40"/>
  <c r="AC589" i="40"/>
  <c r="U589" i="40"/>
  <c r="CS589" i="40" s="1"/>
  <c r="N589" i="40"/>
  <c r="CN589" i="40" s="1"/>
  <c r="I589" i="40"/>
  <c r="AW589" i="40"/>
  <c r="BN589" i="40"/>
  <c r="CD589" i="40"/>
  <c r="AX589" i="40"/>
  <c r="BO589" i="40"/>
  <c r="CE589" i="40"/>
  <c r="BD589" i="40"/>
  <c r="BT589" i="40"/>
  <c r="DM589" i="40"/>
  <c r="CC589" i="40"/>
  <c r="BQ589" i="40"/>
  <c r="BU589" i="40"/>
  <c r="C590" i="40"/>
  <c r="BB589" i="40"/>
  <c r="BR589" i="40"/>
  <c r="CH589" i="40"/>
  <c r="BC589" i="40"/>
  <c r="BS589" i="40"/>
  <c r="CJ589" i="40"/>
  <c r="BH589" i="40"/>
  <c r="BX589" i="40"/>
  <c r="DV589" i="40"/>
  <c r="CG589" i="40"/>
  <c r="DS589" i="40"/>
  <c r="BJ589" i="40"/>
  <c r="BZ589" i="40"/>
  <c r="BK589" i="40"/>
  <c r="CA589" i="40"/>
  <c r="AZ589" i="40"/>
  <c r="CF589" i="40"/>
  <c r="BA589" i="40"/>
  <c r="BE589" i="40"/>
  <c r="A589" i="40"/>
  <c r="BF589" i="40"/>
  <c r="BV589" i="40"/>
  <c r="DT589" i="40"/>
  <c r="BG589" i="40"/>
  <c r="BW589" i="40"/>
  <c r="DU589" i="40"/>
  <c r="BL589" i="40"/>
  <c r="CB589" i="40"/>
  <c r="DW589" i="40"/>
  <c r="BY589" i="40"/>
  <c r="BI589" i="40"/>
  <c r="BM589" i="40"/>
  <c r="BP589" i="40"/>
  <c r="AO588" i="40"/>
  <c r="CQ588" i="40"/>
  <c r="AP588" i="40"/>
  <c r="AG190" i="40"/>
  <c r="AC190" i="40"/>
  <c r="Y190" i="40"/>
  <c r="U190" i="40"/>
  <c r="Q190" i="40"/>
  <c r="M190" i="40"/>
  <c r="CM190" i="40" s="1"/>
  <c r="I190" i="40"/>
  <c r="E190" i="40"/>
  <c r="AJ190" i="40"/>
  <c r="AF190" i="40"/>
  <c r="AB190" i="40"/>
  <c r="X190" i="40"/>
  <c r="T190" i="40"/>
  <c r="CR190" i="40" s="1"/>
  <c r="P190" i="40"/>
  <c r="L190" i="40"/>
  <c r="CL190" i="40" s="1"/>
  <c r="H190" i="40"/>
  <c r="AI190" i="40"/>
  <c r="AE190" i="40"/>
  <c r="AA190" i="40"/>
  <c r="CI274" i="40" s="1"/>
  <c r="W190" i="40"/>
  <c r="CU190" i="40" s="1"/>
  <c r="S190" i="40"/>
  <c r="O190" i="40"/>
  <c r="CO190" i="40" s="1"/>
  <c r="K190" i="40"/>
  <c r="G190" i="40"/>
  <c r="AH190" i="40"/>
  <c r="R190" i="40"/>
  <c r="AD190" i="40"/>
  <c r="N190" i="40"/>
  <c r="CN190" i="40" s="1"/>
  <c r="Z190" i="40"/>
  <c r="J190" i="40"/>
  <c r="V190" i="40"/>
  <c r="CT190" i="40" s="1"/>
  <c r="F190" i="40"/>
  <c r="AP488" i="40"/>
  <c r="CV689" i="40"/>
  <c r="KN690" i="40"/>
  <c r="JO690" i="40"/>
  <c r="JQ690" i="40" s="1"/>
  <c r="JU690" i="40" s="1"/>
  <c r="AJ690" i="40"/>
  <c r="JP690" i="40"/>
  <c r="CJ690" i="40"/>
  <c r="AF690" i="40"/>
  <c r="CE690" i="40"/>
  <c r="BO690" i="40"/>
  <c r="W690" i="40"/>
  <c r="CU690" i="40" s="1"/>
  <c r="CH690" i="40"/>
  <c r="BM690" i="40"/>
  <c r="M690" i="40"/>
  <c r="CM690" i="40" s="1"/>
  <c r="BV690" i="40"/>
  <c r="BA690" i="40"/>
  <c r="A690" i="40"/>
  <c r="BE690" i="40"/>
  <c r="BD690" i="40"/>
  <c r="P690" i="40"/>
  <c r="N690" i="40"/>
  <c r="CN690" i="40" s="1"/>
  <c r="BT690" i="40"/>
  <c r="CA690" i="40"/>
  <c r="BK690" i="40"/>
  <c r="O690" i="40"/>
  <c r="CO690" i="40" s="1"/>
  <c r="CC690" i="40"/>
  <c r="BH690" i="40"/>
  <c r="DV690" i="40"/>
  <c r="BQ690" i="40"/>
  <c r="AG690" i="40"/>
  <c r="C691" i="40"/>
  <c r="J690" i="40"/>
  <c r="DU690" i="40"/>
  <c r="DT690" i="40"/>
  <c r="AZ690" i="40"/>
  <c r="AI690" i="40"/>
  <c r="DW690" i="40"/>
  <c r="BW690" i="40"/>
  <c r="BG690" i="40"/>
  <c r="K690" i="40"/>
  <c r="BX690" i="40"/>
  <c r="BB690" i="40"/>
  <c r="CG690" i="40"/>
  <c r="BL690" i="40"/>
  <c r="AB690" i="40"/>
  <c r="BZ690" i="40"/>
  <c r="BY690" i="40"/>
  <c r="CF690" i="40"/>
  <c r="CD690" i="40"/>
  <c r="AX690" i="40"/>
  <c r="BC690" i="40"/>
  <c r="CB690" i="40"/>
  <c r="BN690" i="40"/>
  <c r="AW690" i="40"/>
  <c r="DM690" i="40"/>
  <c r="BF690" i="40"/>
  <c r="BJ690" i="40"/>
  <c r="BP690" i="40"/>
  <c r="DS690" i="40"/>
  <c r="BR690" i="40"/>
  <c r="L690" i="40"/>
  <c r="CL690" i="40" s="1"/>
  <c r="BI690" i="40"/>
  <c r="BS690" i="40"/>
  <c r="BU690" i="40"/>
  <c r="AH690" i="40"/>
  <c r="X690" i="40"/>
  <c r="AA690" i="40"/>
  <c r="AD690" i="40"/>
  <c r="G690" i="40"/>
  <c r="Z690" i="40"/>
  <c r="Q690" i="40"/>
  <c r="H690" i="40"/>
  <c r="U690" i="40"/>
  <c r="CS690" i="40" s="1"/>
  <c r="E690" i="40"/>
  <c r="R690" i="40"/>
  <c r="V690" i="40"/>
  <c r="CT690" i="40" s="1"/>
  <c r="T690" i="40"/>
  <c r="CR690" i="40" s="1"/>
  <c r="F690" i="40"/>
  <c r="S690" i="40"/>
  <c r="Y690" i="40"/>
  <c r="AC690" i="40"/>
  <c r="AE690" i="40"/>
  <c r="I690" i="40"/>
  <c r="CK689" i="40"/>
  <c r="AM689" i="40"/>
  <c r="JT689" i="40"/>
  <c r="JR689" i="40"/>
  <c r="CK588" i="40"/>
  <c r="AM588" i="40"/>
  <c r="AJ390" i="40"/>
  <c r="AF390" i="40"/>
  <c r="AB390" i="40"/>
  <c r="X390" i="40"/>
  <c r="T390" i="40"/>
  <c r="CR390" i="40" s="1"/>
  <c r="P390" i="40"/>
  <c r="L390" i="40"/>
  <c r="CL390" i="40" s="1"/>
  <c r="H390" i="40"/>
  <c r="AI390" i="40"/>
  <c r="AE390" i="40"/>
  <c r="AA390" i="40"/>
  <c r="CI474" i="40" s="1"/>
  <c r="W390" i="40"/>
  <c r="CU390" i="40" s="1"/>
  <c r="S390" i="40"/>
  <c r="O390" i="40"/>
  <c r="CO390" i="40" s="1"/>
  <c r="K390" i="40"/>
  <c r="G390" i="40"/>
  <c r="AH390" i="40"/>
  <c r="AD390" i="40"/>
  <c r="Z390" i="40"/>
  <c r="V390" i="40"/>
  <c r="CT390" i="40" s="1"/>
  <c r="R390" i="40"/>
  <c r="N390" i="40"/>
  <c r="CN390" i="40" s="1"/>
  <c r="J390" i="40"/>
  <c r="F390" i="40"/>
  <c r="U390" i="40"/>
  <c r="CS390" i="40" s="1"/>
  <c r="E390" i="40"/>
  <c r="AG390" i="40"/>
  <c r="Q390" i="40"/>
  <c r="AC390" i="40"/>
  <c r="M390" i="40"/>
  <c r="CM390" i="40" s="1"/>
  <c r="I390" i="40"/>
  <c r="Y390" i="40"/>
  <c r="AN689" i="40"/>
  <c r="CP689" i="40"/>
  <c r="AQ689" i="40"/>
  <c r="AP689" i="40"/>
  <c r="AN588" i="40"/>
  <c r="CP588" i="40"/>
  <c r="AQ588" i="40"/>
  <c r="D188" i="40"/>
  <c r="AY188" i="40" s="1"/>
  <c r="JH187" i="40"/>
  <c r="AN488" i="40"/>
  <c r="CP488" i="40"/>
  <c r="CQ488" i="40"/>
  <c r="AO488" i="40"/>
  <c r="AQ184" i="40"/>
  <c r="C490" i="40"/>
  <c r="BG489" i="40"/>
  <c r="BW489" i="40"/>
  <c r="DU489" i="40"/>
  <c r="BH489" i="40"/>
  <c r="BX489" i="40"/>
  <c r="DV489" i="40"/>
  <c r="BM489" i="40"/>
  <c r="CC489" i="40"/>
  <c r="A489" i="40"/>
  <c r="BF489" i="40"/>
  <c r="CD489" i="40"/>
  <c r="BB489" i="40"/>
  <c r="BC489" i="40"/>
  <c r="BS489" i="40"/>
  <c r="CJ489" i="40"/>
  <c r="BT489" i="40"/>
  <c r="DM489" i="40"/>
  <c r="BI489" i="40"/>
  <c r="BY489" i="40"/>
  <c r="BZ489" i="40"/>
  <c r="BK489" i="40"/>
  <c r="CA489" i="40"/>
  <c r="BL489" i="40"/>
  <c r="CB489" i="40"/>
  <c r="BA489" i="40"/>
  <c r="BQ489" i="40"/>
  <c r="CG489" i="40"/>
  <c r="BR489" i="40"/>
  <c r="BN489" i="40"/>
  <c r="AX489" i="40"/>
  <c r="BO489" i="40"/>
  <c r="CE489" i="40"/>
  <c r="AZ489" i="40"/>
  <c r="BP489" i="40"/>
  <c r="CF489" i="40"/>
  <c r="BE489" i="40"/>
  <c r="BU489" i="40"/>
  <c r="DS489" i="40"/>
  <c r="BJ489" i="40"/>
  <c r="AW489" i="40"/>
  <c r="DT489" i="40"/>
  <c r="CH489" i="40"/>
  <c r="BD489" i="40"/>
  <c r="DW489" i="40"/>
  <c r="BV489" i="40"/>
  <c r="AQ488" i="40"/>
  <c r="CK488" i="40"/>
  <c r="AM488" i="40"/>
  <c r="KK184" i="40"/>
  <c r="JT183" i="40"/>
  <c r="JX183" i="40" s="1"/>
  <c r="KQ183" i="40"/>
  <c r="KS183" i="40" s="1"/>
  <c r="JR183" i="40"/>
  <c r="JQ183" i="40"/>
  <c r="JU183" i="40" s="1"/>
  <c r="JV183" i="40" s="1"/>
  <c r="JW183" i="40" s="1"/>
  <c r="KR183" i="40"/>
  <c r="JS183" i="40"/>
  <c r="AM289" i="40"/>
  <c r="CK289" i="40"/>
  <c r="BK290" i="40"/>
  <c r="CA290" i="40"/>
  <c r="BL290" i="40"/>
  <c r="CB290" i="40"/>
  <c r="BA290" i="40"/>
  <c r="BQ290" i="40"/>
  <c r="CG290" i="40"/>
  <c r="AW290" i="40"/>
  <c r="BB290" i="40"/>
  <c r="AX290" i="40"/>
  <c r="BO290" i="40"/>
  <c r="CE290" i="40"/>
  <c r="AZ290" i="40"/>
  <c r="BP290" i="40"/>
  <c r="CF290" i="40"/>
  <c r="BE290" i="40"/>
  <c r="BU290" i="40"/>
  <c r="DS290" i="40"/>
  <c r="BJ290" i="40"/>
  <c r="BN290" i="40"/>
  <c r="BR290" i="40"/>
  <c r="BF290" i="40"/>
  <c r="BC290" i="40"/>
  <c r="BS290" i="40"/>
  <c r="CJ290" i="40"/>
  <c r="BD290" i="40"/>
  <c r="BT290" i="40"/>
  <c r="DM290" i="40"/>
  <c r="BI290" i="40"/>
  <c r="BY290" i="40"/>
  <c r="DW290" i="40"/>
  <c r="BZ290" i="40"/>
  <c r="CD290" i="40"/>
  <c r="CH290" i="40"/>
  <c r="BV290" i="40"/>
  <c r="C291" i="40"/>
  <c r="BG290" i="40"/>
  <c r="BW290" i="40"/>
  <c r="DU290" i="40"/>
  <c r="BH290" i="40"/>
  <c r="BX290" i="40"/>
  <c r="DV290" i="40"/>
  <c r="BM290" i="40"/>
  <c r="CC290" i="40"/>
  <c r="A290" i="40"/>
  <c r="DT290" i="40"/>
  <c r="JD184" i="40"/>
  <c r="KP184" i="40"/>
  <c r="KR184" i="40" s="1"/>
  <c r="KJ185" i="40"/>
  <c r="KO185" i="40"/>
  <c r="AQ289" i="40"/>
  <c r="CV289" i="40"/>
  <c r="IB186" i="40"/>
  <c r="IF186" i="40" s="1"/>
  <c r="IC187" i="40"/>
  <c r="IE185" i="40"/>
  <c r="KI185" i="40" s="1"/>
  <c r="IG185" i="40"/>
  <c r="KK185" i="40" s="1"/>
  <c r="CQ289" i="40"/>
  <c r="AO289" i="40"/>
  <c r="JJ187" i="40"/>
  <c r="CP289" i="40"/>
  <c r="AN289" i="40"/>
  <c r="AP289" i="40"/>
  <c r="ID187" i="40"/>
  <c r="AQ189" i="40"/>
  <c r="KT132" i="40"/>
  <c r="KU131" i="40"/>
  <c r="I45" i="70" s="1"/>
  <c r="AO189" i="40"/>
  <c r="CQ189" i="40"/>
  <c r="C191" i="40"/>
  <c r="A190" i="40"/>
  <c r="BA190" i="40"/>
  <c r="BE190" i="40"/>
  <c r="BI190" i="40"/>
  <c r="BM190" i="40"/>
  <c r="BQ190" i="40"/>
  <c r="BU190" i="40"/>
  <c r="BY190" i="40"/>
  <c r="CC190" i="40"/>
  <c r="CG190" i="40"/>
  <c r="DS190" i="40"/>
  <c r="DW190" i="40"/>
  <c r="AW190" i="40"/>
  <c r="BB190" i="40"/>
  <c r="BF190" i="40"/>
  <c r="BJ190" i="40"/>
  <c r="BN190" i="40"/>
  <c r="BR190" i="40"/>
  <c r="BV190" i="40"/>
  <c r="BZ190" i="40"/>
  <c r="CD190" i="40"/>
  <c r="CH190" i="40"/>
  <c r="DT190" i="40"/>
  <c r="AX190" i="40"/>
  <c r="BC190" i="40"/>
  <c r="BG190" i="40"/>
  <c r="BK190" i="40"/>
  <c r="BO190" i="40"/>
  <c r="BS190" i="40"/>
  <c r="BW190" i="40"/>
  <c r="CA190" i="40"/>
  <c r="CE190" i="40"/>
  <c r="CJ190" i="40"/>
  <c r="DU190" i="40"/>
  <c r="AZ190" i="40"/>
  <c r="BP190" i="40"/>
  <c r="CF190" i="40"/>
  <c r="BD190" i="40"/>
  <c r="BT190" i="40"/>
  <c r="DM190" i="40"/>
  <c r="BH190" i="40"/>
  <c r="BX190" i="40"/>
  <c r="DV190" i="40"/>
  <c r="BL190" i="40"/>
  <c r="CB190" i="40"/>
  <c r="CS190" i="40"/>
  <c r="CV389" i="40"/>
  <c r="DB389" i="40"/>
  <c r="AQ389" i="40"/>
  <c r="AO389" i="40"/>
  <c r="CQ389" i="40"/>
  <c r="AM389" i="40"/>
  <c r="CK389" i="40"/>
  <c r="C391" i="40"/>
  <c r="BA390" i="40"/>
  <c r="BE390" i="40"/>
  <c r="BI390" i="40"/>
  <c r="BM390" i="40"/>
  <c r="BQ390" i="40"/>
  <c r="BU390" i="40"/>
  <c r="BY390" i="40"/>
  <c r="CC390" i="40"/>
  <c r="CG390" i="40"/>
  <c r="DS390" i="40"/>
  <c r="DW390" i="40"/>
  <c r="A390" i="40"/>
  <c r="AW390" i="40"/>
  <c r="BB390" i="40"/>
  <c r="BF390" i="40"/>
  <c r="BJ390" i="40"/>
  <c r="BN390" i="40"/>
  <c r="BR390" i="40"/>
  <c r="BV390" i="40"/>
  <c r="BZ390" i="40"/>
  <c r="CD390" i="40"/>
  <c r="CH390" i="40"/>
  <c r="DT390" i="40"/>
  <c r="AX390" i="40"/>
  <c r="BC390" i="40"/>
  <c r="BG390" i="40"/>
  <c r="BK390" i="40"/>
  <c r="BO390" i="40"/>
  <c r="BS390" i="40"/>
  <c r="BW390" i="40"/>
  <c r="CA390" i="40"/>
  <c r="CE390" i="40"/>
  <c r="CJ390" i="40"/>
  <c r="DU390" i="40"/>
  <c r="BD390" i="40"/>
  <c r="BT390" i="40"/>
  <c r="DM390" i="40"/>
  <c r="BH390" i="40"/>
  <c r="BX390" i="40"/>
  <c r="DV390" i="40"/>
  <c r="BL390" i="40"/>
  <c r="CB390" i="40"/>
  <c r="CF390" i="40"/>
  <c r="BP390" i="40"/>
  <c r="AZ390" i="40"/>
  <c r="DB189" i="40"/>
  <c r="AP389" i="40"/>
  <c r="CV189" i="40"/>
  <c r="AL189" i="40"/>
  <c r="AK189" i="40"/>
  <c r="AP189" i="40"/>
  <c r="AN189" i="40"/>
  <c r="CP189" i="40"/>
  <c r="CK189" i="40"/>
  <c r="AM189" i="40"/>
  <c r="CP389" i="40"/>
  <c r="AN389" i="40"/>
  <c r="CI573" i="40" l="1"/>
  <c r="CI290" i="40"/>
  <c r="CI374" i="40"/>
  <c r="CI190" i="40"/>
  <c r="CI489" i="40"/>
  <c r="CI390" i="40"/>
  <c r="CI589" i="40"/>
  <c r="CI690" i="40"/>
  <c r="D189" i="40"/>
  <c r="AY189" i="40" s="1"/>
  <c r="DB489" i="40"/>
  <c r="DB690" i="40"/>
  <c r="AD36" i="58"/>
  <c r="AD37" i="58" s="1"/>
  <c r="AC37" i="58"/>
  <c r="C37" i="58" s="1"/>
  <c r="AP690" i="40"/>
  <c r="AQ589" i="40"/>
  <c r="CV489" i="40"/>
  <c r="JK187" i="40"/>
  <c r="JL187" i="40" s="1"/>
  <c r="JM187" i="40" s="1"/>
  <c r="AE42" i="58" s="1"/>
  <c r="AJ490" i="40"/>
  <c r="AF490" i="40"/>
  <c r="AB490" i="40"/>
  <c r="X490" i="40"/>
  <c r="T490" i="40"/>
  <c r="CR490" i="40" s="1"/>
  <c r="P490" i="40"/>
  <c r="L490" i="40"/>
  <c r="CL490" i="40" s="1"/>
  <c r="H490" i="40"/>
  <c r="AH490" i="40"/>
  <c r="AD490" i="40"/>
  <c r="Z490" i="40"/>
  <c r="V490" i="40"/>
  <c r="CT490" i="40" s="1"/>
  <c r="R490" i="40"/>
  <c r="N490" i="40"/>
  <c r="CN490" i="40" s="1"/>
  <c r="J490" i="40"/>
  <c r="F490" i="40"/>
  <c r="AI490" i="40"/>
  <c r="AA490" i="40"/>
  <c r="S490" i="40"/>
  <c r="K490" i="40"/>
  <c r="AG490" i="40"/>
  <c r="Y490" i="40"/>
  <c r="Q490" i="40"/>
  <c r="I490" i="40"/>
  <c r="AE490" i="40"/>
  <c r="W490" i="40"/>
  <c r="CU490" i="40" s="1"/>
  <c r="O490" i="40"/>
  <c r="CO490" i="40" s="1"/>
  <c r="G490" i="40"/>
  <c r="U490" i="40"/>
  <c r="CS490" i="40" s="1"/>
  <c r="M490" i="40"/>
  <c r="CM490" i="40" s="1"/>
  <c r="E490" i="40"/>
  <c r="AC490" i="40"/>
  <c r="AQ690" i="40"/>
  <c r="AM589" i="40"/>
  <c r="CK589" i="40"/>
  <c r="AJ391" i="40"/>
  <c r="AF391" i="40"/>
  <c r="AB391" i="40"/>
  <c r="X391" i="40"/>
  <c r="T391" i="40"/>
  <c r="CR391" i="40" s="1"/>
  <c r="P391" i="40"/>
  <c r="L391" i="40"/>
  <c r="CL391" i="40" s="1"/>
  <c r="H391" i="40"/>
  <c r="AI391" i="40"/>
  <c r="AE391" i="40"/>
  <c r="AA391" i="40"/>
  <c r="CI475" i="40" s="1"/>
  <c r="W391" i="40"/>
  <c r="CU391" i="40" s="1"/>
  <c r="S391" i="40"/>
  <c r="O391" i="40"/>
  <c r="CO391" i="40" s="1"/>
  <c r="K391" i="40"/>
  <c r="G391" i="40"/>
  <c r="AH391" i="40"/>
  <c r="AD391" i="40"/>
  <c r="Z391" i="40"/>
  <c r="V391" i="40"/>
  <c r="CT391" i="40" s="1"/>
  <c r="R391" i="40"/>
  <c r="N391" i="40"/>
  <c r="CN391" i="40" s="1"/>
  <c r="J391" i="40"/>
  <c r="F391" i="40"/>
  <c r="U391" i="40"/>
  <c r="E391" i="40"/>
  <c r="AG391" i="40"/>
  <c r="Q391" i="40"/>
  <c r="AC391" i="40"/>
  <c r="M391" i="40"/>
  <c r="CM391" i="40" s="1"/>
  <c r="Y391" i="40"/>
  <c r="I391" i="40"/>
  <c r="AG191" i="40"/>
  <c r="AC191" i="40"/>
  <c r="Y191" i="40"/>
  <c r="U191" i="40"/>
  <c r="CS191" i="40" s="1"/>
  <c r="Q191" i="40"/>
  <c r="M191" i="40"/>
  <c r="CM191" i="40" s="1"/>
  <c r="I191" i="40"/>
  <c r="E191" i="40"/>
  <c r="AJ191" i="40"/>
  <c r="AF191" i="40"/>
  <c r="AB191" i="40"/>
  <c r="X191" i="40"/>
  <c r="T191" i="40"/>
  <c r="CR191" i="40" s="1"/>
  <c r="P191" i="40"/>
  <c r="L191" i="40"/>
  <c r="CL191" i="40" s="1"/>
  <c r="H191" i="40"/>
  <c r="AI191" i="40"/>
  <c r="AE191" i="40"/>
  <c r="AA191" i="40"/>
  <c r="CI275" i="40" s="1"/>
  <c r="W191" i="40"/>
  <c r="CU191" i="40" s="1"/>
  <c r="S191" i="40"/>
  <c r="O191" i="40"/>
  <c r="CO191" i="40" s="1"/>
  <c r="K191" i="40"/>
  <c r="G191" i="40"/>
  <c r="AH191" i="40"/>
  <c r="R191" i="40"/>
  <c r="AD191" i="40"/>
  <c r="N191" i="40"/>
  <c r="CN191" i="40" s="1"/>
  <c r="Z191" i="40"/>
  <c r="J191" i="40"/>
  <c r="V191" i="40"/>
  <c r="CT191" i="40" s="1"/>
  <c r="F191" i="40"/>
  <c r="CV690" i="40"/>
  <c r="CK690" i="40"/>
  <c r="AM690" i="40"/>
  <c r="JV690" i="40"/>
  <c r="JW690" i="40" s="1"/>
  <c r="AJ590" i="40"/>
  <c r="AF590" i="40"/>
  <c r="AB590" i="40"/>
  <c r="X590" i="40"/>
  <c r="T590" i="40"/>
  <c r="CR590" i="40" s="1"/>
  <c r="P590" i="40"/>
  <c r="L590" i="40"/>
  <c r="CL590" i="40" s="1"/>
  <c r="H590" i="40"/>
  <c r="AI590" i="40"/>
  <c r="AE590" i="40"/>
  <c r="AA590" i="40"/>
  <c r="CI674" i="40" s="1"/>
  <c r="W590" i="40"/>
  <c r="CU590" i="40" s="1"/>
  <c r="S590" i="40"/>
  <c r="O590" i="40"/>
  <c r="CO590" i="40" s="1"/>
  <c r="K590" i="40"/>
  <c r="G590" i="40"/>
  <c r="AH590" i="40"/>
  <c r="Z590" i="40"/>
  <c r="R590" i="40"/>
  <c r="J590" i="40"/>
  <c r="AG590" i="40"/>
  <c r="Y590" i="40"/>
  <c r="Q590" i="40"/>
  <c r="I590" i="40"/>
  <c r="AD590" i="40"/>
  <c r="V590" i="40"/>
  <c r="CT590" i="40" s="1"/>
  <c r="N590" i="40"/>
  <c r="CN590" i="40" s="1"/>
  <c r="F590" i="40"/>
  <c r="AC590" i="40"/>
  <c r="U590" i="40"/>
  <c r="CS590" i="40" s="1"/>
  <c r="M590" i="40"/>
  <c r="CM590" i="40" s="1"/>
  <c r="E590" i="40"/>
  <c r="BN590" i="40"/>
  <c r="CH590" i="40"/>
  <c r="CJ590" i="40"/>
  <c r="DV590" i="40"/>
  <c r="BI590" i="40"/>
  <c r="A590" i="40"/>
  <c r="BF590" i="40"/>
  <c r="BV590" i="40"/>
  <c r="DT590" i="40"/>
  <c r="BG590" i="40"/>
  <c r="BW590" i="40"/>
  <c r="DU590" i="40"/>
  <c r="BL590" i="40"/>
  <c r="CB590" i="40"/>
  <c r="BA590" i="40"/>
  <c r="BE590" i="40"/>
  <c r="DW590" i="40"/>
  <c r="BZ590" i="40"/>
  <c r="BP590" i="40"/>
  <c r="BQ590" i="40"/>
  <c r="AW590" i="40"/>
  <c r="AX590" i="40"/>
  <c r="CE590" i="40"/>
  <c r="BT590" i="40"/>
  <c r="CC590" i="40"/>
  <c r="DS590" i="40"/>
  <c r="BJ590" i="40"/>
  <c r="BK590" i="40"/>
  <c r="CA590" i="40"/>
  <c r="AZ590" i="40"/>
  <c r="CF590" i="40"/>
  <c r="BM590" i="40"/>
  <c r="BU590" i="40"/>
  <c r="CD590" i="40"/>
  <c r="BO590" i="40"/>
  <c r="BD590" i="40"/>
  <c r="DM590" i="40"/>
  <c r="CG590" i="40"/>
  <c r="C591" i="40"/>
  <c r="BB590" i="40"/>
  <c r="BR590" i="40"/>
  <c r="BC590" i="40"/>
  <c r="BS590" i="40"/>
  <c r="BH590" i="40"/>
  <c r="BX590" i="40"/>
  <c r="BY590" i="40"/>
  <c r="AN589" i="40"/>
  <c r="CP589" i="40"/>
  <c r="AO589" i="40"/>
  <c r="CQ589" i="40"/>
  <c r="AH291" i="40"/>
  <c r="AD291" i="40"/>
  <c r="Z291" i="40"/>
  <c r="V291" i="40"/>
  <c r="CT291" i="40" s="1"/>
  <c r="R291" i="40"/>
  <c r="N291" i="40"/>
  <c r="CN291" i="40" s="1"/>
  <c r="J291" i="40"/>
  <c r="F291" i="40"/>
  <c r="AG291" i="40"/>
  <c r="AC291" i="40"/>
  <c r="Y291" i="40"/>
  <c r="U291" i="40"/>
  <c r="CS291" i="40" s="1"/>
  <c r="Q291" i="40"/>
  <c r="M291" i="40"/>
  <c r="CM291" i="40" s="1"/>
  <c r="I291" i="40"/>
  <c r="E291" i="40"/>
  <c r="AJ291" i="40"/>
  <c r="AF291" i="40"/>
  <c r="AB291" i="40"/>
  <c r="X291" i="40"/>
  <c r="T291" i="40"/>
  <c r="CR291" i="40" s="1"/>
  <c r="P291" i="40"/>
  <c r="L291" i="40"/>
  <c r="CL291" i="40" s="1"/>
  <c r="H291" i="40"/>
  <c r="AA291" i="40"/>
  <c r="K291" i="40"/>
  <c r="W291" i="40"/>
  <c r="CU291" i="40" s="1"/>
  <c r="G291" i="40"/>
  <c r="AI291" i="40"/>
  <c r="S291" i="40"/>
  <c r="AE291" i="40"/>
  <c r="O291" i="40"/>
  <c r="CQ690" i="40"/>
  <c r="AO690" i="40"/>
  <c r="AN690" i="40"/>
  <c r="CP690" i="40"/>
  <c r="JP691" i="40"/>
  <c r="AI691" i="40"/>
  <c r="CJ691" i="40"/>
  <c r="AJ691" i="40"/>
  <c r="KN691" i="40"/>
  <c r="JO691" i="40"/>
  <c r="JQ691" i="40" s="1"/>
  <c r="JU691" i="40" s="1"/>
  <c r="JV691" i="40" s="1"/>
  <c r="JW691" i="40" s="1"/>
  <c r="BX691" i="40"/>
  <c r="BH691" i="40"/>
  <c r="P691" i="40"/>
  <c r="CE691" i="40"/>
  <c r="BO691" i="40"/>
  <c r="CD691" i="40"/>
  <c r="BA691" i="40"/>
  <c r="DU691" i="40"/>
  <c r="BE691" i="40"/>
  <c r="BZ691" i="40"/>
  <c r="BY691" i="40"/>
  <c r="M691" i="40"/>
  <c r="CM691" i="40" s="1"/>
  <c r="CH691" i="40"/>
  <c r="AF691" i="40"/>
  <c r="DT691" i="40"/>
  <c r="BT691" i="40"/>
  <c r="BD691" i="40"/>
  <c r="L691" i="40"/>
  <c r="CL691" i="40" s="1"/>
  <c r="CA691" i="40"/>
  <c r="BK691" i="40"/>
  <c r="BV691" i="40"/>
  <c r="AG691" i="40"/>
  <c r="CC691" i="40"/>
  <c r="O691" i="40"/>
  <c r="CO691" i="40" s="1"/>
  <c r="BJ691" i="40"/>
  <c r="BI691" i="40"/>
  <c r="DM691" i="40"/>
  <c r="CG691" i="40"/>
  <c r="CF691" i="40"/>
  <c r="BP691" i="40"/>
  <c r="AZ691" i="40"/>
  <c r="DW691" i="40"/>
  <c r="BW691" i="40"/>
  <c r="BG691" i="40"/>
  <c r="BN691" i="40"/>
  <c r="K691" i="40"/>
  <c r="BU691" i="40"/>
  <c r="J691" i="40"/>
  <c r="AX691" i="40"/>
  <c r="AW691" i="40"/>
  <c r="BR691" i="40"/>
  <c r="BC691" i="40"/>
  <c r="CB691" i="40"/>
  <c r="BS691" i="40"/>
  <c r="BM691" i="40"/>
  <c r="BQ691" i="40"/>
  <c r="DS691" i="40"/>
  <c r="BL691" i="40"/>
  <c r="DV691" i="40"/>
  <c r="C692" i="40"/>
  <c r="BB691" i="40"/>
  <c r="A691" i="40"/>
  <c r="AB691" i="40"/>
  <c r="BF691" i="40"/>
  <c r="N691" i="40"/>
  <c r="CN691" i="40" s="1"/>
  <c r="W691" i="40"/>
  <c r="CU691" i="40" s="1"/>
  <c r="AH691" i="40"/>
  <c r="X691" i="40"/>
  <c r="AD691" i="40"/>
  <c r="AA691" i="40"/>
  <c r="H691" i="40"/>
  <c r="E691" i="40"/>
  <c r="S691" i="40"/>
  <c r="T691" i="40"/>
  <c r="CR691" i="40" s="1"/>
  <c r="U691" i="40"/>
  <c r="CS691" i="40" s="1"/>
  <c r="Y691" i="40"/>
  <c r="V691" i="40"/>
  <c r="CT691" i="40" s="1"/>
  <c r="Q691" i="40"/>
  <c r="I691" i="40"/>
  <c r="AE691" i="40"/>
  <c r="Z691" i="40"/>
  <c r="F691" i="40"/>
  <c r="R691" i="40"/>
  <c r="AC691" i="40"/>
  <c r="G691" i="40"/>
  <c r="CV589" i="40"/>
  <c r="AP589" i="40"/>
  <c r="JR690" i="40"/>
  <c r="JT690" i="40"/>
  <c r="DB589" i="40"/>
  <c r="IG186" i="40"/>
  <c r="CK489" i="40"/>
  <c r="AM489" i="40"/>
  <c r="AN489" i="40"/>
  <c r="CP489" i="40"/>
  <c r="AO489" i="40"/>
  <c r="CQ489" i="40"/>
  <c r="AP489" i="40"/>
  <c r="BC490" i="40"/>
  <c r="BS490" i="40"/>
  <c r="CJ490" i="40"/>
  <c r="BD490" i="40"/>
  <c r="BT490" i="40"/>
  <c r="DM490" i="40"/>
  <c r="BI490" i="40"/>
  <c r="BY490" i="40"/>
  <c r="DW490" i="40"/>
  <c r="BZ490" i="40"/>
  <c r="AW490" i="40"/>
  <c r="BF490" i="40"/>
  <c r="BG490" i="40"/>
  <c r="BX490" i="40"/>
  <c r="CC490" i="40"/>
  <c r="BB490" i="40"/>
  <c r="BO490" i="40"/>
  <c r="CF490" i="40"/>
  <c r="DS490" i="40"/>
  <c r="BV490" i="40"/>
  <c r="C491" i="40"/>
  <c r="BW490" i="40"/>
  <c r="DU490" i="40"/>
  <c r="BH490" i="40"/>
  <c r="DV490" i="40"/>
  <c r="BM490" i="40"/>
  <c r="A490" i="40"/>
  <c r="BN490" i="40"/>
  <c r="BJ490" i="40"/>
  <c r="BK490" i="40"/>
  <c r="CA490" i="40"/>
  <c r="BL490" i="40"/>
  <c r="CB490" i="40"/>
  <c r="BA490" i="40"/>
  <c r="BQ490" i="40"/>
  <c r="CG490" i="40"/>
  <c r="DT490" i="40"/>
  <c r="CD490" i="40"/>
  <c r="BR490" i="40"/>
  <c r="AX490" i="40"/>
  <c r="AZ490" i="40"/>
  <c r="BE490" i="40"/>
  <c r="CE490" i="40"/>
  <c r="BP490" i="40"/>
  <c r="BU490" i="40"/>
  <c r="CH490" i="40"/>
  <c r="AQ489" i="40"/>
  <c r="JR184" i="40"/>
  <c r="JT184" i="40"/>
  <c r="JX184" i="40" s="1"/>
  <c r="KQ184" i="40"/>
  <c r="KS184" i="40" s="1"/>
  <c r="JQ184" i="40"/>
  <c r="JU184" i="40" s="1"/>
  <c r="JV184" i="40" s="1"/>
  <c r="JW184" i="40" s="1"/>
  <c r="JS184" i="40"/>
  <c r="AP290" i="40"/>
  <c r="KJ186" i="40"/>
  <c r="KO186" i="40"/>
  <c r="IB187" i="40"/>
  <c r="IF187" i="40" s="1"/>
  <c r="V42" i="58" s="1"/>
  <c r="DB290" i="40"/>
  <c r="CQ290" i="40"/>
  <c r="AO290" i="40"/>
  <c r="AM290" i="40"/>
  <c r="CK290" i="40"/>
  <c r="DB390" i="40"/>
  <c r="JD185" i="40"/>
  <c r="KP185" i="40"/>
  <c r="KR185" i="40" s="1"/>
  <c r="IE186" i="40"/>
  <c r="AQ185" i="40"/>
  <c r="AQ290" i="40"/>
  <c r="CV290" i="40"/>
  <c r="BC291" i="40"/>
  <c r="BS291" i="40"/>
  <c r="CJ291" i="40"/>
  <c r="BD291" i="40"/>
  <c r="BT291" i="40"/>
  <c r="DM291" i="40"/>
  <c r="BI291" i="40"/>
  <c r="BY291" i="40"/>
  <c r="DW291" i="40"/>
  <c r="BZ291" i="40"/>
  <c r="CD291" i="40"/>
  <c r="CH291" i="40"/>
  <c r="BV291" i="40"/>
  <c r="C292" i="40"/>
  <c r="BG291" i="40"/>
  <c r="BW291" i="40"/>
  <c r="DU291" i="40"/>
  <c r="BH291" i="40"/>
  <c r="BX291" i="40"/>
  <c r="DV291" i="40"/>
  <c r="CO291" i="40"/>
  <c r="BM291" i="40"/>
  <c r="CC291" i="40"/>
  <c r="A291" i="40"/>
  <c r="DT291" i="40"/>
  <c r="CA291" i="40"/>
  <c r="BL291" i="40"/>
  <c r="BA291" i="40"/>
  <c r="CG291" i="40"/>
  <c r="AW291" i="40"/>
  <c r="BB291" i="40"/>
  <c r="BK291" i="40"/>
  <c r="CB291" i="40"/>
  <c r="BQ291" i="40"/>
  <c r="AX291" i="40"/>
  <c r="BO291" i="40"/>
  <c r="CE291" i="40"/>
  <c r="AZ291" i="40"/>
  <c r="BP291" i="40"/>
  <c r="CF291" i="40"/>
  <c r="BE291" i="40"/>
  <c r="BU291" i="40"/>
  <c r="DS291" i="40"/>
  <c r="BJ291" i="40"/>
  <c r="BN291" i="40"/>
  <c r="BR291" i="40"/>
  <c r="BF291" i="40"/>
  <c r="CP290" i="40"/>
  <c r="AN290" i="40"/>
  <c r="AQ190" i="40"/>
  <c r="AP390" i="40"/>
  <c r="CV390" i="40"/>
  <c r="AQ390" i="40"/>
  <c r="CV190" i="40"/>
  <c r="AL190" i="40"/>
  <c r="AK190" i="40"/>
  <c r="CQ190" i="40"/>
  <c r="AO190" i="40"/>
  <c r="CK190" i="40"/>
  <c r="AM190" i="40"/>
  <c r="AM390" i="40"/>
  <c r="CK390" i="40"/>
  <c r="C392" i="40"/>
  <c r="BA391" i="40"/>
  <c r="BE391" i="40"/>
  <c r="BI391" i="40"/>
  <c r="BM391" i="40"/>
  <c r="BQ391" i="40"/>
  <c r="BU391" i="40"/>
  <c r="BY391" i="40"/>
  <c r="CC391" i="40"/>
  <c r="CG391" i="40"/>
  <c r="DS391" i="40"/>
  <c r="DW391" i="40"/>
  <c r="A391" i="40"/>
  <c r="AW391" i="40"/>
  <c r="BB391" i="40"/>
  <c r="BF391" i="40"/>
  <c r="BJ391" i="40"/>
  <c r="BN391" i="40"/>
  <c r="BR391" i="40"/>
  <c r="BV391" i="40"/>
  <c r="BZ391" i="40"/>
  <c r="CD391" i="40"/>
  <c r="CH391" i="40"/>
  <c r="DT391" i="40"/>
  <c r="AX391" i="40"/>
  <c r="BC391" i="40"/>
  <c r="BG391" i="40"/>
  <c r="BK391" i="40"/>
  <c r="BO391" i="40"/>
  <c r="BS391" i="40"/>
  <c r="BW391" i="40"/>
  <c r="CA391" i="40"/>
  <c r="CE391" i="40"/>
  <c r="CJ391" i="40"/>
  <c r="DU391" i="40"/>
  <c r="BD391" i="40"/>
  <c r="BT391" i="40"/>
  <c r="DM391" i="40"/>
  <c r="BH391" i="40"/>
  <c r="BX391" i="40"/>
  <c r="DV391" i="40"/>
  <c r="BL391" i="40"/>
  <c r="CB391" i="40"/>
  <c r="CF391" i="40"/>
  <c r="BP391" i="40"/>
  <c r="AZ391" i="40"/>
  <c r="CS391" i="40"/>
  <c r="C192" i="40"/>
  <c r="AX191" i="40"/>
  <c r="BC191" i="40"/>
  <c r="BG191" i="40"/>
  <c r="BK191" i="40"/>
  <c r="BO191" i="40"/>
  <c r="BS191" i="40"/>
  <c r="BW191" i="40"/>
  <c r="CA191" i="40"/>
  <c r="CE191" i="40"/>
  <c r="CJ191" i="40"/>
  <c r="DU191" i="40"/>
  <c r="A191" i="40"/>
  <c r="AZ191" i="40"/>
  <c r="BD191" i="40"/>
  <c r="BH191" i="40"/>
  <c r="BL191" i="40"/>
  <c r="BP191" i="40"/>
  <c r="BT191" i="40"/>
  <c r="BX191" i="40"/>
  <c r="CB191" i="40"/>
  <c r="CF191" i="40"/>
  <c r="DM191" i="40"/>
  <c r="DV191" i="40"/>
  <c r="BA191" i="40"/>
  <c r="BE191" i="40"/>
  <c r="BI191" i="40"/>
  <c r="BM191" i="40"/>
  <c r="BQ191" i="40"/>
  <c r="BU191" i="40"/>
  <c r="BY191" i="40"/>
  <c r="CC191" i="40"/>
  <c r="CG191" i="40"/>
  <c r="DS191" i="40"/>
  <c r="DW191" i="40"/>
  <c r="AW191" i="40"/>
  <c r="BN191" i="40"/>
  <c r="CD191" i="40"/>
  <c r="BB191" i="40"/>
  <c r="BR191" i="40"/>
  <c r="CH191" i="40"/>
  <c r="BF191" i="40"/>
  <c r="BV191" i="40"/>
  <c r="DT191" i="40"/>
  <c r="BJ191" i="40"/>
  <c r="BZ191" i="40"/>
  <c r="CP390" i="40"/>
  <c r="AN390" i="40"/>
  <c r="DB190" i="40"/>
  <c r="KU132" i="40"/>
  <c r="KT133" i="40"/>
  <c r="AO390" i="40"/>
  <c r="CQ390" i="40"/>
  <c r="AP190" i="40"/>
  <c r="CP190" i="40"/>
  <c r="AN190" i="40"/>
  <c r="CI574" i="40" l="1"/>
  <c r="CI375" i="40"/>
  <c r="CI691" i="40"/>
  <c r="CI291" i="40"/>
  <c r="CI391" i="40"/>
  <c r="CI590" i="40"/>
  <c r="CI191" i="40"/>
  <c r="CI490" i="40"/>
  <c r="DB291" i="40"/>
  <c r="AP291" i="40"/>
  <c r="CV490" i="40"/>
  <c r="V43" i="58"/>
  <c r="R42" i="58"/>
  <c r="R43" i="58" s="1"/>
  <c r="AE43" i="58"/>
  <c r="AI43" i="58" s="1"/>
  <c r="AM43" i="58"/>
  <c r="DB490" i="40"/>
  <c r="KK186" i="40"/>
  <c r="W40" i="58"/>
  <c r="W41" i="58" s="1"/>
  <c r="DB391" i="40"/>
  <c r="AQ590" i="40"/>
  <c r="DB590" i="40"/>
  <c r="CV691" i="40"/>
  <c r="AH292" i="40"/>
  <c r="AD292" i="40"/>
  <c r="Z292" i="40"/>
  <c r="V292" i="40"/>
  <c r="R292" i="40"/>
  <c r="N292" i="40"/>
  <c r="CN292" i="40" s="1"/>
  <c r="J292" i="40"/>
  <c r="F292" i="40"/>
  <c r="AG292" i="40"/>
  <c r="AC292" i="40"/>
  <c r="Y292" i="40"/>
  <c r="U292" i="40"/>
  <c r="Q292" i="40"/>
  <c r="M292" i="40"/>
  <c r="CM292" i="40" s="1"/>
  <c r="I292" i="40"/>
  <c r="E292" i="40"/>
  <c r="AJ292" i="40"/>
  <c r="AF292" i="40"/>
  <c r="AB292" i="40"/>
  <c r="X292" i="40"/>
  <c r="T292" i="40"/>
  <c r="P292" i="40"/>
  <c r="L292" i="40"/>
  <c r="CL292" i="40" s="1"/>
  <c r="H292" i="40"/>
  <c r="AA292" i="40"/>
  <c r="K292" i="40"/>
  <c r="W292" i="40"/>
  <c r="CU292" i="40" s="1"/>
  <c r="G292" i="40"/>
  <c r="AI292" i="40"/>
  <c r="S292" i="40"/>
  <c r="AE292" i="40"/>
  <c r="O292" i="40"/>
  <c r="CQ590" i="40"/>
  <c r="AO590" i="40"/>
  <c r="AG192" i="40"/>
  <c r="AC192" i="40"/>
  <c r="Y192" i="40"/>
  <c r="U192" i="40"/>
  <c r="CS192" i="40" s="1"/>
  <c r="Q192" i="40"/>
  <c r="M192" i="40"/>
  <c r="I192" i="40"/>
  <c r="E192" i="40"/>
  <c r="AJ192" i="40"/>
  <c r="AF192" i="40"/>
  <c r="AB192" i="40"/>
  <c r="X192" i="40"/>
  <c r="T192" i="40"/>
  <c r="CR192" i="40" s="1"/>
  <c r="P192" i="40"/>
  <c r="L192" i="40"/>
  <c r="CL192" i="40" s="1"/>
  <c r="H192" i="40"/>
  <c r="AI192" i="40"/>
  <c r="AE192" i="40"/>
  <c r="AA192" i="40"/>
  <c r="CI276" i="40" s="1"/>
  <c r="W192" i="40"/>
  <c r="CU192" i="40" s="1"/>
  <c r="S192" i="40"/>
  <c r="O192" i="40"/>
  <c r="K192" i="40"/>
  <c r="G192" i="40"/>
  <c r="AH192" i="40"/>
  <c r="R192" i="40"/>
  <c r="AD192" i="40"/>
  <c r="N192" i="40"/>
  <c r="CN192" i="40" s="1"/>
  <c r="Z192" i="40"/>
  <c r="J192" i="40"/>
  <c r="V192" i="40"/>
  <c r="CT192" i="40" s="1"/>
  <c r="F192" i="40"/>
  <c r="AN691" i="40"/>
  <c r="CP691" i="40"/>
  <c r="CK691" i="40"/>
  <c r="AM691" i="40"/>
  <c r="AJ392" i="40"/>
  <c r="AF392" i="40"/>
  <c r="AB392" i="40"/>
  <c r="X392" i="40"/>
  <c r="T392" i="40"/>
  <c r="P392" i="40"/>
  <c r="L392" i="40"/>
  <c r="CL392" i="40" s="1"/>
  <c r="H392" i="40"/>
  <c r="AI392" i="40"/>
  <c r="AE392" i="40"/>
  <c r="AA392" i="40"/>
  <c r="CI476" i="40" s="1"/>
  <c r="W392" i="40"/>
  <c r="CU392" i="40" s="1"/>
  <c r="S392" i="40"/>
  <c r="O392" i="40"/>
  <c r="K392" i="40"/>
  <c r="G392" i="40"/>
  <c r="AH392" i="40"/>
  <c r="AD392" i="40"/>
  <c r="Z392" i="40"/>
  <c r="V392" i="40"/>
  <c r="CT392" i="40" s="1"/>
  <c r="R392" i="40"/>
  <c r="N392" i="40"/>
  <c r="J392" i="40"/>
  <c r="F392" i="40"/>
  <c r="U392" i="40"/>
  <c r="CS392" i="40" s="1"/>
  <c r="E392" i="40"/>
  <c r="AG392" i="40"/>
  <c r="Q392" i="40"/>
  <c r="AC392" i="40"/>
  <c r="M392" i="40"/>
  <c r="I392" i="40"/>
  <c r="Y392" i="40"/>
  <c r="AJ491" i="40"/>
  <c r="AF491" i="40"/>
  <c r="AB491" i="40"/>
  <c r="X491" i="40"/>
  <c r="T491" i="40"/>
  <c r="CR491" i="40" s="1"/>
  <c r="P491" i="40"/>
  <c r="L491" i="40"/>
  <c r="CL491" i="40" s="1"/>
  <c r="H491" i="40"/>
  <c r="AH491" i="40"/>
  <c r="AD491" i="40"/>
  <c r="Z491" i="40"/>
  <c r="V491" i="40"/>
  <c r="CT491" i="40" s="1"/>
  <c r="R491" i="40"/>
  <c r="N491" i="40"/>
  <c r="CN491" i="40" s="1"/>
  <c r="J491" i="40"/>
  <c r="F491" i="40"/>
  <c r="AI491" i="40"/>
  <c r="AA491" i="40"/>
  <c r="S491" i="40"/>
  <c r="K491" i="40"/>
  <c r="AG491" i="40"/>
  <c r="Y491" i="40"/>
  <c r="Q491" i="40"/>
  <c r="I491" i="40"/>
  <c r="AE491" i="40"/>
  <c r="W491" i="40"/>
  <c r="O491" i="40"/>
  <c r="CO491" i="40" s="1"/>
  <c r="G491" i="40"/>
  <c r="U491" i="40"/>
  <c r="M491" i="40"/>
  <c r="E491" i="40"/>
  <c r="AC491" i="40"/>
  <c r="AQ691" i="40"/>
  <c r="DB691" i="40"/>
  <c r="CQ691" i="40"/>
  <c r="AO691" i="40"/>
  <c r="JR691" i="40"/>
  <c r="JT691" i="40"/>
  <c r="AJ591" i="40"/>
  <c r="AF591" i="40"/>
  <c r="AB591" i="40"/>
  <c r="X591" i="40"/>
  <c r="T591" i="40"/>
  <c r="CR591" i="40" s="1"/>
  <c r="P591" i="40"/>
  <c r="L591" i="40"/>
  <c r="CL591" i="40" s="1"/>
  <c r="H591" i="40"/>
  <c r="AI591" i="40"/>
  <c r="AE591" i="40"/>
  <c r="AA591" i="40"/>
  <c r="CI675" i="40" s="1"/>
  <c r="W591" i="40"/>
  <c r="CU591" i="40" s="1"/>
  <c r="S591" i="40"/>
  <c r="O591" i="40"/>
  <c r="CO591" i="40" s="1"/>
  <c r="K591" i="40"/>
  <c r="G591" i="40"/>
  <c r="AH591" i="40"/>
  <c r="Z591" i="40"/>
  <c r="R591" i="40"/>
  <c r="J591" i="40"/>
  <c r="AG591" i="40"/>
  <c r="Y591" i="40"/>
  <c r="Q591" i="40"/>
  <c r="I591" i="40"/>
  <c r="AD591" i="40"/>
  <c r="V591" i="40"/>
  <c r="CT591" i="40" s="1"/>
  <c r="N591" i="40"/>
  <c r="CN591" i="40" s="1"/>
  <c r="F591" i="40"/>
  <c r="AC591" i="40"/>
  <c r="U591" i="40"/>
  <c r="CS591" i="40" s="1"/>
  <c r="M591" i="40"/>
  <c r="CM591" i="40" s="1"/>
  <c r="E591" i="40"/>
  <c r="BS591" i="40"/>
  <c r="A591" i="40"/>
  <c r="BF591" i="40"/>
  <c r="BV591" i="40"/>
  <c r="DT591" i="40"/>
  <c r="BG591" i="40"/>
  <c r="BW591" i="40"/>
  <c r="DU591" i="40"/>
  <c r="BL591" i="40"/>
  <c r="CB591" i="40"/>
  <c r="BA591" i="40"/>
  <c r="DW591" i="40"/>
  <c r="BI591" i="40"/>
  <c r="BO591" i="40"/>
  <c r="BB591" i="40"/>
  <c r="BH591" i="40"/>
  <c r="BJ591" i="40"/>
  <c r="BZ591" i="40"/>
  <c r="BK591" i="40"/>
  <c r="CA591" i="40"/>
  <c r="AZ591" i="40"/>
  <c r="BP591" i="40"/>
  <c r="CF591" i="40"/>
  <c r="BM591" i="40"/>
  <c r="BQ591" i="40"/>
  <c r="BE591" i="40"/>
  <c r="AW591" i="40"/>
  <c r="BN591" i="40"/>
  <c r="AX591" i="40"/>
  <c r="BD591" i="40"/>
  <c r="BT591" i="40"/>
  <c r="CC591" i="40"/>
  <c r="BU591" i="40"/>
  <c r="C592" i="40"/>
  <c r="BR591" i="40"/>
  <c r="BC591" i="40"/>
  <c r="BX591" i="40"/>
  <c r="BY591" i="40"/>
  <c r="CD591" i="40"/>
  <c r="CE591" i="40"/>
  <c r="DM591" i="40"/>
  <c r="CG591" i="40"/>
  <c r="CH591" i="40"/>
  <c r="CJ591" i="40"/>
  <c r="DV591" i="40"/>
  <c r="DS591" i="40"/>
  <c r="CP590" i="40"/>
  <c r="AN590" i="40"/>
  <c r="CK590" i="40"/>
  <c r="AM590" i="40"/>
  <c r="AP590" i="40"/>
  <c r="AP691" i="40"/>
  <c r="JO692" i="40"/>
  <c r="JQ692" i="40" s="1"/>
  <c r="JU692" i="40" s="1"/>
  <c r="AF692" i="40"/>
  <c r="JP692" i="40"/>
  <c r="AI692" i="40"/>
  <c r="AJ692" i="40"/>
  <c r="CJ692" i="40"/>
  <c r="C693" i="40"/>
  <c r="CD692" i="40"/>
  <c r="BN692" i="40"/>
  <c r="BS692" i="40"/>
  <c r="BA692" i="40"/>
  <c r="A692" i="40"/>
  <c r="BW692" i="40"/>
  <c r="BD692" i="40"/>
  <c r="L692" i="40"/>
  <c r="CL692" i="40" s="1"/>
  <c r="W692" i="40"/>
  <c r="CU692" i="40" s="1"/>
  <c r="BF692" i="40"/>
  <c r="BC692" i="40"/>
  <c r="BK692" i="40"/>
  <c r="K692" i="40"/>
  <c r="KN692" i="40"/>
  <c r="DV692" i="40"/>
  <c r="BZ692" i="40"/>
  <c r="DS692" i="40"/>
  <c r="BM692" i="40"/>
  <c r="AW692" i="40"/>
  <c r="DW692" i="40"/>
  <c r="BQ692" i="40"/>
  <c r="AZ692" i="40"/>
  <c r="CA692" i="40"/>
  <c r="O692" i="40"/>
  <c r="CO692" i="40" s="1"/>
  <c r="AX692" i="40"/>
  <c r="BT692" i="40"/>
  <c r="DT692" i="40"/>
  <c r="CE692" i="40"/>
  <c r="DM692" i="40"/>
  <c r="BV692" i="40"/>
  <c r="CC692" i="40"/>
  <c r="BI692" i="40"/>
  <c r="AG692" i="40"/>
  <c r="CG692" i="40"/>
  <c r="BL692" i="40"/>
  <c r="AB692" i="40"/>
  <c r="BP692" i="40"/>
  <c r="BY692" i="40"/>
  <c r="N692" i="40"/>
  <c r="CN692" i="40" s="1"/>
  <c r="BB692" i="40"/>
  <c r="BJ692" i="40"/>
  <c r="J692" i="40"/>
  <c r="BX692" i="40"/>
  <c r="BH692" i="40"/>
  <c r="BU692" i="40"/>
  <c r="CB692" i="40"/>
  <c r="BE692" i="40"/>
  <c r="P692" i="40"/>
  <c r="DU692" i="40"/>
  <c r="BR692" i="40"/>
  <c r="CH692" i="40"/>
  <c r="M692" i="40"/>
  <c r="CM692" i="40" s="1"/>
  <c r="BG692" i="40"/>
  <c r="CF692" i="40"/>
  <c r="BO692" i="40"/>
  <c r="AH692" i="40"/>
  <c r="X692" i="40"/>
  <c r="AD692" i="40"/>
  <c r="AA692" i="40"/>
  <c r="U692" i="40"/>
  <c r="CS692" i="40" s="1"/>
  <c r="E692" i="40"/>
  <c r="S692" i="40"/>
  <c r="T692" i="40"/>
  <c r="CR692" i="40" s="1"/>
  <c r="Y692" i="40"/>
  <c r="Z692" i="40"/>
  <c r="Q692" i="40"/>
  <c r="V692" i="40"/>
  <c r="CT692" i="40" s="1"/>
  <c r="AC692" i="40"/>
  <c r="I692" i="40"/>
  <c r="H692" i="40"/>
  <c r="F692" i="40"/>
  <c r="R692" i="40"/>
  <c r="AE692" i="40"/>
  <c r="G692" i="40"/>
  <c r="CV590" i="40"/>
  <c r="AQ186" i="40"/>
  <c r="AP490" i="40"/>
  <c r="AO490" i="40"/>
  <c r="CQ490" i="40"/>
  <c r="CP490" i="40"/>
  <c r="AN490" i="40"/>
  <c r="BB491" i="40"/>
  <c r="BR491" i="40"/>
  <c r="CH491" i="40"/>
  <c r="BC491" i="40"/>
  <c r="BS491" i="40"/>
  <c r="CJ491" i="40"/>
  <c r="BD491" i="40"/>
  <c r="BT491" i="40"/>
  <c r="DM491" i="40"/>
  <c r="BI491" i="40"/>
  <c r="CM491" i="40"/>
  <c r="CU491" i="40"/>
  <c r="C492" i="40"/>
  <c r="BF491" i="40"/>
  <c r="BV491" i="40"/>
  <c r="DT491" i="40"/>
  <c r="BG491" i="40"/>
  <c r="BW491" i="40"/>
  <c r="DU491" i="40"/>
  <c r="BH491" i="40"/>
  <c r="BX491" i="40"/>
  <c r="DV491" i="40"/>
  <c r="BY491" i="40"/>
  <c r="BM491" i="40"/>
  <c r="BA491" i="40"/>
  <c r="DS491" i="40"/>
  <c r="BJ491" i="40"/>
  <c r="BZ491" i="40"/>
  <c r="BK491" i="40"/>
  <c r="CA491" i="40"/>
  <c r="BL491" i="40"/>
  <c r="CB491" i="40"/>
  <c r="DW491" i="40"/>
  <c r="A491" i="40"/>
  <c r="CC491" i="40"/>
  <c r="BQ491" i="40"/>
  <c r="AW491" i="40"/>
  <c r="BN491" i="40"/>
  <c r="CD491" i="40"/>
  <c r="AX491" i="40"/>
  <c r="BO491" i="40"/>
  <c r="CE491" i="40"/>
  <c r="AZ491" i="40"/>
  <c r="BP491" i="40"/>
  <c r="CF491" i="40"/>
  <c r="BU491" i="40"/>
  <c r="BE491" i="40"/>
  <c r="CG491" i="40"/>
  <c r="CK490" i="40"/>
  <c r="AM490" i="40"/>
  <c r="AQ490" i="40"/>
  <c r="AM291" i="40"/>
  <c r="CK291" i="40"/>
  <c r="BK292" i="40"/>
  <c r="CA292" i="40"/>
  <c r="BL292" i="40"/>
  <c r="CB292" i="40"/>
  <c r="BA292" i="40"/>
  <c r="BQ292" i="40"/>
  <c r="CG292" i="40"/>
  <c r="AW292" i="40"/>
  <c r="BB292" i="40"/>
  <c r="CS292" i="40"/>
  <c r="AX292" i="40"/>
  <c r="BO292" i="40"/>
  <c r="CE292" i="40"/>
  <c r="AZ292" i="40"/>
  <c r="BP292" i="40"/>
  <c r="CF292" i="40"/>
  <c r="BE292" i="40"/>
  <c r="BU292" i="40"/>
  <c r="DS292" i="40"/>
  <c r="BJ292" i="40"/>
  <c r="BN292" i="40"/>
  <c r="BR292" i="40"/>
  <c r="BF292" i="40"/>
  <c r="CR292" i="40"/>
  <c r="BC292" i="40"/>
  <c r="BS292" i="40"/>
  <c r="CJ292" i="40"/>
  <c r="BD292" i="40"/>
  <c r="BT292" i="40"/>
  <c r="DM292" i="40"/>
  <c r="BI292" i="40"/>
  <c r="BY292" i="40"/>
  <c r="DW292" i="40"/>
  <c r="BZ292" i="40"/>
  <c r="CD292" i="40"/>
  <c r="CH292" i="40"/>
  <c r="BV292" i="40"/>
  <c r="CT292" i="40"/>
  <c r="C293" i="40"/>
  <c r="BG292" i="40"/>
  <c r="BW292" i="40"/>
  <c r="DU292" i="40"/>
  <c r="BH292" i="40"/>
  <c r="BX292" i="40"/>
  <c r="DV292" i="40"/>
  <c r="CO292" i="40"/>
  <c r="BM292" i="40"/>
  <c r="CC292" i="40"/>
  <c r="A292" i="40"/>
  <c r="DT292" i="40"/>
  <c r="KJ187" i="40"/>
  <c r="KO187" i="40"/>
  <c r="IE187" i="40"/>
  <c r="IG187" i="40"/>
  <c r="JT185" i="40"/>
  <c r="JX185" i="40" s="1"/>
  <c r="KQ185" i="40"/>
  <c r="KS185" i="40" s="1"/>
  <c r="JR185" i="40"/>
  <c r="JQ185" i="40"/>
  <c r="JU185" i="40" s="1"/>
  <c r="JV185" i="40" s="1"/>
  <c r="JW185" i="40" s="1"/>
  <c r="JS185" i="40"/>
  <c r="CQ291" i="40"/>
  <c r="AO291" i="40"/>
  <c r="CV291" i="40"/>
  <c r="CP291" i="40"/>
  <c r="AN291" i="40"/>
  <c r="AQ291" i="40"/>
  <c r="JD186" i="40"/>
  <c r="KP186" i="40"/>
  <c r="KR186" i="40" s="1"/>
  <c r="KI186" i="40"/>
  <c r="D190" i="40"/>
  <c r="AY190" i="40" s="1"/>
  <c r="CV191" i="40"/>
  <c r="AL191" i="40"/>
  <c r="AK191" i="40"/>
  <c r="DB191" i="40"/>
  <c r="CV391" i="40"/>
  <c r="CP391" i="40"/>
  <c r="AN391" i="40"/>
  <c r="AQ391" i="40"/>
  <c r="KT134" i="40"/>
  <c r="KU133" i="40"/>
  <c r="I47" i="70" s="1"/>
  <c r="CQ191" i="40"/>
  <c r="AO191" i="40"/>
  <c r="CK191" i="40"/>
  <c r="AM191" i="40"/>
  <c r="C193" i="40"/>
  <c r="AW192" i="40"/>
  <c r="BB192" i="40"/>
  <c r="BF192" i="40"/>
  <c r="BJ192" i="40"/>
  <c r="BN192" i="40"/>
  <c r="BR192" i="40"/>
  <c r="BV192" i="40"/>
  <c r="BZ192" i="40"/>
  <c r="CD192" i="40"/>
  <c r="CH192" i="40"/>
  <c r="DT192" i="40"/>
  <c r="AX192" i="40"/>
  <c r="BC192" i="40"/>
  <c r="BG192" i="40"/>
  <c r="BK192" i="40"/>
  <c r="BO192" i="40"/>
  <c r="BS192" i="40"/>
  <c r="BW192" i="40"/>
  <c r="CA192" i="40"/>
  <c r="CE192" i="40"/>
  <c r="CJ192" i="40"/>
  <c r="DU192" i="40"/>
  <c r="CO192" i="40"/>
  <c r="AZ192" i="40"/>
  <c r="BD192" i="40"/>
  <c r="BH192" i="40"/>
  <c r="BL192" i="40"/>
  <c r="BP192" i="40"/>
  <c r="BT192" i="40"/>
  <c r="BX192" i="40"/>
  <c r="CB192" i="40"/>
  <c r="CF192" i="40"/>
  <c r="DM192" i="40"/>
  <c r="DV192" i="40"/>
  <c r="CM192" i="40"/>
  <c r="BM192" i="40"/>
  <c r="CC192" i="40"/>
  <c r="BA192" i="40"/>
  <c r="BQ192" i="40"/>
  <c r="CG192" i="40"/>
  <c r="BE192" i="40"/>
  <c r="BU192" i="40"/>
  <c r="DS192" i="40"/>
  <c r="BI192" i="40"/>
  <c r="BY192" i="40"/>
  <c r="A192" i="40"/>
  <c r="DW192" i="40"/>
  <c r="AO391" i="40"/>
  <c r="CQ391" i="40"/>
  <c r="CK391" i="40"/>
  <c r="AM391" i="40"/>
  <c r="C393" i="40"/>
  <c r="CO392" i="40"/>
  <c r="BA392" i="40"/>
  <c r="BE392" i="40"/>
  <c r="BI392" i="40"/>
  <c r="BM392" i="40"/>
  <c r="BQ392" i="40"/>
  <c r="BU392" i="40"/>
  <c r="BY392" i="40"/>
  <c r="CC392" i="40"/>
  <c r="CG392" i="40"/>
  <c r="DS392" i="40"/>
  <c r="DW392" i="40"/>
  <c r="A392" i="40"/>
  <c r="CM392" i="40"/>
  <c r="AW392" i="40"/>
  <c r="BB392" i="40"/>
  <c r="BF392" i="40"/>
  <c r="BJ392" i="40"/>
  <c r="BN392" i="40"/>
  <c r="BR392" i="40"/>
  <c r="BV392" i="40"/>
  <c r="BZ392" i="40"/>
  <c r="CD392" i="40"/>
  <c r="CH392" i="40"/>
  <c r="DT392" i="40"/>
  <c r="CN392" i="40"/>
  <c r="AX392" i="40"/>
  <c r="BC392" i="40"/>
  <c r="BG392" i="40"/>
  <c r="BK392" i="40"/>
  <c r="BO392" i="40"/>
  <c r="BS392" i="40"/>
  <c r="BW392" i="40"/>
  <c r="CA392" i="40"/>
  <c r="CE392" i="40"/>
  <c r="CJ392" i="40"/>
  <c r="DU392" i="40"/>
  <c r="BD392" i="40"/>
  <c r="BT392" i="40"/>
  <c r="DM392" i="40"/>
  <c r="BH392" i="40"/>
  <c r="BX392" i="40"/>
  <c r="DV392" i="40"/>
  <c r="BL392" i="40"/>
  <c r="CB392" i="40"/>
  <c r="CF392" i="40"/>
  <c r="AZ392" i="40"/>
  <c r="BP392" i="40"/>
  <c r="CR392" i="40"/>
  <c r="I46" i="70"/>
  <c r="I9" i="70"/>
  <c r="CP191" i="40"/>
  <c r="AN191" i="40"/>
  <c r="AP191" i="40"/>
  <c r="AQ191" i="40"/>
  <c r="AP391" i="40"/>
  <c r="CI575" i="40" l="1"/>
  <c r="CI591" i="40"/>
  <c r="CI292" i="40"/>
  <c r="CI192" i="40"/>
  <c r="CI491" i="40"/>
  <c r="CI376" i="40"/>
  <c r="CI692" i="40"/>
  <c r="CI392" i="40"/>
  <c r="DB491" i="40"/>
  <c r="KK187" i="40"/>
  <c r="W42" i="58"/>
  <c r="Z42" i="58"/>
  <c r="Z43" i="58" s="1"/>
  <c r="KI187" i="40"/>
  <c r="U42" i="58"/>
  <c r="AP491" i="40"/>
  <c r="CV491" i="40"/>
  <c r="CS491" i="40"/>
  <c r="DB692" i="40"/>
  <c r="CV692" i="40"/>
  <c r="CV591" i="40"/>
  <c r="DB591" i="40"/>
  <c r="AJ592" i="40"/>
  <c r="AF592" i="40"/>
  <c r="AB592" i="40"/>
  <c r="X592" i="40"/>
  <c r="T592" i="40"/>
  <c r="CR592" i="40" s="1"/>
  <c r="P592" i="40"/>
  <c r="L592" i="40"/>
  <c r="CL592" i="40" s="1"/>
  <c r="H592" i="40"/>
  <c r="AI592" i="40"/>
  <c r="AE592" i="40"/>
  <c r="AA592" i="40"/>
  <c r="W592" i="40"/>
  <c r="CU592" i="40" s="1"/>
  <c r="S592" i="40"/>
  <c r="O592" i="40"/>
  <c r="CO592" i="40" s="1"/>
  <c r="K592" i="40"/>
  <c r="G592" i="40"/>
  <c r="AH592" i="40"/>
  <c r="Z592" i="40"/>
  <c r="R592" i="40"/>
  <c r="J592" i="40"/>
  <c r="AG592" i="40"/>
  <c r="Y592" i="40"/>
  <c r="Q592" i="40"/>
  <c r="I592" i="40"/>
  <c r="AD592" i="40"/>
  <c r="V592" i="40"/>
  <c r="CT592" i="40" s="1"/>
  <c r="N592" i="40"/>
  <c r="CN592" i="40" s="1"/>
  <c r="F592" i="40"/>
  <c r="AC592" i="40"/>
  <c r="U592" i="40"/>
  <c r="CS592" i="40" s="1"/>
  <c r="M592" i="40"/>
  <c r="CM592" i="40" s="1"/>
  <c r="E592" i="40"/>
  <c r="BB592" i="40"/>
  <c r="CH592" i="40"/>
  <c r="BS592" i="40"/>
  <c r="BH592" i="40"/>
  <c r="DV592" i="40"/>
  <c r="BY592" i="40"/>
  <c r="BZ592" i="40"/>
  <c r="CA592" i="40"/>
  <c r="CF592" i="40"/>
  <c r="BU592" i="40"/>
  <c r="A592" i="40"/>
  <c r="BF592" i="40"/>
  <c r="BV592" i="40"/>
  <c r="DT592" i="40"/>
  <c r="BG592" i="40"/>
  <c r="BW592" i="40"/>
  <c r="DU592" i="40"/>
  <c r="BL592" i="40"/>
  <c r="CB592" i="40"/>
  <c r="BA592" i="40"/>
  <c r="BE592" i="40"/>
  <c r="DW592" i="40"/>
  <c r="BJ592" i="40"/>
  <c r="AZ592" i="40"/>
  <c r="BM592" i="40"/>
  <c r="AW592" i="40"/>
  <c r="BN592" i="40"/>
  <c r="CD592" i="40"/>
  <c r="AX592" i="40"/>
  <c r="BO592" i="40"/>
  <c r="CE592" i="40"/>
  <c r="BD592" i="40"/>
  <c r="BT592" i="40"/>
  <c r="DM592" i="40"/>
  <c r="CC592" i="40"/>
  <c r="CG592" i="40"/>
  <c r="DS592" i="40"/>
  <c r="C593" i="40"/>
  <c r="BR592" i="40"/>
  <c r="BC592" i="40"/>
  <c r="CJ592" i="40"/>
  <c r="BX592" i="40"/>
  <c r="BI592" i="40"/>
  <c r="BK592" i="40"/>
  <c r="BP592" i="40"/>
  <c r="BQ592" i="40"/>
  <c r="AH293" i="40"/>
  <c r="AD293" i="40"/>
  <c r="Z293" i="40"/>
  <c r="V293" i="40"/>
  <c r="CT293" i="40" s="1"/>
  <c r="R293" i="40"/>
  <c r="N293" i="40"/>
  <c r="CN293" i="40" s="1"/>
  <c r="J293" i="40"/>
  <c r="F293" i="40"/>
  <c r="AG293" i="40"/>
  <c r="AC293" i="40"/>
  <c r="Y293" i="40"/>
  <c r="U293" i="40"/>
  <c r="CS293" i="40" s="1"/>
  <c r="Q293" i="40"/>
  <c r="M293" i="40"/>
  <c r="CM293" i="40" s="1"/>
  <c r="I293" i="40"/>
  <c r="E293" i="40"/>
  <c r="AJ293" i="40"/>
  <c r="AF293" i="40"/>
  <c r="AB293" i="40"/>
  <c r="X293" i="40"/>
  <c r="T293" i="40"/>
  <c r="CR293" i="40" s="1"/>
  <c r="P293" i="40"/>
  <c r="L293" i="40"/>
  <c r="CL293" i="40" s="1"/>
  <c r="H293" i="40"/>
  <c r="AA293" i="40"/>
  <c r="K293" i="40"/>
  <c r="W293" i="40"/>
  <c r="G293" i="40"/>
  <c r="AI293" i="40"/>
  <c r="S293" i="40"/>
  <c r="AE293" i="40"/>
  <c r="O293" i="40"/>
  <c r="CO293" i="40" s="1"/>
  <c r="AQ692" i="40"/>
  <c r="AN692" i="40"/>
  <c r="CP692" i="40"/>
  <c r="CQ692" i="40"/>
  <c r="AO692" i="40"/>
  <c r="JV692" i="40"/>
  <c r="JW692" i="40" s="1"/>
  <c r="AO591" i="40"/>
  <c r="CQ591" i="40"/>
  <c r="AG193" i="40"/>
  <c r="AC193" i="40"/>
  <c r="Y193" i="40"/>
  <c r="U193" i="40"/>
  <c r="CS193" i="40" s="1"/>
  <c r="Q193" i="40"/>
  <c r="M193" i="40"/>
  <c r="CM193" i="40" s="1"/>
  <c r="I193" i="40"/>
  <c r="E193" i="40"/>
  <c r="AJ193" i="40"/>
  <c r="AF193" i="40"/>
  <c r="AB193" i="40"/>
  <c r="X193" i="40"/>
  <c r="T193" i="40"/>
  <c r="CR193" i="40" s="1"/>
  <c r="P193" i="40"/>
  <c r="L193" i="40"/>
  <c r="H193" i="40"/>
  <c r="AI193" i="40"/>
  <c r="AE193" i="40"/>
  <c r="AA193" i="40"/>
  <c r="CI277" i="40" s="1"/>
  <c r="W193" i="40"/>
  <c r="CU193" i="40" s="1"/>
  <c r="S193" i="40"/>
  <c r="O193" i="40"/>
  <c r="CO193" i="40" s="1"/>
  <c r="K193" i="40"/>
  <c r="G193" i="40"/>
  <c r="AH193" i="40"/>
  <c r="R193" i="40"/>
  <c r="AD193" i="40"/>
  <c r="N193" i="40"/>
  <c r="CN193" i="40" s="1"/>
  <c r="Z193" i="40"/>
  <c r="J193" i="40"/>
  <c r="V193" i="40"/>
  <c r="F193" i="40"/>
  <c r="AP692" i="40"/>
  <c r="CK692" i="40"/>
  <c r="AM692" i="40"/>
  <c r="AQ591" i="40"/>
  <c r="AP591" i="40"/>
  <c r="AJ393" i="40"/>
  <c r="AF393" i="40"/>
  <c r="AB393" i="40"/>
  <c r="X393" i="40"/>
  <c r="T393" i="40"/>
  <c r="P393" i="40"/>
  <c r="L393" i="40"/>
  <c r="CL393" i="40" s="1"/>
  <c r="H393" i="40"/>
  <c r="AI393" i="40"/>
  <c r="AE393" i="40"/>
  <c r="AA393" i="40"/>
  <c r="CI477" i="40" s="1"/>
  <c r="W393" i="40"/>
  <c r="CU393" i="40" s="1"/>
  <c r="S393" i="40"/>
  <c r="O393" i="40"/>
  <c r="CO393" i="40" s="1"/>
  <c r="K393" i="40"/>
  <c r="G393" i="40"/>
  <c r="AH393" i="40"/>
  <c r="AD393" i="40"/>
  <c r="Z393" i="40"/>
  <c r="V393" i="40"/>
  <c r="CT393" i="40" s="1"/>
  <c r="R393" i="40"/>
  <c r="N393" i="40"/>
  <c r="CN393" i="40" s="1"/>
  <c r="J393" i="40"/>
  <c r="F393" i="40"/>
  <c r="U393" i="40"/>
  <c r="CS393" i="40" s="1"/>
  <c r="E393" i="40"/>
  <c r="AG393" i="40"/>
  <c r="Q393" i="40"/>
  <c r="AC393" i="40"/>
  <c r="M393" i="40"/>
  <c r="CM393" i="40" s="1"/>
  <c r="Y393" i="40"/>
  <c r="I393" i="40"/>
  <c r="AJ492" i="40"/>
  <c r="AF492" i="40"/>
  <c r="AB492" i="40"/>
  <c r="X492" i="40"/>
  <c r="T492" i="40"/>
  <c r="CR492" i="40" s="1"/>
  <c r="P492" i="40"/>
  <c r="L492" i="40"/>
  <c r="CL492" i="40" s="1"/>
  <c r="H492" i="40"/>
  <c r="AH492" i="40"/>
  <c r="AD492" i="40"/>
  <c r="Z492" i="40"/>
  <c r="V492" i="40"/>
  <c r="CT492" i="40" s="1"/>
  <c r="R492" i="40"/>
  <c r="N492" i="40"/>
  <c r="CN492" i="40" s="1"/>
  <c r="J492" i="40"/>
  <c r="F492" i="40"/>
  <c r="AI492" i="40"/>
  <c r="AA492" i="40"/>
  <c r="S492" i="40"/>
  <c r="K492" i="40"/>
  <c r="AG492" i="40"/>
  <c r="Y492" i="40"/>
  <c r="Q492" i="40"/>
  <c r="I492" i="40"/>
  <c r="AE492" i="40"/>
  <c r="W492" i="40"/>
  <c r="O492" i="40"/>
  <c r="CO492" i="40" s="1"/>
  <c r="G492" i="40"/>
  <c r="U492" i="40"/>
  <c r="CS492" i="40" s="1"/>
  <c r="M492" i="40"/>
  <c r="CM492" i="40" s="1"/>
  <c r="E492" i="40"/>
  <c r="AC492" i="40"/>
  <c r="KN693" i="40"/>
  <c r="JO693" i="40"/>
  <c r="JQ693" i="40" s="1"/>
  <c r="JU693" i="40" s="1"/>
  <c r="JP693" i="40"/>
  <c r="AF693" i="40"/>
  <c r="AI693" i="40"/>
  <c r="CJ693" i="40"/>
  <c r="AJ693" i="40"/>
  <c r="DS693" i="40"/>
  <c r="BS693" i="40"/>
  <c r="BC693" i="40"/>
  <c r="DV693" i="40"/>
  <c r="BQ693" i="40"/>
  <c r="AG693" i="40"/>
  <c r="C694" i="40"/>
  <c r="BU693" i="40"/>
  <c r="AZ693" i="40"/>
  <c r="CD693" i="40"/>
  <c r="N693" i="40"/>
  <c r="CN693" i="40" s="1"/>
  <c r="BH693" i="40"/>
  <c r="BY693" i="40"/>
  <c r="CH693" i="40"/>
  <c r="CE693" i="40"/>
  <c r="BO693" i="40"/>
  <c r="W693" i="40"/>
  <c r="CU693" i="40" s="1"/>
  <c r="CG693" i="40"/>
  <c r="BL693" i="40"/>
  <c r="AB693" i="40"/>
  <c r="DU693" i="40"/>
  <c r="BP693" i="40"/>
  <c r="P693" i="40"/>
  <c r="BT693" i="40"/>
  <c r="DM693" i="40"/>
  <c r="AW693" i="40"/>
  <c r="BD693" i="40"/>
  <c r="BN693" i="40"/>
  <c r="CA693" i="40"/>
  <c r="BK693" i="40"/>
  <c r="O693" i="40"/>
  <c r="CO693" i="40" s="1"/>
  <c r="CB693" i="40"/>
  <c r="BF693" i="40"/>
  <c r="L693" i="40"/>
  <c r="CL693" i="40" s="1"/>
  <c r="CF693" i="40"/>
  <c r="BJ693" i="40"/>
  <c r="J693" i="40"/>
  <c r="BI693" i="40"/>
  <c r="CC693" i="40"/>
  <c r="AH693" i="40"/>
  <c r="BX693" i="40"/>
  <c r="BM693" i="40"/>
  <c r="BW693" i="40"/>
  <c r="BA693" i="40"/>
  <c r="DT693" i="40"/>
  <c r="BB693" i="40"/>
  <c r="BE693" i="40"/>
  <c r="BG693" i="40"/>
  <c r="A693" i="40"/>
  <c r="AX693" i="40"/>
  <c r="DW693" i="40"/>
  <c r="M693" i="40"/>
  <c r="CM693" i="40" s="1"/>
  <c r="K693" i="40"/>
  <c r="BZ693" i="40"/>
  <c r="BR693" i="40"/>
  <c r="BV693" i="40"/>
  <c r="X693" i="40"/>
  <c r="AD693" i="40"/>
  <c r="AA693" i="40"/>
  <c r="T693" i="40"/>
  <c r="CR693" i="40" s="1"/>
  <c r="S693" i="40"/>
  <c r="Z693" i="40"/>
  <c r="E693" i="40"/>
  <c r="Q693" i="40"/>
  <c r="Y693" i="40"/>
  <c r="V693" i="40"/>
  <c r="CT693" i="40" s="1"/>
  <c r="F693" i="40"/>
  <c r="I693" i="40"/>
  <c r="AC693" i="40"/>
  <c r="U693" i="40"/>
  <c r="CS693" i="40" s="1"/>
  <c r="AE693" i="40"/>
  <c r="H693" i="40"/>
  <c r="G693" i="40"/>
  <c r="R693" i="40"/>
  <c r="JT692" i="40"/>
  <c r="JR692" i="40"/>
  <c r="CP591" i="40"/>
  <c r="AN591" i="40"/>
  <c r="AM591" i="40"/>
  <c r="CK591" i="40"/>
  <c r="D191" i="40"/>
  <c r="AY191" i="40" s="1"/>
  <c r="AN491" i="40"/>
  <c r="CP491" i="40"/>
  <c r="AP292" i="40"/>
  <c r="CQ491" i="40"/>
  <c r="AO491" i="40"/>
  <c r="AQ491" i="40"/>
  <c r="CK491" i="40"/>
  <c r="AM491" i="40"/>
  <c r="C493" i="40"/>
  <c r="BF492" i="40"/>
  <c r="BV492" i="40"/>
  <c r="DT492" i="40"/>
  <c r="BG492" i="40"/>
  <c r="BW492" i="40"/>
  <c r="DU492" i="40"/>
  <c r="BH492" i="40"/>
  <c r="BX492" i="40"/>
  <c r="DV492" i="40"/>
  <c r="DW492" i="40"/>
  <c r="CC492" i="40"/>
  <c r="BA492" i="40"/>
  <c r="A492" i="40"/>
  <c r="BJ492" i="40"/>
  <c r="BZ492" i="40"/>
  <c r="BK492" i="40"/>
  <c r="CA492" i="40"/>
  <c r="BL492" i="40"/>
  <c r="CB492" i="40"/>
  <c r="BE492" i="40"/>
  <c r="BQ492" i="40"/>
  <c r="CU492" i="40"/>
  <c r="AW492" i="40"/>
  <c r="BN492" i="40"/>
  <c r="CD492" i="40"/>
  <c r="AX492" i="40"/>
  <c r="BO492" i="40"/>
  <c r="CE492" i="40"/>
  <c r="AZ492" i="40"/>
  <c r="BP492" i="40"/>
  <c r="CF492" i="40"/>
  <c r="BI492" i="40"/>
  <c r="BU492" i="40"/>
  <c r="CG492" i="40"/>
  <c r="BB492" i="40"/>
  <c r="BR492" i="40"/>
  <c r="CH492" i="40"/>
  <c r="BC492" i="40"/>
  <c r="BS492" i="40"/>
  <c r="CJ492" i="40"/>
  <c r="BD492" i="40"/>
  <c r="BT492" i="40"/>
  <c r="DM492" i="40"/>
  <c r="BY492" i="40"/>
  <c r="BM492" i="40"/>
  <c r="DS492" i="40"/>
  <c r="AQ187" i="40"/>
  <c r="JD187" i="40"/>
  <c r="KP187" i="40"/>
  <c r="KR187" i="40" s="1"/>
  <c r="AN292" i="40"/>
  <c r="CP292" i="40"/>
  <c r="AQ292" i="40"/>
  <c r="CV292" i="40"/>
  <c r="BK293" i="40"/>
  <c r="BL293" i="40"/>
  <c r="BQ293" i="40"/>
  <c r="AX293" i="40"/>
  <c r="BO293" i="40"/>
  <c r="CE293" i="40"/>
  <c r="AZ293" i="40"/>
  <c r="BP293" i="40"/>
  <c r="CF293" i="40"/>
  <c r="BE293" i="40"/>
  <c r="BU293" i="40"/>
  <c r="DS293" i="40"/>
  <c r="BJ293" i="40"/>
  <c r="BN293" i="40"/>
  <c r="BR293" i="40"/>
  <c r="BF293" i="40"/>
  <c r="CU293" i="40"/>
  <c r="BC293" i="40"/>
  <c r="BS293" i="40"/>
  <c r="CJ293" i="40"/>
  <c r="BD293" i="40"/>
  <c r="BT293" i="40"/>
  <c r="DM293" i="40"/>
  <c r="BI293" i="40"/>
  <c r="BY293" i="40"/>
  <c r="DW293" i="40"/>
  <c r="BZ293" i="40"/>
  <c r="CD293" i="40"/>
  <c r="CH293" i="40"/>
  <c r="BV293" i="40"/>
  <c r="C294" i="40"/>
  <c r="BG293" i="40"/>
  <c r="BW293" i="40"/>
  <c r="DU293" i="40"/>
  <c r="BH293" i="40"/>
  <c r="BX293" i="40"/>
  <c r="DV293" i="40"/>
  <c r="BM293" i="40"/>
  <c r="CC293" i="40"/>
  <c r="A293" i="40"/>
  <c r="DT293" i="40"/>
  <c r="CA293" i="40"/>
  <c r="CB293" i="40"/>
  <c r="BA293" i="40"/>
  <c r="CG293" i="40"/>
  <c r="AW293" i="40"/>
  <c r="BB293" i="40"/>
  <c r="DB292" i="40"/>
  <c r="AO292" i="40"/>
  <c r="CQ292" i="40"/>
  <c r="JT186" i="40"/>
  <c r="JX186" i="40" s="1"/>
  <c r="KQ186" i="40"/>
  <c r="KS186" i="40" s="1"/>
  <c r="JR186" i="40"/>
  <c r="JQ186" i="40"/>
  <c r="JU186" i="40" s="1"/>
  <c r="JV186" i="40" s="1"/>
  <c r="JW186" i="40" s="1"/>
  <c r="JS186" i="40"/>
  <c r="CK292" i="40"/>
  <c r="AM292" i="40"/>
  <c r="AP392" i="40"/>
  <c r="DB192" i="40"/>
  <c r="AP192" i="40"/>
  <c r="KU134" i="40"/>
  <c r="KT135" i="40"/>
  <c r="CV392" i="40"/>
  <c r="AQ392" i="40"/>
  <c r="CV192" i="40"/>
  <c r="AL192" i="40"/>
  <c r="AK192" i="40"/>
  <c r="CK192" i="40"/>
  <c r="AM192" i="40"/>
  <c r="DB392" i="40"/>
  <c r="C394" i="40"/>
  <c r="BA393" i="40"/>
  <c r="BE393" i="40"/>
  <c r="BI393" i="40"/>
  <c r="BM393" i="40"/>
  <c r="BQ393" i="40"/>
  <c r="BU393" i="40"/>
  <c r="BY393" i="40"/>
  <c r="CC393" i="40"/>
  <c r="CG393" i="40"/>
  <c r="DS393" i="40"/>
  <c r="DW393" i="40"/>
  <c r="A393" i="40"/>
  <c r="AW393" i="40"/>
  <c r="BB393" i="40"/>
  <c r="BF393" i="40"/>
  <c r="BJ393" i="40"/>
  <c r="BN393" i="40"/>
  <c r="BR393" i="40"/>
  <c r="BV393" i="40"/>
  <c r="BZ393" i="40"/>
  <c r="CD393" i="40"/>
  <c r="CH393" i="40"/>
  <c r="DT393" i="40"/>
  <c r="AX393" i="40"/>
  <c r="BC393" i="40"/>
  <c r="BG393" i="40"/>
  <c r="BK393" i="40"/>
  <c r="BO393" i="40"/>
  <c r="BS393" i="40"/>
  <c r="BW393" i="40"/>
  <c r="CA393" i="40"/>
  <c r="CE393" i="40"/>
  <c r="CJ393" i="40"/>
  <c r="DU393" i="40"/>
  <c r="BD393" i="40"/>
  <c r="BT393" i="40"/>
  <c r="DM393" i="40"/>
  <c r="BH393" i="40"/>
  <c r="BX393" i="40"/>
  <c r="DV393" i="40"/>
  <c r="BL393" i="40"/>
  <c r="CB393" i="40"/>
  <c r="CF393" i="40"/>
  <c r="BP393" i="40"/>
  <c r="AZ393" i="40"/>
  <c r="CR393" i="40"/>
  <c r="C194" i="40"/>
  <c r="A193" i="40"/>
  <c r="AZ193" i="40"/>
  <c r="BD193" i="40"/>
  <c r="BH193" i="40"/>
  <c r="BL193" i="40"/>
  <c r="BP193" i="40"/>
  <c r="BT193" i="40"/>
  <c r="BX193" i="40"/>
  <c r="CB193" i="40"/>
  <c r="CF193" i="40"/>
  <c r="DM193" i="40"/>
  <c r="DV193" i="40"/>
  <c r="BA193" i="40"/>
  <c r="BE193" i="40"/>
  <c r="BI193" i="40"/>
  <c r="BM193" i="40"/>
  <c r="BQ193" i="40"/>
  <c r="BU193" i="40"/>
  <c r="BY193" i="40"/>
  <c r="CC193" i="40"/>
  <c r="CG193" i="40"/>
  <c r="DS193" i="40"/>
  <c r="DW193" i="40"/>
  <c r="AW193" i="40"/>
  <c r="BB193" i="40"/>
  <c r="BF193" i="40"/>
  <c r="BJ193" i="40"/>
  <c r="BN193" i="40"/>
  <c r="BR193" i="40"/>
  <c r="BV193" i="40"/>
  <c r="BZ193" i="40"/>
  <c r="CD193" i="40"/>
  <c r="CH193" i="40"/>
  <c r="DT193" i="40"/>
  <c r="CL193" i="40"/>
  <c r="BK193" i="40"/>
  <c r="CA193" i="40"/>
  <c r="AX193" i="40"/>
  <c r="BO193" i="40"/>
  <c r="CE193" i="40"/>
  <c r="BC193" i="40"/>
  <c r="BS193" i="40"/>
  <c r="CJ193" i="40"/>
  <c r="BG193" i="40"/>
  <c r="BW193" i="40"/>
  <c r="DU193" i="40"/>
  <c r="CT193" i="40"/>
  <c r="CP392" i="40"/>
  <c r="AN392" i="40"/>
  <c r="AM392" i="40"/>
  <c r="CK392" i="40"/>
  <c r="CQ392" i="40"/>
  <c r="AO392" i="40"/>
  <c r="AO192" i="40"/>
  <c r="CQ192" i="40"/>
  <c r="CP192" i="40"/>
  <c r="AN192" i="40"/>
  <c r="AQ192" i="40"/>
  <c r="CI676" i="40" l="1"/>
  <c r="DB293" i="40"/>
  <c r="CI293" i="40"/>
  <c r="CI492" i="40"/>
  <c r="CI193" i="40"/>
  <c r="CI693" i="40"/>
  <c r="CI576" i="40"/>
  <c r="CI393" i="40"/>
  <c r="CI592" i="40"/>
  <c r="CI377" i="40"/>
  <c r="AP293" i="40"/>
  <c r="W43" i="58"/>
  <c r="S42" i="58"/>
  <c r="S43" i="58" s="1"/>
  <c r="AN43" i="58"/>
  <c r="U43" i="58"/>
  <c r="Q42" i="58"/>
  <c r="AL43" i="58"/>
  <c r="DB693" i="40"/>
  <c r="AQ693" i="40"/>
  <c r="CV693" i="40"/>
  <c r="AQ592" i="40"/>
  <c r="AP693" i="40"/>
  <c r="JV693" i="40"/>
  <c r="JW693" i="40" s="1"/>
  <c r="CQ693" i="40"/>
  <c r="AO693" i="40"/>
  <c r="CK693" i="40"/>
  <c r="AM693" i="40"/>
  <c r="AP592" i="40"/>
  <c r="AJ394" i="40"/>
  <c r="AF394" i="40"/>
  <c r="AB394" i="40"/>
  <c r="X394" i="40"/>
  <c r="T394" i="40"/>
  <c r="CR394" i="40" s="1"/>
  <c r="P394" i="40"/>
  <c r="L394" i="40"/>
  <c r="H394" i="40"/>
  <c r="AI394" i="40"/>
  <c r="AE394" i="40"/>
  <c r="AA394" i="40"/>
  <c r="CI478" i="40" s="1"/>
  <c r="W394" i="40"/>
  <c r="CU394" i="40" s="1"/>
  <c r="S394" i="40"/>
  <c r="O394" i="40"/>
  <c r="CO394" i="40" s="1"/>
  <c r="K394" i="40"/>
  <c r="G394" i="40"/>
  <c r="AH394" i="40"/>
  <c r="AD394" i="40"/>
  <c r="Z394" i="40"/>
  <c r="V394" i="40"/>
  <c r="R394" i="40"/>
  <c r="N394" i="40"/>
  <c r="CN394" i="40" s="1"/>
  <c r="J394" i="40"/>
  <c r="F394" i="40"/>
  <c r="U394" i="40"/>
  <c r="CS394" i="40" s="1"/>
  <c r="E394" i="40"/>
  <c r="AG394" i="40"/>
  <c r="Q394" i="40"/>
  <c r="AC394" i="40"/>
  <c r="M394" i="40"/>
  <c r="CM394" i="40" s="1"/>
  <c r="I394" i="40"/>
  <c r="Y394" i="40"/>
  <c r="AJ493" i="40"/>
  <c r="AF493" i="40"/>
  <c r="AB493" i="40"/>
  <c r="X493" i="40"/>
  <c r="T493" i="40"/>
  <c r="CR493" i="40" s="1"/>
  <c r="P493" i="40"/>
  <c r="L493" i="40"/>
  <c r="H493" i="40"/>
  <c r="AH493" i="40"/>
  <c r="AD493" i="40"/>
  <c r="Z493" i="40"/>
  <c r="V493" i="40"/>
  <c r="CT493" i="40" s="1"/>
  <c r="R493" i="40"/>
  <c r="N493" i="40"/>
  <c r="CN493" i="40" s="1"/>
  <c r="J493" i="40"/>
  <c r="F493" i="40"/>
  <c r="AI493" i="40"/>
  <c r="AA493" i="40"/>
  <c r="S493" i="40"/>
  <c r="K493" i="40"/>
  <c r="AG493" i="40"/>
  <c r="Y493" i="40"/>
  <c r="Q493" i="40"/>
  <c r="I493" i="40"/>
  <c r="AE493" i="40"/>
  <c r="W493" i="40"/>
  <c r="CU493" i="40" s="1"/>
  <c r="O493" i="40"/>
  <c r="CO493" i="40" s="1"/>
  <c r="G493" i="40"/>
  <c r="U493" i="40"/>
  <c r="CS493" i="40" s="1"/>
  <c r="M493" i="40"/>
  <c r="CM493" i="40" s="1"/>
  <c r="E493" i="40"/>
  <c r="AC493" i="40"/>
  <c r="CP693" i="40"/>
  <c r="AN693" i="40"/>
  <c r="JT693" i="40"/>
  <c r="JR693" i="40"/>
  <c r="AN592" i="40"/>
  <c r="CP592" i="40"/>
  <c r="CK592" i="40"/>
  <c r="AM592" i="40"/>
  <c r="AH294" i="40"/>
  <c r="AD294" i="40"/>
  <c r="Z294" i="40"/>
  <c r="V294" i="40"/>
  <c r="CT294" i="40" s="1"/>
  <c r="R294" i="40"/>
  <c r="N294" i="40"/>
  <c r="CN294" i="40" s="1"/>
  <c r="J294" i="40"/>
  <c r="F294" i="40"/>
  <c r="AG294" i="40"/>
  <c r="AC294" i="40"/>
  <c r="Y294" i="40"/>
  <c r="U294" i="40"/>
  <c r="CS294" i="40" s="1"/>
  <c r="Q294" i="40"/>
  <c r="M294" i="40"/>
  <c r="CM294" i="40" s="1"/>
  <c r="I294" i="40"/>
  <c r="E294" i="40"/>
  <c r="AJ294" i="40"/>
  <c r="AF294" i="40"/>
  <c r="AB294" i="40"/>
  <c r="X294" i="40"/>
  <c r="T294" i="40"/>
  <c r="CR294" i="40" s="1"/>
  <c r="P294" i="40"/>
  <c r="L294" i="40"/>
  <c r="H294" i="40"/>
  <c r="AA294" i="40"/>
  <c r="K294" i="40"/>
  <c r="W294" i="40"/>
  <c r="CU294" i="40" s="1"/>
  <c r="G294" i="40"/>
  <c r="AI294" i="40"/>
  <c r="S294" i="40"/>
  <c r="AE294" i="40"/>
  <c r="O294" i="40"/>
  <c r="CO294" i="40" s="1"/>
  <c r="AJ694" i="40"/>
  <c r="CJ694" i="40"/>
  <c r="JO694" i="40"/>
  <c r="JQ694" i="40" s="1"/>
  <c r="JU694" i="40" s="1"/>
  <c r="AF694" i="40"/>
  <c r="CF694" i="40"/>
  <c r="BP694" i="40"/>
  <c r="AZ694" i="40"/>
  <c r="C695" i="40"/>
  <c r="BU694" i="40"/>
  <c r="DM694" i="40"/>
  <c r="BG694" i="40"/>
  <c r="DW694" i="40"/>
  <c r="BM694" i="40"/>
  <c r="CG694" i="40"/>
  <c r="BQ694" i="40"/>
  <c r="M694" i="40"/>
  <c r="CM694" i="40" s="1"/>
  <c r="BY694" i="40"/>
  <c r="DS694" i="40"/>
  <c r="JP694" i="40"/>
  <c r="CB694" i="40"/>
  <c r="BL694" i="40"/>
  <c r="AB694" i="40"/>
  <c r="DU694" i="40"/>
  <c r="BO694" i="40"/>
  <c r="CC694" i="40"/>
  <c r="BA694" i="40"/>
  <c r="CH694" i="40"/>
  <c r="BF694" i="40"/>
  <c r="BR694" i="40"/>
  <c r="BB694" i="40"/>
  <c r="BI694" i="40"/>
  <c r="W694" i="40"/>
  <c r="CU694" i="40" s="1"/>
  <c r="A694" i="40"/>
  <c r="KN694" i="40"/>
  <c r="BX694" i="40"/>
  <c r="BH694" i="40"/>
  <c r="P694" i="40"/>
  <c r="CE694" i="40"/>
  <c r="BJ694" i="40"/>
  <c r="BV694" i="40"/>
  <c r="O694" i="40"/>
  <c r="CO694" i="40" s="1"/>
  <c r="CA694" i="40"/>
  <c r="AX694" i="40"/>
  <c r="BC694" i="40"/>
  <c r="BK694" i="40"/>
  <c r="AG694" i="40"/>
  <c r="BW694" i="40"/>
  <c r="AW694" i="40"/>
  <c r="AI694" i="40"/>
  <c r="L694" i="40"/>
  <c r="CL694" i="40" s="1"/>
  <c r="J694" i="40"/>
  <c r="AH694" i="40"/>
  <c r="BS694" i="40"/>
  <c r="CD694" i="40"/>
  <c r="DT694" i="40"/>
  <c r="BZ694" i="40"/>
  <c r="K694" i="40"/>
  <c r="BN694" i="40"/>
  <c r="BT694" i="40"/>
  <c r="BE694" i="40"/>
  <c r="N694" i="40"/>
  <c r="CN694" i="40" s="1"/>
  <c r="DV694" i="40"/>
  <c r="BD694" i="40"/>
  <c r="X694" i="40"/>
  <c r="AA694" i="40"/>
  <c r="AD694" i="40"/>
  <c r="S694" i="40"/>
  <c r="E694" i="40"/>
  <c r="V694" i="40"/>
  <c r="CT694" i="40" s="1"/>
  <c r="U694" i="40"/>
  <c r="CS694" i="40" s="1"/>
  <c r="Y694" i="40"/>
  <c r="Q694" i="40"/>
  <c r="AC694" i="40"/>
  <c r="G694" i="40"/>
  <c r="H694" i="40"/>
  <c r="R694" i="40"/>
  <c r="I694" i="40"/>
  <c r="AE694" i="40"/>
  <c r="F694" i="40"/>
  <c r="Z694" i="40"/>
  <c r="T694" i="40"/>
  <c r="CR694" i="40" s="1"/>
  <c r="AJ593" i="40"/>
  <c r="AF593" i="40"/>
  <c r="AB593" i="40"/>
  <c r="X593" i="40"/>
  <c r="T593" i="40"/>
  <c r="CR593" i="40" s="1"/>
  <c r="P593" i="40"/>
  <c r="L593" i="40"/>
  <c r="CL593" i="40" s="1"/>
  <c r="H593" i="40"/>
  <c r="AI593" i="40"/>
  <c r="AE593" i="40"/>
  <c r="AA593" i="40"/>
  <c r="CI677" i="40" s="1"/>
  <c r="W593" i="40"/>
  <c r="CU593" i="40" s="1"/>
  <c r="S593" i="40"/>
  <c r="O593" i="40"/>
  <c r="CO593" i="40" s="1"/>
  <c r="K593" i="40"/>
  <c r="G593" i="40"/>
  <c r="AH593" i="40"/>
  <c r="Z593" i="40"/>
  <c r="R593" i="40"/>
  <c r="J593" i="40"/>
  <c r="AG593" i="40"/>
  <c r="Y593" i="40"/>
  <c r="Q593" i="40"/>
  <c r="I593" i="40"/>
  <c r="AD593" i="40"/>
  <c r="V593" i="40"/>
  <c r="CT593" i="40" s="1"/>
  <c r="N593" i="40"/>
  <c r="CN593" i="40" s="1"/>
  <c r="F593" i="40"/>
  <c r="AC593" i="40"/>
  <c r="U593" i="40"/>
  <c r="CS593" i="40" s="1"/>
  <c r="M593" i="40"/>
  <c r="CM593" i="40" s="1"/>
  <c r="E593" i="40"/>
  <c r="BJ593" i="40"/>
  <c r="BZ593" i="40"/>
  <c r="BK593" i="40"/>
  <c r="CA593" i="40"/>
  <c r="AZ593" i="40"/>
  <c r="BP593" i="40"/>
  <c r="CF593" i="40"/>
  <c r="BM593" i="40"/>
  <c r="BA593" i="40"/>
  <c r="BE593" i="40"/>
  <c r="AW593" i="40"/>
  <c r="BN593" i="40"/>
  <c r="CD593" i="40"/>
  <c r="AX593" i="40"/>
  <c r="BO593" i="40"/>
  <c r="CE593" i="40"/>
  <c r="BD593" i="40"/>
  <c r="BT593" i="40"/>
  <c r="DM593" i="40"/>
  <c r="CC593" i="40"/>
  <c r="BQ593" i="40"/>
  <c r="BU593" i="40"/>
  <c r="C594" i="40"/>
  <c r="BB593" i="40"/>
  <c r="BR593" i="40"/>
  <c r="CH593" i="40"/>
  <c r="BC593" i="40"/>
  <c r="BS593" i="40"/>
  <c r="CJ593" i="40"/>
  <c r="BH593" i="40"/>
  <c r="BX593" i="40"/>
  <c r="DV593" i="40"/>
  <c r="CG593" i="40"/>
  <c r="DS593" i="40"/>
  <c r="A593" i="40"/>
  <c r="BF593" i="40"/>
  <c r="BV593" i="40"/>
  <c r="DT593" i="40"/>
  <c r="BG593" i="40"/>
  <c r="BW593" i="40"/>
  <c r="DU593" i="40"/>
  <c r="BL593" i="40"/>
  <c r="CB593" i="40"/>
  <c r="DW593" i="40"/>
  <c r="BI593" i="40"/>
  <c r="BY593" i="40"/>
  <c r="CV592" i="40"/>
  <c r="DB592" i="40"/>
  <c r="AG194" i="40"/>
  <c r="AC194" i="40"/>
  <c r="Y194" i="40"/>
  <c r="U194" i="40"/>
  <c r="CS194" i="40" s="1"/>
  <c r="Q194" i="40"/>
  <c r="M194" i="40"/>
  <c r="CM194" i="40" s="1"/>
  <c r="I194" i="40"/>
  <c r="E194" i="40"/>
  <c r="AJ194" i="40"/>
  <c r="AF194" i="40"/>
  <c r="AB194" i="40"/>
  <c r="X194" i="40"/>
  <c r="T194" i="40"/>
  <c r="CR194" i="40" s="1"/>
  <c r="P194" i="40"/>
  <c r="L194" i="40"/>
  <c r="CL194" i="40" s="1"/>
  <c r="H194" i="40"/>
  <c r="AI194" i="40"/>
  <c r="AE194" i="40"/>
  <c r="AA194" i="40"/>
  <c r="CI278" i="40" s="1"/>
  <c r="W194" i="40"/>
  <c r="CU194" i="40" s="1"/>
  <c r="S194" i="40"/>
  <c r="O194" i="40"/>
  <c r="CO194" i="40" s="1"/>
  <c r="K194" i="40"/>
  <c r="G194" i="40"/>
  <c r="AH194" i="40"/>
  <c r="R194" i="40"/>
  <c r="AD194" i="40"/>
  <c r="N194" i="40"/>
  <c r="CN194" i="40" s="1"/>
  <c r="Z194" i="40"/>
  <c r="DB194" i="40" s="1"/>
  <c r="J194" i="40"/>
  <c r="V194" i="40"/>
  <c r="CT194" i="40" s="1"/>
  <c r="F194" i="40"/>
  <c r="AO592" i="40"/>
  <c r="CQ592" i="40"/>
  <c r="AP492" i="40"/>
  <c r="CP492" i="40"/>
  <c r="AN492" i="40"/>
  <c r="CQ492" i="40"/>
  <c r="AO492" i="40"/>
  <c r="CK492" i="40"/>
  <c r="AM492" i="40"/>
  <c r="A493" i="40"/>
  <c r="BJ493" i="40"/>
  <c r="BZ493" i="40"/>
  <c r="BK493" i="40"/>
  <c r="CA493" i="40"/>
  <c r="BL493" i="40"/>
  <c r="CB493" i="40"/>
  <c r="CC493" i="40"/>
  <c r="BQ493" i="40"/>
  <c r="AW493" i="40"/>
  <c r="BN493" i="40"/>
  <c r="CD493" i="40"/>
  <c r="AX493" i="40"/>
  <c r="BO493" i="40"/>
  <c r="CE493" i="40"/>
  <c r="AZ493" i="40"/>
  <c r="BP493" i="40"/>
  <c r="CF493" i="40"/>
  <c r="BI493" i="40"/>
  <c r="BU493" i="40"/>
  <c r="BE493" i="40"/>
  <c r="CG493" i="40"/>
  <c r="BB493" i="40"/>
  <c r="BR493" i="40"/>
  <c r="CH493" i="40"/>
  <c r="BC493" i="40"/>
  <c r="BS493" i="40"/>
  <c r="CJ493" i="40"/>
  <c r="BD493" i="40"/>
  <c r="BT493" i="40"/>
  <c r="DM493" i="40"/>
  <c r="BY493" i="40"/>
  <c r="CL493" i="40"/>
  <c r="DS493" i="40"/>
  <c r="C494" i="40"/>
  <c r="BF493" i="40"/>
  <c r="BV493" i="40"/>
  <c r="DT493" i="40"/>
  <c r="BG493" i="40"/>
  <c r="BW493" i="40"/>
  <c r="DU493" i="40"/>
  <c r="BH493" i="40"/>
  <c r="BX493" i="40"/>
  <c r="DV493" i="40"/>
  <c r="DW493" i="40"/>
  <c r="BM493" i="40"/>
  <c r="BA493" i="40"/>
  <c r="CV492" i="40"/>
  <c r="AQ492" i="40"/>
  <c r="DB492" i="40"/>
  <c r="AQ293" i="40"/>
  <c r="CV293" i="40"/>
  <c r="CE294" i="40"/>
  <c r="CF294" i="40"/>
  <c r="BU294" i="40"/>
  <c r="BJ294" i="40"/>
  <c r="BR294" i="40"/>
  <c r="BC294" i="40"/>
  <c r="BS294" i="40"/>
  <c r="CJ294" i="40"/>
  <c r="BD294" i="40"/>
  <c r="BT294" i="40"/>
  <c r="DM294" i="40"/>
  <c r="BI294" i="40"/>
  <c r="BY294" i="40"/>
  <c r="DW294" i="40"/>
  <c r="BZ294" i="40"/>
  <c r="CD294" i="40"/>
  <c r="CH294" i="40"/>
  <c r="BV294" i="40"/>
  <c r="C295" i="40"/>
  <c r="BG294" i="40"/>
  <c r="BW294" i="40"/>
  <c r="DU294" i="40"/>
  <c r="BH294" i="40"/>
  <c r="BX294" i="40"/>
  <c r="DV294" i="40"/>
  <c r="BM294" i="40"/>
  <c r="CC294" i="40"/>
  <c r="A294" i="40"/>
  <c r="DT294" i="40"/>
  <c r="BK294" i="40"/>
  <c r="CA294" i="40"/>
  <c r="BL294" i="40"/>
  <c r="CB294" i="40"/>
  <c r="CL294" i="40"/>
  <c r="BA294" i="40"/>
  <c r="BQ294" i="40"/>
  <c r="CG294" i="40"/>
  <c r="AW294" i="40"/>
  <c r="BB294" i="40"/>
  <c r="AX294" i="40"/>
  <c r="BO294" i="40"/>
  <c r="AZ294" i="40"/>
  <c r="BP294" i="40"/>
  <c r="BE294" i="40"/>
  <c r="DS294" i="40"/>
  <c r="BN294" i="40"/>
  <c r="BF294" i="40"/>
  <c r="AO293" i="40"/>
  <c r="CQ293" i="40"/>
  <c r="CK293" i="40"/>
  <c r="AM293" i="40"/>
  <c r="AN293" i="40"/>
  <c r="CP293" i="40"/>
  <c r="KQ187" i="40"/>
  <c r="KS187" i="40" s="1"/>
  <c r="JR187" i="40"/>
  <c r="JT187" i="40"/>
  <c r="JX187" i="40" s="1"/>
  <c r="JQ187" i="40"/>
  <c r="JU187" i="40" s="1"/>
  <c r="JS187" i="40"/>
  <c r="D192" i="40"/>
  <c r="AY192" i="40" s="1"/>
  <c r="DB193" i="40"/>
  <c r="AP193" i="40"/>
  <c r="AQ193" i="40"/>
  <c r="CV193" i="40"/>
  <c r="AL193" i="40"/>
  <c r="AK193" i="40"/>
  <c r="AP393" i="40"/>
  <c r="CQ193" i="40"/>
  <c r="AO193" i="40"/>
  <c r="AN193" i="40"/>
  <c r="CP193" i="40"/>
  <c r="C195" i="40"/>
  <c r="AX194" i="40"/>
  <c r="BC194" i="40"/>
  <c r="BG194" i="40"/>
  <c r="BK194" i="40"/>
  <c r="BO194" i="40"/>
  <c r="BS194" i="40"/>
  <c r="BW194" i="40"/>
  <c r="CA194" i="40"/>
  <c r="CE194" i="40"/>
  <c r="CJ194" i="40"/>
  <c r="DU194" i="40"/>
  <c r="AZ194" i="40"/>
  <c r="BD194" i="40"/>
  <c r="BH194" i="40"/>
  <c r="BL194" i="40"/>
  <c r="BP194" i="40"/>
  <c r="BT194" i="40"/>
  <c r="BX194" i="40"/>
  <c r="CB194" i="40"/>
  <c r="CF194" i="40"/>
  <c r="DM194" i="40"/>
  <c r="DV194" i="40"/>
  <c r="A194" i="40"/>
  <c r="BA194" i="40"/>
  <c r="BE194" i="40"/>
  <c r="BI194" i="40"/>
  <c r="BM194" i="40"/>
  <c r="BQ194" i="40"/>
  <c r="BU194" i="40"/>
  <c r="BY194" i="40"/>
  <c r="CC194" i="40"/>
  <c r="CG194" i="40"/>
  <c r="DS194" i="40"/>
  <c r="DW194" i="40"/>
  <c r="BJ194" i="40"/>
  <c r="BZ194" i="40"/>
  <c r="AW194" i="40"/>
  <c r="BN194" i="40"/>
  <c r="CD194" i="40"/>
  <c r="BB194" i="40"/>
  <c r="BR194" i="40"/>
  <c r="CH194" i="40"/>
  <c r="BF194" i="40"/>
  <c r="BV194" i="40"/>
  <c r="DT194" i="40"/>
  <c r="CP393" i="40"/>
  <c r="AN393" i="40"/>
  <c r="CV393" i="40"/>
  <c r="DB393" i="40"/>
  <c r="AQ393" i="40"/>
  <c r="KT136" i="40"/>
  <c r="KU135" i="40"/>
  <c r="I49" i="70" s="1"/>
  <c r="CK193" i="40"/>
  <c r="AM193" i="40"/>
  <c r="AO393" i="40"/>
  <c r="CQ393" i="40"/>
  <c r="CK393" i="40"/>
  <c r="AM393" i="40"/>
  <c r="C395" i="40"/>
  <c r="CL394" i="40"/>
  <c r="BA394" i="40"/>
  <c r="BE394" i="40"/>
  <c r="BI394" i="40"/>
  <c r="BM394" i="40"/>
  <c r="BQ394" i="40"/>
  <c r="BU394" i="40"/>
  <c r="BY394" i="40"/>
  <c r="CC394" i="40"/>
  <c r="CG394" i="40"/>
  <c r="DS394" i="40"/>
  <c r="DW394" i="40"/>
  <c r="A394" i="40"/>
  <c r="AW394" i="40"/>
  <c r="BB394" i="40"/>
  <c r="BF394" i="40"/>
  <c r="BJ394" i="40"/>
  <c r="BN394" i="40"/>
  <c r="BR394" i="40"/>
  <c r="BV394" i="40"/>
  <c r="BZ394" i="40"/>
  <c r="CD394" i="40"/>
  <c r="CH394" i="40"/>
  <c r="DT394" i="40"/>
  <c r="AX394" i="40"/>
  <c r="BC394" i="40"/>
  <c r="BG394" i="40"/>
  <c r="BK394" i="40"/>
  <c r="BO394" i="40"/>
  <c r="BS394" i="40"/>
  <c r="BW394" i="40"/>
  <c r="CA394" i="40"/>
  <c r="CE394" i="40"/>
  <c r="CJ394" i="40"/>
  <c r="DU394" i="40"/>
  <c r="BD394" i="40"/>
  <c r="BT394" i="40"/>
  <c r="DM394" i="40"/>
  <c r="BH394" i="40"/>
  <c r="BX394" i="40"/>
  <c r="DV394" i="40"/>
  <c r="BL394" i="40"/>
  <c r="CB394" i="40"/>
  <c r="CF394" i="40"/>
  <c r="BP394" i="40"/>
  <c r="AZ394" i="40"/>
  <c r="CT394" i="40"/>
  <c r="I48" i="70"/>
  <c r="I10" i="70"/>
  <c r="CI378" i="40" l="1"/>
  <c r="CI593" i="40"/>
  <c r="CI294" i="40"/>
  <c r="CI577" i="40"/>
  <c r="CI694" i="40"/>
  <c r="CI493" i="40"/>
  <c r="CI394" i="40"/>
  <c r="CI194" i="40"/>
  <c r="DB694" i="40"/>
  <c r="CV593" i="40"/>
  <c r="DB593" i="40"/>
  <c r="JV187" i="40"/>
  <c r="JW187" i="40" s="1"/>
  <c r="AF42" i="58"/>
  <c r="AF43" i="58" s="1"/>
  <c r="AG43" i="58" s="1"/>
  <c r="Y42" i="58"/>
  <c r="Q43" i="58"/>
  <c r="A43" i="58" s="1"/>
  <c r="AA42" i="58"/>
  <c r="AA43" i="58" s="1"/>
  <c r="AP694" i="40"/>
  <c r="D193" i="40"/>
  <c r="AY193" i="40" s="1"/>
  <c r="CQ593" i="40"/>
  <c r="AO593" i="40"/>
  <c r="AQ694" i="40"/>
  <c r="AQ593" i="40"/>
  <c r="AP593" i="40"/>
  <c r="AM694" i="40"/>
  <c r="CK694" i="40"/>
  <c r="AJ395" i="40"/>
  <c r="AF395" i="40"/>
  <c r="AB395" i="40"/>
  <c r="X395" i="40"/>
  <c r="T395" i="40"/>
  <c r="P395" i="40"/>
  <c r="L395" i="40"/>
  <c r="CL395" i="40" s="1"/>
  <c r="H395" i="40"/>
  <c r="AI395" i="40"/>
  <c r="AE395" i="40"/>
  <c r="AA395" i="40"/>
  <c r="CI479" i="40" s="1"/>
  <c r="W395" i="40"/>
  <c r="CU395" i="40" s="1"/>
  <c r="S395" i="40"/>
  <c r="O395" i="40"/>
  <c r="CO395" i="40" s="1"/>
  <c r="K395" i="40"/>
  <c r="G395" i="40"/>
  <c r="AH395" i="40"/>
  <c r="AD395" i="40"/>
  <c r="Z395" i="40"/>
  <c r="V395" i="40"/>
  <c r="R395" i="40"/>
  <c r="N395" i="40"/>
  <c r="CN395" i="40" s="1"/>
  <c r="J395" i="40"/>
  <c r="F395" i="40"/>
  <c r="U395" i="40"/>
  <c r="E395" i="40"/>
  <c r="AG395" i="40"/>
  <c r="Q395" i="40"/>
  <c r="AC395" i="40"/>
  <c r="M395" i="40"/>
  <c r="CM395" i="40" s="1"/>
  <c r="Y395" i="40"/>
  <c r="I395" i="40"/>
  <c r="AG195" i="40"/>
  <c r="AC195" i="40"/>
  <c r="Y195" i="40"/>
  <c r="U195" i="40"/>
  <c r="CS195" i="40" s="1"/>
  <c r="Q195" i="40"/>
  <c r="M195" i="40"/>
  <c r="I195" i="40"/>
  <c r="E195" i="40"/>
  <c r="AJ195" i="40"/>
  <c r="AF195" i="40"/>
  <c r="AB195" i="40"/>
  <c r="X195" i="40"/>
  <c r="T195" i="40"/>
  <c r="P195" i="40"/>
  <c r="L195" i="40"/>
  <c r="CL195" i="40" s="1"/>
  <c r="H195" i="40"/>
  <c r="AI195" i="40"/>
  <c r="AE195" i="40"/>
  <c r="AA195" i="40"/>
  <c r="CI279" i="40" s="1"/>
  <c r="W195" i="40"/>
  <c r="CU195" i="40" s="1"/>
  <c r="S195" i="40"/>
  <c r="O195" i="40"/>
  <c r="K195" i="40"/>
  <c r="G195" i="40"/>
  <c r="AH195" i="40"/>
  <c r="R195" i="40"/>
  <c r="AD195" i="40"/>
  <c r="N195" i="40"/>
  <c r="CN195" i="40" s="1"/>
  <c r="Z195" i="40"/>
  <c r="J195" i="40"/>
  <c r="V195" i="40"/>
  <c r="CT195" i="40" s="1"/>
  <c r="F195" i="40"/>
  <c r="AH295" i="40"/>
  <c r="AD295" i="40"/>
  <c r="Z295" i="40"/>
  <c r="V295" i="40"/>
  <c r="CT295" i="40" s="1"/>
  <c r="R295" i="40"/>
  <c r="N295" i="40"/>
  <c r="CN295" i="40" s="1"/>
  <c r="J295" i="40"/>
  <c r="F295" i="40"/>
  <c r="AG295" i="40"/>
  <c r="AC295" i="40"/>
  <c r="Y295" i="40"/>
  <c r="U295" i="40"/>
  <c r="CS295" i="40" s="1"/>
  <c r="Q295" i="40"/>
  <c r="M295" i="40"/>
  <c r="CM295" i="40" s="1"/>
  <c r="I295" i="40"/>
  <c r="E295" i="40"/>
  <c r="AJ295" i="40"/>
  <c r="AF295" i="40"/>
  <c r="AB295" i="40"/>
  <c r="X295" i="40"/>
  <c r="T295" i="40"/>
  <c r="P295" i="40"/>
  <c r="L295" i="40"/>
  <c r="CL295" i="40" s="1"/>
  <c r="H295" i="40"/>
  <c r="AA295" i="40"/>
  <c r="K295" i="40"/>
  <c r="W295" i="40"/>
  <c r="CU295" i="40" s="1"/>
  <c r="G295" i="40"/>
  <c r="AI295" i="40"/>
  <c r="S295" i="40"/>
  <c r="AE295" i="40"/>
  <c r="O295" i="40"/>
  <c r="CO295" i="40" s="1"/>
  <c r="AJ494" i="40"/>
  <c r="AF494" i="40"/>
  <c r="AB494" i="40"/>
  <c r="X494" i="40"/>
  <c r="T494" i="40"/>
  <c r="CR494" i="40" s="1"/>
  <c r="P494" i="40"/>
  <c r="L494" i="40"/>
  <c r="CL494" i="40" s="1"/>
  <c r="H494" i="40"/>
  <c r="AH494" i="40"/>
  <c r="AD494" i="40"/>
  <c r="Z494" i="40"/>
  <c r="V494" i="40"/>
  <c r="CT494" i="40" s="1"/>
  <c r="R494" i="40"/>
  <c r="N494" i="40"/>
  <c r="CN494" i="40" s="1"/>
  <c r="J494" i="40"/>
  <c r="F494" i="40"/>
  <c r="AI494" i="40"/>
  <c r="AA494" i="40"/>
  <c r="S494" i="40"/>
  <c r="K494" i="40"/>
  <c r="AG494" i="40"/>
  <c r="Y494" i="40"/>
  <c r="Q494" i="40"/>
  <c r="I494" i="40"/>
  <c r="AE494" i="40"/>
  <c r="W494" i="40"/>
  <c r="CU494" i="40" s="1"/>
  <c r="O494" i="40"/>
  <c r="CO494" i="40" s="1"/>
  <c r="G494" i="40"/>
  <c r="U494" i="40"/>
  <c r="CS494" i="40" s="1"/>
  <c r="M494" i="40"/>
  <c r="CM494" i="40" s="1"/>
  <c r="E494" i="40"/>
  <c r="AC494" i="40"/>
  <c r="AJ594" i="40"/>
  <c r="AF594" i="40"/>
  <c r="AB594" i="40"/>
  <c r="X594" i="40"/>
  <c r="T594" i="40"/>
  <c r="CR594" i="40" s="1"/>
  <c r="P594" i="40"/>
  <c r="L594" i="40"/>
  <c r="CL594" i="40" s="1"/>
  <c r="H594" i="40"/>
  <c r="AI594" i="40"/>
  <c r="AE594" i="40"/>
  <c r="AA594" i="40"/>
  <c r="CI678" i="40" s="1"/>
  <c r="W594" i="40"/>
  <c r="CU594" i="40" s="1"/>
  <c r="S594" i="40"/>
  <c r="O594" i="40"/>
  <c r="CO594" i="40" s="1"/>
  <c r="K594" i="40"/>
  <c r="G594" i="40"/>
  <c r="AH594" i="40"/>
  <c r="Z594" i="40"/>
  <c r="R594" i="40"/>
  <c r="J594" i="40"/>
  <c r="AG594" i="40"/>
  <c r="Y594" i="40"/>
  <c r="Q594" i="40"/>
  <c r="I594" i="40"/>
  <c r="AD594" i="40"/>
  <c r="V594" i="40"/>
  <c r="CT594" i="40" s="1"/>
  <c r="N594" i="40"/>
  <c r="CN594" i="40" s="1"/>
  <c r="F594" i="40"/>
  <c r="AC594" i="40"/>
  <c r="U594" i="40"/>
  <c r="CS594" i="40" s="1"/>
  <c r="M594" i="40"/>
  <c r="CM594" i="40" s="1"/>
  <c r="E594" i="40"/>
  <c r="BJ594" i="40"/>
  <c r="BZ594" i="40"/>
  <c r="BK594" i="40"/>
  <c r="CA594" i="40"/>
  <c r="AZ594" i="40"/>
  <c r="BP594" i="40"/>
  <c r="CF594" i="40"/>
  <c r="BM594" i="40"/>
  <c r="BQ594" i="40"/>
  <c r="BU594" i="40"/>
  <c r="BF594" i="40"/>
  <c r="BL594" i="40"/>
  <c r="BA594" i="40"/>
  <c r="AW594" i="40"/>
  <c r="BN594" i="40"/>
  <c r="CD594" i="40"/>
  <c r="AX594" i="40"/>
  <c r="BO594" i="40"/>
  <c r="CE594" i="40"/>
  <c r="BD594" i="40"/>
  <c r="BT594" i="40"/>
  <c r="DM594" i="40"/>
  <c r="CC594" i="40"/>
  <c r="CG594" i="40"/>
  <c r="DS594" i="40"/>
  <c r="CB594" i="40"/>
  <c r="C595" i="40"/>
  <c r="BB594" i="40"/>
  <c r="BR594" i="40"/>
  <c r="CH594" i="40"/>
  <c r="BC594" i="40"/>
  <c r="BS594" i="40"/>
  <c r="CJ594" i="40"/>
  <c r="BH594" i="40"/>
  <c r="BX594" i="40"/>
  <c r="DV594" i="40"/>
  <c r="BY594" i="40"/>
  <c r="BI594" i="40"/>
  <c r="BV594" i="40"/>
  <c r="DW594" i="40"/>
  <c r="A594" i="40"/>
  <c r="DT594" i="40"/>
  <c r="BG594" i="40"/>
  <c r="BW594" i="40"/>
  <c r="DU594" i="40"/>
  <c r="BE594" i="40"/>
  <c r="AN593" i="40"/>
  <c r="CP593" i="40"/>
  <c r="CK593" i="40"/>
  <c r="AM593" i="40"/>
  <c r="AN694" i="40"/>
  <c r="CP694" i="40"/>
  <c r="AI695" i="40"/>
  <c r="CJ695" i="40"/>
  <c r="KN695" i="40"/>
  <c r="AJ695" i="40"/>
  <c r="JO695" i="40"/>
  <c r="JQ695" i="40" s="1"/>
  <c r="JU695" i="40" s="1"/>
  <c r="CG695" i="40"/>
  <c r="BQ695" i="40"/>
  <c r="BA695" i="40"/>
  <c r="A695" i="40"/>
  <c r="BS695" i="40"/>
  <c r="AX695" i="40"/>
  <c r="BZ695" i="40"/>
  <c r="W695" i="40"/>
  <c r="CU695" i="40" s="1"/>
  <c r="CE695" i="40"/>
  <c r="BB695" i="40"/>
  <c r="CB695" i="40"/>
  <c r="CA695" i="40"/>
  <c r="L695" i="40"/>
  <c r="CL695" i="40" s="1"/>
  <c r="BG695" i="40"/>
  <c r="CC695" i="40"/>
  <c r="BM695" i="40"/>
  <c r="AW695" i="40"/>
  <c r="DS695" i="40"/>
  <c r="BN695" i="40"/>
  <c r="N695" i="40"/>
  <c r="CN695" i="40" s="1"/>
  <c r="BR695" i="40"/>
  <c r="P695" i="40"/>
  <c r="BW695" i="40"/>
  <c r="AB695" i="40"/>
  <c r="BO695" i="40"/>
  <c r="BL695" i="40"/>
  <c r="BT695" i="40"/>
  <c r="BF695" i="40"/>
  <c r="JP695" i="40"/>
  <c r="AF695" i="40"/>
  <c r="BY695" i="40"/>
  <c r="BI695" i="40"/>
  <c r="AG695" i="40"/>
  <c r="CD695" i="40"/>
  <c r="BH695" i="40"/>
  <c r="DV695" i="40"/>
  <c r="BK695" i="40"/>
  <c r="J695" i="40"/>
  <c r="BP695" i="40"/>
  <c r="O695" i="40"/>
  <c r="CO695" i="40" s="1"/>
  <c r="AZ695" i="40"/>
  <c r="DM695" i="40"/>
  <c r="K695" i="40"/>
  <c r="BU695" i="40"/>
  <c r="BC695" i="40"/>
  <c r="BJ695" i="40"/>
  <c r="CH695" i="40"/>
  <c r="CF695" i="40"/>
  <c r="C696" i="40"/>
  <c r="BV695" i="40"/>
  <c r="BE695" i="40"/>
  <c r="BX695" i="40"/>
  <c r="M695" i="40"/>
  <c r="CM695" i="40" s="1"/>
  <c r="BD695" i="40"/>
  <c r="DW695" i="40"/>
  <c r="DU695" i="40"/>
  <c r="DT695" i="40"/>
  <c r="AH695" i="40"/>
  <c r="X695" i="40"/>
  <c r="AD695" i="40"/>
  <c r="AA695" i="40"/>
  <c r="E695" i="40"/>
  <c r="Y695" i="40"/>
  <c r="S695" i="40"/>
  <c r="I695" i="40"/>
  <c r="AC695" i="40"/>
  <c r="R695" i="40"/>
  <c r="U695" i="40"/>
  <c r="CS695" i="40" s="1"/>
  <c r="G695" i="40"/>
  <c r="T695" i="40"/>
  <c r="CR695" i="40" s="1"/>
  <c r="H695" i="40"/>
  <c r="AE695" i="40"/>
  <c r="Q695" i="40"/>
  <c r="Z695" i="40"/>
  <c r="F695" i="40"/>
  <c r="V695" i="40"/>
  <c r="CT695" i="40" s="1"/>
  <c r="CV694" i="40"/>
  <c r="CQ694" i="40"/>
  <c r="AO694" i="40"/>
  <c r="JT694" i="40"/>
  <c r="JR694" i="40"/>
  <c r="JV694" i="40"/>
  <c r="JW694" i="40" s="1"/>
  <c r="CV493" i="40"/>
  <c r="DB294" i="40"/>
  <c r="AW494" i="40"/>
  <c r="BN494" i="40"/>
  <c r="CD494" i="40"/>
  <c r="AX494" i="40"/>
  <c r="BO494" i="40"/>
  <c r="CE494" i="40"/>
  <c r="AZ494" i="40"/>
  <c r="BP494" i="40"/>
  <c r="CF494" i="40"/>
  <c r="BI494" i="40"/>
  <c r="DS494" i="40"/>
  <c r="BE494" i="40"/>
  <c r="CG494" i="40"/>
  <c r="BB494" i="40"/>
  <c r="BR494" i="40"/>
  <c r="CH494" i="40"/>
  <c r="BC494" i="40"/>
  <c r="BS494" i="40"/>
  <c r="CJ494" i="40"/>
  <c r="BD494" i="40"/>
  <c r="BT494" i="40"/>
  <c r="DM494" i="40"/>
  <c r="BY494" i="40"/>
  <c r="BU494" i="40"/>
  <c r="C495" i="40"/>
  <c r="BF494" i="40"/>
  <c r="BV494" i="40"/>
  <c r="DT494" i="40"/>
  <c r="BG494" i="40"/>
  <c r="BW494" i="40"/>
  <c r="DU494" i="40"/>
  <c r="BH494" i="40"/>
  <c r="BX494" i="40"/>
  <c r="DV494" i="40"/>
  <c r="DW494" i="40"/>
  <c r="BM494" i="40"/>
  <c r="BA494" i="40"/>
  <c r="A494" i="40"/>
  <c r="BJ494" i="40"/>
  <c r="BZ494" i="40"/>
  <c r="BK494" i="40"/>
  <c r="CA494" i="40"/>
  <c r="BL494" i="40"/>
  <c r="CB494" i="40"/>
  <c r="CC494" i="40"/>
  <c r="BQ494" i="40"/>
  <c r="AP493" i="40"/>
  <c r="AO493" i="40"/>
  <c r="CQ493" i="40"/>
  <c r="AQ493" i="40"/>
  <c r="CP493" i="40"/>
  <c r="AN493" i="40"/>
  <c r="DB493" i="40"/>
  <c r="CK493" i="40"/>
  <c r="AM493" i="40"/>
  <c r="CP294" i="40"/>
  <c r="AN294" i="40"/>
  <c r="CV294" i="40"/>
  <c r="AP294" i="40"/>
  <c r="AQ294" i="40"/>
  <c r="CK294" i="40"/>
  <c r="AM294" i="40"/>
  <c r="BK295" i="40"/>
  <c r="CA295" i="40"/>
  <c r="BL295" i="40"/>
  <c r="CB295" i="40"/>
  <c r="BA295" i="40"/>
  <c r="BQ295" i="40"/>
  <c r="CG295" i="40"/>
  <c r="AW295" i="40"/>
  <c r="BB295" i="40"/>
  <c r="AX295" i="40"/>
  <c r="BO295" i="40"/>
  <c r="CE295" i="40"/>
  <c r="AZ295" i="40"/>
  <c r="BP295" i="40"/>
  <c r="CF295" i="40"/>
  <c r="BE295" i="40"/>
  <c r="BU295" i="40"/>
  <c r="DS295" i="40"/>
  <c r="BJ295" i="40"/>
  <c r="BN295" i="40"/>
  <c r="BR295" i="40"/>
  <c r="BF295" i="40"/>
  <c r="BC295" i="40"/>
  <c r="BS295" i="40"/>
  <c r="CJ295" i="40"/>
  <c r="BD295" i="40"/>
  <c r="BT295" i="40"/>
  <c r="DM295" i="40"/>
  <c r="BI295" i="40"/>
  <c r="BY295" i="40"/>
  <c r="DW295" i="40"/>
  <c r="BZ295" i="40"/>
  <c r="CD295" i="40"/>
  <c r="CH295" i="40"/>
  <c r="BV295" i="40"/>
  <c r="C296" i="40"/>
  <c r="BG295" i="40"/>
  <c r="BW295" i="40"/>
  <c r="DU295" i="40"/>
  <c r="BH295" i="40"/>
  <c r="BX295" i="40"/>
  <c r="DV295" i="40"/>
  <c r="BM295" i="40"/>
  <c r="CC295" i="40"/>
  <c r="A295" i="40"/>
  <c r="DT295" i="40"/>
  <c r="CR295" i="40"/>
  <c r="AO294" i="40"/>
  <c r="CQ294" i="40"/>
  <c r="AP194" i="40"/>
  <c r="CP394" i="40"/>
  <c r="AN394" i="40"/>
  <c r="KT137" i="40"/>
  <c r="KU136" i="40"/>
  <c r="I50" i="70" s="1"/>
  <c r="DB394" i="40"/>
  <c r="CQ394" i="40"/>
  <c r="AO394" i="40"/>
  <c r="CV194" i="40"/>
  <c r="AK194" i="40"/>
  <c r="AL194" i="40"/>
  <c r="CK194" i="40"/>
  <c r="AM194" i="40"/>
  <c r="CV394" i="40"/>
  <c r="AQ394" i="40"/>
  <c r="AO194" i="40"/>
  <c r="CQ194" i="40"/>
  <c r="C196" i="40"/>
  <c r="BA195" i="40"/>
  <c r="BE195" i="40"/>
  <c r="BI195" i="40"/>
  <c r="BM195" i="40"/>
  <c r="BQ195" i="40"/>
  <c r="BU195" i="40"/>
  <c r="BY195" i="40"/>
  <c r="CC195" i="40"/>
  <c r="CG195" i="40"/>
  <c r="DS195" i="40"/>
  <c r="DW195" i="40"/>
  <c r="AW195" i="40"/>
  <c r="BB195" i="40"/>
  <c r="BF195" i="40"/>
  <c r="BJ195" i="40"/>
  <c r="BN195" i="40"/>
  <c r="BR195" i="40"/>
  <c r="BV195" i="40"/>
  <c r="BZ195" i="40"/>
  <c r="CD195" i="40"/>
  <c r="CH195" i="40"/>
  <c r="DT195" i="40"/>
  <c r="CO195" i="40"/>
  <c r="AX195" i="40"/>
  <c r="BC195" i="40"/>
  <c r="BG195" i="40"/>
  <c r="BK195" i="40"/>
  <c r="BO195" i="40"/>
  <c r="BS195" i="40"/>
  <c r="BW195" i="40"/>
  <c r="CA195" i="40"/>
  <c r="CE195" i="40"/>
  <c r="CJ195" i="40"/>
  <c r="DU195" i="40"/>
  <c r="A195" i="40"/>
  <c r="BH195" i="40"/>
  <c r="BX195" i="40"/>
  <c r="DV195" i="40"/>
  <c r="CM195" i="40"/>
  <c r="BL195" i="40"/>
  <c r="CB195" i="40"/>
  <c r="AZ195" i="40"/>
  <c r="BP195" i="40"/>
  <c r="CF195" i="40"/>
  <c r="BD195" i="40"/>
  <c r="BT195" i="40"/>
  <c r="DM195" i="40"/>
  <c r="CR195" i="40"/>
  <c r="AP394" i="40"/>
  <c r="CK394" i="40"/>
  <c r="AM394" i="40"/>
  <c r="C396" i="40"/>
  <c r="AZ395" i="40"/>
  <c r="BD395" i="40"/>
  <c r="BH395" i="40"/>
  <c r="BL395" i="40"/>
  <c r="BP395" i="40"/>
  <c r="BT395" i="40"/>
  <c r="BX395" i="40"/>
  <c r="CB395" i="40"/>
  <c r="CF395" i="40"/>
  <c r="DM395" i="40"/>
  <c r="DV395" i="40"/>
  <c r="A395" i="40"/>
  <c r="BA395" i="40"/>
  <c r="BE395" i="40"/>
  <c r="BI395" i="40"/>
  <c r="BM395" i="40"/>
  <c r="BQ395" i="40"/>
  <c r="BU395" i="40"/>
  <c r="BY395" i="40"/>
  <c r="CC395" i="40"/>
  <c r="CG395" i="40"/>
  <c r="DS395" i="40"/>
  <c r="DW395" i="40"/>
  <c r="AW395" i="40"/>
  <c r="BB395" i="40"/>
  <c r="BF395" i="40"/>
  <c r="BJ395" i="40"/>
  <c r="BN395" i="40"/>
  <c r="BR395" i="40"/>
  <c r="BV395" i="40"/>
  <c r="BZ395" i="40"/>
  <c r="CD395" i="40"/>
  <c r="CH395" i="40"/>
  <c r="DT395" i="40"/>
  <c r="BC395" i="40"/>
  <c r="BS395" i="40"/>
  <c r="CJ395" i="40"/>
  <c r="BG395" i="40"/>
  <c r="BW395" i="40"/>
  <c r="DU395" i="40"/>
  <c r="BK395" i="40"/>
  <c r="CA395" i="40"/>
  <c r="CE395" i="40"/>
  <c r="BO395" i="40"/>
  <c r="AX395" i="40"/>
  <c r="CS395" i="40"/>
  <c r="CR395" i="40"/>
  <c r="CT395" i="40"/>
  <c r="CP194" i="40"/>
  <c r="AN194" i="40"/>
  <c r="AQ194" i="40"/>
  <c r="CI379" i="40" l="1"/>
  <c r="CI295" i="40"/>
  <c r="CI578" i="40"/>
  <c r="CI695" i="40"/>
  <c r="CI494" i="40"/>
  <c r="CI395" i="40"/>
  <c r="CI594" i="40"/>
  <c r="CI195" i="40"/>
  <c r="AQ594" i="40"/>
  <c r="AC42" i="58"/>
  <c r="Y43" i="58"/>
  <c r="DB494" i="40"/>
  <c r="DB695" i="40"/>
  <c r="D194" i="40"/>
  <c r="AY194" i="40" s="1"/>
  <c r="AQ494" i="40"/>
  <c r="AJ396" i="40"/>
  <c r="AF396" i="40"/>
  <c r="AB396" i="40"/>
  <c r="X396" i="40"/>
  <c r="T396" i="40"/>
  <c r="CR396" i="40" s="1"/>
  <c r="P396" i="40"/>
  <c r="L396" i="40"/>
  <c r="CL396" i="40" s="1"/>
  <c r="H396" i="40"/>
  <c r="AI396" i="40"/>
  <c r="AE396" i="40"/>
  <c r="AA396" i="40"/>
  <c r="CI480" i="40" s="1"/>
  <c r="W396" i="40"/>
  <c r="CU396" i="40" s="1"/>
  <c r="S396" i="40"/>
  <c r="O396" i="40"/>
  <c r="CO396" i="40" s="1"/>
  <c r="K396" i="40"/>
  <c r="G396" i="40"/>
  <c r="AH396" i="40"/>
  <c r="AD396" i="40"/>
  <c r="Z396" i="40"/>
  <c r="V396" i="40"/>
  <c r="CT396" i="40" s="1"/>
  <c r="R396" i="40"/>
  <c r="N396" i="40"/>
  <c r="CN396" i="40" s="1"/>
  <c r="J396" i="40"/>
  <c r="F396" i="40"/>
  <c r="U396" i="40"/>
  <c r="CS396" i="40" s="1"/>
  <c r="E396" i="40"/>
  <c r="AG396" i="40"/>
  <c r="Q396" i="40"/>
  <c r="AC396" i="40"/>
  <c r="M396" i="40"/>
  <c r="CM396" i="40" s="1"/>
  <c r="I396" i="40"/>
  <c r="Y396" i="40"/>
  <c r="CP695" i="40"/>
  <c r="AN695" i="40"/>
  <c r="AQ695" i="40"/>
  <c r="KN696" i="40"/>
  <c r="AF696" i="40"/>
  <c r="JO696" i="40"/>
  <c r="JQ696" i="40" s="1"/>
  <c r="JU696" i="40" s="1"/>
  <c r="AI696" i="40"/>
  <c r="JP696" i="40"/>
  <c r="AJ696" i="40"/>
  <c r="CB696" i="40"/>
  <c r="BZ696" i="40"/>
  <c r="BJ696" i="40"/>
  <c r="AH696" i="40"/>
  <c r="CC696" i="40"/>
  <c r="BG696" i="40"/>
  <c r="W696" i="40"/>
  <c r="CU696" i="40" s="1"/>
  <c r="BU696" i="40"/>
  <c r="M696" i="40"/>
  <c r="CM696" i="40" s="1"/>
  <c r="BM696" i="40"/>
  <c r="BK696" i="40"/>
  <c r="BI696" i="40"/>
  <c r="CG696" i="40"/>
  <c r="BS696" i="40"/>
  <c r="C697" i="40"/>
  <c r="BV696" i="40"/>
  <c r="BF696" i="40"/>
  <c r="N696" i="40"/>
  <c r="CN696" i="40" s="1"/>
  <c r="BW696" i="40"/>
  <c r="BA696" i="40"/>
  <c r="L696" i="40"/>
  <c r="CL696" i="40" s="1"/>
  <c r="BO696" i="40"/>
  <c r="DW696" i="40"/>
  <c r="BE696" i="40"/>
  <c r="AW696" i="40"/>
  <c r="O696" i="40"/>
  <c r="CO696" i="40" s="1"/>
  <c r="BC696" i="40"/>
  <c r="BP696" i="40"/>
  <c r="CJ696" i="40"/>
  <c r="DT696" i="40"/>
  <c r="DU696" i="40"/>
  <c r="BR696" i="40"/>
  <c r="BB696" i="40"/>
  <c r="J696" i="40"/>
  <c r="BQ696" i="40"/>
  <c r="AG696" i="40"/>
  <c r="A696" i="40"/>
  <c r="BH696" i="40"/>
  <c r="CA696" i="40"/>
  <c r="K696" i="40"/>
  <c r="P696" i="40"/>
  <c r="CH696" i="40"/>
  <c r="DV696" i="40"/>
  <c r="AX696" i="40"/>
  <c r="CD696" i="40"/>
  <c r="BX696" i="40"/>
  <c r="DM696" i="40"/>
  <c r="AZ696" i="40"/>
  <c r="BD696" i="40"/>
  <c r="CF696" i="40"/>
  <c r="AB696" i="40"/>
  <c r="CE696" i="40"/>
  <c r="BL696" i="40"/>
  <c r="BT696" i="40"/>
  <c r="DS696" i="40"/>
  <c r="BN696" i="40"/>
  <c r="BY696" i="40"/>
  <c r="X696" i="40"/>
  <c r="AD696" i="40"/>
  <c r="AA696" i="40"/>
  <c r="Y696" i="40"/>
  <c r="G696" i="40"/>
  <c r="S696" i="40"/>
  <c r="F696" i="40"/>
  <c r="AC696" i="40"/>
  <c r="T696" i="40"/>
  <c r="CR696" i="40" s="1"/>
  <c r="V696" i="40"/>
  <c r="CT696" i="40" s="1"/>
  <c r="R696" i="40"/>
  <c r="E696" i="40"/>
  <c r="I696" i="40"/>
  <c r="H696" i="40"/>
  <c r="AE696" i="40"/>
  <c r="Z696" i="40"/>
  <c r="Q696" i="40"/>
  <c r="U696" i="40"/>
  <c r="CS696" i="40" s="1"/>
  <c r="JR695" i="40"/>
  <c r="JT695" i="40"/>
  <c r="AJ595" i="40"/>
  <c r="AF595" i="40"/>
  <c r="AB595" i="40"/>
  <c r="X595" i="40"/>
  <c r="T595" i="40"/>
  <c r="CR595" i="40" s="1"/>
  <c r="P595" i="40"/>
  <c r="L595" i="40"/>
  <c r="CL595" i="40" s="1"/>
  <c r="H595" i="40"/>
  <c r="AI595" i="40"/>
  <c r="AE595" i="40"/>
  <c r="AA595" i="40"/>
  <c r="CI679" i="40" s="1"/>
  <c r="W595" i="40"/>
  <c r="CU595" i="40" s="1"/>
  <c r="S595" i="40"/>
  <c r="O595" i="40"/>
  <c r="CO595" i="40" s="1"/>
  <c r="K595" i="40"/>
  <c r="G595" i="40"/>
  <c r="AH595" i="40"/>
  <c r="Z595" i="40"/>
  <c r="R595" i="40"/>
  <c r="J595" i="40"/>
  <c r="AG595" i="40"/>
  <c r="Y595" i="40"/>
  <c r="Q595" i="40"/>
  <c r="I595" i="40"/>
  <c r="AD595" i="40"/>
  <c r="V595" i="40"/>
  <c r="CT595" i="40" s="1"/>
  <c r="N595" i="40"/>
  <c r="CN595" i="40" s="1"/>
  <c r="F595" i="40"/>
  <c r="AC595" i="40"/>
  <c r="U595" i="40"/>
  <c r="CS595" i="40" s="1"/>
  <c r="M595" i="40"/>
  <c r="CM595" i="40" s="1"/>
  <c r="E595" i="40"/>
  <c r="BI595" i="40"/>
  <c r="CD595" i="40"/>
  <c r="DU595" i="40"/>
  <c r="AW595" i="40"/>
  <c r="BD595" i="40"/>
  <c r="BM595" i="40"/>
  <c r="CC595" i="40"/>
  <c r="BC595" i="40"/>
  <c r="BA595" i="40"/>
  <c r="BR595" i="40"/>
  <c r="CH595" i="40"/>
  <c r="BX595" i="40"/>
  <c r="BK595" i="40"/>
  <c r="CA595" i="40"/>
  <c r="BH595" i="40"/>
  <c r="C596" i="40"/>
  <c r="BQ595" i="40"/>
  <c r="CG595" i="40"/>
  <c r="BP595" i="40"/>
  <c r="BF595" i="40"/>
  <c r="BV595" i="40"/>
  <c r="DT595" i="40"/>
  <c r="DM595" i="40"/>
  <c r="BO595" i="40"/>
  <c r="CE595" i="40"/>
  <c r="BT595" i="40"/>
  <c r="AZ595" i="40"/>
  <c r="DW595" i="40"/>
  <c r="DV595" i="40"/>
  <c r="BL595" i="40"/>
  <c r="BW595" i="40"/>
  <c r="A595" i="40"/>
  <c r="AX595" i="40"/>
  <c r="BE595" i="40"/>
  <c r="BU595" i="40"/>
  <c r="DS595" i="40"/>
  <c r="CB595" i="40"/>
  <c r="BJ595" i="40"/>
  <c r="BZ595" i="40"/>
  <c r="BB595" i="40"/>
  <c r="BS595" i="40"/>
  <c r="CJ595" i="40"/>
  <c r="CF595" i="40"/>
  <c r="BY595" i="40"/>
  <c r="BN595" i="40"/>
  <c r="BG595" i="40"/>
  <c r="CP594" i="40"/>
  <c r="AN594" i="40"/>
  <c r="CK594" i="40"/>
  <c r="AM594" i="40"/>
  <c r="CQ695" i="40"/>
  <c r="AO695" i="40"/>
  <c r="JV695" i="40"/>
  <c r="JW695" i="40" s="1"/>
  <c r="CV594" i="40"/>
  <c r="DB594" i="40"/>
  <c r="AH296" i="40"/>
  <c r="AD296" i="40"/>
  <c r="Z296" i="40"/>
  <c r="V296" i="40"/>
  <c r="CT296" i="40" s="1"/>
  <c r="R296" i="40"/>
  <c r="N296" i="40"/>
  <c r="CN296" i="40" s="1"/>
  <c r="J296" i="40"/>
  <c r="F296" i="40"/>
  <c r="AG296" i="40"/>
  <c r="AC296" i="40"/>
  <c r="Y296" i="40"/>
  <c r="U296" i="40"/>
  <c r="CS296" i="40" s="1"/>
  <c r="Q296" i="40"/>
  <c r="M296" i="40"/>
  <c r="CM296" i="40" s="1"/>
  <c r="I296" i="40"/>
  <c r="E296" i="40"/>
  <c r="AJ296" i="40"/>
  <c r="AF296" i="40"/>
  <c r="AB296" i="40"/>
  <c r="X296" i="40"/>
  <c r="T296" i="40"/>
  <c r="CR296" i="40" s="1"/>
  <c r="P296" i="40"/>
  <c r="L296" i="40"/>
  <c r="H296" i="40"/>
  <c r="AA296" i="40"/>
  <c r="K296" i="40"/>
  <c r="W296" i="40"/>
  <c r="CU296" i="40" s="1"/>
  <c r="G296" i="40"/>
  <c r="AI296" i="40"/>
  <c r="S296" i="40"/>
  <c r="AE296" i="40"/>
  <c r="O296" i="40"/>
  <c r="CO296" i="40" s="1"/>
  <c r="AP594" i="40"/>
  <c r="AG196" i="40"/>
  <c r="AC196" i="40"/>
  <c r="Y196" i="40"/>
  <c r="U196" i="40"/>
  <c r="CS196" i="40" s="1"/>
  <c r="Q196" i="40"/>
  <c r="M196" i="40"/>
  <c r="CM196" i="40" s="1"/>
  <c r="I196" i="40"/>
  <c r="E196" i="40"/>
  <c r="AJ196" i="40"/>
  <c r="AF196" i="40"/>
  <c r="AB196" i="40"/>
  <c r="X196" i="40"/>
  <c r="T196" i="40"/>
  <c r="CR196" i="40" s="1"/>
  <c r="P196" i="40"/>
  <c r="L196" i="40"/>
  <c r="CL196" i="40" s="1"/>
  <c r="H196" i="40"/>
  <c r="AI196" i="40"/>
  <c r="AE196" i="40"/>
  <c r="AA196" i="40"/>
  <c r="CI280" i="40" s="1"/>
  <c r="W196" i="40"/>
  <c r="CU196" i="40" s="1"/>
  <c r="S196" i="40"/>
  <c r="O196" i="40"/>
  <c r="CO196" i="40" s="1"/>
  <c r="K196" i="40"/>
  <c r="G196" i="40"/>
  <c r="AH196" i="40"/>
  <c r="R196" i="40"/>
  <c r="AD196" i="40"/>
  <c r="N196" i="40"/>
  <c r="CN196" i="40" s="1"/>
  <c r="Z196" i="40"/>
  <c r="J196" i="40"/>
  <c r="V196" i="40"/>
  <c r="CT196" i="40" s="1"/>
  <c r="F196" i="40"/>
  <c r="AJ495" i="40"/>
  <c r="AF495" i="40"/>
  <c r="AB495" i="40"/>
  <c r="X495" i="40"/>
  <c r="T495" i="40"/>
  <c r="CR495" i="40" s="1"/>
  <c r="P495" i="40"/>
  <c r="L495" i="40"/>
  <c r="CL495" i="40" s="1"/>
  <c r="H495" i="40"/>
  <c r="AH495" i="40"/>
  <c r="AD495" i="40"/>
  <c r="Z495" i="40"/>
  <c r="V495" i="40"/>
  <c r="CT495" i="40" s="1"/>
  <c r="R495" i="40"/>
  <c r="N495" i="40"/>
  <c r="CN495" i="40" s="1"/>
  <c r="J495" i="40"/>
  <c r="F495" i="40"/>
  <c r="AI495" i="40"/>
  <c r="AA495" i="40"/>
  <c r="S495" i="40"/>
  <c r="K495" i="40"/>
  <c r="AG495" i="40"/>
  <c r="Y495" i="40"/>
  <c r="Q495" i="40"/>
  <c r="I495" i="40"/>
  <c r="AE495" i="40"/>
  <c r="W495" i="40"/>
  <c r="CU495" i="40" s="1"/>
  <c r="O495" i="40"/>
  <c r="CO495" i="40" s="1"/>
  <c r="G495" i="40"/>
  <c r="U495" i="40"/>
  <c r="CS495" i="40" s="1"/>
  <c r="M495" i="40"/>
  <c r="CM495" i="40" s="1"/>
  <c r="E495" i="40"/>
  <c r="AC495" i="40"/>
  <c r="CV695" i="40"/>
  <c r="AP695" i="40"/>
  <c r="AM695" i="40"/>
  <c r="CK695" i="40"/>
  <c r="AO594" i="40"/>
  <c r="CQ594" i="40"/>
  <c r="CV494" i="40"/>
  <c r="CP494" i="40"/>
  <c r="AN494" i="40"/>
  <c r="AO494" i="40"/>
  <c r="CQ494" i="40"/>
  <c r="AP494" i="40"/>
  <c r="CK494" i="40"/>
  <c r="AM494" i="40"/>
  <c r="BB495" i="40"/>
  <c r="BR495" i="40"/>
  <c r="CH495" i="40"/>
  <c r="BC495" i="40"/>
  <c r="BS495" i="40"/>
  <c r="CJ495" i="40"/>
  <c r="BD495" i="40"/>
  <c r="BT495" i="40"/>
  <c r="DM495" i="40"/>
  <c r="BY495" i="40"/>
  <c r="BM495" i="40"/>
  <c r="BE495" i="40"/>
  <c r="C496" i="40"/>
  <c r="BF495" i="40"/>
  <c r="BV495" i="40"/>
  <c r="DT495" i="40"/>
  <c r="BG495" i="40"/>
  <c r="BW495" i="40"/>
  <c r="DU495" i="40"/>
  <c r="BH495" i="40"/>
  <c r="BX495" i="40"/>
  <c r="DV495" i="40"/>
  <c r="DW495" i="40"/>
  <c r="CC495" i="40"/>
  <c r="BA495" i="40"/>
  <c r="A495" i="40"/>
  <c r="BJ495" i="40"/>
  <c r="BZ495" i="40"/>
  <c r="BK495" i="40"/>
  <c r="CA495" i="40"/>
  <c r="BL495" i="40"/>
  <c r="CB495" i="40"/>
  <c r="BU495" i="40"/>
  <c r="BQ495" i="40"/>
  <c r="AW495" i="40"/>
  <c r="BN495" i="40"/>
  <c r="CD495" i="40"/>
  <c r="AX495" i="40"/>
  <c r="BO495" i="40"/>
  <c r="CE495" i="40"/>
  <c r="AZ495" i="40"/>
  <c r="BP495" i="40"/>
  <c r="CF495" i="40"/>
  <c r="BI495" i="40"/>
  <c r="DS495" i="40"/>
  <c r="CG495" i="40"/>
  <c r="CP295" i="40"/>
  <c r="AN295" i="40"/>
  <c r="AQ295" i="40"/>
  <c r="CV295" i="40"/>
  <c r="BC296" i="40"/>
  <c r="BS296" i="40"/>
  <c r="BD296" i="40"/>
  <c r="BT296" i="40"/>
  <c r="BY296" i="40"/>
  <c r="BZ296" i="40"/>
  <c r="BV296" i="40"/>
  <c r="A296" i="40"/>
  <c r="C297" i="40"/>
  <c r="BG296" i="40"/>
  <c r="BW296" i="40"/>
  <c r="DU296" i="40"/>
  <c r="BH296" i="40"/>
  <c r="BX296" i="40"/>
  <c r="DV296" i="40"/>
  <c r="CC296" i="40"/>
  <c r="DT296" i="40"/>
  <c r="BK296" i="40"/>
  <c r="CA296" i="40"/>
  <c r="BL296" i="40"/>
  <c r="CB296" i="40"/>
  <c r="CL296" i="40"/>
  <c r="BA296" i="40"/>
  <c r="BQ296" i="40"/>
  <c r="CG296" i="40"/>
  <c r="AW296" i="40"/>
  <c r="BB296" i="40"/>
  <c r="BR296" i="40"/>
  <c r="AX296" i="40"/>
  <c r="BO296" i="40"/>
  <c r="CE296" i="40"/>
  <c r="AZ296" i="40"/>
  <c r="BP296" i="40"/>
  <c r="CF296" i="40"/>
  <c r="BE296" i="40"/>
  <c r="BU296" i="40"/>
  <c r="DS296" i="40"/>
  <c r="BJ296" i="40"/>
  <c r="BN296" i="40"/>
  <c r="BF296" i="40"/>
  <c r="CJ296" i="40"/>
  <c r="DM296" i="40"/>
  <c r="BI296" i="40"/>
  <c r="DW296" i="40"/>
  <c r="CD296" i="40"/>
  <c r="CH296" i="40"/>
  <c r="BM296" i="40"/>
  <c r="AP295" i="40"/>
  <c r="DB295" i="40"/>
  <c r="AO295" i="40"/>
  <c r="CQ295" i="40"/>
  <c r="AM295" i="40"/>
  <c r="CK295" i="40"/>
  <c r="DB195" i="40"/>
  <c r="CV195" i="40"/>
  <c r="AL195" i="40"/>
  <c r="AK195" i="40"/>
  <c r="CK195" i="40"/>
  <c r="AM195" i="40"/>
  <c r="AP395" i="40"/>
  <c r="AQ395" i="40"/>
  <c r="AO195" i="40"/>
  <c r="CQ195" i="40"/>
  <c r="C197" i="40"/>
  <c r="AZ196" i="40"/>
  <c r="BD196" i="40"/>
  <c r="BH196" i="40"/>
  <c r="BL196" i="40"/>
  <c r="BP196" i="40"/>
  <c r="BT196" i="40"/>
  <c r="BX196" i="40"/>
  <c r="CB196" i="40"/>
  <c r="CF196" i="40"/>
  <c r="DM196" i="40"/>
  <c r="DV196" i="40"/>
  <c r="A196" i="40"/>
  <c r="BA196" i="40"/>
  <c r="BE196" i="40"/>
  <c r="BI196" i="40"/>
  <c r="BM196" i="40"/>
  <c r="BQ196" i="40"/>
  <c r="BU196" i="40"/>
  <c r="BY196" i="40"/>
  <c r="CC196" i="40"/>
  <c r="CG196" i="40"/>
  <c r="DS196" i="40"/>
  <c r="DW196" i="40"/>
  <c r="AW196" i="40"/>
  <c r="BB196" i="40"/>
  <c r="BF196" i="40"/>
  <c r="BJ196" i="40"/>
  <c r="BN196" i="40"/>
  <c r="BR196" i="40"/>
  <c r="BV196" i="40"/>
  <c r="BZ196" i="40"/>
  <c r="CD196" i="40"/>
  <c r="CH196" i="40"/>
  <c r="DT196" i="40"/>
  <c r="BG196" i="40"/>
  <c r="BW196" i="40"/>
  <c r="DU196" i="40"/>
  <c r="BK196" i="40"/>
  <c r="CA196" i="40"/>
  <c r="AX196" i="40"/>
  <c r="BO196" i="40"/>
  <c r="CE196" i="40"/>
  <c r="BC196" i="40"/>
  <c r="BS196" i="40"/>
  <c r="CJ196" i="40"/>
  <c r="CV395" i="40"/>
  <c r="CP395" i="40"/>
  <c r="AN395" i="40"/>
  <c r="CK395" i="40"/>
  <c r="AM395" i="40"/>
  <c r="CP195" i="40"/>
  <c r="AN195" i="40"/>
  <c r="AP195" i="40"/>
  <c r="AQ195" i="40"/>
  <c r="DB395" i="40"/>
  <c r="AO395" i="40"/>
  <c r="CQ395" i="40"/>
  <c r="C397" i="40"/>
  <c r="AZ396" i="40"/>
  <c r="BD396" i="40"/>
  <c r="BH396" i="40"/>
  <c r="BL396" i="40"/>
  <c r="BP396" i="40"/>
  <c r="BT396" i="40"/>
  <c r="BX396" i="40"/>
  <c r="CB396" i="40"/>
  <c r="CF396" i="40"/>
  <c r="DM396" i="40"/>
  <c r="DV396" i="40"/>
  <c r="BA396" i="40"/>
  <c r="BE396" i="40"/>
  <c r="BI396" i="40"/>
  <c r="BM396" i="40"/>
  <c r="BQ396" i="40"/>
  <c r="BU396" i="40"/>
  <c r="BY396" i="40"/>
  <c r="CC396" i="40"/>
  <c r="CG396" i="40"/>
  <c r="DS396" i="40"/>
  <c r="DW396" i="40"/>
  <c r="A396" i="40"/>
  <c r="AW396" i="40"/>
  <c r="BB396" i="40"/>
  <c r="BF396" i="40"/>
  <c r="BJ396" i="40"/>
  <c r="BN396" i="40"/>
  <c r="BR396" i="40"/>
  <c r="BV396" i="40"/>
  <c r="BZ396" i="40"/>
  <c r="CD396" i="40"/>
  <c r="CH396" i="40"/>
  <c r="DT396" i="40"/>
  <c r="BC396" i="40"/>
  <c r="BS396" i="40"/>
  <c r="CJ396" i="40"/>
  <c r="BG396" i="40"/>
  <c r="BW396" i="40"/>
  <c r="DU396" i="40"/>
  <c r="BK396" i="40"/>
  <c r="CA396" i="40"/>
  <c r="CE396" i="40"/>
  <c r="AX396" i="40"/>
  <c r="BO396" i="40"/>
  <c r="KT138" i="40"/>
  <c r="KU137" i="40"/>
  <c r="I51" i="70" s="1"/>
  <c r="CI380" i="40" l="1"/>
  <c r="CI579" i="40"/>
  <c r="CI196" i="40"/>
  <c r="CI595" i="40"/>
  <c r="CI696" i="40"/>
  <c r="CI396" i="40"/>
  <c r="CI495" i="40"/>
  <c r="CI296" i="40"/>
  <c r="AD42" i="58"/>
  <c r="AD43" i="58" s="1"/>
  <c r="AC43" i="58"/>
  <c r="C43" i="58" s="1"/>
  <c r="DB595" i="40"/>
  <c r="DB495" i="40"/>
  <c r="DB396" i="40"/>
  <c r="CV495" i="40"/>
  <c r="DB296" i="40"/>
  <c r="CV595" i="40"/>
  <c r="DB696" i="40"/>
  <c r="AO696" i="40"/>
  <c r="CQ696" i="40"/>
  <c r="AF697" i="40"/>
  <c r="KN697" i="40"/>
  <c r="JO697" i="40"/>
  <c r="JQ697" i="40" s="1"/>
  <c r="JU697" i="40" s="1"/>
  <c r="AI697" i="40"/>
  <c r="CJ697" i="40"/>
  <c r="CC697" i="40"/>
  <c r="BM697" i="40"/>
  <c r="AW697" i="40"/>
  <c r="DS697" i="40"/>
  <c r="BN697" i="40"/>
  <c r="N697" i="40"/>
  <c r="CN697" i="40" s="1"/>
  <c r="BR697" i="40"/>
  <c r="P697" i="40"/>
  <c r="BV697" i="40"/>
  <c r="C698" i="40"/>
  <c r="AZ697" i="40"/>
  <c r="BP697" i="40"/>
  <c r="BG697" i="40"/>
  <c r="BW697" i="40"/>
  <c r="AJ697" i="40"/>
  <c r="BY697" i="40"/>
  <c r="BI697" i="40"/>
  <c r="AG697" i="40"/>
  <c r="CD697" i="40"/>
  <c r="BH697" i="40"/>
  <c r="DV697" i="40"/>
  <c r="BK697" i="40"/>
  <c r="J697" i="40"/>
  <c r="BL697" i="40"/>
  <c r="CB697" i="40"/>
  <c r="AB697" i="40"/>
  <c r="DT697" i="40"/>
  <c r="BF697" i="40"/>
  <c r="DU697" i="40"/>
  <c r="BU697" i="40"/>
  <c r="BE697" i="40"/>
  <c r="M697" i="40"/>
  <c r="CM697" i="40" s="1"/>
  <c r="BX697" i="40"/>
  <c r="BC697" i="40"/>
  <c r="CF697" i="40"/>
  <c r="BD697" i="40"/>
  <c r="DM697" i="40"/>
  <c r="BB697" i="40"/>
  <c r="BT697" i="40"/>
  <c r="K697" i="40"/>
  <c r="CH697" i="40"/>
  <c r="O697" i="40"/>
  <c r="CO697" i="40" s="1"/>
  <c r="JP697" i="40"/>
  <c r="BQ697" i="40"/>
  <c r="AX697" i="40"/>
  <c r="L697" i="40"/>
  <c r="CL697" i="40" s="1"/>
  <c r="CA697" i="40"/>
  <c r="BZ697" i="40"/>
  <c r="BJ697" i="40"/>
  <c r="CG697" i="40"/>
  <c r="BA697" i="40"/>
  <c r="CE697" i="40"/>
  <c r="A697" i="40"/>
  <c r="W697" i="40"/>
  <c r="CU697" i="40" s="1"/>
  <c r="DW697" i="40"/>
  <c r="BS697" i="40"/>
  <c r="BO697" i="40"/>
  <c r="AH697" i="40"/>
  <c r="X697" i="40"/>
  <c r="AA697" i="40"/>
  <c r="AD697" i="40"/>
  <c r="Y697" i="40"/>
  <c r="H697" i="40"/>
  <c r="V697" i="40"/>
  <c r="CT697" i="40" s="1"/>
  <c r="T697" i="40"/>
  <c r="CR697" i="40" s="1"/>
  <c r="I697" i="40"/>
  <c r="AC697" i="40"/>
  <c r="F697" i="40"/>
  <c r="G697" i="40"/>
  <c r="R697" i="40"/>
  <c r="AE697" i="40"/>
  <c r="U697" i="40"/>
  <c r="CS697" i="40" s="1"/>
  <c r="S697" i="40"/>
  <c r="E697" i="40"/>
  <c r="Z697" i="40"/>
  <c r="Q697" i="40"/>
  <c r="JT696" i="40"/>
  <c r="JR696" i="40"/>
  <c r="AO595" i="40"/>
  <c r="CQ595" i="40"/>
  <c r="CP696" i="40"/>
  <c r="AN696" i="40"/>
  <c r="AQ696" i="40"/>
  <c r="AP696" i="40"/>
  <c r="AJ397" i="40"/>
  <c r="AF397" i="40"/>
  <c r="AB397" i="40"/>
  <c r="X397" i="40"/>
  <c r="T397" i="40"/>
  <c r="CR397" i="40" s="1"/>
  <c r="P397" i="40"/>
  <c r="L397" i="40"/>
  <c r="CL397" i="40" s="1"/>
  <c r="H397" i="40"/>
  <c r="AI397" i="40"/>
  <c r="AE397" i="40"/>
  <c r="AA397" i="40"/>
  <c r="CI481" i="40" s="1"/>
  <c r="W397" i="40"/>
  <c r="CU397" i="40" s="1"/>
  <c r="S397" i="40"/>
  <c r="O397" i="40"/>
  <c r="CO397" i="40" s="1"/>
  <c r="K397" i="40"/>
  <c r="G397" i="40"/>
  <c r="AH397" i="40"/>
  <c r="AD397" i="40"/>
  <c r="Z397" i="40"/>
  <c r="V397" i="40"/>
  <c r="CT397" i="40" s="1"/>
  <c r="R397" i="40"/>
  <c r="N397" i="40"/>
  <c r="CN397" i="40" s="1"/>
  <c r="J397" i="40"/>
  <c r="F397" i="40"/>
  <c r="U397" i="40"/>
  <c r="CS397" i="40" s="1"/>
  <c r="E397" i="40"/>
  <c r="AG397" i="40"/>
  <c r="Q397" i="40"/>
  <c r="AC397" i="40"/>
  <c r="M397" i="40"/>
  <c r="CM397" i="40" s="1"/>
  <c r="Y397" i="40"/>
  <c r="I397" i="40"/>
  <c r="AJ496" i="40"/>
  <c r="AF496" i="40"/>
  <c r="AB496" i="40"/>
  <c r="X496" i="40"/>
  <c r="T496" i="40"/>
  <c r="CR496" i="40" s="1"/>
  <c r="P496" i="40"/>
  <c r="L496" i="40"/>
  <c r="H496" i="40"/>
  <c r="AH496" i="40"/>
  <c r="AD496" i="40"/>
  <c r="Z496" i="40"/>
  <c r="V496" i="40"/>
  <c r="CT496" i="40" s="1"/>
  <c r="R496" i="40"/>
  <c r="N496" i="40"/>
  <c r="CN496" i="40" s="1"/>
  <c r="J496" i="40"/>
  <c r="F496" i="40"/>
  <c r="AI496" i="40"/>
  <c r="AA496" i="40"/>
  <c r="S496" i="40"/>
  <c r="K496" i="40"/>
  <c r="AG496" i="40"/>
  <c r="Y496" i="40"/>
  <c r="Q496" i="40"/>
  <c r="I496" i="40"/>
  <c r="AE496" i="40"/>
  <c r="W496" i="40"/>
  <c r="CU496" i="40" s="1"/>
  <c r="O496" i="40"/>
  <c r="CO496" i="40" s="1"/>
  <c r="G496" i="40"/>
  <c r="U496" i="40"/>
  <c r="CS496" i="40" s="1"/>
  <c r="M496" i="40"/>
  <c r="CM496" i="40" s="1"/>
  <c r="E496" i="40"/>
  <c r="AC496" i="40"/>
  <c r="AG197" i="40"/>
  <c r="AC197" i="40"/>
  <c r="Y197" i="40"/>
  <c r="U197" i="40"/>
  <c r="CS197" i="40" s="1"/>
  <c r="Q197" i="40"/>
  <c r="M197" i="40"/>
  <c r="CM197" i="40" s="1"/>
  <c r="I197" i="40"/>
  <c r="E197" i="40"/>
  <c r="AJ197" i="40"/>
  <c r="AF197" i="40"/>
  <c r="AB197" i="40"/>
  <c r="X197" i="40"/>
  <c r="T197" i="40"/>
  <c r="CR197" i="40" s="1"/>
  <c r="P197" i="40"/>
  <c r="L197" i="40"/>
  <c r="H197" i="40"/>
  <c r="AI197" i="40"/>
  <c r="AE197" i="40"/>
  <c r="AA197" i="40"/>
  <c r="CI281" i="40" s="1"/>
  <c r="W197" i="40"/>
  <c r="CU197" i="40" s="1"/>
  <c r="S197" i="40"/>
  <c r="O197" i="40"/>
  <c r="CO197" i="40" s="1"/>
  <c r="K197" i="40"/>
  <c r="G197" i="40"/>
  <c r="AH197" i="40"/>
  <c r="R197" i="40"/>
  <c r="AD197" i="40"/>
  <c r="N197" i="40"/>
  <c r="CN197" i="40" s="1"/>
  <c r="Z197" i="40"/>
  <c r="J197" i="40"/>
  <c r="V197" i="40"/>
  <c r="CT197" i="40" s="1"/>
  <c r="F197" i="40"/>
  <c r="AJ596" i="40"/>
  <c r="AF596" i="40"/>
  <c r="AB596" i="40"/>
  <c r="X596" i="40"/>
  <c r="T596" i="40"/>
  <c r="CR596" i="40" s="1"/>
  <c r="P596" i="40"/>
  <c r="L596" i="40"/>
  <c r="CL596" i="40" s="1"/>
  <c r="H596" i="40"/>
  <c r="AI596" i="40"/>
  <c r="AE596" i="40"/>
  <c r="AA596" i="40"/>
  <c r="CI680" i="40" s="1"/>
  <c r="W596" i="40"/>
  <c r="CU596" i="40" s="1"/>
  <c r="S596" i="40"/>
  <c r="O596" i="40"/>
  <c r="CO596" i="40" s="1"/>
  <c r="K596" i="40"/>
  <c r="G596" i="40"/>
  <c r="AH596" i="40"/>
  <c r="Z596" i="40"/>
  <c r="R596" i="40"/>
  <c r="J596" i="40"/>
  <c r="AG596" i="40"/>
  <c r="Y596" i="40"/>
  <c r="Q596" i="40"/>
  <c r="I596" i="40"/>
  <c r="AD596" i="40"/>
  <c r="V596" i="40"/>
  <c r="CT596" i="40" s="1"/>
  <c r="N596" i="40"/>
  <c r="CN596" i="40" s="1"/>
  <c r="F596" i="40"/>
  <c r="AC596" i="40"/>
  <c r="U596" i="40"/>
  <c r="CS596" i="40" s="1"/>
  <c r="M596" i="40"/>
  <c r="CM596" i="40" s="1"/>
  <c r="E596" i="40"/>
  <c r="BM596" i="40"/>
  <c r="CC596" i="40"/>
  <c r="BD596" i="40"/>
  <c r="BJ596" i="40"/>
  <c r="BZ596" i="40"/>
  <c r="BH596" i="40"/>
  <c r="BK596" i="40"/>
  <c r="CA596" i="40"/>
  <c r="AZ596" i="40"/>
  <c r="BI596" i="40"/>
  <c r="DW596" i="40"/>
  <c r="BF596" i="40"/>
  <c r="DT596" i="40"/>
  <c r="BW596" i="40"/>
  <c r="DM596" i="40"/>
  <c r="BA596" i="40"/>
  <c r="BQ596" i="40"/>
  <c r="CG596" i="40"/>
  <c r="BP596" i="40"/>
  <c r="AW596" i="40"/>
  <c r="BN596" i="40"/>
  <c r="CD596" i="40"/>
  <c r="BT596" i="40"/>
  <c r="AX596" i="40"/>
  <c r="BO596" i="40"/>
  <c r="CE596" i="40"/>
  <c r="BL596" i="40"/>
  <c r="C597" i="40"/>
  <c r="BE596" i="40"/>
  <c r="BU596" i="40"/>
  <c r="DS596" i="40"/>
  <c r="CB596" i="40"/>
  <c r="BB596" i="40"/>
  <c r="BR596" i="40"/>
  <c r="CH596" i="40"/>
  <c r="CF596" i="40"/>
  <c r="BC596" i="40"/>
  <c r="BS596" i="40"/>
  <c r="CJ596" i="40"/>
  <c r="BX596" i="40"/>
  <c r="BY596" i="40"/>
  <c r="A596" i="40"/>
  <c r="BV596" i="40"/>
  <c r="DV596" i="40"/>
  <c r="BG596" i="40"/>
  <c r="DU596" i="40"/>
  <c r="AQ595" i="40"/>
  <c r="AP595" i="40"/>
  <c r="CV696" i="40"/>
  <c r="JV696" i="40"/>
  <c r="JW696" i="40" s="1"/>
  <c r="D195" i="40"/>
  <c r="AY195" i="40" s="1"/>
  <c r="AH297" i="40"/>
  <c r="AD297" i="40"/>
  <c r="Z297" i="40"/>
  <c r="V297" i="40"/>
  <c r="CT297" i="40" s="1"/>
  <c r="R297" i="40"/>
  <c r="N297" i="40"/>
  <c r="CN297" i="40" s="1"/>
  <c r="J297" i="40"/>
  <c r="F297" i="40"/>
  <c r="AG297" i="40"/>
  <c r="AC297" i="40"/>
  <c r="Y297" i="40"/>
  <c r="U297" i="40"/>
  <c r="CS297" i="40" s="1"/>
  <c r="Q297" i="40"/>
  <c r="M297" i="40"/>
  <c r="CM297" i="40" s="1"/>
  <c r="I297" i="40"/>
  <c r="E297" i="40"/>
  <c r="AJ297" i="40"/>
  <c r="AF297" i="40"/>
  <c r="AB297" i="40"/>
  <c r="X297" i="40"/>
  <c r="T297" i="40"/>
  <c r="CR297" i="40" s="1"/>
  <c r="P297" i="40"/>
  <c r="L297" i="40"/>
  <c r="CL297" i="40" s="1"/>
  <c r="H297" i="40"/>
  <c r="AA297" i="40"/>
  <c r="K297" i="40"/>
  <c r="W297" i="40"/>
  <c r="CU297" i="40" s="1"/>
  <c r="G297" i="40"/>
  <c r="AI297" i="40"/>
  <c r="S297" i="40"/>
  <c r="AE297" i="40"/>
  <c r="O297" i="40"/>
  <c r="CO297" i="40" s="1"/>
  <c r="AN595" i="40"/>
  <c r="CP595" i="40"/>
  <c r="CK595" i="40"/>
  <c r="AM595" i="40"/>
  <c r="AM696" i="40"/>
  <c r="CK696" i="40"/>
  <c r="CQ495" i="40"/>
  <c r="AO495" i="40"/>
  <c r="AQ495" i="40"/>
  <c r="AP495" i="40"/>
  <c r="CP495" i="40"/>
  <c r="AN495" i="40"/>
  <c r="CK495" i="40"/>
  <c r="AM495" i="40"/>
  <c r="AW496" i="40"/>
  <c r="BN496" i="40"/>
  <c r="CD496" i="40"/>
  <c r="AX496" i="40"/>
  <c r="BO496" i="40"/>
  <c r="CE496" i="40"/>
  <c r="AZ496" i="40"/>
  <c r="BP496" i="40"/>
  <c r="CF496" i="40"/>
  <c r="BI496" i="40"/>
  <c r="CL496" i="40"/>
  <c r="BB496" i="40"/>
  <c r="BR496" i="40"/>
  <c r="CH496" i="40"/>
  <c r="BC496" i="40"/>
  <c r="BS496" i="40"/>
  <c r="CJ496" i="40"/>
  <c r="BD496" i="40"/>
  <c r="BT496" i="40"/>
  <c r="DM496" i="40"/>
  <c r="BY496" i="40"/>
  <c r="BM496" i="40"/>
  <c r="BA496" i="40"/>
  <c r="DS496" i="40"/>
  <c r="C497" i="40"/>
  <c r="BF496" i="40"/>
  <c r="BV496" i="40"/>
  <c r="DT496" i="40"/>
  <c r="BG496" i="40"/>
  <c r="BW496" i="40"/>
  <c r="DU496" i="40"/>
  <c r="BH496" i="40"/>
  <c r="BX496" i="40"/>
  <c r="DV496" i="40"/>
  <c r="DW496" i="40"/>
  <c r="CC496" i="40"/>
  <c r="BQ496" i="40"/>
  <c r="A496" i="40"/>
  <c r="BJ496" i="40"/>
  <c r="BZ496" i="40"/>
  <c r="BK496" i="40"/>
  <c r="CA496" i="40"/>
  <c r="BL496" i="40"/>
  <c r="CB496" i="40"/>
  <c r="BE496" i="40"/>
  <c r="BU496" i="40"/>
  <c r="CG496" i="40"/>
  <c r="AP296" i="40"/>
  <c r="CQ296" i="40"/>
  <c r="AO296" i="40"/>
  <c r="BK297" i="40"/>
  <c r="CA297" i="40"/>
  <c r="BL297" i="40"/>
  <c r="CB297" i="40"/>
  <c r="BA297" i="40"/>
  <c r="BQ297" i="40"/>
  <c r="CG297" i="40"/>
  <c r="AW297" i="40"/>
  <c r="BB297" i="40"/>
  <c r="AX297" i="40"/>
  <c r="BO297" i="40"/>
  <c r="CE297" i="40"/>
  <c r="AZ297" i="40"/>
  <c r="BP297" i="40"/>
  <c r="CF297" i="40"/>
  <c r="BE297" i="40"/>
  <c r="BU297" i="40"/>
  <c r="DS297" i="40"/>
  <c r="BJ297" i="40"/>
  <c r="BN297" i="40"/>
  <c r="BR297" i="40"/>
  <c r="BF297" i="40"/>
  <c r="BC297" i="40"/>
  <c r="BS297" i="40"/>
  <c r="CJ297" i="40"/>
  <c r="BD297" i="40"/>
  <c r="BT297" i="40"/>
  <c r="DM297" i="40"/>
  <c r="BI297" i="40"/>
  <c r="BY297" i="40"/>
  <c r="DW297" i="40"/>
  <c r="BZ297" i="40"/>
  <c r="CD297" i="40"/>
  <c r="CH297" i="40"/>
  <c r="BV297" i="40"/>
  <c r="C298" i="40"/>
  <c r="BG297" i="40"/>
  <c r="BW297" i="40"/>
  <c r="DU297" i="40"/>
  <c r="BH297" i="40"/>
  <c r="BX297" i="40"/>
  <c r="DV297" i="40"/>
  <c r="BM297" i="40"/>
  <c r="CC297" i="40"/>
  <c r="A297" i="40"/>
  <c r="DT297" i="40"/>
  <c r="AQ296" i="40"/>
  <c r="AN296" i="40"/>
  <c r="CP296" i="40"/>
  <c r="AM296" i="40"/>
  <c r="CK296" i="40"/>
  <c r="CV296" i="40"/>
  <c r="AP196" i="40"/>
  <c r="AP396" i="40"/>
  <c r="KU138" i="40"/>
  <c r="KT139" i="40"/>
  <c r="AO196" i="40"/>
  <c r="CQ196" i="40"/>
  <c r="AQ396" i="40"/>
  <c r="CP196" i="40"/>
  <c r="AN196" i="40"/>
  <c r="CK396" i="40"/>
  <c r="AM396" i="40"/>
  <c r="CP396" i="40"/>
  <c r="AN396" i="40"/>
  <c r="C398" i="40"/>
  <c r="AZ397" i="40"/>
  <c r="BD397" i="40"/>
  <c r="BH397" i="40"/>
  <c r="BL397" i="40"/>
  <c r="BP397" i="40"/>
  <c r="BT397" i="40"/>
  <c r="BX397" i="40"/>
  <c r="CB397" i="40"/>
  <c r="CF397" i="40"/>
  <c r="DM397" i="40"/>
  <c r="DV397" i="40"/>
  <c r="BA397" i="40"/>
  <c r="BE397" i="40"/>
  <c r="BI397" i="40"/>
  <c r="BM397" i="40"/>
  <c r="BQ397" i="40"/>
  <c r="BU397" i="40"/>
  <c r="BY397" i="40"/>
  <c r="CC397" i="40"/>
  <c r="CG397" i="40"/>
  <c r="DS397" i="40"/>
  <c r="DW397" i="40"/>
  <c r="A397" i="40"/>
  <c r="AW397" i="40"/>
  <c r="BB397" i="40"/>
  <c r="BF397" i="40"/>
  <c r="BJ397" i="40"/>
  <c r="BN397" i="40"/>
  <c r="BR397" i="40"/>
  <c r="BV397" i="40"/>
  <c r="BZ397" i="40"/>
  <c r="CD397" i="40"/>
  <c r="CH397" i="40"/>
  <c r="DT397" i="40"/>
  <c r="BC397" i="40"/>
  <c r="BS397" i="40"/>
  <c r="CJ397" i="40"/>
  <c r="BG397" i="40"/>
  <c r="BW397" i="40"/>
  <c r="DU397" i="40"/>
  <c r="BK397" i="40"/>
  <c r="CA397" i="40"/>
  <c r="CE397" i="40"/>
  <c r="BO397" i="40"/>
  <c r="AX397" i="40"/>
  <c r="CV196" i="40"/>
  <c r="AK196" i="40"/>
  <c r="AL196" i="40"/>
  <c r="CK196" i="40"/>
  <c r="AM196" i="40"/>
  <c r="AQ196" i="40"/>
  <c r="CV396" i="40"/>
  <c r="AO396" i="40"/>
  <c r="CQ396" i="40"/>
  <c r="DB196" i="40"/>
  <c r="C198" i="40"/>
  <c r="AW197" i="40"/>
  <c r="BB197" i="40"/>
  <c r="BF197" i="40"/>
  <c r="BJ197" i="40"/>
  <c r="BN197" i="40"/>
  <c r="BR197" i="40"/>
  <c r="BV197" i="40"/>
  <c r="BZ197" i="40"/>
  <c r="CD197" i="40"/>
  <c r="CH197" i="40"/>
  <c r="DT197" i="40"/>
  <c r="CL197" i="40"/>
  <c r="AX197" i="40"/>
  <c r="BC197" i="40"/>
  <c r="BG197" i="40"/>
  <c r="BK197" i="40"/>
  <c r="BO197" i="40"/>
  <c r="BS197" i="40"/>
  <c r="BW197" i="40"/>
  <c r="CA197" i="40"/>
  <c r="CE197" i="40"/>
  <c r="CJ197" i="40"/>
  <c r="DU197" i="40"/>
  <c r="A197" i="40"/>
  <c r="AZ197" i="40"/>
  <c r="BD197" i="40"/>
  <c r="BH197" i="40"/>
  <c r="BL197" i="40"/>
  <c r="BP197" i="40"/>
  <c r="BT197" i="40"/>
  <c r="BX197" i="40"/>
  <c r="CB197" i="40"/>
  <c r="CF197" i="40"/>
  <c r="DM197" i="40"/>
  <c r="DV197" i="40"/>
  <c r="BE197" i="40"/>
  <c r="BU197" i="40"/>
  <c r="DS197" i="40"/>
  <c r="BI197" i="40"/>
  <c r="BY197" i="40"/>
  <c r="DW197" i="40"/>
  <c r="BM197" i="40"/>
  <c r="CC197" i="40"/>
  <c r="BA197" i="40"/>
  <c r="BQ197" i="40"/>
  <c r="CG197" i="40"/>
  <c r="DB496" i="40" l="1"/>
  <c r="CI580" i="40"/>
  <c r="CI397" i="40"/>
  <c r="CI697" i="40"/>
  <c r="CI297" i="40"/>
  <c r="CI381" i="40"/>
  <c r="CI596" i="40"/>
  <c r="CI197" i="40"/>
  <c r="CI496" i="40"/>
  <c r="DB697" i="40"/>
  <c r="AP496" i="40"/>
  <c r="AQ697" i="40"/>
  <c r="AJ398" i="40"/>
  <c r="AF398" i="40"/>
  <c r="AB398" i="40"/>
  <c r="X398" i="40"/>
  <c r="T398" i="40"/>
  <c r="CR398" i="40" s="1"/>
  <c r="P398" i="40"/>
  <c r="L398" i="40"/>
  <c r="H398" i="40"/>
  <c r="AI398" i="40"/>
  <c r="AE398" i="40"/>
  <c r="AA398" i="40"/>
  <c r="CI482" i="40" s="1"/>
  <c r="W398" i="40"/>
  <c r="S398" i="40"/>
  <c r="O398" i="40"/>
  <c r="CO398" i="40" s="1"/>
  <c r="K398" i="40"/>
  <c r="G398" i="40"/>
  <c r="AH398" i="40"/>
  <c r="AD398" i="40"/>
  <c r="Z398" i="40"/>
  <c r="V398" i="40"/>
  <c r="CT398" i="40" s="1"/>
  <c r="R398" i="40"/>
  <c r="N398" i="40"/>
  <c r="CN398" i="40" s="1"/>
  <c r="J398" i="40"/>
  <c r="F398" i="40"/>
  <c r="U398" i="40"/>
  <c r="CS398" i="40" s="1"/>
  <c r="E398" i="40"/>
  <c r="AG398" i="40"/>
  <c r="Q398" i="40"/>
  <c r="AC398" i="40"/>
  <c r="M398" i="40"/>
  <c r="CM398" i="40" s="1"/>
  <c r="I398" i="40"/>
  <c r="Y398" i="40"/>
  <c r="AH298" i="40"/>
  <c r="AD298" i="40"/>
  <c r="Z298" i="40"/>
  <c r="V298" i="40"/>
  <c r="CT298" i="40" s="1"/>
  <c r="R298" i="40"/>
  <c r="N298" i="40"/>
  <c r="CN298" i="40" s="1"/>
  <c r="J298" i="40"/>
  <c r="F298" i="40"/>
  <c r="AG298" i="40"/>
  <c r="AC298" i="40"/>
  <c r="Y298" i="40"/>
  <c r="U298" i="40"/>
  <c r="CS298" i="40" s="1"/>
  <c r="Q298" i="40"/>
  <c r="M298" i="40"/>
  <c r="CM298" i="40" s="1"/>
  <c r="I298" i="40"/>
  <c r="E298" i="40"/>
  <c r="AJ298" i="40"/>
  <c r="AF298" i="40"/>
  <c r="AB298" i="40"/>
  <c r="X298" i="40"/>
  <c r="T298" i="40"/>
  <c r="CR298" i="40" s="1"/>
  <c r="P298" i="40"/>
  <c r="L298" i="40"/>
  <c r="CL298" i="40" s="1"/>
  <c r="H298" i="40"/>
  <c r="AA298" i="40"/>
  <c r="K298" i="40"/>
  <c r="W298" i="40"/>
  <c r="G298" i="40"/>
  <c r="AI298" i="40"/>
  <c r="S298" i="40"/>
  <c r="AE298" i="40"/>
  <c r="O298" i="40"/>
  <c r="AJ497" i="40"/>
  <c r="AF497" i="40"/>
  <c r="AB497" i="40"/>
  <c r="X497" i="40"/>
  <c r="T497" i="40"/>
  <c r="CR497" i="40" s="1"/>
  <c r="P497" i="40"/>
  <c r="L497" i="40"/>
  <c r="CL497" i="40" s="1"/>
  <c r="H497" i="40"/>
  <c r="AH497" i="40"/>
  <c r="AD497" i="40"/>
  <c r="Z497" i="40"/>
  <c r="V497" i="40"/>
  <c r="CT497" i="40" s="1"/>
  <c r="R497" i="40"/>
  <c r="N497" i="40"/>
  <c r="CN497" i="40" s="1"/>
  <c r="J497" i="40"/>
  <c r="F497" i="40"/>
  <c r="AI497" i="40"/>
  <c r="AA497" i="40"/>
  <c r="S497" i="40"/>
  <c r="K497" i="40"/>
  <c r="AG497" i="40"/>
  <c r="Y497" i="40"/>
  <c r="Q497" i="40"/>
  <c r="I497" i="40"/>
  <c r="AE497" i="40"/>
  <c r="W497" i="40"/>
  <c r="CU497" i="40" s="1"/>
  <c r="O497" i="40"/>
  <c r="CO497" i="40" s="1"/>
  <c r="G497" i="40"/>
  <c r="U497" i="40"/>
  <c r="CS497" i="40" s="1"/>
  <c r="M497" i="40"/>
  <c r="CM497" i="40" s="1"/>
  <c r="E497" i="40"/>
  <c r="AC497" i="40"/>
  <c r="AJ597" i="40"/>
  <c r="AF597" i="40"/>
  <c r="AB597" i="40"/>
  <c r="X597" i="40"/>
  <c r="T597" i="40"/>
  <c r="CR597" i="40" s="1"/>
  <c r="P597" i="40"/>
  <c r="L597" i="40"/>
  <c r="CL597" i="40" s="1"/>
  <c r="H597" i="40"/>
  <c r="AI597" i="40"/>
  <c r="AE597" i="40"/>
  <c r="AA597" i="40"/>
  <c r="CI681" i="40" s="1"/>
  <c r="W597" i="40"/>
  <c r="CU597" i="40" s="1"/>
  <c r="S597" i="40"/>
  <c r="O597" i="40"/>
  <c r="CO597" i="40" s="1"/>
  <c r="K597" i="40"/>
  <c r="G597" i="40"/>
  <c r="AH597" i="40"/>
  <c r="Z597" i="40"/>
  <c r="R597" i="40"/>
  <c r="J597" i="40"/>
  <c r="AG597" i="40"/>
  <c r="Y597" i="40"/>
  <c r="Q597" i="40"/>
  <c r="I597" i="40"/>
  <c r="AD597" i="40"/>
  <c r="V597" i="40"/>
  <c r="CT597" i="40" s="1"/>
  <c r="N597" i="40"/>
  <c r="CN597" i="40" s="1"/>
  <c r="F597" i="40"/>
  <c r="AC597" i="40"/>
  <c r="U597" i="40"/>
  <c r="CS597" i="40" s="1"/>
  <c r="M597" i="40"/>
  <c r="CM597" i="40" s="1"/>
  <c r="E597" i="40"/>
  <c r="BM597" i="40"/>
  <c r="CC597" i="40"/>
  <c r="BH597" i="40"/>
  <c r="BJ597" i="40"/>
  <c r="BZ597" i="40"/>
  <c r="BD597" i="40"/>
  <c r="BK597" i="40"/>
  <c r="CA597" i="40"/>
  <c r="AZ597" i="40"/>
  <c r="BI597" i="40"/>
  <c r="A597" i="40"/>
  <c r="BV597" i="40"/>
  <c r="BG597" i="40"/>
  <c r="DV597" i="40"/>
  <c r="BA597" i="40"/>
  <c r="BQ597" i="40"/>
  <c r="CG597" i="40"/>
  <c r="BT597" i="40"/>
  <c r="AW597" i="40"/>
  <c r="BN597" i="40"/>
  <c r="CD597" i="40"/>
  <c r="BL597" i="40"/>
  <c r="AX597" i="40"/>
  <c r="BO597" i="40"/>
  <c r="CE597" i="40"/>
  <c r="BP597" i="40"/>
  <c r="BY597" i="40"/>
  <c r="BF597" i="40"/>
  <c r="DM597" i="40"/>
  <c r="BW597" i="40"/>
  <c r="C598" i="40"/>
  <c r="BE597" i="40"/>
  <c r="BU597" i="40"/>
  <c r="DS597" i="40"/>
  <c r="CF597" i="40"/>
  <c r="BB597" i="40"/>
  <c r="BR597" i="40"/>
  <c r="CH597" i="40"/>
  <c r="BX597" i="40"/>
  <c r="BC597" i="40"/>
  <c r="BS597" i="40"/>
  <c r="CJ597" i="40"/>
  <c r="CB597" i="40"/>
  <c r="DW597" i="40"/>
  <c r="DT597" i="40"/>
  <c r="DU597" i="40"/>
  <c r="AQ596" i="40"/>
  <c r="AP596" i="40"/>
  <c r="AN697" i="40"/>
  <c r="CP697" i="40"/>
  <c r="CK697" i="40"/>
  <c r="AM697" i="40"/>
  <c r="AO596" i="40"/>
  <c r="CQ596" i="40"/>
  <c r="AG198" i="40"/>
  <c r="AC198" i="40"/>
  <c r="Y198" i="40"/>
  <c r="U198" i="40"/>
  <c r="CS198" i="40" s="1"/>
  <c r="Q198" i="40"/>
  <c r="M198" i="40"/>
  <c r="CM198" i="40" s="1"/>
  <c r="I198" i="40"/>
  <c r="E198" i="40"/>
  <c r="AJ198" i="40"/>
  <c r="AF198" i="40"/>
  <c r="AB198" i="40"/>
  <c r="X198" i="40"/>
  <c r="T198" i="40"/>
  <c r="CR198" i="40" s="1"/>
  <c r="P198" i="40"/>
  <c r="L198" i="40"/>
  <c r="CL198" i="40" s="1"/>
  <c r="H198" i="40"/>
  <c r="AI198" i="40"/>
  <c r="AE198" i="40"/>
  <c r="AA198" i="40"/>
  <c r="CI282" i="40" s="1"/>
  <c r="W198" i="40"/>
  <c r="S198" i="40"/>
  <c r="O198" i="40"/>
  <c r="CO198" i="40" s="1"/>
  <c r="K198" i="40"/>
  <c r="G198" i="40"/>
  <c r="AH198" i="40"/>
  <c r="R198" i="40"/>
  <c r="AD198" i="40"/>
  <c r="N198" i="40"/>
  <c r="CN198" i="40" s="1"/>
  <c r="Z198" i="40"/>
  <c r="J198" i="40"/>
  <c r="V198" i="40"/>
  <c r="CT198" i="40" s="1"/>
  <c r="F198" i="40"/>
  <c r="CP596" i="40"/>
  <c r="AN596" i="40"/>
  <c r="CK596" i="40"/>
  <c r="AM596" i="40"/>
  <c r="AP697" i="40"/>
  <c r="JT697" i="40"/>
  <c r="JR697" i="40"/>
  <c r="CQ697" i="40"/>
  <c r="AO697" i="40"/>
  <c r="D196" i="40"/>
  <c r="AY196" i="40" s="1"/>
  <c r="CV596" i="40"/>
  <c r="DB596" i="40"/>
  <c r="CV697" i="40"/>
  <c r="JP698" i="40"/>
  <c r="AJ698" i="40"/>
  <c r="CJ698" i="40"/>
  <c r="AF698" i="40"/>
  <c r="AI698" i="40"/>
  <c r="CH698" i="40"/>
  <c r="BR698" i="40"/>
  <c r="BB698" i="40"/>
  <c r="DW698" i="40"/>
  <c r="BQ698" i="40"/>
  <c r="AG698" i="40"/>
  <c r="A698" i="40"/>
  <c r="BU698" i="40"/>
  <c r="AZ698" i="40"/>
  <c r="BM698" i="40"/>
  <c r="BT698" i="40"/>
  <c r="CE698" i="40"/>
  <c r="P698" i="40"/>
  <c r="C699" i="40"/>
  <c r="CD698" i="40"/>
  <c r="BN698" i="40"/>
  <c r="AX698" i="40"/>
  <c r="CG698" i="40"/>
  <c r="BL698" i="40"/>
  <c r="AB698" i="40"/>
  <c r="DU698" i="40"/>
  <c r="BX698" i="40"/>
  <c r="M698" i="40"/>
  <c r="CM698" i="40" s="1"/>
  <c r="BD698" i="40"/>
  <c r="BK698" i="40"/>
  <c r="BI698" i="40"/>
  <c r="BS698" i="40"/>
  <c r="DV698" i="40"/>
  <c r="BZ698" i="40"/>
  <c r="BJ698" i="40"/>
  <c r="N698" i="40"/>
  <c r="CN698" i="40" s="1"/>
  <c r="CB698" i="40"/>
  <c r="BG698" i="40"/>
  <c r="W698" i="40"/>
  <c r="CU698" i="40" s="1"/>
  <c r="CF698" i="40"/>
  <c r="BO698" i="40"/>
  <c r="DT698" i="40"/>
  <c r="O698" i="40"/>
  <c r="CO698" i="40" s="1"/>
  <c r="BC698" i="40"/>
  <c r="CC698" i="40"/>
  <c r="BP698" i="40"/>
  <c r="KN698" i="40"/>
  <c r="JO698" i="40"/>
  <c r="JQ698" i="40" s="1"/>
  <c r="JU698" i="40" s="1"/>
  <c r="J698" i="40"/>
  <c r="CA698" i="40"/>
  <c r="K698" i="40"/>
  <c r="DM698" i="40"/>
  <c r="BH698" i="40"/>
  <c r="BE698" i="40"/>
  <c r="BF698" i="40"/>
  <c r="BW698" i="40"/>
  <c r="L698" i="40"/>
  <c r="CL698" i="40" s="1"/>
  <c r="BV698" i="40"/>
  <c r="BA698" i="40"/>
  <c r="BY698" i="40"/>
  <c r="AW698" i="40"/>
  <c r="DS698" i="40"/>
  <c r="AH698" i="40"/>
  <c r="X698" i="40"/>
  <c r="AD698" i="40"/>
  <c r="AA698" i="40"/>
  <c r="E698" i="40"/>
  <c r="Z698" i="40"/>
  <c r="T698" i="40"/>
  <c r="CR698" i="40" s="1"/>
  <c r="V698" i="40"/>
  <c r="CT698" i="40" s="1"/>
  <c r="Q698" i="40"/>
  <c r="I698" i="40"/>
  <c r="R698" i="40"/>
  <c r="H698" i="40"/>
  <c r="AE698" i="40"/>
  <c r="G698" i="40"/>
  <c r="U698" i="40"/>
  <c r="CS698" i="40" s="1"/>
  <c r="F698" i="40"/>
  <c r="AC698" i="40"/>
  <c r="S698" i="40"/>
  <c r="Y698" i="40"/>
  <c r="JV697" i="40"/>
  <c r="JW697" i="40" s="1"/>
  <c r="AN496" i="40"/>
  <c r="CP496" i="40"/>
  <c r="AQ496" i="40"/>
  <c r="CK496" i="40"/>
  <c r="AM496" i="40"/>
  <c r="BB497" i="40"/>
  <c r="BR497" i="40"/>
  <c r="CH497" i="40"/>
  <c r="BC497" i="40"/>
  <c r="BS497" i="40"/>
  <c r="CJ497" i="40"/>
  <c r="BD497" i="40"/>
  <c r="BT497" i="40"/>
  <c r="DM497" i="40"/>
  <c r="BY497" i="40"/>
  <c r="BE497" i="40"/>
  <c r="C498" i="40"/>
  <c r="BF497" i="40"/>
  <c r="BV497" i="40"/>
  <c r="DT497" i="40"/>
  <c r="BG497" i="40"/>
  <c r="BW497" i="40"/>
  <c r="DU497" i="40"/>
  <c r="BH497" i="40"/>
  <c r="BX497" i="40"/>
  <c r="DV497" i="40"/>
  <c r="DW497" i="40"/>
  <c r="BM497" i="40"/>
  <c r="BA497" i="40"/>
  <c r="A497" i="40"/>
  <c r="BJ497" i="40"/>
  <c r="BZ497" i="40"/>
  <c r="BK497" i="40"/>
  <c r="CA497" i="40"/>
  <c r="BL497" i="40"/>
  <c r="CB497" i="40"/>
  <c r="CC497" i="40"/>
  <c r="BQ497" i="40"/>
  <c r="AW497" i="40"/>
  <c r="BN497" i="40"/>
  <c r="CD497" i="40"/>
  <c r="AX497" i="40"/>
  <c r="BO497" i="40"/>
  <c r="CE497" i="40"/>
  <c r="AZ497" i="40"/>
  <c r="BP497" i="40"/>
  <c r="CF497" i="40"/>
  <c r="BI497" i="40"/>
  <c r="DS497" i="40"/>
  <c r="BU497" i="40"/>
  <c r="CG497" i="40"/>
  <c r="AP297" i="40"/>
  <c r="AQ297" i="40"/>
  <c r="CV496" i="40"/>
  <c r="AO496" i="40"/>
  <c r="CQ496" i="40"/>
  <c r="BO298" i="40"/>
  <c r="CF298" i="40"/>
  <c r="BU298" i="40"/>
  <c r="BJ298" i="40"/>
  <c r="BF298" i="40"/>
  <c r="BC298" i="40"/>
  <c r="BS298" i="40"/>
  <c r="CJ298" i="40"/>
  <c r="BD298" i="40"/>
  <c r="BT298" i="40"/>
  <c r="DM298" i="40"/>
  <c r="BI298" i="40"/>
  <c r="BY298" i="40"/>
  <c r="DW298" i="40"/>
  <c r="BZ298" i="40"/>
  <c r="CD298" i="40"/>
  <c r="CH298" i="40"/>
  <c r="BV298" i="40"/>
  <c r="CU298" i="40"/>
  <c r="C299" i="40"/>
  <c r="BG298" i="40"/>
  <c r="BW298" i="40"/>
  <c r="DU298" i="40"/>
  <c r="BH298" i="40"/>
  <c r="BX298" i="40"/>
  <c r="DV298" i="40"/>
  <c r="CO298" i="40"/>
  <c r="BM298" i="40"/>
  <c r="CC298" i="40"/>
  <c r="A298" i="40"/>
  <c r="DT298" i="40"/>
  <c r="BK298" i="40"/>
  <c r="CA298" i="40"/>
  <c r="BL298" i="40"/>
  <c r="CB298" i="40"/>
  <c r="BA298" i="40"/>
  <c r="BQ298" i="40"/>
  <c r="CG298" i="40"/>
  <c r="AW298" i="40"/>
  <c r="BB298" i="40"/>
  <c r="AX298" i="40"/>
  <c r="CE298" i="40"/>
  <c r="AZ298" i="40"/>
  <c r="BP298" i="40"/>
  <c r="BE298" i="40"/>
  <c r="DS298" i="40"/>
  <c r="BN298" i="40"/>
  <c r="BR298" i="40"/>
  <c r="AO297" i="40"/>
  <c r="CQ297" i="40"/>
  <c r="CV297" i="40"/>
  <c r="DB297" i="40"/>
  <c r="CP297" i="40"/>
  <c r="AN297" i="40"/>
  <c r="AM297" i="40"/>
  <c r="CK297" i="40"/>
  <c r="DB397" i="40"/>
  <c r="DB197" i="40"/>
  <c r="AP397" i="40"/>
  <c r="AP197" i="40"/>
  <c r="AO197" i="40"/>
  <c r="CQ197" i="40"/>
  <c r="CP197" i="40"/>
  <c r="AN197" i="40"/>
  <c r="C199" i="40"/>
  <c r="A198" i="40"/>
  <c r="BA198" i="40"/>
  <c r="BE198" i="40"/>
  <c r="BI198" i="40"/>
  <c r="BM198" i="40"/>
  <c r="BQ198" i="40"/>
  <c r="BU198" i="40"/>
  <c r="BY198" i="40"/>
  <c r="CC198" i="40"/>
  <c r="CG198" i="40"/>
  <c r="DS198" i="40"/>
  <c r="DW198" i="40"/>
  <c r="AW198" i="40"/>
  <c r="BB198" i="40"/>
  <c r="BF198" i="40"/>
  <c r="BJ198" i="40"/>
  <c r="BN198" i="40"/>
  <c r="BR198" i="40"/>
  <c r="BV198" i="40"/>
  <c r="BZ198" i="40"/>
  <c r="CD198" i="40"/>
  <c r="CH198" i="40"/>
  <c r="DT198" i="40"/>
  <c r="AX198" i="40"/>
  <c r="BC198" i="40"/>
  <c r="BG198" i="40"/>
  <c r="BK198" i="40"/>
  <c r="BO198" i="40"/>
  <c r="BS198" i="40"/>
  <c r="BW198" i="40"/>
  <c r="CA198" i="40"/>
  <c r="CE198" i="40"/>
  <c r="CJ198" i="40"/>
  <c r="DU198" i="40"/>
  <c r="BD198" i="40"/>
  <c r="BT198" i="40"/>
  <c r="DM198" i="40"/>
  <c r="BH198" i="40"/>
  <c r="BX198" i="40"/>
  <c r="DV198" i="40"/>
  <c r="BL198" i="40"/>
  <c r="CB198" i="40"/>
  <c r="AZ198" i="40"/>
  <c r="BP198" i="40"/>
  <c r="CF198" i="40"/>
  <c r="CU198" i="40"/>
  <c r="AO397" i="40"/>
  <c r="CQ397" i="40"/>
  <c r="C399" i="40"/>
  <c r="AZ398" i="40"/>
  <c r="BD398" i="40"/>
  <c r="BH398" i="40"/>
  <c r="BL398" i="40"/>
  <c r="BP398" i="40"/>
  <c r="BT398" i="40"/>
  <c r="BX398" i="40"/>
  <c r="CB398" i="40"/>
  <c r="CF398" i="40"/>
  <c r="DM398" i="40"/>
  <c r="DV398" i="40"/>
  <c r="CL398" i="40"/>
  <c r="BA398" i="40"/>
  <c r="BE398" i="40"/>
  <c r="BI398" i="40"/>
  <c r="BM398" i="40"/>
  <c r="BQ398" i="40"/>
  <c r="BU398" i="40"/>
  <c r="BY398" i="40"/>
  <c r="CC398" i="40"/>
  <c r="CG398" i="40"/>
  <c r="DS398" i="40"/>
  <c r="DW398" i="40"/>
  <c r="A398" i="40"/>
  <c r="AW398" i="40"/>
  <c r="BB398" i="40"/>
  <c r="BF398" i="40"/>
  <c r="BJ398" i="40"/>
  <c r="BN398" i="40"/>
  <c r="BR398" i="40"/>
  <c r="BV398" i="40"/>
  <c r="BZ398" i="40"/>
  <c r="CD398" i="40"/>
  <c r="CH398" i="40"/>
  <c r="DT398" i="40"/>
  <c r="BC398" i="40"/>
  <c r="BS398" i="40"/>
  <c r="CJ398" i="40"/>
  <c r="BG398" i="40"/>
  <c r="BW398" i="40"/>
  <c r="DU398" i="40"/>
  <c r="BK398" i="40"/>
  <c r="CA398" i="40"/>
  <c r="CE398" i="40"/>
  <c r="BO398" i="40"/>
  <c r="AX398" i="40"/>
  <c r="CU398" i="40"/>
  <c r="KU139" i="40"/>
  <c r="KT140" i="40"/>
  <c r="AQ197" i="40"/>
  <c r="I52" i="70"/>
  <c r="CP397" i="40"/>
  <c r="AN397" i="40"/>
  <c r="CV197" i="40"/>
  <c r="AK197" i="40"/>
  <c r="AL197" i="40"/>
  <c r="CK197" i="40"/>
  <c r="AM197" i="40"/>
  <c r="CV397" i="40"/>
  <c r="AQ397" i="40"/>
  <c r="AM397" i="40"/>
  <c r="CK397" i="40"/>
  <c r="CI597" i="40" l="1"/>
  <c r="CI298" i="40"/>
  <c r="CI581" i="40"/>
  <c r="CI382" i="40"/>
  <c r="CI497" i="40"/>
  <c r="CI698" i="40"/>
  <c r="CI198" i="40"/>
  <c r="CI398" i="40"/>
  <c r="DB497" i="40"/>
  <c r="AP497" i="40"/>
  <c r="D197" i="40"/>
  <c r="AY197" i="40" s="1"/>
  <c r="AQ597" i="40"/>
  <c r="JV698" i="40"/>
  <c r="JW698" i="40" s="1"/>
  <c r="AN698" i="40"/>
  <c r="CP698" i="40"/>
  <c r="AP597" i="40"/>
  <c r="AJ399" i="40"/>
  <c r="AF399" i="40"/>
  <c r="AB399" i="40"/>
  <c r="X399" i="40"/>
  <c r="T399" i="40"/>
  <c r="CR399" i="40" s="1"/>
  <c r="P399" i="40"/>
  <c r="L399" i="40"/>
  <c r="CL399" i="40" s="1"/>
  <c r="H399" i="40"/>
  <c r="AI399" i="40"/>
  <c r="AE399" i="40"/>
  <c r="AA399" i="40"/>
  <c r="CI483" i="40" s="1"/>
  <c r="W399" i="40"/>
  <c r="CU399" i="40" s="1"/>
  <c r="S399" i="40"/>
  <c r="O399" i="40"/>
  <c r="K399" i="40"/>
  <c r="G399" i="40"/>
  <c r="AH399" i="40"/>
  <c r="AD399" i="40"/>
  <c r="Z399" i="40"/>
  <c r="V399" i="40"/>
  <c r="CT399" i="40" s="1"/>
  <c r="R399" i="40"/>
  <c r="N399" i="40"/>
  <c r="J399" i="40"/>
  <c r="F399" i="40"/>
  <c r="U399" i="40"/>
  <c r="E399" i="40"/>
  <c r="AG399" i="40"/>
  <c r="Q399" i="40"/>
  <c r="AC399" i="40"/>
  <c r="M399" i="40"/>
  <c r="Y399" i="40"/>
  <c r="I399" i="40"/>
  <c r="AG199" i="40"/>
  <c r="AC199" i="40"/>
  <c r="Y199" i="40"/>
  <c r="U199" i="40"/>
  <c r="CS199" i="40" s="1"/>
  <c r="Q199" i="40"/>
  <c r="M199" i="40"/>
  <c r="I199" i="40"/>
  <c r="E199" i="40"/>
  <c r="AJ199" i="40"/>
  <c r="AF199" i="40"/>
  <c r="AB199" i="40"/>
  <c r="X199" i="40"/>
  <c r="T199" i="40"/>
  <c r="CR199" i="40" s="1"/>
  <c r="P199" i="40"/>
  <c r="L199" i="40"/>
  <c r="CL199" i="40" s="1"/>
  <c r="H199" i="40"/>
  <c r="AI199" i="40"/>
  <c r="AE199" i="40"/>
  <c r="AA199" i="40"/>
  <c r="CI283" i="40" s="1"/>
  <c r="W199" i="40"/>
  <c r="CU199" i="40" s="1"/>
  <c r="S199" i="40"/>
  <c r="O199" i="40"/>
  <c r="K199" i="40"/>
  <c r="G199" i="40"/>
  <c r="AH199" i="40"/>
  <c r="R199" i="40"/>
  <c r="AD199" i="40"/>
  <c r="N199" i="40"/>
  <c r="CN199" i="40" s="1"/>
  <c r="Z199" i="40"/>
  <c r="J199" i="40"/>
  <c r="V199" i="40"/>
  <c r="CT199" i="40" s="1"/>
  <c r="F199" i="40"/>
  <c r="AJ598" i="40"/>
  <c r="AF598" i="40"/>
  <c r="AB598" i="40"/>
  <c r="X598" i="40"/>
  <c r="T598" i="40"/>
  <c r="CR598" i="40" s="1"/>
  <c r="P598" i="40"/>
  <c r="L598" i="40"/>
  <c r="CL598" i="40" s="1"/>
  <c r="H598" i="40"/>
  <c r="AI598" i="40"/>
  <c r="AE598" i="40"/>
  <c r="AA598" i="40"/>
  <c r="CI682" i="40" s="1"/>
  <c r="W598" i="40"/>
  <c r="CU598" i="40" s="1"/>
  <c r="S598" i="40"/>
  <c r="O598" i="40"/>
  <c r="CO598" i="40" s="1"/>
  <c r="K598" i="40"/>
  <c r="G598" i="40"/>
  <c r="AH598" i="40"/>
  <c r="Z598" i="40"/>
  <c r="R598" i="40"/>
  <c r="J598" i="40"/>
  <c r="AG598" i="40"/>
  <c r="Y598" i="40"/>
  <c r="Q598" i="40"/>
  <c r="I598" i="40"/>
  <c r="AD598" i="40"/>
  <c r="V598" i="40"/>
  <c r="CT598" i="40" s="1"/>
  <c r="N598" i="40"/>
  <c r="CN598" i="40" s="1"/>
  <c r="F598" i="40"/>
  <c r="AC598" i="40"/>
  <c r="U598" i="40"/>
  <c r="CS598" i="40" s="1"/>
  <c r="M598" i="40"/>
  <c r="CM598" i="40" s="1"/>
  <c r="E598" i="40"/>
  <c r="BM598" i="40"/>
  <c r="CC598" i="40"/>
  <c r="AZ598" i="40"/>
  <c r="A598" i="40"/>
  <c r="BF598" i="40"/>
  <c r="BV598" i="40"/>
  <c r="DT598" i="40"/>
  <c r="BK598" i="40"/>
  <c r="CA598" i="40"/>
  <c r="BD598" i="40"/>
  <c r="BI598" i="40"/>
  <c r="DW598" i="40"/>
  <c r="BB598" i="40"/>
  <c r="CH598" i="40"/>
  <c r="BG598" i="40"/>
  <c r="DU598" i="40"/>
  <c r="BA598" i="40"/>
  <c r="BQ598" i="40"/>
  <c r="CG598" i="40"/>
  <c r="BL598" i="40"/>
  <c r="BJ598" i="40"/>
  <c r="BZ598" i="40"/>
  <c r="BH598" i="40"/>
  <c r="AX598" i="40"/>
  <c r="BO598" i="40"/>
  <c r="CE598" i="40"/>
  <c r="BP598" i="40"/>
  <c r="BT598" i="40"/>
  <c r="BY598" i="40"/>
  <c r="DM598" i="40"/>
  <c r="BR598" i="40"/>
  <c r="CF598" i="40"/>
  <c r="BW598" i="40"/>
  <c r="DV598" i="40"/>
  <c r="C599" i="40"/>
  <c r="BE598" i="40"/>
  <c r="BU598" i="40"/>
  <c r="DS598" i="40"/>
  <c r="BX598" i="40"/>
  <c r="AW598" i="40"/>
  <c r="BN598" i="40"/>
  <c r="CD598" i="40"/>
  <c r="BC598" i="40"/>
  <c r="BS598" i="40"/>
  <c r="CJ598" i="40"/>
  <c r="CB598" i="40"/>
  <c r="AN597" i="40"/>
  <c r="CP597" i="40"/>
  <c r="AM597" i="40"/>
  <c r="CK597" i="40"/>
  <c r="CK698" i="40"/>
  <c r="AM698" i="40"/>
  <c r="CV698" i="40"/>
  <c r="JT698" i="40"/>
  <c r="JR698" i="40"/>
  <c r="CV597" i="40"/>
  <c r="DB597" i="40"/>
  <c r="AJ498" i="40"/>
  <c r="AF498" i="40"/>
  <c r="AB498" i="40"/>
  <c r="X498" i="40"/>
  <c r="T498" i="40"/>
  <c r="CR498" i="40" s="1"/>
  <c r="P498" i="40"/>
  <c r="L498" i="40"/>
  <c r="CL498" i="40" s="1"/>
  <c r="H498" i="40"/>
  <c r="AH498" i="40"/>
  <c r="AD498" i="40"/>
  <c r="Z498" i="40"/>
  <c r="V498" i="40"/>
  <c r="R498" i="40"/>
  <c r="N498" i="40"/>
  <c r="CN498" i="40" s="1"/>
  <c r="J498" i="40"/>
  <c r="F498" i="40"/>
  <c r="AI498" i="40"/>
  <c r="AA498" i="40"/>
  <c r="S498" i="40"/>
  <c r="K498" i="40"/>
  <c r="AG498" i="40"/>
  <c r="Y498" i="40"/>
  <c r="Q498" i="40"/>
  <c r="I498" i="40"/>
  <c r="AE498" i="40"/>
  <c r="W498" i="40"/>
  <c r="CU498" i="40" s="1"/>
  <c r="O498" i="40"/>
  <c r="CO498" i="40" s="1"/>
  <c r="G498" i="40"/>
  <c r="U498" i="40"/>
  <c r="CS498" i="40" s="1"/>
  <c r="M498" i="40"/>
  <c r="CM498" i="40" s="1"/>
  <c r="E498" i="40"/>
  <c r="AC498" i="40"/>
  <c r="AI699" i="40"/>
  <c r="CJ699" i="40"/>
  <c r="KN699" i="40"/>
  <c r="AJ699" i="40"/>
  <c r="JO699" i="40"/>
  <c r="JQ699" i="40" s="1"/>
  <c r="JU699" i="40" s="1"/>
  <c r="DW699" i="40"/>
  <c r="BW699" i="40"/>
  <c r="BG699" i="40"/>
  <c r="K699" i="40"/>
  <c r="BZ699" i="40"/>
  <c r="BE699" i="40"/>
  <c r="DT699" i="40"/>
  <c r="BN699" i="40"/>
  <c r="N699" i="40"/>
  <c r="CN699" i="40" s="1"/>
  <c r="AG699" i="40"/>
  <c r="CH699" i="40"/>
  <c r="M699" i="40"/>
  <c r="CM699" i="40" s="1"/>
  <c r="BM699" i="40"/>
  <c r="BA699" i="40"/>
  <c r="DS699" i="40"/>
  <c r="BS699" i="40"/>
  <c r="BC699" i="40"/>
  <c r="DV699" i="40"/>
  <c r="BU699" i="40"/>
  <c r="AZ699" i="40"/>
  <c r="CD699" i="40"/>
  <c r="BI699" i="40"/>
  <c r="CB699" i="40"/>
  <c r="L699" i="40"/>
  <c r="CL699" i="40" s="1"/>
  <c r="BV699" i="40"/>
  <c r="CG699" i="40"/>
  <c r="BL699" i="40"/>
  <c r="AW699" i="40"/>
  <c r="CE699" i="40"/>
  <c r="BO699" i="40"/>
  <c r="W699" i="40"/>
  <c r="CU699" i="40" s="1"/>
  <c r="DU699" i="40"/>
  <c r="BP699" i="40"/>
  <c r="P699" i="40"/>
  <c r="BY699" i="40"/>
  <c r="BD699" i="40"/>
  <c r="BQ699" i="40"/>
  <c r="A699" i="40"/>
  <c r="BH699" i="40"/>
  <c r="BR699" i="40"/>
  <c r="CC699" i="40"/>
  <c r="C700" i="40"/>
  <c r="JP699" i="40"/>
  <c r="AF699" i="40"/>
  <c r="BK699" i="40"/>
  <c r="J699" i="40"/>
  <c r="DM699" i="40"/>
  <c r="O699" i="40"/>
  <c r="CO699" i="40" s="1"/>
  <c r="AB699" i="40"/>
  <c r="CF699" i="40"/>
  <c r="BB699" i="40"/>
  <c r="BJ699" i="40"/>
  <c r="BT699" i="40"/>
  <c r="CA699" i="40"/>
  <c r="BX699" i="40"/>
  <c r="AX699" i="40"/>
  <c r="BF699" i="40"/>
  <c r="AH699" i="40"/>
  <c r="X699" i="40"/>
  <c r="AA699" i="40"/>
  <c r="AD699" i="40"/>
  <c r="I699" i="40"/>
  <c r="Z699" i="40"/>
  <c r="U699" i="40"/>
  <c r="CS699" i="40" s="1"/>
  <c r="Q699" i="40"/>
  <c r="V699" i="40"/>
  <c r="CT699" i="40" s="1"/>
  <c r="R699" i="40"/>
  <c r="AC699" i="40"/>
  <c r="G699" i="40"/>
  <c r="Y699" i="40"/>
  <c r="H699" i="40"/>
  <c r="F699" i="40"/>
  <c r="T699" i="40"/>
  <c r="CR699" i="40" s="1"/>
  <c r="S699" i="40"/>
  <c r="AE699" i="40"/>
  <c r="E699" i="40"/>
  <c r="AH299" i="40"/>
  <c r="AD299" i="40"/>
  <c r="Z299" i="40"/>
  <c r="V299" i="40"/>
  <c r="CT299" i="40" s="1"/>
  <c r="R299" i="40"/>
  <c r="N299" i="40"/>
  <c r="CN299" i="40" s="1"/>
  <c r="J299" i="40"/>
  <c r="F299" i="40"/>
  <c r="AG299" i="40"/>
  <c r="AC299" i="40"/>
  <c r="Y299" i="40"/>
  <c r="U299" i="40"/>
  <c r="CS299" i="40" s="1"/>
  <c r="Q299" i="40"/>
  <c r="M299" i="40"/>
  <c r="CM299" i="40" s="1"/>
  <c r="I299" i="40"/>
  <c r="E299" i="40"/>
  <c r="AJ299" i="40"/>
  <c r="AF299" i="40"/>
  <c r="AB299" i="40"/>
  <c r="X299" i="40"/>
  <c r="T299" i="40"/>
  <c r="CR299" i="40" s="1"/>
  <c r="P299" i="40"/>
  <c r="L299" i="40"/>
  <c r="CL299" i="40" s="1"/>
  <c r="H299" i="40"/>
  <c r="AA299" i="40"/>
  <c r="K299" i="40"/>
  <c r="W299" i="40"/>
  <c r="CU299" i="40" s="1"/>
  <c r="G299" i="40"/>
  <c r="AI299" i="40"/>
  <c r="S299" i="40"/>
  <c r="AE299" i="40"/>
  <c r="O299" i="40"/>
  <c r="CO299" i="40" s="1"/>
  <c r="CQ698" i="40"/>
  <c r="AO698" i="40"/>
  <c r="AQ698" i="40"/>
  <c r="DB698" i="40"/>
  <c r="AP698" i="40"/>
  <c r="CQ597" i="40"/>
  <c r="AO597" i="40"/>
  <c r="CV298" i="40"/>
  <c r="CV497" i="40"/>
  <c r="CP497" i="40"/>
  <c r="AN497" i="40"/>
  <c r="CQ497" i="40"/>
  <c r="AO497" i="40"/>
  <c r="AQ497" i="40"/>
  <c r="AM497" i="40"/>
  <c r="CK497" i="40"/>
  <c r="A498" i="40"/>
  <c r="BJ498" i="40"/>
  <c r="BZ498" i="40"/>
  <c r="BK498" i="40"/>
  <c r="CA498" i="40"/>
  <c r="BL498" i="40"/>
  <c r="CB498" i="40"/>
  <c r="BU498" i="40"/>
  <c r="BE498" i="40"/>
  <c r="CG498" i="40"/>
  <c r="AW498" i="40"/>
  <c r="BN498" i="40"/>
  <c r="CD498" i="40"/>
  <c r="AX498" i="40"/>
  <c r="BO498" i="40"/>
  <c r="CE498" i="40"/>
  <c r="AZ498" i="40"/>
  <c r="BP498" i="40"/>
  <c r="CF498" i="40"/>
  <c r="BI498" i="40"/>
  <c r="BB498" i="40"/>
  <c r="BR498" i="40"/>
  <c r="CH498" i="40"/>
  <c r="BC498" i="40"/>
  <c r="BS498" i="40"/>
  <c r="CJ498" i="40"/>
  <c r="BD498" i="40"/>
  <c r="BT498" i="40"/>
  <c r="DM498" i="40"/>
  <c r="BY498" i="40"/>
  <c r="BM498" i="40"/>
  <c r="BA498" i="40"/>
  <c r="DS498" i="40"/>
  <c r="C499" i="40"/>
  <c r="BF498" i="40"/>
  <c r="BV498" i="40"/>
  <c r="DT498" i="40"/>
  <c r="BG498" i="40"/>
  <c r="BW498" i="40"/>
  <c r="DU498" i="40"/>
  <c r="BH498" i="40"/>
  <c r="BX498" i="40"/>
  <c r="DV498" i="40"/>
  <c r="DW498" i="40"/>
  <c r="CC498" i="40"/>
  <c r="BQ498" i="40"/>
  <c r="CT498" i="40"/>
  <c r="CK298" i="40"/>
  <c r="AM298" i="40"/>
  <c r="BC299" i="40"/>
  <c r="BS299" i="40"/>
  <c r="CJ299" i="40"/>
  <c r="BD299" i="40"/>
  <c r="BT299" i="40"/>
  <c r="DM299" i="40"/>
  <c r="BI299" i="40"/>
  <c r="BY299" i="40"/>
  <c r="DW299" i="40"/>
  <c r="BZ299" i="40"/>
  <c r="CD299" i="40"/>
  <c r="CH299" i="40"/>
  <c r="BV299" i="40"/>
  <c r="BJ299" i="40"/>
  <c r="C300" i="40"/>
  <c r="BG299" i="40"/>
  <c r="BW299" i="40"/>
  <c r="DU299" i="40"/>
  <c r="BH299" i="40"/>
  <c r="BX299" i="40"/>
  <c r="DV299" i="40"/>
  <c r="BM299" i="40"/>
  <c r="CC299" i="40"/>
  <c r="A299" i="40"/>
  <c r="DT299" i="40"/>
  <c r="CF299" i="40"/>
  <c r="DS299" i="40"/>
  <c r="BF299" i="40"/>
  <c r="BK299" i="40"/>
  <c r="CA299" i="40"/>
  <c r="BL299" i="40"/>
  <c r="CB299" i="40"/>
  <c r="BA299" i="40"/>
  <c r="BQ299" i="40"/>
  <c r="CG299" i="40"/>
  <c r="AW299" i="40"/>
  <c r="BB299" i="40"/>
  <c r="AX299" i="40"/>
  <c r="CE299" i="40"/>
  <c r="BP299" i="40"/>
  <c r="BU299" i="40"/>
  <c r="BN299" i="40"/>
  <c r="BO299" i="40"/>
  <c r="AZ299" i="40"/>
  <c r="BE299" i="40"/>
  <c r="BR299" i="40"/>
  <c r="AP298" i="40"/>
  <c r="CQ298" i="40"/>
  <c r="AO298" i="40"/>
  <c r="DB298" i="40"/>
  <c r="CP298" i="40"/>
  <c r="AN298" i="40"/>
  <c r="AQ298" i="40"/>
  <c r="DB198" i="40"/>
  <c r="DB398" i="40"/>
  <c r="AQ398" i="40"/>
  <c r="AO398" i="40"/>
  <c r="CQ398" i="40"/>
  <c r="AP198" i="40"/>
  <c r="KT141" i="40"/>
  <c r="KU140" i="40"/>
  <c r="CV398" i="40"/>
  <c r="CK398" i="40"/>
  <c r="AM398" i="40"/>
  <c r="CV198" i="40"/>
  <c r="AK198" i="40"/>
  <c r="AL198" i="40"/>
  <c r="AQ198" i="40"/>
  <c r="CK198" i="40"/>
  <c r="AM198" i="40"/>
  <c r="I53" i="70"/>
  <c r="AP398" i="40"/>
  <c r="C400" i="40"/>
  <c r="AZ399" i="40"/>
  <c r="BD399" i="40"/>
  <c r="BH399" i="40"/>
  <c r="BL399" i="40"/>
  <c r="BP399" i="40"/>
  <c r="BT399" i="40"/>
  <c r="BX399" i="40"/>
  <c r="CB399" i="40"/>
  <c r="CF399" i="40"/>
  <c r="DM399" i="40"/>
  <c r="DV399" i="40"/>
  <c r="CO399" i="40"/>
  <c r="BA399" i="40"/>
  <c r="BE399" i="40"/>
  <c r="BI399" i="40"/>
  <c r="BM399" i="40"/>
  <c r="BQ399" i="40"/>
  <c r="BU399" i="40"/>
  <c r="BY399" i="40"/>
  <c r="CC399" i="40"/>
  <c r="CG399" i="40"/>
  <c r="DS399" i="40"/>
  <c r="DW399" i="40"/>
  <c r="A399" i="40"/>
  <c r="CM399" i="40"/>
  <c r="AW399" i="40"/>
  <c r="BB399" i="40"/>
  <c r="BF399" i="40"/>
  <c r="BJ399" i="40"/>
  <c r="BN399" i="40"/>
  <c r="BR399" i="40"/>
  <c r="BV399" i="40"/>
  <c r="BZ399" i="40"/>
  <c r="CD399" i="40"/>
  <c r="CH399" i="40"/>
  <c r="DT399" i="40"/>
  <c r="BC399" i="40"/>
  <c r="BS399" i="40"/>
  <c r="CJ399" i="40"/>
  <c r="BG399" i="40"/>
  <c r="BW399" i="40"/>
  <c r="DU399" i="40"/>
  <c r="BK399" i="40"/>
  <c r="CA399" i="40"/>
  <c r="CE399" i="40"/>
  <c r="CN399" i="40"/>
  <c r="AX399" i="40"/>
  <c r="BO399" i="40"/>
  <c r="CS399" i="40"/>
  <c r="AO198" i="40"/>
  <c r="CQ198" i="40"/>
  <c r="C200" i="40"/>
  <c r="CO199" i="40"/>
  <c r="AX199" i="40"/>
  <c r="BC199" i="40"/>
  <c r="BG199" i="40"/>
  <c r="BK199" i="40"/>
  <c r="BO199" i="40"/>
  <c r="BS199" i="40"/>
  <c r="BW199" i="40"/>
  <c r="CA199" i="40"/>
  <c r="CE199" i="40"/>
  <c r="CJ199" i="40"/>
  <c r="DU199" i="40"/>
  <c r="A199" i="40"/>
  <c r="CM199" i="40"/>
  <c r="AZ199" i="40"/>
  <c r="BD199" i="40"/>
  <c r="BH199" i="40"/>
  <c r="BL199" i="40"/>
  <c r="BP199" i="40"/>
  <c r="BT199" i="40"/>
  <c r="BX199" i="40"/>
  <c r="CB199" i="40"/>
  <c r="CF199" i="40"/>
  <c r="DM199" i="40"/>
  <c r="DV199" i="40"/>
  <c r="BA199" i="40"/>
  <c r="BE199" i="40"/>
  <c r="BI199" i="40"/>
  <c r="BM199" i="40"/>
  <c r="BQ199" i="40"/>
  <c r="BU199" i="40"/>
  <c r="BY199" i="40"/>
  <c r="CC199" i="40"/>
  <c r="CG199" i="40"/>
  <c r="DS199" i="40"/>
  <c r="DW199" i="40"/>
  <c r="BB199" i="40"/>
  <c r="BR199" i="40"/>
  <c r="CH199" i="40"/>
  <c r="BF199" i="40"/>
  <c r="BV199" i="40"/>
  <c r="DT199" i="40"/>
  <c r="BJ199" i="40"/>
  <c r="BZ199" i="40"/>
  <c r="AW199" i="40"/>
  <c r="BN199" i="40"/>
  <c r="CD199" i="40"/>
  <c r="D40" i="70"/>
  <c r="D39" i="70"/>
  <c r="D55" i="70"/>
  <c r="D54" i="70"/>
  <c r="D35" i="70"/>
  <c r="D66" i="70"/>
  <c r="D53" i="70"/>
  <c r="D36" i="70"/>
  <c r="D49" i="70"/>
  <c r="D43" i="70"/>
  <c r="D51" i="70"/>
  <c r="D45" i="70"/>
  <c r="D18" i="70"/>
  <c r="AY18" i="70" s="1"/>
  <c r="D63" i="70"/>
  <c r="D30" i="70"/>
  <c r="D50" i="70"/>
  <c r="D48" i="70"/>
  <c r="D41" i="70"/>
  <c r="D59" i="70"/>
  <c r="D61" i="70"/>
  <c r="D34" i="70"/>
  <c r="D60" i="70"/>
  <c r="D56" i="70"/>
  <c r="D52" i="70"/>
  <c r="D65" i="70"/>
  <c r="D58" i="70"/>
  <c r="D46" i="70"/>
  <c r="D10" i="70"/>
  <c r="AY10" i="70" s="1"/>
  <c r="D42" i="70"/>
  <c r="D9" i="70"/>
  <c r="AY9" i="70" s="1"/>
  <c r="D31" i="70"/>
  <c r="D15" i="70"/>
  <c r="AY15" i="70" s="1"/>
  <c r="D8" i="70"/>
  <c r="AY8" i="70" s="1"/>
  <c r="D69" i="70"/>
  <c r="D47" i="70"/>
  <c r="D64" i="70"/>
  <c r="D14" i="70"/>
  <c r="AY14" i="70" s="1"/>
  <c r="D7" i="70"/>
  <c r="AY7" i="70" s="1"/>
  <c r="D68" i="70"/>
  <c r="D38" i="70"/>
  <c r="D62" i="70"/>
  <c r="D16" i="70"/>
  <c r="AY16" i="70" s="1"/>
  <c r="D17" i="70"/>
  <c r="AY17" i="70" s="1"/>
  <c r="D32" i="70"/>
  <c r="D57" i="70"/>
  <c r="D44" i="70"/>
  <c r="D33" i="70"/>
  <c r="D37" i="70"/>
  <c r="D67" i="70"/>
  <c r="M37" i="70"/>
  <c r="M65" i="70"/>
  <c r="M53" i="70"/>
  <c r="M54" i="70"/>
  <c r="M44" i="70"/>
  <c r="M9" i="70"/>
  <c r="M64" i="70"/>
  <c r="M14" i="70"/>
  <c r="M58" i="70"/>
  <c r="M67" i="70"/>
  <c r="M46" i="70"/>
  <c r="M40" i="70"/>
  <c r="M52" i="70"/>
  <c r="M10" i="70"/>
  <c r="G69" i="70"/>
  <c r="H65" i="70"/>
  <c r="M61" i="70"/>
  <c r="M50" i="70"/>
  <c r="G63" i="70"/>
  <c r="H59" i="70"/>
  <c r="M8" i="70"/>
  <c r="M49" i="70"/>
  <c r="G48" i="70"/>
  <c r="H40" i="70"/>
  <c r="G41" i="70"/>
  <c r="M66" i="70"/>
  <c r="H43" i="70"/>
  <c r="G62" i="70"/>
  <c r="G60" i="70"/>
  <c r="M45" i="70"/>
  <c r="M63" i="70"/>
  <c r="G18" i="70"/>
  <c r="G50" i="70"/>
  <c r="G14" i="70"/>
  <c r="M68" i="70"/>
  <c r="G56" i="70"/>
  <c r="G57" i="70"/>
  <c r="M55" i="70"/>
  <c r="G45" i="70"/>
  <c r="H48" i="70"/>
  <c r="M47" i="70"/>
  <c r="M59" i="70"/>
  <c r="G53" i="70"/>
  <c r="M41" i="70"/>
  <c r="M56" i="70"/>
  <c r="H64" i="70"/>
  <c r="H39" i="70"/>
  <c r="M62" i="70"/>
  <c r="M39" i="70"/>
  <c r="M48" i="70"/>
  <c r="M60" i="70"/>
  <c r="G9" i="70"/>
  <c r="H54" i="70"/>
  <c r="G49" i="70"/>
  <c r="H66" i="70"/>
  <c r="M42" i="70"/>
  <c r="G43" i="70"/>
  <c r="G7" i="70"/>
  <c r="M69" i="70"/>
  <c r="H46" i="70"/>
  <c r="G42" i="70"/>
  <c r="G65" i="70"/>
  <c r="G44" i="70"/>
  <c r="H14" i="70"/>
  <c r="BC14" i="70" s="1"/>
  <c r="G68" i="70"/>
  <c r="G61" i="70"/>
  <c r="M43" i="70"/>
  <c r="H56" i="70"/>
  <c r="H45" i="70"/>
  <c r="M57" i="70"/>
  <c r="M51" i="70"/>
  <c r="H8" i="70"/>
  <c r="BC8" i="70" s="1"/>
  <c r="H47" i="70"/>
  <c r="M18" i="70"/>
  <c r="H68" i="70"/>
  <c r="H67" i="70"/>
  <c r="G67" i="70"/>
  <c r="H51" i="70"/>
  <c r="G54" i="70"/>
  <c r="H58" i="70"/>
  <c r="H41" i="70"/>
  <c r="G40" i="70"/>
  <c r="G58" i="70"/>
  <c r="G39" i="70"/>
  <c r="G59" i="70"/>
  <c r="G47" i="70"/>
  <c r="H63" i="70"/>
  <c r="H52" i="70"/>
  <c r="H57" i="70"/>
  <c r="G66" i="70"/>
  <c r="H9" i="70"/>
  <c r="BC9" i="70" s="1"/>
  <c r="H60" i="70"/>
  <c r="H62" i="70"/>
  <c r="M7" i="70"/>
  <c r="H50" i="70"/>
  <c r="H42" i="70"/>
  <c r="G55" i="70"/>
  <c r="H18" i="70"/>
  <c r="BC18" i="70" s="1"/>
  <c r="H61" i="70"/>
  <c r="G51" i="70"/>
  <c r="H55" i="70"/>
  <c r="H7" i="70"/>
  <c r="BC7" i="70" s="1"/>
  <c r="G46" i="70"/>
  <c r="G8" i="70"/>
  <c r="G52" i="70"/>
  <c r="G10" i="70"/>
  <c r="H53" i="70"/>
  <c r="H44" i="70"/>
  <c r="G64" i="70"/>
  <c r="H49" i="70"/>
  <c r="H69" i="70"/>
  <c r="H10" i="70"/>
  <c r="BC10" i="70" s="1"/>
  <c r="CP398" i="40"/>
  <c r="AN398" i="40"/>
  <c r="CP198" i="40"/>
  <c r="AN198" i="40"/>
  <c r="CI582" i="40" l="1"/>
  <c r="CI598" i="40"/>
  <c r="CI498" i="40"/>
  <c r="CI299" i="40"/>
  <c r="CI699" i="40"/>
  <c r="CI383" i="40"/>
  <c r="CI199" i="40"/>
  <c r="CI399" i="40"/>
  <c r="CV299" i="40"/>
  <c r="CV699" i="40"/>
  <c r="CQ699" i="40"/>
  <c r="AO699" i="40"/>
  <c r="AF700" i="40"/>
  <c r="AC700" i="40"/>
  <c r="H700" i="40"/>
  <c r="AI700" i="40"/>
  <c r="KN700" i="40"/>
  <c r="JO700" i="40"/>
  <c r="JQ700" i="40" s="1"/>
  <c r="JU700" i="40" s="1"/>
  <c r="I700" i="40"/>
  <c r="AJ700" i="40"/>
  <c r="AW700" i="40"/>
  <c r="AZ700" i="40"/>
  <c r="BD700" i="40"/>
  <c r="BN700" i="40"/>
  <c r="BS700" i="40"/>
  <c r="BT700" i="40"/>
  <c r="BQ700" i="40"/>
  <c r="BV700" i="40"/>
  <c r="BR700" i="40"/>
  <c r="DT700" i="40"/>
  <c r="J700" i="40"/>
  <c r="CH700" i="40"/>
  <c r="M700" i="40"/>
  <c r="CM700" i="40" s="1"/>
  <c r="Z700" i="40"/>
  <c r="JP700" i="40"/>
  <c r="BA700" i="40"/>
  <c r="BX700" i="40"/>
  <c r="BI700" i="40"/>
  <c r="BJ700" i="40"/>
  <c r="BK700" i="40"/>
  <c r="BL700" i="40"/>
  <c r="BM700" i="40"/>
  <c r="CA700" i="40"/>
  <c r="BW700" i="40"/>
  <c r="DU700" i="40"/>
  <c r="DV700" i="40"/>
  <c r="DW700" i="40"/>
  <c r="N700" i="40"/>
  <c r="CN700" i="40" s="1"/>
  <c r="AB700" i="40"/>
  <c r="F700" i="40"/>
  <c r="AE700" i="40"/>
  <c r="CJ700" i="40"/>
  <c r="BB700" i="40"/>
  <c r="DM700" i="40"/>
  <c r="BE700" i="40"/>
  <c r="BG700" i="40"/>
  <c r="BP700" i="40"/>
  <c r="BY700" i="40"/>
  <c r="BU700" i="40"/>
  <c r="CE700" i="40"/>
  <c r="CB700" i="40"/>
  <c r="CG700" i="40"/>
  <c r="O700" i="40"/>
  <c r="CO700" i="40" s="1"/>
  <c r="L700" i="40"/>
  <c r="CL700" i="40" s="1"/>
  <c r="R700" i="40"/>
  <c r="AG700" i="40"/>
  <c r="A700" i="40"/>
  <c r="BO700" i="40"/>
  <c r="DS700" i="40"/>
  <c r="P700" i="40"/>
  <c r="AX700" i="40"/>
  <c r="BH700" i="40"/>
  <c r="CF700" i="40"/>
  <c r="CD700" i="40"/>
  <c r="K700" i="40"/>
  <c r="G700" i="40"/>
  <c r="BC700" i="40"/>
  <c r="BF700" i="40"/>
  <c r="CC700" i="40"/>
  <c r="BZ700" i="40"/>
  <c r="AH700" i="40"/>
  <c r="T700" i="40"/>
  <c r="CR700" i="40" s="1"/>
  <c r="U700" i="40"/>
  <c r="CS700" i="40" s="1"/>
  <c r="W700" i="40"/>
  <c r="CU700" i="40" s="1"/>
  <c r="X700" i="40"/>
  <c r="V700" i="40"/>
  <c r="CT700" i="40" s="1"/>
  <c r="S700" i="40"/>
  <c r="Q700" i="40"/>
  <c r="AA700" i="40"/>
  <c r="AD700" i="40"/>
  <c r="E700" i="40"/>
  <c r="Y700" i="40"/>
  <c r="AO598" i="40"/>
  <c r="CQ598" i="40"/>
  <c r="AG200" i="40"/>
  <c r="AC200" i="40"/>
  <c r="Y200" i="40"/>
  <c r="U200" i="40"/>
  <c r="Q200" i="40"/>
  <c r="M200" i="40"/>
  <c r="CM200" i="40" s="1"/>
  <c r="I200" i="40"/>
  <c r="E200" i="40"/>
  <c r="AJ200" i="40"/>
  <c r="AF200" i="40"/>
  <c r="AB200" i="40"/>
  <c r="X200" i="40"/>
  <c r="T200" i="40"/>
  <c r="CR200" i="40" s="1"/>
  <c r="P200" i="40"/>
  <c r="L200" i="40"/>
  <c r="CL200" i="40" s="1"/>
  <c r="H200" i="40"/>
  <c r="AI200" i="40"/>
  <c r="AE200" i="40"/>
  <c r="AA200" i="40"/>
  <c r="CI284" i="40" s="1"/>
  <c r="W200" i="40"/>
  <c r="S200" i="40"/>
  <c r="O200" i="40"/>
  <c r="CO200" i="40" s="1"/>
  <c r="K200" i="40"/>
  <c r="G200" i="40"/>
  <c r="AH200" i="40"/>
  <c r="R200" i="40"/>
  <c r="AD200" i="40"/>
  <c r="N200" i="40"/>
  <c r="Z200" i="40"/>
  <c r="J200" i="40"/>
  <c r="V200" i="40"/>
  <c r="F200" i="40"/>
  <c r="AI400" i="40"/>
  <c r="AE400" i="40"/>
  <c r="AA400" i="40"/>
  <c r="W400" i="40"/>
  <c r="S400" i="40"/>
  <c r="O400" i="40"/>
  <c r="CO400" i="40" s="1"/>
  <c r="K400" i="40"/>
  <c r="G400" i="40"/>
  <c r="AH400" i="40"/>
  <c r="AD400" i="40"/>
  <c r="Z400" i="40"/>
  <c r="V400" i="40"/>
  <c r="R400" i="40"/>
  <c r="N400" i="40"/>
  <c r="CN400" i="40" s="1"/>
  <c r="J400" i="40"/>
  <c r="F400" i="40"/>
  <c r="AG400" i="40"/>
  <c r="AC400" i="40"/>
  <c r="Y400" i="40"/>
  <c r="U400" i="40"/>
  <c r="Q400" i="40"/>
  <c r="M400" i="40"/>
  <c r="CM400" i="40" s="1"/>
  <c r="I400" i="40"/>
  <c r="E400" i="40"/>
  <c r="AJ400" i="40"/>
  <c r="T400" i="40"/>
  <c r="CR400" i="40" s="1"/>
  <c r="AF400" i="40"/>
  <c r="P400" i="40"/>
  <c r="AB400" i="40"/>
  <c r="L400" i="40"/>
  <c r="CL400" i="40" s="1"/>
  <c r="H400" i="40"/>
  <c r="X400" i="40"/>
  <c r="AJ499" i="40"/>
  <c r="AF499" i="40"/>
  <c r="AB499" i="40"/>
  <c r="X499" i="40"/>
  <c r="T499" i="40"/>
  <c r="CR499" i="40" s="1"/>
  <c r="P499" i="40"/>
  <c r="L499" i="40"/>
  <c r="CL499" i="40" s="1"/>
  <c r="H499" i="40"/>
  <c r="AH499" i="40"/>
  <c r="AD499" i="40"/>
  <c r="Z499" i="40"/>
  <c r="V499" i="40"/>
  <c r="CT499" i="40" s="1"/>
  <c r="R499" i="40"/>
  <c r="N499" i="40"/>
  <c r="CN499" i="40" s="1"/>
  <c r="J499" i="40"/>
  <c r="F499" i="40"/>
  <c r="AI499" i="40"/>
  <c r="AA499" i="40"/>
  <c r="S499" i="40"/>
  <c r="K499" i="40"/>
  <c r="AG499" i="40"/>
  <c r="Y499" i="40"/>
  <c r="Q499" i="40"/>
  <c r="I499" i="40"/>
  <c r="AE499" i="40"/>
  <c r="W499" i="40"/>
  <c r="O499" i="40"/>
  <c r="CO499" i="40" s="1"/>
  <c r="G499" i="40"/>
  <c r="U499" i="40"/>
  <c r="CS499" i="40" s="1"/>
  <c r="M499" i="40"/>
  <c r="CM499" i="40" s="1"/>
  <c r="E499" i="40"/>
  <c r="AC499" i="40"/>
  <c r="AQ699" i="40"/>
  <c r="AN699" i="40"/>
  <c r="CP699" i="40"/>
  <c r="AQ598" i="40"/>
  <c r="AP598" i="40"/>
  <c r="AH300" i="40"/>
  <c r="AD300" i="40"/>
  <c r="Z300" i="40"/>
  <c r="V300" i="40"/>
  <c r="CT300" i="40" s="1"/>
  <c r="R300" i="40"/>
  <c r="N300" i="40"/>
  <c r="CN300" i="40" s="1"/>
  <c r="J300" i="40"/>
  <c r="F300" i="40"/>
  <c r="AG300" i="40"/>
  <c r="AC300" i="40"/>
  <c r="Y300" i="40"/>
  <c r="U300" i="40"/>
  <c r="CS300" i="40" s="1"/>
  <c r="Q300" i="40"/>
  <c r="M300" i="40"/>
  <c r="CM300" i="40" s="1"/>
  <c r="I300" i="40"/>
  <c r="E300" i="40"/>
  <c r="AJ300" i="40"/>
  <c r="AF300" i="40"/>
  <c r="AB300" i="40"/>
  <c r="X300" i="40"/>
  <c r="T300" i="40"/>
  <c r="CR300" i="40" s="1"/>
  <c r="P300" i="40"/>
  <c r="L300" i="40"/>
  <c r="CL300" i="40" s="1"/>
  <c r="H300" i="40"/>
  <c r="AA300" i="40"/>
  <c r="K300" i="40"/>
  <c r="W300" i="40"/>
  <c r="CU300" i="40" s="1"/>
  <c r="G300" i="40"/>
  <c r="AI300" i="40"/>
  <c r="S300" i="40"/>
  <c r="AE300" i="40"/>
  <c r="O300" i="40"/>
  <c r="CO300" i="40" s="1"/>
  <c r="CK699" i="40"/>
  <c r="AM699" i="40"/>
  <c r="JV699" i="40"/>
  <c r="JW699" i="40" s="1"/>
  <c r="AJ599" i="40"/>
  <c r="AF599" i="40"/>
  <c r="AB599" i="40"/>
  <c r="X599" i="40"/>
  <c r="T599" i="40"/>
  <c r="CR599" i="40" s="1"/>
  <c r="P599" i="40"/>
  <c r="L599" i="40"/>
  <c r="CL599" i="40" s="1"/>
  <c r="H599" i="40"/>
  <c r="AI599" i="40"/>
  <c r="AE599" i="40"/>
  <c r="AA599" i="40"/>
  <c r="CI683" i="40" s="1"/>
  <c r="W599" i="40"/>
  <c r="CU599" i="40" s="1"/>
  <c r="S599" i="40"/>
  <c r="O599" i="40"/>
  <c r="CO599" i="40" s="1"/>
  <c r="K599" i="40"/>
  <c r="G599" i="40"/>
  <c r="AH599" i="40"/>
  <c r="Z599" i="40"/>
  <c r="R599" i="40"/>
  <c r="J599" i="40"/>
  <c r="AG599" i="40"/>
  <c r="Y599" i="40"/>
  <c r="Q599" i="40"/>
  <c r="I599" i="40"/>
  <c r="AD599" i="40"/>
  <c r="V599" i="40"/>
  <c r="CT599" i="40" s="1"/>
  <c r="N599" i="40"/>
  <c r="CN599" i="40" s="1"/>
  <c r="F599" i="40"/>
  <c r="AC599" i="40"/>
  <c r="U599" i="40"/>
  <c r="CS599" i="40" s="1"/>
  <c r="M599" i="40"/>
  <c r="CM599" i="40" s="1"/>
  <c r="E599" i="40"/>
  <c r="BA599" i="40"/>
  <c r="BQ599" i="40"/>
  <c r="CG599" i="40"/>
  <c r="BT599" i="40"/>
  <c r="AW599" i="40"/>
  <c r="BN599" i="40"/>
  <c r="CD599" i="40"/>
  <c r="BP599" i="40"/>
  <c r="AX599" i="40"/>
  <c r="BO599" i="40"/>
  <c r="CE599" i="40"/>
  <c r="BL599" i="40"/>
  <c r="CC599" i="40"/>
  <c r="BH599" i="40"/>
  <c r="BJ599" i="40"/>
  <c r="BD599" i="40"/>
  <c r="CA599" i="40"/>
  <c r="BE599" i="40"/>
  <c r="BU599" i="40"/>
  <c r="DS599" i="40"/>
  <c r="CF599" i="40"/>
  <c r="BB599" i="40"/>
  <c r="BR599" i="40"/>
  <c r="CH599" i="40"/>
  <c r="CB599" i="40"/>
  <c r="BC599" i="40"/>
  <c r="BS599" i="40"/>
  <c r="CJ599" i="40"/>
  <c r="BX599" i="40"/>
  <c r="BM599" i="40"/>
  <c r="BZ599" i="40"/>
  <c r="BK599" i="40"/>
  <c r="AZ599" i="40"/>
  <c r="BI599" i="40"/>
  <c r="BY599" i="40"/>
  <c r="DW599" i="40"/>
  <c r="A599" i="40"/>
  <c r="BF599" i="40"/>
  <c r="BV599" i="40"/>
  <c r="DT599" i="40"/>
  <c r="DV599" i="40"/>
  <c r="BG599" i="40"/>
  <c r="BW599" i="40"/>
  <c r="DU599" i="40"/>
  <c r="DM599" i="40"/>
  <c r="CP598" i="40"/>
  <c r="AN598" i="40"/>
  <c r="CK598" i="40"/>
  <c r="AM598" i="40"/>
  <c r="DB699" i="40"/>
  <c r="AP699" i="40"/>
  <c r="JT699" i="40"/>
  <c r="JR699" i="40"/>
  <c r="CV598" i="40"/>
  <c r="DB598" i="40"/>
  <c r="A499" i="40"/>
  <c r="BJ499" i="40"/>
  <c r="BZ499" i="40"/>
  <c r="BK499" i="40"/>
  <c r="CA499" i="40"/>
  <c r="BL499" i="40"/>
  <c r="CB499" i="40"/>
  <c r="BU499" i="40"/>
  <c r="CG499" i="40"/>
  <c r="AW499" i="40"/>
  <c r="BN499" i="40"/>
  <c r="CD499" i="40"/>
  <c r="AX499" i="40"/>
  <c r="BO499" i="40"/>
  <c r="CE499" i="40"/>
  <c r="AZ499" i="40"/>
  <c r="BP499" i="40"/>
  <c r="CF499" i="40"/>
  <c r="BI499" i="40"/>
  <c r="BE499" i="40"/>
  <c r="BB499" i="40"/>
  <c r="BR499" i="40"/>
  <c r="CH499" i="40"/>
  <c r="BC499" i="40"/>
  <c r="BS499" i="40"/>
  <c r="CJ499" i="40"/>
  <c r="BD499" i="40"/>
  <c r="BT499" i="40"/>
  <c r="DM499" i="40"/>
  <c r="BY499" i="40"/>
  <c r="BM499" i="40"/>
  <c r="BA499" i="40"/>
  <c r="DS499" i="40"/>
  <c r="C500" i="40"/>
  <c r="BF499" i="40"/>
  <c r="BV499" i="40"/>
  <c r="DT499" i="40"/>
  <c r="BG499" i="40"/>
  <c r="BW499" i="40"/>
  <c r="DU499" i="40"/>
  <c r="BH499" i="40"/>
  <c r="BX499" i="40"/>
  <c r="DV499" i="40"/>
  <c r="DW499" i="40"/>
  <c r="CC499" i="40"/>
  <c r="BQ499" i="40"/>
  <c r="AO498" i="40"/>
  <c r="CQ498" i="40"/>
  <c r="AP299" i="40"/>
  <c r="AN498" i="40"/>
  <c r="CP498" i="40"/>
  <c r="DB498" i="40"/>
  <c r="AP498" i="40"/>
  <c r="CK498" i="40"/>
  <c r="AM498" i="40"/>
  <c r="AQ498" i="40"/>
  <c r="CV498" i="40"/>
  <c r="CQ299" i="40"/>
  <c r="AO299" i="40"/>
  <c r="DB299" i="40"/>
  <c r="BG300" i="40"/>
  <c r="BW300" i="40"/>
  <c r="DU300" i="40"/>
  <c r="BH300" i="40"/>
  <c r="BX300" i="40"/>
  <c r="DV300" i="40"/>
  <c r="BM300" i="40"/>
  <c r="CC300" i="40"/>
  <c r="A300" i="40"/>
  <c r="DT300" i="40"/>
  <c r="BS300" i="40"/>
  <c r="BT300" i="40"/>
  <c r="BI300" i="40"/>
  <c r="DW300" i="40"/>
  <c r="CD300" i="40"/>
  <c r="BK300" i="40"/>
  <c r="CA300" i="40"/>
  <c r="BL300" i="40"/>
  <c r="CB300" i="40"/>
  <c r="BA300" i="40"/>
  <c r="BQ300" i="40"/>
  <c r="CG300" i="40"/>
  <c r="AW300" i="40"/>
  <c r="BB300" i="40"/>
  <c r="AX300" i="40"/>
  <c r="BO300" i="40"/>
  <c r="CE300" i="40"/>
  <c r="AZ300" i="40"/>
  <c r="BP300" i="40"/>
  <c r="CF300" i="40"/>
  <c r="BE300" i="40"/>
  <c r="BU300" i="40"/>
  <c r="DS300" i="40"/>
  <c r="BJ300" i="40"/>
  <c r="BN300" i="40"/>
  <c r="BR300" i="40"/>
  <c r="BF300" i="40"/>
  <c r="BC300" i="40"/>
  <c r="CJ300" i="40"/>
  <c r="BD300" i="40"/>
  <c r="DM300" i="40"/>
  <c r="BY300" i="40"/>
  <c r="BZ300" i="40"/>
  <c r="CH300" i="40"/>
  <c r="BV300" i="40"/>
  <c r="AQ299" i="40"/>
  <c r="CP299" i="40"/>
  <c r="AN299" i="40"/>
  <c r="CK299" i="40"/>
  <c r="AM299" i="40"/>
  <c r="DB199" i="40"/>
  <c r="DB399" i="40"/>
  <c r="D198" i="40"/>
  <c r="AY198" i="40" s="1"/>
  <c r="L14" i="70"/>
  <c r="K14" i="70"/>
  <c r="BB14" i="70"/>
  <c r="CV199" i="40"/>
  <c r="AL199" i="40"/>
  <c r="AK199" i="40"/>
  <c r="AP399" i="40"/>
  <c r="I54" i="70"/>
  <c r="BB8" i="70"/>
  <c r="L8" i="70"/>
  <c r="BB10" i="70"/>
  <c r="K10" i="70"/>
  <c r="L10" i="70"/>
  <c r="BB9" i="70"/>
  <c r="K9" i="70"/>
  <c r="L9" i="70"/>
  <c r="CQ199" i="40"/>
  <c r="AO199" i="40"/>
  <c r="CN200" i="40"/>
  <c r="AW200" i="40"/>
  <c r="BB200" i="40"/>
  <c r="BF200" i="40"/>
  <c r="BJ200" i="40"/>
  <c r="BN200" i="40"/>
  <c r="BR200" i="40"/>
  <c r="BV200" i="40"/>
  <c r="BZ200" i="40"/>
  <c r="CD200" i="40"/>
  <c r="CH200" i="40"/>
  <c r="DT200" i="40"/>
  <c r="AX200" i="40"/>
  <c r="BC200" i="40"/>
  <c r="BG200" i="40"/>
  <c r="BK200" i="40"/>
  <c r="BO200" i="40"/>
  <c r="BS200" i="40"/>
  <c r="BW200" i="40"/>
  <c r="CA200" i="40"/>
  <c r="CE200" i="40"/>
  <c r="CJ200" i="40"/>
  <c r="DU200" i="40"/>
  <c r="AZ200" i="40"/>
  <c r="BD200" i="40"/>
  <c r="BH200" i="40"/>
  <c r="BL200" i="40"/>
  <c r="BP200" i="40"/>
  <c r="BT200" i="40"/>
  <c r="BX200" i="40"/>
  <c r="CB200" i="40"/>
  <c r="CF200" i="40"/>
  <c r="DM200" i="40"/>
  <c r="DV200" i="40"/>
  <c r="BA200" i="40"/>
  <c r="BQ200" i="40"/>
  <c r="CG200" i="40"/>
  <c r="BE200" i="40"/>
  <c r="BU200" i="40"/>
  <c r="DS200" i="40"/>
  <c r="A200" i="40"/>
  <c r="D298" i="40" s="1"/>
  <c r="AY298" i="40" s="1"/>
  <c r="BI200" i="40"/>
  <c r="BY200" i="40"/>
  <c r="DW200" i="40"/>
  <c r="BM200" i="40"/>
  <c r="CC200" i="40"/>
  <c r="CU200" i="40"/>
  <c r="CT200" i="40"/>
  <c r="CS200" i="40"/>
  <c r="KT142" i="40"/>
  <c r="KU141" i="40"/>
  <c r="L7" i="70"/>
  <c r="BB7" i="70"/>
  <c r="K11" i="70"/>
  <c r="L13" i="70"/>
  <c r="K17" i="70"/>
  <c r="L11" i="70"/>
  <c r="K12" i="70"/>
  <c r="L17" i="70"/>
  <c r="L15" i="70"/>
  <c r="L16" i="70"/>
  <c r="K13" i="70"/>
  <c r="L12" i="70"/>
  <c r="BB18" i="70"/>
  <c r="CP199" i="40"/>
  <c r="AN199" i="40"/>
  <c r="AP199" i="40"/>
  <c r="AQ199" i="40"/>
  <c r="CV399" i="40"/>
  <c r="AK399" i="40"/>
  <c r="CP399" i="40"/>
  <c r="AN399" i="40"/>
  <c r="AQ399" i="40"/>
  <c r="CK399" i="40"/>
  <c r="AM399" i="40"/>
  <c r="CK199" i="40"/>
  <c r="AM199" i="40"/>
  <c r="AO399" i="40"/>
  <c r="CQ399" i="40"/>
  <c r="AZ400" i="40"/>
  <c r="BD400" i="40"/>
  <c r="BH400" i="40"/>
  <c r="BL400" i="40"/>
  <c r="BP400" i="40"/>
  <c r="BT400" i="40"/>
  <c r="BX400" i="40"/>
  <c r="CB400" i="40"/>
  <c r="CF400" i="40"/>
  <c r="DM400" i="40"/>
  <c r="DV400" i="40"/>
  <c r="BA400" i="40"/>
  <c r="BE400" i="40"/>
  <c r="BI400" i="40"/>
  <c r="BM400" i="40"/>
  <c r="BQ400" i="40"/>
  <c r="BU400" i="40"/>
  <c r="BY400" i="40"/>
  <c r="CC400" i="40"/>
  <c r="CG400" i="40"/>
  <c r="DS400" i="40"/>
  <c r="DW400" i="40"/>
  <c r="A400" i="40"/>
  <c r="AW400" i="40"/>
  <c r="BB400" i="40"/>
  <c r="BF400" i="40"/>
  <c r="BJ400" i="40"/>
  <c r="BN400" i="40"/>
  <c r="BR400" i="40"/>
  <c r="BV400" i="40"/>
  <c r="BZ400" i="40"/>
  <c r="CD400" i="40"/>
  <c r="CH400" i="40"/>
  <c r="DT400" i="40"/>
  <c r="BC400" i="40"/>
  <c r="BS400" i="40"/>
  <c r="CJ400" i="40"/>
  <c r="BG400" i="40"/>
  <c r="BW400" i="40"/>
  <c r="DU400" i="40"/>
  <c r="BK400" i="40"/>
  <c r="CA400" i="40"/>
  <c r="CE400" i="40"/>
  <c r="BO400" i="40"/>
  <c r="AX400" i="40"/>
  <c r="CT400" i="40"/>
  <c r="CU400" i="40"/>
  <c r="CS400" i="40"/>
  <c r="CI583" i="40" l="1"/>
  <c r="CI400" i="40"/>
  <c r="CI300" i="40"/>
  <c r="CI599" i="40"/>
  <c r="CI200" i="40"/>
  <c r="CI499" i="40"/>
  <c r="CI484" i="40"/>
  <c r="CI384" i="40"/>
  <c r="CI700" i="40"/>
  <c r="D398" i="40"/>
  <c r="AY398" i="40" s="1"/>
  <c r="D293" i="40"/>
  <c r="AY293" i="40" s="1"/>
  <c r="AL398" i="40"/>
  <c r="AQ300" i="40"/>
  <c r="AP499" i="40"/>
  <c r="CV700" i="40"/>
  <c r="CU499" i="40"/>
  <c r="JV700" i="40"/>
  <c r="JW700" i="40" s="1"/>
  <c r="D392" i="40"/>
  <c r="AY392" i="40" s="1"/>
  <c r="AL399" i="40"/>
  <c r="AK300" i="40"/>
  <c r="D393" i="40"/>
  <c r="AY393" i="40" s="1"/>
  <c r="AK398" i="40"/>
  <c r="AQ700" i="40"/>
  <c r="AN599" i="40"/>
  <c r="CP599" i="40"/>
  <c r="CK599" i="40"/>
  <c r="AM599" i="40"/>
  <c r="CV599" i="40"/>
  <c r="DB599" i="40"/>
  <c r="AP700" i="40"/>
  <c r="DB700" i="40"/>
  <c r="AJ500" i="40"/>
  <c r="AF500" i="40"/>
  <c r="AB500" i="40"/>
  <c r="X500" i="40"/>
  <c r="T500" i="40"/>
  <c r="CR500" i="40" s="1"/>
  <c r="P500" i="40"/>
  <c r="L500" i="40"/>
  <c r="CL500" i="40" s="1"/>
  <c r="H500" i="40"/>
  <c r="AH500" i="40"/>
  <c r="AD500" i="40"/>
  <c r="Z500" i="40"/>
  <c r="V500" i="40"/>
  <c r="CT500" i="40" s="1"/>
  <c r="R500" i="40"/>
  <c r="N500" i="40"/>
  <c r="CN500" i="40" s="1"/>
  <c r="J500" i="40"/>
  <c r="F500" i="40"/>
  <c r="AI500" i="40"/>
  <c r="AA500" i="40"/>
  <c r="S500" i="40"/>
  <c r="K500" i="40"/>
  <c r="AG500" i="40"/>
  <c r="Y500" i="40"/>
  <c r="AK500" i="40" s="1"/>
  <c r="Q500" i="40"/>
  <c r="I500" i="40"/>
  <c r="AE500" i="40"/>
  <c r="W500" i="40"/>
  <c r="CU500" i="40" s="1"/>
  <c r="O500" i="40"/>
  <c r="CO500" i="40" s="1"/>
  <c r="G500" i="40"/>
  <c r="U500" i="40"/>
  <c r="CS500" i="40" s="1"/>
  <c r="M500" i="40"/>
  <c r="CM500" i="40" s="1"/>
  <c r="E500" i="40"/>
  <c r="AC500" i="40"/>
  <c r="AO599" i="40"/>
  <c r="CQ599" i="40"/>
  <c r="AN700" i="40"/>
  <c r="CP700" i="40"/>
  <c r="AQ599" i="40"/>
  <c r="AP599" i="40"/>
  <c r="D599" i="40" s="1"/>
  <c r="AY599" i="40" s="1"/>
  <c r="CQ700" i="40"/>
  <c r="AO700" i="40"/>
  <c r="CK700" i="40"/>
  <c r="AM700" i="40"/>
  <c r="JT700" i="40"/>
  <c r="JR700" i="40"/>
  <c r="CV499" i="40"/>
  <c r="D199" i="40"/>
  <c r="AY199" i="40" s="1"/>
  <c r="CV300" i="40"/>
  <c r="BF500" i="40"/>
  <c r="BV500" i="40"/>
  <c r="DT500" i="40"/>
  <c r="BG500" i="40"/>
  <c r="BW500" i="40"/>
  <c r="DU500" i="40"/>
  <c r="BH500" i="40"/>
  <c r="BX500" i="40"/>
  <c r="DV500" i="40"/>
  <c r="DW500" i="40"/>
  <c r="BM500" i="40"/>
  <c r="BA500" i="40"/>
  <c r="A500" i="40"/>
  <c r="D593" i="40" s="1"/>
  <c r="AY593" i="40" s="1"/>
  <c r="BJ500" i="40"/>
  <c r="BZ500" i="40"/>
  <c r="BK500" i="40"/>
  <c r="CA500" i="40"/>
  <c r="BL500" i="40"/>
  <c r="CB500" i="40"/>
  <c r="CC500" i="40"/>
  <c r="BQ500" i="40"/>
  <c r="AW500" i="40"/>
  <c r="BN500" i="40"/>
  <c r="CD500" i="40"/>
  <c r="AX500" i="40"/>
  <c r="BO500" i="40"/>
  <c r="CE500" i="40"/>
  <c r="AZ500" i="40"/>
  <c r="BP500" i="40"/>
  <c r="CF500" i="40"/>
  <c r="BI500" i="40"/>
  <c r="DS500" i="40"/>
  <c r="BU500" i="40"/>
  <c r="CG500" i="40"/>
  <c r="BB500" i="40"/>
  <c r="BR500" i="40"/>
  <c r="CH500" i="40"/>
  <c r="BC500" i="40"/>
  <c r="BS500" i="40"/>
  <c r="CJ500" i="40"/>
  <c r="BD500" i="40"/>
  <c r="BT500" i="40"/>
  <c r="DM500" i="40"/>
  <c r="BY500" i="40"/>
  <c r="BE500" i="40"/>
  <c r="AO499" i="40"/>
  <c r="CQ499" i="40"/>
  <c r="DB499" i="40"/>
  <c r="AQ499" i="40"/>
  <c r="AN499" i="40"/>
  <c r="CP499" i="40"/>
  <c r="CK499" i="40"/>
  <c r="AM499" i="40"/>
  <c r="D499" i="40" s="1"/>
  <c r="AY499" i="40" s="1"/>
  <c r="AN300" i="40"/>
  <c r="CP300" i="40"/>
  <c r="DB300" i="40"/>
  <c r="A12" i="66"/>
  <c r="CQ300" i="40"/>
  <c r="AO300" i="40"/>
  <c r="AP300" i="40"/>
  <c r="CK300" i="40"/>
  <c r="AM300" i="40"/>
  <c r="DB400" i="40"/>
  <c r="AP200" i="40"/>
  <c r="DB200" i="40"/>
  <c r="AQ400" i="40"/>
  <c r="CP400" i="40"/>
  <c r="AN400" i="40"/>
  <c r="AL496" i="40"/>
  <c r="AL297" i="40"/>
  <c r="AL497" i="40"/>
  <c r="D294" i="40"/>
  <c r="AY294" i="40" s="1"/>
  <c r="AK496" i="40"/>
  <c r="D299" i="40"/>
  <c r="AY299" i="40" s="1"/>
  <c r="AL395" i="40"/>
  <c r="AK298" i="40"/>
  <c r="AK299" i="40"/>
  <c r="CQ400" i="40"/>
  <c r="AO400" i="40"/>
  <c r="AL499" i="40"/>
  <c r="AO200" i="40"/>
  <c r="CQ200" i="40"/>
  <c r="CP200" i="40"/>
  <c r="AN200" i="40"/>
  <c r="AQ200" i="40"/>
  <c r="D396" i="40"/>
  <c r="AY396" i="40" s="1"/>
  <c r="D498" i="40"/>
  <c r="AY498" i="40" s="1"/>
  <c r="AK396" i="40"/>
  <c r="AL298" i="40"/>
  <c r="D494" i="40"/>
  <c r="AY494" i="40" s="1"/>
  <c r="AL596" i="40"/>
  <c r="D496" i="40"/>
  <c r="AY496" i="40" s="1"/>
  <c r="D397" i="40"/>
  <c r="AY397" i="40" s="1"/>
  <c r="AP400" i="40"/>
  <c r="J14" i="61"/>
  <c r="AQ14" i="61" s="1"/>
  <c r="W14" i="61" s="1"/>
  <c r="D492" i="40"/>
  <c r="AY492" i="40" s="1"/>
  <c r="I55" i="70"/>
  <c r="AL599" i="40"/>
  <c r="M13" i="61"/>
  <c r="Z13" i="61" s="1"/>
  <c r="D395" i="40"/>
  <c r="AY395" i="40" s="1"/>
  <c r="AK297" i="40"/>
  <c r="D596" i="40"/>
  <c r="AY596" i="40" s="1"/>
  <c r="AL498" i="40"/>
  <c r="AK397" i="40"/>
  <c r="D394" i="40"/>
  <c r="AY394" i="40" s="1"/>
  <c r="AL299" i="40"/>
  <c r="AK395" i="40"/>
  <c r="CV400" i="40"/>
  <c r="AK400" i="40"/>
  <c r="AL400" i="40"/>
  <c r="AM400" i="40"/>
  <c r="CK400" i="40"/>
  <c r="AK499" i="40"/>
  <c r="AK599" i="40"/>
  <c r="KT143" i="40"/>
  <c r="KU142" i="40"/>
  <c r="I56" i="70" s="1"/>
  <c r="CV200" i="40"/>
  <c r="AK200" i="40"/>
  <c r="AL200" i="40"/>
  <c r="N13" i="61"/>
  <c r="AA13" i="61" s="1"/>
  <c r="G13" i="61"/>
  <c r="AN16" i="68"/>
  <c r="P21" i="59"/>
  <c r="N23" i="59"/>
  <c r="F23" i="59"/>
  <c r="F13" i="61"/>
  <c r="N15" i="61"/>
  <c r="AA15" i="61" s="1"/>
  <c r="O21" i="59"/>
  <c r="AN16" i="71"/>
  <c r="G16" i="61"/>
  <c r="A12" i="67"/>
  <c r="H9" i="59"/>
  <c r="K13" i="61"/>
  <c r="AR13" i="61" s="1"/>
  <c r="X13" i="61" s="1"/>
  <c r="O22" i="59"/>
  <c r="E23" i="59"/>
  <c r="E15" i="61"/>
  <c r="P23" i="59"/>
  <c r="O23" i="59"/>
  <c r="AN16" i="66"/>
  <c r="M14" i="61"/>
  <c r="Z14" i="61" s="1"/>
  <c r="AN14" i="67"/>
  <c r="M22" i="59"/>
  <c r="N9" i="59"/>
  <c r="F46" i="59" s="1"/>
  <c r="E22" i="59"/>
  <c r="D209" i="40"/>
  <c r="D665" i="40"/>
  <c r="D210" i="40"/>
  <c r="D615" i="40"/>
  <c r="D510" i="40"/>
  <c r="D675" i="40"/>
  <c r="D613" i="40"/>
  <c r="D644" i="40"/>
  <c r="D624" i="40"/>
  <c r="D657" i="40"/>
  <c r="D689" i="40"/>
  <c r="D650" i="40"/>
  <c r="D663" i="40"/>
  <c r="D649" i="40"/>
  <c r="D609" i="40"/>
  <c r="D620" i="40"/>
  <c r="D616" i="40"/>
  <c r="D623" i="40"/>
  <c r="D642" i="40"/>
  <c r="D633" i="40"/>
  <c r="D637" i="40"/>
  <c r="D664" i="40"/>
  <c r="D611" i="40"/>
  <c r="D627" i="40"/>
  <c r="D693" i="40"/>
  <c r="D677" i="40"/>
  <c r="D213" i="40"/>
  <c r="D413" i="40"/>
  <c r="D514" i="40"/>
  <c r="D415" i="40"/>
  <c r="D216" i="40"/>
  <c r="D418" i="40"/>
  <c r="D325" i="40"/>
  <c r="D331" i="40"/>
  <c r="D235" i="40"/>
  <c r="D341" i="40"/>
  <c r="D445" i="40"/>
  <c r="D550" i="40"/>
  <c r="D552" i="40"/>
  <c r="D556" i="40"/>
  <c r="D462" i="40"/>
  <c r="D365" i="40"/>
  <c r="D270" i="40"/>
  <c r="D576" i="40"/>
  <c r="D579" i="40"/>
  <c r="D381" i="40"/>
  <c r="AY381" i="40" s="1"/>
  <c r="D487" i="40"/>
  <c r="D291" i="40"/>
  <c r="AY291" i="40" s="1"/>
  <c r="F22" i="59"/>
  <c r="AU13" i="71"/>
  <c r="G21" i="59"/>
  <c r="AN14" i="69"/>
  <c r="F9" i="59"/>
  <c r="M15" i="61"/>
  <c r="Z15" i="61" s="1"/>
  <c r="N21" i="59"/>
  <c r="N33" i="59" s="1"/>
  <c r="Y46" i="59" s="1"/>
  <c r="E21" i="59"/>
  <c r="N10" i="59"/>
  <c r="F47" i="59" s="1"/>
  <c r="M23" i="59"/>
  <c r="E9" i="59"/>
  <c r="T46" i="59" s="1"/>
  <c r="O9" i="59"/>
  <c r="G46" i="59" s="1"/>
  <c r="A12" i="71"/>
  <c r="O10" i="59"/>
  <c r="G47" i="59" s="1"/>
  <c r="K14" i="61"/>
  <c r="AR14" i="61" s="1"/>
  <c r="X14" i="61" s="1"/>
  <c r="E16" i="61"/>
  <c r="P10" i="59"/>
  <c r="R10" i="59" s="1"/>
  <c r="U47" i="59" s="1"/>
  <c r="H22" i="59"/>
  <c r="AN14" i="68"/>
  <c r="G22" i="59"/>
  <c r="AN14" i="66"/>
  <c r="AN16" i="67"/>
  <c r="N22" i="59"/>
  <c r="N14" i="61"/>
  <c r="AA14" i="61" s="1"/>
  <c r="H11" i="59"/>
  <c r="D309" i="40"/>
  <c r="D659" i="40"/>
  <c r="D639" i="40"/>
  <c r="D655" i="40"/>
  <c r="D698" i="40"/>
  <c r="D614" i="40"/>
  <c r="D622" i="40"/>
  <c r="D631" i="40"/>
  <c r="D668" i="40"/>
  <c r="D641" i="40"/>
  <c r="D635" i="40"/>
  <c r="D678" i="40"/>
  <c r="D211" i="40"/>
  <c r="D680" i="40"/>
  <c r="D640" i="40"/>
  <c r="D685" i="40"/>
  <c r="D509" i="40"/>
  <c r="D679" i="40"/>
  <c r="D694" i="40"/>
  <c r="D626" i="40"/>
  <c r="D674" i="40"/>
  <c r="D669" i="40"/>
  <c r="D634" i="40"/>
  <c r="D681" i="40"/>
  <c r="D651" i="40"/>
  <c r="D673" i="40"/>
  <c r="D411" i="40"/>
  <c r="D618" i="40"/>
  <c r="D312" i="40"/>
  <c r="D215" i="40"/>
  <c r="D416" i="40"/>
  <c r="D314" i="40"/>
  <c r="D217" i="40"/>
  <c r="D218" i="40"/>
  <c r="D518" i="40"/>
  <c r="D520" i="40"/>
  <c r="D319" i="40"/>
  <c r="D318" i="40"/>
  <c r="D223" i="40"/>
  <c r="D421" i="40"/>
  <c r="D222" i="40"/>
  <c r="D422" i="40"/>
  <c r="D423" i="40"/>
  <c r="D225" i="40"/>
  <c r="D424" i="40"/>
  <c r="D226" i="40"/>
  <c r="D228" i="40"/>
  <c r="D529" i="40"/>
  <c r="D426" i="40"/>
  <c r="D328" i="40"/>
  <c r="D430" i="40"/>
  <c r="D232" i="40"/>
  <c r="D332" i="40"/>
  <c r="D233" i="40"/>
  <c r="D333" i="40"/>
  <c r="D334" i="40"/>
  <c r="D437" i="40"/>
  <c r="D337" i="40"/>
  <c r="D538" i="40"/>
  <c r="D439" i="40"/>
  <c r="D241" i="40"/>
  <c r="D441" i="40"/>
  <c r="D243" i="40"/>
  <c r="D443" i="40"/>
  <c r="D543" i="40"/>
  <c r="D546" i="40"/>
  <c r="D446" i="40"/>
  <c r="D246" i="40"/>
  <c r="D249" i="40"/>
  <c r="D549" i="40"/>
  <c r="D251" i="40"/>
  <c r="D551" i="40"/>
  <c r="D452" i="40"/>
  <c r="D352" i="40"/>
  <c r="D254" i="40"/>
  <c r="D455" i="40"/>
  <c r="D456" i="40"/>
  <c r="D356" i="40"/>
  <c r="D458" i="40"/>
  <c r="D359" i="40"/>
  <c r="D459" i="40"/>
  <c r="D262" i="40"/>
  <c r="D264" i="40"/>
  <c r="D363" i="40"/>
  <c r="D265" i="40"/>
  <c r="D465" i="40"/>
  <c r="D267" i="40"/>
  <c r="D466" i="40"/>
  <c r="D468" i="40"/>
  <c r="D369" i="40"/>
  <c r="D368" i="40"/>
  <c r="D273" i="40"/>
  <c r="D274" i="40"/>
  <c r="D373" i="40"/>
  <c r="D474" i="40"/>
  <c r="D476" i="40"/>
  <c r="D375" i="40"/>
  <c r="D378" i="40"/>
  <c r="D580" i="40"/>
  <c r="D481" i="40"/>
  <c r="D482" i="40"/>
  <c r="D282" i="40"/>
  <c r="D583" i="40"/>
  <c r="D584" i="40"/>
  <c r="D384" i="40"/>
  <c r="D385" i="40"/>
  <c r="D288" i="40"/>
  <c r="AY288" i="40" s="1"/>
  <c r="D589" i="40"/>
  <c r="AY589" i="40" s="1"/>
  <c r="D290" i="40"/>
  <c r="AY290" i="40" s="1"/>
  <c r="D292" i="40"/>
  <c r="AY292" i="40" s="1"/>
  <c r="D493" i="40"/>
  <c r="AY493" i="40" s="1"/>
  <c r="D524" i="40"/>
  <c r="D326" i="40"/>
  <c r="D528" i="40"/>
  <c r="D531" i="40"/>
  <c r="D330" i="40"/>
  <c r="D535" i="40"/>
  <c r="D237" i="40"/>
  <c r="D438" i="40"/>
  <c r="D340" i="40"/>
  <c r="D342" i="40"/>
  <c r="D245" i="40"/>
  <c r="D348" i="40"/>
  <c r="D450" i="40"/>
  <c r="D555" i="40"/>
  <c r="D454" i="40"/>
  <c r="D259" i="40"/>
  <c r="D360" i="40"/>
  <c r="D565" i="40"/>
  <c r="D566" i="40"/>
  <c r="D467" i="40"/>
  <c r="D471" i="40"/>
  <c r="D275" i="40"/>
  <c r="D277" i="40"/>
  <c r="D478" i="40"/>
  <c r="D382" i="40"/>
  <c r="D486" i="40"/>
  <c r="D289" i="40"/>
  <c r="AY289" i="40" s="1"/>
  <c r="D590" i="40"/>
  <c r="AY590" i="40" s="1"/>
  <c r="D324" i="40"/>
  <c r="D534" i="40"/>
  <c r="D435" i="40"/>
  <c r="D238" i="40"/>
  <c r="D539" i="40"/>
  <c r="D442" i="40"/>
  <c r="D247" i="40"/>
  <c r="D248" i="40"/>
  <c r="D253" i="40"/>
  <c r="D353" i="40"/>
  <c r="D559" i="40"/>
  <c r="D561" i="40"/>
  <c r="D268" i="40"/>
  <c r="D571" i="40"/>
  <c r="D574" i="40"/>
  <c r="D376" i="40"/>
  <c r="D280" i="40"/>
  <c r="D383" i="40"/>
  <c r="D588" i="40"/>
  <c r="AY588" i="40" s="1"/>
  <c r="M21" i="59"/>
  <c r="J13" i="61"/>
  <c r="AQ13" i="61" s="1"/>
  <c r="W13" i="61" s="1"/>
  <c r="G9" i="59"/>
  <c r="L16" i="61"/>
  <c r="Y16" i="61" s="1"/>
  <c r="AN16" i="69"/>
  <c r="A12" i="68"/>
  <c r="P11" i="59"/>
  <c r="I16" i="61"/>
  <c r="F14" i="61"/>
  <c r="L13" i="61"/>
  <c r="Y13" i="61" s="1"/>
  <c r="M11" i="59"/>
  <c r="E48" i="59" s="1"/>
  <c r="G14" i="61"/>
  <c r="AT13" i="71"/>
  <c r="M16" i="61"/>
  <c r="Z16" i="61" s="1"/>
  <c r="I13" i="61"/>
  <c r="M9" i="59"/>
  <c r="E46" i="59" s="1"/>
  <c r="E11" i="59"/>
  <c r="T48" i="59" s="1"/>
  <c r="M10" i="59"/>
  <c r="E47" i="59" s="1"/>
  <c r="H21" i="59"/>
  <c r="E10" i="59"/>
  <c r="T47" i="59" s="1"/>
  <c r="F21" i="59"/>
  <c r="F10" i="59"/>
  <c r="D666" i="40"/>
  <c r="D511" i="40"/>
  <c r="D646" i="40"/>
  <c r="D686" i="40"/>
  <c r="D410" i="40"/>
  <c r="D684" i="40"/>
  <c r="D625" i="40"/>
  <c r="D645" i="40"/>
  <c r="D632" i="40"/>
  <c r="D697" i="40"/>
  <c r="D667" i="40"/>
  <c r="D610" i="40"/>
  <c r="D656" i="40"/>
  <c r="D661" i="40"/>
  <c r="D700" i="40"/>
  <c r="D699" i="40"/>
  <c r="D621" i="40"/>
  <c r="D683" i="40"/>
  <c r="D653" i="40"/>
  <c r="D619" i="40"/>
  <c r="D512" i="40"/>
  <c r="D660" i="40"/>
  <c r="D654" i="40"/>
  <c r="D648" i="40"/>
  <c r="D311" i="40"/>
  <c r="D617" i="40"/>
  <c r="D629" i="40"/>
  <c r="D690" i="40"/>
  <c r="D652" i="40"/>
  <c r="D414" i="40"/>
  <c r="AT15" i="68" s="1"/>
  <c r="D214" i="40"/>
  <c r="D313" i="40"/>
  <c r="D315" i="40"/>
  <c r="D516" i="40"/>
  <c r="D517" i="40"/>
  <c r="D515" i="40"/>
  <c r="D316" i="40"/>
  <c r="D420" i="40"/>
  <c r="D519" i="40"/>
  <c r="D221" i="40"/>
  <c r="D419" i="40"/>
  <c r="D320" i="40"/>
  <c r="D322" i="40"/>
  <c r="D526" i="40"/>
  <c r="D425" i="40"/>
  <c r="D227" i="40"/>
  <c r="D428" i="40"/>
  <c r="D427" i="40"/>
  <c r="D231" i="40"/>
  <c r="D434" i="40"/>
  <c r="D536" i="40"/>
  <c r="D336" i="40"/>
  <c r="D239" i="40"/>
  <c r="D542" i="40"/>
  <c r="D540" i="40"/>
  <c r="D541" i="40"/>
  <c r="D545" i="40"/>
  <c r="D544" i="40"/>
  <c r="D344" i="40"/>
  <c r="D345" i="40"/>
  <c r="D346" i="40"/>
  <c r="D448" i="40"/>
  <c r="D548" i="40"/>
  <c r="D250" i="40"/>
  <c r="D350" i="40"/>
  <c r="D351" i="40"/>
  <c r="D451" i="40"/>
  <c r="D255" i="40"/>
  <c r="D257" i="40"/>
  <c r="D355" i="40"/>
  <c r="D258" i="40"/>
  <c r="D260" i="40"/>
  <c r="D261" i="40"/>
  <c r="D460" i="40"/>
  <c r="D562" i="40"/>
  <c r="D563" i="40"/>
  <c r="D463" i="40"/>
  <c r="D266" i="40"/>
  <c r="D366" i="40"/>
  <c r="D364" i="40"/>
  <c r="D269" i="40"/>
  <c r="D470" i="40"/>
  <c r="D469" i="40"/>
  <c r="D371" i="40"/>
  <c r="D572" i="40"/>
  <c r="D272" i="40"/>
  <c r="D372" i="40"/>
  <c r="D573" i="40"/>
  <c r="D475" i="40"/>
  <c r="D577" i="40"/>
  <c r="D578" i="40"/>
  <c r="D479" i="40"/>
  <c r="D278" i="40"/>
  <c r="D379" i="40"/>
  <c r="D380" i="40"/>
  <c r="D582" i="40"/>
  <c r="D483" i="40"/>
  <c r="D284" i="40"/>
  <c r="D485" i="40"/>
  <c r="D587" i="40"/>
  <c r="D286" i="40"/>
  <c r="D388" i="40"/>
  <c r="AY388" i="40" s="1"/>
  <c r="D387" i="40"/>
  <c r="D488" i="40"/>
  <c r="AY488" i="40" s="1"/>
  <c r="D591" i="40"/>
  <c r="AY591" i="40" s="1"/>
  <c r="D391" i="40"/>
  <c r="AY391" i="40" s="1"/>
  <c r="D321" i="40"/>
  <c r="D525" i="40"/>
  <c r="D530" i="40"/>
  <c r="D431" i="40"/>
  <c r="D234" i="40"/>
  <c r="D240" i="40"/>
  <c r="D242" i="40"/>
  <c r="D347" i="40"/>
  <c r="D252" i="40"/>
  <c r="D256" i="40"/>
  <c r="D557" i="40"/>
  <c r="D461" i="40"/>
  <c r="D362" i="40"/>
  <c r="D464" i="40"/>
  <c r="D367" i="40"/>
  <c r="D271" i="40"/>
  <c r="D575" i="40"/>
  <c r="D276" i="40"/>
  <c r="D281" i="40"/>
  <c r="AY281" i="40" s="1"/>
  <c r="D285" i="40"/>
  <c r="D287" i="40"/>
  <c r="D489" i="40"/>
  <c r="AY489" i="40" s="1"/>
  <c r="D491" i="40"/>
  <c r="AY491" i="40" s="1"/>
  <c r="D523" i="40"/>
  <c r="D327" i="40"/>
  <c r="D329" i="40"/>
  <c r="D432" i="40"/>
  <c r="D533" i="40"/>
  <c r="D440" i="40"/>
  <c r="D343" i="40"/>
  <c r="D447" i="40"/>
  <c r="D349" i="40"/>
  <c r="D453" i="40"/>
  <c r="D354" i="40"/>
  <c r="D560" i="40"/>
  <c r="D361" i="40"/>
  <c r="D568" i="40"/>
  <c r="D370" i="40"/>
  <c r="D473" i="40"/>
  <c r="D377" i="40"/>
  <c r="D283" i="40"/>
  <c r="D386" i="40"/>
  <c r="D490" i="40"/>
  <c r="AY490" i="40" s="1"/>
  <c r="H23" i="59"/>
  <c r="G11" i="59"/>
  <c r="F15" i="61"/>
  <c r="A13" i="71"/>
  <c r="P22" i="59"/>
  <c r="G23" i="59"/>
  <c r="I15" i="61"/>
  <c r="F11" i="59"/>
  <c r="I14" i="61"/>
  <c r="J15" i="61"/>
  <c r="AQ15" i="61" s="1"/>
  <c r="W15" i="61" s="1"/>
  <c r="AS13" i="71"/>
  <c r="O11" i="59"/>
  <c r="G48" i="59" s="1"/>
  <c r="F16" i="61"/>
  <c r="N16" i="61"/>
  <c r="AA16" i="61" s="1"/>
  <c r="AN14" i="71"/>
  <c r="H10" i="59"/>
  <c r="G15" i="61"/>
  <c r="P9" i="59"/>
  <c r="R9" i="59" s="1"/>
  <c r="U46" i="59" s="1"/>
  <c r="L15" i="61"/>
  <c r="Y15" i="61" s="1"/>
  <c r="G10" i="59"/>
  <c r="K16" i="61"/>
  <c r="AR16" i="61" s="1"/>
  <c r="X16" i="61" s="1"/>
  <c r="E14" i="61"/>
  <c r="L14" i="61"/>
  <c r="Y14" i="61" s="1"/>
  <c r="J16" i="61"/>
  <c r="AQ16" i="61" s="1"/>
  <c r="W16" i="61" s="1"/>
  <c r="K15" i="61"/>
  <c r="AR15" i="61" s="1"/>
  <c r="X15" i="61" s="1"/>
  <c r="E13" i="61"/>
  <c r="D409" i="40"/>
  <c r="D671" i="40"/>
  <c r="D687" i="40"/>
  <c r="D662" i="40"/>
  <c r="D691" i="40"/>
  <c r="D638" i="40"/>
  <c r="D696" i="40"/>
  <c r="D212" i="40"/>
  <c r="D688" i="40"/>
  <c r="D612" i="40"/>
  <c r="D682" i="40"/>
  <c r="D630" i="40"/>
  <c r="D658" i="40"/>
  <c r="D676" i="40"/>
  <c r="D670" i="40"/>
  <c r="D695" i="40"/>
  <c r="D310" i="40"/>
  <c r="D643" i="40"/>
  <c r="D647" i="40"/>
  <c r="D628" i="40"/>
  <c r="D692" i="40"/>
  <c r="D672" i="40"/>
  <c r="D636" i="40"/>
  <c r="D412" i="40"/>
  <c r="D513" i="40"/>
  <c r="D417" i="40"/>
  <c r="D317" i="40"/>
  <c r="D219" i="40"/>
  <c r="D521" i="40"/>
  <c r="D220" i="40"/>
  <c r="D522" i="40"/>
  <c r="D323" i="40"/>
  <c r="D229" i="40"/>
  <c r="D230" i="40"/>
  <c r="D532" i="40"/>
  <c r="D433" i="40"/>
  <c r="D335" i="40"/>
  <c r="D436" i="40"/>
  <c r="D537" i="40"/>
  <c r="D338" i="40"/>
  <c r="D244" i="40"/>
  <c r="D547" i="40"/>
  <c r="D449" i="40"/>
  <c r="D553" i="40"/>
  <c r="D457" i="40"/>
  <c r="D357" i="40"/>
  <c r="D263" i="40"/>
  <c r="D567" i="40"/>
  <c r="D570" i="40"/>
  <c r="D374" i="40"/>
  <c r="D279" i="40"/>
  <c r="D581" i="40"/>
  <c r="AY581" i="40" s="1"/>
  <c r="D484" i="40"/>
  <c r="D586" i="40"/>
  <c r="D390" i="40"/>
  <c r="AY390" i="40" s="1"/>
  <c r="D224" i="40"/>
  <c r="D527" i="40"/>
  <c r="D429" i="40"/>
  <c r="D236" i="40"/>
  <c r="D339" i="40"/>
  <c r="D444" i="40"/>
  <c r="D554" i="40"/>
  <c r="D558" i="40"/>
  <c r="D358" i="40"/>
  <c r="D564" i="40"/>
  <c r="D569" i="40"/>
  <c r="D472" i="40"/>
  <c r="D477" i="40"/>
  <c r="D480" i="40"/>
  <c r="D585" i="40"/>
  <c r="D389" i="40"/>
  <c r="AY389" i="40" s="1"/>
  <c r="CK200" i="40"/>
  <c r="AM200" i="40"/>
  <c r="D200" i="40" s="1"/>
  <c r="AY200" i="40" s="1"/>
  <c r="A12" i="69"/>
  <c r="AL300" i="40"/>
  <c r="D399" i="40"/>
  <c r="AY399" i="40" s="1"/>
  <c r="D594" i="40"/>
  <c r="AY594" i="40" s="1"/>
  <c r="AK598" i="40"/>
  <c r="D297" i="40"/>
  <c r="AY297" i="40" s="1"/>
  <c r="D296" i="40"/>
  <c r="AY296" i="40" s="1"/>
  <c r="D497" i="40"/>
  <c r="AY497" i="40" s="1"/>
  <c r="AL396" i="40"/>
  <c r="AK498" i="40"/>
  <c r="AL397" i="40"/>
  <c r="D495" i="40"/>
  <c r="AY495" i="40" s="1"/>
  <c r="D295" i="40"/>
  <c r="AY295" i="40" s="1"/>
  <c r="CI500" i="40" l="1"/>
  <c r="CI584" i="40"/>
  <c r="N11" i="59"/>
  <c r="F48" i="59" s="1"/>
  <c r="AK597" i="40"/>
  <c r="AL597" i="40"/>
  <c r="D598" i="40"/>
  <c r="AY598" i="40" s="1"/>
  <c r="D597" i="40"/>
  <c r="AY597" i="40" s="1"/>
  <c r="AL500" i="40"/>
  <c r="AL598" i="40"/>
  <c r="AK596" i="40"/>
  <c r="D595" i="40"/>
  <c r="AY595" i="40" s="1"/>
  <c r="D592" i="40"/>
  <c r="AY592" i="40" s="1"/>
  <c r="AW16" i="71"/>
  <c r="D300" i="40"/>
  <c r="AY300" i="40" s="1"/>
  <c r="AP500" i="40"/>
  <c r="AQ500" i="40"/>
  <c r="CP500" i="40"/>
  <c r="AN500" i="40"/>
  <c r="CQ500" i="40"/>
  <c r="AO500" i="40"/>
  <c r="CK500" i="40"/>
  <c r="AM500" i="40"/>
  <c r="CV500" i="40"/>
  <c r="DB500" i="40"/>
  <c r="AY285" i="40"/>
  <c r="AY483" i="40"/>
  <c r="AY383" i="40"/>
  <c r="AY486" i="40"/>
  <c r="AY384" i="40"/>
  <c r="AY482" i="40"/>
  <c r="AY282" i="40"/>
  <c r="AY585" i="40"/>
  <c r="AY586" i="40"/>
  <c r="AY286" i="40"/>
  <c r="AY484" i="40"/>
  <c r="AY386" i="40"/>
  <c r="AY587" i="40"/>
  <c r="AY582" i="40"/>
  <c r="AY382" i="40"/>
  <c r="AY584" i="40"/>
  <c r="AY284" i="40"/>
  <c r="AY385" i="40"/>
  <c r="AY283" i="40"/>
  <c r="AY287" i="40"/>
  <c r="AY387" i="40"/>
  <c r="AY485" i="40"/>
  <c r="AY583" i="40"/>
  <c r="AY487" i="40"/>
  <c r="H47" i="59"/>
  <c r="G35" i="59"/>
  <c r="Z48" i="59" s="1"/>
  <c r="O16" i="61"/>
  <c r="AF16" i="61" s="1"/>
  <c r="AJ16" i="61" s="1"/>
  <c r="D400" i="40"/>
  <c r="AY400" i="40" s="1"/>
  <c r="O14" i="61"/>
  <c r="AF14" i="61" s="1"/>
  <c r="AJ14" i="61" s="1"/>
  <c r="F33" i="59"/>
  <c r="N46" i="59" s="1"/>
  <c r="P34" i="59"/>
  <c r="AC47" i="59" s="1"/>
  <c r="H35" i="59"/>
  <c r="AB48" i="59" s="1"/>
  <c r="H33" i="59"/>
  <c r="AB46" i="59" s="1"/>
  <c r="E33" i="59"/>
  <c r="V46" i="59" s="1"/>
  <c r="AY358" i="40"/>
  <c r="AY570" i="40"/>
  <c r="AY547" i="40"/>
  <c r="AY230" i="40"/>
  <c r="AY220" i="40"/>
  <c r="AY412" i="40"/>
  <c r="AY695" i="40"/>
  <c r="KU695" i="40"/>
  <c r="AY630" i="40"/>
  <c r="AY662" i="40"/>
  <c r="AY560" i="40"/>
  <c r="AY533" i="40"/>
  <c r="AY362" i="40"/>
  <c r="AY242" i="40"/>
  <c r="AY558" i="40"/>
  <c r="AY480" i="40"/>
  <c r="AY569" i="40"/>
  <c r="AY554" i="40"/>
  <c r="AY339" i="40"/>
  <c r="AY374" i="40"/>
  <c r="AY263" i="40"/>
  <c r="AY338" i="40"/>
  <c r="AY433" i="40"/>
  <c r="AY323" i="40"/>
  <c r="AY522" i="40"/>
  <c r="AY513" i="40"/>
  <c r="AY672" i="40"/>
  <c r="AY643" i="40"/>
  <c r="AY676" i="40"/>
  <c r="AY612" i="40"/>
  <c r="AY638" i="40"/>
  <c r="AY671" i="40"/>
  <c r="AY568" i="40"/>
  <c r="AY453" i="40"/>
  <c r="AY440" i="40"/>
  <c r="AY329" i="40"/>
  <c r="AY367" i="40"/>
  <c r="AY557" i="40"/>
  <c r="AY347" i="40"/>
  <c r="AY379" i="40"/>
  <c r="AY577" i="40"/>
  <c r="AY272" i="40"/>
  <c r="AY470" i="40"/>
  <c r="AY266" i="40"/>
  <c r="AY460" i="40"/>
  <c r="AY355" i="40"/>
  <c r="AY451" i="40"/>
  <c r="AY250" i="40"/>
  <c r="AY346" i="40"/>
  <c r="AY544" i="40"/>
  <c r="AY542" i="40"/>
  <c r="AY231" i="40"/>
  <c r="AY526" i="40"/>
  <c r="AY519" i="40"/>
  <c r="AY652" i="40"/>
  <c r="AY311" i="40"/>
  <c r="AY512" i="40"/>
  <c r="AY621" i="40"/>
  <c r="AY656" i="40"/>
  <c r="AY632" i="40"/>
  <c r="AY410" i="40"/>
  <c r="AY666" i="40"/>
  <c r="M33" i="59"/>
  <c r="AY376" i="40"/>
  <c r="AY561" i="40"/>
  <c r="AY248" i="40"/>
  <c r="AY238" i="40"/>
  <c r="AY471" i="40"/>
  <c r="AY360" i="40"/>
  <c r="AY450" i="40"/>
  <c r="AY340" i="40"/>
  <c r="AY326" i="40"/>
  <c r="AY481" i="40"/>
  <c r="AY476" i="40"/>
  <c r="AY369" i="40"/>
  <c r="AY465" i="40"/>
  <c r="AY262" i="40"/>
  <c r="AY356" i="40"/>
  <c r="AY254" i="40"/>
  <c r="AY246" i="40"/>
  <c r="AY543" i="40"/>
  <c r="AY241" i="40"/>
  <c r="AY437" i="40"/>
  <c r="AY333" i="40"/>
  <c r="AY233" i="40"/>
  <c r="AY426" i="40"/>
  <c r="AY424" i="40"/>
  <c r="AY520" i="40"/>
  <c r="AY218" i="40"/>
  <c r="AU15" i="66"/>
  <c r="AY618" i="40"/>
  <c r="AU15" i="71"/>
  <c r="AY681" i="40"/>
  <c r="AY626" i="40"/>
  <c r="AY685" i="40"/>
  <c r="AY678" i="40"/>
  <c r="AY631" i="40"/>
  <c r="AY655" i="40"/>
  <c r="F34" i="59"/>
  <c r="AY579" i="40"/>
  <c r="AY462" i="40"/>
  <c r="AY445" i="40"/>
  <c r="AY331" i="40"/>
  <c r="AY514" i="40"/>
  <c r="AT15" i="69"/>
  <c r="AY677" i="40"/>
  <c r="AY664" i="40"/>
  <c r="AY623" i="40"/>
  <c r="AY649" i="40"/>
  <c r="AY657" i="40"/>
  <c r="AY675" i="40"/>
  <c r="AY665" i="40"/>
  <c r="P35" i="59"/>
  <c r="AC48" i="59" s="1"/>
  <c r="F35" i="59"/>
  <c r="AY477" i="40"/>
  <c r="AY564" i="40"/>
  <c r="AY429" i="40"/>
  <c r="AY357" i="40"/>
  <c r="AY449" i="40"/>
  <c r="AY537" i="40"/>
  <c r="AY532" i="40"/>
  <c r="KU692" i="40"/>
  <c r="AY692" i="40"/>
  <c r="AY310" i="40"/>
  <c r="AS15" i="67"/>
  <c r="AY658" i="40"/>
  <c r="KU688" i="40"/>
  <c r="AY688" i="40"/>
  <c r="AY691" i="40"/>
  <c r="KU691" i="40"/>
  <c r="AY409" i="40"/>
  <c r="AY377" i="40"/>
  <c r="AY361" i="40"/>
  <c r="AY349" i="40"/>
  <c r="AY327" i="40"/>
  <c r="AY276" i="40"/>
  <c r="AY464" i="40"/>
  <c r="AY256" i="40"/>
  <c r="AY530" i="40"/>
  <c r="AY278" i="40"/>
  <c r="AY475" i="40"/>
  <c r="AY572" i="40"/>
  <c r="AY269" i="40"/>
  <c r="AY463" i="40"/>
  <c r="AY261" i="40"/>
  <c r="AY257" i="40"/>
  <c r="AY351" i="40"/>
  <c r="AY345" i="40"/>
  <c r="AY545" i="40"/>
  <c r="AY536" i="40"/>
  <c r="AY428" i="40"/>
  <c r="AY322" i="40"/>
  <c r="AY316" i="40"/>
  <c r="AY517" i="40"/>
  <c r="AY315" i="40"/>
  <c r="AY313" i="40"/>
  <c r="AT15" i="67"/>
  <c r="AY690" i="40"/>
  <c r="KU690" i="40"/>
  <c r="AY648" i="40"/>
  <c r="AY619" i="40"/>
  <c r="AY699" i="40"/>
  <c r="KU699" i="40"/>
  <c r="AY610" i="40"/>
  <c r="AS15" i="71"/>
  <c r="AY645" i="40"/>
  <c r="AY686" i="40"/>
  <c r="AP14" i="61"/>
  <c r="V14" i="61" s="1"/>
  <c r="AD14" i="61" s="1"/>
  <c r="AH14" i="61" s="1"/>
  <c r="AY574" i="40"/>
  <c r="AY559" i="40"/>
  <c r="AY247" i="40"/>
  <c r="AY435" i="40"/>
  <c r="AY324" i="40"/>
  <c r="AY478" i="40"/>
  <c r="AY467" i="40"/>
  <c r="AY259" i="40"/>
  <c r="AY348" i="40"/>
  <c r="AY438" i="40"/>
  <c r="AY330" i="40"/>
  <c r="AY524" i="40"/>
  <c r="AY580" i="40"/>
  <c r="AY474" i="40"/>
  <c r="AY274" i="40"/>
  <c r="AY468" i="40"/>
  <c r="AY265" i="40"/>
  <c r="AY459" i="40"/>
  <c r="AY456" i="40"/>
  <c r="AY352" i="40"/>
  <c r="AY251" i="40"/>
  <c r="AY443" i="40"/>
  <c r="AY439" i="40"/>
  <c r="AY332" i="40"/>
  <c r="AY430" i="40"/>
  <c r="AY529" i="40"/>
  <c r="AY225" i="40"/>
  <c r="AY222" i="40"/>
  <c r="AY518" i="40"/>
  <c r="AU15" i="69"/>
  <c r="AY411" i="40"/>
  <c r="AY634" i="40"/>
  <c r="KU694" i="40"/>
  <c r="AY694" i="40"/>
  <c r="AY640" i="40"/>
  <c r="AY635" i="40"/>
  <c r="AY622" i="40"/>
  <c r="AY639" i="40"/>
  <c r="H46" i="59"/>
  <c r="G34" i="59"/>
  <c r="AY576" i="40"/>
  <c r="AY556" i="40"/>
  <c r="AY341" i="40"/>
  <c r="AY216" i="40"/>
  <c r="KU693" i="40"/>
  <c r="AY693" i="40"/>
  <c r="AY637" i="40"/>
  <c r="AY616" i="40"/>
  <c r="AY663" i="40"/>
  <c r="AY624" i="40"/>
  <c r="AY510" i="40"/>
  <c r="E34" i="59"/>
  <c r="O33" i="59"/>
  <c r="AA46" i="59" s="1"/>
  <c r="KT144" i="40"/>
  <c r="KU143" i="40"/>
  <c r="AS15" i="68"/>
  <c r="AY527" i="40"/>
  <c r="AY234" i="40"/>
  <c r="AY525" i="40"/>
  <c r="AY479" i="40"/>
  <c r="AY573" i="40"/>
  <c r="AY371" i="40"/>
  <c r="AY364" i="40"/>
  <c r="AY563" i="40"/>
  <c r="AY260" i="40"/>
  <c r="AY255" i="40"/>
  <c r="AY350" i="40"/>
  <c r="AY548" i="40"/>
  <c r="AY344" i="40"/>
  <c r="AY541" i="40"/>
  <c r="AY239" i="40"/>
  <c r="AY434" i="40"/>
  <c r="AY227" i="40"/>
  <c r="AY221" i="40"/>
  <c r="AY420" i="40"/>
  <c r="AY516" i="40"/>
  <c r="AY214" i="40"/>
  <c r="AT15" i="66"/>
  <c r="AY629" i="40"/>
  <c r="AY654" i="40"/>
  <c r="AY653" i="40"/>
  <c r="KU700" i="40"/>
  <c r="AY700" i="40"/>
  <c r="D29" i="70"/>
  <c r="D13" i="70"/>
  <c r="AY13" i="70" s="1"/>
  <c r="AS15" i="69"/>
  <c r="AY667" i="40"/>
  <c r="AY625" i="40"/>
  <c r="AY646" i="40"/>
  <c r="AP13" i="61"/>
  <c r="V13" i="61" s="1"/>
  <c r="AD13" i="61" s="1"/>
  <c r="AH13" i="61" s="1"/>
  <c r="O13" i="61"/>
  <c r="AF13" i="61" s="1"/>
  <c r="AJ13" i="61" s="1"/>
  <c r="H48" i="59"/>
  <c r="R11" i="59"/>
  <c r="U48" i="59" s="1"/>
  <c r="AY571" i="40"/>
  <c r="AY353" i="40"/>
  <c r="AY442" i="40"/>
  <c r="AY534" i="40"/>
  <c r="AY277" i="40"/>
  <c r="AY566" i="40"/>
  <c r="AY454" i="40"/>
  <c r="AY245" i="40"/>
  <c r="AY237" i="40"/>
  <c r="AY531" i="40"/>
  <c r="AY378" i="40"/>
  <c r="AY373" i="40"/>
  <c r="AY273" i="40"/>
  <c r="AY466" i="40"/>
  <c r="AY363" i="40"/>
  <c r="AY359" i="40"/>
  <c r="AY455" i="40"/>
  <c r="AY452" i="40"/>
  <c r="AY549" i="40"/>
  <c r="AY446" i="40"/>
  <c r="AY243" i="40"/>
  <c r="AY538" i="40"/>
  <c r="AY232" i="40"/>
  <c r="AY328" i="40"/>
  <c r="AY228" i="40"/>
  <c r="AY423" i="40"/>
  <c r="AY421" i="40"/>
  <c r="AY223" i="40"/>
  <c r="AY319" i="40"/>
  <c r="AY416" i="40"/>
  <c r="AY215" i="40"/>
  <c r="AY673" i="40"/>
  <c r="AY669" i="40"/>
  <c r="AY679" i="40"/>
  <c r="AY680" i="40"/>
  <c r="AY641" i="40"/>
  <c r="AY614" i="40"/>
  <c r="AT15" i="71"/>
  <c r="AY659" i="40"/>
  <c r="AY309" i="40"/>
  <c r="N34" i="59"/>
  <c r="Y47" i="59" s="1"/>
  <c r="G33" i="59"/>
  <c r="AY270" i="40"/>
  <c r="AY552" i="40"/>
  <c r="AY325" i="40"/>
  <c r="AY413" i="40"/>
  <c r="AY627" i="40"/>
  <c r="AY633" i="40"/>
  <c r="AY620" i="40"/>
  <c r="AY650" i="40"/>
  <c r="AY644" i="40"/>
  <c r="AY615" i="40"/>
  <c r="AY209" i="40"/>
  <c r="E35" i="59"/>
  <c r="P33" i="59"/>
  <c r="AC46" i="59" s="1"/>
  <c r="AY457" i="40"/>
  <c r="AY436" i="40"/>
  <c r="AY521" i="40"/>
  <c r="AY628" i="40"/>
  <c r="AY212" i="40"/>
  <c r="AY473" i="40"/>
  <c r="AY447" i="40"/>
  <c r="AY523" i="40"/>
  <c r="AY575" i="40"/>
  <c r="AY252" i="40"/>
  <c r="AY472" i="40"/>
  <c r="AY444" i="40"/>
  <c r="AY236" i="40"/>
  <c r="AY224" i="40"/>
  <c r="AY279" i="40"/>
  <c r="AY567" i="40"/>
  <c r="AY553" i="40"/>
  <c r="AY244" i="40"/>
  <c r="AY335" i="40"/>
  <c r="AY229" i="40"/>
  <c r="AY219" i="40"/>
  <c r="AY317" i="40"/>
  <c r="AY417" i="40"/>
  <c r="AU15" i="68"/>
  <c r="AY636" i="40"/>
  <c r="AY647" i="40"/>
  <c r="AY670" i="40"/>
  <c r="AY682" i="40"/>
  <c r="KU696" i="40"/>
  <c r="AY696" i="40"/>
  <c r="AY687" i="40"/>
  <c r="AP15" i="61"/>
  <c r="V15" i="61" s="1"/>
  <c r="AD15" i="61" s="1"/>
  <c r="AH15" i="61" s="1"/>
  <c r="O15" i="61"/>
  <c r="AF15" i="61" s="1"/>
  <c r="AJ15" i="61" s="1"/>
  <c r="AY370" i="40"/>
  <c r="AY354" i="40"/>
  <c r="AY343" i="40"/>
  <c r="AY432" i="40"/>
  <c r="AY271" i="40"/>
  <c r="AY461" i="40"/>
  <c r="AY240" i="40"/>
  <c r="AY431" i="40"/>
  <c r="AY321" i="40"/>
  <c r="AY380" i="40"/>
  <c r="AY578" i="40"/>
  <c r="AY372" i="40"/>
  <c r="AY469" i="40"/>
  <c r="AY366" i="40"/>
  <c r="AY562" i="40"/>
  <c r="AY258" i="40"/>
  <c r="AY448" i="40"/>
  <c r="AY540" i="40"/>
  <c r="AY336" i="40"/>
  <c r="AY427" i="40"/>
  <c r="AY425" i="40"/>
  <c r="AY320" i="40"/>
  <c r="AY419" i="40"/>
  <c r="AY515" i="40"/>
  <c r="AY414" i="40"/>
  <c r="AY617" i="40"/>
  <c r="AY660" i="40"/>
  <c r="AY683" i="40"/>
  <c r="AY661" i="40"/>
  <c r="KU697" i="40"/>
  <c r="AY697" i="40"/>
  <c r="AY684" i="40"/>
  <c r="AY511" i="40"/>
  <c r="AY280" i="40"/>
  <c r="AY268" i="40"/>
  <c r="AY253" i="40"/>
  <c r="AY539" i="40"/>
  <c r="AY275" i="40"/>
  <c r="AY565" i="40"/>
  <c r="AY555" i="40"/>
  <c r="AY342" i="40"/>
  <c r="AY535" i="40"/>
  <c r="AY528" i="40"/>
  <c r="AY375" i="40"/>
  <c r="AY368" i="40"/>
  <c r="AY267" i="40"/>
  <c r="AY264" i="40"/>
  <c r="AY458" i="40"/>
  <c r="AY551" i="40"/>
  <c r="AY249" i="40"/>
  <c r="AY546" i="40"/>
  <c r="AY441" i="40"/>
  <c r="AY337" i="40"/>
  <c r="AY334" i="40"/>
  <c r="AY226" i="40"/>
  <c r="AY422" i="40"/>
  <c r="AY318" i="40"/>
  <c r="AU15" i="67"/>
  <c r="AY217" i="40"/>
  <c r="AY314" i="40"/>
  <c r="AY312" i="40"/>
  <c r="AY651" i="40"/>
  <c r="AY674" i="40"/>
  <c r="AY509" i="40"/>
  <c r="AY211" i="40"/>
  <c r="AY668" i="40"/>
  <c r="KU698" i="40"/>
  <c r="AY698" i="40"/>
  <c r="H34" i="59"/>
  <c r="M35" i="59"/>
  <c r="AY365" i="40"/>
  <c r="AY550" i="40"/>
  <c r="AY235" i="40"/>
  <c r="AY418" i="40"/>
  <c r="AY415" i="40"/>
  <c r="AY213" i="40"/>
  <c r="AY611" i="40"/>
  <c r="AY642" i="40"/>
  <c r="AY609" i="40"/>
  <c r="KU689" i="40"/>
  <c r="AY689" i="40"/>
  <c r="AY613" i="40"/>
  <c r="AY210" i="40"/>
  <c r="AS15" i="66"/>
  <c r="AP16" i="61"/>
  <c r="V16" i="61" s="1"/>
  <c r="AD16" i="61" s="1"/>
  <c r="AH16" i="61" s="1"/>
  <c r="M34" i="59"/>
  <c r="O35" i="59"/>
  <c r="AA48" i="59" s="1"/>
  <c r="O34" i="59"/>
  <c r="AA47" i="59" s="1"/>
  <c r="N35" i="59" l="1"/>
  <c r="Y48" i="59" s="1"/>
  <c r="AM13" i="61"/>
  <c r="AN16" i="61"/>
  <c r="AM16" i="61"/>
  <c r="D500" i="40"/>
  <c r="AY500" i="40" s="1"/>
  <c r="I33" i="59"/>
  <c r="AL16" i="61"/>
  <c r="M46" i="59"/>
  <c r="W58" i="59" s="1"/>
  <c r="P48" i="59"/>
  <c r="AN14" i="61"/>
  <c r="IJ582" i="40"/>
  <c r="IM582" i="40" s="1"/>
  <c r="IK482" i="40"/>
  <c r="IN482" i="40" s="1"/>
  <c r="IO582" i="40"/>
  <c r="IJ484" i="40"/>
  <c r="IM484" i="40" s="1"/>
  <c r="IQ582" i="40"/>
  <c r="II582" i="40"/>
  <c r="IL582" i="40" s="1"/>
  <c r="IJ482" i="40"/>
  <c r="IM482" i="40" s="1"/>
  <c r="II482" i="40"/>
  <c r="IL482" i="40" s="1"/>
  <c r="IP582" i="40"/>
  <c r="IQ482" i="40"/>
  <c r="IP482" i="40"/>
  <c r="JF482" i="40"/>
  <c r="IO482" i="40"/>
  <c r="IK582" i="40"/>
  <c r="IN582" i="40" s="1"/>
  <c r="JF582" i="40"/>
  <c r="IK483" i="40"/>
  <c r="IN483" i="40" s="1"/>
  <c r="IJ583" i="40"/>
  <c r="IM583" i="40" s="1"/>
  <c r="JF282" i="40"/>
  <c r="II382" i="40"/>
  <c r="IL382" i="40" s="1"/>
  <c r="IJ483" i="40"/>
  <c r="IM483" i="40" s="1"/>
  <c r="IO483" i="40"/>
  <c r="IP483" i="40"/>
  <c r="IK583" i="40"/>
  <c r="IN583" i="40" s="1"/>
  <c r="JF483" i="40"/>
  <c r="IK282" i="40"/>
  <c r="IN282" i="40" s="1"/>
  <c r="II583" i="40"/>
  <c r="IL583" i="40" s="1"/>
  <c r="IQ483" i="40"/>
  <c r="JF583" i="40"/>
  <c r="IQ282" i="40"/>
  <c r="IJ282" i="40"/>
  <c r="IM282" i="40" s="1"/>
  <c r="IP382" i="40"/>
  <c r="IP583" i="40"/>
  <c r="IO382" i="40"/>
  <c r="JF382" i="40"/>
  <c r="IK382" i="40"/>
  <c r="IN382" i="40" s="1"/>
  <c r="IJ382" i="40"/>
  <c r="IM382" i="40" s="1"/>
  <c r="IQ583" i="40"/>
  <c r="II282" i="40"/>
  <c r="IL282" i="40" s="1"/>
  <c r="IQ382" i="40"/>
  <c r="IO583" i="40"/>
  <c r="IO282" i="40"/>
  <c r="II483" i="40"/>
  <c r="IL483" i="40" s="1"/>
  <c r="IP584" i="40"/>
  <c r="II283" i="40"/>
  <c r="IL283" i="40" s="1"/>
  <c r="IK383" i="40"/>
  <c r="IN383" i="40" s="1"/>
  <c r="IQ383" i="40"/>
  <c r="IO484" i="40"/>
  <c r="IP484" i="40"/>
  <c r="II383" i="40"/>
  <c r="IL383" i="40" s="1"/>
  <c r="IK584" i="40"/>
  <c r="IN584" i="40" s="1"/>
  <c r="IQ283" i="40"/>
  <c r="II484" i="40"/>
  <c r="IL484" i="40" s="1"/>
  <c r="IK484" i="40"/>
  <c r="IN484" i="40" s="1"/>
  <c r="IJ584" i="40"/>
  <c r="IM584" i="40" s="1"/>
  <c r="IJ283" i="40"/>
  <c r="IM283" i="40" s="1"/>
  <c r="JF584" i="40"/>
  <c r="IK283" i="40"/>
  <c r="IN283" i="40" s="1"/>
  <c r="II584" i="40"/>
  <c r="IL584" i="40" s="1"/>
  <c r="IJ383" i="40"/>
  <c r="IM383" i="40" s="1"/>
  <c r="IQ584" i="40"/>
  <c r="IP383" i="40"/>
  <c r="IO584" i="40"/>
  <c r="JF484" i="40"/>
  <c r="IP282" i="40"/>
  <c r="JF283" i="40"/>
  <c r="JF383" i="40"/>
  <c r="IQ484" i="40"/>
  <c r="IO283" i="40"/>
  <c r="IO383" i="40"/>
  <c r="JF284" i="40"/>
  <c r="IP585" i="40"/>
  <c r="II384" i="40"/>
  <c r="IL384" i="40" s="1"/>
  <c r="IP384" i="40"/>
  <c r="IJ485" i="40"/>
  <c r="IM485" i="40" s="1"/>
  <c r="IO585" i="40"/>
  <c r="JF485" i="40"/>
  <c r="II284" i="40"/>
  <c r="IL284" i="40" s="1"/>
  <c r="IJ384" i="40"/>
  <c r="IM384" i="40" s="1"/>
  <c r="IQ284" i="40"/>
  <c r="IK485" i="40"/>
  <c r="IN485" i="40" s="1"/>
  <c r="IO485" i="40"/>
  <c r="IJ585" i="40"/>
  <c r="IM585" i="40" s="1"/>
  <c r="JF585" i="40"/>
  <c r="II485" i="40"/>
  <c r="IL485" i="40" s="1"/>
  <c r="IO284" i="40"/>
  <c r="JF384" i="40"/>
  <c r="IO384" i="40"/>
  <c r="IQ485" i="40"/>
  <c r="IQ585" i="40"/>
  <c r="IK284" i="40"/>
  <c r="IN284" i="40" s="1"/>
  <c r="IP283" i="40"/>
  <c r="IP485" i="40"/>
  <c r="IK585" i="40"/>
  <c r="IN585" i="40" s="1"/>
  <c r="IK384" i="40"/>
  <c r="IN384" i="40" s="1"/>
  <c r="IQ384" i="40"/>
  <c r="IP486" i="40"/>
  <c r="II585" i="40"/>
  <c r="IL585" i="40" s="1"/>
  <c r="IJ284" i="40"/>
  <c r="IM284" i="40" s="1"/>
  <c r="II586" i="40"/>
  <c r="IL586" i="40" s="1"/>
  <c r="IJ385" i="40"/>
  <c r="IM385" i="40" s="1"/>
  <c r="JF486" i="40"/>
  <c r="IP385" i="40"/>
  <c r="IP284" i="40"/>
  <c r="IJ486" i="40"/>
  <c r="IM486" i="40" s="1"/>
  <c r="JF285" i="40"/>
  <c r="IQ486" i="40"/>
  <c r="IK486" i="40"/>
  <c r="IN486" i="40" s="1"/>
  <c r="IP586" i="40"/>
  <c r="IO586" i="40"/>
  <c r="IQ586" i="40"/>
  <c r="II285" i="40"/>
  <c r="IL285" i="40" s="1"/>
  <c r="IJ586" i="40"/>
  <c r="IM586" i="40" s="1"/>
  <c r="JF385" i="40"/>
  <c r="II486" i="40"/>
  <c r="IL486" i="40" s="1"/>
  <c r="IO285" i="40"/>
  <c r="IO385" i="40"/>
  <c r="IO587" i="40"/>
  <c r="JF586" i="40"/>
  <c r="IK385" i="40"/>
  <c r="IN385" i="40" s="1"/>
  <c r="IQ385" i="40"/>
  <c r="IK285" i="40"/>
  <c r="IN285" i="40" s="1"/>
  <c r="IQ285" i="40"/>
  <c r="II385" i="40"/>
  <c r="IL385" i="40" s="1"/>
  <c r="IK586" i="40"/>
  <c r="IN586" i="40" s="1"/>
  <c r="IJ285" i="40"/>
  <c r="IM285" i="40" s="1"/>
  <c r="IO486" i="40"/>
  <c r="II286" i="40"/>
  <c r="IL286" i="40" s="1"/>
  <c r="IJ386" i="40"/>
  <c r="IM386" i="40" s="1"/>
  <c r="IQ386" i="40"/>
  <c r="IO487" i="40"/>
  <c r="IK587" i="40"/>
  <c r="IN587" i="40" s="1"/>
  <c r="IK386" i="40"/>
  <c r="IN386" i="40" s="1"/>
  <c r="II487" i="40"/>
  <c r="IL487" i="40" s="1"/>
  <c r="IJ286" i="40"/>
  <c r="IM286" i="40" s="1"/>
  <c r="IP487" i="40"/>
  <c r="JF587" i="40"/>
  <c r="IO286" i="40"/>
  <c r="JF286" i="40"/>
  <c r="JF386" i="40"/>
  <c r="II386" i="40"/>
  <c r="IL386" i="40" s="1"/>
  <c r="IQ487" i="40"/>
  <c r="JF487" i="40"/>
  <c r="IJ587" i="40"/>
  <c r="IM587" i="40" s="1"/>
  <c r="IP386" i="40"/>
  <c r="IK487" i="40"/>
  <c r="IN487" i="40" s="1"/>
  <c r="II587" i="40"/>
  <c r="IL587" i="40" s="1"/>
  <c r="IP285" i="40"/>
  <c r="IO386" i="40"/>
  <c r="IQ286" i="40"/>
  <c r="IJ487" i="40"/>
  <c r="IM487" i="40" s="1"/>
  <c r="IK286" i="40"/>
  <c r="IN286" i="40" s="1"/>
  <c r="IQ587" i="40"/>
  <c r="IP587" i="40"/>
  <c r="JF387" i="40"/>
  <c r="IQ387" i="40"/>
  <c r="IO387" i="40"/>
  <c r="II287" i="40"/>
  <c r="IL287" i="40" s="1"/>
  <c r="IP387" i="40"/>
  <c r="II387" i="40"/>
  <c r="IL387" i="40" s="1"/>
  <c r="JF287" i="40"/>
  <c r="IO287" i="40"/>
  <c r="IJ387" i="40"/>
  <c r="IM387" i="40" s="1"/>
  <c r="IJ287" i="40"/>
  <c r="IM287" i="40" s="1"/>
  <c r="IK287" i="40"/>
  <c r="IN287" i="40" s="1"/>
  <c r="IK387" i="40"/>
  <c r="IN387" i="40" s="1"/>
  <c r="IQ287" i="40"/>
  <c r="IP286" i="40"/>
  <c r="IP287" i="40"/>
  <c r="AM14" i="61"/>
  <c r="X46" i="59"/>
  <c r="AL14" i="61"/>
  <c r="AB14" i="61"/>
  <c r="T14" i="61" s="1"/>
  <c r="AB13" i="61"/>
  <c r="T13" i="61" s="1"/>
  <c r="AC60" i="59"/>
  <c r="AB60" i="59"/>
  <c r="AM15" i="61"/>
  <c r="Z46" i="59"/>
  <c r="O46" i="59"/>
  <c r="II302" i="40"/>
  <c r="IL302" i="40" s="1"/>
  <c r="II502" i="40"/>
  <c r="IL502" i="40" s="1"/>
  <c r="IJ404" i="40"/>
  <c r="IM404" i="40" s="1"/>
  <c r="II404" i="40"/>
  <c r="IL404" i="40" s="1"/>
  <c r="IJ202" i="40"/>
  <c r="IM202" i="40" s="1"/>
  <c r="JF201" i="40"/>
  <c r="HO201" i="40" s="1"/>
  <c r="IJ302" i="40"/>
  <c r="IM302" i="40" s="1"/>
  <c r="II501" i="40"/>
  <c r="IL501" i="40" s="1"/>
  <c r="JF504" i="40"/>
  <c r="HO504" i="40" s="1"/>
  <c r="HR504" i="40" s="1"/>
  <c r="II202" i="40"/>
  <c r="IL202" i="40" s="1"/>
  <c r="IJ402" i="40"/>
  <c r="IM402" i="40" s="1"/>
  <c r="JF401" i="40"/>
  <c r="HM401" i="40" s="1"/>
  <c r="HP401" i="40" s="1"/>
  <c r="II504" i="40"/>
  <c r="IL504" i="40" s="1"/>
  <c r="JF403" i="40"/>
  <c r="HO403" i="40" s="1"/>
  <c r="HR403" i="40" s="1"/>
  <c r="IK204" i="40"/>
  <c r="IN204" i="40" s="1"/>
  <c r="IP406" i="40"/>
  <c r="IJ401" i="40"/>
  <c r="IM401" i="40" s="1"/>
  <c r="IK301" i="40"/>
  <c r="IN301" i="40" s="1"/>
  <c r="II503" i="40"/>
  <c r="IL503" i="40" s="1"/>
  <c r="IO405" i="40"/>
  <c r="IP206" i="40"/>
  <c r="IK403" i="40"/>
  <c r="IN403" i="40" s="1"/>
  <c r="IK401" i="40"/>
  <c r="IN401" i="40" s="1"/>
  <c r="IJ505" i="40"/>
  <c r="IM505" i="40" s="1"/>
  <c r="II201" i="40"/>
  <c r="IL201" i="40" s="1"/>
  <c r="JF205" i="40"/>
  <c r="HN205" i="40" s="1"/>
  <c r="JF505" i="40"/>
  <c r="HN505" i="40" s="1"/>
  <c r="HQ505" i="40" s="1"/>
  <c r="JF303" i="40"/>
  <c r="HM303" i="40" s="1"/>
  <c r="HP303" i="40" s="1"/>
  <c r="II303" i="40"/>
  <c r="IL303" i="40" s="1"/>
  <c r="IJ501" i="40"/>
  <c r="IM501" i="40" s="1"/>
  <c r="IP405" i="40"/>
  <c r="IK302" i="40"/>
  <c r="IN302" i="40" s="1"/>
  <c r="II204" i="40"/>
  <c r="IL204" i="40" s="1"/>
  <c r="IJ503" i="40"/>
  <c r="IM503" i="40" s="1"/>
  <c r="JF302" i="40"/>
  <c r="HN302" i="40" s="1"/>
  <c r="HQ302" i="40" s="1"/>
  <c r="IJ303" i="40"/>
  <c r="IM303" i="40" s="1"/>
  <c r="II401" i="40"/>
  <c r="IL401" i="40" s="1"/>
  <c r="IJ204" i="40"/>
  <c r="IM204" i="40" s="1"/>
  <c r="IJ201" i="40"/>
  <c r="IM201" i="40" s="1"/>
  <c r="IK502" i="40"/>
  <c r="IN502" i="40" s="1"/>
  <c r="IJ403" i="40"/>
  <c r="IM403" i="40" s="1"/>
  <c r="IK402" i="40"/>
  <c r="IN402" i="40" s="1"/>
  <c r="IJ504" i="40"/>
  <c r="IM504" i="40" s="1"/>
  <c r="IP505" i="40"/>
  <c r="IK203" i="40"/>
  <c r="IN203" i="40" s="1"/>
  <c r="IK501" i="40"/>
  <c r="IN501" i="40" s="1"/>
  <c r="JF502" i="40"/>
  <c r="HN502" i="40" s="1"/>
  <c r="HQ502" i="40" s="1"/>
  <c r="II205" i="40"/>
  <c r="IL205" i="40" s="1"/>
  <c r="II403" i="40"/>
  <c r="IL403" i="40" s="1"/>
  <c r="IQ304" i="40"/>
  <c r="IK303" i="40"/>
  <c r="IN303" i="40" s="1"/>
  <c r="II402" i="40"/>
  <c r="IL402" i="40" s="1"/>
  <c r="IK503" i="40"/>
  <c r="IN503" i="40" s="1"/>
  <c r="II405" i="40"/>
  <c r="IL405" i="40" s="1"/>
  <c r="IJ301" i="40"/>
  <c r="IM301" i="40" s="1"/>
  <c r="JF501" i="40"/>
  <c r="HN501" i="40" s="1"/>
  <c r="HQ501" i="40" s="1"/>
  <c r="IJ405" i="40"/>
  <c r="IM405" i="40" s="1"/>
  <c r="IK504" i="40"/>
  <c r="IN504" i="40" s="1"/>
  <c r="II301" i="40"/>
  <c r="IL301" i="40" s="1"/>
  <c r="JF503" i="40"/>
  <c r="HM503" i="40" s="1"/>
  <c r="HP503" i="40" s="1"/>
  <c r="IJ205" i="40"/>
  <c r="IM205" i="40" s="1"/>
  <c r="JF204" i="40"/>
  <c r="HM204" i="40" s="1"/>
  <c r="IK201" i="40"/>
  <c r="IN201" i="40" s="1"/>
  <c r="IQ505" i="40"/>
  <c r="IK205" i="40"/>
  <c r="IN205" i="40" s="1"/>
  <c r="IQ206" i="40"/>
  <c r="IJ203" i="40"/>
  <c r="IM203" i="40" s="1"/>
  <c r="JF203" i="40"/>
  <c r="HO203" i="40" s="1"/>
  <c r="IJ502" i="40"/>
  <c r="IM502" i="40" s="1"/>
  <c r="JF404" i="40"/>
  <c r="HN404" i="40" s="1"/>
  <c r="HQ404" i="40" s="1"/>
  <c r="II203" i="40"/>
  <c r="IL203" i="40" s="1"/>
  <c r="IO304" i="40"/>
  <c r="JF301" i="40"/>
  <c r="HN301" i="40" s="1"/>
  <c r="HQ301" i="40" s="1"/>
  <c r="IP304" i="40"/>
  <c r="IK404" i="40"/>
  <c r="IN404" i="40" s="1"/>
  <c r="IQ405" i="40"/>
  <c r="JF402" i="40"/>
  <c r="HO402" i="40" s="1"/>
  <c r="HR402" i="40" s="1"/>
  <c r="JF305" i="40"/>
  <c r="HM305" i="40" s="1"/>
  <c r="HP305" i="40" s="1"/>
  <c r="IJ207" i="40"/>
  <c r="IM207" i="40" s="1"/>
  <c r="JF206" i="40"/>
  <c r="HN206" i="40" s="1"/>
  <c r="II304" i="40"/>
  <c r="IL304" i="40" s="1"/>
  <c r="IQ306" i="40"/>
  <c r="JF207" i="40"/>
  <c r="HO207" i="40" s="1"/>
  <c r="IQ208" i="40"/>
  <c r="IO505" i="40"/>
  <c r="IO406" i="40"/>
  <c r="IQ305" i="40"/>
  <c r="IP207" i="40"/>
  <c r="IJ305" i="40"/>
  <c r="IM305" i="40" s="1"/>
  <c r="II505" i="40"/>
  <c r="IL505" i="40" s="1"/>
  <c r="II305" i="40"/>
  <c r="IL305" i="40" s="1"/>
  <c r="IO305" i="40"/>
  <c r="IK505" i="40"/>
  <c r="IN505" i="40" s="1"/>
  <c r="IJ206" i="40"/>
  <c r="IM206" i="40" s="1"/>
  <c r="IQ406" i="40"/>
  <c r="IO206" i="40"/>
  <c r="IP506" i="40"/>
  <c r="JF202" i="40"/>
  <c r="HN202" i="40" s="1"/>
  <c r="IK305" i="40"/>
  <c r="IN305" i="40" s="1"/>
  <c r="IO506" i="40"/>
  <c r="IK405" i="40"/>
  <c r="IN405" i="40" s="1"/>
  <c r="IK202" i="40"/>
  <c r="IN202" i="40" s="1"/>
  <c r="JF304" i="40"/>
  <c r="HN304" i="40" s="1"/>
  <c r="HQ304" i="40" s="1"/>
  <c r="IK207" i="40"/>
  <c r="IN207" i="40" s="1"/>
  <c r="JF405" i="40"/>
  <c r="HM405" i="40" s="1"/>
  <c r="HP405" i="40" s="1"/>
  <c r="IO207" i="40"/>
  <c r="IQ207" i="40"/>
  <c r="II507" i="40"/>
  <c r="IL507" i="40" s="1"/>
  <c r="II206" i="40"/>
  <c r="IL206" i="40" s="1"/>
  <c r="IJ304" i="40"/>
  <c r="IM304" i="40" s="1"/>
  <c r="IQ506" i="40"/>
  <c r="IK304" i="40"/>
  <c r="IN304" i="40" s="1"/>
  <c r="IP305" i="40"/>
  <c r="IK206" i="40"/>
  <c r="IN206" i="40" s="1"/>
  <c r="II207" i="40"/>
  <c r="IL207" i="40" s="1"/>
  <c r="IK407" i="40"/>
  <c r="IN407" i="40" s="1"/>
  <c r="IQ507" i="40"/>
  <c r="IK306" i="40"/>
  <c r="IN306" i="40" s="1"/>
  <c r="IP306" i="40"/>
  <c r="IP209" i="40"/>
  <c r="IQ508" i="40"/>
  <c r="IP307" i="40"/>
  <c r="IP402" i="40"/>
  <c r="IQ303" i="40"/>
  <c r="IO301" i="40"/>
  <c r="IP507" i="40"/>
  <c r="HM304" i="40"/>
  <c r="HP304" i="40" s="1"/>
  <c r="IO201" i="40"/>
  <c r="IQ202" i="40"/>
  <c r="IP302" i="40"/>
  <c r="II306" i="40"/>
  <c r="IL306" i="40" s="1"/>
  <c r="JF406" i="40"/>
  <c r="HN406" i="40" s="1"/>
  <c r="HQ406" i="40" s="1"/>
  <c r="IQ201" i="40"/>
  <c r="IQ501" i="40"/>
  <c r="IJ407" i="40"/>
  <c r="IM407" i="40" s="1"/>
  <c r="IO404" i="40"/>
  <c r="IK208" i="40"/>
  <c r="IN208" i="40" s="1"/>
  <c r="JF506" i="40"/>
  <c r="HM506" i="40" s="1"/>
  <c r="HP506" i="40" s="1"/>
  <c r="II407" i="40"/>
  <c r="IL407" i="40" s="1"/>
  <c r="IO303" i="40"/>
  <c r="JF407" i="40"/>
  <c r="HO407" i="40" s="1"/>
  <c r="HR407" i="40" s="1"/>
  <c r="JF208" i="40"/>
  <c r="HO208" i="40" s="1"/>
  <c r="IQ302" i="40"/>
  <c r="IP301" i="40"/>
  <c r="IP205" i="40"/>
  <c r="IO504" i="40"/>
  <c r="IO408" i="40"/>
  <c r="IJ307" i="40"/>
  <c r="IM307" i="40" s="1"/>
  <c r="II208" i="40"/>
  <c r="IL208" i="40" s="1"/>
  <c r="IO209" i="40"/>
  <c r="II408" i="40"/>
  <c r="IL408" i="40" s="1"/>
  <c r="IO402" i="40"/>
  <c r="JF507" i="40"/>
  <c r="HO507" i="40" s="1"/>
  <c r="HR507" i="40" s="1"/>
  <c r="IO202" i="40"/>
  <c r="IQ407" i="40"/>
  <c r="IO204" i="40"/>
  <c r="IP303" i="40"/>
  <c r="IO203" i="40"/>
  <c r="IJ306" i="40"/>
  <c r="IM306" i="40" s="1"/>
  <c r="IO208" i="40"/>
  <c r="IQ502" i="40"/>
  <c r="IP404" i="40"/>
  <c r="IK506" i="40"/>
  <c r="IN506" i="40" s="1"/>
  <c r="IO306" i="40"/>
  <c r="IP401" i="40"/>
  <c r="IQ504" i="40"/>
  <c r="IQ403" i="40"/>
  <c r="IO205" i="40"/>
  <c r="IQ404" i="40"/>
  <c r="IQ503" i="40"/>
  <c r="IO502" i="40"/>
  <c r="IK307" i="40"/>
  <c r="IN307" i="40" s="1"/>
  <c r="IP508" i="40"/>
  <c r="IQ209" i="40"/>
  <c r="IP408" i="40"/>
  <c r="IO501" i="40"/>
  <c r="IP208" i="40"/>
  <c r="IP203" i="40"/>
  <c r="IO507" i="40"/>
  <c r="IK406" i="40"/>
  <c r="IN406" i="40" s="1"/>
  <c r="IJ208" i="40"/>
  <c r="IM208" i="40" s="1"/>
  <c r="II406" i="40"/>
  <c r="IL406" i="40" s="1"/>
  <c r="IP503" i="40"/>
  <c r="IO407" i="40"/>
  <c r="IO401" i="40"/>
  <c r="IJ506" i="40"/>
  <c r="IM506" i="40" s="1"/>
  <c r="IP501" i="40"/>
  <c r="IQ205" i="40"/>
  <c r="IQ204" i="40"/>
  <c r="IO403" i="40"/>
  <c r="II506" i="40"/>
  <c r="IL506" i="40" s="1"/>
  <c r="IP504" i="40"/>
  <c r="IQ401" i="40"/>
  <c r="IQ408" i="40"/>
  <c r="IQ307" i="40"/>
  <c r="IK408" i="40"/>
  <c r="IN408" i="40" s="1"/>
  <c r="IO508" i="40"/>
  <c r="IJ408" i="40"/>
  <c r="IM408" i="40" s="1"/>
  <c r="IP202" i="40"/>
  <c r="IP407" i="40"/>
  <c r="IQ203" i="40"/>
  <c r="IO302" i="40"/>
  <c r="IP201" i="40"/>
  <c r="IP204" i="40"/>
  <c r="II307" i="40"/>
  <c r="IL307" i="40" s="1"/>
  <c r="IO503" i="40"/>
  <c r="IP502" i="40"/>
  <c r="IJ507" i="40"/>
  <c r="IM507" i="40" s="1"/>
  <c r="IJ406" i="40"/>
  <c r="IM406" i="40" s="1"/>
  <c r="JF306" i="40"/>
  <c r="HN306" i="40" s="1"/>
  <c r="HQ306" i="40" s="1"/>
  <c r="IQ301" i="40"/>
  <c r="IK507" i="40"/>
  <c r="IN507" i="40" s="1"/>
  <c r="IQ402" i="40"/>
  <c r="IP403" i="40"/>
  <c r="IO307" i="40"/>
  <c r="AK403" i="40"/>
  <c r="IK508" i="40"/>
  <c r="IN508" i="40" s="1"/>
  <c r="IJ308" i="40"/>
  <c r="IM308" i="40" s="1"/>
  <c r="AL404" i="40"/>
  <c r="AL406" i="40"/>
  <c r="IQ308" i="40"/>
  <c r="AK404" i="40"/>
  <c r="IK409" i="40"/>
  <c r="IN409" i="40" s="1"/>
  <c r="AK407" i="40"/>
  <c r="JF509" i="40"/>
  <c r="HO509" i="40" s="1"/>
  <c r="HR509" i="40" s="1"/>
  <c r="JF408" i="40"/>
  <c r="HO408" i="40" s="1"/>
  <c r="HR408" i="40" s="1"/>
  <c r="JF209" i="40"/>
  <c r="HO209" i="40" s="1"/>
  <c r="AL407" i="40"/>
  <c r="IP511" i="40"/>
  <c r="II308" i="40"/>
  <c r="IL308" i="40" s="1"/>
  <c r="IJ409" i="40"/>
  <c r="IM409" i="40" s="1"/>
  <c r="II409" i="40"/>
  <c r="IL409" i="40" s="1"/>
  <c r="AL403" i="40"/>
  <c r="IP409" i="40"/>
  <c r="IQ409" i="40"/>
  <c r="IP308" i="40"/>
  <c r="JF308" i="40"/>
  <c r="HO308" i="40" s="1"/>
  <c r="HR308" i="40" s="1"/>
  <c r="IO509" i="40"/>
  <c r="IQ210" i="40"/>
  <c r="IO210" i="40"/>
  <c r="II508" i="40"/>
  <c r="IL508" i="40" s="1"/>
  <c r="AK406" i="40"/>
  <c r="IK210" i="40"/>
  <c r="IN210" i="40" s="1"/>
  <c r="IO409" i="40"/>
  <c r="IQ509" i="40"/>
  <c r="IO308" i="40"/>
  <c r="IP509" i="40"/>
  <c r="IP210" i="40"/>
  <c r="IJ210" i="40"/>
  <c r="IM210" i="40" s="1"/>
  <c r="JF409" i="40"/>
  <c r="HO409" i="40" s="1"/>
  <c r="HR409" i="40" s="1"/>
  <c r="AL405" i="40"/>
  <c r="IJ509" i="40"/>
  <c r="IM509" i="40" s="1"/>
  <c r="IJ508" i="40"/>
  <c r="IM508" i="40" s="1"/>
  <c r="JF508" i="40"/>
  <c r="HO508" i="40" s="1"/>
  <c r="HR508" i="40" s="1"/>
  <c r="IK308" i="40"/>
  <c r="IN308" i="40" s="1"/>
  <c r="IK509" i="40"/>
  <c r="IN509" i="40" s="1"/>
  <c r="IK209" i="40"/>
  <c r="IN209" i="40" s="1"/>
  <c r="AK405" i="40"/>
  <c r="JF307" i="40"/>
  <c r="HO307" i="40" s="1"/>
  <c r="HR307" i="40" s="1"/>
  <c r="II509" i="40"/>
  <c r="IL509" i="40" s="1"/>
  <c r="II209" i="40"/>
  <c r="IL209" i="40" s="1"/>
  <c r="IJ209" i="40"/>
  <c r="IM209" i="40" s="1"/>
  <c r="AK620" i="40"/>
  <c r="AL508" i="40"/>
  <c r="AL210" i="40"/>
  <c r="AL204" i="40"/>
  <c r="AL606" i="40"/>
  <c r="AL411" i="40"/>
  <c r="AK411" i="40"/>
  <c r="IP211" i="40"/>
  <c r="AK504" i="40"/>
  <c r="IQ411" i="40"/>
  <c r="IP309" i="40"/>
  <c r="AK604" i="40"/>
  <c r="IQ310" i="40"/>
  <c r="IP411" i="40"/>
  <c r="II510" i="40"/>
  <c r="IL510" i="40" s="1"/>
  <c r="AK303" i="40"/>
  <c r="AL502" i="40"/>
  <c r="AK409" i="40"/>
  <c r="AL203" i="40"/>
  <c r="IP510" i="40"/>
  <c r="IK211" i="40"/>
  <c r="IN211" i="40" s="1"/>
  <c r="AK503" i="40"/>
  <c r="AK205" i="40"/>
  <c r="JF210" i="40"/>
  <c r="HO210" i="40" s="1"/>
  <c r="AL307" i="40"/>
  <c r="IK510" i="40"/>
  <c r="IN510" i="40" s="1"/>
  <c r="JF309" i="40"/>
  <c r="HO309" i="40" s="1"/>
  <c r="HR309" i="40" s="1"/>
  <c r="AL408" i="40"/>
  <c r="AL506" i="40"/>
  <c r="IO310" i="40"/>
  <c r="AL509" i="40"/>
  <c r="IJ510" i="40"/>
  <c r="IM510" i="40" s="1"/>
  <c r="AL503" i="40"/>
  <c r="AK509" i="40"/>
  <c r="HN309" i="40"/>
  <c r="HQ309" i="40" s="1"/>
  <c r="IJ211" i="40"/>
  <c r="IM211" i="40" s="1"/>
  <c r="AK204" i="40"/>
  <c r="IO411" i="40"/>
  <c r="AL209" i="40"/>
  <c r="AK505" i="40"/>
  <c r="IO309" i="40"/>
  <c r="AK203" i="40"/>
  <c r="AL308" i="40"/>
  <c r="AK606" i="40"/>
  <c r="IO212" i="40"/>
  <c r="AK207" i="40"/>
  <c r="AL402" i="40"/>
  <c r="IQ212" i="40"/>
  <c r="IK410" i="40"/>
  <c r="IN410" i="40" s="1"/>
  <c r="AL303" i="40"/>
  <c r="AL202" i="40"/>
  <c r="II309" i="40"/>
  <c r="IL309" i="40" s="1"/>
  <c r="IQ309" i="40"/>
  <c r="AK506" i="40"/>
  <c r="IQ410" i="40"/>
  <c r="AK605" i="40"/>
  <c r="IP310" i="40"/>
  <c r="AL409" i="40"/>
  <c r="AL603" i="40"/>
  <c r="AK507" i="40"/>
  <c r="AL605" i="40"/>
  <c r="AL505" i="40"/>
  <c r="AL604" i="40"/>
  <c r="AL611" i="40"/>
  <c r="AL511" i="40"/>
  <c r="AK675" i="40"/>
  <c r="AL660" i="40"/>
  <c r="AK649" i="40"/>
  <c r="IJ512" i="40"/>
  <c r="IM512" i="40" s="1"/>
  <c r="AK508" i="40"/>
  <c r="AL667" i="40"/>
  <c r="AK666" i="40"/>
  <c r="AL410" i="40"/>
  <c r="AK614" i="40"/>
  <c r="AL657" i="40"/>
  <c r="AK697" i="40"/>
  <c r="AK635" i="40"/>
  <c r="AK651" i="40"/>
  <c r="AK696" i="40"/>
  <c r="AK659" i="40"/>
  <c r="IP311" i="40"/>
  <c r="IJ311" i="40"/>
  <c r="IM311" i="40" s="1"/>
  <c r="AL612" i="40"/>
  <c r="AL678" i="40"/>
  <c r="AL616" i="40"/>
  <c r="AK408" i="40"/>
  <c r="AL207" i="40"/>
  <c r="AK603" i="40"/>
  <c r="AL607" i="40"/>
  <c r="IQ510" i="40"/>
  <c r="AK307" i="40"/>
  <c r="IO211" i="40"/>
  <c r="AK206" i="40"/>
  <c r="JF410" i="40"/>
  <c r="HO410" i="40" s="1"/>
  <c r="HR410" i="40" s="1"/>
  <c r="AK306" i="40"/>
  <c r="AK691" i="40"/>
  <c r="AL676" i="40"/>
  <c r="IP512" i="40"/>
  <c r="IJ412" i="40"/>
  <c r="IM412" i="40" s="1"/>
  <c r="AK616" i="40"/>
  <c r="IJ310" i="40"/>
  <c r="IM310" i="40" s="1"/>
  <c r="JF512" i="40"/>
  <c r="HO512" i="40" s="1"/>
  <c r="HR512" i="40" s="1"/>
  <c r="AL694" i="40"/>
  <c r="AL620" i="40"/>
  <c r="AL682" i="40"/>
  <c r="AK679" i="40"/>
  <c r="AL302" i="40"/>
  <c r="IQ213" i="40"/>
  <c r="AL644" i="40"/>
  <c r="AL608" i="40"/>
  <c r="IQ512" i="40"/>
  <c r="AK690" i="40"/>
  <c r="IK212" i="40"/>
  <c r="IN212" i="40" s="1"/>
  <c r="AK663" i="40"/>
  <c r="AK630" i="40"/>
  <c r="AL681" i="40"/>
  <c r="II310" i="40"/>
  <c r="IL310" i="40" s="1"/>
  <c r="AL205" i="40"/>
  <c r="AK304" i="40"/>
  <c r="AL507" i="40"/>
  <c r="AL306" i="40"/>
  <c r="AK305" i="40"/>
  <c r="JF510" i="40"/>
  <c r="HO510" i="40" s="1"/>
  <c r="HR510" i="40" s="1"/>
  <c r="AL304" i="40"/>
  <c r="IO410" i="40"/>
  <c r="II410" i="40"/>
  <c r="IL410" i="40" s="1"/>
  <c r="AK607" i="40"/>
  <c r="IQ211" i="40"/>
  <c r="AK208" i="40"/>
  <c r="AK617" i="40"/>
  <c r="AL639" i="40"/>
  <c r="AL692" i="40"/>
  <c r="AK667" i="40"/>
  <c r="AL311" i="40"/>
  <c r="JF310" i="40"/>
  <c r="HO310" i="40" s="1"/>
  <c r="HR310" i="40" s="1"/>
  <c r="AK654" i="40"/>
  <c r="AL510" i="40"/>
  <c r="AK213" i="40"/>
  <c r="AK638" i="40"/>
  <c r="AL629" i="40"/>
  <c r="JF511" i="40"/>
  <c r="HO511" i="40" s="1"/>
  <c r="HR511" i="40" s="1"/>
  <c r="AK682" i="40"/>
  <c r="IQ412" i="40"/>
  <c r="AK686" i="40"/>
  <c r="II512" i="40"/>
  <c r="IL512" i="40" s="1"/>
  <c r="AK672" i="40"/>
  <c r="AK615" i="40"/>
  <c r="AL671" i="40"/>
  <c r="AK681" i="40"/>
  <c r="AL670" i="40"/>
  <c r="AL688" i="40"/>
  <c r="AL632" i="40"/>
  <c r="IO511" i="40"/>
  <c r="IQ511" i="40"/>
  <c r="AK633" i="40"/>
  <c r="AL662" i="40"/>
  <c r="IJ511" i="40"/>
  <c r="IM511" i="40" s="1"/>
  <c r="AK684" i="40"/>
  <c r="IJ410" i="40"/>
  <c r="IM410" i="40" s="1"/>
  <c r="II210" i="40"/>
  <c r="IL210" i="40" s="1"/>
  <c r="IJ309" i="40"/>
  <c r="IM309" i="40" s="1"/>
  <c r="JF211" i="40"/>
  <c r="HO211" i="40" s="1"/>
  <c r="IP212" i="40"/>
  <c r="IO510" i="40"/>
  <c r="IP410" i="40"/>
  <c r="AL305" i="40"/>
  <c r="AL504" i="40"/>
  <c r="AL206" i="40"/>
  <c r="II211" i="40"/>
  <c r="IL211" i="40" s="1"/>
  <c r="AK308" i="40"/>
  <c r="IK309" i="40"/>
  <c r="IN309" i="40" s="1"/>
  <c r="AK628" i="40"/>
  <c r="AK683" i="40"/>
  <c r="AK653" i="40"/>
  <c r="AK693" i="40"/>
  <c r="AK640" i="40"/>
  <c r="AL412" i="40"/>
  <c r="AL689" i="40"/>
  <c r="AL619" i="40"/>
  <c r="IJ411" i="40"/>
  <c r="IM411" i="40" s="1"/>
  <c r="AL213" i="40"/>
  <c r="AK510" i="40"/>
  <c r="AL677" i="40"/>
  <c r="IQ311" i="40"/>
  <c r="AK621" i="40"/>
  <c r="AL627" i="40"/>
  <c r="HN310" i="40"/>
  <c r="HQ310" i="40" s="1"/>
  <c r="AK611" i="40"/>
  <c r="AL641" i="40"/>
  <c r="AL668" i="40"/>
  <c r="AL309" i="40"/>
  <c r="AL609" i="40"/>
  <c r="AL208" i="40"/>
  <c r="AL646" i="40"/>
  <c r="AK311" i="40"/>
  <c r="AL624" i="40"/>
  <c r="AK688" i="40"/>
  <c r="AK661" i="40"/>
  <c r="AL653" i="40"/>
  <c r="AK643" i="40"/>
  <c r="AL685" i="40"/>
  <c r="AK613" i="40"/>
  <c r="AK619" i="40"/>
  <c r="AK646" i="40"/>
  <c r="AK632" i="40"/>
  <c r="AK678" i="40"/>
  <c r="IK511" i="40"/>
  <c r="IN511" i="40" s="1"/>
  <c r="AK665" i="40"/>
  <c r="AK673" i="40"/>
  <c r="AK634" i="40"/>
  <c r="IP412" i="40"/>
  <c r="AK687" i="40"/>
  <c r="IJ212" i="40"/>
  <c r="IM212" i="40" s="1"/>
  <c r="IO213" i="40"/>
  <c r="AL211" i="40"/>
  <c r="AK694" i="40"/>
  <c r="II212" i="40"/>
  <c r="IL212" i="40" s="1"/>
  <c r="AL700" i="40"/>
  <c r="AL663" i="40"/>
  <c r="AL673" i="40"/>
  <c r="AL622" i="40"/>
  <c r="II411" i="40"/>
  <c r="IL411" i="40" s="1"/>
  <c r="AK658" i="40"/>
  <c r="AK670" i="40"/>
  <c r="AL656" i="40"/>
  <c r="AK511" i="40"/>
  <c r="AL690" i="40"/>
  <c r="AK623" i="40"/>
  <c r="AK609" i="40"/>
  <c r="AL637" i="40"/>
  <c r="AL640" i="40"/>
  <c r="AK676" i="40"/>
  <c r="AL649" i="40"/>
  <c r="II213" i="40"/>
  <c r="IL213" i="40" s="1"/>
  <c r="AK641" i="40"/>
  <c r="AL665" i="40"/>
  <c r="IK411" i="40"/>
  <c r="IN411" i="40" s="1"/>
  <c r="AK648" i="40"/>
  <c r="AK211" i="40"/>
  <c r="IK311" i="40"/>
  <c r="IN311" i="40" s="1"/>
  <c r="JF411" i="40"/>
  <c r="HO411" i="40" s="1"/>
  <c r="HR411" i="40" s="1"/>
  <c r="AK656" i="40"/>
  <c r="AK650" i="40"/>
  <c r="AL651" i="40"/>
  <c r="AL648" i="40"/>
  <c r="AK629" i="40"/>
  <c r="AL310" i="40"/>
  <c r="AL684" i="40"/>
  <c r="AK657" i="40"/>
  <c r="AK610" i="40"/>
  <c r="AL614" i="40"/>
  <c r="AL635" i="40"/>
  <c r="II511" i="40"/>
  <c r="IL511" i="40" s="1"/>
  <c r="AK671" i="40"/>
  <c r="AK645" i="40"/>
  <c r="AK412" i="40"/>
  <c r="IJ213" i="40"/>
  <c r="IM213" i="40" s="1"/>
  <c r="AK680" i="40"/>
  <c r="AK692" i="40"/>
  <c r="AK642" i="40"/>
  <c r="AL634" i="40"/>
  <c r="AL683" i="40"/>
  <c r="AL645" i="40"/>
  <c r="IO214" i="40"/>
  <c r="AK655" i="40"/>
  <c r="AL636" i="40"/>
  <c r="IK310" i="40"/>
  <c r="IN310" i="40" s="1"/>
  <c r="II412" i="40"/>
  <c r="IL412" i="40" s="1"/>
  <c r="AL626" i="40"/>
  <c r="AK626" i="40"/>
  <c r="AL666" i="40"/>
  <c r="AL659" i="40"/>
  <c r="AK689" i="40"/>
  <c r="AL686" i="40"/>
  <c r="AK210" i="40"/>
  <c r="AL623" i="40"/>
  <c r="IK512" i="40"/>
  <c r="IN512" i="40" s="1"/>
  <c r="AK644" i="40"/>
  <c r="AL630" i="40"/>
  <c r="AK639" i="40"/>
  <c r="IK312" i="40"/>
  <c r="IN312" i="40" s="1"/>
  <c r="AK699" i="40"/>
  <c r="AK695" i="40"/>
  <c r="AL638" i="40"/>
  <c r="AK700" i="40"/>
  <c r="AL664" i="40"/>
  <c r="IK213" i="40"/>
  <c r="IN213" i="40" s="1"/>
  <c r="AL655" i="40"/>
  <c r="AL615" i="40"/>
  <c r="AK608" i="40"/>
  <c r="AK664" i="40"/>
  <c r="IO311" i="40"/>
  <c r="AL672" i="40"/>
  <c r="IO412" i="40"/>
  <c r="AL658" i="40"/>
  <c r="AK660" i="40"/>
  <c r="IO512" i="40"/>
  <c r="JF212" i="40"/>
  <c r="HO212" i="40" s="1"/>
  <c r="AL617" i="40"/>
  <c r="AK698" i="40"/>
  <c r="AL687" i="40"/>
  <c r="JF213" i="40"/>
  <c r="HO213" i="40" s="1"/>
  <c r="AL680" i="40"/>
  <c r="AK669" i="40"/>
  <c r="AK209" i="40"/>
  <c r="AL661" i="40"/>
  <c r="IP213" i="40"/>
  <c r="AK677" i="40"/>
  <c r="AL613" i="40"/>
  <c r="AL669" i="40"/>
  <c r="AL674" i="40"/>
  <c r="IK412" i="40"/>
  <c r="IN412" i="40" s="1"/>
  <c r="AL698" i="40"/>
  <c r="AK309" i="40"/>
  <c r="AK685" i="40"/>
  <c r="IP413" i="40"/>
  <c r="AK612" i="40"/>
  <c r="AK618" i="40"/>
  <c r="AL697" i="40"/>
  <c r="AL610" i="40"/>
  <c r="AL691" i="40"/>
  <c r="AK625" i="40"/>
  <c r="AL652" i="40"/>
  <c r="AL675" i="40"/>
  <c r="AK624" i="40"/>
  <c r="AK410" i="40"/>
  <c r="JF311" i="40"/>
  <c r="HO311" i="40" s="1"/>
  <c r="HR311" i="40" s="1"/>
  <c r="AL633" i="40"/>
  <c r="AL699" i="40"/>
  <c r="AL602" i="40"/>
  <c r="AL643" i="40"/>
  <c r="AL625" i="40"/>
  <c r="AK647" i="40"/>
  <c r="AL642" i="40"/>
  <c r="AL654" i="40"/>
  <c r="AL628" i="40"/>
  <c r="AL650" i="40"/>
  <c r="AL696" i="40"/>
  <c r="AK627" i="40"/>
  <c r="AK212" i="40"/>
  <c r="AK662" i="40"/>
  <c r="JF412" i="40"/>
  <c r="HO412" i="40" s="1"/>
  <c r="HR412" i="40" s="1"/>
  <c r="AL214" i="40"/>
  <c r="AK674" i="40"/>
  <c r="AK513" i="40"/>
  <c r="IJ513" i="40"/>
  <c r="IM513" i="40" s="1"/>
  <c r="IK413" i="40"/>
  <c r="IN413" i="40" s="1"/>
  <c r="AL621" i="40"/>
  <c r="AL618" i="40"/>
  <c r="AK312" i="40"/>
  <c r="IP312" i="40"/>
  <c r="AK637" i="40"/>
  <c r="AL312" i="40"/>
  <c r="AL513" i="40"/>
  <c r="AK652" i="40"/>
  <c r="IQ312" i="40"/>
  <c r="II214" i="40"/>
  <c r="IL214" i="40" s="1"/>
  <c r="AL512" i="40"/>
  <c r="IQ513" i="40"/>
  <c r="AK631" i="40"/>
  <c r="AK622" i="40"/>
  <c r="AK636" i="40"/>
  <c r="AL212" i="40"/>
  <c r="IO513" i="40"/>
  <c r="AL695" i="40"/>
  <c r="AK310" i="40"/>
  <c r="II313" i="40"/>
  <c r="IL313" i="40" s="1"/>
  <c r="AK512" i="40"/>
  <c r="II311" i="40"/>
  <c r="IL311" i="40" s="1"/>
  <c r="AL679" i="40"/>
  <c r="IJ413" i="40"/>
  <c r="IM413" i="40" s="1"/>
  <c r="AL647" i="40"/>
  <c r="IQ214" i="40"/>
  <c r="AL693" i="40"/>
  <c r="AK668" i="40"/>
  <c r="AL631" i="40"/>
  <c r="II414" i="40"/>
  <c r="IL414" i="40" s="1"/>
  <c r="AK413" i="40"/>
  <c r="AK214" i="40"/>
  <c r="IK215" i="40"/>
  <c r="IN215" i="40" s="1"/>
  <c r="IK513" i="40"/>
  <c r="IN513" i="40" s="1"/>
  <c r="IJ215" i="40"/>
  <c r="IM215" i="40" s="1"/>
  <c r="IP214" i="40"/>
  <c r="IP414" i="40"/>
  <c r="IK214" i="40"/>
  <c r="IN214" i="40" s="1"/>
  <c r="IO313" i="40"/>
  <c r="II312" i="40"/>
  <c r="IL312" i="40" s="1"/>
  <c r="IQ413" i="40"/>
  <c r="IO312" i="40"/>
  <c r="IP513" i="40"/>
  <c r="IJ214" i="40"/>
  <c r="IM214" i="40" s="1"/>
  <c r="IJ414" i="40"/>
  <c r="IM414" i="40" s="1"/>
  <c r="IJ312" i="40"/>
  <c r="IM312" i="40" s="1"/>
  <c r="JF214" i="40"/>
  <c r="HO214" i="40" s="1"/>
  <c r="JF313" i="40"/>
  <c r="HO313" i="40" s="1"/>
  <c r="HR313" i="40" s="1"/>
  <c r="II413" i="40"/>
  <c r="IL413" i="40" s="1"/>
  <c r="AL514" i="40"/>
  <c r="JF312" i="40"/>
  <c r="HO312" i="40" s="1"/>
  <c r="HR312" i="40" s="1"/>
  <c r="AK313" i="40"/>
  <c r="JF413" i="40"/>
  <c r="HO413" i="40" s="1"/>
  <c r="HR413" i="40" s="1"/>
  <c r="AL413" i="40"/>
  <c r="IO413" i="40"/>
  <c r="JF513" i="40"/>
  <c r="HO513" i="40" s="1"/>
  <c r="HR513" i="40" s="1"/>
  <c r="II513" i="40"/>
  <c r="IL513" i="40" s="1"/>
  <c r="IK414" i="40"/>
  <c r="IN414" i="40" s="1"/>
  <c r="AL416" i="40"/>
  <c r="AL313" i="40"/>
  <c r="JF215" i="40"/>
  <c r="HO215" i="40" s="1"/>
  <c r="AL215" i="40"/>
  <c r="AK314" i="40"/>
  <c r="J48" i="67" s="1"/>
  <c r="AL314" i="40"/>
  <c r="IP215" i="40"/>
  <c r="IJ314" i="40"/>
  <c r="IM314" i="40" s="1"/>
  <c r="JF415" i="40"/>
  <c r="HO415" i="40" s="1"/>
  <c r="HR415" i="40" s="1"/>
  <c r="IK515" i="40"/>
  <c r="IN515" i="40" s="1"/>
  <c r="AK514" i="40"/>
  <c r="AK414" i="40"/>
  <c r="IQ215" i="40"/>
  <c r="IQ414" i="40"/>
  <c r="IJ313" i="40"/>
  <c r="IM313" i="40" s="1"/>
  <c r="IO215" i="40"/>
  <c r="IO514" i="40"/>
  <c r="AL216" i="40"/>
  <c r="JF414" i="40"/>
  <c r="HO414" i="40" s="1"/>
  <c r="HR414" i="40" s="1"/>
  <c r="II514" i="40"/>
  <c r="IL514" i="40" s="1"/>
  <c r="IK313" i="40"/>
  <c r="IN313" i="40" s="1"/>
  <c r="IQ514" i="40"/>
  <c r="IO414" i="40"/>
  <c r="AK215" i="40"/>
  <c r="AK216" i="40"/>
  <c r="IJ514" i="40"/>
  <c r="IM514" i="40" s="1"/>
  <c r="IP514" i="40"/>
  <c r="IP313" i="40"/>
  <c r="AL414" i="40"/>
  <c r="IQ313" i="40"/>
  <c r="JF514" i="40"/>
  <c r="HO514" i="40" s="1"/>
  <c r="HR514" i="40" s="1"/>
  <c r="AL515" i="40"/>
  <c r="II215" i="40"/>
  <c r="IL215" i="40" s="1"/>
  <c r="IK514" i="40"/>
  <c r="IN514" i="40" s="1"/>
  <c r="IQ216" i="40"/>
  <c r="IO216" i="40"/>
  <c r="IJ216" i="40"/>
  <c r="IM216" i="40" s="1"/>
  <c r="AK515" i="40"/>
  <c r="II216" i="40"/>
  <c r="IL216" i="40" s="1"/>
  <c r="AK417" i="40"/>
  <c r="II415" i="40"/>
  <c r="IL415" i="40" s="1"/>
  <c r="II314" i="40"/>
  <c r="IL314" i="40" s="1"/>
  <c r="IQ516" i="40"/>
  <c r="II515" i="40"/>
  <c r="IL515" i="40" s="1"/>
  <c r="IK415" i="40"/>
  <c r="IN415" i="40" s="1"/>
  <c r="AK415" i="40"/>
  <c r="IO415" i="40"/>
  <c r="JF515" i="40"/>
  <c r="HO515" i="40" s="1"/>
  <c r="HR515" i="40" s="1"/>
  <c r="IP314" i="40"/>
  <c r="IQ415" i="40"/>
  <c r="IQ314" i="40"/>
  <c r="AL516" i="40"/>
  <c r="IJ415" i="40"/>
  <c r="IM415" i="40" s="1"/>
  <c r="JF216" i="40"/>
  <c r="HO216" i="40" s="1"/>
  <c r="IP415" i="40"/>
  <c r="IJ515" i="40"/>
  <c r="IM515" i="40" s="1"/>
  <c r="IK314" i="40"/>
  <c r="IN314" i="40" s="1"/>
  <c r="AK516" i="40"/>
  <c r="IQ515" i="40"/>
  <c r="AK416" i="40"/>
  <c r="AL315" i="40"/>
  <c r="IO314" i="40"/>
  <c r="AL415" i="40"/>
  <c r="IP515" i="40"/>
  <c r="JF314" i="40"/>
  <c r="HO314" i="40" s="1"/>
  <c r="HR314" i="40" s="1"/>
  <c r="IO515" i="40"/>
  <c r="IK216" i="40"/>
  <c r="IN216" i="40" s="1"/>
  <c r="IQ217" i="40"/>
  <c r="IO417" i="40"/>
  <c r="IP315" i="40"/>
  <c r="II416" i="40"/>
  <c r="IL416" i="40" s="1"/>
  <c r="JF217" i="40"/>
  <c r="HO217" i="40" s="1"/>
  <c r="IJ217" i="40"/>
  <c r="IM217" i="40" s="1"/>
  <c r="IO217" i="40"/>
  <c r="AK315" i="40"/>
  <c r="IO416" i="40"/>
  <c r="JF416" i="40"/>
  <c r="HO416" i="40" s="1"/>
  <c r="HR416" i="40" s="1"/>
  <c r="AL218" i="40"/>
  <c r="IK315" i="40"/>
  <c r="IN315" i="40" s="1"/>
  <c r="JF315" i="40"/>
  <c r="HO315" i="40" s="1"/>
  <c r="HR315" i="40" s="1"/>
  <c r="IP416" i="40"/>
  <c r="IK217" i="40"/>
  <c r="IN217" i="40" s="1"/>
  <c r="IQ517" i="40"/>
  <c r="IO316" i="40"/>
  <c r="IK416" i="40"/>
  <c r="IN416" i="40" s="1"/>
  <c r="AK517" i="40"/>
  <c r="AK316" i="40"/>
  <c r="AL417" i="40"/>
  <c r="AK217" i="40"/>
  <c r="J48" i="66" s="1"/>
  <c r="IQ416" i="40"/>
  <c r="IJ516" i="40"/>
  <c r="IM516" i="40" s="1"/>
  <c r="IJ315" i="40"/>
  <c r="IM315" i="40" s="1"/>
  <c r="JF218" i="40"/>
  <c r="HO218" i="40" s="1"/>
  <c r="IP516" i="40"/>
  <c r="IK516" i="40"/>
  <c r="IN516" i="40" s="1"/>
  <c r="JF516" i="40"/>
  <c r="HO516" i="40" s="1"/>
  <c r="HR516" i="40" s="1"/>
  <c r="IQ417" i="40"/>
  <c r="IO516" i="40"/>
  <c r="AL217" i="40"/>
  <c r="IQ315" i="40"/>
  <c r="AL517" i="40"/>
  <c r="IO517" i="40"/>
  <c r="IO315" i="40"/>
  <c r="IP216" i="40"/>
  <c r="IO218" i="40"/>
  <c r="II217" i="40"/>
  <c r="IL217" i="40" s="1"/>
  <c r="IP217" i="40"/>
  <c r="IQ219" i="40"/>
  <c r="AK220" i="40"/>
  <c r="II519" i="40"/>
  <c r="IL519" i="40" s="1"/>
  <c r="AK518" i="40"/>
  <c r="IK517" i="40"/>
  <c r="IN517" i="40" s="1"/>
  <c r="IQ418" i="40"/>
  <c r="JF316" i="40"/>
  <c r="HO316" i="40" s="1"/>
  <c r="HR316" i="40" s="1"/>
  <c r="II516" i="40"/>
  <c r="IL516" i="40" s="1"/>
  <c r="IQ218" i="40"/>
  <c r="IQ316" i="40"/>
  <c r="AK317" i="40"/>
  <c r="II518" i="40"/>
  <c r="IL518" i="40" s="1"/>
  <c r="JF417" i="40"/>
  <c r="HO417" i="40" s="1"/>
  <c r="HR417" i="40" s="1"/>
  <c r="II517" i="40"/>
  <c r="IL517" i="40" s="1"/>
  <c r="IK418" i="40"/>
  <c r="IN418" i="40" s="1"/>
  <c r="IK219" i="40"/>
  <c r="IN219" i="40" s="1"/>
  <c r="JF219" i="40"/>
  <c r="HO219" i="40" s="1"/>
  <c r="HN218" i="40"/>
  <c r="AL219" i="40"/>
  <c r="II417" i="40"/>
  <c r="IL417" i="40" s="1"/>
  <c r="IO418" i="40"/>
  <c r="AL316" i="40"/>
  <c r="II315" i="40"/>
  <c r="IL315" i="40" s="1"/>
  <c r="II318" i="40"/>
  <c r="IL318" i="40" s="1"/>
  <c r="HM219" i="40"/>
  <c r="II219" i="40"/>
  <c r="IL219" i="40" s="1"/>
  <c r="AL518" i="40"/>
  <c r="AL418" i="40"/>
  <c r="JF517" i="40"/>
  <c r="HO517" i="40" s="1"/>
  <c r="HR517" i="40" s="1"/>
  <c r="IJ317" i="40"/>
  <c r="IM317" i="40" s="1"/>
  <c r="AK219" i="40"/>
  <c r="IK218" i="40"/>
  <c r="IN218" i="40" s="1"/>
  <c r="IP218" i="40"/>
  <c r="IJ316" i="40"/>
  <c r="IM316" i="40" s="1"/>
  <c r="AK218" i="40"/>
  <c r="IK316" i="40"/>
  <c r="IN316" i="40" s="1"/>
  <c r="II316" i="40"/>
  <c r="IL316" i="40" s="1"/>
  <c r="IJ218" i="40"/>
  <c r="IM218" i="40" s="1"/>
  <c r="IQ317" i="40"/>
  <c r="AK418" i="40"/>
  <c r="IO317" i="40"/>
  <c r="II220" i="40"/>
  <c r="IL220" i="40" s="1"/>
  <c r="IJ219" i="40"/>
  <c r="IM219" i="40" s="1"/>
  <c r="IQ518" i="40"/>
  <c r="IJ517" i="40"/>
  <c r="IM517" i="40" s="1"/>
  <c r="IK417" i="40"/>
  <c r="IN417" i="40" s="1"/>
  <c r="IJ416" i="40"/>
  <c r="IM416" i="40" s="1"/>
  <c r="IO518" i="40"/>
  <c r="IP517" i="40"/>
  <c r="IJ417" i="40"/>
  <c r="IM417" i="40" s="1"/>
  <c r="II218" i="40"/>
  <c r="IL218" i="40" s="1"/>
  <c r="AL317" i="40"/>
  <c r="IK317" i="40"/>
  <c r="IN317" i="40" s="1"/>
  <c r="II418" i="40"/>
  <c r="IL418" i="40" s="1"/>
  <c r="IP317" i="40"/>
  <c r="JF518" i="40"/>
  <c r="HO518" i="40" s="1"/>
  <c r="HR518" i="40" s="1"/>
  <c r="IK318" i="40"/>
  <c r="IN318" i="40" s="1"/>
  <c r="AL420" i="40"/>
  <c r="JF419" i="40"/>
  <c r="HO419" i="40" s="1"/>
  <c r="HR419" i="40" s="1"/>
  <c r="IJ419" i="40"/>
  <c r="IM419" i="40" s="1"/>
  <c r="IQ420" i="40"/>
  <c r="IP418" i="40"/>
  <c r="IK220" i="40"/>
  <c r="IN220" i="40" s="1"/>
  <c r="IK419" i="40"/>
  <c r="IN419" i="40" s="1"/>
  <c r="AL520" i="40"/>
  <c r="IO520" i="40"/>
  <c r="IK518" i="40"/>
  <c r="IN518" i="40" s="1"/>
  <c r="JF418" i="40"/>
  <c r="HO418" i="40" s="1"/>
  <c r="HR418" i="40" s="1"/>
  <c r="IO219" i="40"/>
  <c r="IO420" i="40"/>
  <c r="AL318" i="40"/>
  <c r="AL519" i="40"/>
  <c r="IO220" i="40"/>
  <c r="II317" i="40"/>
  <c r="IL317" i="40" s="1"/>
  <c r="JF317" i="40"/>
  <c r="HO317" i="40" s="1"/>
  <c r="HR317" i="40" s="1"/>
  <c r="IO419" i="40"/>
  <c r="AK519" i="40"/>
  <c r="AL419" i="40"/>
  <c r="AL319" i="40"/>
  <c r="AK419" i="40"/>
  <c r="IQ220" i="40"/>
  <c r="IO519" i="40"/>
  <c r="IQ419" i="40"/>
  <c r="IJ518" i="40"/>
  <c r="IM518" i="40" s="1"/>
  <c r="IK519" i="40"/>
  <c r="IN519" i="40" s="1"/>
  <c r="IP316" i="40"/>
  <c r="IO318" i="40"/>
  <c r="IJ418" i="40"/>
  <c r="IM418" i="40" s="1"/>
  <c r="II419" i="40"/>
  <c r="IL419" i="40" s="1"/>
  <c r="IQ519" i="40"/>
  <c r="IJ318" i="40"/>
  <c r="IM318" i="40" s="1"/>
  <c r="IP417" i="40"/>
  <c r="IQ318" i="40"/>
  <c r="AL220" i="40"/>
  <c r="IJ519" i="40"/>
  <c r="IM519" i="40" s="1"/>
  <c r="JF319" i="40"/>
  <c r="HO319" i="40" s="1"/>
  <c r="HR319" i="40" s="1"/>
  <c r="IO221" i="40"/>
  <c r="JF519" i="40"/>
  <c r="HO519" i="40" s="1"/>
  <c r="HR519" i="40" s="1"/>
  <c r="IQ520" i="40"/>
  <c r="IP518" i="40"/>
  <c r="IP319" i="40"/>
  <c r="IP520" i="40"/>
  <c r="IJ221" i="40"/>
  <c r="IM221" i="40" s="1"/>
  <c r="AK319" i="40"/>
  <c r="IK221" i="40"/>
  <c r="IN221" i="40" s="1"/>
  <c r="IK319" i="40"/>
  <c r="IN319" i="40" s="1"/>
  <c r="JF318" i="40"/>
  <c r="HO318" i="40" s="1"/>
  <c r="HR318" i="40" s="1"/>
  <c r="IP220" i="40"/>
  <c r="II319" i="40"/>
  <c r="IL319" i="40" s="1"/>
  <c r="IP219" i="40"/>
  <c r="AK221" i="40"/>
  <c r="AK420" i="40"/>
  <c r="AL221" i="40"/>
  <c r="JF320" i="40"/>
  <c r="HO320" i="40" s="1"/>
  <c r="HR320" i="40" s="1"/>
  <c r="IP419" i="40"/>
  <c r="AK318" i="40"/>
  <c r="IO319" i="40"/>
  <c r="JF520" i="40"/>
  <c r="HO520" i="40" s="1"/>
  <c r="HR520" i="40" s="1"/>
  <c r="IJ222" i="40"/>
  <c r="IM222" i="40" s="1"/>
  <c r="IQ221" i="40"/>
  <c r="IP221" i="40"/>
  <c r="AK520" i="40"/>
  <c r="IP320" i="40"/>
  <c r="IJ521" i="40"/>
  <c r="IM521" i="40" s="1"/>
  <c r="IQ319" i="40"/>
  <c r="IK320" i="40"/>
  <c r="IN320" i="40" s="1"/>
  <c r="JF220" i="40"/>
  <c r="HO220" i="40" s="1"/>
  <c r="IJ220" i="40"/>
  <c r="IM220" i="40" s="1"/>
  <c r="AL320" i="40"/>
  <c r="IP421" i="40"/>
  <c r="IJ319" i="40"/>
  <c r="IM319" i="40" s="1"/>
  <c r="IK521" i="40"/>
  <c r="IN521" i="40" s="1"/>
  <c r="II420" i="40"/>
  <c r="IL420" i="40" s="1"/>
  <c r="AK421" i="40"/>
  <c r="II421" i="40"/>
  <c r="IL421" i="40" s="1"/>
  <c r="IP521" i="40"/>
  <c r="IP321" i="40"/>
  <c r="AL521" i="40"/>
  <c r="AL522" i="40"/>
  <c r="IJ420" i="40"/>
  <c r="IM420" i="40" s="1"/>
  <c r="IK520" i="40"/>
  <c r="IN520" i="40" s="1"/>
  <c r="IO320" i="40"/>
  <c r="IQ422" i="40"/>
  <c r="IP318" i="40"/>
  <c r="IK421" i="40"/>
  <c r="IN421" i="40" s="1"/>
  <c r="AK222" i="40"/>
  <c r="AK522" i="40"/>
  <c r="IO422" i="40"/>
  <c r="IO522" i="40"/>
  <c r="JF420" i="40"/>
  <c r="HO420" i="40" s="1"/>
  <c r="HR420" i="40" s="1"/>
  <c r="II320" i="40"/>
  <c r="IL320" i="40" s="1"/>
  <c r="IJ520" i="40"/>
  <c r="IM520" i="40" s="1"/>
  <c r="AL421" i="40"/>
  <c r="JF222" i="40"/>
  <c r="HO222" i="40" s="1"/>
  <c r="AK521" i="40"/>
  <c r="IQ320" i="40"/>
  <c r="IO421" i="40"/>
  <c r="IK420" i="40"/>
  <c r="IN420" i="40" s="1"/>
  <c r="II221" i="40"/>
  <c r="IL221" i="40" s="1"/>
  <c r="IQ222" i="40"/>
  <c r="II520" i="40"/>
  <c r="IL520" i="40" s="1"/>
  <c r="AK320" i="40"/>
  <c r="AL321" i="40"/>
  <c r="IJ421" i="40"/>
  <c r="IM421" i="40" s="1"/>
  <c r="IO222" i="40"/>
  <c r="IP519" i="40"/>
  <c r="IP420" i="40"/>
  <c r="JF221" i="40"/>
  <c r="HO221" i="40" s="1"/>
  <c r="IQ421" i="40"/>
  <c r="IJ320" i="40"/>
  <c r="IM320" i="40" s="1"/>
  <c r="AL223" i="40"/>
  <c r="II522" i="40"/>
  <c r="IL522" i="40" s="1"/>
  <c r="II222" i="40"/>
  <c r="IL222" i="40" s="1"/>
  <c r="AL422" i="40"/>
  <c r="JF521" i="40"/>
  <c r="HO521" i="40" s="1"/>
  <c r="HR521" i="40" s="1"/>
  <c r="AL222" i="40"/>
  <c r="IO223" i="40"/>
  <c r="II321" i="40"/>
  <c r="IL321" i="40" s="1"/>
  <c r="JF223" i="40"/>
  <c r="HO223" i="40" s="1"/>
  <c r="IK522" i="40"/>
  <c r="IN522" i="40" s="1"/>
  <c r="AK223" i="40"/>
  <c r="AK422" i="40"/>
  <c r="IQ522" i="40"/>
  <c r="IJ522" i="40"/>
  <c r="IM522" i="40" s="1"/>
  <c r="IO521" i="40"/>
  <c r="IQ521" i="40"/>
  <c r="IP522" i="40"/>
  <c r="II521" i="40"/>
  <c r="IL521" i="40" s="1"/>
  <c r="IJ321" i="40"/>
  <c r="IM321" i="40" s="1"/>
  <c r="AK321" i="40"/>
  <c r="IQ523" i="40"/>
  <c r="JF321" i="40"/>
  <c r="HO321" i="40" s="1"/>
  <c r="HR321" i="40" s="1"/>
  <c r="IK222" i="40"/>
  <c r="IN222" i="40" s="1"/>
  <c r="IQ321" i="40"/>
  <c r="IP422" i="40"/>
  <c r="IK321" i="40"/>
  <c r="IN321" i="40" s="1"/>
  <c r="IO321" i="40"/>
  <c r="IJ224" i="40"/>
  <c r="IM224" i="40" s="1"/>
  <c r="JF421" i="40"/>
  <c r="HO421" i="40" s="1"/>
  <c r="HR421" i="40" s="1"/>
  <c r="IO225" i="40"/>
  <c r="IK322" i="40"/>
  <c r="IN322" i="40" s="1"/>
  <c r="IP222" i="40"/>
  <c r="JF523" i="40"/>
  <c r="HO523" i="40" s="1"/>
  <c r="HR523" i="40" s="1"/>
  <c r="IJ422" i="40"/>
  <c r="IM422" i="40" s="1"/>
  <c r="JF522" i="40"/>
  <c r="HO522" i="40" s="1"/>
  <c r="HR522" i="40" s="1"/>
  <c r="JF422" i="40"/>
  <c r="HO422" i="40" s="1"/>
  <c r="HR422" i="40" s="1"/>
  <c r="AL224" i="40"/>
  <c r="IJ523" i="40"/>
  <c r="IM523" i="40" s="1"/>
  <c r="JF224" i="40"/>
  <c r="HO224" i="40" s="1"/>
  <c r="AK322" i="40"/>
  <c r="IJ423" i="40"/>
  <c r="IM423" i="40" s="1"/>
  <c r="II422" i="40"/>
  <c r="IL422" i="40" s="1"/>
  <c r="AL423" i="40"/>
  <c r="II223" i="40"/>
  <c r="IL223" i="40" s="1"/>
  <c r="IQ423" i="40"/>
  <c r="JF423" i="40"/>
  <c r="HO423" i="40" s="1"/>
  <c r="HR423" i="40" s="1"/>
  <c r="IK422" i="40"/>
  <c r="IN422" i="40" s="1"/>
  <c r="IO322" i="40"/>
  <c r="AL523" i="40"/>
  <c r="IK223" i="40"/>
  <c r="IN223" i="40" s="1"/>
  <c r="IO523" i="40"/>
  <c r="AK423" i="40"/>
  <c r="II423" i="40"/>
  <c r="IL423" i="40" s="1"/>
  <c r="IJ223" i="40"/>
  <c r="IM223" i="40" s="1"/>
  <c r="IQ224" i="40"/>
  <c r="IO423" i="40"/>
  <c r="AK224" i="40"/>
  <c r="IJ322" i="40"/>
  <c r="IM322" i="40" s="1"/>
  <c r="IP322" i="40"/>
  <c r="IQ225" i="40"/>
  <c r="IQ322" i="40"/>
  <c r="AK523" i="40"/>
  <c r="JF322" i="40"/>
  <c r="HO322" i="40" s="1"/>
  <c r="HR322" i="40" s="1"/>
  <c r="IQ223" i="40"/>
  <c r="IP423" i="40"/>
  <c r="II322" i="40"/>
  <c r="IL322" i="40" s="1"/>
  <c r="IK423" i="40"/>
  <c r="IN423" i="40" s="1"/>
  <c r="IP223" i="40"/>
  <c r="IP523" i="40"/>
  <c r="II523" i="40"/>
  <c r="IL523" i="40" s="1"/>
  <c r="IK224" i="40"/>
  <c r="IN224" i="40" s="1"/>
  <c r="IK523" i="40"/>
  <c r="IN523" i="40" s="1"/>
  <c r="II225" i="40"/>
  <c r="IL225" i="40" s="1"/>
  <c r="IP225" i="40"/>
  <c r="AK424" i="40"/>
  <c r="AK226" i="40"/>
  <c r="IQ323" i="40"/>
  <c r="IO224" i="40"/>
  <c r="IJ424" i="40"/>
  <c r="IM424" i="40" s="1"/>
  <c r="IJ323" i="40"/>
  <c r="IM323" i="40" s="1"/>
  <c r="JF425" i="40"/>
  <c r="HO425" i="40" s="1"/>
  <c r="HR425" i="40" s="1"/>
  <c r="AK323" i="40"/>
  <c r="IP425" i="40"/>
  <c r="AL323" i="40"/>
  <c r="AK524" i="40"/>
  <c r="JF324" i="40"/>
  <c r="HO324" i="40" s="1"/>
  <c r="HR324" i="40" s="1"/>
  <c r="IK524" i="40"/>
  <c r="IN524" i="40" s="1"/>
  <c r="AK325" i="40"/>
  <c r="IK424" i="40"/>
  <c r="IN424" i="40" s="1"/>
  <c r="AL424" i="40"/>
  <c r="II224" i="40"/>
  <c r="IL224" i="40" s="1"/>
  <c r="IJ524" i="40"/>
  <c r="IM524" i="40" s="1"/>
  <c r="JF323" i="40"/>
  <c r="HO323" i="40" s="1"/>
  <c r="HR323" i="40" s="1"/>
  <c r="IJ225" i="40"/>
  <c r="IM225" i="40" s="1"/>
  <c r="IQ524" i="40"/>
  <c r="AL225" i="40"/>
  <c r="II323" i="40"/>
  <c r="IL323" i="40" s="1"/>
  <c r="IP224" i="40"/>
  <c r="AL226" i="40"/>
  <c r="IO424" i="40"/>
  <c r="AL524" i="40"/>
  <c r="II424" i="40"/>
  <c r="IL424" i="40" s="1"/>
  <c r="IK323" i="40"/>
  <c r="IN323" i="40" s="1"/>
  <c r="IQ425" i="40"/>
  <c r="AL425" i="40"/>
  <c r="AL322" i="40"/>
  <c r="II524" i="40"/>
  <c r="IL524" i="40" s="1"/>
  <c r="JF424" i="40"/>
  <c r="HO424" i="40" s="1"/>
  <c r="HR424" i="40" s="1"/>
  <c r="IP323" i="40"/>
  <c r="IO524" i="40"/>
  <c r="AK225" i="40"/>
  <c r="IQ424" i="40"/>
  <c r="JF225" i="40"/>
  <c r="HO225" i="40" s="1"/>
  <c r="IO323" i="40"/>
  <c r="JF524" i="40"/>
  <c r="HO524" i="40" s="1"/>
  <c r="HR524" i="40" s="1"/>
  <c r="AL227" i="40"/>
  <c r="II525" i="40"/>
  <c r="IL525" i="40" s="1"/>
  <c r="JF525" i="40"/>
  <c r="HO525" i="40" s="1"/>
  <c r="HR525" i="40" s="1"/>
  <c r="IP525" i="40"/>
  <c r="II324" i="40"/>
  <c r="IL324" i="40" s="1"/>
  <c r="IQ526" i="40"/>
  <c r="II425" i="40"/>
  <c r="IL425" i="40" s="1"/>
  <c r="II227" i="40"/>
  <c r="IL227" i="40" s="1"/>
  <c r="IK226" i="40"/>
  <c r="IN226" i="40" s="1"/>
  <c r="IP226" i="40"/>
  <c r="IQ324" i="40"/>
  <c r="IJ526" i="40"/>
  <c r="IM526" i="40" s="1"/>
  <c r="II427" i="40"/>
  <c r="IL427" i="40" s="1"/>
  <c r="IO228" i="40"/>
  <c r="IO325" i="40"/>
  <c r="AL324" i="40"/>
  <c r="IK324" i="40"/>
  <c r="IN324" i="40" s="1"/>
  <c r="IP524" i="40"/>
  <c r="II526" i="40"/>
  <c r="IL526" i="40" s="1"/>
  <c r="IO526" i="40"/>
  <c r="IP324" i="40"/>
  <c r="AK227" i="40"/>
  <c r="IQ325" i="40"/>
  <c r="IJ525" i="40"/>
  <c r="IM525" i="40" s="1"/>
  <c r="IQ527" i="40"/>
  <c r="IO324" i="40"/>
  <c r="AK425" i="40"/>
  <c r="AK525" i="40"/>
  <c r="IK525" i="40"/>
  <c r="IN525" i="40" s="1"/>
  <c r="JF526" i="40"/>
  <c r="HO526" i="40" s="1"/>
  <c r="HR526" i="40" s="1"/>
  <c r="AK324" i="40"/>
  <c r="IQ426" i="40"/>
  <c r="IJ228" i="40"/>
  <c r="IM228" i="40" s="1"/>
  <c r="IO425" i="40"/>
  <c r="AL426" i="40"/>
  <c r="II226" i="40"/>
  <c r="IL226" i="40" s="1"/>
  <c r="IJ425" i="40"/>
  <c r="IM425" i="40" s="1"/>
  <c r="AL525" i="40"/>
  <c r="IQ226" i="40"/>
  <c r="IO227" i="40"/>
  <c r="IP426" i="40"/>
  <c r="IJ227" i="40"/>
  <c r="IM227" i="40" s="1"/>
  <c r="IP325" i="40"/>
  <c r="IQ525" i="40"/>
  <c r="AK426" i="40"/>
  <c r="IJ226" i="40"/>
  <c r="IM226" i="40" s="1"/>
  <c r="AL325" i="40"/>
  <c r="IO226" i="40"/>
  <c r="IK425" i="40"/>
  <c r="IN425" i="40" s="1"/>
  <c r="IK227" i="40"/>
  <c r="IN227" i="40" s="1"/>
  <c r="IJ324" i="40"/>
  <c r="IM324" i="40" s="1"/>
  <c r="IO426" i="40"/>
  <c r="IP424" i="40"/>
  <c r="IK225" i="40"/>
  <c r="IN225" i="40" s="1"/>
  <c r="JF226" i="40"/>
  <c r="HO226" i="40" s="1"/>
  <c r="IO525" i="40"/>
  <c r="AL526" i="40"/>
  <c r="IQ227" i="40"/>
  <c r="AL427" i="40"/>
  <c r="II326" i="40"/>
  <c r="IL326" i="40" s="1"/>
  <c r="JF227" i="40"/>
  <c r="HO227" i="40" s="1"/>
  <c r="IQ228" i="40"/>
  <c r="IK526" i="40"/>
  <c r="IN526" i="40" s="1"/>
  <c r="JF527" i="40"/>
  <c r="HO527" i="40" s="1"/>
  <c r="HR527" i="40" s="1"/>
  <c r="II426" i="40"/>
  <c r="IL426" i="40" s="1"/>
  <c r="AL228" i="40"/>
  <c r="IK527" i="40"/>
  <c r="IN527" i="40" s="1"/>
  <c r="JF528" i="40"/>
  <c r="HO528" i="40" s="1"/>
  <c r="HR528" i="40" s="1"/>
  <c r="JF427" i="40"/>
  <c r="HO427" i="40" s="1"/>
  <c r="HR427" i="40" s="1"/>
  <c r="IQ427" i="40"/>
  <c r="IP526" i="40"/>
  <c r="AK526" i="40"/>
  <c r="IQ327" i="40"/>
  <c r="AK428" i="40"/>
  <c r="AL229" i="40"/>
  <c r="IP227" i="40"/>
  <c r="AL327" i="40"/>
  <c r="AK528" i="40"/>
  <c r="IJ427" i="40"/>
  <c r="IM427" i="40" s="1"/>
  <c r="IK326" i="40"/>
  <c r="IN326" i="40" s="1"/>
  <c r="IO527" i="40"/>
  <c r="AK527" i="40"/>
  <c r="II527" i="40"/>
  <c r="IL527" i="40" s="1"/>
  <c r="IK426" i="40"/>
  <c r="IN426" i="40" s="1"/>
  <c r="IO428" i="40"/>
  <c r="IK325" i="40"/>
  <c r="IN325" i="40" s="1"/>
  <c r="IO528" i="40"/>
  <c r="IK230" i="40"/>
  <c r="IN230" i="40" s="1"/>
  <c r="AK327" i="40"/>
  <c r="IK228" i="40"/>
  <c r="IN228" i="40" s="1"/>
  <c r="AK427" i="40"/>
  <c r="AK228" i="40"/>
  <c r="IJ326" i="40"/>
  <c r="IM326" i="40" s="1"/>
  <c r="IP228" i="40"/>
  <c r="AL528" i="40"/>
  <c r="JF426" i="40"/>
  <c r="HO426" i="40" s="1"/>
  <c r="HR426" i="40" s="1"/>
  <c r="IK528" i="40"/>
  <c r="IN528" i="40" s="1"/>
  <c r="II528" i="40"/>
  <c r="IL528" i="40" s="1"/>
  <c r="IK327" i="40"/>
  <c r="IN327" i="40" s="1"/>
  <c r="AL428" i="40"/>
  <c r="IO229" i="40"/>
  <c r="AK229" i="40"/>
  <c r="IK427" i="40"/>
  <c r="IN427" i="40" s="1"/>
  <c r="II325" i="40"/>
  <c r="IL325" i="40" s="1"/>
  <c r="IO427" i="40"/>
  <c r="JF325" i="40"/>
  <c r="HO325" i="40" s="1"/>
  <c r="HR325" i="40" s="1"/>
  <c r="AL527" i="40"/>
  <c r="JF228" i="40"/>
  <c r="HO228" i="40" s="1"/>
  <c r="IJ527" i="40"/>
  <c r="IM527" i="40" s="1"/>
  <c r="IJ426" i="40"/>
  <c r="IM426" i="40" s="1"/>
  <c r="JF326" i="40"/>
  <c r="HO326" i="40" s="1"/>
  <c r="HR326" i="40" s="1"/>
  <c r="IQ229" i="40"/>
  <c r="IJ528" i="40"/>
  <c r="IM528" i="40" s="1"/>
  <c r="II228" i="40"/>
  <c r="IL228" i="40" s="1"/>
  <c r="IO326" i="40"/>
  <c r="AK326" i="40"/>
  <c r="IQ326" i="40"/>
  <c r="IJ325" i="40"/>
  <c r="IM325" i="40" s="1"/>
  <c r="AL326" i="40"/>
  <c r="JF328" i="40"/>
  <c r="HO328" i="40" s="1"/>
  <c r="HR328" i="40" s="1"/>
  <c r="IO327" i="40"/>
  <c r="IP527" i="40"/>
  <c r="IQ230" i="40"/>
  <c r="IP229" i="40"/>
  <c r="IQ528" i="40"/>
  <c r="IP427" i="40"/>
  <c r="AK529" i="40"/>
  <c r="IQ430" i="40"/>
  <c r="AK328" i="40"/>
  <c r="AL429" i="40"/>
  <c r="IQ428" i="40"/>
  <c r="IP326" i="40"/>
  <c r="AL430" i="40"/>
  <c r="IK529" i="40"/>
  <c r="IN529" i="40" s="1"/>
  <c r="IP529" i="40"/>
  <c r="JF327" i="40"/>
  <c r="HO327" i="40" s="1"/>
  <c r="HR327" i="40" s="1"/>
  <c r="II428" i="40"/>
  <c r="IL428" i="40" s="1"/>
  <c r="IP327" i="40"/>
  <c r="AL328" i="40"/>
  <c r="AL230" i="40"/>
  <c r="AK230" i="40"/>
  <c r="II529" i="40"/>
  <c r="IL529" i="40" s="1"/>
  <c r="IQ328" i="40"/>
  <c r="IJ229" i="40"/>
  <c r="IM229" i="40" s="1"/>
  <c r="II327" i="40"/>
  <c r="IL327" i="40" s="1"/>
  <c r="IJ230" i="40"/>
  <c r="IM230" i="40" s="1"/>
  <c r="AL529" i="40"/>
  <c r="IO328" i="40"/>
  <c r="JF229" i="40"/>
  <c r="HO229" i="40" s="1"/>
  <c r="IJ428" i="40"/>
  <c r="IM428" i="40" s="1"/>
  <c r="IO230" i="40"/>
  <c r="JF529" i="40"/>
  <c r="HO529" i="40" s="1"/>
  <c r="HR529" i="40" s="1"/>
  <c r="IQ529" i="40"/>
  <c r="IO529" i="40"/>
  <c r="IJ529" i="40"/>
  <c r="IM529" i="40" s="1"/>
  <c r="IK428" i="40"/>
  <c r="IN428" i="40" s="1"/>
  <c r="IQ429" i="40"/>
  <c r="AK429" i="40"/>
  <c r="IP428" i="40"/>
  <c r="JF428" i="40"/>
  <c r="HO428" i="40" s="1"/>
  <c r="HR428" i="40" s="1"/>
  <c r="II229" i="40"/>
  <c r="IL229" i="40" s="1"/>
  <c r="IJ327" i="40"/>
  <c r="IM327" i="40" s="1"/>
  <c r="JF230" i="40"/>
  <c r="HO230" i="40" s="1"/>
  <c r="II230" i="40"/>
  <c r="IL230" i="40" s="1"/>
  <c r="IK229" i="40"/>
  <c r="IN229" i="40" s="1"/>
  <c r="IO429" i="40"/>
  <c r="IK430" i="40"/>
  <c r="IN430" i="40" s="1"/>
  <c r="IP328" i="40"/>
  <c r="IJ530" i="40"/>
  <c r="IM530" i="40" s="1"/>
  <c r="IP429" i="40"/>
  <c r="II231" i="40"/>
  <c r="IL231" i="40" s="1"/>
  <c r="AL231" i="40"/>
  <c r="IJ231" i="40"/>
  <c r="IM231" i="40" s="1"/>
  <c r="IQ530" i="40"/>
  <c r="IJ329" i="40"/>
  <c r="IM329" i="40" s="1"/>
  <c r="AL329" i="40"/>
  <c r="IP530" i="40"/>
  <c r="IK231" i="40"/>
  <c r="IN231" i="40" s="1"/>
  <c r="IO530" i="40"/>
  <c r="II530" i="40"/>
  <c r="IL530" i="40" s="1"/>
  <c r="IQ329" i="40"/>
  <c r="JF429" i="40"/>
  <c r="HO429" i="40" s="1"/>
  <c r="HR429" i="40" s="1"/>
  <c r="IK530" i="40"/>
  <c r="IN530" i="40" s="1"/>
  <c r="IP528" i="40"/>
  <c r="II328" i="40"/>
  <c r="IL328" i="40" s="1"/>
  <c r="AL232" i="40"/>
  <c r="IP430" i="40"/>
  <c r="IK531" i="40"/>
  <c r="IN531" i="40" s="1"/>
  <c r="AK430" i="40"/>
  <c r="JF231" i="40"/>
  <c r="HO231" i="40" s="1"/>
  <c r="IK329" i="40"/>
  <c r="IN329" i="40" s="1"/>
  <c r="AL530" i="40"/>
  <c r="JF530" i="40"/>
  <c r="HO530" i="40" s="1"/>
  <c r="HR530" i="40" s="1"/>
  <c r="AK231" i="40"/>
  <c r="II429" i="40"/>
  <c r="IL429" i="40" s="1"/>
  <c r="JF329" i="40"/>
  <c r="HO329" i="40" s="1"/>
  <c r="HR329" i="40" s="1"/>
  <c r="IJ328" i="40"/>
  <c r="IM328" i="40" s="1"/>
  <c r="IK429" i="40"/>
  <c r="IN429" i="40" s="1"/>
  <c r="IK233" i="40"/>
  <c r="IN233" i="40" s="1"/>
  <c r="IJ429" i="40"/>
  <c r="IM429" i="40" s="1"/>
  <c r="IQ531" i="40"/>
  <c r="IO231" i="40"/>
  <c r="IJ430" i="40"/>
  <c r="IM430" i="40" s="1"/>
  <c r="JF430" i="40"/>
  <c r="HO430" i="40" s="1"/>
  <c r="HR430" i="40" s="1"/>
  <c r="IQ231" i="40"/>
  <c r="IP230" i="40"/>
  <c r="IK328" i="40"/>
  <c r="IN328" i="40" s="1"/>
  <c r="IO329" i="40"/>
  <c r="IP232" i="40"/>
  <c r="AK329" i="40"/>
  <c r="AK530" i="40"/>
  <c r="II329" i="40"/>
  <c r="IL329" i="40" s="1"/>
  <c r="IO430" i="40"/>
  <c r="IQ232" i="40"/>
  <c r="II430" i="40"/>
  <c r="IL430" i="40" s="1"/>
  <c r="AK432" i="40"/>
  <c r="J48" i="68" s="1"/>
  <c r="IO531" i="40"/>
  <c r="AL431" i="40"/>
  <c r="II431" i="40"/>
  <c r="IL431" i="40" s="1"/>
  <c r="JF532" i="40"/>
  <c r="HO532" i="40" s="1"/>
  <c r="HR532" i="40" s="1"/>
  <c r="JF330" i="40"/>
  <c r="HO330" i="40" s="1"/>
  <c r="HR330" i="40" s="1"/>
  <c r="AL331" i="40"/>
  <c r="IQ431" i="40"/>
  <c r="II531" i="40"/>
  <c r="IL531" i="40" s="1"/>
  <c r="IO432" i="40"/>
  <c r="II330" i="40"/>
  <c r="IL330" i="40" s="1"/>
  <c r="IJ531" i="40"/>
  <c r="IM531" i="40" s="1"/>
  <c r="AL531" i="40"/>
  <c r="IQ432" i="40"/>
  <c r="JF431" i="40"/>
  <c r="HO431" i="40" s="1"/>
  <c r="HR431" i="40" s="1"/>
  <c r="IO232" i="40"/>
  <c r="AK531" i="40"/>
  <c r="AL432" i="40"/>
  <c r="AK331" i="40"/>
  <c r="IK431" i="40"/>
  <c r="IN431" i="40" s="1"/>
  <c r="AL233" i="40"/>
  <c r="IO233" i="40"/>
  <c r="AK233" i="40"/>
  <c r="IQ331" i="40"/>
  <c r="IP330" i="40"/>
  <c r="AK232" i="40"/>
  <c r="II232" i="40"/>
  <c r="IL232" i="40" s="1"/>
  <c r="IQ330" i="40"/>
  <c r="AL330" i="40"/>
  <c r="JF531" i="40"/>
  <c r="HO531" i="40" s="1"/>
  <c r="HR531" i="40" s="1"/>
  <c r="IQ233" i="40"/>
  <c r="IJ330" i="40"/>
  <c r="IM330" i="40" s="1"/>
  <c r="IO330" i="40"/>
  <c r="AK431" i="40"/>
  <c r="JF233" i="40"/>
  <c r="HO233" i="40" s="1"/>
  <c r="IP231" i="40"/>
  <c r="II532" i="40"/>
  <c r="IL532" i="40" s="1"/>
  <c r="IJ431" i="40"/>
  <c r="IM431" i="40" s="1"/>
  <c r="JF232" i="40"/>
  <c r="HO232" i="40" s="1"/>
  <c r="IP431" i="40"/>
  <c r="AK330" i="40"/>
  <c r="IO532" i="40"/>
  <c r="IJ233" i="40"/>
  <c r="IM233" i="40" s="1"/>
  <c r="IO431" i="40"/>
  <c r="II233" i="40"/>
  <c r="IL233" i="40" s="1"/>
  <c r="IJ232" i="40"/>
  <c r="IM232" i="40" s="1"/>
  <c r="IK232" i="40"/>
  <c r="IN232" i="40" s="1"/>
  <c r="IK532" i="40"/>
  <c r="IN532" i="40" s="1"/>
  <c r="IJ533" i="40"/>
  <c r="IM533" i="40" s="1"/>
  <c r="IK533" i="40"/>
  <c r="IN533" i="40" s="1"/>
  <c r="IP531" i="40"/>
  <c r="AK234" i="40"/>
  <c r="IO331" i="40"/>
  <c r="IP329" i="40"/>
  <c r="IK333" i="40"/>
  <c r="IN333" i="40" s="1"/>
  <c r="IQ332" i="40"/>
  <c r="JF331" i="40"/>
  <c r="HO331" i="40" s="1"/>
  <c r="HR331" i="40" s="1"/>
  <c r="JF433" i="40"/>
  <c r="HO433" i="40" s="1"/>
  <c r="HR433" i="40" s="1"/>
  <c r="IK330" i="40"/>
  <c r="IN330" i="40" s="1"/>
  <c r="AK532" i="40"/>
  <c r="J48" i="69" s="1"/>
  <c r="IJ532" i="40"/>
  <c r="IM532" i="40" s="1"/>
  <c r="II332" i="40"/>
  <c r="IL332" i="40" s="1"/>
  <c r="IO534" i="40"/>
  <c r="IJ433" i="40"/>
  <c r="IM433" i="40" s="1"/>
  <c r="IQ534" i="40"/>
  <c r="IQ532" i="40"/>
  <c r="AL532" i="40"/>
  <c r="IP331" i="40"/>
  <c r="IK434" i="40"/>
  <c r="IN434" i="40" s="1"/>
  <c r="IO332" i="40"/>
  <c r="JF533" i="40"/>
  <c r="HO533" i="40" s="1"/>
  <c r="HR533" i="40" s="1"/>
  <c r="II331" i="40"/>
  <c r="IL331" i="40" s="1"/>
  <c r="IK332" i="40"/>
  <c r="IN332" i="40" s="1"/>
  <c r="IQ533" i="40"/>
  <c r="JF434" i="40"/>
  <c r="HO434" i="40" s="1"/>
  <c r="HR434" i="40" s="1"/>
  <c r="JF333" i="40"/>
  <c r="HO333" i="40" s="1"/>
  <c r="HR333" i="40" s="1"/>
  <c r="IJ434" i="40"/>
  <c r="IM434" i="40" s="1"/>
  <c r="IK433" i="40"/>
  <c r="IN433" i="40" s="1"/>
  <c r="IQ434" i="40"/>
  <c r="IJ235" i="40"/>
  <c r="IM235" i="40" s="1"/>
  <c r="IP532" i="40"/>
  <c r="IK234" i="40"/>
  <c r="IN234" i="40" s="1"/>
  <c r="AK534" i="40"/>
  <c r="IK432" i="40"/>
  <c r="IN432" i="40" s="1"/>
  <c r="AK533" i="40"/>
  <c r="IO333" i="40"/>
  <c r="AL332" i="40"/>
  <c r="II533" i="40"/>
  <c r="IL533" i="40" s="1"/>
  <c r="JF332" i="40"/>
  <c r="HO332" i="40" s="1"/>
  <c r="HR332" i="40" s="1"/>
  <c r="IQ234" i="40"/>
  <c r="IO234" i="40"/>
  <c r="IJ432" i="40"/>
  <c r="IM432" i="40" s="1"/>
  <c r="IJ234" i="40"/>
  <c r="IM234" i="40" s="1"/>
  <c r="AK434" i="40"/>
  <c r="II535" i="40"/>
  <c r="IL535" i="40" s="1"/>
  <c r="IJ332" i="40"/>
  <c r="IM332" i="40" s="1"/>
  <c r="AK435" i="40"/>
  <c r="AL234" i="40"/>
  <c r="AK433" i="40"/>
  <c r="II433" i="40"/>
  <c r="IL433" i="40" s="1"/>
  <c r="II432" i="40"/>
  <c r="IL432" i="40" s="1"/>
  <c r="IK331" i="40"/>
  <c r="IN331" i="40" s="1"/>
  <c r="IP233" i="40"/>
  <c r="IJ331" i="40"/>
  <c r="IM331" i="40" s="1"/>
  <c r="IP432" i="40"/>
  <c r="IP534" i="40"/>
  <c r="IO236" i="40"/>
  <c r="JF435" i="40"/>
  <c r="HO435" i="40" s="1"/>
  <c r="HR435" i="40" s="1"/>
  <c r="IJ435" i="40"/>
  <c r="IM435" i="40" s="1"/>
  <c r="AK235" i="40"/>
  <c r="IO235" i="40"/>
  <c r="IQ433" i="40"/>
  <c r="AK332" i="40"/>
  <c r="IO434" i="40"/>
  <c r="IO433" i="40"/>
  <c r="JF432" i="40"/>
  <c r="HO432" i="40" s="1"/>
  <c r="HR432" i="40" s="1"/>
  <c r="AL533" i="40"/>
  <c r="AL433" i="40"/>
  <c r="IO533" i="40"/>
  <c r="JF234" i="40"/>
  <c r="HO234" i="40" s="1"/>
  <c r="II234" i="40"/>
  <c r="IL234" i="40" s="1"/>
  <c r="AK333" i="40"/>
  <c r="AL534" i="40"/>
  <c r="II235" i="40"/>
  <c r="IL235" i="40" s="1"/>
  <c r="IQ235" i="40"/>
  <c r="IJ334" i="40"/>
  <c r="IM334" i="40" s="1"/>
  <c r="II333" i="40"/>
  <c r="IL333" i="40" s="1"/>
  <c r="IP234" i="40"/>
  <c r="II435" i="40"/>
  <c r="IL435" i="40" s="1"/>
  <c r="IK535" i="40"/>
  <c r="IN535" i="40" s="1"/>
  <c r="IQ236" i="40"/>
  <c r="IQ334" i="40"/>
  <c r="AL236" i="40"/>
  <c r="JF334" i="40"/>
  <c r="HO334" i="40" s="1"/>
  <c r="HR334" i="40" s="1"/>
  <c r="IK534" i="40"/>
  <c r="IN534" i="40" s="1"/>
  <c r="AL235" i="40"/>
  <c r="IO535" i="40"/>
  <c r="AL334" i="40"/>
  <c r="IK435" i="40"/>
  <c r="IN435" i="40" s="1"/>
  <c r="AL333" i="40"/>
  <c r="AL434" i="40"/>
  <c r="IO435" i="40"/>
  <c r="AK236" i="40"/>
  <c r="IK236" i="40"/>
  <c r="IN236" i="40" s="1"/>
  <c r="AK535" i="40"/>
  <c r="AL535" i="40"/>
  <c r="II434" i="40"/>
  <c r="IL434" i="40" s="1"/>
  <c r="IQ535" i="40"/>
  <c r="IQ435" i="40"/>
  <c r="II534" i="40"/>
  <c r="IL534" i="40" s="1"/>
  <c r="IP433" i="40"/>
  <c r="IJ333" i="40"/>
  <c r="IM333" i="40" s="1"/>
  <c r="IP434" i="40"/>
  <c r="II334" i="40"/>
  <c r="IL334" i="40" s="1"/>
  <c r="IQ333" i="40"/>
  <c r="IK334" i="40"/>
  <c r="IN334" i="40" s="1"/>
  <c r="JF235" i="40"/>
  <c r="HO235" i="40" s="1"/>
  <c r="IP332" i="40"/>
  <c r="IK536" i="40"/>
  <c r="IN536" i="40" s="1"/>
  <c r="II236" i="40"/>
  <c r="IL236" i="40" s="1"/>
  <c r="IJ534" i="40"/>
  <c r="IM534" i="40" s="1"/>
  <c r="AL435" i="40"/>
  <c r="IK235" i="40"/>
  <c r="IN235" i="40" s="1"/>
  <c r="JF535" i="40"/>
  <c r="HO535" i="40" s="1"/>
  <c r="HR535" i="40" s="1"/>
  <c r="IP533" i="40"/>
  <c r="AK334" i="40"/>
  <c r="JF534" i="40"/>
  <c r="HO534" i="40" s="1"/>
  <c r="HR534" i="40" s="1"/>
  <c r="IJ236" i="40"/>
  <c r="IM236" i="40" s="1"/>
  <c r="II436" i="40"/>
  <c r="IL436" i="40" s="1"/>
  <c r="AL237" i="40"/>
  <c r="AK237" i="40"/>
  <c r="JF536" i="40"/>
  <c r="HO536" i="40" s="1"/>
  <c r="HR536" i="40" s="1"/>
  <c r="JF237" i="40"/>
  <c r="HO237" i="40" s="1"/>
  <c r="AL537" i="40"/>
  <c r="IJ436" i="40"/>
  <c r="IM436" i="40" s="1"/>
  <c r="JF236" i="40"/>
  <c r="HO236" i="40" s="1"/>
  <c r="IO334" i="40"/>
  <c r="IO536" i="40"/>
  <c r="AL436" i="40"/>
  <c r="IP235" i="40"/>
  <c r="IJ536" i="40"/>
  <c r="IM536" i="40" s="1"/>
  <c r="IP333" i="40"/>
  <c r="IQ436" i="40"/>
  <c r="IO335" i="40"/>
  <c r="IK436" i="40"/>
  <c r="IN436" i="40" s="1"/>
  <c r="IJ535" i="40"/>
  <c r="IM535" i="40" s="1"/>
  <c r="IP435" i="40"/>
  <c r="AK436" i="40"/>
  <c r="IK237" i="40"/>
  <c r="IN237" i="40" s="1"/>
  <c r="II536" i="40"/>
  <c r="IL536" i="40" s="1"/>
  <c r="IQ437" i="40"/>
  <c r="II237" i="40"/>
  <c r="IL237" i="40" s="1"/>
  <c r="AL536" i="40"/>
  <c r="IP436" i="40"/>
  <c r="IQ536" i="40"/>
  <c r="IK537" i="40"/>
  <c r="IN537" i="40" s="1"/>
  <c r="IQ238" i="40"/>
  <c r="IK538" i="40"/>
  <c r="IN538" i="40" s="1"/>
  <c r="IQ335" i="40"/>
  <c r="IQ336" i="40"/>
  <c r="IQ237" i="40"/>
  <c r="IO238" i="40"/>
  <c r="AK536" i="40"/>
  <c r="JF436" i="40"/>
  <c r="HO436" i="40" s="1"/>
  <c r="HR436" i="40" s="1"/>
  <c r="IP536" i="40"/>
  <c r="JF537" i="40"/>
  <c r="HO537" i="40" s="1"/>
  <c r="HR537" i="40" s="1"/>
  <c r="II537" i="40"/>
  <c r="IL537" i="40" s="1"/>
  <c r="AL437" i="40"/>
  <c r="AL238" i="40"/>
  <c r="IK335" i="40"/>
  <c r="IN335" i="40" s="1"/>
  <c r="II335" i="40"/>
  <c r="IL335" i="40" s="1"/>
  <c r="IJ335" i="40"/>
  <c r="IM335" i="40" s="1"/>
  <c r="AK238" i="40"/>
  <c r="IO436" i="40"/>
  <c r="IP236" i="40"/>
  <c r="IP334" i="40"/>
  <c r="AK336" i="40"/>
  <c r="AK335" i="40"/>
  <c r="IP535" i="40"/>
  <c r="IO437" i="40"/>
  <c r="IJ537" i="40"/>
  <c r="IM537" i="40" s="1"/>
  <c r="IO336" i="40"/>
  <c r="IQ338" i="40"/>
  <c r="IQ537" i="40"/>
  <c r="JF438" i="40"/>
  <c r="HO438" i="40" s="1"/>
  <c r="HR438" i="40" s="1"/>
  <c r="AL335" i="40"/>
  <c r="AK437" i="40"/>
  <c r="IO237" i="40"/>
  <c r="IJ237" i="40"/>
  <c r="IM237" i="40" s="1"/>
  <c r="IP437" i="40"/>
  <c r="JF335" i="40"/>
  <c r="HO335" i="40" s="1"/>
  <c r="HR335" i="40" s="1"/>
  <c r="AK537" i="40"/>
  <c r="IO537" i="40"/>
  <c r="AL336" i="40"/>
  <c r="IO538" i="40"/>
  <c r="AK440" i="40"/>
  <c r="II336" i="40"/>
  <c r="IL336" i="40" s="1"/>
  <c r="IP238" i="40"/>
  <c r="JF238" i="40"/>
  <c r="HO238" i="40" s="1"/>
  <c r="AL337" i="40"/>
  <c r="IJ337" i="40"/>
  <c r="IM337" i="40" s="1"/>
  <c r="JF337" i="40"/>
  <c r="HO337" i="40" s="1"/>
  <c r="HR337" i="40" s="1"/>
  <c r="IK438" i="40"/>
  <c r="IN438" i="40" s="1"/>
  <c r="II538" i="40"/>
  <c r="IL538" i="40" s="1"/>
  <c r="AK239" i="40"/>
  <c r="II337" i="40"/>
  <c r="IL337" i="40" s="1"/>
  <c r="IQ337" i="40"/>
  <c r="II437" i="40"/>
  <c r="IL437" i="40" s="1"/>
  <c r="IQ538" i="40"/>
  <c r="AK337" i="40"/>
  <c r="II240" i="40"/>
  <c r="IL240" i="40" s="1"/>
  <c r="IP438" i="40"/>
  <c r="IQ438" i="40"/>
  <c r="JF336" i="40"/>
  <c r="HO336" i="40" s="1"/>
  <c r="HR336" i="40" s="1"/>
  <c r="JF437" i="40"/>
  <c r="HO437" i="40" s="1"/>
  <c r="HR437" i="40" s="1"/>
  <c r="AK438" i="40"/>
  <c r="AL438" i="40"/>
  <c r="IO337" i="40"/>
  <c r="IJ239" i="40"/>
  <c r="IM239" i="40" s="1"/>
  <c r="AL538" i="40"/>
  <c r="IJ437" i="40"/>
  <c r="IM437" i="40" s="1"/>
  <c r="AK538" i="40"/>
  <c r="II438" i="40"/>
  <c r="IL438" i="40" s="1"/>
  <c r="JF538" i="40"/>
  <c r="HO538" i="40" s="1"/>
  <c r="HR538" i="40" s="1"/>
  <c r="IQ239" i="40"/>
  <c r="IJ438" i="40"/>
  <c r="IM438" i="40" s="1"/>
  <c r="IP336" i="40"/>
  <c r="IP335" i="40"/>
  <c r="IP237" i="40"/>
  <c r="AL338" i="40"/>
  <c r="IK336" i="40"/>
  <c r="IN336" i="40" s="1"/>
  <c r="IJ238" i="40"/>
  <c r="IM238" i="40" s="1"/>
  <c r="JF239" i="40"/>
  <c r="HO239" i="40" s="1"/>
  <c r="IO438" i="40"/>
  <c r="IK437" i="40"/>
  <c r="IN437" i="40" s="1"/>
  <c r="IK239" i="40"/>
  <c r="IN239" i="40" s="1"/>
  <c r="IK337" i="40"/>
  <c r="IN337" i="40" s="1"/>
  <c r="IK439" i="40"/>
  <c r="IN439" i="40" s="1"/>
  <c r="IO239" i="40"/>
  <c r="IP537" i="40"/>
  <c r="II239" i="40"/>
  <c r="IL239" i="40" s="1"/>
  <c r="IJ538" i="40"/>
  <c r="IM538" i="40" s="1"/>
  <c r="IJ336" i="40"/>
  <c r="IM336" i="40" s="1"/>
  <c r="AL239" i="40"/>
  <c r="II238" i="40"/>
  <c r="IL238" i="40" s="1"/>
  <c r="IK238" i="40"/>
  <c r="IN238" i="40" s="1"/>
  <c r="JF539" i="40"/>
  <c r="HO539" i="40" s="1"/>
  <c r="HR539" i="40" s="1"/>
  <c r="IO339" i="40"/>
  <c r="AL241" i="40"/>
  <c r="IO539" i="40"/>
  <c r="AL539" i="40"/>
  <c r="AK539" i="40"/>
  <c r="IO340" i="40"/>
  <c r="AK339" i="40"/>
  <c r="HN539" i="40"/>
  <c r="HQ539" i="40" s="1"/>
  <c r="AL340" i="40"/>
  <c r="IO540" i="40"/>
  <c r="IK240" i="40"/>
  <c r="IN240" i="40" s="1"/>
  <c r="IJ339" i="40"/>
  <c r="IM339" i="40" s="1"/>
  <c r="AL339" i="40"/>
  <c r="IP240" i="40"/>
  <c r="AK338" i="40"/>
  <c r="IP338" i="40"/>
  <c r="AK540" i="40"/>
  <c r="II338" i="40"/>
  <c r="IL338" i="40" s="1"/>
  <c r="IJ539" i="40"/>
  <c r="IM539" i="40" s="1"/>
  <c r="IP337" i="40"/>
  <c r="JF338" i="40"/>
  <c r="HO338" i="40" s="1"/>
  <c r="HR338" i="40" s="1"/>
  <c r="II439" i="40"/>
  <c r="IL439" i="40" s="1"/>
  <c r="IQ241" i="40"/>
  <c r="IK338" i="40"/>
  <c r="IN338" i="40" s="1"/>
  <c r="AL240" i="40"/>
  <c r="II539" i="40"/>
  <c r="IL539" i="40" s="1"/>
  <c r="AL540" i="40"/>
  <c r="AL440" i="40"/>
  <c r="JF439" i="40"/>
  <c r="HO439" i="40" s="1"/>
  <c r="HR439" i="40" s="1"/>
  <c r="IQ339" i="40"/>
  <c r="IJ439" i="40"/>
  <c r="IM439" i="40" s="1"/>
  <c r="IK539" i="40"/>
  <c r="IN539" i="40" s="1"/>
  <c r="AK241" i="40"/>
  <c r="IP241" i="40"/>
  <c r="IQ539" i="40"/>
  <c r="II339" i="40"/>
  <c r="IL339" i="40" s="1"/>
  <c r="IQ439" i="40"/>
  <c r="IP538" i="40"/>
  <c r="IJ338" i="40"/>
  <c r="IM338" i="40" s="1"/>
  <c r="IQ240" i="40"/>
  <c r="IP239" i="40"/>
  <c r="AK240" i="40"/>
  <c r="IO240" i="40"/>
  <c r="IQ440" i="40"/>
  <c r="JF240" i="40"/>
  <c r="HO240" i="40" s="1"/>
  <c r="AL439" i="40"/>
  <c r="IJ240" i="40"/>
  <c r="IM240" i="40" s="1"/>
  <c r="IO439" i="40"/>
  <c r="IO338" i="40"/>
  <c r="AK439" i="40"/>
  <c r="IO440" i="40"/>
  <c r="AK340" i="40"/>
  <c r="IQ540" i="40"/>
  <c r="IK241" i="40"/>
  <c r="IN241" i="40" s="1"/>
  <c r="IP339" i="40"/>
  <c r="IO242" i="40"/>
  <c r="AK542" i="40"/>
  <c r="IK242" i="40"/>
  <c r="IN242" i="40" s="1"/>
  <c r="IJ241" i="40"/>
  <c r="IM241" i="40" s="1"/>
  <c r="IP539" i="40"/>
  <c r="II242" i="40"/>
  <c r="IL242" i="40" s="1"/>
  <c r="AK541" i="40"/>
  <c r="IQ441" i="40"/>
  <c r="IP242" i="40"/>
  <c r="IJ440" i="40"/>
  <c r="IM440" i="40" s="1"/>
  <c r="II540" i="40"/>
  <c r="IL540" i="40" s="1"/>
  <c r="IK339" i="40"/>
  <c r="IN339" i="40" s="1"/>
  <c r="AK441" i="40"/>
  <c r="IQ242" i="40"/>
  <c r="IQ341" i="40"/>
  <c r="IK540" i="40"/>
  <c r="IN540" i="40" s="1"/>
  <c r="JF440" i="40"/>
  <c r="HO440" i="40" s="1"/>
  <c r="HR440" i="40" s="1"/>
  <c r="IK541" i="40"/>
  <c r="IN541" i="40" s="1"/>
  <c r="AL243" i="40"/>
  <c r="IK440" i="40"/>
  <c r="IN440" i="40" s="1"/>
  <c r="IP442" i="40"/>
  <c r="IO241" i="40"/>
  <c r="IO541" i="40"/>
  <c r="IP540" i="40"/>
  <c r="IQ541" i="40"/>
  <c r="JF339" i="40"/>
  <c r="HO339" i="40" s="1"/>
  <c r="HR339" i="40" s="1"/>
  <c r="IJ242" i="40"/>
  <c r="IM242" i="40" s="1"/>
  <c r="IP439" i="40"/>
  <c r="IJ441" i="40"/>
  <c r="IM441" i="40" s="1"/>
  <c r="JF241" i="40"/>
  <c r="HO241" i="40" s="1"/>
  <c r="IO441" i="40"/>
  <c r="AK243" i="40"/>
  <c r="AL541" i="40"/>
  <c r="II241" i="40"/>
  <c r="IL241" i="40" s="1"/>
  <c r="IQ542" i="40"/>
  <c r="AL242" i="40"/>
  <c r="AK242" i="40"/>
  <c r="JF243" i="40"/>
  <c r="HO243" i="40" s="1"/>
  <c r="JF441" i="40"/>
  <c r="HO441" i="40" s="1"/>
  <c r="HR441" i="40" s="1"/>
  <c r="IJ442" i="40"/>
  <c r="IM442" i="40" s="1"/>
  <c r="IK442" i="40"/>
  <c r="IN442" i="40" s="1"/>
  <c r="IP441" i="40"/>
  <c r="IJ542" i="40"/>
  <c r="IM542" i="40" s="1"/>
  <c r="II441" i="40"/>
  <c r="IL441" i="40" s="1"/>
  <c r="IQ443" i="40"/>
  <c r="JF242" i="40"/>
  <c r="HO242" i="40" s="1"/>
  <c r="IJ540" i="40"/>
  <c r="IM540" i="40" s="1"/>
  <c r="IP440" i="40"/>
  <c r="IQ243" i="40"/>
  <c r="AL542" i="40"/>
  <c r="IP341" i="40"/>
  <c r="JF341" i="40"/>
  <c r="HO341" i="40" s="1"/>
  <c r="HR341" i="40" s="1"/>
  <c r="IK441" i="40"/>
  <c r="IN441" i="40" s="1"/>
  <c r="IQ442" i="40"/>
  <c r="JF540" i="40"/>
  <c r="HO540" i="40" s="1"/>
  <c r="HR540" i="40" s="1"/>
  <c r="II243" i="40"/>
  <c r="IL243" i="40" s="1"/>
  <c r="IK443" i="40"/>
  <c r="IN443" i="40" s="1"/>
  <c r="AL341" i="40"/>
  <c r="IK340" i="40"/>
  <c r="IN340" i="40" s="1"/>
  <c r="JF541" i="40"/>
  <c r="HO541" i="40" s="1"/>
  <c r="HR541" i="40" s="1"/>
  <c r="IQ340" i="40"/>
  <c r="II440" i="40"/>
  <c r="IL440" i="40" s="1"/>
  <c r="AL441" i="40"/>
  <c r="AL442" i="40"/>
  <c r="JF442" i="40"/>
  <c r="HO442" i="40" s="1"/>
  <c r="HR442" i="40" s="1"/>
  <c r="JF542" i="40"/>
  <c r="HO542" i="40" s="1"/>
  <c r="HR542" i="40" s="1"/>
  <c r="II244" i="40"/>
  <c r="IL244" i="40" s="1"/>
  <c r="JF340" i="40"/>
  <c r="HO340" i="40" s="1"/>
  <c r="HR340" i="40" s="1"/>
  <c r="IO243" i="40"/>
  <c r="IO542" i="40"/>
  <c r="IJ340" i="40"/>
  <c r="IM340" i="40" s="1"/>
  <c r="IO341" i="40"/>
  <c r="IJ342" i="40"/>
  <c r="IM342" i="40" s="1"/>
  <c r="AK442" i="40"/>
  <c r="II342" i="40"/>
  <c r="IL342" i="40" s="1"/>
  <c r="IJ243" i="40"/>
  <c r="IM243" i="40" s="1"/>
  <c r="IP340" i="40"/>
  <c r="IP541" i="40"/>
  <c r="IO443" i="40"/>
  <c r="IO442" i="40"/>
  <c r="HM442" i="40"/>
  <c r="HP442" i="40" s="1"/>
  <c r="IQ543" i="40"/>
  <c r="IK542" i="40"/>
  <c r="IN542" i="40" s="1"/>
  <c r="IJ543" i="40"/>
  <c r="IM543" i="40" s="1"/>
  <c r="II340" i="40"/>
  <c r="IL340" i="40" s="1"/>
  <c r="II541" i="40"/>
  <c r="IL541" i="40" s="1"/>
  <c r="IJ341" i="40"/>
  <c r="IM341" i="40" s="1"/>
  <c r="AK341" i="40"/>
  <c r="IK243" i="40"/>
  <c r="IN243" i="40" s="1"/>
  <c r="II442" i="40"/>
  <c r="IL442" i="40" s="1"/>
  <c r="IJ541" i="40"/>
  <c r="IM541" i="40" s="1"/>
  <c r="IP542" i="40"/>
  <c r="II543" i="40"/>
  <c r="IL543" i="40" s="1"/>
  <c r="IO543" i="40"/>
  <c r="AL443" i="40"/>
  <c r="IO444" i="40"/>
  <c r="IK544" i="40"/>
  <c r="IN544" i="40" s="1"/>
  <c r="AK343" i="40"/>
  <c r="IQ245" i="40"/>
  <c r="IQ544" i="40"/>
  <c r="AL245" i="40"/>
  <c r="IJ444" i="40"/>
  <c r="IM444" i="40" s="1"/>
  <c r="IK244" i="40"/>
  <c r="IN244" i="40" s="1"/>
  <c r="IO244" i="40"/>
  <c r="IO245" i="40"/>
  <c r="AK443" i="40"/>
  <c r="AL244" i="40"/>
  <c r="AL342" i="40"/>
  <c r="IQ244" i="40"/>
  <c r="AK244" i="40"/>
  <c r="II341" i="40"/>
  <c r="IL341" i="40" s="1"/>
  <c r="IK341" i="40"/>
  <c r="IN341" i="40" s="1"/>
  <c r="II444" i="40"/>
  <c r="IL444" i="40" s="1"/>
  <c r="JF342" i="40"/>
  <c r="HO342" i="40" s="1"/>
  <c r="HR342" i="40" s="1"/>
  <c r="JF443" i="40"/>
  <c r="HO443" i="40" s="1"/>
  <c r="HR443" i="40" s="1"/>
  <c r="IJ443" i="40"/>
  <c r="IM443" i="40" s="1"/>
  <c r="AK444" i="40"/>
  <c r="IJ244" i="40"/>
  <c r="IM244" i="40" s="1"/>
  <c r="AK544" i="40"/>
  <c r="IP243" i="40"/>
  <c r="JF244" i="40"/>
  <c r="HO244" i="40" s="1"/>
  <c r="AK342" i="40"/>
  <c r="IO342" i="40"/>
  <c r="IK342" i="40"/>
  <c r="IN342" i="40" s="1"/>
  <c r="IQ342" i="40"/>
  <c r="AL444" i="40"/>
  <c r="AL543" i="40"/>
  <c r="II542" i="40"/>
  <c r="IL542" i="40" s="1"/>
  <c r="AL343" i="40"/>
  <c r="AL544" i="40"/>
  <c r="IK444" i="40"/>
  <c r="IN444" i="40" s="1"/>
  <c r="IP444" i="40"/>
  <c r="IK543" i="40"/>
  <c r="IN543" i="40" s="1"/>
  <c r="AK543" i="40"/>
  <c r="IO343" i="40"/>
  <c r="IO544" i="40"/>
  <c r="IK245" i="40"/>
  <c r="IN245" i="40" s="1"/>
  <c r="IQ343" i="40"/>
  <c r="II443" i="40"/>
  <c r="IL443" i="40" s="1"/>
  <c r="IO344" i="40"/>
  <c r="II544" i="40"/>
  <c r="IL544" i="40" s="1"/>
  <c r="IJ344" i="40"/>
  <c r="IM344" i="40" s="1"/>
  <c r="IO246" i="40"/>
  <c r="II545" i="40"/>
  <c r="IL545" i="40" s="1"/>
  <c r="IQ247" i="40"/>
  <c r="IP445" i="40"/>
  <c r="IP544" i="40"/>
  <c r="IJ544" i="40"/>
  <c r="IM544" i="40" s="1"/>
  <c r="IO545" i="40"/>
  <c r="AL545" i="40"/>
  <c r="AL445" i="40"/>
  <c r="IP343" i="40"/>
  <c r="JF245" i="40"/>
  <c r="HO245" i="40" s="1"/>
  <c r="IQ444" i="40"/>
  <c r="IJ245" i="40"/>
  <c r="IM245" i="40" s="1"/>
  <c r="IQ445" i="40"/>
  <c r="HN245" i="40"/>
  <c r="IQ545" i="40"/>
  <c r="IK246" i="40"/>
  <c r="IN246" i="40" s="1"/>
  <c r="AK545" i="40"/>
  <c r="IK344" i="40"/>
  <c r="IN344" i="40" s="1"/>
  <c r="AK546" i="40"/>
  <c r="JF344" i="40"/>
  <c r="HO344" i="40" s="1"/>
  <c r="HR344" i="40" s="1"/>
  <c r="JF343" i="40"/>
  <c r="HO343" i="40" s="1"/>
  <c r="HR343" i="40" s="1"/>
  <c r="IQ246" i="40"/>
  <c r="IJ246" i="40"/>
  <c r="IM246" i="40" s="1"/>
  <c r="IO445" i="40"/>
  <c r="II343" i="40"/>
  <c r="IL343" i="40" s="1"/>
  <c r="JF543" i="40"/>
  <c r="HO543" i="40" s="1"/>
  <c r="HR543" i="40" s="1"/>
  <c r="IJ445" i="40"/>
  <c r="IM445" i="40" s="1"/>
  <c r="JF445" i="40"/>
  <c r="HO445" i="40" s="1"/>
  <c r="HR445" i="40" s="1"/>
  <c r="IP244" i="40"/>
  <c r="HM245" i="40"/>
  <c r="JF544" i="40"/>
  <c r="HO544" i="40" s="1"/>
  <c r="HR544" i="40" s="1"/>
  <c r="AK245" i="40"/>
  <c r="IP342" i="40"/>
  <c r="AK246" i="40"/>
  <c r="II245" i="40"/>
  <c r="IL245" i="40" s="1"/>
  <c r="IP543" i="40"/>
  <c r="IP443" i="40"/>
  <c r="AK344" i="40"/>
  <c r="IJ343" i="40"/>
  <c r="IM343" i="40" s="1"/>
  <c r="IK343" i="40"/>
  <c r="IN343" i="40" s="1"/>
  <c r="JF444" i="40"/>
  <c r="HO444" i="40" s="1"/>
  <c r="HR444" i="40" s="1"/>
  <c r="IQ344" i="40"/>
  <c r="IQ546" i="40"/>
  <c r="IP545" i="40"/>
  <c r="IK445" i="40"/>
  <c r="IN445" i="40" s="1"/>
  <c r="II445" i="40"/>
  <c r="IL445" i="40" s="1"/>
  <c r="AK445" i="40"/>
  <c r="AK247" i="40"/>
  <c r="AK447" i="40"/>
  <c r="II248" i="40"/>
  <c r="IL248" i="40" s="1"/>
  <c r="AL344" i="40"/>
  <c r="AL247" i="40"/>
  <c r="IQ345" i="40"/>
  <c r="JF547" i="40"/>
  <c r="HO547" i="40" s="1"/>
  <c r="HR547" i="40" s="1"/>
  <c r="IK545" i="40"/>
  <c r="IN545" i="40" s="1"/>
  <c r="JF545" i="40"/>
  <c r="HO545" i="40" s="1"/>
  <c r="HR545" i="40" s="1"/>
  <c r="JF246" i="40"/>
  <c r="HO246" i="40" s="1"/>
  <c r="IO247" i="40"/>
  <c r="IP245" i="40"/>
  <c r="IO446" i="40"/>
  <c r="AL345" i="40"/>
  <c r="IO547" i="40"/>
  <c r="IJ545" i="40"/>
  <c r="IM545" i="40" s="1"/>
  <c r="HM545" i="40"/>
  <c r="HP545" i="40" s="1"/>
  <c r="IK446" i="40"/>
  <c r="IN446" i="40" s="1"/>
  <c r="AK346" i="40"/>
  <c r="AL346" i="40"/>
  <c r="AL446" i="40"/>
  <c r="AL246" i="40"/>
  <c r="AK446" i="40"/>
  <c r="AL248" i="40"/>
  <c r="AK345" i="40"/>
  <c r="AK547" i="40"/>
  <c r="IP344" i="40"/>
  <c r="JF446" i="40"/>
  <c r="HO446" i="40" s="1"/>
  <c r="HR446" i="40" s="1"/>
  <c r="IK345" i="40"/>
  <c r="IN345" i="40" s="1"/>
  <c r="IJ446" i="40"/>
  <c r="IM446" i="40" s="1"/>
  <c r="IQ447" i="40"/>
  <c r="IO345" i="40"/>
  <c r="IJ345" i="40"/>
  <c r="IM345" i="40" s="1"/>
  <c r="IQ446" i="40"/>
  <c r="IP247" i="40"/>
  <c r="IP246" i="40"/>
  <c r="JF247" i="40"/>
  <c r="HO247" i="40" s="1"/>
  <c r="IJ447" i="40"/>
  <c r="IM447" i="40" s="1"/>
  <c r="IQ547" i="40"/>
  <c r="JF546" i="40"/>
  <c r="HO546" i="40" s="1"/>
  <c r="HR546" i="40" s="1"/>
  <c r="IJ248" i="40"/>
  <c r="IM248" i="40" s="1"/>
  <c r="IO546" i="40"/>
  <c r="II446" i="40"/>
  <c r="IL446" i="40" s="1"/>
  <c r="IQ346" i="40"/>
  <c r="JF345" i="40"/>
  <c r="HO345" i="40" s="1"/>
  <c r="HR345" i="40" s="1"/>
  <c r="II447" i="40"/>
  <c r="IL447" i="40" s="1"/>
  <c r="IQ248" i="40"/>
  <c r="IK247" i="40"/>
  <c r="IN247" i="40" s="1"/>
  <c r="IO248" i="40"/>
  <c r="II345" i="40"/>
  <c r="IL345" i="40" s="1"/>
  <c r="AL547" i="40"/>
  <c r="JF248" i="40"/>
  <c r="HO248" i="40" s="1"/>
  <c r="AL447" i="40"/>
  <c r="II546" i="40"/>
  <c r="IL546" i="40" s="1"/>
  <c r="IK546" i="40"/>
  <c r="IN546" i="40" s="1"/>
  <c r="AL546" i="40"/>
  <c r="IP547" i="40"/>
  <c r="II344" i="40"/>
  <c r="IL344" i="40" s="1"/>
  <c r="IO346" i="40"/>
  <c r="IJ247" i="40"/>
  <c r="IM247" i="40" s="1"/>
  <c r="AK248" i="40"/>
  <c r="IJ546" i="40"/>
  <c r="IM546" i="40" s="1"/>
  <c r="IJ249" i="40"/>
  <c r="IM249" i="40" s="1"/>
  <c r="II547" i="40"/>
  <c r="IL547" i="40" s="1"/>
  <c r="II246" i="40"/>
  <c r="IL246" i="40" s="1"/>
  <c r="II247" i="40"/>
  <c r="IL247" i="40" s="1"/>
  <c r="IQ249" i="40"/>
  <c r="IP546" i="40"/>
  <c r="JF448" i="40"/>
  <c r="HO448" i="40" s="1"/>
  <c r="HR448" i="40" s="1"/>
  <c r="IP345" i="40"/>
  <c r="AL448" i="40"/>
  <c r="JF548" i="40"/>
  <c r="HO548" i="40" s="1"/>
  <c r="HR548" i="40" s="1"/>
  <c r="IK448" i="40"/>
  <c r="IN448" i="40" s="1"/>
  <c r="JF347" i="40"/>
  <c r="HO347" i="40" s="1"/>
  <c r="HR347" i="40" s="1"/>
  <c r="IO548" i="40"/>
  <c r="IK347" i="40"/>
  <c r="IN347" i="40" s="1"/>
  <c r="IK548" i="40"/>
  <c r="IN548" i="40" s="1"/>
  <c r="IO447" i="40"/>
  <c r="IK248" i="40"/>
  <c r="IN248" i="40" s="1"/>
  <c r="II346" i="40"/>
  <c r="IL346" i="40" s="1"/>
  <c r="IQ548" i="40"/>
  <c r="IJ547" i="40"/>
  <c r="IM547" i="40" s="1"/>
  <c r="IO249" i="40"/>
  <c r="AK249" i="40"/>
  <c r="JF346" i="40"/>
  <c r="HO346" i="40" s="1"/>
  <c r="HR346" i="40" s="1"/>
  <c r="IP248" i="40"/>
  <c r="IJ548" i="40"/>
  <c r="IM548" i="40" s="1"/>
  <c r="IP447" i="40"/>
  <c r="AK548" i="40"/>
  <c r="JF249" i="40"/>
  <c r="HO249" i="40" s="1"/>
  <c r="AK448" i="40"/>
  <c r="AK347" i="40"/>
  <c r="IJ346" i="40"/>
  <c r="IM346" i="40" s="1"/>
  <c r="IK447" i="40"/>
  <c r="IN447" i="40" s="1"/>
  <c r="IJ448" i="40"/>
  <c r="IM448" i="40" s="1"/>
  <c r="IO448" i="40"/>
  <c r="IQ347" i="40"/>
  <c r="II548" i="40"/>
  <c r="IL548" i="40" s="1"/>
  <c r="IP347" i="40"/>
  <c r="AL249" i="40"/>
  <c r="IP346" i="40"/>
  <c r="IJ549" i="40"/>
  <c r="IM549" i="40" s="1"/>
  <c r="II450" i="40"/>
  <c r="IL450" i="40" s="1"/>
  <c r="IK549" i="40"/>
  <c r="IN549" i="40" s="1"/>
  <c r="IO250" i="40"/>
  <c r="IP348" i="40"/>
  <c r="AL347" i="40"/>
  <c r="II249" i="40"/>
  <c r="IL249" i="40" s="1"/>
  <c r="AL548" i="40"/>
  <c r="IP446" i="40"/>
  <c r="IO347" i="40"/>
  <c r="II347" i="40"/>
  <c r="IL347" i="40" s="1"/>
  <c r="IQ549" i="40"/>
  <c r="IK346" i="40"/>
  <c r="IN346" i="40" s="1"/>
  <c r="IQ448" i="40"/>
  <c r="HN548" i="40"/>
  <c r="HQ548" i="40" s="1"/>
  <c r="IQ348" i="40"/>
  <c r="JF449" i="40"/>
  <c r="HO449" i="40" s="1"/>
  <c r="HR449" i="40" s="1"/>
  <c r="IP249" i="40"/>
  <c r="IJ347" i="40"/>
  <c r="IM347" i="40" s="1"/>
  <c r="IK547" i="40"/>
  <c r="IN547" i="40" s="1"/>
  <c r="IK249" i="40"/>
  <c r="IN249" i="40" s="1"/>
  <c r="JF447" i="40"/>
  <c r="HO447" i="40" s="1"/>
  <c r="HR447" i="40" s="1"/>
  <c r="AK349" i="40"/>
  <c r="IJ349" i="40"/>
  <c r="IM349" i="40" s="1"/>
  <c r="AL450" i="40"/>
  <c r="IK250" i="40"/>
  <c r="IN250" i="40" s="1"/>
  <c r="IO349" i="40"/>
  <c r="II250" i="40"/>
  <c r="IL250" i="40" s="1"/>
  <c r="IP548" i="40"/>
  <c r="IP549" i="40"/>
  <c r="IJ348" i="40"/>
  <c r="IM348" i="40" s="1"/>
  <c r="AK449" i="40"/>
  <c r="IO550" i="40"/>
  <c r="IQ251" i="40"/>
  <c r="AK549" i="40"/>
  <c r="IP550" i="40"/>
  <c r="AL251" i="40"/>
  <c r="IK449" i="40"/>
  <c r="IN449" i="40" s="1"/>
  <c r="AL449" i="40"/>
  <c r="AL348" i="40"/>
  <c r="AK348" i="40"/>
  <c r="IK348" i="40"/>
  <c r="IN348" i="40" s="1"/>
  <c r="JF549" i="40"/>
  <c r="HO549" i="40" s="1"/>
  <c r="HR549" i="40" s="1"/>
  <c r="AL250" i="40"/>
  <c r="AK251" i="40"/>
  <c r="IO549" i="40"/>
  <c r="IQ250" i="40"/>
  <c r="II449" i="40"/>
  <c r="IL449" i="40" s="1"/>
  <c r="AK450" i="40"/>
  <c r="AL550" i="40"/>
  <c r="IP448" i="40"/>
  <c r="IQ550" i="40"/>
  <c r="JF250" i="40"/>
  <c r="HO250" i="40" s="1"/>
  <c r="IQ449" i="40"/>
  <c r="II549" i="40"/>
  <c r="IL549" i="40" s="1"/>
  <c r="IO348" i="40"/>
  <c r="AL549" i="40"/>
  <c r="IQ450" i="40"/>
  <c r="AL349" i="40"/>
  <c r="IO450" i="40"/>
  <c r="AK250" i="40"/>
  <c r="IJ449" i="40"/>
  <c r="IM449" i="40" s="1"/>
  <c r="II251" i="40"/>
  <c r="IL251" i="40" s="1"/>
  <c r="II348" i="40"/>
  <c r="IL348" i="40" s="1"/>
  <c r="IJ550" i="40"/>
  <c r="IM550" i="40" s="1"/>
  <c r="JF348" i="40"/>
  <c r="HO348" i="40" s="1"/>
  <c r="HR348" i="40" s="1"/>
  <c r="IQ349" i="40"/>
  <c r="IP449" i="40"/>
  <c r="AK550" i="40"/>
  <c r="AL350" i="40"/>
  <c r="JF450" i="40"/>
  <c r="HO450" i="40" s="1"/>
  <c r="HR450" i="40" s="1"/>
  <c r="IK550" i="40"/>
  <c r="IN550" i="40" s="1"/>
  <c r="AK551" i="40"/>
  <c r="IO451" i="40"/>
  <c r="IQ451" i="40"/>
  <c r="AK453" i="40"/>
  <c r="IO449" i="40"/>
  <c r="II448" i="40"/>
  <c r="IL448" i="40" s="1"/>
  <c r="IO251" i="40"/>
  <c r="IK450" i="40"/>
  <c r="IN450" i="40" s="1"/>
  <c r="IO252" i="40"/>
  <c r="II349" i="40"/>
  <c r="IL349" i="40" s="1"/>
  <c r="AL451" i="40"/>
  <c r="IP250" i="40"/>
  <c r="IJ251" i="40"/>
  <c r="IM251" i="40" s="1"/>
  <c r="JF550" i="40"/>
  <c r="HO550" i="40" s="1"/>
  <c r="HR550" i="40" s="1"/>
  <c r="II550" i="40"/>
  <c r="IL550" i="40" s="1"/>
  <c r="IJ250" i="40"/>
  <c r="IM250" i="40" s="1"/>
  <c r="JF349" i="40"/>
  <c r="HO349" i="40" s="1"/>
  <c r="HR349" i="40" s="1"/>
  <c r="IQ350" i="40"/>
  <c r="IK551" i="40"/>
  <c r="IN551" i="40" s="1"/>
  <c r="JF251" i="40"/>
  <c r="HO251" i="40" s="1"/>
  <c r="IP251" i="40"/>
  <c r="IP349" i="40"/>
  <c r="AK350" i="40"/>
  <c r="JF551" i="40"/>
  <c r="HO551" i="40" s="1"/>
  <c r="HR551" i="40" s="1"/>
  <c r="IQ452" i="40"/>
  <c r="AL552" i="40"/>
  <c r="AK351" i="40"/>
  <c r="II551" i="40"/>
  <c r="IL551" i="40" s="1"/>
  <c r="IQ552" i="40"/>
  <c r="AL551" i="40"/>
  <c r="AK252" i="40"/>
  <c r="II252" i="40"/>
  <c r="IL252" i="40" s="1"/>
  <c r="IK349" i="40"/>
  <c r="IN349" i="40" s="1"/>
  <c r="IQ252" i="40"/>
  <c r="IJ450" i="40"/>
  <c r="IM450" i="40" s="1"/>
  <c r="IK251" i="40"/>
  <c r="IN251" i="40" s="1"/>
  <c r="IJ351" i="40"/>
  <c r="IM351" i="40" s="1"/>
  <c r="AL253" i="40"/>
  <c r="JF252" i="40"/>
  <c r="HO252" i="40" s="1"/>
  <c r="JF350" i="40"/>
  <c r="HO350" i="40" s="1"/>
  <c r="HR350" i="40" s="1"/>
  <c r="IJ551" i="40"/>
  <c r="IM551" i="40" s="1"/>
  <c r="II451" i="40"/>
  <c r="IL451" i="40" s="1"/>
  <c r="AL252" i="40"/>
  <c r="IK451" i="40"/>
  <c r="IN451" i="40" s="1"/>
  <c r="IP450" i="40"/>
  <c r="IO350" i="40"/>
  <c r="IO551" i="40"/>
  <c r="IK252" i="40"/>
  <c r="IN252" i="40" s="1"/>
  <c r="AL351" i="40"/>
  <c r="IJ350" i="40"/>
  <c r="IM350" i="40" s="1"/>
  <c r="IQ551" i="40"/>
  <c r="AK451" i="40"/>
  <c r="IQ253" i="40"/>
  <c r="JF553" i="40"/>
  <c r="HO553" i="40" s="1"/>
  <c r="HR553" i="40" s="1"/>
  <c r="IQ255" i="40"/>
  <c r="IO253" i="40"/>
  <c r="II351" i="40"/>
  <c r="IL351" i="40" s="1"/>
  <c r="AK552" i="40"/>
  <c r="IJ451" i="40"/>
  <c r="IM451" i="40" s="1"/>
  <c r="IJ253" i="40"/>
  <c r="IM253" i="40" s="1"/>
  <c r="IP254" i="40"/>
  <c r="AK553" i="40"/>
  <c r="IO352" i="40"/>
  <c r="IK553" i="40"/>
  <c r="IN553" i="40" s="1"/>
  <c r="IO553" i="40"/>
  <c r="II254" i="40"/>
  <c r="IL254" i="40" s="1"/>
  <c r="II552" i="40"/>
  <c r="IL552" i="40" s="1"/>
  <c r="IJ352" i="40"/>
  <c r="IM352" i="40" s="1"/>
  <c r="II452" i="40"/>
  <c r="IL452" i="40" s="1"/>
  <c r="JF452" i="40"/>
  <c r="HO452" i="40" s="1"/>
  <c r="HR452" i="40" s="1"/>
  <c r="IO254" i="40"/>
  <c r="JF451" i="40"/>
  <c r="HO451" i="40" s="1"/>
  <c r="HR451" i="40" s="1"/>
  <c r="IJ552" i="40"/>
  <c r="IM552" i="40" s="1"/>
  <c r="AL553" i="40"/>
  <c r="IP551" i="40"/>
  <c r="AL352" i="40"/>
  <c r="JF351" i="40"/>
  <c r="HO351" i="40" s="1"/>
  <c r="HR351" i="40" s="1"/>
  <c r="IK253" i="40"/>
  <c r="IN253" i="40" s="1"/>
  <c r="IO351" i="40"/>
  <c r="IJ255" i="40"/>
  <c r="IM255" i="40" s="1"/>
  <c r="IP553" i="40"/>
  <c r="IQ553" i="40"/>
  <c r="AL254" i="40"/>
  <c r="JF552" i="40"/>
  <c r="HO552" i="40" s="1"/>
  <c r="HR552" i="40" s="1"/>
  <c r="IJ252" i="40"/>
  <c r="IM252" i="40" s="1"/>
  <c r="IK351" i="40"/>
  <c r="IN351" i="40" s="1"/>
  <c r="IK254" i="40"/>
  <c r="IN254" i="40" s="1"/>
  <c r="AK452" i="40"/>
  <c r="IJ254" i="40"/>
  <c r="IM254" i="40" s="1"/>
  <c r="AK352" i="40"/>
  <c r="IK352" i="40"/>
  <c r="IN352" i="40" s="1"/>
  <c r="IQ352" i="40"/>
  <c r="IK452" i="40"/>
  <c r="IN452" i="40" s="1"/>
  <c r="AL452" i="40"/>
  <c r="IP252" i="40"/>
  <c r="IO353" i="40"/>
  <c r="IP350" i="40"/>
  <c r="IO452" i="40"/>
  <c r="AK253" i="40"/>
  <c r="IP351" i="40"/>
  <c r="II453" i="40"/>
  <c r="IL453" i="40" s="1"/>
  <c r="AL453" i="40"/>
  <c r="IO552" i="40"/>
  <c r="IP451" i="40"/>
  <c r="II350" i="40"/>
  <c r="IL350" i="40" s="1"/>
  <c r="IQ351" i="40"/>
  <c r="II253" i="40"/>
  <c r="IL253" i="40" s="1"/>
  <c r="IK350" i="40"/>
  <c r="IN350" i="40" s="1"/>
  <c r="IK552" i="40"/>
  <c r="IN552" i="40" s="1"/>
  <c r="IK453" i="40"/>
  <c r="IN453" i="40" s="1"/>
  <c r="IJ356" i="40"/>
  <c r="IM356" i="40" s="1"/>
  <c r="IP552" i="40"/>
  <c r="II352" i="40"/>
  <c r="IL352" i="40" s="1"/>
  <c r="IP452" i="40"/>
  <c r="II554" i="40"/>
  <c r="IL554" i="40" s="1"/>
  <c r="IJ554" i="40"/>
  <c r="IM554" i="40" s="1"/>
  <c r="IO255" i="40"/>
  <c r="AK254" i="40"/>
  <c r="IO454" i="40"/>
  <c r="IQ555" i="40"/>
  <c r="AK255" i="40"/>
  <c r="AK554" i="40"/>
  <c r="JF554" i="40"/>
  <c r="HO554" i="40" s="1"/>
  <c r="HR554" i="40" s="1"/>
  <c r="IJ553" i="40"/>
  <c r="IM553" i="40" s="1"/>
  <c r="AK353" i="40"/>
  <c r="AL354" i="40"/>
  <c r="IO453" i="40"/>
  <c r="AL255" i="40"/>
  <c r="IJ454" i="40"/>
  <c r="IM454" i="40" s="1"/>
  <c r="IQ453" i="40"/>
  <c r="IO554" i="40"/>
  <c r="AK454" i="40"/>
  <c r="II454" i="40"/>
  <c r="IL454" i="40" s="1"/>
  <c r="IP352" i="40"/>
  <c r="IQ454" i="40"/>
  <c r="AK455" i="40"/>
  <c r="IK554" i="40"/>
  <c r="IN554" i="40" s="1"/>
  <c r="JF352" i="40"/>
  <c r="HO352" i="40" s="1"/>
  <c r="HR352" i="40" s="1"/>
  <c r="IQ554" i="40"/>
  <c r="AK555" i="40"/>
  <c r="IP253" i="40"/>
  <c r="AL353" i="40"/>
  <c r="JF254" i="40"/>
  <c r="HO254" i="40" s="1"/>
  <c r="AL454" i="40"/>
  <c r="IQ353" i="40"/>
  <c r="IJ353" i="40"/>
  <c r="IM353" i="40" s="1"/>
  <c r="IJ452" i="40"/>
  <c r="IM452" i="40" s="1"/>
  <c r="JF253" i="40"/>
  <c r="HO253" i="40" s="1"/>
  <c r="AL554" i="40"/>
  <c r="IK255" i="40"/>
  <c r="IN255" i="40" s="1"/>
  <c r="IO555" i="40"/>
  <c r="IP453" i="40"/>
  <c r="JF255" i="40"/>
  <c r="HO255" i="40" s="1"/>
  <c r="AL555" i="40"/>
  <c r="II553" i="40"/>
  <c r="IL553" i="40" s="1"/>
  <c r="IP255" i="40"/>
  <c r="IQ254" i="40"/>
  <c r="IJ453" i="40"/>
  <c r="IM453" i="40" s="1"/>
  <c r="JF453" i="40"/>
  <c r="HO453" i="40" s="1"/>
  <c r="HR453" i="40" s="1"/>
  <c r="IJ354" i="40"/>
  <c r="IM354" i="40" s="1"/>
  <c r="IJ556" i="40"/>
  <c r="IM556" i="40" s="1"/>
  <c r="IK256" i="40"/>
  <c r="IN256" i="40" s="1"/>
  <c r="AL455" i="40"/>
  <c r="JF555" i="40"/>
  <c r="HO555" i="40" s="1"/>
  <c r="HR555" i="40" s="1"/>
  <c r="IJ256" i="40"/>
  <c r="IM256" i="40" s="1"/>
  <c r="IK456" i="40"/>
  <c r="IN456" i="40" s="1"/>
  <c r="AL257" i="40"/>
  <c r="IK555" i="40"/>
  <c r="IN555" i="40" s="1"/>
  <c r="II257" i="40"/>
  <c r="IL257" i="40" s="1"/>
  <c r="JF256" i="40"/>
  <c r="HO256" i="40" s="1"/>
  <c r="AK257" i="40"/>
  <c r="IO354" i="40"/>
  <c r="II255" i="40"/>
  <c r="IL255" i="40" s="1"/>
  <c r="AK456" i="40"/>
  <c r="IQ455" i="40"/>
  <c r="IJ257" i="40"/>
  <c r="IM257" i="40" s="1"/>
  <c r="II556" i="40"/>
  <c r="IL556" i="40" s="1"/>
  <c r="AL456" i="40"/>
  <c r="JF454" i="40"/>
  <c r="HO454" i="40" s="1"/>
  <c r="HR454" i="40" s="1"/>
  <c r="II455" i="40"/>
  <c r="IL455" i="40" s="1"/>
  <c r="IJ456" i="40"/>
  <c r="IM456" i="40" s="1"/>
  <c r="IO456" i="40"/>
  <c r="AK354" i="40"/>
  <c r="AL256" i="40"/>
  <c r="JF456" i="40"/>
  <c r="HO456" i="40" s="1"/>
  <c r="HR456" i="40" s="1"/>
  <c r="IO455" i="40"/>
  <c r="IK454" i="40"/>
  <c r="IN454" i="40" s="1"/>
  <c r="IK353" i="40"/>
  <c r="IN353" i="40" s="1"/>
  <c r="IO556" i="40"/>
  <c r="IJ455" i="40"/>
  <c r="IM455" i="40" s="1"/>
  <c r="IP454" i="40"/>
  <c r="IO256" i="40"/>
  <c r="AK355" i="40"/>
  <c r="IP353" i="40"/>
  <c r="II354" i="40"/>
  <c r="IL354" i="40" s="1"/>
  <c r="IQ257" i="40"/>
  <c r="IP554" i="40"/>
  <c r="JF353" i="40"/>
  <c r="HO353" i="40" s="1"/>
  <c r="HR353" i="40" s="1"/>
  <c r="JF257" i="40"/>
  <c r="HO257" i="40" s="1"/>
  <c r="AK556" i="40"/>
  <c r="IQ256" i="40"/>
  <c r="IP354" i="40"/>
  <c r="JF258" i="40"/>
  <c r="HO258" i="40" s="1"/>
  <c r="IP355" i="40"/>
  <c r="IK455" i="40"/>
  <c r="IN455" i="40" s="1"/>
  <c r="AL557" i="40"/>
  <c r="JF455" i="40"/>
  <c r="HO455" i="40" s="1"/>
  <c r="HR455" i="40" s="1"/>
  <c r="II256" i="40"/>
  <c r="IL256" i="40" s="1"/>
  <c r="IJ555" i="40"/>
  <c r="IM555" i="40" s="1"/>
  <c r="II353" i="40"/>
  <c r="IL353" i="40" s="1"/>
  <c r="AL355" i="40"/>
  <c r="AK256" i="40"/>
  <c r="IP256" i="40"/>
  <c r="IQ457" i="40"/>
  <c r="IO457" i="40"/>
  <c r="IO356" i="40"/>
  <c r="AK457" i="40"/>
  <c r="IK257" i="40"/>
  <c r="IN257" i="40" s="1"/>
  <c r="II258" i="40"/>
  <c r="IL258" i="40" s="1"/>
  <c r="IK354" i="40"/>
  <c r="IN354" i="40" s="1"/>
  <c r="IO557" i="40"/>
  <c r="IO257" i="40"/>
  <c r="JF354" i="40"/>
  <c r="HO354" i="40" s="1"/>
  <c r="HR354" i="40" s="1"/>
  <c r="II456" i="40"/>
  <c r="IL456" i="40" s="1"/>
  <c r="IP555" i="40"/>
  <c r="IQ354" i="40"/>
  <c r="IP455" i="40"/>
  <c r="IP258" i="40"/>
  <c r="JF355" i="40"/>
  <c r="HO355" i="40" s="1"/>
  <c r="HR355" i="40" s="1"/>
  <c r="AL258" i="40"/>
  <c r="IJ457" i="40"/>
  <c r="IM457" i="40" s="1"/>
  <c r="AK558" i="40"/>
  <c r="AL458" i="40"/>
  <c r="IO258" i="40"/>
  <c r="IQ356" i="40"/>
  <c r="JF557" i="40"/>
  <c r="HO557" i="40" s="1"/>
  <c r="HR557" i="40" s="1"/>
  <c r="IK457" i="40"/>
  <c r="IN457" i="40" s="1"/>
  <c r="IK355" i="40"/>
  <c r="IN355" i="40" s="1"/>
  <c r="IK557" i="40"/>
  <c r="IN557" i="40" s="1"/>
  <c r="IP556" i="40"/>
  <c r="IO458" i="40"/>
  <c r="IP456" i="40"/>
  <c r="IK356" i="40"/>
  <c r="IN356" i="40" s="1"/>
  <c r="AK258" i="40"/>
  <c r="II356" i="40"/>
  <c r="IL356" i="40" s="1"/>
  <c r="II355" i="40"/>
  <c r="IL355" i="40" s="1"/>
  <c r="IP257" i="40"/>
  <c r="AL556" i="40"/>
  <c r="II555" i="40"/>
  <c r="IL555" i="40" s="1"/>
  <c r="IJ557" i="40"/>
  <c r="IM557" i="40" s="1"/>
  <c r="AK356" i="40"/>
  <c r="IQ355" i="40"/>
  <c r="IQ556" i="40"/>
  <c r="IQ258" i="40"/>
  <c r="IQ458" i="40"/>
  <c r="AL457" i="40"/>
  <c r="JF356" i="40"/>
  <c r="HO356" i="40" s="1"/>
  <c r="HR356" i="40" s="1"/>
  <c r="IQ557" i="40"/>
  <c r="IK258" i="40"/>
  <c r="IN258" i="40" s="1"/>
  <c r="IQ456" i="40"/>
  <c r="IK556" i="40"/>
  <c r="IN556" i="40" s="1"/>
  <c r="IO355" i="40"/>
  <c r="JF556" i="40"/>
  <c r="HO556" i="40" s="1"/>
  <c r="HR556" i="40" s="1"/>
  <c r="AL357" i="40"/>
  <c r="AL259" i="40"/>
  <c r="IQ358" i="40"/>
  <c r="AK557" i="40"/>
  <c r="IJ355" i="40"/>
  <c r="IM355" i="40" s="1"/>
  <c r="II457" i="40"/>
  <c r="IL457" i="40" s="1"/>
  <c r="AL356" i="40"/>
  <c r="JF457" i="40"/>
  <c r="HO457" i="40" s="1"/>
  <c r="HR457" i="40" s="1"/>
  <c r="AK458" i="40"/>
  <c r="IO357" i="40"/>
  <c r="IQ357" i="40"/>
  <c r="IJ259" i="40"/>
  <c r="IM259" i="40" s="1"/>
  <c r="IJ357" i="40"/>
  <c r="IM357" i="40" s="1"/>
  <c r="IP557" i="40"/>
  <c r="AL558" i="40"/>
  <c r="JF458" i="40"/>
  <c r="HO458" i="40" s="1"/>
  <c r="HR458" i="40" s="1"/>
  <c r="IQ259" i="40"/>
  <c r="JF259" i="40"/>
  <c r="HO259" i="40" s="1"/>
  <c r="JF357" i="40"/>
  <c r="HO357" i="40" s="1"/>
  <c r="HR357" i="40" s="1"/>
  <c r="II558" i="40"/>
  <c r="IL558" i="40" s="1"/>
  <c r="II458" i="40"/>
  <c r="IL458" i="40" s="1"/>
  <c r="IQ558" i="40"/>
  <c r="IK259" i="40"/>
  <c r="IN259" i="40" s="1"/>
  <c r="HM458" i="40"/>
  <c r="HP458" i="40" s="1"/>
  <c r="II557" i="40"/>
  <c r="IL557" i="40" s="1"/>
  <c r="IP458" i="40"/>
  <c r="IO558" i="40"/>
  <c r="IJ458" i="40"/>
  <c r="IM458" i="40" s="1"/>
  <c r="IP356" i="40"/>
  <c r="IJ258" i="40"/>
  <c r="IM258" i="40" s="1"/>
  <c r="IP457" i="40"/>
  <c r="IP357" i="40"/>
  <c r="II259" i="40"/>
  <c r="IL259" i="40" s="1"/>
  <c r="JF558" i="40"/>
  <c r="HO558" i="40" s="1"/>
  <c r="HR558" i="40" s="1"/>
  <c r="IJ558" i="40"/>
  <c r="IM558" i="40" s="1"/>
  <c r="II357" i="40"/>
  <c r="IL357" i="40" s="1"/>
  <c r="IP259" i="40"/>
  <c r="AK357" i="40"/>
  <c r="IK558" i="40"/>
  <c r="IN558" i="40" s="1"/>
  <c r="IK458" i="40"/>
  <c r="IN458" i="40" s="1"/>
  <c r="AK259" i="40"/>
  <c r="IQ260" i="40"/>
  <c r="IQ261" i="40"/>
  <c r="AL459" i="40"/>
  <c r="IQ559" i="40"/>
  <c r="IO261" i="40"/>
  <c r="IQ560" i="40"/>
  <c r="AK261" i="40"/>
  <c r="IO259" i="40"/>
  <c r="AL261" i="40"/>
  <c r="IJ559" i="40"/>
  <c r="IM559" i="40" s="1"/>
  <c r="AK560" i="40"/>
  <c r="IP558" i="40"/>
  <c r="IP559" i="40"/>
  <c r="AK358" i="40"/>
  <c r="JF559" i="40"/>
  <c r="HO559" i="40" s="1"/>
  <c r="HR559" i="40" s="1"/>
  <c r="IO459" i="40"/>
  <c r="II358" i="40"/>
  <c r="IL358" i="40" s="1"/>
  <c r="AL358" i="40"/>
  <c r="AL559" i="40"/>
  <c r="IK357" i="40"/>
  <c r="IN357" i="40" s="1"/>
  <c r="AK459" i="40"/>
  <c r="II260" i="40"/>
  <c r="IL260" i="40" s="1"/>
  <c r="IO260" i="40"/>
  <c r="IK460" i="40"/>
  <c r="IN460" i="40" s="1"/>
  <c r="JF260" i="40"/>
  <c r="HO260" i="40" s="1"/>
  <c r="IJ460" i="40"/>
  <c r="IM460" i="40" s="1"/>
  <c r="AK559" i="40"/>
  <c r="IJ459" i="40"/>
  <c r="IM459" i="40" s="1"/>
  <c r="IK260" i="40"/>
  <c r="IN260" i="40" s="1"/>
  <c r="IJ358" i="40"/>
  <c r="IM358" i="40" s="1"/>
  <c r="AL260" i="40"/>
  <c r="IO358" i="40"/>
  <c r="II559" i="40"/>
  <c r="IL559" i="40" s="1"/>
  <c r="IK459" i="40"/>
  <c r="IN459" i="40" s="1"/>
  <c r="IO559" i="40"/>
  <c r="IQ459" i="40"/>
  <c r="AK260" i="40"/>
  <c r="AL359" i="40"/>
  <c r="IK559" i="40"/>
  <c r="IN559" i="40" s="1"/>
  <c r="IJ260" i="40"/>
  <c r="IM260" i="40" s="1"/>
  <c r="II560" i="40"/>
  <c r="IL560" i="40" s="1"/>
  <c r="AK460" i="40"/>
  <c r="II459" i="40"/>
  <c r="IL459" i="40" s="1"/>
  <c r="IO560" i="40"/>
  <c r="JF261" i="40"/>
  <c r="HO261" i="40" s="1"/>
  <c r="IP358" i="40"/>
  <c r="IK358" i="40"/>
  <c r="IN358" i="40" s="1"/>
  <c r="JF459" i="40"/>
  <c r="HO459" i="40" s="1"/>
  <c r="HR459" i="40" s="1"/>
  <c r="AK461" i="40"/>
  <c r="IO561" i="40"/>
  <c r="JF358" i="40"/>
  <c r="HO358" i="40" s="1"/>
  <c r="HR358" i="40" s="1"/>
  <c r="IJ261" i="40"/>
  <c r="IM261" i="40" s="1"/>
  <c r="AL560" i="40"/>
  <c r="IO359" i="40"/>
  <c r="IP560" i="40"/>
  <c r="IO460" i="40"/>
  <c r="IQ359" i="40"/>
  <c r="AK359" i="40"/>
  <c r="JF461" i="40"/>
  <c r="HO461" i="40" s="1"/>
  <c r="HR461" i="40" s="1"/>
  <c r="AL460" i="40"/>
  <c r="IP359" i="40"/>
  <c r="IK261" i="40"/>
  <c r="IN261" i="40" s="1"/>
  <c r="IQ460" i="40"/>
  <c r="IQ262" i="40"/>
  <c r="II460" i="40"/>
  <c r="IL460" i="40" s="1"/>
  <c r="II359" i="40"/>
  <c r="IL359" i="40" s="1"/>
  <c r="IO360" i="40"/>
  <c r="IJ361" i="40"/>
  <c r="IM361" i="40" s="1"/>
  <c r="II261" i="40"/>
  <c r="IL261" i="40" s="1"/>
  <c r="IP459" i="40"/>
  <c r="IJ561" i="40"/>
  <c r="IM561" i="40" s="1"/>
  <c r="IK461" i="40"/>
  <c r="IN461" i="40" s="1"/>
  <c r="AK360" i="40"/>
  <c r="AK262" i="40"/>
  <c r="IQ360" i="40"/>
  <c r="JF460" i="40"/>
  <c r="HO460" i="40" s="1"/>
  <c r="HR460" i="40" s="1"/>
  <c r="II461" i="40"/>
  <c r="IL461" i="40" s="1"/>
  <c r="II360" i="40"/>
  <c r="IL360" i="40" s="1"/>
  <c r="IJ359" i="40"/>
  <c r="IM359" i="40" s="1"/>
  <c r="IQ263" i="40"/>
  <c r="IJ461" i="40"/>
  <c r="IM461" i="40" s="1"/>
  <c r="II263" i="40"/>
  <c r="IL263" i="40" s="1"/>
  <c r="IK562" i="40"/>
  <c r="IN562" i="40" s="1"/>
  <c r="IJ262" i="40"/>
  <c r="IM262" i="40" s="1"/>
  <c r="IQ461" i="40"/>
  <c r="IK262" i="40"/>
  <c r="IN262" i="40" s="1"/>
  <c r="IP460" i="40"/>
  <c r="JF561" i="40"/>
  <c r="HO561" i="40" s="1"/>
  <c r="HR561" i="40" s="1"/>
  <c r="AL360" i="40"/>
  <c r="JF360" i="40"/>
  <c r="HO360" i="40" s="1"/>
  <c r="HR360" i="40" s="1"/>
  <c r="IP461" i="40"/>
  <c r="IQ561" i="40"/>
  <c r="II262" i="40"/>
  <c r="IL262" i="40" s="1"/>
  <c r="IP261" i="40"/>
  <c r="IK263" i="40"/>
  <c r="IN263" i="40" s="1"/>
  <c r="IK560" i="40"/>
  <c r="IN560" i="40" s="1"/>
  <c r="JF560" i="40"/>
  <c r="HO560" i="40" s="1"/>
  <c r="HR560" i="40" s="1"/>
  <c r="AL461" i="40"/>
  <c r="IO562" i="40"/>
  <c r="JF359" i="40"/>
  <c r="HO359" i="40" s="1"/>
  <c r="HR359" i="40" s="1"/>
  <c r="AL462" i="40"/>
  <c r="IO262" i="40"/>
  <c r="IK359" i="40"/>
  <c r="IN359" i="40" s="1"/>
  <c r="IO461" i="40"/>
  <c r="AL262" i="40"/>
  <c r="AK561" i="40"/>
  <c r="IJ462" i="40"/>
  <c r="IM462" i="40" s="1"/>
  <c r="IK561" i="40"/>
  <c r="IN561" i="40" s="1"/>
  <c r="II561" i="40"/>
  <c r="IL561" i="40" s="1"/>
  <c r="IP260" i="40"/>
  <c r="IJ560" i="40"/>
  <c r="IM560" i="40" s="1"/>
  <c r="AK361" i="40"/>
  <c r="II462" i="40"/>
  <c r="IL462" i="40" s="1"/>
  <c r="JF564" i="40"/>
  <c r="HO564" i="40" s="1"/>
  <c r="HR564" i="40" s="1"/>
  <c r="IO264" i="40"/>
  <c r="IO263" i="40"/>
  <c r="AL561" i="40"/>
  <c r="HN360" i="40"/>
  <c r="HQ360" i="40" s="1"/>
  <c r="JF361" i="40"/>
  <c r="HO361" i="40" s="1"/>
  <c r="HR361" i="40" s="1"/>
  <c r="AK463" i="40"/>
  <c r="IJ263" i="40"/>
  <c r="IM263" i="40" s="1"/>
  <c r="IO361" i="40"/>
  <c r="JF262" i="40"/>
  <c r="HO262" i="40" s="1"/>
  <c r="JF362" i="40"/>
  <c r="HO362" i="40" s="1"/>
  <c r="HR362" i="40" s="1"/>
  <c r="AL562" i="40"/>
  <c r="AL263" i="40"/>
  <c r="AK263" i="40"/>
  <c r="AL361" i="40"/>
  <c r="AK562" i="40"/>
  <c r="JF562" i="40"/>
  <c r="HO562" i="40" s="1"/>
  <c r="HR562" i="40" s="1"/>
  <c r="IP561" i="40"/>
  <c r="IP360" i="40"/>
  <c r="IK361" i="40"/>
  <c r="IN361" i="40" s="1"/>
  <c r="IP262" i="40"/>
  <c r="II361" i="40"/>
  <c r="IL361" i="40" s="1"/>
  <c r="AL362" i="40"/>
  <c r="IJ362" i="40"/>
  <c r="IM362" i="40" s="1"/>
  <c r="AK462" i="40"/>
  <c r="IQ361" i="40"/>
  <c r="IJ562" i="40"/>
  <c r="IM562" i="40" s="1"/>
  <c r="IJ360" i="40"/>
  <c r="IM360" i="40" s="1"/>
  <c r="IP263" i="40"/>
  <c r="JF264" i="40"/>
  <c r="HO264" i="40" s="1"/>
  <c r="IQ562" i="40"/>
  <c r="IQ462" i="40"/>
  <c r="JF263" i="40"/>
  <c r="HO263" i="40" s="1"/>
  <c r="IK462" i="40"/>
  <c r="IN462" i="40" s="1"/>
  <c r="IO463" i="40"/>
  <c r="II562" i="40"/>
  <c r="IL562" i="40" s="1"/>
  <c r="JF462" i="40"/>
  <c r="HO462" i="40" s="1"/>
  <c r="HR462" i="40" s="1"/>
  <c r="JF563" i="40"/>
  <c r="HO563" i="40" s="1"/>
  <c r="HR563" i="40" s="1"/>
  <c r="IP562" i="40"/>
  <c r="IQ264" i="40"/>
  <c r="IJ464" i="40"/>
  <c r="IM464" i="40" s="1"/>
  <c r="IP462" i="40"/>
  <c r="AL563" i="40"/>
  <c r="IJ264" i="40"/>
  <c r="IM264" i="40" s="1"/>
  <c r="IO462" i="40"/>
  <c r="IK360" i="40"/>
  <c r="IN360" i="40" s="1"/>
  <c r="IQ362" i="40"/>
  <c r="IP564" i="40"/>
  <c r="IJ463" i="40"/>
  <c r="IM463" i="40" s="1"/>
  <c r="IK563" i="40"/>
  <c r="IN563" i="40" s="1"/>
  <c r="IJ563" i="40"/>
  <c r="IM563" i="40" s="1"/>
  <c r="IO362" i="40"/>
  <c r="AK264" i="40"/>
  <c r="IQ463" i="40"/>
  <c r="AL564" i="40"/>
  <c r="IK464" i="40"/>
  <c r="IN464" i="40" s="1"/>
  <c r="IJ564" i="40"/>
  <c r="IM564" i="40" s="1"/>
  <c r="IK362" i="40"/>
  <c r="IN362" i="40" s="1"/>
  <c r="II362" i="40"/>
  <c r="IL362" i="40" s="1"/>
  <c r="AL264" i="40"/>
  <c r="IP361" i="40"/>
  <c r="AK563" i="40"/>
  <c r="AK564" i="40"/>
  <c r="AK362" i="40"/>
  <c r="IQ563" i="40"/>
  <c r="AL463" i="40"/>
  <c r="AK265" i="40"/>
  <c r="II563" i="40"/>
  <c r="IL563" i="40" s="1"/>
  <c r="IQ464" i="40"/>
  <c r="IK264" i="40"/>
  <c r="IN264" i="40" s="1"/>
  <c r="IO563" i="40"/>
  <c r="AL265" i="40"/>
  <c r="II463" i="40"/>
  <c r="IL463" i="40" s="1"/>
  <c r="IP463" i="40"/>
  <c r="JF463" i="40"/>
  <c r="HO463" i="40" s="1"/>
  <c r="HR463" i="40" s="1"/>
  <c r="II265" i="40"/>
  <c r="IL265" i="40" s="1"/>
  <c r="IO464" i="40"/>
  <c r="II264" i="40"/>
  <c r="IL264" i="40" s="1"/>
  <c r="AL565" i="40"/>
  <c r="IP464" i="40"/>
  <c r="IK265" i="40"/>
  <c r="IN265" i="40" s="1"/>
  <c r="IO564" i="40"/>
  <c r="IJ265" i="40"/>
  <c r="IM265" i="40" s="1"/>
  <c r="IK564" i="40"/>
  <c r="IN564" i="40" s="1"/>
  <c r="JF363" i="40"/>
  <c r="HO363" i="40" s="1"/>
  <c r="HR363" i="40" s="1"/>
  <c r="II464" i="40"/>
  <c r="IL464" i="40" s="1"/>
  <c r="IQ265" i="40"/>
  <c r="AK565" i="40"/>
  <c r="IO265" i="40"/>
  <c r="IQ564" i="40"/>
  <c r="AK363" i="40"/>
  <c r="IP264" i="40"/>
  <c r="II363" i="40"/>
  <c r="IL363" i="40" s="1"/>
  <c r="AK464" i="40"/>
  <c r="II565" i="40"/>
  <c r="IL565" i="40" s="1"/>
  <c r="JF265" i="40"/>
  <c r="HO265" i="40" s="1"/>
  <c r="IK465" i="40"/>
  <c r="IN465" i="40" s="1"/>
  <c r="IO364" i="40"/>
  <c r="IJ465" i="40"/>
  <c r="IM465" i="40" s="1"/>
  <c r="IP563" i="40"/>
  <c r="IO363" i="40"/>
  <c r="JF565" i="40"/>
  <c r="HO565" i="40" s="1"/>
  <c r="HR565" i="40" s="1"/>
  <c r="IP363" i="40"/>
  <c r="IO465" i="40"/>
  <c r="IP362" i="40"/>
  <c r="AL464" i="40"/>
  <c r="IQ465" i="40"/>
  <c r="JF464" i="40"/>
  <c r="HO464" i="40" s="1"/>
  <c r="HR464" i="40" s="1"/>
  <c r="IQ363" i="40"/>
  <c r="AL363" i="40"/>
  <c r="IK463" i="40"/>
  <c r="IN463" i="40" s="1"/>
  <c r="II564" i="40"/>
  <c r="IL564" i="40" s="1"/>
  <c r="IK363" i="40"/>
  <c r="IN363" i="40" s="1"/>
  <c r="IJ363" i="40"/>
  <c r="IM363" i="40" s="1"/>
  <c r="IK567" i="40"/>
  <c r="IN567" i="40" s="1"/>
  <c r="II466" i="40"/>
  <c r="IL466" i="40" s="1"/>
  <c r="IJ365" i="40"/>
  <c r="IM365" i="40" s="1"/>
  <c r="II266" i="40"/>
  <c r="IL266" i="40" s="1"/>
  <c r="JF266" i="40"/>
  <c r="HO266" i="40" s="1"/>
  <c r="IJ267" i="40"/>
  <c r="IM267" i="40" s="1"/>
  <c r="IQ566" i="40"/>
  <c r="II465" i="40"/>
  <c r="IL465" i="40" s="1"/>
  <c r="IK565" i="40"/>
  <c r="IN565" i="40" s="1"/>
  <c r="AL364" i="40"/>
  <c r="II267" i="40"/>
  <c r="IL267" i="40" s="1"/>
  <c r="JF466" i="40"/>
  <c r="HO466" i="40" s="1"/>
  <c r="HR466" i="40" s="1"/>
  <c r="IO365" i="40"/>
  <c r="IQ267" i="40"/>
  <c r="IO266" i="40"/>
  <c r="IO565" i="40"/>
  <c r="AK364" i="40"/>
  <c r="IO566" i="40"/>
  <c r="AL466" i="40"/>
  <c r="II365" i="40"/>
  <c r="IL365" i="40" s="1"/>
  <c r="JF364" i="40"/>
  <c r="HO364" i="40" s="1"/>
  <c r="HR364" i="40" s="1"/>
  <c r="JF267" i="40"/>
  <c r="HO267" i="40" s="1"/>
  <c r="IQ466" i="40"/>
  <c r="AK365" i="40"/>
  <c r="AL266" i="40"/>
  <c r="AK266" i="40"/>
  <c r="IQ364" i="40"/>
  <c r="IP566" i="40"/>
  <c r="IO366" i="40"/>
  <c r="HN267" i="40"/>
  <c r="IK267" i="40"/>
  <c r="IN267" i="40" s="1"/>
  <c r="AL267" i="40"/>
  <c r="IQ266" i="40"/>
  <c r="II364" i="40"/>
  <c r="IL364" i="40" s="1"/>
  <c r="AK466" i="40"/>
  <c r="AK267" i="40"/>
  <c r="IJ466" i="40"/>
  <c r="IM466" i="40" s="1"/>
  <c r="IO466" i="40"/>
  <c r="AL366" i="40"/>
  <c r="IQ365" i="40"/>
  <c r="IK266" i="40"/>
  <c r="IN266" i="40" s="1"/>
  <c r="AL465" i="40"/>
  <c r="AK465" i="40"/>
  <c r="IO268" i="40"/>
  <c r="IJ364" i="40"/>
  <c r="IM364" i="40" s="1"/>
  <c r="IK466" i="40"/>
  <c r="IN466" i="40" s="1"/>
  <c r="II367" i="40"/>
  <c r="IL367" i="40" s="1"/>
  <c r="IQ565" i="40"/>
  <c r="AK366" i="40"/>
  <c r="AK566" i="40"/>
  <c r="IP465" i="40"/>
  <c r="IQ366" i="40"/>
  <c r="AL566" i="40"/>
  <c r="IO467" i="40"/>
  <c r="IO267" i="40"/>
  <c r="IK364" i="40"/>
  <c r="IN364" i="40" s="1"/>
  <c r="IP265" i="40"/>
  <c r="AL365" i="40"/>
  <c r="IP466" i="40"/>
  <c r="IJ266" i="40"/>
  <c r="IM266" i="40" s="1"/>
  <c r="IQ467" i="40"/>
  <c r="IJ565" i="40"/>
  <c r="IM565" i="40" s="1"/>
  <c r="IK365" i="40"/>
  <c r="IN365" i="40" s="1"/>
  <c r="JF465" i="40"/>
  <c r="HO465" i="40" s="1"/>
  <c r="HR465" i="40" s="1"/>
  <c r="IO269" i="40"/>
  <c r="IP565" i="40"/>
  <c r="IQ567" i="40"/>
  <c r="JF468" i="40"/>
  <c r="HO468" i="40" s="1"/>
  <c r="HR468" i="40" s="1"/>
  <c r="IP269" i="40"/>
  <c r="JF567" i="40"/>
  <c r="HO567" i="40" s="1"/>
  <c r="HR567" i="40" s="1"/>
  <c r="AK467" i="40"/>
  <c r="AL467" i="40"/>
  <c r="AK367" i="40"/>
  <c r="IP267" i="40"/>
  <c r="JF566" i="40"/>
  <c r="HO566" i="40" s="1"/>
  <c r="HR566" i="40" s="1"/>
  <c r="JF367" i="40"/>
  <c r="HO367" i="40" s="1"/>
  <c r="HR367" i="40" s="1"/>
  <c r="JF365" i="40"/>
  <c r="HO365" i="40" s="1"/>
  <c r="HR365" i="40" s="1"/>
  <c r="IQ568" i="40"/>
  <c r="AL269" i="40"/>
  <c r="IJ467" i="40"/>
  <c r="IM467" i="40" s="1"/>
  <c r="IJ567" i="40"/>
  <c r="IM567" i="40" s="1"/>
  <c r="IP364" i="40"/>
  <c r="IO567" i="40"/>
  <c r="IK367" i="40"/>
  <c r="IN367" i="40" s="1"/>
  <c r="IP268" i="40"/>
  <c r="II268" i="40"/>
  <c r="IL268" i="40" s="1"/>
  <c r="IK270" i="40"/>
  <c r="IN270" i="40" s="1"/>
  <c r="IK366" i="40"/>
  <c r="IN366" i="40" s="1"/>
  <c r="II468" i="40"/>
  <c r="IL468" i="40" s="1"/>
  <c r="IQ367" i="40"/>
  <c r="IP366" i="40"/>
  <c r="IO367" i="40"/>
  <c r="IQ268" i="40"/>
  <c r="JF467" i="40"/>
  <c r="HO467" i="40" s="1"/>
  <c r="HR467" i="40" s="1"/>
  <c r="IO468" i="40"/>
  <c r="JF366" i="40"/>
  <c r="HO366" i="40" s="1"/>
  <c r="HR366" i="40" s="1"/>
  <c r="AL568" i="40"/>
  <c r="IJ566" i="40"/>
  <c r="IM566" i="40" s="1"/>
  <c r="II567" i="40"/>
  <c r="IL567" i="40" s="1"/>
  <c r="AL567" i="40"/>
  <c r="IP365" i="40"/>
  <c r="IK566" i="40"/>
  <c r="IN566" i="40" s="1"/>
  <c r="IP467" i="40"/>
  <c r="II566" i="40"/>
  <c r="IL566" i="40" s="1"/>
  <c r="AK269" i="40"/>
  <c r="IJ367" i="40"/>
  <c r="IM367" i="40" s="1"/>
  <c r="AL468" i="40"/>
  <c r="JF268" i="40"/>
  <c r="HO268" i="40" s="1"/>
  <c r="II467" i="40"/>
  <c r="IL467" i="40" s="1"/>
  <c r="IJ366" i="40"/>
  <c r="IM366" i="40" s="1"/>
  <c r="IP266" i="40"/>
  <c r="IJ268" i="40"/>
  <c r="IM268" i="40" s="1"/>
  <c r="IK468" i="40"/>
  <c r="IN468" i="40" s="1"/>
  <c r="IQ269" i="40"/>
  <c r="IK268" i="40"/>
  <c r="IN268" i="40" s="1"/>
  <c r="AK567" i="40"/>
  <c r="IJ468" i="40"/>
  <c r="IM468" i="40" s="1"/>
  <c r="IK467" i="40"/>
  <c r="IN467" i="40" s="1"/>
  <c r="IQ468" i="40"/>
  <c r="II269" i="40"/>
  <c r="IL269" i="40" s="1"/>
  <c r="JF368" i="40"/>
  <c r="HO368" i="40" s="1"/>
  <c r="HR368" i="40" s="1"/>
  <c r="II469" i="40"/>
  <c r="IL469" i="40" s="1"/>
  <c r="AK270" i="40"/>
  <c r="AL268" i="40"/>
  <c r="AL367" i="40"/>
  <c r="JF270" i="40"/>
  <c r="HO270" i="40" s="1"/>
  <c r="IP568" i="40"/>
  <c r="IK269" i="40"/>
  <c r="IN269" i="40" s="1"/>
  <c r="IJ569" i="40"/>
  <c r="IM569" i="40" s="1"/>
  <c r="IJ568" i="40"/>
  <c r="IM568" i="40" s="1"/>
  <c r="II569" i="40"/>
  <c r="IL569" i="40" s="1"/>
  <c r="IJ269" i="40"/>
  <c r="IM269" i="40" s="1"/>
  <c r="II568" i="40"/>
  <c r="IL568" i="40" s="1"/>
  <c r="IO469" i="40"/>
  <c r="II270" i="40"/>
  <c r="IL270" i="40" s="1"/>
  <c r="IP368" i="40"/>
  <c r="II368" i="40"/>
  <c r="IL368" i="40" s="1"/>
  <c r="IK469" i="40"/>
  <c r="IN469" i="40" s="1"/>
  <c r="IQ270" i="40"/>
  <c r="IO368" i="40"/>
  <c r="IP567" i="40"/>
  <c r="IO569" i="40"/>
  <c r="AL569" i="40"/>
  <c r="JF269" i="40"/>
  <c r="HO269" i="40" s="1"/>
  <c r="AK568" i="40"/>
  <c r="II366" i="40"/>
  <c r="IL366" i="40" s="1"/>
  <c r="IO270" i="40"/>
  <c r="JF568" i="40"/>
  <c r="HO568" i="40" s="1"/>
  <c r="HR568" i="40" s="1"/>
  <c r="IK568" i="40"/>
  <c r="IN568" i="40" s="1"/>
  <c r="IO568" i="40"/>
  <c r="AK268" i="40"/>
  <c r="AK468" i="40"/>
  <c r="IQ469" i="40"/>
  <c r="IK368" i="40"/>
  <c r="IN368" i="40" s="1"/>
  <c r="JF469" i="40"/>
  <c r="HO469" i="40" s="1"/>
  <c r="HR469" i="40" s="1"/>
  <c r="AL270" i="40"/>
  <c r="AK368" i="40"/>
  <c r="AL469" i="40"/>
  <c r="IO369" i="40"/>
  <c r="IQ470" i="40"/>
  <c r="IP570" i="40"/>
  <c r="IQ570" i="40"/>
  <c r="IP468" i="40"/>
  <c r="AK570" i="40"/>
  <c r="IJ368" i="40"/>
  <c r="IM368" i="40" s="1"/>
  <c r="IQ368" i="40"/>
  <c r="IP470" i="40"/>
  <c r="AL271" i="40"/>
  <c r="IK470" i="40"/>
  <c r="IN470" i="40" s="1"/>
  <c r="IQ369" i="40"/>
  <c r="IQ271" i="40"/>
  <c r="IO570" i="40"/>
  <c r="AL368" i="40"/>
  <c r="IQ569" i="40"/>
  <c r="JF569" i="40"/>
  <c r="HO569" i="40" s="1"/>
  <c r="HR569" i="40" s="1"/>
  <c r="IO271" i="40"/>
  <c r="AK569" i="40"/>
  <c r="AK271" i="40"/>
  <c r="IJ271" i="40"/>
  <c r="IM271" i="40" s="1"/>
  <c r="AK469" i="40"/>
  <c r="AK369" i="40"/>
  <c r="II370" i="40"/>
  <c r="IL370" i="40" s="1"/>
  <c r="IJ270" i="40"/>
  <c r="IM270" i="40" s="1"/>
  <c r="IK569" i="40"/>
  <c r="IN569" i="40" s="1"/>
  <c r="IP270" i="40"/>
  <c r="IJ469" i="40"/>
  <c r="IM469" i="40" s="1"/>
  <c r="AK470" i="40"/>
  <c r="AL470" i="40"/>
  <c r="IP569" i="40"/>
  <c r="IK369" i="40"/>
  <c r="IN369" i="40" s="1"/>
  <c r="IO470" i="40"/>
  <c r="JF271" i="40"/>
  <c r="HO271" i="40" s="1"/>
  <c r="AL570" i="40"/>
  <c r="IP469" i="40"/>
  <c r="JF369" i="40"/>
  <c r="HO369" i="40" s="1"/>
  <c r="HR369" i="40" s="1"/>
  <c r="AL369" i="40"/>
  <c r="IJ570" i="40"/>
  <c r="IM570" i="40" s="1"/>
  <c r="IO472" i="40"/>
  <c r="II470" i="40"/>
  <c r="IL470" i="40" s="1"/>
  <c r="AL370" i="40"/>
  <c r="AL272" i="40"/>
  <c r="IJ471" i="40"/>
  <c r="IM471" i="40" s="1"/>
  <c r="IP367" i="40"/>
  <c r="IJ470" i="40"/>
  <c r="IM470" i="40" s="1"/>
  <c r="II271" i="40"/>
  <c r="IL271" i="40" s="1"/>
  <c r="IO471" i="40"/>
  <c r="AL471" i="40"/>
  <c r="IO371" i="40"/>
  <c r="JF570" i="40"/>
  <c r="HO570" i="40" s="1"/>
  <c r="HR570" i="40" s="1"/>
  <c r="IO571" i="40"/>
  <c r="II471" i="40"/>
  <c r="IL471" i="40" s="1"/>
  <c r="IK570" i="40"/>
  <c r="IN570" i="40" s="1"/>
  <c r="II272" i="40"/>
  <c r="IL272" i="40" s="1"/>
  <c r="IJ572" i="40"/>
  <c r="IM572" i="40" s="1"/>
  <c r="IP471" i="40"/>
  <c r="IK271" i="40"/>
  <c r="IN271" i="40" s="1"/>
  <c r="II570" i="40"/>
  <c r="IL570" i="40" s="1"/>
  <c r="AK471" i="40"/>
  <c r="IO272" i="40"/>
  <c r="IJ272" i="40"/>
  <c r="IM272" i="40" s="1"/>
  <c r="JF370" i="40"/>
  <c r="HO370" i="40" s="1"/>
  <c r="HR370" i="40" s="1"/>
  <c r="IQ471" i="40"/>
  <c r="JF471" i="40"/>
  <c r="HO471" i="40" s="1"/>
  <c r="HR471" i="40" s="1"/>
  <c r="IJ369" i="40"/>
  <c r="IM369" i="40" s="1"/>
  <c r="II369" i="40"/>
  <c r="IL369" i="40" s="1"/>
  <c r="IK272" i="40"/>
  <c r="IN272" i="40" s="1"/>
  <c r="JF470" i="40"/>
  <c r="HO470" i="40" s="1"/>
  <c r="HR470" i="40" s="1"/>
  <c r="IQ272" i="40"/>
  <c r="IO370" i="40"/>
  <c r="AK272" i="40"/>
  <c r="IJ370" i="40"/>
  <c r="IM370" i="40" s="1"/>
  <c r="AL472" i="40"/>
  <c r="II572" i="40"/>
  <c r="IL572" i="40" s="1"/>
  <c r="IP472" i="40"/>
  <c r="JF571" i="40"/>
  <c r="HO571" i="40" s="1"/>
  <c r="HR571" i="40" s="1"/>
  <c r="IQ571" i="40"/>
  <c r="II571" i="40"/>
  <c r="IL571" i="40" s="1"/>
  <c r="AK472" i="40"/>
  <c r="IP571" i="40"/>
  <c r="AK571" i="40"/>
  <c r="JF272" i="40"/>
  <c r="HO272" i="40" s="1"/>
  <c r="IQ371" i="40"/>
  <c r="IP369" i="40"/>
  <c r="AK572" i="40"/>
  <c r="IQ572" i="40"/>
  <c r="AL371" i="40"/>
  <c r="IJ571" i="40"/>
  <c r="IM571" i="40" s="1"/>
  <c r="AK370" i="40"/>
  <c r="AL571" i="40"/>
  <c r="AL273" i="40"/>
  <c r="AL572" i="40"/>
  <c r="IQ370" i="40"/>
  <c r="IQ273" i="40"/>
  <c r="IO273" i="40"/>
  <c r="AK273" i="40"/>
  <c r="IK571" i="40"/>
  <c r="IN571" i="40" s="1"/>
  <c r="IP271" i="40"/>
  <c r="IP273" i="40"/>
  <c r="AK371" i="40"/>
  <c r="IK370" i="40"/>
  <c r="IN370" i="40" s="1"/>
  <c r="IK471" i="40"/>
  <c r="IN471" i="40" s="1"/>
  <c r="IQ472" i="40"/>
  <c r="HN471" i="40"/>
  <c r="HQ471" i="40" s="1"/>
  <c r="IK572" i="40"/>
  <c r="IN572" i="40" s="1"/>
  <c r="AL573" i="40"/>
  <c r="IP274" i="40"/>
  <c r="IO372" i="40"/>
  <c r="IK372" i="40"/>
  <c r="IN372" i="40" s="1"/>
  <c r="II573" i="40"/>
  <c r="IL573" i="40" s="1"/>
  <c r="AL372" i="40"/>
  <c r="JF572" i="40"/>
  <c r="HO572" i="40" s="1"/>
  <c r="HR572" i="40" s="1"/>
  <c r="IP370" i="40"/>
  <c r="IQ372" i="40"/>
  <c r="IJ371" i="40"/>
  <c r="IM371" i="40" s="1"/>
  <c r="IJ274" i="40"/>
  <c r="IM274" i="40" s="1"/>
  <c r="IK274" i="40"/>
  <c r="IN274" i="40" s="1"/>
  <c r="JF472" i="40"/>
  <c r="HO472" i="40" s="1"/>
  <c r="HR472" i="40" s="1"/>
  <c r="IO473" i="40"/>
  <c r="IK573" i="40"/>
  <c r="IN573" i="40" s="1"/>
  <c r="IP372" i="40"/>
  <c r="II372" i="40"/>
  <c r="IL372" i="40" s="1"/>
  <c r="IO573" i="40"/>
  <c r="IP272" i="40"/>
  <c r="JF274" i="40"/>
  <c r="HO274" i="40" s="1"/>
  <c r="II274" i="40"/>
  <c r="IL274" i="40" s="1"/>
  <c r="IP371" i="40"/>
  <c r="AL473" i="40"/>
  <c r="II371" i="40"/>
  <c r="IL371" i="40" s="1"/>
  <c r="II273" i="40"/>
  <c r="IL273" i="40" s="1"/>
  <c r="IK273" i="40"/>
  <c r="IN273" i="40" s="1"/>
  <c r="II472" i="40"/>
  <c r="IL472" i="40" s="1"/>
  <c r="IO274" i="40"/>
  <c r="II473" i="40"/>
  <c r="IL473" i="40" s="1"/>
  <c r="IO572" i="40"/>
  <c r="JF273" i="40"/>
  <c r="HO273" i="40" s="1"/>
  <c r="AK473" i="40"/>
  <c r="IK472" i="40"/>
  <c r="IN472" i="40" s="1"/>
  <c r="IQ473" i="40"/>
  <c r="IJ472" i="40"/>
  <c r="IM472" i="40" s="1"/>
  <c r="IJ273" i="40"/>
  <c r="IM273" i="40" s="1"/>
  <c r="JF473" i="40"/>
  <c r="HO473" i="40" s="1"/>
  <c r="HR473" i="40" s="1"/>
  <c r="IK371" i="40"/>
  <c r="IN371" i="40" s="1"/>
  <c r="AK372" i="40"/>
  <c r="JF371" i="40"/>
  <c r="HO371" i="40" s="1"/>
  <c r="HR371" i="40" s="1"/>
  <c r="IP572" i="40"/>
  <c r="IP373" i="40"/>
  <c r="AK373" i="40"/>
  <c r="JF372" i="40"/>
  <c r="HO372" i="40" s="1"/>
  <c r="HR372" i="40" s="1"/>
  <c r="IQ274" i="40"/>
  <c r="AL274" i="40"/>
  <c r="AL474" i="40"/>
  <c r="IK574" i="40"/>
  <c r="IN574" i="40" s="1"/>
  <c r="IQ474" i="40"/>
  <c r="II373" i="40"/>
  <c r="IL373" i="40" s="1"/>
  <c r="IK473" i="40"/>
  <c r="IN473" i="40" s="1"/>
  <c r="IP573" i="40"/>
  <c r="IJ473" i="40"/>
  <c r="IM473" i="40" s="1"/>
  <c r="JF373" i="40"/>
  <c r="HO373" i="40" s="1"/>
  <c r="HR373" i="40" s="1"/>
  <c r="IQ275" i="40"/>
  <c r="IQ574" i="40"/>
  <c r="JF275" i="40"/>
  <c r="HO275" i="40" s="1"/>
  <c r="AK474" i="40"/>
  <c r="IP474" i="40"/>
  <c r="IO574" i="40"/>
  <c r="AK275" i="40"/>
  <c r="JF474" i="40"/>
  <c r="HO474" i="40" s="1"/>
  <c r="HR474" i="40" s="1"/>
  <c r="IO275" i="40"/>
  <c r="AL373" i="40"/>
  <c r="AK573" i="40"/>
  <c r="IQ573" i="40"/>
  <c r="IK373" i="40"/>
  <c r="IN373" i="40" s="1"/>
  <c r="II474" i="40"/>
  <c r="IL474" i="40" s="1"/>
  <c r="IJ474" i="40"/>
  <c r="IM474" i="40" s="1"/>
  <c r="IO474" i="40"/>
  <c r="AL275" i="40"/>
  <c r="IK275" i="40"/>
  <c r="IN275" i="40" s="1"/>
  <c r="AL574" i="40"/>
  <c r="AK574" i="40"/>
  <c r="II574" i="40"/>
  <c r="IL574" i="40" s="1"/>
  <c r="IJ373" i="40"/>
  <c r="IM373" i="40" s="1"/>
  <c r="AK274" i="40"/>
  <c r="IJ573" i="40"/>
  <c r="IM573" i="40" s="1"/>
  <c r="JF573" i="40"/>
  <c r="HO573" i="40" s="1"/>
  <c r="HR573" i="40" s="1"/>
  <c r="IJ372" i="40"/>
  <c r="IM372" i="40" s="1"/>
  <c r="IJ574" i="40"/>
  <c r="IM574" i="40" s="1"/>
  <c r="JF574" i="40"/>
  <c r="HO574" i="40" s="1"/>
  <c r="HR574" i="40" s="1"/>
  <c r="IQ373" i="40"/>
  <c r="AK575" i="40"/>
  <c r="II575" i="40"/>
  <c r="IL575" i="40" s="1"/>
  <c r="IJ374" i="40"/>
  <c r="IM374" i="40" s="1"/>
  <c r="II275" i="40"/>
  <c r="IL275" i="40" s="1"/>
  <c r="IP574" i="40"/>
  <c r="AK276" i="40"/>
  <c r="IP473" i="40"/>
  <c r="AK277" i="40"/>
  <c r="II276" i="40"/>
  <c r="IL276" i="40" s="1"/>
  <c r="IO475" i="40"/>
  <c r="IK474" i="40"/>
  <c r="IN474" i="40" s="1"/>
  <c r="AL476" i="40"/>
  <c r="IO575" i="40"/>
  <c r="IO373" i="40"/>
  <c r="IJ275" i="40"/>
  <c r="IM275" i="40" s="1"/>
  <c r="JF575" i="40"/>
  <c r="HO575" i="40" s="1"/>
  <c r="HR575" i="40" s="1"/>
  <c r="IK276" i="40"/>
  <c r="IN276" i="40" s="1"/>
  <c r="AK576" i="40"/>
  <c r="IK475" i="40"/>
  <c r="IN475" i="40" s="1"/>
  <c r="IP275" i="40"/>
  <c r="IJ475" i="40"/>
  <c r="IM475" i="40" s="1"/>
  <c r="JF475" i="40"/>
  <c r="HO475" i="40" s="1"/>
  <c r="HR475" i="40" s="1"/>
  <c r="IO374" i="40"/>
  <c r="IO476" i="40"/>
  <c r="AL276" i="40"/>
  <c r="AK476" i="40"/>
  <c r="AL374" i="40"/>
  <c r="IQ276" i="40"/>
  <c r="IK575" i="40"/>
  <c r="IN575" i="40" s="1"/>
  <c r="AK475" i="40"/>
  <c r="IQ277" i="40"/>
  <c r="IQ475" i="40"/>
  <c r="AK374" i="40"/>
  <c r="IJ276" i="40"/>
  <c r="IM276" i="40" s="1"/>
  <c r="II475" i="40"/>
  <c r="IL475" i="40" s="1"/>
  <c r="JF276" i="40"/>
  <c r="HO276" i="40" s="1"/>
  <c r="IO276" i="40"/>
  <c r="JF374" i="40"/>
  <c r="HO374" i="40" s="1"/>
  <c r="HR374" i="40" s="1"/>
  <c r="IK374" i="40"/>
  <c r="IN374" i="40" s="1"/>
  <c r="AK375" i="40"/>
  <c r="AL575" i="40"/>
  <c r="IQ374" i="40"/>
  <c r="IQ476" i="40"/>
  <c r="IQ575" i="40"/>
  <c r="IP576" i="40"/>
  <c r="IK376" i="40"/>
  <c r="IN376" i="40" s="1"/>
  <c r="AL475" i="40"/>
  <c r="II374" i="40"/>
  <c r="IL374" i="40" s="1"/>
  <c r="IO277" i="40"/>
  <c r="IQ278" i="40"/>
  <c r="IK476" i="40"/>
  <c r="IN476" i="40" s="1"/>
  <c r="AL477" i="40"/>
  <c r="JF278" i="40"/>
  <c r="HO278" i="40" s="1"/>
  <c r="IO576" i="40"/>
  <c r="IP277" i="40"/>
  <c r="IQ375" i="40"/>
  <c r="IO477" i="40"/>
  <c r="AK278" i="40"/>
  <c r="JF375" i="40"/>
  <c r="HO375" i="40" s="1"/>
  <c r="HR375" i="40" s="1"/>
  <c r="IJ476" i="40"/>
  <c r="IM476" i="40" s="1"/>
  <c r="II576" i="40"/>
  <c r="IL576" i="40" s="1"/>
  <c r="II278" i="40"/>
  <c r="IL278" i="40" s="1"/>
  <c r="JF576" i="40"/>
  <c r="HO576" i="40" s="1"/>
  <c r="HR576" i="40" s="1"/>
  <c r="II375" i="40"/>
  <c r="IL375" i="40" s="1"/>
  <c r="AL278" i="40"/>
  <c r="IP276" i="40"/>
  <c r="JF376" i="40"/>
  <c r="HO376" i="40" s="1"/>
  <c r="HR376" i="40" s="1"/>
  <c r="IQ477" i="40"/>
  <c r="IJ575" i="40"/>
  <c r="IM575" i="40" s="1"/>
  <c r="IQ576" i="40"/>
  <c r="JF277" i="40"/>
  <c r="HO277" i="40" s="1"/>
  <c r="IJ278" i="40"/>
  <c r="IM278" i="40" s="1"/>
  <c r="IO375" i="40"/>
  <c r="AL277" i="40"/>
  <c r="IP375" i="40"/>
  <c r="AL577" i="40"/>
  <c r="IK576" i="40"/>
  <c r="IN576" i="40" s="1"/>
  <c r="JF476" i="40"/>
  <c r="HO476" i="40" s="1"/>
  <c r="HR476" i="40" s="1"/>
  <c r="HN375" i="40"/>
  <c r="HQ375" i="40" s="1"/>
  <c r="IO376" i="40"/>
  <c r="II577" i="40"/>
  <c r="IL577" i="40" s="1"/>
  <c r="IP577" i="40"/>
  <c r="IJ277" i="40"/>
  <c r="IM277" i="40" s="1"/>
  <c r="IP575" i="40"/>
  <c r="IJ375" i="40"/>
  <c r="IM375" i="40" s="1"/>
  <c r="IP476" i="40"/>
  <c r="IO278" i="40"/>
  <c r="IJ576" i="40"/>
  <c r="IM576" i="40" s="1"/>
  <c r="IK277" i="40"/>
  <c r="IN277" i="40" s="1"/>
  <c r="II277" i="40"/>
  <c r="IL277" i="40" s="1"/>
  <c r="IP475" i="40"/>
  <c r="IO577" i="40"/>
  <c r="IP374" i="40"/>
  <c r="AK477" i="40"/>
  <c r="AL375" i="40"/>
  <c r="II476" i="40"/>
  <c r="IL476" i="40" s="1"/>
  <c r="AL576" i="40"/>
  <c r="IQ577" i="40"/>
  <c r="IJ376" i="40"/>
  <c r="IM376" i="40" s="1"/>
  <c r="IK375" i="40"/>
  <c r="IN375" i="40" s="1"/>
  <c r="AK577" i="40"/>
  <c r="IK577" i="40"/>
  <c r="IN577" i="40" s="1"/>
  <c r="IQ279" i="40"/>
  <c r="IJ578" i="40"/>
  <c r="IM578" i="40" s="1"/>
  <c r="IJ577" i="40"/>
  <c r="IM577" i="40" s="1"/>
  <c r="IO578" i="40"/>
  <c r="II478" i="40"/>
  <c r="IL478" i="40" s="1"/>
  <c r="JF577" i="40"/>
  <c r="HO577" i="40" s="1"/>
  <c r="HR577" i="40" s="1"/>
  <c r="IO478" i="40"/>
  <c r="II477" i="40"/>
  <c r="IL477" i="40" s="1"/>
  <c r="II376" i="40"/>
  <c r="IL376" i="40" s="1"/>
  <c r="AK578" i="40"/>
  <c r="AK478" i="40"/>
  <c r="JF377" i="40"/>
  <c r="HO377" i="40" s="1"/>
  <c r="HR377" i="40" s="1"/>
  <c r="AL376" i="40"/>
  <c r="AL578" i="40"/>
  <c r="IO377" i="40"/>
  <c r="JF478" i="40"/>
  <c r="HO478" i="40" s="1"/>
  <c r="HR478" i="40" s="1"/>
  <c r="IQ478" i="40"/>
  <c r="IJ478" i="40"/>
  <c r="IM478" i="40" s="1"/>
  <c r="IK578" i="40"/>
  <c r="IN578" i="40" s="1"/>
  <c r="IK278" i="40"/>
  <c r="IN278" i="40" s="1"/>
  <c r="IK478" i="40"/>
  <c r="IN478" i="40" s="1"/>
  <c r="IP478" i="40"/>
  <c r="IQ376" i="40"/>
  <c r="II578" i="40"/>
  <c r="IL578" i="40" s="1"/>
  <c r="IK377" i="40"/>
  <c r="IN377" i="40" s="1"/>
  <c r="JF578" i="40"/>
  <c r="HO578" i="40" s="1"/>
  <c r="HR578" i="40" s="1"/>
  <c r="II377" i="40"/>
  <c r="IL377" i="40" s="1"/>
  <c r="IJ377" i="40"/>
  <c r="IM377" i="40" s="1"/>
  <c r="IK477" i="40"/>
  <c r="IN477" i="40" s="1"/>
  <c r="IP477" i="40"/>
  <c r="IQ377" i="40"/>
  <c r="IQ578" i="40"/>
  <c r="IJ477" i="40"/>
  <c r="IM477" i="40" s="1"/>
  <c r="IO579" i="40"/>
  <c r="AL280" i="40"/>
  <c r="IO279" i="40"/>
  <c r="AK376" i="40"/>
  <c r="AL279" i="40"/>
  <c r="IO378" i="40"/>
  <c r="AK579" i="40"/>
  <c r="IJ280" i="40"/>
  <c r="IM280" i="40" s="1"/>
  <c r="IP278" i="40"/>
  <c r="II378" i="40"/>
  <c r="IL378" i="40" s="1"/>
  <c r="AK377" i="40"/>
  <c r="AK279" i="40"/>
  <c r="AL579" i="40"/>
  <c r="JF279" i="40"/>
  <c r="HN279" i="40" s="1"/>
  <c r="AL281" i="40"/>
  <c r="AL378" i="40"/>
  <c r="AL478" i="40"/>
  <c r="IO280" i="40"/>
  <c r="AK479" i="40"/>
  <c r="IJ279" i="40"/>
  <c r="IM279" i="40" s="1"/>
  <c r="IJ479" i="40"/>
  <c r="IM479" i="40" s="1"/>
  <c r="IO479" i="40"/>
  <c r="AK378" i="40"/>
  <c r="II279" i="40"/>
  <c r="IL279" i="40" s="1"/>
  <c r="IK581" i="40"/>
  <c r="IN581" i="40" s="1"/>
  <c r="II579" i="40"/>
  <c r="IL579" i="40" s="1"/>
  <c r="AL479" i="40"/>
  <c r="IK378" i="40"/>
  <c r="IN378" i="40" s="1"/>
  <c r="AL377" i="40"/>
  <c r="JF477" i="40"/>
  <c r="HO477" i="40" s="1"/>
  <c r="HR477" i="40" s="1"/>
  <c r="AK280" i="40"/>
  <c r="AL480" i="40"/>
  <c r="IK579" i="40"/>
  <c r="IN579" i="40" s="1"/>
  <c r="IP376" i="40"/>
  <c r="IP378" i="40"/>
  <c r="IQ580" i="40"/>
  <c r="IQ280" i="40"/>
  <c r="IO580" i="40"/>
  <c r="IK280" i="40"/>
  <c r="IN280" i="40" s="1"/>
  <c r="IK279" i="40"/>
  <c r="IN279" i="40" s="1"/>
  <c r="IJ579" i="40"/>
  <c r="IM579" i="40" s="1"/>
  <c r="AL580" i="40"/>
  <c r="JF378" i="40"/>
  <c r="HO378" i="40" s="1"/>
  <c r="HR378" i="40" s="1"/>
  <c r="IQ281" i="40"/>
  <c r="IO581" i="40"/>
  <c r="IK480" i="40"/>
  <c r="IN480" i="40" s="1"/>
  <c r="IK580" i="40"/>
  <c r="IN580" i="40" s="1"/>
  <c r="IO379" i="40"/>
  <c r="JF280" i="40"/>
  <c r="HO280" i="40" s="1"/>
  <c r="II280" i="40"/>
  <c r="IL280" i="40" s="1"/>
  <c r="IK479" i="40"/>
  <c r="IN479" i="40" s="1"/>
  <c r="IQ378" i="40"/>
  <c r="IQ479" i="40"/>
  <c r="AL581" i="40"/>
  <c r="IO281" i="40"/>
  <c r="IQ480" i="40"/>
  <c r="IP479" i="40"/>
  <c r="IJ378" i="40"/>
  <c r="IM378" i="40" s="1"/>
  <c r="IP480" i="40"/>
  <c r="IJ380" i="40"/>
  <c r="IM380" i="40" s="1"/>
  <c r="JF479" i="40"/>
  <c r="HO479" i="40" s="1"/>
  <c r="HR479" i="40" s="1"/>
  <c r="JF281" i="40"/>
  <c r="HO281" i="40" s="1"/>
  <c r="JF579" i="40"/>
  <c r="HO579" i="40" s="1"/>
  <c r="HR579" i="40" s="1"/>
  <c r="AK480" i="40"/>
  <c r="AK580" i="40"/>
  <c r="II479" i="40"/>
  <c r="IL479" i="40" s="1"/>
  <c r="AK281" i="40"/>
  <c r="IP578" i="40"/>
  <c r="IP377" i="40"/>
  <c r="AL379" i="40"/>
  <c r="IQ579" i="40"/>
  <c r="IP279" i="40"/>
  <c r="II481" i="40"/>
  <c r="IL481" i="40" s="1"/>
  <c r="JF581" i="40"/>
  <c r="HO581" i="40" s="1"/>
  <c r="HR581" i="40" s="1"/>
  <c r="JF379" i="40"/>
  <c r="HO379" i="40" s="1"/>
  <c r="HR379" i="40" s="1"/>
  <c r="AK379" i="40"/>
  <c r="IQ379" i="40"/>
  <c r="II581" i="40"/>
  <c r="IL581" i="40" s="1"/>
  <c r="JF480" i="40"/>
  <c r="HO480" i="40" s="1"/>
  <c r="HR480" i="40" s="1"/>
  <c r="AL282" i="40"/>
  <c r="IJ379" i="40"/>
  <c r="IM379" i="40" s="1"/>
  <c r="AL482" i="40"/>
  <c r="AK581" i="40"/>
  <c r="IP280" i="40"/>
  <c r="AL380" i="40"/>
  <c r="IJ581" i="40"/>
  <c r="IM581" i="40" s="1"/>
  <c r="IJ480" i="40"/>
  <c r="IM480" i="40" s="1"/>
  <c r="IJ281" i="40"/>
  <c r="IM281" i="40" s="1"/>
  <c r="II281" i="40"/>
  <c r="IL281" i="40" s="1"/>
  <c r="AK380" i="40"/>
  <c r="AK282" i="40"/>
  <c r="AL481" i="40"/>
  <c r="IP581" i="40"/>
  <c r="IK380" i="40"/>
  <c r="IN380" i="40" s="1"/>
  <c r="II480" i="40"/>
  <c r="IL480" i="40" s="1"/>
  <c r="IQ481" i="40"/>
  <c r="IP281" i="40"/>
  <c r="IO480" i="40"/>
  <c r="IP579" i="40"/>
  <c r="IO481" i="40"/>
  <c r="IK281" i="40"/>
  <c r="IN281" i="40" s="1"/>
  <c r="JF380" i="40"/>
  <c r="HM380" i="40" s="1"/>
  <c r="HP380" i="40" s="1"/>
  <c r="IJ580" i="40"/>
  <c r="IM580" i="40" s="1"/>
  <c r="IQ381" i="40"/>
  <c r="JF580" i="40"/>
  <c r="HO580" i="40" s="1"/>
  <c r="HR580" i="40" s="1"/>
  <c r="IK379" i="40"/>
  <c r="IN379" i="40" s="1"/>
  <c r="AK481" i="40"/>
  <c r="IQ581" i="40"/>
  <c r="IO380" i="40"/>
  <c r="AL582" i="40"/>
  <c r="AK482" i="40"/>
  <c r="AL483" i="40"/>
  <c r="IQ380" i="40"/>
  <c r="IK481" i="40"/>
  <c r="IN481" i="40" s="1"/>
  <c r="IK381" i="40"/>
  <c r="IN381" i="40" s="1"/>
  <c r="IP580" i="40"/>
  <c r="JF481" i="40"/>
  <c r="HO481" i="40" s="1"/>
  <c r="HR481" i="40" s="1"/>
  <c r="AL283" i="40"/>
  <c r="IO381" i="40"/>
  <c r="IP381" i="40"/>
  <c r="JF381" i="40"/>
  <c r="HO381" i="40" s="1"/>
  <c r="HR381" i="40" s="1"/>
  <c r="II580" i="40"/>
  <c r="IL580" i="40" s="1"/>
  <c r="IJ381" i="40"/>
  <c r="IM381" i="40" s="1"/>
  <c r="IP379" i="40"/>
  <c r="AK582" i="40"/>
  <c r="AK283" i="40"/>
  <c r="IP481" i="40"/>
  <c r="IJ481" i="40"/>
  <c r="IM481" i="40" s="1"/>
  <c r="II380" i="40"/>
  <c r="IL380" i="40" s="1"/>
  <c r="II379" i="40"/>
  <c r="IL379" i="40" s="1"/>
  <c r="AL285" i="40"/>
  <c r="AL284" i="40"/>
  <c r="AK382" i="40"/>
  <c r="AK483" i="40"/>
  <c r="II381" i="40"/>
  <c r="IL381" i="40" s="1"/>
  <c r="AK284" i="40"/>
  <c r="IP380" i="40"/>
  <c r="AL484" i="40"/>
  <c r="AK381" i="40"/>
  <c r="AL381" i="40"/>
  <c r="AL287" i="40"/>
  <c r="AK584" i="40"/>
  <c r="AK285" i="40"/>
  <c r="AL583" i="40"/>
  <c r="AL382" i="40"/>
  <c r="AK485" i="40"/>
  <c r="AK583" i="40"/>
  <c r="AK383" i="40"/>
  <c r="AK484" i="40"/>
  <c r="AL485" i="40"/>
  <c r="AK585" i="40"/>
  <c r="AL584" i="40"/>
  <c r="AK586" i="40"/>
  <c r="AK385" i="40"/>
  <c r="AL286" i="40"/>
  <c r="AK286" i="40"/>
  <c r="AL383" i="40"/>
  <c r="AK384" i="40"/>
  <c r="AL585" i="40"/>
  <c r="AL384" i="40"/>
  <c r="AL486" i="40"/>
  <c r="AL586" i="40"/>
  <c r="AK587" i="40"/>
  <c r="AL385" i="40"/>
  <c r="AK486" i="40"/>
  <c r="AK287" i="40"/>
  <c r="AL587" i="40"/>
  <c r="AK386" i="40"/>
  <c r="AL289" i="40"/>
  <c r="AL387" i="40"/>
  <c r="AL488" i="40"/>
  <c r="AK588" i="40"/>
  <c r="AK487" i="40"/>
  <c r="AK387" i="40"/>
  <c r="AK288" i="40"/>
  <c r="AL288" i="40"/>
  <c r="AL487" i="40"/>
  <c r="AL386" i="40"/>
  <c r="AL588" i="40"/>
  <c r="AK289" i="40"/>
  <c r="AK488" i="40"/>
  <c r="AL290" i="40"/>
  <c r="AK589" i="40"/>
  <c r="AL388" i="40"/>
  <c r="AL590" i="40"/>
  <c r="AK489" i="40"/>
  <c r="AK388" i="40"/>
  <c r="AK290" i="40"/>
  <c r="AL589" i="40"/>
  <c r="AL489" i="40"/>
  <c r="AK590" i="40"/>
  <c r="AL390" i="40"/>
  <c r="AL490" i="40"/>
  <c r="AK490" i="40"/>
  <c r="AK390" i="40"/>
  <c r="AK591" i="40"/>
  <c r="AK389" i="40"/>
  <c r="AL293" i="40"/>
  <c r="AL591" i="40"/>
  <c r="AL389" i="40"/>
  <c r="AL291" i="40"/>
  <c r="AK291" i="40"/>
  <c r="AK492" i="40"/>
  <c r="AL491" i="40"/>
  <c r="AK391" i="40"/>
  <c r="AK293" i="40"/>
  <c r="AL292" i="40"/>
  <c r="AL592" i="40"/>
  <c r="AK491" i="40"/>
  <c r="AL492" i="40"/>
  <c r="AL391" i="40"/>
  <c r="AK292" i="40"/>
  <c r="AK592" i="40"/>
  <c r="AL493" i="40"/>
  <c r="AK493" i="40"/>
  <c r="AK593" i="40"/>
  <c r="AL392" i="40"/>
  <c r="AK393" i="40"/>
  <c r="AL294" i="40"/>
  <c r="AL593" i="40"/>
  <c r="AL594" i="40"/>
  <c r="AK594" i="40"/>
  <c r="AK392" i="40"/>
  <c r="AL295" i="40"/>
  <c r="AK294" i="40"/>
  <c r="AK295" i="40"/>
  <c r="AK494" i="40"/>
  <c r="AL393" i="40"/>
  <c r="AL494" i="40"/>
  <c r="AL296" i="40"/>
  <c r="AL394" i="40"/>
  <c r="AK296" i="40"/>
  <c r="AL595" i="40"/>
  <c r="AK595" i="40"/>
  <c r="AK497" i="40"/>
  <c r="AK495" i="40"/>
  <c r="AL495" i="40"/>
  <c r="AK394" i="40"/>
  <c r="I57" i="70"/>
  <c r="V47" i="59"/>
  <c r="I34" i="59"/>
  <c r="M47" i="59"/>
  <c r="AB16" i="61"/>
  <c r="T16" i="61" s="1"/>
  <c r="AN15" i="61"/>
  <c r="V48" i="59"/>
  <c r="M48" i="59"/>
  <c r="I35" i="59"/>
  <c r="KT145" i="40"/>
  <c r="KU144" i="40"/>
  <c r="I58" i="70" s="1"/>
  <c r="Z47" i="59"/>
  <c r="O47" i="59"/>
  <c r="AN13" i="61"/>
  <c r="X47" i="59"/>
  <c r="N47" i="59"/>
  <c r="Y58" i="59"/>
  <c r="X58" i="59"/>
  <c r="AL13" i="61"/>
  <c r="W48" i="59"/>
  <c r="Q35" i="59"/>
  <c r="P46" i="59"/>
  <c r="X48" i="59"/>
  <c r="N48" i="59"/>
  <c r="W46" i="59"/>
  <c r="Q33" i="59"/>
  <c r="O48" i="59"/>
  <c r="Q34" i="59"/>
  <c r="W47" i="59"/>
  <c r="AB47" i="59"/>
  <c r="P47" i="59"/>
  <c r="AB15" i="61"/>
  <c r="T15" i="61" s="1"/>
  <c r="AL15" i="61"/>
  <c r="V58" i="59" l="1"/>
  <c r="J38" i="67"/>
  <c r="J34" i="66"/>
  <c r="J44" i="69"/>
  <c r="J46" i="68"/>
  <c r="J44" i="67"/>
  <c r="J46" i="69"/>
  <c r="J34" i="69"/>
  <c r="J36" i="69"/>
  <c r="J42" i="69"/>
  <c r="J42" i="68"/>
  <c r="J36" i="68"/>
  <c r="J44" i="68"/>
  <c r="J34" i="68"/>
  <c r="J34" i="67"/>
  <c r="J38" i="68"/>
  <c r="J46" i="67"/>
  <c r="J38" i="69"/>
  <c r="J40" i="67"/>
  <c r="J42" i="67"/>
  <c r="J40" i="68"/>
  <c r="J40" i="69"/>
  <c r="JA201" i="40"/>
  <c r="J36" i="66"/>
  <c r="J42" i="66"/>
  <c r="J46" i="66"/>
  <c r="J44" i="66"/>
  <c r="J40" i="66"/>
  <c r="J38" i="66"/>
  <c r="J36" i="67"/>
  <c r="HO506" i="40"/>
  <c r="HR506" i="40" s="1"/>
  <c r="JC203" i="40"/>
  <c r="HM406" i="40"/>
  <c r="HP406" i="40" s="1"/>
  <c r="HN303" i="40"/>
  <c r="HQ303" i="40" s="1"/>
  <c r="HO206" i="40"/>
  <c r="HN503" i="40"/>
  <c r="HQ503" i="40" s="1"/>
  <c r="HM208" i="40"/>
  <c r="HP208" i="40" s="1"/>
  <c r="HM402" i="40"/>
  <c r="HP402" i="40" s="1"/>
  <c r="HM504" i="40"/>
  <c r="HP504" i="40" s="1"/>
  <c r="HM201" i="40"/>
  <c r="HO503" i="40"/>
  <c r="HR503" i="40" s="1"/>
  <c r="HM501" i="40"/>
  <c r="HP501" i="40" s="1"/>
  <c r="HM206" i="40"/>
  <c r="HO401" i="40"/>
  <c r="HR401" i="40" s="1"/>
  <c r="HM203" i="40"/>
  <c r="HP203" i="40" s="1"/>
  <c r="HO303" i="40"/>
  <c r="HR303" i="40" s="1"/>
  <c r="HN203" i="40"/>
  <c r="HO501" i="40"/>
  <c r="HR501" i="40" s="1"/>
  <c r="HN401" i="40"/>
  <c r="HQ401" i="40" s="1"/>
  <c r="JC301" i="40"/>
  <c r="N9" i="61" s="1"/>
  <c r="AA9" i="61" s="1"/>
  <c r="HN512" i="40"/>
  <c r="HQ512" i="40" s="1"/>
  <c r="HM512" i="40"/>
  <c r="HP512" i="40" s="1"/>
  <c r="HO205" i="40"/>
  <c r="HR205" i="40" s="1"/>
  <c r="HM205" i="40"/>
  <c r="HP205" i="40" s="1"/>
  <c r="HN507" i="40"/>
  <c r="HQ507" i="40" s="1"/>
  <c r="HM310" i="40"/>
  <c r="HP310" i="40" s="1"/>
  <c r="HO502" i="40"/>
  <c r="HR502" i="40" s="1"/>
  <c r="HM502" i="40"/>
  <c r="HP502" i="40" s="1"/>
  <c r="HN557" i="40"/>
  <c r="HQ557" i="40" s="1"/>
  <c r="HN425" i="40"/>
  <c r="HQ425" i="40" s="1"/>
  <c r="HM309" i="40"/>
  <c r="HP309" i="40" s="1"/>
  <c r="HM302" i="40"/>
  <c r="HP302" i="40" s="1"/>
  <c r="JC401" i="40"/>
  <c r="N10" i="61" s="1"/>
  <c r="AA10" i="61" s="1"/>
  <c r="HM505" i="40"/>
  <c r="HP505" i="40" s="1"/>
  <c r="HM324" i="40"/>
  <c r="HP324" i="40" s="1"/>
  <c r="JC201" i="40"/>
  <c r="N8" i="61" s="1"/>
  <c r="AA8" i="61" s="1"/>
  <c r="HN461" i="40"/>
  <c r="HQ461" i="40" s="1"/>
  <c r="HM217" i="40"/>
  <c r="HO302" i="40"/>
  <c r="HR302" i="40" s="1"/>
  <c r="HO505" i="40"/>
  <c r="HR505" i="40" s="1"/>
  <c r="HM270" i="40"/>
  <c r="HM425" i="40"/>
  <c r="HP425" i="40" s="1"/>
  <c r="HN321" i="40"/>
  <c r="HQ321" i="40" s="1"/>
  <c r="HN330" i="40"/>
  <c r="HQ330" i="40" s="1"/>
  <c r="HN264" i="40"/>
  <c r="HN367" i="40"/>
  <c r="HQ367" i="40" s="1"/>
  <c r="JA231" i="40"/>
  <c r="HO304" i="40"/>
  <c r="HR304" i="40" s="1"/>
  <c r="JH304" i="40" s="1"/>
  <c r="JA208" i="40"/>
  <c r="HM564" i="40"/>
  <c r="HP564" i="40" s="1"/>
  <c r="JB387" i="40"/>
  <c r="HN387" i="40"/>
  <c r="HQ387" i="40" s="1"/>
  <c r="HO387" i="40"/>
  <c r="HR387" i="40" s="1"/>
  <c r="HM387" i="40"/>
  <c r="HP387" i="40" s="1"/>
  <c r="JB487" i="40"/>
  <c r="HW587" i="40"/>
  <c r="HX587" i="40"/>
  <c r="HV587" i="40"/>
  <c r="JA587" i="40"/>
  <c r="HM487" i="40"/>
  <c r="HP487" i="40" s="1"/>
  <c r="HO487" i="40"/>
  <c r="HR487" i="40" s="1"/>
  <c r="HN487" i="40"/>
  <c r="HQ487" i="40" s="1"/>
  <c r="HM286" i="40"/>
  <c r="HN286" i="40"/>
  <c r="HO286" i="40"/>
  <c r="JB286" i="40"/>
  <c r="HM586" i="40"/>
  <c r="HP586" i="40" s="1"/>
  <c r="HN586" i="40"/>
  <c r="HQ586" i="40" s="1"/>
  <c r="HO586" i="40"/>
  <c r="HR586" i="40" s="1"/>
  <c r="HV486" i="40"/>
  <c r="JA486" i="40"/>
  <c r="HW486" i="40"/>
  <c r="HX486" i="40"/>
  <c r="JB284" i="40"/>
  <c r="JC384" i="40"/>
  <c r="JC284" i="40"/>
  <c r="HM384" i="40"/>
  <c r="HP384" i="40" s="1"/>
  <c r="HO384" i="40"/>
  <c r="HR384" i="40" s="1"/>
  <c r="HN384" i="40"/>
  <c r="HQ384" i="40" s="1"/>
  <c r="JB585" i="40"/>
  <c r="JB384" i="40"/>
  <c r="JB485" i="40"/>
  <c r="HM284" i="40"/>
  <c r="HN284" i="40"/>
  <c r="HO284" i="40"/>
  <c r="HO383" i="40"/>
  <c r="HR383" i="40" s="1"/>
  <c r="HM383" i="40"/>
  <c r="HP383" i="40" s="1"/>
  <c r="HN383" i="40"/>
  <c r="HQ383" i="40" s="1"/>
  <c r="HW584" i="40"/>
  <c r="HX584" i="40"/>
  <c r="JA584" i="40"/>
  <c r="HV584" i="40"/>
  <c r="JB584" i="40"/>
  <c r="JC584" i="40"/>
  <c r="HX483" i="40"/>
  <c r="JA483" i="40"/>
  <c r="HV483" i="40"/>
  <c r="HW483" i="40"/>
  <c r="HX282" i="40"/>
  <c r="HV282" i="40"/>
  <c r="HW282" i="40"/>
  <c r="JA282" i="40"/>
  <c r="HN382" i="40"/>
  <c r="HQ382" i="40" s="1"/>
  <c r="HO382" i="40"/>
  <c r="HR382" i="40" s="1"/>
  <c r="HM382" i="40"/>
  <c r="HP382" i="40" s="1"/>
  <c r="JB282" i="40"/>
  <c r="HV583" i="40"/>
  <c r="JA583" i="40"/>
  <c r="HW583" i="40"/>
  <c r="HX583" i="40"/>
  <c r="HM282" i="40"/>
  <c r="HO282" i="40"/>
  <c r="HN282" i="40"/>
  <c r="JC582" i="40"/>
  <c r="HW582" i="40"/>
  <c r="HV582" i="40"/>
  <c r="HX582" i="40"/>
  <c r="JA582" i="40"/>
  <c r="JC482" i="40"/>
  <c r="JC387" i="40"/>
  <c r="HW287" i="40"/>
  <c r="HX287" i="40"/>
  <c r="JA287" i="40"/>
  <c r="HV287" i="40"/>
  <c r="JC487" i="40"/>
  <c r="HW487" i="40"/>
  <c r="JA487" i="40"/>
  <c r="HV487" i="40"/>
  <c r="HX487" i="40"/>
  <c r="JB285" i="40"/>
  <c r="JC285" i="40"/>
  <c r="HO385" i="40"/>
  <c r="HR385" i="40" s="1"/>
  <c r="HN385" i="40"/>
  <c r="HQ385" i="40" s="1"/>
  <c r="HM385" i="40"/>
  <c r="HP385" i="40" s="1"/>
  <c r="HN285" i="40"/>
  <c r="HO285" i="40"/>
  <c r="HM285" i="40"/>
  <c r="HO486" i="40"/>
  <c r="HR486" i="40" s="1"/>
  <c r="HM486" i="40"/>
  <c r="HP486" i="40" s="1"/>
  <c r="HN486" i="40"/>
  <c r="HQ486" i="40" s="1"/>
  <c r="HX585" i="40"/>
  <c r="HW585" i="40"/>
  <c r="JA585" i="40"/>
  <c r="HV585" i="40"/>
  <c r="JC585" i="40"/>
  <c r="HV284" i="40"/>
  <c r="JA284" i="40"/>
  <c r="HW284" i="40"/>
  <c r="HX284" i="40"/>
  <c r="HM283" i="40"/>
  <c r="HN283" i="40"/>
  <c r="HO283" i="40"/>
  <c r="JC283" i="40"/>
  <c r="JC484" i="40"/>
  <c r="HV383" i="40"/>
  <c r="HW383" i="40"/>
  <c r="HX383" i="40"/>
  <c r="JA383" i="40"/>
  <c r="JC383" i="40"/>
  <c r="JC282" i="40"/>
  <c r="JB583" i="40"/>
  <c r="JB582" i="40"/>
  <c r="HN564" i="40"/>
  <c r="HQ564" i="40" s="1"/>
  <c r="JC287" i="40"/>
  <c r="HM287" i="40"/>
  <c r="HO287" i="40"/>
  <c r="HN287" i="40"/>
  <c r="HV386" i="40"/>
  <c r="JA386" i="40"/>
  <c r="HW386" i="40"/>
  <c r="HX386" i="40"/>
  <c r="HO587" i="40"/>
  <c r="HR587" i="40" s="1"/>
  <c r="HM587" i="40"/>
  <c r="HP587" i="40" s="1"/>
  <c r="HN587" i="40"/>
  <c r="HQ587" i="40" s="1"/>
  <c r="JC386" i="40"/>
  <c r="JB386" i="40"/>
  <c r="JC586" i="40"/>
  <c r="JB586" i="40"/>
  <c r="JB486" i="40"/>
  <c r="JB385" i="40"/>
  <c r="HW485" i="40"/>
  <c r="JA485" i="40"/>
  <c r="HX485" i="40"/>
  <c r="HV485" i="40"/>
  <c r="JC485" i="40"/>
  <c r="HN485" i="40"/>
  <c r="HQ485" i="40" s="1"/>
  <c r="HM485" i="40"/>
  <c r="HP485" i="40" s="1"/>
  <c r="HO485" i="40"/>
  <c r="HR485" i="40" s="1"/>
  <c r="HX384" i="40"/>
  <c r="HV384" i="40"/>
  <c r="HW384" i="40"/>
  <c r="JA384" i="40"/>
  <c r="HM584" i="40"/>
  <c r="HP584" i="40" s="1"/>
  <c r="HO584" i="40"/>
  <c r="HR584" i="40" s="1"/>
  <c r="HN584" i="40"/>
  <c r="HQ584" i="40" s="1"/>
  <c r="HX484" i="40"/>
  <c r="JA484" i="40"/>
  <c r="HV484" i="40"/>
  <c r="HW484" i="40"/>
  <c r="HW283" i="40"/>
  <c r="HV283" i="40"/>
  <c r="HX283" i="40"/>
  <c r="JA283" i="40"/>
  <c r="JB382" i="40"/>
  <c r="HO583" i="40"/>
  <c r="HR583" i="40" s="1"/>
  <c r="HN583" i="40"/>
  <c r="HQ583" i="40" s="1"/>
  <c r="HM583" i="40"/>
  <c r="HP583" i="40" s="1"/>
  <c r="HN483" i="40"/>
  <c r="HQ483" i="40" s="1"/>
  <c r="HM483" i="40"/>
  <c r="HP483" i="40" s="1"/>
  <c r="HO483" i="40"/>
  <c r="HR483" i="40" s="1"/>
  <c r="JB483" i="40"/>
  <c r="JC483" i="40"/>
  <c r="HM482" i="40"/>
  <c r="HP482" i="40" s="1"/>
  <c r="HN482" i="40"/>
  <c r="HQ482" i="40" s="1"/>
  <c r="HO482" i="40"/>
  <c r="HR482" i="40" s="1"/>
  <c r="HV482" i="40"/>
  <c r="JA482" i="40"/>
  <c r="HX482" i="40"/>
  <c r="HW482" i="40"/>
  <c r="JB484" i="40"/>
  <c r="JB287" i="40"/>
  <c r="HV387" i="40"/>
  <c r="HW387" i="40"/>
  <c r="HX387" i="40"/>
  <c r="JA387" i="40"/>
  <c r="JC286" i="40"/>
  <c r="JB587" i="40"/>
  <c r="HN386" i="40"/>
  <c r="HQ386" i="40" s="1"/>
  <c r="HO386" i="40"/>
  <c r="HR386" i="40" s="1"/>
  <c r="HM386" i="40"/>
  <c r="HP386" i="40" s="1"/>
  <c r="JC587" i="40"/>
  <c r="HX286" i="40"/>
  <c r="HW286" i="40"/>
  <c r="JA286" i="40"/>
  <c r="HV286" i="40"/>
  <c r="HW385" i="40"/>
  <c r="HV385" i="40"/>
  <c r="HX385" i="40"/>
  <c r="JA385" i="40"/>
  <c r="JC385" i="40"/>
  <c r="HW285" i="40"/>
  <c r="HX285" i="40"/>
  <c r="JA285" i="40"/>
  <c r="HV285" i="40"/>
  <c r="JC486" i="40"/>
  <c r="HW586" i="40"/>
  <c r="HX586" i="40"/>
  <c r="HV586" i="40"/>
  <c r="JA586" i="40"/>
  <c r="HM585" i="40"/>
  <c r="HP585" i="40" s="1"/>
  <c r="HO585" i="40"/>
  <c r="HR585" i="40" s="1"/>
  <c r="HN585" i="40"/>
  <c r="HQ585" i="40" s="1"/>
  <c r="HN484" i="40"/>
  <c r="HQ484" i="40" s="1"/>
  <c r="HO484" i="40"/>
  <c r="HR484" i="40" s="1"/>
  <c r="HM484" i="40"/>
  <c r="HP484" i="40" s="1"/>
  <c r="JB383" i="40"/>
  <c r="JB283" i="40"/>
  <c r="JC382" i="40"/>
  <c r="JC583" i="40"/>
  <c r="HV382" i="40"/>
  <c r="JA382" i="40"/>
  <c r="HW382" i="40"/>
  <c r="HX382" i="40"/>
  <c r="HN582" i="40"/>
  <c r="HQ582" i="40" s="1"/>
  <c r="HM582" i="40"/>
  <c r="HP582" i="40" s="1"/>
  <c r="HO582" i="40"/>
  <c r="HR582" i="40" s="1"/>
  <c r="JB482" i="40"/>
  <c r="HM321" i="40"/>
  <c r="HP321" i="40" s="1"/>
  <c r="JA240" i="40"/>
  <c r="HM377" i="40"/>
  <c r="HP377" i="40" s="1"/>
  <c r="HM403" i="40"/>
  <c r="HP403" i="40" s="1"/>
  <c r="HN511" i="40"/>
  <c r="HQ511" i="40" s="1"/>
  <c r="HN366" i="40"/>
  <c r="HQ366" i="40" s="1"/>
  <c r="HN257" i="40"/>
  <c r="HQ257" i="40" s="1"/>
  <c r="HN431" i="40"/>
  <c r="HQ431" i="40" s="1"/>
  <c r="HN403" i="40"/>
  <c r="HQ403" i="40" s="1"/>
  <c r="HM449" i="40"/>
  <c r="HP449" i="40" s="1"/>
  <c r="HN434" i="40"/>
  <c r="HQ434" i="40" s="1"/>
  <c r="HM330" i="40"/>
  <c r="HP330" i="40" s="1"/>
  <c r="HO404" i="40"/>
  <c r="HR404" i="40" s="1"/>
  <c r="HM404" i="40"/>
  <c r="HP404" i="40" s="1"/>
  <c r="HN204" i="40"/>
  <c r="HM452" i="40"/>
  <c r="HP452" i="40" s="1"/>
  <c r="HN381" i="40"/>
  <c r="HQ381" i="40" s="1"/>
  <c r="HN529" i="40"/>
  <c r="HQ529" i="40" s="1"/>
  <c r="HN327" i="40"/>
  <c r="HQ327" i="40" s="1"/>
  <c r="HN210" i="40"/>
  <c r="HQ210" i="40" s="1"/>
  <c r="HM207" i="40"/>
  <c r="HP207" i="40" s="1"/>
  <c r="HN252" i="40"/>
  <c r="HQ252" i="40" s="1"/>
  <c r="HM558" i="40"/>
  <c r="HP558" i="40" s="1"/>
  <c r="HM446" i="40"/>
  <c r="HP446" i="40" s="1"/>
  <c r="HO406" i="40"/>
  <c r="HR406" i="40" s="1"/>
  <c r="HO204" i="40"/>
  <c r="HR204" i="40" s="1"/>
  <c r="HM328" i="40"/>
  <c r="HP328" i="40" s="1"/>
  <c r="HN223" i="40"/>
  <c r="HQ223" i="40" s="1"/>
  <c r="HO405" i="40"/>
  <c r="HR405" i="40" s="1"/>
  <c r="HN405" i="40"/>
  <c r="HQ405" i="40" s="1"/>
  <c r="HM301" i="40"/>
  <c r="HP301" i="40" s="1"/>
  <c r="HN555" i="40"/>
  <c r="HQ555" i="40" s="1"/>
  <c r="HN504" i="40"/>
  <c r="HQ504" i="40" s="1"/>
  <c r="HO301" i="40"/>
  <c r="HR301" i="40" s="1"/>
  <c r="HN402" i="40"/>
  <c r="HQ402" i="40" s="1"/>
  <c r="HM422" i="40"/>
  <c r="HP422" i="40" s="1"/>
  <c r="HN319" i="40"/>
  <c r="HQ319" i="40" s="1"/>
  <c r="HM218" i="40"/>
  <c r="HP218" i="40" s="1"/>
  <c r="HM308" i="40"/>
  <c r="HP308" i="40" s="1"/>
  <c r="HN308" i="40"/>
  <c r="HQ308" i="40" s="1"/>
  <c r="HM509" i="40"/>
  <c r="HP509" i="40" s="1"/>
  <c r="HM407" i="40"/>
  <c r="HP407" i="40" s="1"/>
  <c r="HN373" i="40"/>
  <c r="HQ373" i="40" s="1"/>
  <c r="HM271" i="40"/>
  <c r="HP271" i="40" s="1"/>
  <c r="HM478" i="40"/>
  <c r="HP478" i="40" s="1"/>
  <c r="HM553" i="40"/>
  <c r="HP553" i="40" s="1"/>
  <c r="HN551" i="40"/>
  <c r="HQ551" i="40" s="1"/>
  <c r="HN368" i="40"/>
  <c r="HQ368" i="40" s="1"/>
  <c r="HN262" i="40"/>
  <c r="HQ262" i="40" s="1"/>
  <c r="HM360" i="40"/>
  <c r="HP360" i="40" s="1"/>
  <c r="HN454" i="40"/>
  <c r="HQ454" i="40" s="1"/>
  <c r="HM334" i="40"/>
  <c r="HP334" i="40" s="1"/>
  <c r="HM420" i="40"/>
  <c r="HP420" i="40" s="1"/>
  <c r="HM318" i="40"/>
  <c r="HP318" i="40" s="1"/>
  <c r="HN449" i="40"/>
  <c r="HQ449" i="40" s="1"/>
  <c r="HM434" i="40"/>
  <c r="HP434" i="40" s="1"/>
  <c r="HM331" i="40"/>
  <c r="HP331" i="40" s="1"/>
  <c r="HM457" i="40"/>
  <c r="HP457" i="40" s="1"/>
  <c r="JC254" i="40"/>
  <c r="HM546" i="40"/>
  <c r="HP546" i="40" s="1"/>
  <c r="HM433" i="40"/>
  <c r="HP433" i="40" s="1"/>
  <c r="HN332" i="40"/>
  <c r="HQ332" i="40" s="1"/>
  <c r="HN328" i="40"/>
  <c r="HQ328" i="40" s="1"/>
  <c r="HN426" i="40"/>
  <c r="HQ426" i="40" s="1"/>
  <c r="HM209" i="40"/>
  <c r="HP209" i="40" s="1"/>
  <c r="HN305" i="40"/>
  <c r="HQ305" i="40" s="1"/>
  <c r="HO305" i="40"/>
  <c r="HR305" i="40" s="1"/>
  <c r="HM366" i="40"/>
  <c r="HP366" i="40" s="1"/>
  <c r="HM367" i="40"/>
  <c r="HP367" i="40" s="1"/>
  <c r="JA263" i="40"/>
  <c r="HN261" i="40"/>
  <c r="HQ261" i="40" s="1"/>
  <c r="HM459" i="40"/>
  <c r="HP459" i="40" s="1"/>
  <c r="JA257" i="40"/>
  <c r="HN238" i="40"/>
  <c r="HQ238" i="40" s="1"/>
  <c r="HN237" i="40"/>
  <c r="HQ237" i="40" s="1"/>
  <c r="HN435" i="40"/>
  <c r="HQ435" i="40" s="1"/>
  <c r="HN333" i="40"/>
  <c r="HQ333" i="40" s="1"/>
  <c r="HM319" i="40"/>
  <c r="HP319" i="40" s="1"/>
  <c r="HN316" i="40"/>
  <c r="HQ316" i="40" s="1"/>
  <c r="HN506" i="40"/>
  <c r="HQ506" i="40" s="1"/>
  <c r="HM202" i="40"/>
  <c r="HP202" i="40" s="1"/>
  <c r="HM575" i="40"/>
  <c r="HP575" i="40" s="1"/>
  <c r="HM369" i="40"/>
  <c r="HP369" i="40" s="1"/>
  <c r="HN558" i="40"/>
  <c r="HQ558" i="40" s="1"/>
  <c r="HM555" i="40"/>
  <c r="HP555" i="40" s="1"/>
  <c r="HM352" i="40"/>
  <c r="HP352" i="40" s="1"/>
  <c r="HM346" i="40"/>
  <c r="HP346" i="40" s="1"/>
  <c r="HO279" i="40"/>
  <c r="HR279" i="40" s="1"/>
  <c r="HM269" i="40"/>
  <c r="HP269" i="40" s="1"/>
  <c r="HN270" i="40"/>
  <c r="HQ270" i="40" s="1"/>
  <c r="HN467" i="40"/>
  <c r="HQ467" i="40" s="1"/>
  <c r="HN258" i="40"/>
  <c r="HQ258" i="40" s="1"/>
  <c r="HN247" i="40"/>
  <c r="HQ247" i="40" s="1"/>
  <c r="HM515" i="40"/>
  <c r="HP515" i="40" s="1"/>
  <c r="HM258" i="40"/>
  <c r="HP258" i="40" s="1"/>
  <c r="HM247" i="40"/>
  <c r="HP247" i="40" s="1"/>
  <c r="HN481" i="40"/>
  <c r="HQ481" i="40" s="1"/>
  <c r="HM379" i="40"/>
  <c r="HP379" i="40" s="1"/>
  <c r="HM576" i="40"/>
  <c r="HP576" i="40" s="1"/>
  <c r="HM375" i="40"/>
  <c r="HP375" i="40" s="1"/>
  <c r="JH375" i="40" s="1"/>
  <c r="HN344" i="40"/>
  <c r="HQ344" i="40" s="1"/>
  <c r="HN446" i="40"/>
  <c r="HQ446" i="40" s="1"/>
  <c r="HN578" i="40"/>
  <c r="HQ578" i="40" s="1"/>
  <c r="HM577" i="40"/>
  <c r="HP577" i="40" s="1"/>
  <c r="HN273" i="40"/>
  <c r="HQ273" i="40" s="1"/>
  <c r="HM468" i="40"/>
  <c r="HP468" i="40" s="1"/>
  <c r="HM266" i="40"/>
  <c r="HP266" i="40" s="1"/>
  <c r="HM466" i="40"/>
  <c r="HP466" i="40" s="1"/>
  <c r="HM563" i="40"/>
  <c r="HP563" i="40" s="1"/>
  <c r="HN563" i="40"/>
  <c r="HQ563" i="40" s="1"/>
  <c r="HM264" i="40"/>
  <c r="HP264" i="40" s="1"/>
  <c r="HM559" i="40"/>
  <c r="HP559" i="40" s="1"/>
  <c r="HM342" i="40"/>
  <c r="HP342" i="40" s="1"/>
  <c r="HM238" i="40"/>
  <c r="HN533" i="40"/>
  <c r="HQ533" i="40" s="1"/>
  <c r="HN233" i="40"/>
  <c r="HQ233" i="40" s="1"/>
  <c r="HN276" i="40"/>
  <c r="HQ276" i="40" s="1"/>
  <c r="HN559" i="40"/>
  <c r="HQ559" i="40" s="1"/>
  <c r="HN349" i="40"/>
  <c r="HQ349" i="40" s="1"/>
  <c r="HM548" i="40"/>
  <c r="HP548" i="40" s="1"/>
  <c r="JH548" i="40" s="1"/>
  <c r="HM441" i="40"/>
  <c r="HP441" i="40" s="1"/>
  <c r="HN537" i="40"/>
  <c r="HQ537" i="40" s="1"/>
  <c r="HM533" i="40"/>
  <c r="HP533" i="40" s="1"/>
  <c r="JH533" i="40" s="1"/>
  <c r="HM277" i="40"/>
  <c r="HM581" i="40"/>
  <c r="HP581" i="40" s="1"/>
  <c r="HM566" i="40"/>
  <c r="HP566" i="40" s="1"/>
  <c r="HM362" i="40"/>
  <c r="HP362" i="40" s="1"/>
  <c r="HM549" i="40"/>
  <c r="HP549" i="40" s="1"/>
  <c r="HM525" i="40"/>
  <c r="HP525" i="40" s="1"/>
  <c r="HN522" i="40"/>
  <c r="HQ522" i="40" s="1"/>
  <c r="HN417" i="40"/>
  <c r="HQ417" i="40" s="1"/>
  <c r="HN219" i="40"/>
  <c r="HQ219" i="40" s="1"/>
  <c r="HM213" i="40"/>
  <c r="HP213" i="40" s="1"/>
  <c r="HM411" i="40"/>
  <c r="HP411" i="40" s="1"/>
  <c r="HN510" i="40"/>
  <c r="HQ510" i="40" s="1"/>
  <c r="HO380" i="40"/>
  <c r="HR380" i="40" s="1"/>
  <c r="HM267" i="40"/>
  <c r="HP267" i="40" s="1"/>
  <c r="HN464" i="40"/>
  <c r="HQ464" i="40" s="1"/>
  <c r="HN542" i="40"/>
  <c r="HQ542" i="40" s="1"/>
  <c r="HN525" i="40"/>
  <c r="HQ525" i="40" s="1"/>
  <c r="HM417" i="40"/>
  <c r="HP417" i="40" s="1"/>
  <c r="HM215" i="40"/>
  <c r="HP215" i="40" s="1"/>
  <c r="HN575" i="40"/>
  <c r="HQ575" i="40" s="1"/>
  <c r="HM275" i="40"/>
  <c r="HP275" i="40" s="1"/>
  <c r="HM236" i="40"/>
  <c r="HP236" i="40" s="1"/>
  <c r="HM323" i="40"/>
  <c r="HP323" i="40" s="1"/>
  <c r="HN517" i="40"/>
  <c r="HQ517" i="40" s="1"/>
  <c r="HM414" i="40"/>
  <c r="HP414" i="40" s="1"/>
  <c r="HN473" i="40"/>
  <c r="HQ473" i="40" s="1"/>
  <c r="HN568" i="40"/>
  <c r="HQ568" i="40" s="1"/>
  <c r="HN566" i="40"/>
  <c r="HQ566" i="40" s="1"/>
  <c r="HN458" i="40"/>
  <c r="HQ458" i="40" s="1"/>
  <c r="HN256" i="40"/>
  <c r="HQ256" i="40" s="1"/>
  <c r="HM256" i="40"/>
  <c r="HP256" i="40" s="1"/>
  <c r="HN453" i="40"/>
  <c r="HQ453" i="40" s="1"/>
  <c r="HM350" i="40"/>
  <c r="HP350" i="40" s="1"/>
  <c r="HN543" i="40"/>
  <c r="HQ543" i="40" s="1"/>
  <c r="HN445" i="40"/>
  <c r="HQ445" i="40" s="1"/>
  <c r="HN341" i="40"/>
  <c r="HQ341" i="40" s="1"/>
  <c r="HN528" i="40"/>
  <c r="HQ528" i="40" s="1"/>
  <c r="HM522" i="40"/>
  <c r="HP522" i="40" s="1"/>
  <c r="HM313" i="40"/>
  <c r="HP313" i="40" s="1"/>
  <c r="HN313" i="40"/>
  <c r="HQ313" i="40" s="1"/>
  <c r="HN576" i="40"/>
  <c r="HQ576" i="40" s="1"/>
  <c r="HM571" i="40"/>
  <c r="HP571" i="40" s="1"/>
  <c r="HN468" i="40"/>
  <c r="HQ468" i="40" s="1"/>
  <c r="HN363" i="40"/>
  <c r="HQ363" i="40" s="1"/>
  <c r="HM363" i="40"/>
  <c r="HP363" i="40" s="1"/>
  <c r="HN362" i="40"/>
  <c r="HQ362" i="40" s="1"/>
  <c r="HM353" i="40"/>
  <c r="HP353" i="40" s="1"/>
  <c r="HM347" i="40"/>
  <c r="HP347" i="40" s="1"/>
  <c r="HM237" i="40"/>
  <c r="HP237" i="40" s="1"/>
  <c r="HM332" i="40"/>
  <c r="HP332" i="40" s="1"/>
  <c r="HN427" i="40"/>
  <c r="HQ427" i="40" s="1"/>
  <c r="HM223" i="40"/>
  <c r="HM419" i="40"/>
  <c r="HP419" i="40" s="1"/>
  <c r="HM514" i="40"/>
  <c r="HP514" i="40" s="1"/>
  <c r="HN581" i="40"/>
  <c r="HQ581" i="40" s="1"/>
  <c r="HM278" i="40"/>
  <c r="HP278" i="40" s="1"/>
  <c r="HM368" i="40"/>
  <c r="HP368" i="40" s="1"/>
  <c r="HN565" i="40"/>
  <c r="HQ565" i="40" s="1"/>
  <c r="HN354" i="40"/>
  <c r="HQ354" i="40" s="1"/>
  <c r="HN440" i="40"/>
  <c r="HQ440" i="40" s="1"/>
  <c r="HM436" i="40"/>
  <c r="HP436" i="40" s="1"/>
  <c r="JC237" i="40"/>
  <c r="HM534" i="40"/>
  <c r="HP534" i="40" s="1"/>
  <c r="HM224" i="40"/>
  <c r="HP224" i="40" s="1"/>
  <c r="HN320" i="40"/>
  <c r="HQ320" i="40" s="1"/>
  <c r="HM520" i="40"/>
  <c r="HP520" i="40" s="1"/>
  <c r="HM320" i="40"/>
  <c r="HP320" i="40" s="1"/>
  <c r="HM517" i="40"/>
  <c r="HP517" i="40" s="1"/>
  <c r="JH517" i="40" s="1"/>
  <c r="HM316" i="40"/>
  <c r="HP316" i="40" s="1"/>
  <c r="HM516" i="40"/>
  <c r="HP516" i="40" s="1"/>
  <c r="JA306" i="40"/>
  <c r="HO202" i="40"/>
  <c r="HR202" i="40" s="1"/>
  <c r="HN380" i="40"/>
  <c r="HQ380" i="40" s="1"/>
  <c r="JH380" i="40" s="1"/>
  <c r="HN579" i="40"/>
  <c r="HQ579" i="40" s="1"/>
  <c r="HN475" i="40"/>
  <c r="HQ475" i="40" s="1"/>
  <c r="HN477" i="40"/>
  <c r="HQ477" i="40" s="1"/>
  <c r="HM373" i="40"/>
  <c r="HP373" i="40" s="1"/>
  <c r="HM465" i="40"/>
  <c r="HP465" i="40" s="1"/>
  <c r="HM560" i="40"/>
  <c r="HP560" i="40" s="1"/>
  <c r="HN460" i="40"/>
  <c r="HQ460" i="40" s="1"/>
  <c r="HN358" i="40"/>
  <c r="HQ358" i="40" s="1"/>
  <c r="HN457" i="40"/>
  <c r="HQ457" i="40" s="1"/>
  <c r="HM354" i="40"/>
  <c r="HP354" i="40" s="1"/>
  <c r="JH354" i="40" s="1"/>
  <c r="HM550" i="40"/>
  <c r="HP550" i="40" s="1"/>
  <c r="HN250" i="40"/>
  <c r="HQ250" i="40" s="1"/>
  <c r="HN346" i="40"/>
  <c r="HQ346" i="40" s="1"/>
  <c r="HM248" i="40"/>
  <c r="HP248" i="40" s="1"/>
  <c r="JA247" i="40"/>
  <c r="HM242" i="40"/>
  <c r="HP242" i="40" s="1"/>
  <c r="HN236" i="40"/>
  <c r="HQ236" i="40" s="1"/>
  <c r="HM536" i="40"/>
  <c r="HP536" i="40" s="1"/>
  <c r="HM234" i="40"/>
  <c r="HP234" i="40" s="1"/>
  <c r="HM232" i="40"/>
  <c r="HP232" i="40" s="1"/>
  <c r="HM233" i="40"/>
  <c r="HP233" i="40" s="1"/>
  <c r="HM231" i="40"/>
  <c r="HP231" i="40" s="1"/>
  <c r="HN229" i="40"/>
  <c r="HM228" i="40"/>
  <c r="HP228" i="40" s="1"/>
  <c r="HN325" i="40"/>
  <c r="HQ325" i="40" s="1"/>
  <c r="HN227" i="40"/>
  <c r="HQ227" i="40" s="1"/>
  <c r="HM227" i="40"/>
  <c r="HP227" i="40" s="1"/>
  <c r="HM307" i="40"/>
  <c r="HP307" i="40" s="1"/>
  <c r="HN209" i="40"/>
  <c r="HQ209" i="40" s="1"/>
  <c r="HO306" i="40"/>
  <c r="HR306" i="40" s="1"/>
  <c r="HM579" i="40"/>
  <c r="HP579" i="40" s="1"/>
  <c r="HM476" i="40"/>
  <c r="HP476" i="40" s="1"/>
  <c r="HN571" i="40"/>
  <c r="HQ571" i="40" s="1"/>
  <c r="HN265" i="40"/>
  <c r="HQ265" i="40" s="1"/>
  <c r="HM454" i="40"/>
  <c r="HP454" i="40" s="1"/>
  <c r="JH454" i="40" s="1"/>
  <c r="HM531" i="40"/>
  <c r="HP531" i="40" s="1"/>
  <c r="JA224" i="40"/>
  <c r="JA223" i="40"/>
  <c r="HM521" i="40"/>
  <c r="HP521" i="40" s="1"/>
  <c r="HN318" i="40"/>
  <c r="HQ318" i="40" s="1"/>
  <c r="JH318" i="40" s="1"/>
  <c r="HN518" i="40"/>
  <c r="HQ518" i="40" s="1"/>
  <c r="HN312" i="40"/>
  <c r="HQ312" i="40" s="1"/>
  <c r="HN412" i="40"/>
  <c r="HQ412" i="40" s="1"/>
  <c r="HM381" i="40"/>
  <c r="HP381" i="40" s="1"/>
  <c r="HN580" i="40"/>
  <c r="HQ580" i="40" s="1"/>
  <c r="HN478" i="40"/>
  <c r="HQ478" i="40" s="1"/>
  <c r="HN277" i="40"/>
  <c r="HQ277" i="40" s="1"/>
  <c r="HM475" i="40"/>
  <c r="HP475" i="40" s="1"/>
  <c r="HN271" i="40"/>
  <c r="HQ271" i="40" s="1"/>
  <c r="HN369" i="40"/>
  <c r="HQ369" i="40" s="1"/>
  <c r="HN268" i="40"/>
  <c r="HQ268" i="40" s="1"/>
  <c r="HN567" i="40"/>
  <c r="HQ567" i="40" s="1"/>
  <c r="HM464" i="40"/>
  <c r="HP464" i="40" s="1"/>
  <c r="HM265" i="40"/>
  <c r="HP265" i="40" s="1"/>
  <c r="HN560" i="40"/>
  <c r="HQ560" i="40" s="1"/>
  <c r="HN359" i="40"/>
  <c r="HQ359" i="40" s="1"/>
  <c r="JA354" i="40"/>
  <c r="JA255" i="40"/>
  <c r="HN253" i="40"/>
  <c r="HQ253" i="40" s="1"/>
  <c r="HN553" i="40"/>
  <c r="HQ553" i="40" s="1"/>
  <c r="JH553" i="40" s="1"/>
  <c r="HN549" i="40"/>
  <c r="HQ549" i="40" s="1"/>
  <c r="HM447" i="40"/>
  <c r="HP447" i="40" s="1"/>
  <c r="HN347" i="40"/>
  <c r="HQ347" i="40" s="1"/>
  <c r="JA346" i="40"/>
  <c r="HN345" i="40"/>
  <c r="HQ345" i="40" s="1"/>
  <c r="HN248" i="40"/>
  <c r="HQ248" i="40" s="1"/>
  <c r="HM344" i="40"/>
  <c r="HP344" i="40" s="1"/>
  <c r="HN343" i="40"/>
  <c r="HQ343" i="40" s="1"/>
  <c r="HN545" i="40"/>
  <c r="HQ545" i="40" s="1"/>
  <c r="JH545" i="40" s="1"/>
  <c r="HM440" i="40"/>
  <c r="HP440" i="40" s="1"/>
  <c r="HN336" i="40"/>
  <c r="HQ336" i="40" s="1"/>
  <c r="HN436" i="40"/>
  <c r="HQ436" i="40" s="1"/>
  <c r="HN536" i="40"/>
  <c r="HQ536" i="40" s="1"/>
  <c r="HN231" i="40"/>
  <c r="HQ231" i="40" s="1"/>
  <c r="HM230" i="40"/>
  <c r="HP230" i="40" s="1"/>
  <c r="JC321" i="40"/>
  <c r="HN414" i="40"/>
  <c r="HQ414" i="40" s="1"/>
  <c r="HN215" i="40"/>
  <c r="HQ215" i="40" s="1"/>
  <c r="HM214" i="40"/>
  <c r="HP214" i="40" s="1"/>
  <c r="HN213" i="40"/>
  <c r="HQ213" i="40" s="1"/>
  <c r="HM580" i="40"/>
  <c r="HP580" i="40" s="1"/>
  <c r="JH580" i="40" s="1"/>
  <c r="HN278" i="40"/>
  <c r="HQ278" i="40" s="1"/>
  <c r="JA275" i="40"/>
  <c r="HM370" i="40"/>
  <c r="HP370" i="40" s="1"/>
  <c r="HM570" i="40"/>
  <c r="HP570" i="40" s="1"/>
  <c r="HN269" i="40"/>
  <c r="HQ269" i="40" s="1"/>
  <c r="HN466" i="40"/>
  <c r="HQ466" i="40" s="1"/>
  <c r="HM562" i="40"/>
  <c r="HP562" i="40" s="1"/>
  <c r="HM260" i="40"/>
  <c r="HP260" i="40" s="1"/>
  <c r="HM357" i="40"/>
  <c r="HP357" i="40" s="1"/>
  <c r="HN357" i="40"/>
  <c r="HQ357" i="40" s="1"/>
  <c r="HM253" i="40"/>
  <c r="HP253" i="40" s="1"/>
  <c r="HM251" i="40"/>
  <c r="HP251" i="40" s="1"/>
  <c r="HM451" i="40"/>
  <c r="HP451" i="40" s="1"/>
  <c r="HN550" i="40"/>
  <c r="HQ550" i="40" s="1"/>
  <c r="HN544" i="40"/>
  <c r="HQ544" i="40" s="1"/>
  <c r="JA239" i="40"/>
  <c r="HN239" i="40"/>
  <c r="HQ239" i="40" s="1"/>
  <c r="HM325" i="40"/>
  <c r="HP325" i="40" s="1"/>
  <c r="HN226" i="40"/>
  <c r="HQ226" i="40" s="1"/>
  <c r="HN515" i="40"/>
  <c r="HQ515" i="40" s="1"/>
  <c r="HN407" i="40"/>
  <c r="HQ407" i="40" s="1"/>
  <c r="JH407" i="40" s="1"/>
  <c r="V59" i="59"/>
  <c r="W59" i="59"/>
  <c r="JB581" i="40"/>
  <c r="JB479" i="40"/>
  <c r="JC377" i="40"/>
  <c r="HW478" i="40"/>
  <c r="HX478" i="40"/>
  <c r="HV478" i="40"/>
  <c r="JA478" i="40"/>
  <c r="JB578" i="40"/>
  <c r="JA278" i="40"/>
  <c r="HW278" i="40"/>
  <c r="HX278" i="40"/>
  <c r="HV278" i="40"/>
  <c r="HX575" i="40"/>
  <c r="HW575" i="40"/>
  <c r="HV575" i="40"/>
  <c r="JA575" i="40"/>
  <c r="HN573" i="40"/>
  <c r="HQ573" i="40" s="1"/>
  <c r="JA371" i="40"/>
  <c r="HX371" i="40"/>
  <c r="HV371" i="40"/>
  <c r="HW371" i="40"/>
  <c r="HM572" i="40"/>
  <c r="HP572" i="40" s="1"/>
  <c r="JB272" i="40"/>
  <c r="HV471" i="40"/>
  <c r="HW471" i="40"/>
  <c r="HX471" i="40"/>
  <c r="JA471" i="40"/>
  <c r="JB470" i="40"/>
  <c r="JB368" i="40"/>
  <c r="JA366" i="40"/>
  <c r="HV366" i="40"/>
  <c r="HW366" i="40"/>
  <c r="HX366" i="40"/>
  <c r="JC467" i="40"/>
  <c r="JB566" i="40"/>
  <c r="HN365" i="40"/>
  <c r="HQ365" i="40" s="1"/>
  <c r="JB363" i="40"/>
  <c r="HX565" i="40"/>
  <c r="HV565" i="40"/>
  <c r="HW565" i="40"/>
  <c r="JA565" i="40"/>
  <c r="JC564" i="40"/>
  <c r="HX463" i="40"/>
  <c r="HV463" i="40"/>
  <c r="HW463" i="40"/>
  <c r="JA463" i="40"/>
  <c r="JC362" i="40"/>
  <c r="HR262" i="40"/>
  <c r="HR662" i="40" s="1"/>
  <c r="HO662" i="40"/>
  <c r="JC460" i="40"/>
  <c r="JA381" i="40"/>
  <c r="HX381" i="40"/>
  <c r="HW381" i="40"/>
  <c r="HV381" i="40"/>
  <c r="JB381" i="40"/>
  <c r="JC381" i="40"/>
  <c r="JB580" i="40"/>
  <c r="JA281" i="40"/>
  <c r="HX281" i="40"/>
  <c r="HV281" i="40"/>
  <c r="HW281" i="40"/>
  <c r="JB379" i="40"/>
  <c r="JB380" i="40"/>
  <c r="JA379" i="40"/>
  <c r="JC280" i="40"/>
  <c r="JC378" i="40"/>
  <c r="JA279" i="40"/>
  <c r="HW279" i="40"/>
  <c r="HX279" i="40"/>
  <c r="HV279" i="40"/>
  <c r="JB279" i="40"/>
  <c r="HQ279" i="40"/>
  <c r="HM479" i="40"/>
  <c r="HP479" i="40" s="1"/>
  <c r="HX578" i="40"/>
  <c r="HW578" i="40"/>
  <c r="HV578" i="40"/>
  <c r="JA578" i="40"/>
  <c r="JC278" i="40"/>
  <c r="JA376" i="40"/>
  <c r="HV376" i="40"/>
  <c r="HX376" i="40"/>
  <c r="HW376" i="40"/>
  <c r="HV477" i="40"/>
  <c r="HX477" i="40"/>
  <c r="HW477" i="40"/>
  <c r="JA477" i="40"/>
  <c r="JB376" i="40"/>
  <c r="JC277" i="40"/>
  <c r="JB375" i="40"/>
  <c r="HM477" i="40"/>
  <c r="HP477" i="40" s="1"/>
  <c r="HX576" i="40"/>
  <c r="HV576" i="40"/>
  <c r="HW576" i="40"/>
  <c r="JA576" i="40"/>
  <c r="HR278" i="40"/>
  <c r="HR678" i="40" s="1"/>
  <c r="HO678" i="40"/>
  <c r="JB276" i="40"/>
  <c r="JC475" i="40"/>
  <c r="HM374" i="40"/>
  <c r="HP374" i="40" s="1"/>
  <c r="JC474" i="40"/>
  <c r="JB574" i="40"/>
  <c r="JB573" i="40"/>
  <c r="HM574" i="40"/>
  <c r="HP574" i="40" s="1"/>
  <c r="HN474" i="40"/>
  <c r="HQ474" i="40" s="1"/>
  <c r="JB474" i="40"/>
  <c r="JB473" i="40"/>
  <c r="JC472" i="40"/>
  <c r="HR273" i="40"/>
  <c r="HR673" i="40" s="1"/>
  <c r="HO673" i="40"/>
  <c r="HN572" i="40"/>
  <c r="HQ572" i="40" s="1"/>
  <c r="JC274" i="40"/>
  <c r="HX572" i="40"/>
  <c r="HV572" i="40"/>
  <c r="HW572" i="40"/>
  <c r="JA572" i="40"/>
  <c r="JC272" i="40"/>
  <c r="JA272" i="40"/>
  <c r="HP270" i="40"/>
  <c r="JA270" i="40"/>
  <c r="HX270" i="40"/>
  <c r="HW270" i="40"/>
  <c r="HV270" i="40"/>
  <c r="HW569" i="40"/>
  <c r="HV569" i="40"/>
  <c r="HX569" i="40"/>
  <c r="JA569" i="40"/>
  <c r="JC269" i="40"/>
  <c r="JB268" i="40"/>
  <c r="HR268" i="40"/>
  <c r="HR668" i="40" s="1"/>
  <c r="HO668" i="40"/>
  <c r="JB367" i="40"/>
  <c r="HM567" i="40"/>
  <c r="HP567" i="40" s="1"/>
  <c r="HM365" i="40"/>
  <c r="HP365" i="40" s="1"/>
  <c r="HW468" i="40"/>
  <c r="HX468" i="40"/>
  <c r="HV468" i="40"/>
  <c r="JA468" i="40"/>
  <c r="JA268" i="40"/>
  <c r="HW268" i="40"/>
  <c r="HV268" i="40"/>
  <c r="HX268" i="40"/>
  <c r="JB467" i="40"/>
  <c r="JA367" i="40"/>
  <c r="HV367" i="40"/>
  <c r="HW367" i="40"/>
  <c r="HX367" i="40"/>
  <c r="JA364" i="40"/>
  <c r="HX364" i="40"/>
  <c r="HV364" i="40"/>
  <c r="HW364" i="40"/>
  <c r="HQ267" i="40"/>
  <c r="JB267" i="40"/>
  <c r="JB365" i="40"/>
  <c r="JC363" i="40"/>
  <c r="HX464" i="40"/>
  <c r="HV464" i="40"/>
  <c r="HW464" i="40"/>
  <c r="JA464" i="40"/>
  <c r="JB265" i="40"/>
  <c r="JH564" i="40"/>
  <c r="JC264" i="40"/>
  <c r="JB564" i="40"/>
  <c r="HM361" i="40"/>
  <c r="HP361" i="40" s="1"/>
  <c r="HV562" i="40"/>
  <c r="HW562" i="40"/>
  <c r="HX562" i="40"/>
  <c r="JA562" i="40"/>
  <c r="JA361" i="40"/>
  <c r="HX361" i="40"/>
  <c r="HV361" i="40"/>
  <c r="HW361" i="40"/>
  <c r="JB560" i="40"/>
  <c r="HN263" i="40"/>
  <c r="JB262" i="40"/>
  <c r="JB461" i="40"/>
  <c r="HN462" i="40"/>
  <c r="HQ462" i="40" s="1"/>
  <c r="JA261" i="40"/>
  <c r="HX261" i="40"/>
  <c r="HV261" i="40"/>
  <c r="HW261" i="40"/>
  <c r="JC261" i="40"/>
  <c r="HR261" i="40"/>
  <c r="HR661" i="40" s="1"/>
  <c r="HO661" i="40"/>
  <c r="HV459" i="40"/>
  <c r="HW459" i="40"/>
  <c r="HX459" i="40"/>
  <c r="JA459" i="40"/>
  <c r="JC459" i="40"/>
  <c r="JB358" i="40"/>
  <c r="HM261" i="40"/>
  <c r="JB558" i="40"/>
  <c r="JB458" i="40"/>
  <c r="HV557" i="40"/>
  <c r="HW557" i="40"/>
  <c r="HX557" i="40"/>
  <c r="JA557" i="40"/>
  <c r="HV458" i="40"/>
  <c r="HW458" i="40"/>
  <c r="HX458" i="40"/>
  <c r="JA458" i="40"/>
  <c r="JB259" i="40"/>
  <c r="HM355" i="40"/>
  <c r="HP355" i="40" s="1"/>
  <c r="JC556" i="40"/>
  <c r="HW555" i="40"/>
  <c r="HX555" i="40"/>
  <c r="HV555" i="40"/>
  <c r="JA555" i="40"/>
  <c r="JA356" i="40"/>
  <c r="HV356" i="40"/>
  <c r="HW356" i="40"/>
  <c r="HX356" i="40"/>
  <c r="JC457" i="40"/>
  <c r="HM456" i="40"/>
  <c r="HP456" i="40" s="1"/>
  <c r="JA258" i="40"/>
  <c r="HV258" i="40"/>
  <c r="HX258" i="40"/>
  <c r="HW258" i="40"/>
  <c r="JA353" i="40"/>
  <c r="HW353" i="40"/>
  <c r="HX353" i="40"/>
  <c r="HV353" i="40"/>
  <c r="HR257" i="40"/>
  <c r="HR657" i="40" s="1"/>
  <c r="HO657" i="40"/>
  <c r="JA256" i="40"/>
  <c r="JC353" i="40"/>
  <c r="JB456" i="40"/>
  <c r="HV556" i="40"/>
  <c r="HX556" i="40"/>
  <c r="HW556" i="40"/>
  <c r="JA556" i="40"/>
  <c r="JB256" i="40"/>
  <c r="JB556" i="40"/>
  <c r="HR255" i="40"/>
  <c r="HR655" i="40" s="1"/>
  <c r="HO655" i="40"/>
  <c r="HR254" i="40"/>
  <c r="HR654" i="40" s="1"/>
  <c r="HO654" i="40"/>
  <c r="HX454" i="40"/>
  <c r="HV454" i="40"/>
  <c r="HW454" i="40"/>
  <c r="JA454" i="40"/>
  <c r="JB454" i="40"/>
  <c r="HN255" i="40"/>
  <c r="JB554" i="40"/>
  <c r="JC552" i="40"/>
  <c r="HN352" i="40"/>
  <c r="HQ352" i="40" s="1"/>
  <c r="JB255" i="40"/>
  <c r="JB552" i="40"/>
  <c r="HM351" i="40"/>
  <c r="HP351" i="40" s="1"/>
  <c r="HV552" i="40"/>
  <c r="HX552" i="40"/>
  <c r="HW552" i="40"/>
  <c r="JA552" i="40"/>
  <c r="JB253" i="40"/>
  <c r="JB350" i="40"/>
  <c r="JB351" i="40"/>
  <c r="HN350" i="40"/>
  <c r="HQ350" i="40" s="1"/>
  <c r="JC551" i="40"/>
  <c r="HV550" i="40"/>
  <c r="HW550" i="40"/>
  <c r="HX550" i="40"/>
  <c r="JA550" i="40"/>
  <c r="JB449" i="40"/>
  <c r="HW549" i="40"/>
  <c r="HV549" i="40"/>
  <c r="HX549" i="40"/>
  <c r="JA549" i="40"/>
  <c r="JC449" i="40"/>
  <c r="HM348" i="40"/>
  <c r="HP348" i="40" s="1"/>
  <c r="JB348" i="40"/>
  <c r="JA250" i="40"/>
  <c r="HV250" i="40"/>
  <c r="HX250" i="40"/>
  <c r="HW250" i="40"/>
  <c r="JB349" i="40"/>
  <c r="JC249" i="40"/>
  <c r="HN448" i="40"/>
  <c r="HQ448" i="40" s="1"/>
  <c r="JA249" i="40"/>
  <c r="HW249" i="40"/>
  <c r="HV249" i="40"/>
  <c r="HX249" i="40"/>
  <c r="JC549" i="40"/>
  <c r="HM547" i="40"/>
  <c r="HP547" i="40" s="1"/>
  <c r="JC447" i="40"/>
  <c r="HR249" i="40"/>
  <c r="HR649" i="40" s="1"/>
  <c r="HO649" i="40"/>
  <c r="HN547" i="40"/>
  <c r="HQ547" i="40" s="1"/>
  <c r="JC347" i="40"/>
  <c r="JB546" i="40"/>
  <c r="JA344" i="40"/>
  <c r="HX344" i="40"/>
  <c r="HW344" i="40"/>
  <c r="HV344" i="40"/>
  <c r="JB248" i="40"/>
  <c r="JB447" i="40"/>
  <c r="JB446" i="40"/>
  <c r="JC446" i="40"/>
  <c r="HR246" i="40"/>
  <c r="HR646" i="40" s="1"/>
  <c r="HO646" i="40"/>
  <c r="JC445" i="40"/>
  <c r="JA245" i="40"/>
  <c r="HV245" i="40"/>
  <c r="HW245" i="40"/>
  <c r="HX245" i="40"/>
  <c r="JC344" i="40"/>
  <c r="HQ245" i="40"/>
  <c r="HM445" i="40"/>
  <c r="HP445" i="40" s="1"/>
  <c r="JB344" i="40"/>
  <c r="JC444" i="40"/>
  <c r="HM343" i="40"/>
  <c r="HP343" i="40" s="1"/>
  <c r="JA341" i="40"/>
  <c r="HX341" i="40"/>
  <c r="HW341" i="40"/>
  <c r="HV341" i="40"/>
  <c r="HX543" i="40"/>
  <c r="HV543" i="40"/>
  <c r="HW543" i="40"/>
  <c r="JA543" i="40"/>
  <c r="HW442" i="40"/>
  <c r="HX442" i="40"/>
  <c r="HV442" i="40"/>
  <c r="JA442" i="40"/>
  <c r="HN243" i="40"/>
  <c r="HM444" i="40"/>
  <c r="HP444" i="40" s="1"/>
  <c r="JB342" i="40"/>
  <c r="JC340" i="40"/>
  <c r="JC441" i="40"/>
  <c r="HR242" i="40"/>
  <c r="HR642" i="40" s="1"/>
  <c r="HO642" i="40"/>
  <c r="HW441" i="40"/>
  <c r="HX441" i="40"/>
  <c r="HV441" i="40"/>
  <c r="JA441" i="40"/>
  <c r="JB442" i="40"/>
  <c r="HM540" i="40"/>
  <c r="HP540" i="40" s="1"/>
  <c r="HW241" i="40"/>
  <c r="HX241" i="40"/>
  <c r="HV241" i="40"/>
  <c r="HR241" i="40"/>
  <c r="HR641" i="40" s="1"/>
  <c r="HO641" i="40"/>
  <c r="JB242" i="40"/>
  <c r="HN241" i="40"/>
  <c r="HM241" i="40"/>
  <c r="JC541" i="40"/>
  <c r="HX540" i="40"/>
  <c r="HV540" i="40"/>
  <c r="HW540" i="40"/>
  <c r="JA540" i="40"/>
  <c r="JB241" i="40"/>
  <c r="HM339" i="40"/>
  <c r="HP339" i="40" s="1"/>
  <c r="JB338" i="40"/>
  <c r="JB439" i="40"/>
  <c r="JC338" i="40"/>
  <c r="HN240" i="40"/>
  <c r="JC240" i="40"/>
  <c r="HM438" i="40"/>
  <c r="HP438" i="40" s="1"/>
  <c r="HV239" i="40"/>
  <c r="HW239" i="40"/>
  <c r="HX239" i="40"/>
  <c r="JC439" i="40"/>
  <c r="JC437" i="40"/>
  <c r="JC336" i="40"/>
  <c r="HN337" i="40"/>
  <c r="HQ337" i="40" s="1"/>
  <c r="HV240" i="40"/>
  <c r="HW240" i="40"/>
  <c r="HX240" i="40"/>
  <c r="JB337" i="40"/>
  <c r="JA336" i="40"/>
  <c r="HV336" i="40"/>
  <c r="HX336" i="40"/>
  <c r="HW336" i="40"/>
  <c r="HN335" i="40"/>
  <c r="HQ335" i="40" s="1"/>
  <c r="JC335" i="40"/>
  <c r="HM335" i="40"/>
  <c r="HP335" i="40" s="1"/>
  <c r="HM537" i="40"/>
  <c r="HP537" i="40" s="1"/>
  <c r="JB536" i="40"/>
  <c r="JC235" i="40"/>
  <c r="JC536" i="40"/>
  <c r="JC334" i="40"/>
  <c r="JB333" i="40"/>
  <c r="JC534" i="40"/>
  <c r="JC535" i="40"/>
  <c r="JB334" i="40"/>
  <c r="JA234" i="40"/>
  <c r="HW234" i="40"/>
  <c r="HX234" i="40"/>
  <c r="HV234" i="40"/>
  <c r="HN535" i="40"/>
  <c r="HQ535" i="40" s="1"/>
  <c r="HW432" i="40"/>
  <c r="HV432" i="40"/>
  <c r="HX432" i="40"/>
  <c r="JA432" i="40"/>
  <c r="HV533" i="40"/>
  <c r="HW533" i="40"/>
  <c r="HX533" i="40"/>
  <c r="JA533" i="40"/>
  <c r="JC432" i="40"/>
  <c r="JB235" i="40"/>
  <c r="HM435" i="40"/>
  <c r="HP435" i="40" s="1"/>
  <c r="JC332" i="40"/>
  <c r="HN532" i="40"/>
  <c r="HQ532" i="40" s="1"/>
  <c r="HN331" i="40"/>
  <c r="HQ331" i="40" s="1"/>
  <c r="JC532" i="40"/>
  <c r="HN433" i="40"/>
  <c r="HQ433" i="40" s="1"/>
  <c r="HM532" i="40"/>
  <c r="HP532" i="40" s="1"/>
  <c r="HR232" i="40"/>
  <c r="HR632" i="40" s="1"/>
  <c r="HO632" i="40"/>
  <c r="HR233" i="40"/>
  <c r="HR633" i="40" s="1"/>
  <c r="HO633" i="40"/>
  <c r="JB330" i="40"/>
  <c r="JB531" i="40"/>
  <c r="HX431" i="40"/>
  <c r="HW431" i="40"/>
  <c r="HV431" i="40"/>
  <c r="JA431" i="40"/>
  <c r="HX430" i="40"/>
  <c r="HW430" i="40"/>
  <c r="HV430" i="40"/>
  <c r="JA430" i="40"/>
  <c r="JC328" i="40"/>
  <c r="JB430" i="40"/>
  <c r="JC233" i="40"/>
  <c r="HW429" i="40"/>
  <c r="HV429" i="40"/>
  <c r="HX429" i="40"/>
  <c r="JA429" i="40"/>
  <c r="JC531" i="40"/>
  <c r="HM329" i="40"/>
  <c r="HP329" i="40" s="1"/>
  <c r="HM430" i="40"/>
  <c r="HP430" i="40" s="1"/>
  <c r="JB231" i="40"/>
  <c r="HX231" i="40"/>
  <c r="HV231" i="40"/>
  <c r="HW231" i="40"/>
  <c r="JA230" i="40"/>
  <c r="HV230" i="40"/>
  <c r="HX230" i="40"/>
  <c r="HW230" i="40"/>
  <c r="HN428" i="40"/>
  <c r="HQ428" i="40" s="1"/>
  <c r="JB529" i="40"/>
  <c r="JB229" i="40"/>
  <c r="HM327" i="40"/>
  <c r="HP327" i="40" s="1"/>
  <c r="JB426" i="40"/>
  <c r="JC427" i="40"/>
  <c r="JC327" i="40"/>
  <c r="JB227" i="40"/>
  <c r="JB425" i="40"/>
  <c r="JB228" i="40"/>
  <c r="JB525" i="40"/>
  <c r="HV427" i="40"/>
  <c r="HX427" i="40"/>
  <c r="HW427" i="40"/>
  <c r="JA427" i="40"/>
  <c r="HW425" i="40"/>
  <c r="HX425" i="40"/>
  <c r="HV425" i="40"/>
  <c r="JA425" i="40"/>
  <c r="HM524" i="40"/>
  <c r="HP524" i="40" s="1"/>
  <c r="JB225" i="40"/>
  <c r="JC424" i="40"/>
  <c r="HV225" i="40"/>
  <c r="HX225" i="40"/>
  <c r="HW225" i="40"/>
  <c r="JA322" i="40"/>
  <c r="HW322" i="40"/>
  <c r="HX322" i="40"/>
  <c r="HV322" i="40"/>
  <c r="HW423" i="40"/>
  <c r="HX423" i="40"/>
  <c r="HV423" i="40"/>
  <c r="JA423" i="40"/>
  <c r="HX422" i="40"/>
  <c r="HV422" i="40"/>
  <c r="HW422" i="40"/>
  <c r="JA422" i="40"/>
  <c r="JB224" i="40"/>
  <c r="HX521" i="40"/>
  <c r="HV521" i="40"/>
  <c r="HW521" i="40"/>
  <c r="JA521" i="40"/>
  <c r="HN523" i="40"/>
  <c r="HQ523" i="40" s="1"/>
  <c r="JA222" i="40"/>
  <c r="HW222" i="40"/>
  <c r="HV222" i="40"/>
  <c r="HX222" i="40"/>
  <c r="JB320" i="40"/>
  <c r="JC420" i="40"/>
  <c r="HR222" i="40"/>
  <c r="HR622" i="40" s="1"/>
  <c r="HO622" i="40"/>
  <c r="JC421" i="40"/>
  <c r="JC520" i="40"/>
  <c r="HR220" i="40"/>
  <c r="HR620" i="40" s="1"/>
  <c r="HO620" i="40"/>
  <c r="JC221" i="40"/>
  <c r="JB221" i="40"/>
  <c r="JB519" i="40"/>
  <c r="JB318" i="40"/>
  <c r="JC519" i="40"/>
  <c r="JA317" i="40"/>
  <c r="HW317" i="40"/>
  <c r="HX317" i="40"/>
  <c r="HV317" i="40"/>
  <c r="HV418" i="40"/>
  <c r="HW418" i="40"/>
  <c r="HX418" i="40"/>
  <c r="JA418" i="40"/>
  <c r="JA218" i="40"/>
  <c r="HW218" i="40"/>
  <c r="HV218" i="40"/>
  <c r="HX218" i="40"/>
  <c r="JB517" i="40"/>
  <c r="JB218" i="40"/>
  <c r="JB316" i="40"/>
  <c r="JB317" i="40"/>
  <c r="HN317" i="40"/>
  <c r="HQ317" i="40" s="1"/>
  <c r="JA318" i="40"/>
  <c r="HW318" i="40"/>
  <c r="HX318" i="40"/>
  <c r="HV318" i="40"/>
  <c r="HQ218" i="40"/>
  <c r="HW517" i="40"/>
  <c r="HX517" i="40"/>
  <c r="HV517" i="40"/>
  <c r="JA517" i="40"/>
  <c r="HN418" i="40"/>
  <c r="HQ418" i="40" s="1"/>
  <c r="JB516" i="40"/>
  <c r="HR217" i="40"/>
  <c r="HR617" i="40" s="1"/>
  <c r="HO617" i="40"/>
  <c r="JB515" i="40"/>
  <c r="JB415" i="40"/>
  <c r="HV314" i="40"/>
  <c r="HW314" i="40"/>
  <c r="HX314" i="40"/>
  <c r="JA216" i="40"/>
  <c r="HX216" i="40"/>
  <c r="HW216" i="40"/>
  <c r="HV216" i="40"/>
  <c r="HN413" i="40"/>
  <c r="HQ413" i="40" s="1"/>
  <c r="JB312" i="40"/>
  <c r="JC215" i="40"/>
  <c r="HV414" i="40"/>
  <c r="HW414" i="40"/>
  <c r="HX414" i="40"/>
  <c r="JA414" i="40"/>
  <c r="JA311" i="40"/>
  <c r="HW311" i="40"/>
  <c r="HV311" i="40"/>
  <c r="HX311" i="40"/>
  <c r="JC413" i="40"/>
  <c r="HW412" i="40"/>
  <c r="HX412" i="40"/>
  <c r="HV412" i="40"/>
  <c r="JA412" i="40"/>
  <c r="JC311" i="40"/>
  <c r="JA212" i="40"/>
  <c r="HX212" i="40"/>
  <c r="HW212" i="40"/>
  <c r="HV212" i="40"/>
  <c r="JB212" i="40"/>
  <c r="JC309" i="40"/>
  <c r="JB410" i="40"/>
  <c r="HX512" i="40"/>
  <c r="HV512" i="40"/>
  <c r="HW512" i="40"/>
  <c r="JA512" i="40"/>
  <c r="HM412" i="40"/>
  <c r="HP412" i="40" s="1"/>
  <c r="JB412" i="40"/>
  <c r="JH309" i="40"/>
  <c r="HM211" i="40"/>
  <c r="HM510" i="40"/>
  <c r="HP510" i="40" s="1"/>
  <c r="HM410" i="40"/>
  <c r="HP410" i="40" s="1"/>
  <c r="JC510" i="40"/>
  <c r="HX510" i="40"/>
  <c r="HW510" i="40"/>
  <c r="HV510" i="40"/>
  <c r="JA510" i="40"/>
  <c r="HV209" i="40"/>
  <c r="HW209" i="40"/>
  <c r="HX209" i="40"/>
  <c r="JC210" i="40"/>
  <c r="JB409" i="40"/>
  <c r="JB308" i="40"/>
  <c r="JB406" i="40"/>
  <c r="JB408" i="40"/>
  <c r="JB506" i="40"/>
  <c r="HX406" i="40"/>
  <c r="HW406" i="40"/>
  <c r="HV406" i="40"/>
  <c r="JA406" i="40"/>
  <c r="JB208" i="40"/>
  <c r="HV408" i="40"/>
  <c r="HX408" i="40"/>
  <c r="HW408" i="40"/>
  <c r="JA408" i="40"/>
  <c r="JC208" i="40"/>
  <c r="HW306" i="40"/>
  <c r="HV306" i="40"/>
  <c r="HX306" i="40"/>
  <c r="L8" i="61"/>
  <c r="Y8" i="61" s="1"/>
  <c r="JA206" i="40"/>
  <c r="HW206" i="40"/>
  <c r="HX206" i="40"/>
  <c r="HV206" i="40"/>
  <c r="JC405" i="40"/>
  <c r="JB206" i="40"/>
  <c r="HX505" i="40"/>
  <c r="HW505" i="40"/>
  <c r="JA505" i="40"/>
  <c r="HV505" i="40"/>
  <c r="HR207" i="40"/>
  <c r="HR607" i="40" s="1"/>
  <c r="HO607" i="40"/>
  <c r="JB207" i="40"/>
  <c r="JC404" i="40"/>
  <c r="JA203" i="40"/>
  <c r="HX203" i="40"/>
  <c r="HW203" i="40"/>
  <c r="HV203" i="40"/>
  <c r="JB203" i="40"/>
  <c r="JA301" i="40"/>
  <c r="L9" i="61" s="1"/>
  <c r="Y9" i="61" s="1"/>
  <c r="HX301" i="40"/>
  <c r="HV301" i="40"/>
  <c r="HW301" i="40"/>
  <c r="JB301" i="40"/>
  <c r="M9" i="61" s="1"/>
  <c r="Z9" i="61" s="1"/>
  <c r="JC303" i="40"/>
  <c r="JB504" i="40"/>
  <c r="JB201" i="40"/>
  <c r="JA503" i="40"/>
  <c r="HV503" i="40"/>
  <c r="HX503" i="40"/>
  <c r="HW503" i="40"/>
  <c r="JC204" i="40"/>
  <c r="JB402" i="40"/>
  <c r="JB302" i="40"/>
  <c r="JB404" i="40"/>
  <c r="JC281" i="40"/>
  <c r="JC380" i="40"/>
  <c r="HR280" i="40"/>
  <c r="HO680" i="40"/>
  <c r="JA277" i="40"/>
  <c r="HV277" i="40"/>
  <c r="HW277" i="40"/>
  <c r="HX277" i="40"/>
  <c r="JC376" i="40"/>
  <c r="JC374" i="40"/>
  <c r="JB275" i="40"/>
  <c r="JA373" i="40"/>
  <c r="HW373" i="40"/>
  <c r="HV373" i="40"/>
  <c r="HX373" i="40"/>
  <c r="HM371" i="40"/>
  <c r="HP371" i="40" s="1"/>
  <c r="JA372" i="40"/>
  <c r="HV372" i="40"/>
  <c r="HX372" i="40"/>
  <c r="HW372" i="40"/>
  <c r="HW571" i="40"/>
  <c r="HV571" i="40"/>
  <c r="HX571" i="40"/>
  <c r="JA571" i="40"/>
  <c r="HV272" i="40"/>
  <c r="HW272" i="40"/>
  <c r="HX272" i="40"/>
  <c r="JB469" i="40"/>
  <c r="JB271" i="40"/>
  <c r="JC470" i="40"/>
  <c r="HM569" i="40"/>
  <c r="HP569" i="40" s="1"/>
  <c r="JB269" i="40"/>
  <c r="HW467" i="40"/>
  <c r="HX467" i="40"/>
  <c r="HV467" i="40"/>
  <c r="JA467" i="40"/>
  <c r="JC267" i="40"/>
  <c r="JB465" i="40"/>
  <c r="JA265" i="40"/>
  <c r="HV265" i="40"/>
  <c r="HX265" i="40"/>
  <c r="HW265" i="40"/>
  <c r="HQ264" i="40"/>
  <c r="HR263" i="40"/>
  <c r="HR663" i="40" s="1"/>
  <c r="HO663" i="40"/>
  <c r="HW561" i="40"/>
  <c r="HV561" i="40"/>
  <c r="HX561" i="40"/>
  <c r="JA561" i="40"/>
  <c r="JA359" i="40"/>
  <c r="HV359" i="40"/>
  <c r="HW359" i="40"/>
  <c r="HX359" i="40"/>
  <c r="HM461" i="40"/>
  <c r="HP461" i="40" s="1"/>
  <c r="JB559" i="40"/>
  <c r="JC558" i="40"/>
  <c r="KU145" i="40"/>
  <c r="I59" i="70" s="1"/>
  <c r="KT146" i="40"/>
  <c r="X59" i="59"/>
  <c r="Y59" i="59"/>
  <c r="AA59" i="59"/>
  <c r="Z59" i="59"/>
  <c r="HM481" i="40"/>
  <c r="HP481" i="40" s="1"/>
  <c r="JA380" i="40"/>
  <c r="HV380" i="40"/>
  <c r="HW380" i="40"/>
  <c r="HX380" i="40"/>
  <c r="HV580" i="40"/>
  <c r="HX580" i="40"/>
  <c r="HW580" i="40"/>
  <c r="JA580" i="40"/>
  <c r="JC481" i="40"/>
  <c r="JC379" i="40"/>
  <c r="HN379" i="40"/>
  <c r="HQ379" i="40" s="1"/>
  <c r="JH379" i="40" s="1"/>
  <c r="HM281" i="40"/>
  <c r="JB281" i="40"/>
  <c r="HN480" i="40"/>
  <c r="HQ480" i="40" s="1"/>
  <c r="JC479" i="40"/>
  <c r="HM480" i="40"/>
  <c r="HP480" i="40" s="1"/>
  <c r="JB579" i="40"/>
  <c r="HN281" i="40"/>
  <c r="HN378" i="40"/>
  <c r="HQ378" i="40" s="1"/>
  <c r="HM378" i="40"/>
  <c r="HP378" i="40" s="1"/>
  <c r="JB280" i="40"/>
  <c r="JA377" i="40"/>
  <c r="HV377" i="40"/>
  <c r="HW377" i="40"/>
  <c r="HX377" i="40"/>
  <c r="JC578" i="40"/>
  <c r="HN577" i="40"/>
  <c r="HQ577" i="40" s="1"/>
  <c r="JH577" i="40" s="1"/>
  <c r="JB577" i="40"/>
  <c r="JC577" i="40"/>
  <c r="JB576" i="40"/>
  <c r="HV577" i="40"/>
  <c r="HX577" i="40"/>
  <c r="HW577" i="40"/>
  <c r="JA577" i="40"/>
  <c r="JB278" i="40"/>
  <c r="JB575" i="40"/>
  <c r="JA375" i="40"/>
  <c r="HW375" i="40"/>
  <c r="HX375" i="40"/>
  <c r="HV375" i="40"/>
  <c r="JB476" i="40"/>
  <c r="HN476" i="40"/>
  <c r="HQ476" i="40" s="1"/>
  <c r="JA374" i="40"/>
  <c r="HW374" i="40"/>
  <c r="HX374" i="40"/>
  <c r="HV374" i="40"/>
  <c r="JC575" i="40"/>
  <c r="HM474" i="40"/>
  <c r="HP474" i="40" s="1"/>
  <c r="JC276" i="40"/>
  <c r="HW275" i="40"/>
  <c r="HV275" i="40"/>
  <c r="HX275" i="40"/>
  <c r="HM276" i="40"/>
  <c r="HM573" i="40"/>
  <c r="HP573" i="40" s="1"/>
  <c r="JC275" i="40"/>
  <c r="HW474" i="40"/>
  <c r="HX474" i="40"/>
  <c r="HV474" i="40"/>
  <c r="JA474" i="40"/>
  <c r="HN574" i="40"/>
  <c r="HQ574" i="40" s="1"/>
  <c r="HR275" i="40"/>
  <c r="HR675" i="40" s="1"/>
  <c r="HO675" i="40"/>
  <c r="HN275" i="40"/>
  <c r="JC574" i="40"/>
  <c r="HN371" i="40"/>
  <c r="HQ371" i="40" s="1"/>
  <c r="HM473" i="40"/>
  <c r="HP473" i="40" s="1"/>
  <c r="JB273" i="40"/>
  <c r="HN472" i="40"/>
  <c r="HQ472" i="40" s="1"/>
  <c r="HM273" i="40"/>
  <c r="HV472" i="40"/>
  <c r="HW472" i="40"/>
  <c r="HX472" i="40"/>
  <c r="JA472" i="40"/>
  <c r="JA273" i="40"/>
  <c r="HW273" i="40"/>
  <c r="HV273" i="40"/>
  <c r="HX273" i="40"/>
  <c r="HN274" i="40"/>
  <c r="JC573" i="40"/>
  <c r="JB274" i="40"/>
  <c r="HV573" i="40"/>
  <c r="HW573" i="40"/>
  <c r="HX573" i="40"/>
  <c r="JA573" i="40"/>
  <c r="JC471" i="40"/>
  <c r="HM470" i="40"/>
  <c r="HP470" i="40" s="1"/>
  <c r="JB571" i="40"/>
  <c r="HM471" i="40"/>
  <c r="HP471" i="40" s="1"/>
  <c r="JA370" i="40"/>
  <c r="HN370" i="40"/>
  <c r="HQ370" i="40" s="1"/>
  <c r="JB572" i="40"/>
  <c r="JC570" i="40"/>
  <c r="HW271" i="40"/>
  <c r="HV271" i="40"/>
  <c r="HX271" i="40"/>
  <c r="HM272" i="40"/>
  <c r="JB570" i="40"/>
  <c r="HR271" i="40"/>
  <c r="HR671" i="40" s="1"/>
  <c r="HO671" i="40"/>
  <c r="JC569" i="40"/>
  <c r="HN570" i="40"/>
  <c r="HQ570" i="40" s="1"/>
  <c r="HN569" i="40"/>
  <c r="HQ569" i="40" s="1"/>
  <c r="HM469" i="40"/>
  <c r="HP469" i="40" s="1"/>
  <c r="HN469" i="40"/>
  <c r="HQ469" i="40" s="1"/>
  <c r="JC469" i="40"/>
  <c r="JB568" i="40"/>
  <c r="JA269" i="40"/>
  <c r="HW269" i="40"/>
  <c r="HV269" i="40"/>
  <c r="HX269" i="40"/>
  <c r="JB468" i="40"/>
  <c r="JC566" i="40"/>
  <c r="JC366" i="40"/>
  <c r="HM268" i="40"/>
  <c r="JB266" i="40"/>
  <c r="JC466" i="40"/>
  <c r="HM364" i="40"/>
  <c r="HP364" i="40" s="1"/>
  <c r="HN364" i="40"/>
  <c r="HQ364" i="40" s="1"/>
  <c r="JC565" i="40"/>
  <c r="HR266" i="40"/>
  <c r="HR666" i="40" s="1"/>
  <c r="HO666" i="40"/>
  <c r="HV466" i="40"/>
  <c r="HW466" i="40"/>
  <c r="HX466" i="40"/>
  <c r="JA466" i="40"/>
  <c r="HW564" i="40"/>
  <c r="HV564" i="40"/>
  <c r="HX564" i="40"/>
  <c r="JA564" i="40"/>
  <c r="JC465" i="40"/>
  <c r="HN463" i="40"/>
  <c r="HQ463" i="40" s="1"/>
  <c r="HN465" i="40"/>
  <c r="HQ465" i="40" s="1"/>
  <c r="JA264" i="40"/>
  <c r="HW264" i="40"/>
  <c r="HV264" i="40"/>
  <c r="HX264" i="40"/>
  <c r="HM463" i="40"/>
  <c r="HP463" i="40" s="1"/>
  <c r="HX563" i="40"/>
  <c r="HV563" i="40"/>
  <c r="HW563" i="40"/>
  <c r="JA563" i="40"/>
  <c r="JC464" i="40"/>
  <c r="JA362" i="40"/>
  <c r="JC563" i="40"/>
  <c r="JC360" i="40"/>
  <c r="JB360" i="40"/>
  <c r="JB362" i="40"/>
  <c r="HM263" i="40"/>
  <c r="JB263" i="40"/>
  <c r="HV462" i="40"/>
  <c r="HW462" i="40"/>
  <c r="HX462" i="40"/>
  <c r="JA462" i="40"/>
  <c r="JC561" i="40"/>
  <c r="JA262" i="40"/>
  <c r="HV262" i="40"/>
  <c r="HW262" i="40"/>
  <c r="HX262" i="40"/>
  <c r="JC262" i="40"/>
  <c r="JC562" i="40"/>
  <c r="JB359" i="40"/>
  <c r="JC461" i="40"/>
  <c r="JB361" i="40"/>
  <c r="HX460" i="40"/>
  <c r="HV460" i="40"/>
  <c r="HW460" i="40"/>
  <c r="JA460" i="40"/>
  <c r="HM359" i="40"/>
  <c r="HP359" i="40" s="1"/>
  <c r="JB261" i="40"/>
  <c r="HM460" i="40"/>
  <c r="HP460" i="40" s="1"/>
  <c r="HM358" i="40"/>
  <c r="HP358" i="40" s="1"/>
  <c r="HW559" i="40"/>
  <c r="HX559" i="40"/>
  <c r="HV559" i="40"/>
  <c r="JA559" i="40"/>
  <c r="JC260" i="40"/>
  <c r="JB460" i="40"/>
  <c r="JC357" i="40"/>
  <c r="HN260" i="40"/>
  <c r="HN459" i="40"/>
  <c r="HQ459" i="40" s="1"/>
  <c r="HM259" i="40"/>
  <c r="JH458" i="40"/>
  <c r="HW558" i="40"/>
  <c r="HX558" i="40"/>
  <c r="HV558" i="40"/>
  <c r="JA558" i="40"/>
  <c r="HM356" i="40"/>
  <c r="HP356" i="40" s="1"/>
  <c r="HN356" i="40"/>
  <c r="HQ356" i="40" s="1"/>
  <c r="HN355" i="40"/>
  <c r="HQ355" i="40" s="1"/>
  <c r="JB457" i="40"/>
  <c r="HW456" i="40"/>
  <c r="HX456" i="40"/>
  <c r="HV456" i="40"/>
  <c r="JA456" i="40"/>
  <c r="JC257" i="40"/>
  <c r="HM557" i="40"/>
  <c r="HP557" i="40" s="1"/>
  <c r="HW354" i="40"/>
  <c r="HX354" i="40"/>
  <c r="HV354" i="40"/>
  <c r="JC454" i="40"/>
  <c r="HV455" i="40"/>
  <c r="HW455" i="40"/>
  <c r="HX455" i="40"/>
  <c r="JA455" i="40"/>
  <c r="JB257" i="40"/>
  <c r="HR256" i="40"/>
  <c r="HR656" i="40" s="1"/>
  <c r="HO656" i="40"/>
  <c r="JC456" i="40"/>
  <c r="JB354" i="40"/>
  <c r="HN353" i="40"/>
  <c r="HQ353" i="40" s="1"/>
  <c r="HR253" i="40"/>
  <c r="HR653" i="40" s="1"/>
  <c r="HO653" i="40"/>
  <c r="HM254" i="40"/>
  <c r="HN351" i="40"/>
  <c r="HQ351" i="40" s="1"/>
  <c r="HM255" i="40"/>
  <c r="HV554" i="40"/>
  <c r="HX554" i="40"/>
  <c r="HW554" i="40"/>
  <c r="JA554" i="40"/>
  <c r="JB356" i="40"/>
  <c r="HN452" i="40"/>
  <c r="HQ452" i="40" s="1"/>
  <c r="JA350" i="40"/>
  <c r="HV350" i="40"/>
  <c r="HW350" i="40"/>
  <c r="HX350" i="40"/>
  <c r="HV453" i="40"/>
  <c r="HW453" i="40"/>
  <c r="HX453" i="40"/>
  <c r="JA453" i="40"/>
  <c r="JC352" i="40"/>
  <c r="HW452" i="40"/>
  <c r="HX452" i="40"/>
  <c r="HV452" i="40"/>
  <c r="JA452" i="40"/>
  <c r="JA254" i="40"/>
  <c r="HW254" i="40"/>
  <c r="HV254" i="40"/>
  <c r="HX254" i="40"/>
  <c r="HN254" i="40"/>
  <c r="JB451" i="40"/>
  <c r="JC253" i="40"/>
  <c r="HV451" i="40"/>
  <c r="HW451" i="40"/>
  <c r="HX451" i="40"/>
  <c r="JA451" i="40"/>
  <c r="HR252" i="40"/>
  <c r="HR652" i="40" s="1"/>
  <c r="HO652" i="40"/>
  <c r="JC251" i="40"/>
  <c r="JC349" i="40"/>
  <c r="HN451" i="40"/>
  <c r="HQ451" i="40" s="1"/>
  <c r="HM450" i="40"/>
  <c r="HP450" i="40" s="1"/>
  <c r="HM551" i="40"/>
  <c r="HP551" i="40" s="1"/>
  <c r="JC450" i="40"/>
  <c r="HM349" i="40"/>
  <c r="HP349" i="40" s="1"/>
  <c r="JB550" i="40"/>
  <c r="HN348" i="40"/>
  <c r="HQ348" i="40" s="1"/>
  <c r="JC547" i="40"/>
  <c r="JC346" i="40"/>
  <c r="HM249" i="40"/>
  <c r="HV450" i="40"/>
  <c r="HW450" i="40"/>
  <c r="HX450" i="40"/>
  <c r="JA450" i="40"/>
  <c r="HM250" i="40"/>
  <c r="JB346" i="40"/>
  <c r="HV346" i="40"/>
  <c r="HW346" i="40"/>
  <c r="HX346" i="40"/>
  <c r="HX547" i="40"/>
  <c r="HV547" i="40"/>
  <c r="HW547" i="40"/>
  <c r="JA547" i="40"/>
  <c r="HR248" i="40"/>
  <c r="HR648" i="40" s="1"/>
  <c r="HO648" i="40"/>
  <c r="JC247" i="40"/>
  <c r="HR247" i="40"/>
  <c r="HR647" i="40" s="1"/>
  <c r="HO647" i="40"/>
  <c r="HM345" i="40"/>
  <c r="HP345" i="40" s="1"/>
  <c r="JC345" i="40"/>
  <c r="JB445" i="40"/>
  <c r="JB246" i="40"/>
  <c r="HR245" i="40"/>
  <c r="HR645" i="40" s="1"/>
  <c r="HO645" i="40"/>
  <c r="HX545" i="40"/>
  <c r="HV545" i="40"/>
  <c r="HW545" i="40"/>
  <c r="JA545" i="40"/>
  <c r="HX544" i="40"/>
  <c r="HV544" i="40"/>
  <c r="HW544" i="40"/>
  <c r="JA544" i="40"/>
  <c r="JC245" i="40"/>
  <c r="JC543" i="40"/>
  <c r="HW542" i="40"/>
  <c r="HX542" i="40"/>
  <c r="HV542" i="40"/>
  <c r="JA542" i="40"/>
  <c r="JC342" i="40"/>
  <c r="HR244" i="40"/>
  <c r="HR644" i="40" s="1"/>
  <c r="HO644" i="40"/>
  <c r="JB244" i="40"/>
  <c r="JC244" i="40"/>
  <c r="HN444" i="40"/>
  <c r="HQ444" i="40" s="1"/>
  <c r="HM543" i="40"/>
  <c r="HP543" i="40" s="1"/>
  <c r="HM243" i="40"/>
  <c r="JB341" i="40"/>
  <c r="JB543" i="40"/>
  <c r="JB243" i="40"/>
  <c r="HN442" i="40"/>
  <c r="HQ442" i="40" s="1"/>
  <c r="JH442" i="40" s="1"/>
  <c r="HV440" i="40"/>
  <c r="HW440" i="40"/>
  <c r="HX440" i="40"/>
  <c r="JA440" i="40"/>
  <c r="HM542" i="40"/>
  <c r="HP542" i="40" s="1"/>
  <c r="HN340" i="40"/>
  <c r="HQ340" i="40" s="1"/>
  <c r="JB542" i="40"/>
  <c r="JC440" i="40"/>
  <c r="JB440" i="40"/>
  <c r="JA242" i="40"/>
  <c r="HV242" i="40"/>
  <c r="HW242" i="40"/>
  <c r="HX242" i="40"/>
  <c r="HN540" i="40"/>
  <c r="HQ540" i="40" s="1"/>
  <c r="JA338" i="40"/>
  <c r="HR240" i="40"/>
  <c r="HR640" i="40" s="1"/>
  <c r="HO640" i="40"/>
  <c r="HM338" i="40"/>
  <c r="HP338" i="40" s="1"/>
  <c r="HN338" i="40"/>
  <c r="HQ338" i="40" s="1"/>
  <c r="HN538" i="40"/>
  <c r="HQ538" i="40" s="1"/>
  <c r="HM240" i="40"/>
  <c r="JB438" i="40"/>
  <c r="HX438" i="40"/>
  <c r="HV438" i="40"/>
  <c r="HW438" i="40"/>
  <c r="JA438" i="40"/>
  <c r="JB437" i="40"/>
  <c r="JB239" i="40"/>
  <c r="HN438" i="40"/>
  <c r="HQ438" i="40" s="1"/>
  <c r="JA337" i="40"/>
  <c r="HW337" i="40"/>
  <c r="HV337" i="40"/>
  <c r="HX337" i="40"/>
  <c r="HV538" i="40"/>
  <c r="HX538" i="40"/>
  <c r="HW538" i="40"/>
  <c r="JA538" i="40"/>
  <c r="HM337" i="40"/>
  <c r="HP337" i="40" s="1"/>
  <c r="JB537" i="40"/>
  <c r="JC538" i="40"/>
  <c r="HM336" i="40"/>
  <c r="HP336" i="40" s="1"/>
  <c r="HW536" i="40"/>
  <c r="HX536" i="40"/>
  <c r="HV536" i="40"/>
  <c r="JA536" i="40"/>
  <c r="HR237" i="40"/>
  <c r="HR637" i="40" s="1"/>
  <c r="HO637" i="40"/>
  <c r="JB236" i="40"/>
  <c r="JC236" i="40"/>
  <c r="HN334" i="40"/>
  <c r="HQ334" i="40" s="1"/>
  <c r="HW435" i="40"/>
  <c r="HX435" i="40"/>
  <c r="HV435" i="40"/>
  <c r="JA435" i="40"/>
  <c r="HR234" i="40"/>
  <c r="HR634" i="40" s="1"/>
  <c r="HO634" i="40"/>
  <c r="JB331" i="40"/>
  <c r="HV433" i="40"/>
  <c r="HW433" i="40"/>
  <c r="HX433" i="40"/>
  <c r="JA433" i="40"/>
  <c r="JB234" i="40"/>
  <c r="JA331" i="40"/>
  <c r="HX331" i="40"/>
  <c r="HW331" i="40"/>
  <c r="HV331" i="40"/>
  <c r="JC434" i="40"/>
  <c r="JA332" i="40"/>
  <c r="HW332" i="40"/>
  <c r="HV332" i="40"/>
  <c r="HX332" i="40"/>
  <c r="JC330" i="40"/>
  <c r="JC533" i="40"/>
  <c r="JC232" i="40"/>
  <c r="JA233" i="40"/>
  <c r="HV233" i="40"/>
  <c r="HW233" i="40"/>
  <c r="HX233" i="40"/>
  <c r="JB431" i="40"/>
  <c r="JA330" i="40"/>
  <c r="HX330" i="40"/>
  <c r="HV330" i="40"/>
  <c r="HW330" i="40"/>
  <c r="JC429" i="40"/>
  <c r="HN329" i="40"/>
  <c r="HQ329" i="40" s="1"/>
  <c r="JC231" i="40"/>
  <c r="HM530" i="40"/>
  <c r="HP530" i="40" s="1"/>
  <c r="JC430" i="40"/>
  <c r="JA229" i="40"/>
  <c r="HW229" i="40"/>
  <c r="HV229" i="40"/>
  <c r="HX229" i="40"/>
  <c r="JB428" i="40"/>
  <c r="HV428" i="40"/>
  <c r="HX428" i="40"/>
  <c r="HW428" i="40"/>
  <c r="JA428" i="40"/>
  <c r="JB325" i="40"/>
  <c r="JA228" i="40"/>
  <c r="HV228" i="40"/>
  <c r="HX228" i="40"/>
  <c r="HW228" i="40"/>
  <c r="HM528" i="40"/>
  <c r="HP528" i="40" s="1"/>
  <c r="JB527" i="40"/>
  <c r="HV528" i="40"/>
  <c r="HX528" i="40"/>
  <c r="HW528" i="40"/>
  <c r="JA528" i="40"/>
  <c r="JC230" i="40"/>
  <c r="JC426" i="40"/>
  <c r="HM426" i="40"/>
  <c r="HP426" i="40" s="1"/>
  <c r="JB427" i="40"/>
  <c r="JC527" i="40"/>
  <c r="HR227" i="40"/>
  <c r="HR627" i="40" s="1"/>
  <c r="HO627" i="40"/>
  <c r="HR226" i="40"/>
  <c r="HR626" i="40" s="1"/>
  <c r="HO626" i="40"/>
  <c r="JB324" i="40"/>
  <c r="JA226" i="40"/>
  <c r="HW226" i="40"/>
  <c r="HV226" i="40"/>
  <c r="HX226" i="40"/>
  <c r="HM427" i="40"/>
  <c r="HP427" i="40" s="1"/>
  <c r="JB526" i="40"/>
  <c r="HN424" i="40"/>
  <c r="HQ424" i="40" s="1"/>
  <c r="HX524" i="40"/>
  <c r="HW524" i="40"/>
  <c r="HV524" i="40"/>
  <c r="JA524" i="40"/>
  <c r="JA323" i="40"/>
  <c r="HW323" i="40"/>
  <c r="HX323" i="40"/>
  <c r="HV323" i="40"/>
  <c r="HW224" i="40"/>
  <c r="HV224" i="40"/>
  <c r="HX224" i="40"/>
  <c r="JC523" i="40"/>
  <c r="HN322" i="40"/>
  <c r="HQ322" i="40" s="1"/>
  <c r="JB423" i="40"/>
  <c r="HR224" i="40"/>
  <c r="HR624" i="40" s="1"/>
  <c r="HO624" i="40"/>
  <c r="JC222" i="40"/>
  <c r="JB522" i="40"/>
  <c r="JC522" i="40"/>
  <c r="HX522" i="40"/>
  <c r="HV522" i="40"/>
  <c r="HW522" i="40"/>
  <c r="JA522" i="40"/>
  <c r="HN520" i="40"/>
  <c r="HQ520" i="40" s="1"/>
  <c r="HW520" i="40"/>
  <c r="HX520" i="40"/>
  <c r="HV520" i="40"/>
  <c r="JA520" i="40"/>
  <c r="JB520" i="40"/>
  <c r="JB420" i="40"/>
  <c r="HW420" i="40"/>
  <c r="HX420" i="40"/>
  <c r="HV420" i="40"/>
  <c r="JA420" i="40"/>
  <c r="HM222" i="40"/>
  <c r="HN420" i="40"/>
  <c r="HQ420" i="40" s="1"/>
  <c r="JB521" i="40"/>
  <c r="HN421" i="40"/>
  <c r="HQ421" i="40" s="1"/>
  <c r="HM519" i="40"/>
  <c r="HP519" i="40" s="1"/>
  <c r="JB518" i="40"/>
  <c r="HM317" i="40"/>
  <c r="HP317" i="40" s="1"/>
  <c r="HM220" i="40"/>
  <c r="JC419" i="40"/>
  <c r="JC318" i="40"/>
  <c r="JC317" i="40"/>
  <c r="JB416" i="40"/>
  <c r="JA316" i="40"/>
  <c r="HW316" i="40"/>
  <c r="HX316" i="40"/>
  <c r="HV316" i="40"/>
  <c r="JA315" i="40"/>
  <c r="HV315" i="40"/>
  <c r="HW315" i="40"/>
  <c r="HX315" i="40"/>
  <c r="HV417" i="40"/>
  <c r="HW417" i="40"/>
  <c r="HX417" i="40"/>
  <c r="JA417" i="40"/>
  <c r="HR219" i="40"/>
  <c r="HR619" i="40" s="1"/>
  <c r="HO619" i="40"/>
  <c r="JC517" i="40"/>
  <c r="HV519" i="40"/>
  <c r="HW519" i="40"/>
  <c r="HX519" i="40"/>
  <c r="JA519" i="40"/>
  <c r="HN217" i="40"/>
  <c r="HN315" i="40"/>
  <c r="HQ315" i="40" s="1"/>
  <c r="HM315" i="40"/>
  <c r="HP315" i="40" s="1"/>
  <c r="JC315" i="40"/>
  <c r="HM416" i="40"/>
  <c r="HP416" i="40" s="1"/>
  <c r="JC415" i="40"/>
  <c r="HM415" i="40"/>
  <c r="HP415" i="40" s="1"/>
  <c r="JB514" i="40"/>
  <c r="HW514" i="40"/>
  <c r="HX514" i="40"/>
  <c r="HV514" i="40"/>
  <c r="JA514" i="40"/>
  <c r="JA215" i="40"/>
  <c r="HN415" i="40"/>
  <c r="HQ415" i="40" s="1"/>
  <c r="JB314" i="40"/>
  <c r="HV413" i="40"/>
  <c r="HW413" i="40"/>
  <c r="HX413" i="40"/>
  <c r="JA413" i="40"/>
  <c r="JB414" i="40"/>
  <c r="JA312" i="40"/>
  <c r="HV312" i="40"/>
  <c r="HW312" i="40"/>
  <c r="HX312" i="40"/>
  <c r="HN513" i="40"/>
  <c r="HQ513" i="40" s="1"/>
  <c r="JA214" i="40"/>
  <c r="HV214" i="40"/>
  <c r="HX214" i="40"/>
  <c r="HW214" i="40"/>
  <c r="JB513" i="40"/>
  <c r="JC213" i="40"/>
  <c r="JC310" i="40"/>
  <c r="JH512" i="40"/>
  <c r="JH310" i="40"/>
  <c r="HR211" i="40"/>
  <c r="HR611" i="40" s="1"/>
  <c r="HO611" i="40"/>
  <c r="HN411" i="40"/>
  <c r="HQ411" i="40" s="1"/>
  <c r="JA310" i="40"/>
  <c r="HX310" i="40"/>
  <c r="HW310" i="40"/>
  <c r="HV310" i="40"/>
  <c r="JC212" i="40"/>
  <c r="JB211" i="40"/>
  <c r="JB510" i="40"/>
  <c r="HN211" i="40"/>
  <c r="HW509" i="40"/>
  <c r="HV509" i="40"/>
  <c r="HX509" i="40"/>
  <c r="JA509" i="40"/>
  <c r="JC209" i="40"/>
  <c r="JB508" i="40"/>
  <c r="JB210" i="40"/>
  <c r="JA308" i="40"/>
  <c r="HW308" i="40"/>
  <c r="HX308" i="40"/>
  <c r="HV308" i="40"/>
  <c r="HR209" i="40"/>
  <c r="HR609" i="40" s="1"/>
  <c r="HO609" i="40"/>
  <c r="JC508" i="40"/>
  <c r="JB507" i="40"/>
  <c r="HQ204" i="40"/>
  <c r="HW307" i="40"/>
  <c r="JA307" i="40"/>
  <c r="HX307" i="40"/>
  <c r="HV307" i="40"/>
  <c r="HN307" i="40"/>
  <c r="HQ307" i="40" s="1"/>
  <c r="JC506" i="40"/>
  <c r="JB306" i="40"/>
  <c r="HQ206" i="40"/>
  <c r="HN606" i="40"/>
  <c r="JA209" i="40"/>
  <c r="HM408" i="40"/>
  <c r="HP408" i="40" s="1"/>
  <c r="JB304" i="40"/>
  <c r="HX507" i="40"/>
  <c r="HW507" i="40"/>
  <c r="JA507" i="40"/>
  <c r="HV507" i="40"/>
  <c r="JC207" i="40"/>
  <c r="JC505" i="40"/>
  <c r="JB305" i="40"/>
  <c r="JC206" i="40"/>
  <c r="HP204" i="40"/>
  <c r="JC504" i="40"/>
  <c r="JA405" i="40"/>
  <c r="HV405" i="40"/>
  <c r="HX405" i="40"/>
  <c r="HW405" i="40"/>
  <c r="JC501" i="40"/>
  <c r="N11" i="61" s="1"/>
  <c r="AA11" i="61" s="1"/>
  <c r="JC402" i="40"/>
  <c r="AU18" i="68" s="1"/>
  <c r="JB204" i="40"/>
  <c r="JB503" i="40"/>
  <c r="JB501" i="40"/>
  <c r="M11" i="61" s="1"/>
  <c r="Z11" i="61" s="1"/>
  <c r="HQ205" i="40"/>
  <c r="JC403" i="40"/>
  <c r="JA202" i="40"/>
  <c r="HX202" i="40"/>
  <c r="HV202" i="40"/>
  <c r="HW202" i="40"/>
  <c r="HN201" i="40"/>
  <c r="JA502" i="40"/>
  <c r="HW502" i="40"/>
  <c r="HV502" i="40"/>
  <c r="HX502" i="40"/>
  <c r="AC59" i="59"/>
  <c r="AB59" i="59"/>
  <c r="AA60" i="59"/>
  <c r="Z60" i="59"/>
  <c r="AC58" i="59"/>
  <c r="AB58" i="59"/>
  <c r="HV379" i="40"/>
  <c r="HX379" i="40"/>
  <c r="HW379" i="40"/>
  <c r="HV581" i="40"/>
  <c r="HX581" i="40"/>
  <c r="HW581" i="40"/>
  <c r="JA581" i="40"/>
  <c r="HN479" i="40"/>
  <c r="HQ479" i="40" s="1"/>
  <c r="JC581" i="40"/>
  <c r="JC478" i="40"/>
  <c r="HV476" i="40"/>
  <c r="HW476" i="40"/>
  <c r="HX476" i="40"/>
  <c r="JA476" i="40"/>
  <c r="HP277" i="40"/>
  <c r="JH575" i="40"/>
  <c r="HV475" i="40"/>
  <c r="HW475" i="40"/>
  <c r="HX475" i="40"/>
  <c r="JA475" i="40"/>
  <c r="HW473" i="40"/>
  <c r="HV473" i="40"/>
  <c r="HX473" i="40"/>
  <c r="JA473" i="40"/>
  <c r="JC273" i="40"/>
  <c r="JC571" i="40"/>
  <c r="HR272" i="40"/>
  <c r="HR672" i="40" s="1"/>
  <c r="HO672" i="40"/>
  <c r="JC271" i="40"/>
  <c r="HV470" i="40"/>
  <c r="HW470" i="40"/>
  <c r="HX470" i="40"/>
  <c r="JA470" i="40"/>
  <c r="JC369" i="40"/>
  <c r="JH368" i="40"/>
  <c r="JC268" i="40"/>
  <c r="JB565" i="40"/>
  <c r="JA266" i="40"/>
  <c r="HW266" i="40"/>
  <c r="HV266" i="40"/>
  <c r="HX266" i="40"/>
  <c r="JC263" i="40"/>
  <c r="HV461" i="40"/>
  <c r="HW461" i="40"/>
  <c r="HX461" i="40"/>
  <c r="JA461" i="40"/>
  <c r="JC559" i="40"/>
  <c r="JA358" i="40"/>
  <c r="HW358" i="40"/>
  <c r="HX358" i="40"/>
  <c r="HV358" i="40"/>
  <c r="JA357" i="40"/>
  <c r="HV357" i="40"/>
  <c r="HW357" i="40"/>
  <c r="HX357" i="40"/>
  <c r="X60" i="59"/>
  <c r="Y60" i="59"/>
  <c r="W60" i="59"/>
  <c r="V60" i="59"/>
  <c r="JB481" i="40"/>
  <c r="HX480" i="40"/>
  <c r="HV480" i="40"/>
  <c r="HW480" i="40"/>
  <c r="JA480" i="40"/>
  <c r="JB480" i="40"/>
  <c r="HX481" i="40"/>
  <c r="HV481" i="40"/>
  <c r="HW481" i="40"/>
  <c r="JA481" i="40"/>
  <c r="HX479" i="40"/>
  <c r="HV479" i="40"/>
  <c r="HW479" i="40"/>
  <c r="JA479" i="40"/>
  <c r="HR281" i="40"/>
  <c r="HR681" i="40" s="1"/>
  <c r="HO681" i="40"/>
  <c r="JB378" i="40"/>
  <c r="HX280" i="40"/>
  <c r="HW280" i="40"/>
  <c r="HV280" i="40"/>
  <c r="JC580" i="40"/>
  <c r="JC279" i="40"/>
  <c r="HX579" i="40"/>
  <c r="HV579" i="40"/>
  <c r="HW579" i="40"/>
  <c r="JA579" i="40"/>
  <c r="JA280" i="40"/>
  <c r="HN280" i="40"/>
  <c r="JA378" i="40"/>
  <c r="HV378" i="40"/>
  <c r="HW378" i="40"/>
  <c r="HX378" i="40"/>
  <c r="HM279" i="40"/>
  <c r="JB477" i="40"/>
  <c r="JC477" i="40"/>
  <c r="JB478" i="40"/>
  <c r="HM578" i="40"/>
  <c r="HP578" i="40" s="1"/>
  <c r="HN377" i="40"/>
  <c r="HQ377" i="40" s="1"/>
  <c r="HM376" i="40"/>
  <c r="HP376" i="40" s="1"/>
  <c r="JB277" i="40"/>
  <c r="JC576" i="40"/>
  <c r="HR277" i="40"/>
  <c r="HR677" i="40" s="1"/>
  <c r="HO677" i="40"/>
  <c r="HN376" i="40"/>
  <c r="HQ376" i="40" s="1"/>
  <c r="JC476" i="40"/>
  <c r="HR276" i="40"/>
  <c r="HR676" i="40" s="1"/>
  <c r="HO676" i="40"/>
  <c r="JB475" i="40"/>
  <c r="HN374" i="40"/>
  <c r="HQ374" i="40" s="1"/>
  <c r="JA276" i="40"/>
  <c r="HX276" i="40"/>
  <c r="HV276" i="40"/>
  <c r="HW276" i="40"/>
  <c r="JB374" i="40"/>
  <c r="JB372" i="40"/>
  <c r="JB373" i="40"/>
  <c r="JC373" i="40"/>
  <c r="JC473" i="40"/>
  <c r="JC371" i="40"/>
  <c r="JB472" i="40"/>
  <c r="HM472" i="40"/>
  <c r="HP472" i="40" s="1"/>
  <c r="HN372" i="40"/>
  <c r="HQ372" i="40" s="1"/>
  <c r="JA274" i="40"/>
  <c r="HV274" i="40"/>
  <c r="HX274" i="40"/>
  <c r="HW274" i="40"/>
  <c r="HM372" i="40"/>
  <c r="HP372" i="40" s="1"/>
  <c r="HM274" i="40"/>
  <c r="JC372" i="40"/>
  <c r="JC572" i="40"/>
  <c r="JC370" i="40"/>
  <c r="JB370" i="40"/>
  <c r="JA369" i="40"/>
  <c r="HW369" i="40"/>
  <c r="HV369" i="40"/>
  <c r="HX369" i="40"/>
  <c r="HW570" i="40"/>
  <c r="HV570" i="40"/>
  <c r="HX570" i="40"/>
  <c r="JA570" i="40"/>
  <c r="HN272" i="40"/>
  <c r="JB471" i="40"/>
  <c r="HN470" i="40"/>
  <c r="HQ470" i="40" s="1"/>
  <c r="JB270" i="40"/>
  <c r="JA271" i="40"/>
  <c r="JC368" i="40"/>
  <c r="HM568" i="40"/>
  <c r="HP568" i="40" s="1"/>
  <c r="JC568" i="40"/>
  <c r="HR269" i="40"/>
  <c r="HR669" i="40" s="1"/>
  <c r="HO669" i="40"/>
  <c r="JA368" i="40"/>
  <c r="HX368" i="40"/>
  <c r="HV368" i="40"/>
  <c r="HW368" i="40"/>
  <c r="HX568" i="40"/>
  <c r="HV568" i="40"/>
  <c r="HW568" i="40"/>
  <c r="JA568" i="40"/>
  <c r="JB569" i="40"/>
  <c r="HR270" i="40"/>
  <c r="HR670" i="40" s="1"/>
  <c r="HO670" i="40"/>
  <c r="HM467" i="40"/>
  <c r="HP467" i="40" s="1"/>
  <c r="JB366" i="40"/>
  <c r="HW566" i="40"/>
  <c r="HX566" i="40"/>
  <c r="HV566" i="40"/>
  <c r="JA566" i="40"/>
  <c r="HW567" i="40"/>
  <c r="HX567" i="40"/>
  <c r="HV567" i="40"/>
  <c r="JA567" i="40"/>
  <c r="JC270" i="40"/>
  <c r="JC367" i="40"/>
  <c r="JB567" i="40"/>
  <c r="JC365" i="40"/>
  <c r="JC364" i="40"/>
  <c r="JB364" i="40"/>
  <c r="JC266" i="40"/>
  <c r="HR267" i="40"/>
  <c r="HR667" i="40" s="1"/>
  <c r="HO667" i="40"/>
  <c r="JA365" i="40"/>
  <c r="HW365" i="40"/>
  <c r="HX365" i="40"/>
  <c r="HV365" i="40"/>
  <c r="HX465" i="40"/>
  <c r="HV465" i="40"/>
  <c r="HW465" i="40"/>
  <c r="JA465" i="40"/>
  <c r="HN266" i="40"/>
  <c r="JC567" i="40"/>
  <c r="JC463" i="40"/>
  <c r="HR265" i="40"/>
  <c r="HR665" i="40" s="1"/>
  <c r="HO665" i="40"/>
  <c r="JA363" i="40"/>
  <c r="HW363" i="40"/>
  <c r="HX363" i="40"/>
  <c r="HV363" i="40"/>
  <c r="JC265" i="40"/>
  <c r="HM565" i="40"/>
  <c r="HP565" i="40" s="1"/>
  <c r="HW362" i="40"/>
  <c r="HX362" i="40"/>
  <c r="HV362" i="40"/>
  <c r="JB563" i="40"/>
  <c r="JB463" i="40"/>
  <c r="JB464" i="40"/>
  <c r="JC462" i="40"/>
  <c r="HR264" i="40"/>
  <c r="HR664" i="40" s="1"/>
  <c r="HO664" i="40"/>
  <c r="JB562" i="40"/>
  <c r="JC361" i="40"/>
  <c r="HN561" i="40"/>
  <c r="HQ561" i="40" s="1"/>
  <c r="HM262" i="40"/>
  <c r="HN562" i="40"/>
  <c r="HQ562" i="40" s="1"/>
  <c r="JB462" i="40"/>
  <c r="JC359" i="40"/>
  <c r="JC560" i="40"/>
  <c r="HM462" i="40"/>
  <c r="HP462" i="40" s="1"/>
  <c r="HX263" i="40"/>
  <c r="HW263" i="40"/>
  <c r="HV263" i="40"/>
  <c r="HM561" i="40"/>
  <c r="HP561" i="40" s="1"/>
  <c r="JA360" i="40"/>
  <c r="HV360" i="40"/>
  <c r="HW360" i="40"/>
  <c r="HX360" i="40"/>
  <c r="JB561" i="40"/>
  <c r="JC358" i="40"/>
  <c r="JB260" i="40"/>
  <c r="JB459" i="40"/>
  <c r="HR260" i="40"/>
  <c r="HR660" i="40" s="1"/>
  <c r="HO660" i="40"/>
  <c r="JA260" i="40"/>
  <c r="HW260" i="40"/>
  <c r="HV260" i="40"/>
  <c r="HX260" i="40"/>
  <c r="JC458" i="40"/>
  <c r="JB258" i="40"/>
  <c r="JC259" i="40"/>
  <c r="JC258" i="40"/>
  <c r="JC356" i="40"/>
  <c r="JC557" i="40"/>
  <c r="HN556" i="40"/>
  <c r="HQ556" i="40" s="1"/>
  <c r="JC354" i="40"/>
  <c r="HM257" i="40"/>
  <c r="HM554" i="40"/>
  <c r="HP554" i="40" s="1"/>
  <c r="JB555" i="40"/>
  <c r="HR258" i="40"/>
  <c r="HR658" i="40" s="1"/>
  <c r="HO658" i="40"/>
  <c r="HM556" i="40"/>
  <c r="HP556" i="40" s="1"/>
  <c r="JB455" i="40"/>
  <c r="HM455" i="40"/>
  <c r="HP455" i="40" s="1"/>
  <c r="HW255" i="40"/>
  <c r="HV255" i="40"/>
  <c r="HX255" i="40"/>
  <c r="HW257" i="40"/>
  <c r="HV257" i="40"/>
  <c r="HX257" i="40"/>
  <c r="HN554" i="40"/>
  <c r="HQ554" i="40" s="1"/>
  <c r="JB453" i="40"/>
  <c r="HV553" i="40"/>
  <c r="HW553" i="40"/>
  <c r="HX553" i="40"/>
  <c r="JA553" i="40"/>
  <c r="JB452" i="40"/>
  <c r="HM453" i="40"/>
  <c r="HP453" i="40" s="1"/>
  <c r="JB553" i="40"/>
  <c r="HN455" i="40"/>
  <c r="HQ455" i="40" s="1"/>
  <c r="HN552" i="40"/>
  <c r="HQ552" i="40" s="1"/>
  <c r="JC350" i="40"/>
  <c r="JC452" i="40"/>
  <c r="JC351" i="40"/>
  <c r="JB352" i="40"/>
  <c r="JC252" i="40"/>
  <c r="JC451" i="40"/>
  <c r="JB551" i="40"/>
  <c r="HM552" i="40"/>
  <c r="HP552" i="40" s="1"/>
  <c r="JB450" i="40"/>
  <c r="JA252" i="40"/>
  <c r="HW252" i="40"/>
  <c r="HV252" i="40"/>
  <c r="HX252" i="40"/>
  <c r="HW551" i="40"/>
  <c r="HX551" i="40"/>
  <c r="HV551" i="40"/>
  <c r="JA551" i="40"/>
  <c r="HN450" i="40"/>
  <c r="HQ450" i="40" s="1"/>
  <c r="HN251" i="40"/>
  <c r="JB251" i="40"/>
  <c r="HM252" i="40"/>
  <c r="JC550" i="40"/>
  <c r="JA348" i="40"/>
  <c r="HX348" i="40"/>
  <c r="HV348" i="40"/>
  <c r="HW348" i="40"/>
  <c r="HR250" i="40"/>
  <c r="HR650" i="40" s="1"/>
  <c r="HO650" i="40"/>
  <c r="JC250" i="40"/>
  <c r="JB347" i="40"/>
  <c r="JB549" i="40"/>
  <c r="HM448" i="40"/>
  <c r="HP448" i="40" s="1"/>
  <c r="HN249" i="40"/>
  <c r="HN447" i="40"/>
  <c r="HQ447" i="40" s="1"/>
  <c r="JC548" i="40"/>
  <c r="HX247" i="40"/>
  <c r="HW247" i="40"/>
  <c r="HV247" i="40"/>
  <c r="JB247" i="40"/>
  <c r="JC546" i="40"/>
  <c r="HW446" i="40"/>
  <c r="HV446" i="40"/>
  <c r="HX446" i="40"/>
  <c r="JA446" i="40"/>
  <c r="HM246" i="40"/>
  <c r="JB345" i="40"/>
  <c r="JB545" i="40"/>
  <c r="JC545" i="40"/>
  <c r="HN546" i="40"/>
  <c r="HQ546" i="40" s="1"/>
  <c r="JC343" i="40"/>
  <c r="HP245" i="40"/>
  <c r="HN246" i="40"/>
  <c r="JC246" i="40"/>
  <c r="JB245" i="40"/>
  <c r="JB544" i="40"/>
  <c r="HM544" i="40"/>
  <c r="HP544" i="40" s="1"/>
  <c r="HN443" i="40"/>
  <c r="HQ443" i="40" s="1"/>
  <c r="HM443" i="40"/>
  <c r="HP443" i="40" s="1"/>
  <c r="HX444" i="40"/>
  <c r="HV444" i="40"/>
  <c r="HW444" i="40"/>
  <c r="JA444" i="40"/>
  <c r="HM244" i="40"/>
  <c r="JB444" i="40"/>
  <c r="HN342" i="40"/>
  <c r="HQ342" i="40" s="1"/>
  <c r="JC243" i="40"/>
  <c r="HV541" i="40"/>
  <c r="HW541" i="40"/>
  <c r="HX541" i="40"/>
  <c r="JA541" i="40"/>
  <c r="JC542" i="40"/>
  <c r="JA342" i="40"/>
  <c r="HW342" i="40"/>
  <c r="HV342" i="40"/>
  <c r="HX342" i="40"/>
  <c r="JB340" i="40"/>
  <c r="JA244" i="40"/>
  <c r="HX244" i="40"/>
  <c r="HV244" i="40"/>
  <c r="HW244" i="40"/>
  <c r="HM341" i="40"/>
  <c r="HP341" i="40" s="1"/>
  <c r="JC443" i="40"/>
  <c r="HN244" i="40"/>
  <c r="HM340" i="40"/>
  <c r="HP340" i="40" s="1"/>
  <c r="HN541" i="40"/>
  <c r="HQ541" i="40" s="1"/>
  <c r="JB441" i="40"/>
  <c r="JA241" i="40"/>
  <c r="HN242" i="40"/>
  <c r="JC540" i="40"/>
  <c r="JC339" i="40"/>
  <c r="HN441" i="40"/>
  <c r="HQ441" i="40" s="1"/>
  <c r="JC242" i="40"/>
  <c r="HN339" i="40"/>
  <c r="HQ339" i="40" s="1"/>
  <c r="HX539" i="40"/>
  <c r="HV539" i="40"/>
  <c r="HW539" i="40"/>
  <c r="JA539" i="40"/>
  <c r="HX439" i="40"/>
  <c r="HV439" i="40"/>
  <c r="HW439" i="40"/>
  <c r="JA439" i="40"/>
  <c r="JB539" i="40"/>
  <c r="HN439" i="40"/>
  <c r="HQ439" i="40" s="1"/>
  <c r="HN437" i="40"/>
  <c r="HQ437" i="40" s="1"/>
  <c r="JB336" i="40"/>
  <c r="JC337" i="40"/>
  <c r="HR239" i="40"/>
  <c r="HR639" i="40" s="1"/>
  <c r="HO639" i="40"/>
  <c r="HM239" i="40"/>
  <c r="HM539" i="40"/>
  <c r="HP539" i="40" s="1"/>
  <c r="HM538" i="40"/>
  <c r="HP538" i="40" s="1"/>
  <c r="HM437" i="40"/>
  <c r="HP437" i="40" s="1"/>
  <c r="JC438" i="40"/>
  <c r="HR238" i="40"/>
  <c r="HR638" i="40" s="1"/>
  <c r="HO638" i="40"/>
  <c r="JB237" i="40"/>
  <c r="JB335" i="40"/>
  <c r="JC238" i="40"/>
  <c r="JA237" i="40"/>
  <c r="HX237" i="40"/>
  <c r="HV237" i="40"/>
  <c r="HW237" i="40"/>
  <c r="JB535" i="40"/>
  <c r="HR236" i="40"/>
  <c r="HR636" i="40" s="1"/>
  <c r="HO636" i="40"/>
  <c r="HW436" i="40"/>
  <c r="HX436" i="40"/>
  <c r="HV436" i="40"/>
  <c r="JA436" i="40"/>
  <c r="JB534" i="40"/>
  <c r="HN534" i="40"/>
  <c r="HQ534" i="40" s="1"/>
  <c r="JA334" i="40"/>
  <c r="HX334" i="40"/>
  <c r="HW334" i="40"/>
  <c r="HV334" i="40"/>
  <c r="HV534" i="40"/>
  <c r="HW534" i="40"/>
  <c r="HX534" i="40"/>
  <c r="JA534" i="40"/>
  <c r="HV434" i="40"/>
  <c r="HW434" i="40"/>
  <c r="HX434" i="40"/>
  <c r="JA434" i="40"/>
  <c r="HN235" i="40"/>
  <c r="HM333" i="40"/>
  <c r="HP333" i="40" s="1"/>
  <c r="JA235" i="40"/>
  <c r="HV235" i="40"/>
  <c r="HW235" i="40"/>
  <c r="HX235" i="40"/>
  <c r="JA236" i="40"/>
  <c r="JB332" i="40"/>
  <c r="JB432" i="40"/>
  <c r="JC234" i="40"/>
  <c r="JC433" i="40"/>
  <c r="JB532" i="40"/>
  <c r="HN234" i="40"/>
  <c r="JC333" i="40"/>
  <c r="JB533" i="40"/>
  <c r="HN232" i="40"/>
  <c r="HV532" i="40"/>
  <c r="HW532" i="40"/>
  <c r="HX532" i="40"/>
  <c r="JA532" i="40"/>
  <c r="JA232" i="40"/>
  <c r="HW232" i="40"/>
  <c r="HX232" i="40"/>
  <c r="HV232" i="40"/>
  <c r="JC431" i="40"/>
  <c r="HM431" i="40"/>
  <c r="HP431" i="40" s="1"/>
  <c r="HN530" i="40"/>
  <c r="HQ530" i="40" s="1"/>
  <c r="HN430" i="40"/>
  <c r="HQ430" i="40" s="1"/>
  <c r="JB328" i="40"/>
  <c r="HN429" i="40"/>
  <c r="HQ429" i="40" s="1"/>
  <c r="HR231" i="40"/>
  <c r="HR631" i="40" s="1"/>
  <c r="HO631" i="40"/>
  <c r="HN531" i="40"/>
  <c r="HQ531" i="40" s="1"/>
  <c r="JC329" i="40"/>
  <c r="JB329" i="40"/>
  <c r="HM429" i="40"/>
  <c r="HP429" i="40" s="1"/>
  <c r="HR230" i="40"/>
  <c r="HR630" i="40" s="1"/>
  <c r="HO630" i="40"/>
  <c r="HM428" i="40"/>
  <c r="HP428" i="40" s="1"/>
  <c r="HR229" i="40"/>
  <c r="HR629" i="40" s="1"/>
  <c r="HO629" i="40"/>
  <c r="JB230" i="40"/>
  <c r="HN230" i="40"/>
  <c r="HM529" i="40"/>
  <c r="HP529" i="40" s="1"/>
  <c r="JC529" i="40"/>
  <c r="JB528" i="40"/>
  <c r="HM229" i="40"/>
  <c r="HR228" i="40"/>
  <c r="HR628" i="40" s="1"/>
  <c r="HO628" i="40"/>
  <c r="JC528" i="40"/>
  <c r="JB326" i="40"/>
  <c r="HV527" i="40"/>
  <c r="HX527" i="40"/>
  <c r="HW527" i="40"/>
  <c r="JA527" i="40"/>
  <c r="JC526" i="40"/>
  <c r="HN527" i="40"/>
  <c r="HQ527" i="40" s="1"/>
  <c r="HN326" i="40"/>
  <c r="HQ326" i="40" s="1"/>
  <c r="JC225" i="40"/>
  <c r="JC227" i="40"/>
  <c r="JB226" i="40"/>
  <c r="HN526" i="40"/>
  <c r="HQ526" i="40" s="1"/>
  <c r="HM424" i="40"/>
  <c r="HP424" i="40" s="1"/>
  <c r="JC525" i="40"/>
  <c r="HW526" i="40"/>
  <c r="HX526" i="40"/>
  <c r="HV526" i="40"/>
  <c r="JA526" i="40"/>
  <c r="HM226" i="40"/>
  <c r="JC226" i="40"/>
  <c r="JA324" i="40"/>
  <c r="HX324" i="40"/>
  <c r="HV324" i="40"/>
  <c r="HW324" i="40"/>
  <c r="HV525" i="40"/>
  <c r="HW525" i="40"/>
  <c r="HX525" i="40"/>
  <c r="JA525" i="40"/>
  <c r="HN225" i="40"/>
  <c r="JC323" i="40"/>
  <c r="JB524" i="40"/>
  <c r="HM225" i="40"/>
  <c r="JC524" i="40"/>
  <c r="JB323" i="40"/>
  <c r="HM322" i="40"/>
  <c r="HP322" i="40" s="1"/>
  <c r="JC224" i="40"/>
  <c r="JC422" i="40"/>
  <c r="HW223" i="40"/>
  <c r="HV223" i="40"/>
  <c r="HX223" i="40"/>
  <c r="HN423" i="40"/>
  <c r="HQ423" i="40" s="1"/>
  <c r="JB523" i="40"/>
  <c r="JC322" i="40"/>
  <c r="HN224" i="40"/>
  <c r="JB321" i="40"/>
  <c r="HR223" i="40"/>
  <c r="HR623" i="40" s="1"/>
  <c r="HO623" i="40"/>
  <c r="HN422" i="40"/>
  <c r="HQ422" i="40" s="1"/>
  <c r="JH422" i="40" s="1"/>
  <c r="HR221" i="40"/>
  <c r="HR621" i="40" s="1"/>
  <c r="HO621" i="40"/>
  <c r="JB421" i="40"/>
  <c r="JA320" i="40"/>
  <c r="HX320" i="40"/>
  <c r="HV320" i="40"/>
  <c r="HW320" i="40"/>
  <c r="HX421" i="40"/>
  <c r="HV421" i="40"/>
  <c r="HW421" i="40"/>
  <c r="JA421" i="40"/>
  <c r="JC521" i="40"/>
  <c r="JC320" i="40"/>
  <c r="HM421" i="40"/>
  <c r="HP421" i="40" s="1"/>
  <c r="HV419" i="40"/>
  <c r="HW419" i="40"/>
  <c r="HX419" i="40"/>
  <c r="JA419" i="40"/>
  <c r="HN419" i="40"/>
  <c r="HQ419" i="40" s="1"/>
  <c r="JC518" i="40"/>
  <c r="JC220" i="40"/>
  <c r="JB419" i="40"/>
  <c r="JB417" i="40"/>
  <c r="JC417" i="40"/>
  <c r="JB219" i="40"/>
  <c r="JC316" i="40"/>
  <c r="JC218" i="40"/>
  <c r="JA219" i="40"/>
  <c r="HW219" i="40"/>
  <c r="HV219" i="40"/>
  <c r="HX219" i="40"/>
  <c r="JC219" i="40"/>
  <c r="HX518" i="40"/>
  <c r="HV518" i="40"/>
  <c r="HW518" i="40"/>
  <c r="JA518" i="40"/>
  <c r="HX516" i="40"/>
  <c r="HW516" i="40"/>
  <c r="HV516" i="40"/>
  <c r="JA516" i="40"/>
  <c r="JA217" i="40"/>
  <c r="HV217" i="40"/>
  <c r="HX217" i="40"/>
  <c r="HW217" i="40"/>
  <c r="HN516" i="40"/>
  <c r="HQ516" i="40" s="1"/>
  <c r="HR218" i="40"/>
  <c r="HR618" i="40" s="1"/>
  <c r="HO618" i="40"/>
  <c r="JC416" i="40"/>
  <c r="JC217" i="40"/>
  <c r="HN416" i="40"/>
  <c r="HQ416" i="40" s="1"/>
  <c r="HN314" i="40"/>
  <c r="HQ314" i="40" s="1"/>
  <c r="JA314" i="40"/>
  <c r="HM216" i="40"/>
  <c r="HM314" i="40"/>
  <c r="HP314" i="40" s="1"/>
  <c r="HW515" i="40"/>
  <c r="HX515" i="40"/>
  <c r="HV515" i="40"/>
  <c r="JA515" i="40"/>
  <c r="HV415" i="40"/>
  <c r="HW415" i="40"/>
  <c r="HX415" i="40"/>
  <c r="JA415" i="40"/>
  <c r="JB216" i="40"/>
  <c r="JC514" i="40"/>
  <c r="JC313" i="40"/>
  <c r="JB313" i="40"/>
  <c r="JC515" i="40"/>
  <c r="HN514" i="40"/>
  <c r="HQ514" i="40" s="1"/>
  <c r="JC414" i="40"/>
  <c r="HM413" i="40"/>
  <c r="HP413" i="40" s="1"/>
  <c r="HN214" i="40"/>
  <c r="HM312" i="40"/>
  <c r="HP312" i="40" s="1"/>
  <c r="JB215" i="40"/>
  <c r="JB413" i="40"/>
  <c r="JA313" i="40"/>
  <c r="HW313" i="40"/>
  <c r="HX313" i="40"/>
  <c r="HV313" i="40"/>
  <c r="HM513" i="40"/>
  <c r="HP513" i="40" s="1"/>
  <c r="HM311" i="40"/>
  <c r="HP311" i="40" s="1"/>
  <c r="JC412" i="40"/>
  <c r="HR213" i="40"/>
  <c r="HR613" i="40" s="1"/>
  <c r="HO613" i="40"/>
  <c r="HR212" i="40"/>
  <c r="HR612" i="40" s="1"/>
  <c r="HO612" i="40"/>
  <c r="JB213" i="40"/>
  <c r="JA213" i="40"/>
  <c r="HV213" i="40"/>
  <c r="HX213" i="40"/>
  <c r="HW213" i="40"/>
  <c r="JC511" i="40"/>
  <c r="HN311" i="40"/>
  <c r="HQ311" i="40" s="1"/>
  <c r="JB411" i="40"/>
  <c r="JA211" i="40"/>
  <c r="HX211" i="40"/>
  <c r="HW211" i="40"/>
  <c r="HV211" i="40"/>
  <c r="JB309" i="40"/>
  <c r="JB511" i="40"/>
  <c r="HN212" i="40"/>
  <c r="JB310" i="40"/>
  <c r="HN410" i="40"/>
  <c r="HQ410" i="40" s="1"/>
  <c r="JB311" i="40"/>
  <c r="JA309" i="40"/>
  <c r="HV309" i="40"/>
  <c r="HW309" i="40"/>
  <c r="HX309" i="40"/>
  <c r="JC410" i="40"/>
  <c r="JC211" i="40"/>
  <c r="JC509" i="40"/>
  <c r="JB509" i="40"/>
  <c r="HN409" i="40"/>
  <c r="HQ409" i="40" s="1"/>
  <c r="HM409" i="40"/>
  <c r="HP409" i="40" s="1"/>
  <c r="HM508" i="40"/>
  <c r="HP508" i="40" s="1"/>
  <c r="HQ203" i="40"/>
  <c r="HP206" i="40"/>
  <c r="HN408" i="40"/>
  <c r="HQ408" i="40" s="1"/>
  <c r="JC408" i="40"/>
  <c r="JC406" i="40"/>
  <c r="HX208" i="40"/>
  <c r="HV208" i="40"/>
  <c r="HW208" i="40"/>
  <c r="JH506" i="40"/>
  <c r="KA506" i="40" s="1"/>
  <c r="HR208" i="40"/>
  <c r="HR608" i="40" s="1"/>
  <c r="HO608" i="40"/>
  <c r="HM306" i="40"/>
  <c r="HP306" i="40" s="1"/>
  <c r="JC407" i="40"/>
  <c r="JC305" i="40"/>
  <c r="JA304" i="40"/>
  <c r="HX304" i="40"/>
  <c r="HV304" i="40"/>
  <c r="HW304" i="40"/>
  <c r="JB502" i="40"/>
  <c r="JC205" i="40"/>
  <c r="JB205" i="40"/>
  <c r="JB405" i="40"/>
  <c r="JC503" i="40"/>
  <c r="HW403" i="40"/>
  <c r="HV403" i="40"/>
  <c r="HX403" i="40"/>
  <c r="JA403" i="40"/>
  <c r="JB403" i="40"/>
  <c r="HV401" i="40"/>
  <c r="HW401" i="40"/>
  <c r="HX401" i="40"/>
  <c r="JA401" i="40"/>
  <c r="L10" i="61" s="1"/>
  <c r="Y10" i="61" s="1"/>
  <c r="JA204" i="40"/>
  <c r="HW204" i="40"/>
  <c r="HX204" i="40"/>
  <c r="HV204" i="40"/>
  <c r="JA303" i="40"/>
  <c r="HX303" i="40"/>
  <c r="HW303" i="40"/>
  <c r="HV303" i="40"/>
  <c r="HX201" i="40"/>
  <c r="HV201" i="40"/>
  <c r="HW201" i="40"/>
  <c r="JB401" i="40"/>
  <c r="M10" i="61" s="1"/>
  <c r="Z10" i="61" s="1"/>
  <c r="HV504" i="40"/>
  <c r="HW504" i="40"/>
  <c r="HX504" i="40"/>
  <c r="JA504" i="40"/>
  <c r="JB202" i="40"/>
  <c r="JA302" i="40"/>
  <c r="HW302" i="40"/>
  <c r="HV302" i="40"/>
  <c r="HX302" i="40"/>
  <c r="JC480" i="40"/>
  <c r="JC579" i="40"/>
  <c r="HM280" i="40"/>
  <c r="JB377" i="40"/>
  <c r="JC375" i="40"/>
  <c r="HV574" i="40"/>
  <c r="HX574" i="40"/>
  <c r="HW574" i="40"/>
  <c r="JA574" i="40"/>
  <c r="HR274" i="40"/>
  <c r="HR674" i="40" s="1"/>
  <c r="HO674" i="40"/>
  <c r="JB371" i="40"/>
  <c r="JB369" i="40"/>
  <c r="HX370" i="40"/>
  <c r="HV370" i="40"/>
  <c r="HW370" i="40"/>
  <c r="HW469" i="40"/>
  <c r="HV469" i="40"/>
  <c r="HX469" i="40"/>
  <c r="JA469" i="40"/>
  <c r="JC468" i="40"/>
  <c r="JB466" i="40"/>
  <c r="JA267" i="40"/>
  <c r="HX267" i="40"/>
  <c r="HV267" i="40"/>
  <c r="HW267" i="40"/>
  <c r="JB264" i="40"/>
  <c r="JH360" i="40"/>
  <c r="HN361" i="40"/>
  <c r="HQ361" i="40" s="1"/>
  <c r="HW560" i="40"/>
  <c r="HX560" i="40"/>
  <c r="HV560" i="40"/>
  <c r="JA560" i="40"/>
  <c r="JA259" i="40"/>
  <c r="HX259" i="40"/>
  <c r="HW259" i="40"/>
  <c r="HV259" i="40"/>
  <c r="HR259" i="40"/>
  <c r="HR659" i="40" s="1"/>
  <c r="HO659" i="40"/>
  <c r="HN259" i="40"/>
  <c r="JB357" i="40"/>
  <c r="HV457" i="40"/>
  <c r="HW457" i="40"/>
  <c r="HX457" i="40"/>
  <c r="JA457" i="40"/>
  <c r="JB355" i="40"/>
  <c r="JB557" i="40"/>
  <c r="JA355" i="40"/>
  <c r="HV355" i="40"/>
  <c r="HW355" i="40"/>
  <c r="HX355" i="40"/>
  <c r="JC355" i="40"/>
  <c r="HV256" i="40"/>
  <c r="HX256" i="40"/>
  <c r="HW256" i="40"/>
  <c r="JC455" i="40"/>
  <c r="HN456" i="40"/>
  <c r="HQ456" i="40" s="1"/>
  <c r="JC555" i="40"/>
  <c r="JC256" i="40"/>
  <c r="JC255" i="40"/>
  <c r="JB353" i="40"/>
  <c r="JC554" i="40"/>
  <c r="JA352" i="40"/>
  <c r="HV352" i="40"/>
  <c r="HW352" i="40"/>
  <c r="HX352" i="40"/>
  <c r="JC453" i="40"/>
  <c r="JA253" i="40"/>
  <c r="HX253" i="40"/>
  <c r="HW253" i="40"/>
  <c r="HV253" i="40"/>
  <c r="JB254" i="40"/>
  <c r="JB252" i="40"/>
  <c r="JC553" i="40"/>
  <c r="JA351" i="40"/>
  <c r="HX351" i="40"/>
  <c r="HV351" i="40"/>
  <c r="HW351" i="40"/>
  <c r="HR251" i="40"/>
  <c r="HR651" i="40" s="1"/>
  <c r="HO651" i="40"/>
  <c r="JB250" i="40"/>
  <c r="JA349" i="40"/>
  <c r="HV349" i="40"/>
  <c r="HW349" i="40"/>
  <c r="HX349" i="40"/>
  <c r="HX448" i="40"/>
  <c r="HV448" i="40"/>
  <c r="HW448" i="40"/>
  <c r="JA448" i="40"/>
  <c r="JA251" i="40"/>
  <c r="HV251" i="40"/>
  <c r="HX251" i="40"/>
  <c r="HW251" i="40"/>
  <c r="HV449" i="40"/>
  <c r="HW449" i="40"/>
  <c r="HX449" i="40"/>
  <c r="JA449" i="40"/>
  <c r="JC348" i="40"/>
  <c r="JH449" i="40"/>
  <c r="JA347" i="40"/>
  <c r="HV347" i="40"/>
  <c r="HW347" i="40"/>
  <c r="HX347" i="40"/>
  <c r="HX548" i="40"/>
  <c r="HV548" i="40"/>
  <c r="HW548" i="40"/>
  <c r="JA548" i="40"/>
  <c r="JB448" i="40"/>
  <c r="JB548" i="40"/>
  <c r="JB547" i="40"/>
  <c r="JC248" i="40"/>
  <c r="JC448" i="40"/>
  <c r="JA246" i="40"/>
  <c r="HX246" i="40"/>
  <c r="HW246" i="40"/>
  <c r="HV246" i="40"/>
  <c r="JB249" i="40"/>
  <c r="HW546" i="40"/>
  <c r="HX546" i="40"/>
  <c r="HV546" i="40"/>
  <c r="JA546" i="40"/>
  <c r="JA345" i="40"/>
  <c r="HV345" i="40"/>
  <c r="HX345" i="40"/>
  <c r="HW345" i="40"/>
  <c r="HV447" i="40"/>
  <c r="HW447" i="40"/>
  <c r="HX447" i="40"/>
  <c r="JA447" i="40"/>
  <c r="JA248" i="40"/>
  <c r="HV248" i="40"/>
  <c r="HX248" i="40"/>
  <c r="HW248" i="40"/>
  <c r="HV445" i="40"/>
  <c r="HW445" i="40"/>
  <c r="HX445" i="40"/>
  <c r="JA445" i="40"/>
  <c r="JB343" i="40"/>
  <c r="JA343" i="40"/>
  <c r="HV343" i="40"/>
  <c r="HX343" i="40"/>
  <c r="HW343" i="40"/>
  <c r="HX443" i="40"/>
  <c r="HV443" i="40"/>
  <c r="HW443" i="40"/>
  <c r="JA443" i="40"/>
  <c r="JB443" i="40"/>
  <c r="JC341" i="40"/>
  <c r="JC544" i="40"/>
  <c r="JB541" i="40"/>
  <c r="JA340" i="40"/>
  <c r="HV340" i="40"/>
  <c r="HX340" i="40"/>
  <c r="HW340" i="40"/>
  <c r="JA243" i="40"/>
  <c r="HV243" i="40"/>
  <c r="HW243" i="40"/>
  <c r="HX243" i="40"/>
  <c r="HM541" i="40"/>
  <c r="HP541" i="40" s="1"/>
  <c r="JB540" i="40"/>
  <c r="JC442" i="40"/>
  <c r="HR243" i="40"/>
  <c r="HR643" i="40" s="1"/>
  <c r="HO643" i="40"/>
  <c r="JC241" i="40"/>
  <c r="JB240" i="40"/>
  <c r="JA339" i="40"/>
  <c r="HX339" i="40"/>
  <c r="HW339" i="40"/>
  <c r="HV339" i="40"/>
  <c r="JC539" i="40"/>
  <c r="HW338" i="40"/>
  <c r="HV338" i="40"/>
  <c r="HX338" i="40"/>
  <c r="JB339" i="40"/>
  <c r="JA238" i="40"/>
  <c r="HV238" i="40"/>
  <c r="HW238" i="40"/>
  <c r="HX238" i="40"/>
  <c r="JB538" i="40"/>
  <c r="JC239" i="40"/>
  <c r="JB238" i="40"/>
  <c r="HP238" i="40"/>
  <c r="HM439" i="40"/>
  <c r="HP439" i="40" s="1"/>
  <c r="HX437" i="40"/>
  <c r="HV437" i="40"/>
  <c r="HW437" i="40"/>
  <c r="JA437" i="40"/>
  <c r="JA335" i="40"/>
  <c r="HW335" i="40"/>
  <c r="HV335" i="40"/>
  <c r="HX335" i="40"/>
  <c r="HV537" i="40"/>
  <c r="HW537" i="40"/>
  <c r="HX537" i="40"/>
  <c r="JA537" i="40"/>
  <c r="JC537" i="40"/>
  <c r="JC436" i="40"/>
  <c r="JB436" i="40"/>
  <c r="HV236" i="40"/>
  <c r="HW236" i="40"/>
  <c r="HX236" i="40"/>
  <c r="HR235" i="40"/>
  <c r="HR635" i="40" s="1"/>
  <c r="HO635" i="40"/>
  <c r="HM235" i="40"/>
  <c r="JC435" i="40"/>
  <c r="HM535" i="40"/>
  <c r="HP535" i="40" s="1"/>
  <c r="JA333" i="40"/>
  <c r="HV333" i="40"/>
  <c r="HX333" i="40"/>
  <c r="HW333" i="40"/>
  <c r="HM432" i="40"/>
  <c r="HP432" i="40" s="1"/>
  <c r="JB435" i="40"/>
  <c r="JC331" i="40"/>
  <c r="HN432" i="40"/>
  <c r="HQ432" i="40" s="1"/>
  <c r="HV535" i="40"/>
  <c r="HW535" i="40"/>
  <c r="HX535" i="40"/>
  <c r="JA535" i="40"/>
  <c r="JB434" i="40"/>
  <c r="JB433" i="40"/>
  <c r="JB232" i="40"/>
  <c r="JB233" i="40"/>
  <c r="HV531" i="40"/>
  <c r="HW531" i="40"/>
  <c r="HX531" i="40"/>
  <c r="JA531" i="40"/>
  <c r="JA329" i="40"/>
  <c r="HV329" i="40"/>
  <c r="HW329" i="40"/>
  <c r="HX329" i="40"/>
  <c r="JB429" i="40"/>
  <c r="JA328" i="40"/>
  <c r="HW328" i="40"/>
  <c r="HX328" i="40"/>
  <c r="HV328" i="40"/>
  <c r="JC530" i="40"/>
  <c r="HV530" i="40"/>
  <c r="HW530" i="40"/>
  <c r="HX530" i="40"/>
  <c r="JA530" i="40"/>
  <c r="JB530" i="40"/>
  <c r="JC229" i="40"/>
  <c r="JB327" i="40"/>
  <c r="JC428" i="40"/>
  <c r="JA327" i="40"/>
  <c r="HW327" i="40"/>
  <c r="HX327" i="40"/>
  <c r="HV327" i="40"/>
  <c r="HW529" i="40"/>
  <c r="HX529" i="40"/>
  <c r="HV529" i="40"/>
  <c r="JA529" i="40"/>
  <c r="HQ229" i="40"/>
  <c r="HM527" i="40"/>
  <c r="HP527" i="40" s="1"/>
  <c r="JA325" i="40"/>
  <c r="HV325" i="40"/>
  <c r="HW325" i="40"/>
  <c r="HX325" i="40"/>
  <c r="HM326" i="40"/>
  <c r="HP326" i="40" s="1"/>
  <c r="JC228" i="40"/>
  <c r="JC325" i="40"/>
  <c r="JC326" i="40"/>
  <c r="HW426" i="40"/>
  <c r="HX426" i="40"/>
  <c r="HV426" i="40"/>
  <c r="JA426" i="40"/>
  <c r="HN228" i="40"/>
  <c r="JA326" i="40"/>
  <c r="HV326" i="40"/>
  <c r="HW326" i="40"/>
  <c r="HX326" i="40"/>
  <c r="JC425" i="40"/>
  <c r="HM526" i="40"/>
  <c r="HP526" i="40" s="1"/>
  <c r="JC324" i="40"/>
  <c r="JA227" i="40"/>
  <c r="HW227" i="40"/>
  <c r="HV227" i="40"/>
  <c r="HX227" i="40"/>
  <c r="JH425" i="40"/>
  <c r="HR225" i="40"/>
  <c r="HR625" i="40" s="1"/>
  <c r="HO625" i="40"/>
  <c r="HW424" i="40"/>
  <c r="HX424" i="40"/>
  <c r="HV424" i="40"/>
  <c r="JA424" i="40"/>
  <c r="HN524" i="40"/>
  <c r="HQ524" i="40" s="1"/>
  <c r="HN324" i="40"/>
  <c r="HQ324" i="40" s="1"/>
  <c r="JB424" i="40"/>
  <c r="HN323" i="40"/>
  <c r="HQ323" i="40" s="1"/>
  <c r="HX523" i="40"/>
  <c r="HV523" i="40"/>
  <c r="HW523" i="40"/>
  <c r="JA523" i="40"/>
  <c r="JC423" i="40"/>
  <c r="JB322" i="40"/>
  <c r="JB223" i="40"/>
  <c r="JC223" i="40"/>
  <c r="HP223" i="40"/>
  <c r="HM523" i="40"/>
  <c r="HP523" i="40" s="1"/>
  <c r="JB422" i="40"/>
  <c r="JA225" i="40"/>
  <c r="HM423" i="40"/>
  <c r="HP423" i="40" s="1"/>
  <c r="JA321" i="40"/>
  <c r="HX321" i="40"/>
  <c r="HV321" i="40"/>
  <c r="HW321" i="40"/>
  <c r="HN222" i="40"/>
  <c r="JA221" i="40"/>
  <c r="HW221" i="40"/>
  <c r="HV221" i="40"/>
  <c r="HX221" i="40"/>
  <c r="JB319" i="40"/>
  <c r="JB220" i="40"/>
  <c r="HN221" i="40"/>
  <c r="JB222" i="40"/>
  <c r="HN220" i="40"/>
  <c r="HN521" i="40"/>
  <c r="HQ521" i="40" s="1"/>
  <c r="JA319" i="40"/>
  <c r="HW319" i="40"/>
  <c r="HX319" i="40"/>
  <c r="HV319" i="40"/>
  <c r="JC319" i="40"/>
  <c r="HM221" i="40"/>
  <c r="JB418" i="40"/>
  <c r="HM418" i="40"/>
  <c r="HP418" i="40" s="1"/>
  <c r="HP217" i="40"/>
  <c r="JA220" i="40"/>
  <c r="HW220" i="40"/>
  <c r="HV220" i="40"/>
  <c r="HX220" i="40"/>
  <c r="HP219" i="40"/>
  <c r="HN519" i="40"/>
  <c r="HQ519" i="40" s="1"/>
  <c r="JC418" i="40"/>
  <c r="HM518" i="40"/>
  <c r="HP518" i="40" s="1"/>
  <c r="JC516" i="40"/>
  <c r="JB315" i="40"/>
  <c r="JB217" i="40"/>
  <c r="HX416" i="40"/>
  <c r="HV416" i="40"/>
  <c r="HW416" i="40"/>
  <c r="JA416" i="40"/>
  <c r="JC216" i="40"/>
  <c r="JC314" i="40"/>
  <c r="HR216" i="40"/>
  <c r="HR616" i="40" s="1"/>
  <c r="HO616" i="40"/>
  <c r="HV215" i="40"/>
  <c r="HX215" i="40"/>
  <c r="HW215" i="40"/>
  <c r="HN216" i="40"/>
  <c r="HR215" i="40"/>
  <c r="HR615" i="40" s="1"/>
  <c r="HO615" i="40"/>
  <c r="HX513" i="40"/>
  <c r="HW513" i="40"/>
  <c r="HV513" i="40"/>
  <c r="JA513" i="40"/>
  <c r="HR214" i="40"/>
  <c r="HR614" i="40" s="1"/>
  <c r="HO614" i="40"/>
  <c r="JB214" i="40"/>
  <c r="JC214" i="40"/>
  <c r="JC513" i="40"/>
  <c r="JC312" i="40"/>
  <c r="JC512" i="40"/>
  <c r="HM212" i="40"/>
  <c r="HX511" i="40"/>
  <c r="HW511" i="40"/>
  <c r="HV511" i="40"/>
  <c r="JA511" i="40"/>
  <c r="JC411" i="40"/>
  <c r="HW411" i="40"/>
  <c r="HX411" i="40"/>
  <c r="HV411" i="40"/>
  <c r="JA411" i="40"/>
  <c r="HM511" i="40"/>
  <c r="HP511" i="40" s="1"/>
  <c r="JA210" i="40"/>
  <c r="HV210" i="40"/>
  <c r="HW210" i="40"/>
  <c r="HX210" i="40"/>
  <c r="HX410" i="40"/>
  <c r="HV410" i="40"/>
  <c r="HW410" i="40"/>
  <c r="JA410" i="40"/>
  <c r="JB512" i="40"/>
  <c r="HR210" i="40"/>
  <c r="HR610" i="40" s="1"/>
  <c r="HO610" i="40"/>
  <c r="JB209" i="40"/>
  <c r="JC308" i="40"/>
  <c r="HV508" i="40"/>
  <c r="HX508" i="40"/>
  <c r="JA508" i="40"/>
  <c r="HW508" i="40"/>
  <c r="HM210" i="40"/>
  <c r="HN508" i="40"/>
  <c r="HQ508" i="40" s="1"/>
  <c r="HX409" i="40"/>
  <c r="HW409" i="40"/>
  <c r="HV409" i="40"/>
  <c r="JA409" i="40"/>
  <c r="HN509" i="40"/>
  <c r="HQ509" i="40" s="1"/>
  <c r="JC409" i="40"/>
  <c r="JC507" i="40"/>
  <c r="HP201" i="40"/>
  <c r="JC307" i="40"/>
  <c r="HX506" i="40"/>
  <c r="JA506" i="40"/>
  <c r="HW506" i="40"/>
  <c r="HV506" i="40"/>
  <c r="HO601" i="40"/>
  <c r="HO701" i="40" s="1"/>
  <c r="HR201" i="40"/>
  <c r="HR203" i="40"/>
  <c r="HN208" i="40"/>
  <c r="JB307" i="40"/>
  <c r="HX407" i="40"/>
  <c r="HW407" i="40"/>
  <c r="HV407" i="40"/>
  <c r="JA407" i="40"/>
  <c r="HR206" i="40"/>
  <c r="JB407" i="40"/>
  <c r="JC306" i="40"/>
  <c r="HX207" i="40"/>
  <c r="HV207" i="40"/>
  <c r="HW207" i="40"/>
  <c r="JC304" i="40"/>
  <c r="HN207" i="40"/>
  <c r="JA207" i="40"/>
  <c r="JC202" i="40"/>
  <c r="HQ202" i="40"/>
  <c r="HN602" i="40"/>
  <c r="HX305" i="40"/>
  <c r="HW305" i="40"/>
  <c r="HV305" i="40"/>
  <c r="JA305" i="40"/>
  <c r="HM507" i="40"/>
  <c r="HP507" i="40" s="1"/>
  <c r="HX402" i="40"/>
  <c r="HW402" i="40"/>
  <c r="HV402" i="40"/>
  <c r="JA402" i="40"/>
  <c r="JA205" i="40"/>
  <c r="HX205" i="40"/>
  <c r="HW205" i="40"/>
  <c r="HV205" i="40"/>
  <c r="JC502" i="40"/>
  <c r="JB303" i="40"/>
  <c r="JC302" i="40"/>
  <c r="JB505" i="40"/>
  <c r="HV501" i="40"/>
  <c r="JA501" i="40"/>
  <c r="L11" i="61" s="1"/>
  <c r="Y11" i="61" s="1"/>
  <c r="HW501" i="40"/>
  <c r="HX501" i="40"/>
  <c r="HX404" i="40"/>
  <c r="HV404" i="40"/>
  <c r="JA404" i="40"/>
  <c r="HW404" i="40"/>
  <c r="AA58" i="59"/>
  <c r="Z58" i="59"/>
  <c r="JH401" i="40" l="1"/>
  <c r="JH308" i="40"/>
  <c r="JH436" i="40"/>
  <c r="JZ503" i="40"/>
  <c r="JH419" i="40"/>
  <c r="JH531" i="40"/>
  <c r="JH562" i="40"/>
  <c r="HN658" i="40"/>
  <c r="JH476" i="40"/>
  <c r="HR680" i="40"/>
  <c r="HR602" i="40"/>
  <c r="JH503" i="40"/>
  <c r="HM603" i="40"/>
  <c r="JH459" i="40"/>
  <c r="HO679" i="40"/>
  <c r="JH452" i="40"/>
  <c r="JH406" i="40"/>
  <c r="KA406" i="40" s="1"/>
  <c r="JH321" i="40"/>
  <c r="JH363" i="40"/>
  <c r="JH347" i="40"/>
  <c r="JH576" i="40"/>
  <c r="JH316" i="40"/>
  <c r="JH328" i="40"/>
  <c r="JH558" i="40"/>
  <c r="JH434" i="40"/>
  <c r="JH377" i="40"/>
  <c r="AS18" i="67"/>
  <c r="HM666" i="40"/>
  <c r="HO602" i="40"/>
  <c r="JH313" i="40"/>
  <c r="JH352" i="40"/>
  <c r="JH504" i="40"/>
  <c r="HM634" i="40"/>
  <c r="JH475" i="40"/>
  <c r="JH457" i="40"/>
  <c r="JH353" i="40"/>
  <c r="JH536" i="40"/>
  <c r="JH502" i="40"/>
  <c r="JZ304" i="40"/>
  <c r="KA304" i="40" s="1"/>
  <c r="JH370" i="40"/>
  <c r="JH501" i="40"/>
  <c r="JH402" i="40"/>
  <c r="JZ303" i="40"/>
  <c r="HW622" i="40"/>
  <c r="AU18" i="67"/>
  <c r="AU18" i="66"/>
  <c r="HO603" i="40"/>
  <c r="HM601" i="40"/>
  <c r="HM701" i="40" s="1"/>
  <c r="JH303" i="40"/>
  <c r="HR603" i="40"/>
  <c r="JH362" i="40"/>
  <c r="JH417" i="40"/>
  <c r="JH367" i="40"/>
  <c r="JH414" i="40"/>
  <c r="JH549" i="40"/>
  <c r="JH571" i="40"/>
  <c r="JH555" i="40"/>
  <c r="JH405" i="40"/>
  <c r="JH403" i="40"/>
  <c r="JZ505" i="40"/>
  <c r="HW606" i="40"/>
  <c r="HM658" i="40"/>
  <c r="HX622" i="40"/>
  <c r="HN604" i="40"/>
  <c r="JH465" i="40"/>
  <c r="JH525" i="40"/>
  <c r="JH344" i="40"/>
  <c r="JH433" i="40"/>
  <c r="JH381" i="40"/>
  <c r="JH330" i="40"/>
  <c r="JH302" i="40"/>
  <c r="HO606" i="40"/>
  <c r="HX631" i="40"/>
  <c r="HM602" i="40"/>
  <c r="HN657" i="40"/>
  <c r="JZ403" i="40"/>
  <c r="JH505" i="40"/>
  <c r="HR606" i="40"/>
  <c r="HM605" i="40"/>
  <c r="HX606" i="40"/>
  <c r="JZ504" i="40"/>
  <c r="HN603" i="40"/>
  <c r="HW618" i="40"/>
  <c r="JH420" i="40"/>
  <c r="JH520" i="40"/>
  <c r="JH331" i="40"/>
  <c r="JH325" i="40"/>
  <c r="HO605" i="40"/>
  <c r="HM617" i="40"/>
  <c r="JH441" i="40"/>
  <c r="HM647" i="40"/>
  <c r="JH350" i="40"/>
  <c r="HX630" i="40"/>
  <c r="HN615" i="40"/>
  <c r="HM619" i="40"/>
  <c r="HM628" i="40"/>
  <c r="JH550" i="40"/>
  <c r="JH373" i="40"/>
  <c r="JH446" i="40"/>
  <c r="JH440" i="40"/>
  <c r="JH369" i="40"/>
  <c r="HM645" i="40"/>
  <c r="JH346" i="40"/>
  <c r="JH466" i="40"/>
  <c r="JH478" i="40"/>
  <c r="JH581" i="40"/>
  <c r="JH563" i="40"/>
  <c r="JH319" i="40"/>
  <c r="HR604" i="40"/>
  <c r="JH320" i="40"/>
  <c r="JH559" i="40"/>
  <c r="HN629" i="40"/>
  <c r="HM631" i="40"/>
  <c r="JH579" i="40"/>
  <c r="JH357" i="40"/>
  <c r="JH404" i="40"/>
  <c r="HW685" i="40"/>
  <c r="HN636" i="40"/>
  <c r="HX677" i="40"/>
  <c r="HW613" i="40"/>
  <c r="HW666" i="40"/>
  <c r="JH451" i="40"/>
  <c r="JH447" i="40"/>
  <c r="HM648" i="40"/>
  <c r="JH560" i="40"/>
  <c r="HM656" i="40"/>
  <c r="JH464" i="40"/>
  <c r="JH522" i="40"/>
  <c r="JH566" i="40"/>
  <c r="JH468" i="40"/>
  <c r="JH515" i="40"/>
  <c r="JZ305" i="40"/>
  <c r="JH332" i="40"/>
  <c r="JH301" i="40"/>
  <c r="JH366" i="40"/>
  <c r="JH582" i="40"/>
  <c r="HW686" i="40"/>
  <c r="JH584" i="40"/>
  <c r="JH305" i="40"/>
  <c r="HX641" i="40"/>
  <c r="HM677" i="40"/>
  <c r="JZ404" i="40"/>
  <c r="JH411" i="40"/>
  <c r="HO604" i="40"/>
  <c r="HN668" i="40"/>
  <c r="HW683" i="40"/>
  <c r="HW630" i="40"/>
  <c r="HW631" i="40"/>
  <c r="HM653" i="40"/>
  <c r="HX618" i="40"/>
  <c r="HW641" i="40"/>
  <c r="HN605" i="40"/>
  <c r="HM604" i="40"/>
  <c r="HN645" i="40"/>
  <c r="HW601" i="40"/>
  <c r="HW701" i="40" s="1"/>
  <c r="HX613" i="40"/>
  <c r="HM651" i="40"/>
  <c r="HX674" i="40"/>
  <c r="HM675" i="40"/>
  <c r="HX685" i="40"/>
  <c r="JJ587" i="40"/>
  <c r="JZ405" i="40"/>
  <c r="JJ485" i="40"/>
  <c r="JJ487" i="40"/>
  <c r="JJ582" i="40"/>
  <c r="JH485" i="40"/>
  <c r="JJ384" i="40"/>
  <c r="JJ482" i="40"/>
  <c r="JJ283" i="40"/>
  <c r="HV683" i="40"/>
  <c r="JJ386" i="40"/>
  <c r="HP287" i="40"/>
  <c r="HM687" i="40"/>
  <c r="JJ383" i="40"/>
  <c r="HQ283" i="40"/>
  <c r="HN683" i="40"/>
  <c r="HW684" i="40"/>
  <c r="HP285" i="40"/>
  <c r="HM685" i="40"/>
  <c r="HQ282" i="40"/>
  <c r="HN682" i="40"/>
  <c r="JJ583" i="40"/>
  <c r="HQ284" i="40"/>
  <c r="HN684" i="40"/>
  <c r="HR286" i="40"/>
  <c r="HO686" i="40"/>
  <c r="JJ382" i="40"/>
  <c r="JJ285" i="40"/>
  <c r="HV685" i="40"/>
  <c r="JH483" i="40"/>
  <c r="JJ484" i="40"/>
  <c r="JH587" i="40"/>
  <c r="HP283" i="40"/>
  <c r="HM683" i="40"/>
  <c r="JH486" i="40"/>
  <c r="HR285" i="40"/>
  <c r="HO685" i="40"/>
  <c r="HR282" i="40"/>
  <c r="HO682" i="40"/>
  <c r="HW682" i="40"/>
  <c r="JH383" i="40"/>
  <c r="HP284" i="40"/>
  <c r="HM684" i="40"/>
  <c r="JH586" i="40"/>
  <c r="HQ286" i="40"/>
  <c r="HN686" i="40"/>
  <c r="JH487" i="40"/>
  <c r="JH484" i="40"/>
  <c r="JH386" i="40"/>
  <c r="JJ387" i="40"/>
  <c r="HQ287" i="40"/>
  <c r="HN687" i="40"/>
  <c r="HQ285" i="40"/>
  <c r="HN685" i="40"/>
  <c r="HX687" i="40"/>
  <c r="HP282" i="40"/>
  <c r="HM682" i="40"/>
  <c r="JJ282" i="40"/>
  <c r="HV682" i="40"/>
  <c r="JH384" i="40"/>
  <c r="JJ486" i="40"/>
  <c r="HP286" i="40"/>
  <c r="HM686" i="40"/>
  <c r="JH387" i="40"/>
  <c r="HN667" i="40"/>
  <c r="JH585" i="40"/>
  <c r="JJ586" i="40"/>
  <c r="JJ385" i="40"/>
  <c r="JJ286" i="40"/>
  <c r="HV686" i="40"/>
  <c r="HX686" i="40"/>
  <c r="JH482" i="40"/>
  <c r="JH583" i="40"/>
  <c r="HX683" i="40"/>
  <c r="HR287" i="40"/>
  <c r="HO687" i="40"/>
  <c r="HR283" i="40"/>
  <c r="HO683" i="40"/>
  <c r="HX684" i="40"/>
  <c r="JJ284" i="40"/>
  <c r="HV684" i="40"/>
  <c r="JJ585" i="40"/>
  <c r="JH385" i="40"/>
  <c r="JJ287" i="40"/>
  <c r="HV687" i="40"/>
  <c r="HW687" i="40"/>
  <c r="JH382" i="40"/>
  <c r="HX682" i="40"/>
  <c r="JJ483" i="40"/>
  <c r="JJ584" i="40"/>
  <c r="HR284" i="40"/>
  <c r="HO684" i="40"/>
  <c r="HX637" i="40"/>
  <c r="HX666" i="40"/>
  <c r="HN673" i="40"/>
  <c r="JJ569" i="40"/>
  <c r="AU18" i="69"/>
  <c r="HM638" i="40"/>
  <c r="HM642" i="40"/>
  <c r="HW660" i="40"/>
  <c r="HW674" i="40"/>
  <c r="HM669" i="40"/>
  <c r="HM671" i="40"/>
  <c r="HX679" i="40"/>
  <c r="AS18" i="68"/>
  <c r="HW608" i="40"/>
  <c r="HW623" i="40"/>
  <c r="HN639" i="40"/>
  <c r="JJ436" i="40"/>
  <c r="JJ373" i="40"/>
  <c r="HX608" i="40"/>
  <c r="HX623" i="40"/>
  <c r="HN653" i="40"/>
  <c r="HX660" i="40"/>
  <c r="AT18" i="69"/>
  <c r="JJ566" i="40"/>
  <c r="JJ369" i="40"/>
  <c r="JJ579" i="40"/>
  <c r="JJ577" i="40"/>
  <c r="JJ357" i="40"/>
  <c r="HX635" i="40"/>
  <c r="HW646" i="40"/>
  <c r="JJ525" i="40"/>
  <c r="JJ526" i="40"/>
  <c r="JJ508" i="40"/>
  <c r="JJ410" i="40"/>
  <c r="JJ426" i="40"/>
  <c r="JJ419" i="40"/>
  <c r="AT18" i="67"/>
  <c r="JJ362" i="40"/>
  <c r="JJ509" i="40"/>
  <c r="HN671" i="40"/>
  <c r="JJ530" i="40"/>
  <c r="JJ507" i="40"/>
  <c r="JJ514" i="40"/>
  <c r="JJ455" i="40"/>
  <c r="JJ563" i="40"/>
  <c r="JJ377" i="40"/>
  <c r="JJ521" i="40"/>
  <c r="JJ322" i="40"/>
  <c r="JJ431" i="40"/>
  <c r="JJ366" i="40"/>
  <c r="JJ411" i="40"/>
  <c r="JJ339" i="40"/>
  <c r="JJ324" i="40"/>
  <c r="HW632" i="40"/>
  <c r="JJ541" i="40"/>
  <c r="HM667" i="40"/>
  <c r="JJ475" i="40"/>
  <c r="JJ323" i="40"/>
  <c r="JJ331" i="40"/>
  <c r="JJ433" i="40"/>
  <c r="JJ456" i="40"/>
  <c r="JJ466" i="40"/>
  <c r="JJ467" i="40"/>
  <c r="JJ412" i="40"/>
  <c r="JJ540" i="40"/>
  <c r="JJ557" i="40"/>
  <c r="JJ506" i="40"/>
  <c r="JJ511" i="40"/>
  <c r="JJ513" i="40"/>
  <c r="HW637" i="40"/>
  <c r="HX646" i="40"/>
  <c r="JJ313" i="40"/>
  <c r="JJ567" i="40"/>
  <c r="HW681" i="40"/>
  <c r="JJ316" i="40"/>
  <c r="JJ435" i="40"/>
  <c r="JJ314" i="40"/>
  <c r="JJ317" i="40"/>
  <c r="JJ425" i="40"/>
  <c r="JJ454" i="40"/>
  <c r="JJ464" i="40"/>
  <c r="JJ572" i="40"/>
  <c r="JJ478" i="40"/>
  <c r="HM623" i="40"/>
  <c r="JJ517" i="40"/>
  <c r="JJ576" i="40"/>
  <c r="JJ402" i="40"/>
  <c r="JJ404" i="40"/>
  <c r="HX611" i="40"/>
  <c r="JJ416" i="40"/>
  <c r="HN623" i="40"/>
  <c r="JJ529" i="40"/>
  <c r="JJ328" i="40"/>
  <c r="HW635" i="40"/>
  <c r="HW648" i="40"/>
  <c r="JJ355" i="40"/>
  <c r="JJ469" i="40"/>
  <c r="JJ504" i="40"/>
  <c r="HX632" i="40"/>
  <c r="JJ534" i="40"/>
  <c r="HW668" i="40"/>
  <c r="JJ542" i="40"/>
  <c r="JJ450" i="40"/>
  <c r="JJ554" i="40"/>
  <c r="JJ559" i="40"/>
  <c r="JJ564" i="40"/>
  <c r="HW677" i="40"/>
  <c r="JJ301" i="40"/>
  <c r="JJ505" i="40"/>
  <c r="JJ578" i="40"/>
  <c r="JJ463" i="40"/>
  <c r="JJ501" i="40"/>
  <c r="JH507" i="40"/>
  <c r="JJ407" i="40"/>
  <c r="JZ205" i="40"/>
  <c r="HR605" i="40"/>
  <c r="JH418" i="40"/>
  <c r="JJ319" i="40"/>
  <c r="HQ221" i="40"/>
  <c r="HN621" i="40"/>
  <c r="JH521" i="40"/>
  <c r="JJ221" i="40"/>
  <c r="HV621" i="40"/>
  <c r="HQ222" i="40"/>
  <c r="HN622" i="40"/>
  <c r="JJ321" i="40"/>
  <c r="JH423" i="40"/>
  <c r="JH523" i="40"/>
  <c r="JJ424" i="40"/>
  <c r="JJ326" i="40"/>
  <c r="JJ325" i="40"/>
  <c r="JH527" i="40"/>
  <c r="HW629" i="40"/>
  <c r="JJ535" i="40"/>
  <c r="JJ333" i="40"/>
  <c r="JJ236" i="40"/>
  <c r="HV636" i="40"/>
  <c r="JJ437" i="40"/>
  <c r="JH238" i="40"/>
  <c r="HP638" i="40"/>
  <c r="JJ243" i="40"/>
  <c r="HV643" i="40"/>
  <c r="JJ445" i="40"/>
  <c r="JJ248" i="40"/>
  <c r="HV648" i="40"/>
  <c r="JJ546" i="40"/>
  <c r="JJ347" i="40"/>
  <c r="JJ448" i="40"/>
  <c r="HP651" i="40"/>
  <c r="JJ253" i="40"/>
  <c r="HV653" i="40"/>
  <c r="JJ457" i="40"/>
  <c r="JJ259" i="40"/>
  <c r="HV659" i="40"/>
  <c r="JJ302" i="40"/>
  <c r="AT18" i="66"/>
  <c r="HX601" i="40"/>
  <c r="HX701" i="40" s="1"/>
  <c r="HM606" i="40"/>
  <c r="JH508" i="40"/>
  <c r="JH209" i="40"/>
  <c r="HP609" i="40"/>
  <c r="JJ211" i="40"/>
  <c r="HV611" i="40"/>
  <c r="HM613" i="40"/>
  <c r="HQ214" i="40"/>
  <c r="JH214" i="40" s="1"/>
  <c r="HN614" i="40"/>
  <c r="HX615" i="40"/>
  <c r="JJ516" i="40"/>
  <c r="HN619" i="40"/>
  <c r="JJ320" i="40"/>
  <c r="HP624" i="40"/>
  <c r="HW625" i="40"/>
  <c r="HW626" i="40"/>
  <c r="JJ527" i="40"/>
  <c r="JH529" i="40"/>
  <c r="HQ232" i="40"/>
  <c r="JH232" i="40" s="1"/>
  <c r="HN632" i="40"/>
  <c r="HW634" i="40"/>
  <c r="JJ334" i="40"/>
  <c r="JJ237" i="40"/>
  <c r="HV637" i="40"/>
  <c r="JH437" i="40"/>
  <c r="JJ539" i="40"/>
  <c r="HQ244" i="40"/>
  <c r="HN644" i="40"/>
  <c r="JJ444" i="40"/>
  <c r="JH544" i="40"/>
  <c r="JJ446" i="40"/>
  <c r="JJ247" i="40"/>
  <c r="HV647" i="40"/>
  <c r="JJ348" i="40"/>
  <c r="HQ251" i="40"/>
  <c r="HN651" i="40"/>
  <c r="JJ551" i="40"/>
  <c r="JJ257" i="40"/>
  <c r="HV657" i="40"/>
  <c r="HP257" i="40"/>
  <c r="HM657" i="40"/>
  <c r="JJ263" i="40"/>
  <c r="HV663" i="40"/>
  <c r="HP262" i="40"/>
  <c r="HM662" i="40"/>
  <c r="JJ363" i="40"/>
  <c r="HX668" i="40"/>
  <c r="JJ368" i="40"/>
  <c r="JH568" i="40"/>
  <c r="JH269" i="40"/>
  <c r="HP669" i="40"/>
  <c r="JJ570" i="40"/>
  <c r="HP274" i="40"/>
  <c r="HM674" i="40"/>
  <c r="JH578" i="40"/>
  <c r="JJ378" i="40"/>
  <c r="HW679" i="40"/>
  <c r="JJ280" i="40"/>
  <c r="HV680" i="40"/>
  <c r="JJ358" i="40"/>
  <c r="JH277" i="40"/>
  <c r="HP677" i="40"/>
  <c r="JJ379" i="40"/>
  <c r="AS18" i="69"/>
  <c r="AS18" i="66"/>
  <c r="JJ405" i="40"/>
  <c r="HX607" i="40"/>
  <c r="JZ204" i="40"/>
  <c r="HQ604" i="40"/>
  <c r="HP608" i="40"/>
  <c r="HX609" i="40"/>
  <c r="HN613" i="40"/>
  <c r="JJ214" i="40"/>
  <c r="HV614" i="40"/>
  <c r="JJ312" i="40"/>
  <c r="HW614" i="40"/>
  <c r="JH215" i="40"/>
  <c r="HP615" i="40"/>
  <c r="JH416" i="40"/>
  <c r="JJ519" i="40"/>
  <c r="JH317" i="40"/>
  <c r="HP222" i="40"/>
  <c r="HM622" i="40"/>
  <c r="JJ420" i="40"/>
  <c r="HW620" i="40"/>
  <c r="JJ522" i="40"/>
  <c r="JJ524" i="40"/>
  <c r="JH426" i="40"/>
  <c r="HW628" i="40"/>
  <c r="JJ428" i="40"/>
  <c r="HN631" i="40"/>
  <c r="HP632" i="40"/>
  <c r="HW636" i="40"/>
  <c r="HQ637" i="40"/>
  <c r="JH338" i="40"/>
  <c r="HX644" i="40"/>
  <c r="HW645" i="40"/>
  <c r="HX647" i="40"/>
  <c r="HP250" i="40"/>
  <c r="HM650" i="40"/>
  <c r="JH450" i="40"/>
  <c r="HQ656" i="40"/>
  <c r="JH356" i="40"/>
  <c r="HW659" i="40"/>
  <c r="JJ462" i="40"/>
  <c r="JJ269" i="40"/>
  <c r="HV669" i="40"/>
  <c r="HN670" i="40"/>
  <c r="HQ671" i="40"/>
  <c r="JH470" i="40"/>
  <c r="JJ573" i="40"/>
  <c r="JH480" i="40"/>
  <c r="JJ380" i="40"/>
  <c r="KT147" i="40"/>
  <c r="KU146" i="40"/>
  <c r="I60" i="70" s="1"/>
  <c r="HX661" i="40"/>
  <c r="HQ664" i="40"/>
  <c r="JH569" i="40"/>
  <c r="JJ272" i="40"/>
  <c r="HV672" i="40"/>
  <c r="HX671" i="40"/>
  <c r="HW603" i="40"/>
  <c r="M8" i="61"/>
  <c r="Z8" i="61" s="1"/>
  <c r="HW605" i="40"/>
  <c r="JJ206" i="40"/>
  <c r="HV606" i="40"/>
  <c r="JJ306" i="40"/>
  <c r="HN609" i="40"/>
  <c r="JJ209" i="40"/>
  <c r="HV609" i="40"/>
  <c r="JJ510" i="40"/>
  <c r="JH510" i="40"/>
  <c r="JJ512" i="40"/>
  <c r="HX617" i="40"/>
  <c r="JJ318" i="40"/>
  <c r="JH218" i="40"/>
  <c r="HP618" i="40"/>
  <c r="HX621" i="40"/>
  <c r="JH323" i="40"/>
  <c r="JH227" i="40"/>
  <c r="HP627" i="40"/>
  <c r="JH327" i="40"/>
  <c r="JJ533" i="40"/>
  <c r="JJ234" i="40"/>
  <c r="HV634" i="40"/>
  <c r="JH334" i="40"/>
  <c r="JH236" i="40"/>
  <c r="HP636" i="40"/>
  <c r="JH335" i="40"/>
  <c r="JJ336" i="40"/>
  <c r="JJ240" i="40"/>
  <c r="HV640" i="40"/>
  <c r="HX640" i="40"/>
  <c r="HQ241" i="40"/>
  <c r="HN641" i="40"/>
  <c r="JJ441" i="40"/>
  <c r="HW643" i="40"/>
  <c r="JH445" i="40"/>
  <c r="HQ648" i="40"/>
  <c r="JJ344" i="40"/>
  <c r="JJ549" i="40"/>
  <c r="HW650" i="40"/>
  <c r="HX652" i="40"/>
  <c r="HQ255" i="40"/>
  <c r="HN655" i="40"/>
  <c r="JJ556" i="40"/>
  <c r="JJ356" i="40"/>
  <c r="JJ458" i="40"/>
  <c r="HX657" i="40"/>
  <c r="HM660" i="40"/>
  <c r="HN661" i="40"/>
  <c r="HX662" i="40"/>
  <c r="HM664" i="40"/>
  <c r="JJ268" i="40"/>
  <c r="HV668" i="40"/>
  <c r="HX669" i="40"/>
  <c r="HW672" i="40"/>
  <c r="HW676" i="40"/>
  <c r="JH278" i="40"/>
  <c r="HP678" i="40"/>
  <c r="JH479" i="40"/>
  <c r="HQ662" i="40"/>
  <c r="HX675" i="40"/>
  <c r="JJ278" i="40"/>
  <c r="HV678" i="40"/>
  <c r="HN677" i="40"/>
  <c r="HQ208" i="40"/>
  <c r="HN608" i="40"/>
  <c r="JH203" i="40"/>
  <c r="JZ203" i="40"/>
  <c r="HP603" i="40"/>
  <c r="JH511" i="40"/>
  <c r="HP212" i="40"/>
  <c r="HM612" i="40"/>
  <c r="HQ220" i="40"/>
  <c r="HN620" i="40"/>
  <c r="JJ227" i="40"/>
  <c r="HV627" i="40"/>
  <c r="JH526" i="40"/>
  <c r="JH231" i="40"/>
  <c r="HP631" i="40"/>
  <c r="HP235" i="40"/>
  <c r="HM635" i="40"/>
  <c r="HQ653" i="40"/>
  <c r="JH256" i="40"/>
  <c r="HP656" i="40"/>
  <c r="JH656" i="40" s="1"/>
  <c r="HV604" i="40"/>
  <c r="JJ204" i="40"/>
  <c r="HM607" i="40"/>
  <c r="JH206" i="40"/>
  <c r="KA206" i="40" s="1"/>
  <c r="HP606" i="40"/>
  <c r="JH409" i="40"/>
  <c r="HQ212" i="40"/>
  <c r="HN612" i="40"/>
  <c r="JH213" i="40"/>
  <c r="HP613" i="40"/>
  <c r="JH413" i="40"/>
  <c r="HW615" i="40"/>
  <c r="HW616" i="40"/>
  <c r="JJ219" i="40"/>
  <c r="HV619" i="40"/>
  <c r="HQ619" i="40"/>
  <c r="JH322" i="40"/>
  <c r="HQ230" i="40"/>
  <c r="JH230" i="40" s="1"/>
  <c r="HN630" i="40"/>
  <c r="JH429" i="40"/>
  <c r="JH431" i="40"/>
  <c r="HQ234" i="40"/>
  <c r="JH234" i="40" s="1"/>
  <c r="HN634" i="40"/>
  <c r="JH333" i="40"/>
  <c r="JH538" i="40"/>
  <c r="HX639" i="40"/>
  <c r="JH245" i="40"/>
  <c r="HP645" i="40"/>
  <c r="JH247" i="40"/>
  <c r="HP647" i="40"/>
  <c r="HP252" i="40"/>
  <c r="HM652" i="40"/>
  <c r="HX651" i="40"/>
  <c r="HX653" i="40"/>
  <c r="JJ255" i="40"/>
  <c r="HV655" i="40"/>
  <c r="JH258" i="40"/>
  <c r="HP658" i="40"/>
  <c r="HQ657" i="40"/>
  <c r="JH561" i="40"/>
  <c r="HP666" i="40"/>
  <c r="HQ272" i="40"/>
  <c r="HN672" i="40"/>
  <c r="HW670" i="40"/>
  <c r="JH372" i="40"/>
  <c r="JH472" i="40"/>
  <c r="HX602" i="40"/>
  <c r="HQ605" i="40"/>
  <c r="JH204" i="40"/>
  <c r="HP604" i="40"/>
  <c r="HQ606" i="40"/>
  <c r="HQ613" i="40"/>
  <c r="JH415" i="40"/>
  <c r="JJ224" i="40"/>
  <c r="HV624" i="40"/>
  <c r="HW624" i="40"/>
  <c r="HX628" i="40"/>
  <c r="JH528" i="40"/>
  <c r="HQ631" i="40"/>
  <c r="HM633" i="40"/>
  <c r="JH336" i="40"/>
  <c r="JH337" i="40"/>
  <c r="HW638" i="40"/>
  <c r="JJ242" i="40"/>
  <c r="HV642" i="40"/>
  <c r="JJ440" i="40"/>
  <c r="HX642" i="40"/>
  <c r="JJ545" i="40"/>
  <c r="HN647" i="40"/>
  <c r="HP249" i="40"/>
  <c r="HM649" i="40"/>
  <c r="JJ451" i="40"/>
  <c r="HQ254" i="40"/>
  <c r="HN654" i="40"/>
  <c r="JJ254" i="40"/>
  <c r="HV654" i="40"/>
  <c r="HP255" i="40"/>
  <c r="HM655" i="40"/>
  <c r="JJ354" i="40"/>
  <c r="JJ558" i="40"/>
  <c r="HX663" i="40"/>
  <c r="JH463" i="40"/>
  <c r="JJ264" i="40"/>
  <c r="HV664" i="40"/>
  <c r="HW664" i="40"/>
  <c r="JH364" i="40"/>
  <c r="HQ670" i="40"/>
  <c r="HP272" i="40"/>
  <c r="HM672" i="40"/>
  <c r="JJ271" i="40"/>
  <c r="HV671" i="40"/>
  <c r="JH471" i="40"/>
  <c r="HQ274" i="40"/>
  <c r="HN674" i="40"/>
  <c r="JJ273" i="40"/>
  <c r="HV673" i="40"/>
  <c r="JJ472" i="40"/>
  <c r="JJ474" i="40"/>
  <c r="JH474" i="40"/>
  <c r="HQ281" i="40"/>
  <c r="HN681" i="40"/>
  <c r="HW680" i="40"/>
  <c r="JJ561" i="40"/>
  <c r="HN665" i="40"/>
  <c r="JJ265" i="40"/>
  <c r="HV665" i="40"/>
  <c r="JJ571" i="40"/>
  <c r="JH371" i="40"/>
  <c r="JJ277" i="40"/>
  <c r="HV677" i="40"/>
  <c r="HR679" i="40"/>
  <c r="HX603" i="40"/>
  <c r="HX605" i="40"/>
  <c r="JJ408" i="40"/>
  <c r="HQ609" i="40"/>
  <c r="HW610" i="40"/>
  <c r="JH410" i="40"/>
  <c r="HP211" i="40"/>
  <c r="HM611" i="40"/>
  <c r="HX612" i="40"/>
  <c r="JJ311" i="40"/>
  <c r="JJ414" i="40"/>
  <c r="HW617" i="40"/>
  <c r="JJ422" i="40"/>
  <c r="JJ427" i="40"/>
  <c r="HM630" i="40"/>
  <c r="JJ230" i="40"/>
  <c r="HV630" i="40"/>
  <c r="JJ430" i="40"/>
  <c r="HN633" i="40"/>
  <c r="JH534" i="40"/>
  <c r="HM637" i="40"/>
  <c r="JH339" i="40"/>
  <c r="JH444" i="40"/>
  <c r="JJ543" i="40"/>
  <c r="JJ341" i="40"/>
  <c r="JH343" i="40"/>
  <c r="JJ245" i="40"/>
  <c r="HV645" i="40"/>
  <c r="JH547" i="40"/>
  <c r="HW649" i="40"/>
  <c r="JJ550" i="40"/>
  <c r="HN652" i="40"/>
  <c r="JJ552" i="40"/>
  <c r="JH456" i="40"/>
  <c r="JJ555" i="40"/>
  <c r="HW657" i="40"/>
  <c r="HP660" i="40"/>
  <c r="JJ459" i="40"/>
  <c r="JJ261" i="40"/>
  <c r="HV661" i="40"/>
  <c r="HQ661" i="40"/>
  <c r="HW662" i="40"/>
  <c r="JH264" i="40"/>
  <c r="HP664" i="40"/>
  <c r="JH664" i="40" s="1"/>
  <c r="JJ367" i="40"/>
  <c r="JH365" i="40"/>
  <c r="JJ270" i="40"/>
  <c r="HV670" i="40"/>
  <c r="HM670" i="40"/>
  <c r="HN676" i="40"/>
  <c r="JH477" i="40"/>
  <c r="HN679" i="40"/>
  <c r="JJ279" i="40"/>
  <c r="HV679" i="40"/>
  <c r="HW665" i="40"/>
  <c r="JH572" i="40"/>
  <c r="HN678" i="40"/>
  <c r="HQ677" i="40"/>
  <c r="JH205" i="40"/>
  <c r="HP605" i="40"/>
  <c r="HR601" i="40"/>
  <c r="HR701" i="40" s="1"/>
  <c r="JH518" i="40"/>
  <c r="JH223" i="40"/>
  <c r="HP623" i="40"/>
  <c r="HQ623" i="40"/>
  <c r="JJ523" i="40"/>
  <c r="HQ228" i="40"/>
  <c r="JH228" i="40" s="1"/>
  <c r="HN628" i="40"/>
  <c r="HQ629" i="40"/>
  <c r="JJ329" i="40"/>
  <c r="JJ531" i="40"/>
  <c r="JH432" i="40"/>
  <c r="JH535" i="40"/>
  <c r="JH439" i="40"/>
  <c r="HP642" i="40"/>
  <c r="JJ340" i="40"/>
  <c r="JJ343" i="40"/>
  <c r="JJ447" i="40"/>
  <c r="JJ548" i="40"/>
  <c r="JJ449" i="40"/>
  <c r="JJ251" i="40"/>
  <c r="HV651" i="40"/>
  <c r="JJ349" i="40"/>
  <c r="JJ352" i="40"/>
  <c r="JJ267" i="40"/>
  <c r="HV667" i="40"/>
  <c r="JJ574" i="40"/>
  <c r="HX604" i="40"/>
  <c r="JJ401" i="40"/>
  <c r="JJ403" i="40"/>
  <c r="JJ304" i="40"/>
  <c r="HP607" i="40"/>
  <c r="JH306" i="40"/>
  <c r="KA306" i="40" s="1"/>
  <c r="JJ309" i="40"/>
  <c r="JJ213" i="40"/>
  <c r="HV613" i="40"/>
  <c r="JH311" i="40"/>
  <c r="JH314" i="40"/>
  <c r="HX616" i="40"/>
  <c r="JH421" i="40"/>
  <c r="HP225" i="40"/>
  <c r="HM625" i="40"/>
  <c r="HP226" i="40"/>
  <c r="HM626" i="40"/>
  <c r="JH424" i="40"/>
  <c r="HW627" i="40"/>
  <c r="JH428" i="40"/>
  <c r="JJ232" i="40"/>
  <c r="HV632" i="40"/>
  <c r="HQ235" i="40"/>
  <c r="HN635" i="40"/>
  <c r="JH539" i="40"/>
  <c r="JJ439" i="40"/>
  <c r="HQ242" i="40"/>
  <c r="JH242" i="40" s="1"/>
  <c r="HN642" i="40"/>
  <c r="JH443" i="40"/>
  <c r="HQ249" i="40"/>
  <c r="HN649" i="40"/>
  <c r="HW651" i="40"/>
  <c r="JJ252" i="40"/>
  <c r="HV652" i="40"/>
  <c r="HW653" i="40"/>
  <c r="JH556" i="40"/>
  <c r="JJ260" i="40"/>
  <c r="HV660" i="40"/>
  <c r="HQ266" i="40"/>
  <c r="HN666" i="40"/>
  <c r="HX667" i="40"/>
  <c r="JH467" i="40"/>
  <c r="JJ274" i="40"/>
  <c r="HV674" i="40"/>
  <c r="JH376" i="40"/>
  <c r="JJ479" i="40"/>
  <c r="JJ461" i="40"/>
  <c r="HM665" i="40"/>
  <c r="JJ266" i="40"/>
  <c r="HV666" i="40"/>
  <c r="HX681" i="40"/>
  <c r="JJ502" i="40"/>
  <c r="HQ201" i="40"/>
  <c r="JH201" i="40" s="1"/>
  <c r="HN601" i="40"/>
  <c r="HN701" i="40" s="1"/>
  <c r="JJ202" i="40"/>
  <c r="HV602" i="40"/>
  <c r="HW609" i="40"/>
  <c r="HM614" i="40"/>
  <c r="JJ413" i="40"/>
  <c r="HQ217" i="40"/>
  <c r="JH217" i="40" s="1"/>
  <c r="HN617" i="40"/>
  <c r="HX619" i="40"/>
  <c r="JJ417" i="40"/>
  <c r="JJ315" i="40"/>
  <c r="JJ520" i="40"/>
  <c r="HX624" i="40"/>
  <c r="HN627" i="40"/>
  <c r="JJ528" i="40"/>
  <c r="JJ228" i="40"/>
  <c r="HV628" i="40"/>
  <c r="JJ229" i="40"/>
  <c r="HV629" i="40"/>
  <c r="JH530" i="40"/>
  <c r="JJ330" i="40"/>
  <c r="JH233" i="40"/>
  <c r="HP633" i="40"/>
  <c r="JJ332" i="40"/>
  <c r="HQ636" i="40"/>
  <c r="JJ536" i="40"/>
  <c r="HX638" i="40"/>
  <c r="HP243" i="40"/>
  <c r="HM643" i="40"/>
  <c r="HW642" i="40"/>
  <c r="HW644" i="40"/>
  <c r="HX645" i="40"/>
  <c r="JH345" i="40"/>
  <c r="HQ647" i="40"/>
  <c r="HW647" i="40"/>
  <c r="JJ346" i="40"/>
  <c r="JH551" i="40"/>
  <c r="JJ453" i="40"/>
  <c r="JJ350" i="40"/>
  <c r="HW654" i="40"/>
  <c r="JH557" i="40"/>
  <c r="HX658" i="40"/>
  <c r="JH358" i="40"/>
  <c r="JH359" i="40"/>
  <c r="JH469" i="40"/>
  <c r="HX673" i="40"/>
  <c r="HP273" i="40"/>
  <c r="HM673" i="40"/>
  <c r="JH473" i="40"/>
  <c r="HQ275" i="40"/>
  <c r="JH275" i="40" s="1"/>
  <c r="HN675" i="40"/>
  <c r="JH573" i="40"/>
  <c r="HP675" i="40"/>
  <c r="JJ374" i="40"/>
  <c r="JJ375" i="40"/>
  <c r="HP281" i="40"/>
  <c r="HM681" i="40"/>
  <c r="HX680" i="40"/>
  <c r="JH481" i="40"/>
  <c r="JH461" i="40"/>
  <c r="HW661" i="40"/>
  <c r="HQ665" i="40"/>
  <c r="HW671" i="40"/>
  <c r="JJ503" i="40"/>
  <c r="JJ203" i="40"/>
  <c r="HV603" i="40"/>
  <c r="HX610" i="40"/>
  <c r="HN610" i="40"/>
  <c r="JH412" i="40"/>
  <c r="JJ216" i="40"/>
  <c r="HV616" i="40"/>
  <c r="JH516" i="40"/>
  <c r="HN618" i="40"/>
  <c r="HW621" i="40"/>
  <c r="JJ423" i="40"/>
  <c r="HN626" i="40"/>
  <c r="HP630" i="40"/>
  <c r="JJ231" i="40"/>
  <c r="HV631" i="40"/>
  <c r="JH430" i="40"/>
  <c r="JJ429" i="40"/>
  <c r="JH532" i="40"/>
  <c r="HQ633" i="40"/>
  <c r="JH435" i="40"/>
  <c r="HX633" i="40"/>
  <c r="JH237" i="40"/>
  <c r="HP637" i="40"/>
  <c r="HN638" i="40"/>
  <c r="JJ239" i="40"/>
  <c r="HV639" i="40"/>
  <c r="HQ240" i="40"/>
  <c r="HN640" i="40"/>
  <c r="HW640" i="40"/>
  <c r="JH540" i="40"/>
  <c r="HQ243" i="40"/>
  <c r="HN643" i="40"/>
  <c r="JJ442" i="40"/>
  <c r="HX643" i="40"/>
  <c r="HN650" i="40"/>
  <c r="HQ652" i="40"/>
  <c r="JH351" i="40"/>
  <c r="HW656" i="40"/>
  <c r="JJ353" i="40"/>
  <c r="JJ258" i="40"/>
  <c r="HV658" i="40"/>
  <c r="HX655" i="40"/>
  <c r="JH355" i="40"/>
  <c r="HP261" i="40"/>
  <c r="HM661" i="40"/>
  <c r="JJ361" i="40"/>
  <c r="JJ562" i="40"/>
  <c r="JJ364" i="40"/>
  <c r="JJ468" i="40"/>
  <c r="JH567" i="40"/>
  <c r="HQ668" i="40"/>
  <c r="HW669" i="40"/>
  <c r="HN669" i="40"/>
  <c r="JH270" i="40"/>
  <c r="HP670" i="40"/>
  <c r="HX672" i="40"/>
  <c r="JH374" i="40"/>
  <c r="HQ676" i="40"/>
  <c r="HX676" i="40"/>
  <c r="JJ477" i="40"/>
  <c r="HW678" i="40"/>
  <c r="HQ679" i="40"/>
  <c r="JJ281" i="40"/>
  <c r="HV681" i="40"/>
  <c r="JJ565" i="40"/>
  <c r="JH570" i="40"/>
  <c r="JJ471" i="40"/>
  <c r="JJ371" i="40"/>
  <c r="JJ575" i="40"/>
  <c r="HQ678" i="40"/>
  <c r="JJ207" i="40"/>
  <c r="HV607" i="40"/>
  <c r="HP601" i="40"/>
  <c r="HP701" i="40" s="1"/>
  <c r="HQ615" i="40"/>
  <c r="HQ216" i="40"/>
  <c r="HN616" i="40"/>
  <c r="JJ205" i="40"/>
  <c r="HV605" i="40"/>
  <c r="KA503" i="40"/>
  <c r="JJ305" i="40"/>
  <c r="HQ602" i="40"/>
  <c r="HQ207" i="40"/>
  <c r="HN607" i="40"/>
  <c r="JJ409" i="40"/>
  <c r="HP210" i="40"/>
  <c r="HM610" i="40"/>
  <c r="JH509" i="40"/>
  <c r="JJ210" i="40"/>
  <c r="HV610" i="40"/>
  <c r="HW611" i="40"/>
  <c r="JJ215" i="40"/>
  <c r="HV615" i="40"/>
  <c r="JH219" i="40"/>
  <c r="HP619" i="40"/>
  <c r="JJ220" i="40"/>
  <c r="HV620" i="40"/>
  <c r="HP617" i="40"/>
  <c r="HP221" i="40"/>
  <c r="HM621" i="40"/>
  <c r="JH326" i="40"/>
  <c r="HP628" i="40"/>
  <c r="HX629" i="40"/>
  <c r="JJ327" i="40"/>
  <c r="HP634" i="40"/>
  <c r="JJ537" i="40"/>
  <c r="JJ335" i="40"/>
  <c r="HQ639" i="40"/>
  <c r="JJ238" i="40"/>
  <c r="HV638" i="40"/>
  <c r="JJ338" i="40"/>
  <c r="JH541" i="40"/>
  <c r="JJ443" i="40"/>
  <c r="JH248" i="40"/>
  <c r="HP648" i="40"/>
  <c r="JJ345" i="40"/>
  <c r="JJ246" i="40"/>
  <c r="HV646" i="40"/>
  <c r="HX648" i="40"/>
  <c r="JJ351" i="40"/>
  <c r="JH253" i="40"/>
  <c r="HP653" i="40"/>
  <c r="JJ256" i="40"/>
  <c r="HV656" i="40"/>
  <c r="HQ259" i="40"/>
  <c r="HN659" i="40"/>
  <c r="JJ560" i="40"/>
  <c r="JJ370" i="40"/>
  <c r="HP280" i="40"/>
  <c r="HM680" i="40"/>
  <c r="JJ201" i="40"/>
  <c r="HV601" i="40"/>
  <c r="JJ303" i="40"/>
  <c r="HW604" i="40"/>
  <c r="KB501" i="40"/>
  <c r="KB502" i="40" s="1"/>
  <c r="KB503" i="40" s="1"/>
  <c r="A13" i="69"/>
  <c r="AW16" i="69"/>
  <c r="JJ208" i="40"/>
  <c r="HV608" i="40"/>
  <c r="JH202" i="40"/>
  <c r="HP602" i="40"/>
  <c r="HQ603" i="40"/>
  <c r="HM609" i="40"/>
  <c r="JH513" i="40"/>
  <c r="JH312" i="40"/>
  <c r="JJ415" i="40"/>
  <c r="JJ515" i="40"/>
  <c r="HP216" i="40"/>
  <c r="HM616" i="40"/>
  <c r="JJ217" i="40"/>
  <c r="HV617" i="40"/>
  <c r="JJ518" i="40"/>
  <c r="JJ421" i="40"/>
  <c r="HQ224" i="40"/>
  <c r="JH224" i="40" s="1"/>
  <c r="HN624" i="40"/>
  <c r="JJ223" i="40"/>
  <c r="HV623" i="40"/>
  <c r="HM624" i="40"/>
  <c r="HQ225" i="40"/>
  <c r="HN625" i="40"/>
  <c r="HX625" i="40"/>
  <c r="HX626" i="40"/>
  <c r="HX627" i="40"/>
  <c r="HP229" i="40"/>
  <c r="HM629" i="40"/>
  <c r="JJ532" i="40"/>
  <c r="JJ235" i="40"/>
  <c r="HV635" i="40"/>
  <c r="JJ434" i="40"/>
  <c r="HX634" i="40"/>
  <c r="HP239" i="40"/>
  <c r="HM639" i="40"/>
  <c r="HW639" i="40"/>
  <c r="JH340" i="40"/>
  <c r="JH341" i="40"/>
  <c r="JJ244" i="40"/>
  <c r="HV644" i="40"/>
  <c r="JJ342" i="40"/>
  <c r="HP244" i="40"/>
  <c r="HM644" i="40"/>
  <c r="HQ246" i="40"/>
  <c r="HN646" i="40"/>
  <c r="HP246" i="40"/>
  <c r="HM646" i="40"/>
  <c r="JH448" i="40"/>
  <c r="JH552" i="40"/>
  <c r="JH453" i="40"/>
  <c r="JJ553" i="40"/>
  <c r="JH455" i="40"/>
  <c r="JH554" i="40"/>
  <c r="JJ360" i="40"/>
  <c r="JH462" i="40"/>
  <c r="JH565" i="40"/>
  <c r="JJ465" i="40"/>
  <c r="JJ365" i="40"/>
  <c r="JH267" i="40"/>
  <c r="HP667" i="40"/>
  <c r="HW667" i="40"/>
  <c r="JJ568" i="40"/>
  <c r="JH271" i="40"/>
  <c r="HP671" i="40"/>
  <c r="HX670" i="40"/>
  <c r="JJ276" i="40"/>
  <c r="HV676" i="40"/>
  <c r="HP279" i="40"/>
  <c r="HM679" i="40"/>
  <c r="HQ280" i="40"/>
  <c r="HN680" i="40"/>
  <c r="JJ481" i="40"/>
  <c r="JJ480" i="40"/>
  <c r="JH265" i="40"/>
  <c r="HP665" i="40"/>
  <c r="JJ470" i="40"/>
  <c r="JJ473" i="40"/>
  <c r="JJ476" i="40"/>
  <c r="JJ581" i="40"/>
  <c r="HW602" i="40"/>
  <c r="HW607" i="40"/>
  <c r="JH408" i="40"/>
  <c r="KB401" i="40"/>
  <c r="KB402" i="40" s="1"/>
  <c r="KB403" i="40" s="1"/>
  <c r="A13" i="68"/>
  <c r="AW16" i="68"/>
  <c r="JJ307" i="40"/>
  <c r="HM608" i="40"/>
  <c r="JJ308" i="40"/>
  <c r="HQ211" i="40"/>
  <c r="HN611" i="40"/>
  <c r="JJ310" i="40"/>
  <c r="HP614" i="40"/>
  <c r="HX614" i="40"/>
  <c r="HM615" i="40"/>
  <c r="JH315" i="40"/>
  <c r="HW619" i="40"/>
  <c r="HP220" i="40"/>
  <c r="HM620" i="40"/>
  <c r="JH519" i="40"/>
  <c r="HX620" i="40"/>
  <c r="JH427" i="40"/>
  <c r="JJ226" i="40"/>
  <c r="HV626" i="40"/>
  <c r="JH324" i="40"/>
  <c r="HQ627" i="40"/>
  <c r="HM632" i="40"/>
  <c r="JJ233" i="40"/>
  <c r="HV633" i="40"/>
  <c r="HX636" i="40"/>
  <c r="HN637" i="40"/>
  <c r="JJ538" i="40"/>
  <c r="JJ337" i="40"/>
  <c r="JJ438" i="40"/>
  <c r="HP240" i="40"/>
  <c r="HM640" i="40"/>
  <c r="JH542" i="40"/>
  <c r="JH543" i="40"/>
  <c r="JJ544" i="40"/>
  <c r="JJ547" i="40"/>
  <c r="JH349" i="40"/>
  <c r="JJ452" i="40"/>
  <c r="HX654" i="40"/>
  <c r="HP254" i="40"/>
  <c r="HM654" i="40"/>
  <c r="HN656" i="40"/>
  <c r="HQ658" i="40"/>
  <c r="HW658" i="40"/>
  <c r="HP259" i="40"/>
  <c r="HM659" i="40"/>
  <c r="HQ260" i="40"/>
  <c r="HN660" i="40"/>
  <c r="HX659" i="40"/>
  <c r="JH460" i="40"/>
  <c r="JJ460" i="40"/>
  <c r="JJ262" i="40"/>
  <c r="HV662" i="40"/>
  <c r="HP263" i="40"/>
  <c r="HM663" i="40"/>
  <c r="HW663" i="40"/>
  <c r="HX664" i="40"/>
  <c r="HP268" i="40"/>
  <c r="HM668" i="40"/>
  <c r="HW673" i="40"/>
  <c r="HP276" i="40"/>
  <c r="HM676" i="40"/>
  <c r="JJ275" i="40"/>
  <c r="HV675" i="40"/>
  <c r="JH378" i="40"/>
  <c r="JJ580" i="40"/>
  <c r="JJ359" i="40"/>
  <c r="HN664" i="40"/>
  <c r="JJ372" i="40"/>
  <c r="AT18" i="68"/>
  <c r="JJ406" i="40"/>
  <c r="JH307" i="40"/>
  <c r="HQ610" i="40"/>
  <c r="HW612" i="40"/>
  <c r="JJ212" i="40"/>
  <c r="HV612" i="40"/>
  <c r="JH514" i="40"/>
  <c r="HQ618" i="40"/>
  <c r="HM618" i="40"/>
  <c r="JJ218" i="40"/>
  <c r="HV618" i="40"/>
  <c r="JJ418" i="40"/>
  <c r="JJ222" i="40"/>
  <c r="HV622" i="40"/>
  <c r="JJ225" i="40"/>
  <c r="HV625" i="40"/>
  <c r="JH524" i="40"/>
  <c r="HQ626" i="40"/>
  <c r="HM627" i="40"/>
  <c r="JH329" i="40"/>
  <c r="HW633" i="40"/>
  <c r="JJ432" i="40"/>
  <c r="HM636" i="40"/>
  <c r="JH537" i="40"/>
  <c r="HQ638" i="40"/>
  <c r="JH438" i="40"/>
  <c r="HP241" i="40"/>
  <c r="HM641" i="40"/>
  <c r="JJ241" i="40"/>
  <c r="HV641" i="40"/>
  <c r="JH342" i="40"/>
  <c r="HQ645" i="40"/>
  <c r="HN648" i="40"/>
  <c r="JH546" i="40"/>
  <c r="JJ249" i="40"/>
  <c r="HV649" i="40"/>
  <c r="JJ250" i="40"/>
  <c r="HV650" i="40"/>
  <c r="JH348" i="40"/>
  <c r="HQ650" i="40"/>
  <c r="HX649" i="40"/>
  <c r="HX650" i="40"/>
  <c r="HW652" i="40"/>
  <c r="HX656" i="40"/>
  <c r="HW655" i="40"/>
  <c r="HQ263" i="40"/>
  <c r="HN663" i="40"/>
  <c r="JH361" i="40"/>
  <c r="HQ667" i="40"/>
  <c r="HQ669" i="40"/>
  <c r="HQ673" i="40"/>
  <c r="JH574" i="40"/>
  <c r="HM678" i="40"/>
  <c r="JJ376" i="40"/>
  <c r="HX678" i="40"/>
  <c r="JJ381" i="40"/>
  <c r="HN662" i="40"/>
  <c r="HX665" i="40"/>
  <c r="HW675" i="40"/>
  <c r="KA405" i="40" l="1"/>
  <c r="KA504" i="40"/>
  <c r="KA505" i="40"/>
  <c r="JH671" i="40"/>
  <c r="JJ605" i="40"/>
  <c r="JJ668" i="40"/>
  <c r="JJ626" i="40"/>
  <c r="JH653" i="40"/>
  <c r="JJ630" i="40"/>
  <c r="JJ635" i="40"/>
  <c r="JJ674" i="40"/>
  <c r="JH670" i="40"/>
  <c r="JJ666" i="40"/>
  <c r="JJ632" i="40"/>
  <c r="KA303" i="40"/>
  <c r="JJ618" i="40"/>
  <c r="JJ622" i="40"/>
  <c r="KA404" i="40"/>
  <c r="KA403" i="40"/>
  <c r="JJ606" i="40"/>
  <c r="JJ641" i="40"/>
  <c r="JH633" i="40"/>
  <c r="JJ608" i="40"/>
  <c r="JJ615" i="40"/>
  <c r="JJ623" i="40"/>
  <c r="JJ646" i="40"/>
  <c r="JH637" i="40"/>
  <c r="JH619" i="40"/>
  <c r="JJ660" i="40"/>
  <c r="JJ662" i="40"/>
  <c r="JH648" i="40"/>
  <c r="JJ613" i="40"/>
  <c r="JJ631" i="40"/>
  <c r="JJ616" i="40"/>
  <c r="JJ685" i="40"/>
  <c r="JJ681" i="40"/>
  <c r="JJ625" i="40"/>
  <c r="JH665" i="40"/>
  <c r="JJ676" i="40"/>
  <c r="JJ628" i="40"/>
  <c r="JJ637" i="40"/>
  <c r="JJ617" i="40"/>
  <c r="JJ679" i="40"/>
  <c r="KA305" i="40"/>
  <c r="KA205" i="40"/>
  <c r="JJ677" i="40"/>
  <c r="JJ644" i="40"/>
  <c r="JJ638" i="40"/>
  <c r="JJ603" i="40"/>
  <c r="JJ684" i="40"/>
  <c r="JH287" i="40"/>
  <c r="HP687" i="40"/>
  <c r="JJ683" i="40"/>
  <c r="JJ687" i="40"/>
  <c r="HR683" i="40"/>
  <c r="HQ686" i="40"/>
  <c r="JH284" i="40"/>
  <c r="HP684" i="40"/>
  <c r="JH283" i="40"/>
  <c r="HP683" i="40"/>
  <c r="HQ684" i="40"/>
  <c r="JH285" i="40"/>
  <c r="HP685" i="40"/>
  <c r="HQ683" i="40"/>
  <c r="HR684" i="40"/>
  <c r="JJ686" i="40"/>
  <c r="HQ685" i="40"/>
  <c r="HR682" i="40"/>
  <c r="HR685" i="40"/>
  <c r="HQ682" i="40"/>
  <c r="HR687" i="40"/>
  <c r="JH286" i="40"/>
  <c r="HP686" i="40"/>
  <c r="JJ682" i="40"/>
  <c r="JH282" i="40"/>
  <c r="HP682" i="40"/>
  <c r="HQ687" i="40"/>
  <c r="HR686" i="40"/>
  <c r="JJ610" i="40"/>
  <c r="JH602" i="40"/>
  <c r="JH605" i="40"/>
  <c r="JJ649" i="40"/>
  <c r="JH645" i="40"/>
  <c r="JJ612" i="40"/>
  <c r="JH241" i="40"/>
  <c r="HP641" i="40"/>
  <c r="JH276" i="40"/>
  <c r="HP676" i="40"/>
  <c r="JH676" i="40" s="1"/>
  <c r="JH268" i="40"/>
  <c r="HP668" i="40"/>
  <c r="JH668" i="40" s="1"/>
  <c r="JH263" i="40"/>
  <c r="HP663" i="40"/>
  <c r="HQ660" i="40"/>
  <c r="JH660" i="40" s="1"/>
  <c r="JH254" i="40"/>
  <c r="HP654" i="40"/>
  <c r="JH220" i="40"/>
  <c r="HP620" i="40"/>
  <c r="HQ611" i="40"/>
  <c r="HQ680" i="40"/>
  <c r="JJ656" i="40"/>
  <c r="JH210" i="40"/>
  <c r="HP610" i="40"/>
  <c r="JH610" i="40" s="1"/>
  <c r="HQ607" i="40"/>
  <c r="JH607" i="40" s="1"/>
  <c r="JJ639" i="40"/>
  <c r="JH281" i="40"/>
  <c r="HP681" i="40"/>
  <c r="JJ629" i="40"/>
  <c r="HQ617" i="40"/>
  <c r="JH617" i="40" s="1"/>
  <c r="HQ649" i="40"/>
  <c r="JH226" i="40"/>
  <c r="HP626" i="40"/>
  <c r="JH626" i="40" s="1"/>
  <c r="KB301" i="40"/>
  <c r="KB302" i="40" s="1"/>
  <c r="KB303" i="40" s="1"/>
  <c r="A13" i="67"/>
  <c r="AW16" i="67"/>
  <c r="JH260" i="40"/>
  <c r="JJ645" i="40"/>
  <c r="JJ665" i="40"/>
  <c r="JH272" i="40"/>
  <c r="HP672" i="40"/>
  <c r="KA204" i="40"/>
  <c r="JJ655" i="40"/>
  <c r="JJ619" i="40"/>
  <c r="KB201" i="40"/>
  <c r="KB202" i="40" s="1"/>
  <c r="KB203" i="40" s="1"/>
  <c r="AW16" i="66"/>
  <c r="A13" i="66"/>
  <c r="JH678" i="40"/>
  <c r="JJ634" i="40"/>
  <c r="JH618" i="40"/>
  <c r="JH677" i="40"/>
  <c r="JH669" i="40"/>
  <c r="HQ644" i="40"/>
  <c r="HQ622" i="40"/>
  <c r="JJ675" i="40"/>
  <c r="HQ646" i="40"/>
  <c r="JH244" i="40"/>
  <c r="HP644" i="40"/>
  <c r="JH239" i="40"/>
  <c r="HP639" i="40"/>
  <c r="JH639" i="40" s="1"/>
  <c r="HQ625" i="40"/>
  <c r="HQ616" i="40"/>
  <c r="HQ643" i="40"/>
  <c r="HQ666" i="40"/>
  <c r="JH666" i="40" s="1"/>
  <c r="JJ667" i="40"/>
  <c r="HQ628" i="40"/>
  <c r="JH628" i="40" s="1"/>
  <c r="JH623" i="40"/>
  <c r="JH211" i="40"/>
  <c r="HP611" i="40"/>
  <c r="HQ674" i="40"/>
  <c r="JJ671" i="40"/>
  <c r="JH658" i="40"/>
  <c r="JH647" i="40"/>
  <c r="HQ630" i="40"/>
  <c r="JH630" i="40" s="1"/>
  <c r="JH631" i="40"/>
  <c r="JH212" i="40"/>
  <c r="HP612" i="40"/>
  <c r="JH603" i="40"/>
  <c r="HQ608" i="40"/>
  <c r="JH608" i="40" s="1"/>
  <c r="HQ655" i="40"/>
  <c r="JJ640" i="40"/>
  <c r="JJ672" i="40"/>
  <c r="KT148" i="40"/>
  <c r="KU147" i="40"/>
  <c r="I61" i="70" s="1"/>
  <c r="JH250" i="40"/>
  <c r="HP650" i="40"/>
  <c r="JH650" i="40" s="1"/>
  <c r="JH615" i="40"/>
  <c r="JH208" i="40"/>
  <c r="JH274" i="40"/>
  <c r="HP674" i="40"/>
  <c r="JH262" i="40"/>
  <c r="HP662" i="40"/>
  <c r="JH662" i="40" s="1"/>
  <c r="HQ651" i="40"/>
  <c r="JH651" i="40" s="1"/>
  <c r="HQ632" i="40"/>
  <c r="JH632" i="40" s="1"/>
  <c r="JH609" i="40"/>
  <c r="JH638" i="40"/>
  <c r="JJ636" i="40"/>
  <c r="JJ621" i="40"/>
  <c r="HQ621" i="40"/>
  <c r="HQ663" i="40"/>
  <c r="JH259" i="40"/>
  <c r="HP659" i="40"/>
  <c r="JJ633" i="40"/>
  <c r="KC403" i="40"/>
  <c r="KB404" i="40"/>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KD403" i="40"/>
  <c r="HP679" i="40"/>
  <c r="JH679" i="40" s="1"/>
  <c r="JH667" i="40"/>
  <c r="JH229" i="40"/>
  <c r="HP629" i="40"/>
  <c r="JH629" i="40" s="1"/>
  <c r="JH216" i="40"/>
  <c r="HP616" i="40"/>
  <c r="JH280" i="40"/>
  <c r="HP680" i="40"/>
  <c r="JH261" i="40"/>
  <c r="HP661" i="40"/>
  <c r="JH661" i="40" s="1"/>
  <c r="JJ658" i="40"/>
  <c r="HQ675" i="40"/>
  <c r="JH675" i="40" s="1"/>
  <c r="JH273" i="40"/>
  <c r="HP673" i="40"/>
  <c r="JH673" i="40" s="1"/>
  <c r="HQ642" i="40"/>
  <c r="JH642" i="40" s="1"/>
  <c r="HQ635" i="40"/>
  <c r="JH225" i="40"/>
  <c r="HP625" i="40"/>
  <c r="JJ670" i="40"/>
  <c r="JH279" i="40"/>
  <c r="JJ673" i="40"/>
  <c r="JH255" i="40"/>
  <c r="HP655" i="40"/>
  <c r="HQ654" i="40"/>
  <c r="JH249" i="40"/>
  <c r="HP649" i="40"/>
  <c r="JH266" i="40"/>
  <c r="HQ634" i="40"/>
  <c r="JH634" i="40" s="1"/>
  <c r="JJ627" i="40"/>
  <c r="HQ620" i="40"/>
  <c r="JH627" i="40"/>
  <c r="JJ609" i="40"/>
  <c r="JJ669" i="40"/>
  <c r="JH222" i="40"/>
  <c r="HP622" i="40"/>
  <c r="JJ614" i="40"/>
  <c r="JJ663" i="40"/>
  <c r="JH257" i="40"/>
  <c r="HP657" i="40"/>
  <c r="JH657" i="40" s="1"/>
  <c r="JJ611" i="40"/>
  <c r="JJ659" i="40"/>
  <c r="JJ653" i="40"/>
  <c r="JJ643" i="40"/>
  <c r="JJ650" i="40"/>
  <c r="JH240" i="40"/>
  <c r="HP640" i="40"/>
  <c r="JH246" i="40"/>
  <c r="HP646" i="40"/>
  <c r="HQ624" i="40"/>
  <c r="JH624" i="40" s="1"/>
  <c r="KC503" i="40"/>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D503" i="40"/>
  <c r="HV701" i="40"/>
  <c r="JJ701" i="40" s="1"/>
  <c r="JJ601" i="40"/>
  <c r="HQ659" i="40"/>
  <c r="JH221" i="40"/>
  <c r="HP621" i="40"/>
  <c r="JJ620" i="40"/>
  <c r="JJ607" i="40"/>
  <c r="HQ640" i="40"/>
  <c r="JH243" i="40"/>
  <c r="HP643" i="40"/>
  <c r="JJ602" i="40"/>
  <c r="HQ601" i="40"/>
  <c r="HQ701" i="40" s="1"/>
  <c r="JH701" i="40" s="1"/>
  <c r="JJ652" i="40"/>
  <c r="JH207" i="40"/>
  <c r="JJ651" i="40"/>
  <c r="JJ661" i="40"/>
  <c r="HQ681" i="40"/>
  <c r="JJ664" i="40"/>
  <c r="JJ654" i="40"/>
  <c r="JJ642" i="40"/>
  <c r="JJ624" i="40"/>
  <c r="HQ672" i="40"/>
  <c r="JH252" i="40"/>
  <c r="HP652" i="40"/>
  <c r="JH652" i="40" s="1"/>
  <c r="JH613" i="40"/>
  <c r="HQ612" i="40"/>
  <c r="JH606" i="40"/>
  <c r="JJ604" i="40"/>
  <c r="JH235" i="40"/>
  <c r="HP635" i="40"/>
  <c r="KA203" i="40"/>
  <c r="JJ678" i="40"/>
  <c r="HQ641" i="40"/>
  <c r="JH636" i="40"/>
  <c r="JH604" i="40"/>
  <c r="JJ680" i="40"/>
  <c r="JJ657" i="40"/>
  <c r="JJ647" i="40"/>
  <c r="HQ614" i="40"/>
  <c r="JH614" i="40" s="1"/>
  <c r="JH251" i="40"/>
  <c r="JJ648" i="40"/>
  <c r="JH646" i="40" l="1"/>
  <c r="JH682" i="40"/>
  <c r="JH649" i="40"/>
  <c r="JH643" i="40"/>
  <c r="JH621" i="40"/>
  <c r="JH616" i="40"/>
  <c r="JH622" i="40"/>
  <c r="JH686" i="40"/>
  <c r="JH685" i="40"/>
  <c r="JH683" i="40"/>
  <c r="JH687" i="40"/>
  <c r="JH684" i="40"/>
  <c r="JH674" i="40"/>
  <c r="JH611" i="40"/>
  <c r="JH655" i="40"/>
  <c r="JH625" i="40"/>
  <c r="JH644" i="40"/>
  <c r="JH680" i="40"/>
  <c r="KE403" i="40"/>
  <c r="KC404" i="40" s="1"/>
  <c r="KD404" i="40" s="1"/>
  <c r="KE404" i="40" s="1"/>
  <c r="KE503" i="40"/>
  <c r="KC504" i="40" s="1"/>
  <c r="KD504" i="40" s="1"/>
  <c r="KE504" i="40" s="1"/>
  <c r="JH635" i="40"/>
  <c r="KB204" i="40"/>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B284" i="40" s="1"/>
  <c r="KB285" i="40" s="1"/>
  <c r="KB286" i="40" s="1"/>
  <c r="KB287" i="40" s="1"/>
  <c r="KD203" i="40"/>
  <c r="KC203" i="40"/>
  <c r="JH681" i="40"/>
  <c r="JH659" i="40"/>
  <c r="JH654" i="40"/>
  <c r="JH640" i="40"/>
  <c r="KT149" i="40"/>
  <c r="KU148" i="40"/>
  <c r="I62" i="70" s="1"/>
  <c r="JH612" i="40"/>
  <c r="JH672" i="40"/>
  <c r="KD303" i="40"/>
  <c r="KC303" i="40"/>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KB384" i="40" s="1"/>
  <c r="KB385" i="40" s="1"/>
  <c r="KB386" i="40" s="1"/>
  <c r="KB387" i="40" s="1"/>
  <c r="JH620" i="40"/>
  <c r="JH663" i="40"/>
  <c r="JH601" i="40"/>
  <c r="JH641" i="40"/>
  <c r="KG403" i="40" l="1"/>
  <c r="HS463" i="40" s="1"/>
  <c r="KE203" i="40"/>
  <c r="KC204" i="40" s="1"/>
  <c r="KD204" i="40" s="1"/>
  <c r="KE204" i="40" s="1"/>
  <c r="KG503" i="40"/>
  <c r="HS572" i="40" s="1"/>
  <c r="KU149" i="40"/>
  <c r="I63" i="70" s="1"/>
  <c r="KT150" i="40"/>
  <c r="KG203" i="40"/>
  <c r="KE303" i="40"/>
  <c r="KC505" i="40"/>
  <c r="KD505" i="40" s="1"/>
  <c r="KE505" i="40" s="1"/>
  <c r="KG505" i="40" s="1"/>
  <c r="KG504" i="40"/>
  <c r="HS424" i="40"/>
  <c r="HS416" i="40"/>
  <c r="HS472" i="40"/>
  <c r="HS456" i="40"/>
  <c r="HS452" i="40"/>
  <c r="HS451" i="40"/>
  <c r="HS440" i="40"/>
  <c r="HS433" i="40"/>
  <c r="HS405" i="40"/>
  <c r="HS446" i="40"/>
  <c r="HS444" i="40"/>
  <c r="HS419" i="40"/>
  <c r="HS448" i="40"/>
  <c r="HS437" i="40"/>
  <c r="HS409" i="40"/>
  <c r="HS468" i="40"/>
  <c r="HS464" i="40"/>
  <c r="HS458" i="40"/>
  <c r="HS454" i="40"/>
  <c r="HS442" i="40"/>
  <c r="HS432" i="40"/>
  <c r="HS423" i="40"/>
  <c r="HS412" i="40"/>
  <c r="HS467" i="40"/>
  <c r="HS462" i="40"/>
  <c r="HS460" i="40"/>
  <c r="HS455" i="40"/>
  <c r="HS450" i="40"/>
  <c r="HS438" i="40"/>
  <c r="HS428" i="40"/>
  <c r="HS475" i="40"/>
  <c r="HS473" i="40"/>
  <c r="HS480" i="40"/>
  <c r="HS481" i="40"/>
  <c r="HS465" i="40"/>
  <c r="HS421" i="40"/>
  <c r="HS457" i="40"/>
  <c r="HS445" i="40"/>
  <c r="HS443" i="40"/>
  <c r="HS426" i="40"/>
  <c r="HS411" i="40"/>
  <c r="HS402" i="40"/>
  <c r="KC405" i="40"/>
  <c r="KD405" i="40" s="1"/>
  <c r="KE405" i="40" s="1"/>
  <c r="KG405" i="40" s="1"/>
  <c r="KG404" i="40"/>
  <c r="HS406" i="40" l="1"/>
  <c r="HS414" i="40"/>
  <c r="HS427" i="40"/>
  <c r="HS461" i="40"/>
  <c r="HS408" i="40"/>
  <c r="HS431" i="40"/>
  <c r="HS447" i="40"/>
  <c r="HS459" i="40"/>
  <c r="HS401" i="40"/>
  <c r="HS453" i="40"/>
  <c r="HS538" i="40"/>
  <c r="HS477" i="40"/>
  <c r="HS417" i="40"/>
  <c r="HS410" i="40"/>
  <c r="HS425" i="40"/>
  <c r="HS478" i="40"/>
  <c r="HS469" i="40"/>
  <c r="HS420" i="40"/>
  <c r="HS476" i="40"/>
  <c r="HS407" i="40"/>
  <c r="HS449" i="40"/>
  <c r="HS413" i="40"/>
  <c r="HS441" i="40"/>
  <c r="HS576" i="40"/>
  <c r="HS520" i="40"/>
  <c r="HS536" i="40"/>
  <c r="HS436" i="40"/>
  <c r="HS471" i="40"/>
  <c r="HS418" i="40"/>
  <c r="HS403" i="40"/>
  <c r="HS439" i="40"/>
  <c r="HS435" i="40"/>
  <c r="HS429" i="40"/>
  <c r="HS415" i="40"/>
  <c r="HS479" i="40"/>
  <c r="HS466" i="40"/>
  <c r="HS430" i="40"/>
  <c r="HS422" i="40"/>
  <c r="HS404" i="40"/>
  <c r="HS434" i="40"/>
  <c r="HS470" i="40"/>
  <c r="HS474" i="40"/>
  <c r="HS515" i="40"/>
  <c r="HS558" i="40"/>
  <c r="HS534" i="40"/>
  <c r="HS548" i="40"/>
  <c r="HS535" i="40"/>
  <c r="HS521" i="40"/>
  <c r="HS531" i="40"/>
  <c r="HS532" i="40"/>
  <c r="HS504" i="40"/>
  <c r="HS533" i="40"/>
  <c r="HS546" i="40"/>
  <c r="HS506" i="40"/>
  <c r="HS566" i="40"/>
  <c r="HS555" i="40"/>
  <c r="HS527" i="40"/>
  <c r="HS554" i="40"/>
  <c r="HS575" i="40"/>
  <c r="HS563" i="40"/>
  <c r="HS528" i="40"/>
  <c r="HS513" i="40"/>
  <c r="HS581" i="40"/>
  <c r="HS578" i="40"/>
  <c r="HS568" i="40"/>
  <c r="HS559" i="40"/>
  <c r="HS511" i="40"/>
  <c r="HS564" i="40"/>
  <c r="HS571" i="40"/>
  <c r="HS523" i="40"/>
  <c r="HS553" i="40"/>
  <c r="HS502" i="40"/>
  <c r="HS577" i="40"/>
  <c r="HS565" i="40"/>
  <c r="HS518" i="40"/>
  <c r="HS514" i="40"/>
  <c r="HS544" i="40"/>
  <c r="HS573" i="40"/>
  <c r="HS540" i="40"/>
  <c r="HS530" i="40"/>
  <c r="HS539" i="40"/>
  <c r="HS549" i="40"/>
  <c r="HS551" i="40"/>
  <c r="HS503" i="40"/>
  <c r="HS501" i="40"/>
  <c r="HS537" i="40"/>
  <c r="HS567" i="40"/>
  <c r="HS507" i="40"/>
  <c r="HS580" i="40"/>
  <c r="HS529" i="40"/>
  <c r="HS526" i="40"/>
  <c r="HS519" i="40"/>
  <c r="HS547" i="40"/>
  <c r="HS505" i="40"/>
  <c r="HS556" i="40"/>
  <c r="HS560" i="40"/>
  <c r="HS541" i="40"/>
  <c r="HS550" i="40"/>
  <c r="HS579" i="40"/>
  <c r="HS557" i="40"/>
  <c r="HS542" i="40"/>
  <c r="HS562" i="40"/>
  <c r="HS525" i="40"/>
  <c r="HS570" i="40"/>
  <c r="HS512" i="40"/>
  <c r="HS552" i="40"/>
  <c r="HS574" i="40"/>
  <c r="HS509" i="40"/>
  <c r="HS545" i="40"/>
  <c r="HS510" i="40"/>
  <c r="HS569" i="40"/>
  <c r="HS522" i="40"/>
  <c r="HS517" i="40"/>
  <c r="HS508" i="40"/>
  <c r="HS516" i="40"/>
  <c r="HS524" i="40"/>
  <c r="HS561" i="40"/>
  <c r="HS543" i="40"/>
  <c r="HU482" i="40"/>
  <c r="ID482" i="40" s="1"/>
  <c r="HU484" i="40"/>
  <c r="ID484" i="40" s="1"/>
  <c r="HU486" i="40"/>
  <c r="ID486" i="40" s="1"/>
  <c r="HU487" i="40"/>
  <c r="ID487" i="40" s="1"/>
  <c r="HU485" i="40"/>
  <c r="ID485" i="40" s="1"/>
  <c r="HU483" i="40"/>
  <c r="ID483" i="40" s="1"/>
  <c r="HS583" i="40"/>
  <c r="HS587" i="40"/>
  <c r="HS584" i="40"/>
  <c r="HS585" i="40"/>
  <c r="HS582" i="40"/>
  <c r="HS586" i="40"/>
  <c r="HT585" i="40"/>
  <c r="IC585" i="40" s="1"/>
  <c r="HT583" i="40"/>
  <c r="IC583" i="40" s="1"/>
  <c r="HT587" i="40"/>
  <c r="IC587" i="40" s="1"/>
  <c r="HT584" i="40"/>
  <c r="IC584" i="40" s="1"/>
  <c r="HT582" i="40"/>
  <c r="IC582" i="40" s="1"/>
  <c r="HT586" i="40"/>
  <c r="IC586" i="40" s="1"/>
  <c r="HS282" i="40"/>
  <c r="HS287" i="40"/>
  <c r="HS284" i="40"/>
  <c r="HS286" i="40"/>
  <c r="HS283" i="40"/>
  <c r="HS285" i="40"/>
  <c r="HT482" i="40"/>
  <c r="IC482" i="40" s="1"/>
  <c r="HT485" i="40"/>
  <c r="IC485" i="40" s="1"/>
  <c r="HT486" i="40"/>
  <c r="IC486" i="40" s="1"/>
  <c r="HT483" i="40"/>
  <c r="IC483" i="40" s="1"/>
  <c r="HT484" i="40"/>
  <c r="IC484" i="40" s="1"/>
  <c r="HT487" i="40"/>
  <c r="IC487" i="40" s="1"/>
  <c r="HU584" i="40"/>
  <c r="ID584" i="40" s="1"/>
  <c r="HU582" i="40"/>
  <c r="ID582" i="40" s="1"/>
  <c r="HU586" i="40"/>
  <c r="ID586" i="40" s="1"/>
  <c r="HU583" i="40"/>
  <c r="ID583" i="40" s="1"/>
  <c r="HU585" i="40"/>
  <c r="ID585" i="40" s="1"/>
  <c r="HU587" i="40"/>
  <c r="ID587" i="40" s="1"/>
  <c r="HS482" i="40"/>
  <c r="JI482" i="40" s="1"/>
  <c r="JK482" i="40" s="1"/>
  <c r="HS487" i="40"/>
  <c r="HS485" i="40"/>
  <c r="HS484" i="40"/>
  <c r="HS486" i="40"/>
  <c r="HS483" i="40"/>
  <c r="HT449" i="40"/>
  <c r="IC449" i="40" s="1"/>
  <c r="HT430" i="40"/>
  <c r="IC430" i="40" s="1"/>
  <c r="HT410" i="40"/>
  <c r="IC410" i="40" s="1"/>
  <c r="HT408" i="40"/>
  <c r="IC408" i="40" s="1"/>
  <c r="HT469" i="40"/>
  <c r="IC469" i="40" s="1"/>
  <c r="HT457" i="40"/>
  <c r="IC457" i="40" s="1"/>
  <c r="HT427" i="40"/>
  <c r="IC427" i="40" s="1"/>
  <c r="HT416" i="40"/>
  <c r="IC416" i="40" s="1"/>
  <c r="HT472" i="40"/>
  <c r="IC472" i="40" s="1"/>
  <c r="HT464" i="40"/>
  <c r="IC464" i="40" s="1"/>
  <c r="HT413" i="40"/>
  <c r="IC413" i="40" s="1"/>
  <c r="HT403" i="40"/>
  <c r="IC403" i="40" s="1"/>
  <c r="HT448" i="40"/>
  <c r="IC448" i="40" s="1"/>
  <c r="HT429" i="40"/>
  <c r="IC429" i="40" s="1"/>
  <c r="HT422" i="40"/>
  <c r="IC422" i="40" s="1"/>
  <c r="HT418" i="40"/>
  <c r="IC418" i="40" s="1"/>
  <c r="HT456" i="40"/>
  <c r="IC456" i="40" s="1"/>
  <c r="HT454" i="40"/>
  <c r="IC454" i="40" s="1"/>
  <c r="HT447" i="40"/>
  <c r="IC447" i="40" s="1"/>
  <c r="HT446" i="40"/>
  <c r="IC446" i="40" s="1"/>
  <c r="HT439" i="40"/>
  <c r="IC439" i="40" s="1"/>
  <c r="HT426" i="40"/>
  <c r="IC426" i="40" s="1"/>
  <c r="HT402" i="40"/>
  <c r="IC402" i="40" s="1"/>
  <c r="HT404" i="40"/>
  <c r="IC404" i="40" s="1"/>
  <c r="HT438" i="40"/>
  <c r="IC438" i="40" s="1"/>
  <c r="HT437" i="40"/>
  <c r="IC437" i="40" s="1"/>
  <c r="HT431" i="40"/>
  <c r="IC431" i="40" s="1"/>
  <c r="HT428" i="40"/>
  <c r="IC428" i="40" s="1"/>
  <c r="HT481" i="40"/>
  <c r="IC481" i="40" s="1"/>
  <c r="HT480" i="40"/>
  <c r="IC480" i="40" s="1"/>
  <c r="HT477" i="40"/>
  <c r="IC477" i="40" s="1"/>
  <c r="HT478" i="40"/>
  <c r="IC478" i="40" s="1"/>
  <c r="HT471" i="40"/>
  <c r="IC471" i="40" s="1"/>
  <c r="HT462" i="40"/>
  <c r="IC462" i="40" s="1"/>
  <c r="HT450" i="40"/>
  <c r="IC450" i="40" s="1"/>
  <c r="HT444" i="40"/>
  <c r="IC444" i="40" s="1"/>
  <c r="HT421" i="40"/>
  <c r="IC421" i="40" s="1"/>
  <c r="HT419" i="40"/>
  <c r="IC419" i="40" s="1"/>
  <c r="HT405" i="40"/>
  <c r="IC405" i="40" s="1"/>
  <c r="HT401" i="40"/>
  <c r="IC401" i="40" s="1"/>
  <c r="HT466" i="40"/>
  <c r="IC466" i="40" s="1"/>
  <c r="HT443" i="40"/>
  <c r="IC443" i="40" s="1"/>
  <c r="HT433" i="40"/>
  <c r="IC433" i="40" s="1"/>
  <c r="HT424" i="40"/>
  <c r="IC424" i="40" s="1"/>
  <c r="HT479" i="40"/>
  <c r="IC479" i="40" s="1"/>
  <c r="HT474" i="40"/>
  <c r="IC474" i="40" s="1"/>
  <c r="HT473" i="40"/>
  <c r="IC473" i="40" s="1"/>
  <c r="HT412" i="40"/>
  <c r="IC412" i="40" s="1"/>
  <c r="HT460" i="40"/>
  <c r="IC460" i="40" s="1"/>
  <c r="HT423" i="40"/>
  <c r="IC423" i="40" s="1"/>
  <c r="HT414" i="40"/>
  <c r="IC414" i="40" s="1"/>
  <c r="HT463" i="40"/>
  <c r="IC463" i="40" s="1"/>
  <c r="HT455" i="40"/>
  <c r="IC455" i="40" s="1"/>
  <c r="HT453" i="40"/>
  <c r="IC453" i="40" s="1"/>
  <c r="HT452" i="40"/>
  <c r="IC452" i="40" s="1"/>
  <c r="HT441" i="40"/>
  <c r="IC441" i="40" s="1"/>
  <c r="HT432" i="40"/>
  <c r="IC432" i="40" s="1"/>
  <c r="HT411" i="40"/>
  <c r="IC411" i="40" s="1"/>
  <c r="HT435" i="40"/>
  <c r="IC435" i="40" s="1"/>
  <c r="HT470" i="40"/>
  <c r="IC470" i="40" s="1"/>
  <c r="HT467" i="40"/>
  <c r="IC467" i="40" s="1"/>
  <c r="HT461" i="40"/>
  <c r="IC461" i="40" s="1"/>
  <c r="HT458" i="40"/>
  <c r="IC458" i="40" s="1"/>
  <c r="HT442" i="40"/>
  <c r="IC442" i="40" s="1"/>
  <c r="HT425" i="40"/>
  <c r="IC425" i="40" s="1"/>
  <c r="HT415" i="40"/>
  <c r="IC415" i="40" s="1"/>
  <c r="HT409" i="40"/>
  <c r="IC409" i="40" s="1"/>
  <c r="HT406" i="40"/>
  <c r="IC406" i="40" s="1"/>
  <c r="HT465" i="40"/>
  <c r="IC465" i="40" s="1"/>
  <c r="HT476" i="40"/>
  <c r="IC476" i="40" s="1"/>
  <c r="HT468" i="40"/>
  <c r="IC468" i="40" s="1"/>
  <c r="HT451" i="40"/>
  <c r="IC451" i="40" s="1"/>
  <c r="HT445" i="40"/>
  <c r="IC445" i="40" s="1"/>
  <c r="HT440" i="40"/>
  <c r="IC440" i="40" s="1"/>
  <c r="HT420" i="40"/>
  <c r="IC420" i="40" s="1"/>
  <c r="HT475" i="40"/>
  <c r="IC475" i="40" s="1"/>
  <c r="HT459" i="40"/>
  <c r="IC459" i="40" s="1"/>
  <c r="HT417" i="40"/>
  <c r="IC417" i="40" s="1"/>
  <c r="HT436" i="40"/>
  <c r="IC436" i="40" s="1"/>
  <c r="HT434" i="40"/>
  <c r="IC434" i="40" s="1"/>
  <c r="HT407" i="40"/>
  <c r="IC407" i="40" s="1"/>
  <c r="HU475" i="40"/>
  <c r="ID475" i="40" s="1"/>
  <c r="HU447" i="40"/>
  <c r="ID447" i="40" s="1"/>
  <c r="HU446" i="40"/>
  <c r="ID446" i="40" s="1"/>
  <c r="HU445" i="40"/>
  <c r="ID445" i="40" s="1"/>
  <c r="HU427" i="40"/>
  <c r="ID427" i="40" s="1"/>
  <c r="HU421" i="40"/>
  <c r="ID421" i="40" s="1"/>
  <c r="HU461" i="40"/>
  <c r="ID461" i="40" s="1"/>
  <c r="HU429" i="40"/>
  <c r="ID429" i="40" s="1"/>
  <c r="HU452" i="40"/>
  <c r="ID452" i="40" s="1"/>
  <c r="HU407" i="40"/>
  <c r="ID407" i="40" s="1"/>
  <c r="HU468" i="40"/>
  <c r="ID468" i="40" s="1"/>
  <c r="HU448" i="40"/>
  <c r="ID448" i="40" s="1"/>
  <c r="HU442" i="40"/>
  <c r="ID442" i="40" s="1"/>
  <c r="HU435" i="40"/>
  <c r="ID435" i="40" s="1"/>
  <c r="HU428" i="40"/>
  <c r="ID428" i="40" s="1"/>
  <c r="HU418" i="40"/>
  <c r="ID418" i="40" s="1"/>
  <c r="HU411" i="40"/>
  <c r="ID411" i="40" s="1"/>
  <c r="IB411" i="40" s="1"/>
  <c r="IE411" i="40" s="1"/>
  <c r="HU467" i="40"/>
  <c r="ID467" i="40" s="1"/>
  <c r="HU457" i="40"/>
  <c r="ID457" i="40" s="1"/>
  <c r="HU441" i="40"/>
  <c r="ID441" i="40" s="1"/>
  <c r="HU437" i="40"/>
  <c r="ID437" i="40" s="1"/>
  <c r="HU404" i="40"/>
  <c r="ID404" i="40" s="1"/>
  <c r="HU470" i="40"/>
  <c r="ID470" i="40" s="1"/>
  <c r="HU469" i="40"/>
  <c r="ID469" i="40" s="1"/>
  <c r="HU466" i="40"/>
  <c r="ID466" i="40" s="1"/>
  <c r="HU465" i="40"/>
  <c r="ID465" i="40" s="1"/>
  <c r="HU430" i="40"/>
  <c r="ID430" i="40" s="1"/>
  <c r="HU419" i="40"/>
  <c r="ID419" i="40" s="1"/>
  <c r="HU415" i="40"/>
  <c r="ID415" i="40" s="1"/>
  <c r="HU403" i="40"/>
  <c r="ID403" i="40" s="1"/>
  <c r="HU473" i="40"/>
  <c r="ID473" i="40" s="1"/>
  <c r="HU463" i="40"/>
  <c r="ID463" i="40" s="1"/>
  <c r="HU458" i="40"/>
  <c r="ID458" i="40" s="1"/>
  <c r="HU451" i="40"/>
  <c r="ID451" i="40" s="1"/>
  <c r="HU438" i="40"/>
  <c r="ID438" i="40" s="1"/>
  <c r="HU431" i="40"/>
  <c r="ID431" i="40" s="1"/>
  <c r="HU417" i="40"/>
  <c r="ID417" i="40" s="1"/>
  <c r="HU414" i="40"/>
  <c r="ID414" i="40" s="1"/>
  <c r="HU412" i="40"/>
  <c r="ID412" i="40" s="1"/>
  <c r="IB412" i="40" s="1"/>
  <c r="IE412" i="40" s="1"/>
  <c r="HU480" i="40"/>
  <c r="ID480" i="40" s="1"/>
  <c r="HU425" i="40"/>
  <c r="ID425" i="40" s="1"/>
  <c r="HU409" i="40"/>
  <c r="ID409" i="40" s="1"/>
  <c r="HU459" i="40"/>
  <c r="ID459" i="40" s="1"/>
  <c r="HU444" i="40"/>
  <c r="ID444" i="40" s="1"/>
  <c r="HU432" i="40"/>
  <c r="ID432" i="40" s="1"/>
  <c r="HU424" i="40"/>
  <c r="ID424" i="40" s="1"/>
  <c r="HU479" i="40"/>
  <c r="ID479" i="40" s="1"/>
  <c r="HU471" i="40"/>
  <c r="ID471" i="40" s="1"/>
  <c r="HU464" i="40"/>
  <c r="ID464" i="40" s="1"/>
  <c r="IB464" i="40" s="1"/>
  <c r="IE464" i="40" s="1"/>
  <c r="HU454" i="40"/>
  <c r="ID454" i="40" s="1"/>
  <c r="HU456" i="40"/>
  <c r="ID456" i="40" s="1"/>
  <c r="HU440" i="40"/>
  <c r="ID440" i="40" s="1"/>
  <c r="HU434" i="40"/>
  <c r="ID434" i="40" s="1"/>
  <c r="HU426" i="40"/>
  <c r="ID426" i="40" s="1"/>
  <c r="HU478" i="40"/>
  <c r="ID478" i="40" s="1"/>
  <c r="IB478" i="40" s="1"/>
  <c r="IE478" i="40" s="1"/>
  <c r="HU476" i="40"/>
  <c r="ID476" i="40" s="1"/>
  <c r="HU443" i="40"/>
  <c r="ID443" i="40" s="1"/>
  <c r="HU422" i="40"/>
  <c r="ID422" i="40" s="1"/>
  <c r="HU416" i="40"/>
  <c r="ID416" i="40" s="1"/>
  <c r="HU408" i="40"/>
  <c r="ID408" i="40" s="1"/>
  <c r="HU455" i="40"/>
  <c r="ID455" i="40" s="1"/>
  <c r="HU436" i="40"/>
  <c r="ID436" i="40" s="1"/>
  <c r="HU460" i="40"/>
  <c r="ID460" i="40" s="1"/>
  <c r="HU474" i="40"/>
  <c r="ID474" i="40" s="1"/>
  <c r="HU472" i="40"/>
  <c r="ID472" i="40" s="1"/>
  <c r="HU449" i="40"/>
  <c r="ID449" i="40" s="1"/>
  <c r="HU439" i="40"/>
  <c r="ID439" i="40" s="1"/>
  <c r="HU420" i="40"/>
  <c r="ID420" i="40" s="1"/>
  <c r="HU413" i="40"/>
  <c r="ID413" i="40" s="1"/>
  <c r="HU405" i="40"/>
  <c r="ID405" i="40" s="1"/>
  <c r="HU401" i="40"/>
  <c r="ID401" i="40" s="1"/>
  <c r="IB401" i="40" s="1"/>
  <c r="IE401" i="40" s="1"/>
  <c r="HU481" i="40"/>
  <c r="ID481" i="40" s="1"/>
  <c r="HU450" i="40"/>
  <c r="ID450" i="40" s="1"/>
  <c r="HU402" i="40"/>
  <c r="ID402" i="40" s="1"/>
  <c r="HU477" i="40"/>
  <c r="ID477" i="40" s="1"/>
  <c r="HU462" i="40"/>
  <c r="ID462" i="40" s="1"/>
  <c r="HU433" i="40"/>
  <c r="ID433" i="40" s="1"/>
  <c r="HU410" i="40"/>
  <c r="ID410" i="40" s="1"/>
  <c r="HU406" i="40"/>
  <c r="ID406" i="40" s="1"/>
  <c r="HU453" i="40"/>
  <c r="ID453" i="40" s="1"/>
  <c r="HU423" i="40"/>
  <c r="ID423" i="40" s="1"/>
  <c r="HS278" i="40"/>
  <c r="HS261" i="40"/>
  <c r="HS258" i="40"/>
  <c r="HS239" i="40"/>
  <c r="HS234" i="40"/>
  <c r="HS206" i="40"/>
  <c r="HS273" i="40"/>
  <c r="HS271" i="40"/>
  <c r="HS264" i="40"/>
  <c r="HS254" i="40"/>
  <c r="HS228" i="40"/>
  <c r="HS224" i="40"/>
  <c r="HS280" i="40"/>
  <c r="HS274" i="40"/>
  <c r="HS263" i="40"/>
  <c r="HS255" i="40"/>
  <c r="HS247" i="40"/>
  <c r="HS219" i="40"/>
  <c r="HS213" i="40"/>
  <c r="HS211" i="40"/>
  <c r="HS259" i="40"/>
  <c r="HS253" i="40"/>
  <c r="HS251" i="40"/>
  <c r="HS227" i="40"/>
  <c r="HS207" i="40"/>
  <c r="HS205" i="40"/>
  <c r="HS268" i="40"/>
  <c r="HS245" i="40"/>
  <c r="HS241" i="40"/>
  <c r="HS230" i="40"/>
  <c r="HS212" i="40"/>
  <c r="HS277" i="40"/>
  <c r="HS265" i="40"/>
  <c r="HS269" i="40"/>
  <c r="HS242" i="40"/>
  <c r="HS257" i="40"/>
  <c r="HS237" i="40"/>
  <c r="HS246" i="40"/>
  <c r="HS221" i="40"/>
  <c r="HS249" i="40"/>
  <c r="HS240" i="40"/>
  <c r="HS222" i="40"/>
  <c r="HS218" i="40"/>
  <c r="HS216" i="40"/>
  <c r="HS209" i="40"/>
  <c r="HS203" i="40"/>
  <c r="HS272" i="40"/>
  <c r="HS275" i="40"/>
  <c r="HS226" i="40"/>
  <c r="HS214" i="40"/>
  <c r="HS276" i="40"/>
  <c r="HS244" i="40"/>
  <c r="HS232" i="40"/>
  <c r="HS223" i="40"/>
  <c r="HS208" i="40"/>
  <c r="HS201" i="40"/>
  <c r="HS248" i="40"/>
  <c r="HS243" i="40"/>
  <c r="HS236" i="40"/>
  <c r="HS220" i="40"/>
  <c r="HS281" i="40"/>
  <c r="HS279" i="40"/>
  <c r="HS270" i="40"/>
  <c r="HS250" i="40"/>
  <c r="HS231" i="40"/>
  <c r="HS225" i="40"/>
  <c r="HS262" i="40"/>
  <c r="HS233" i="40"/>
  <c r="HS229" i="40"/>
  <c r="HS202" i="40"/>
  <c r="HS266" i="40"/>
  <c r="HS260" i="40"/>
  <c r="HS252" i="40"/>
  <c r="HS235" i="40"/>
  <c r="HS217" i="40"/>
  <c r="HS204" i="40"/>
  <c r="HS267" i="40"/>
  <c r="HS256" i="40"/>
  <c r="HS238" i="40"/>
  <c r="HS215" i="40"/>
  <c r="HS210" i="40"/>
  <c r="HT581" i="40"/>
  <c r="IC581" i="40" s="1"/>
  <c r="HT578" i="40"/>
  <c r="IC578" i="40" s="1"/>
  <c r="HT566" i="40"/>
  <c r="IC566" i="40" s="1"/>
  <c r="HT574" i="40"/>
  <c r="IC574" i="40" s="1"/>
  <c r="HT564" i="40"/>
  <c r="IC564" i="40" s="1"/>
  <c r="HT554" i="40"/>
  <c r="IC554" i="40" s="1"/>
  <c r="HT531" i="40"/>
  <c r="IC531" i="40" s="1"/>
  <c r="HT529" i="40"/>
  <c r="IC529" i="40" s="1"/>
  <c r="HT519" i="40"/>
  <c r="IC519" i="40" s="1"/>
  <c r="HT517" i="40"/>
  <c r="IC517" i="40" s="1"/>
  <c r="HT579" i="40"/>
  <c r="IC579" i="40" s="1"/>
  <c r="HT577" i="40"/>
  <c r="IC577" i="40" s="1"/>
  <c r="HT575" i="40"/>
  <c r="IC575" i="40" s="1"/>
  <c r="HT571" i="40"/>
  <c r="IC571" i="40" s="1"/>
  <c r="HT513" i="40"/>
  <c r="IC513" i="40" s="1"/>
  <c r="HT563" i="40"/>
  <c r="IC563" i="40" s="1"/>
  <c r="HT535" i="40"/>
  <c r="IC535" i="40" s="1"/>
  <c r="HT532" i="40"/>
  <c r="IC532" i="40" s="1"/>
  <c r="HT523" i="40"/>
  <c r="IC523" i="40" s="1"/>
  <c r="HT580" i="40"/>
  <c r="IC580" i="40" s="1"/>
  <c r="HT558" i="40"/>
  <c r="IC558" i="40" s="1"/>
  <c r="HT536" i="40"/>
  <c r="IC536" i="40" s="1"/>
  <c r="HT515" i="40"/>
  <c r="IC515" i="40" s="1"/>
  <c r="HT506" i="40"/>
  <c r="IC506" i="40" s="1"/>
  <c r="HT572" i="40"/>
  <c r="IC572" i="40" s="1"/>
  <c r="HT570" i="40"/>
  <c r="IC570" i="40" s="1"/>
  <c r="HT550" i="40"/>
  <c r="IC550" i="40" s="1"/>
  <c r="HT543" i="40"/>
  <c r="IC543" i="40" s="1"/>
  <c r="HT537" i="40"/>
  <c r="IC537" i="40" s="1"/>
  <c r="HT520" i="40"/>
  <c r="IC520" i="40" s="1"/>
  <c r="HT521" i="40"/>
  <c r="IC521" i="40" s="1"/>
  <c r="HT518" i="40"/>
  <c r="IC518" i="40" s="1"/>
  <c r="HT514" i="40"/>
  <c r="IC514" i="40" s="1"/>
  <c r="HT501" i="40"/>
  <c r="IC501" i="40" s="1"/>
  <c r="HT565" i="40"/>
  <c r="IC565" i="40" s="1"/>
  <c r="HT569" i="40"/>
  <c r="IC569" i="40" s="1"/>
  <c r="HT561" i="40"/>
  <c r="IC561" i="40" s="1"/>
  <c r="HT555" i="40"/>
  <c r="IC555" i="40" s="1"/>
  <c r="HT553" i="40"/>
  <c r="IC553" i="40" s="1"/>
  <c r="HT544" i="40"/>
  <c r="IC544" i="40" s="1"/>
  <c r="HT534" i="40"/>
  <c r="IC534" i="40" s="1"/>
  <c r="HT533" i="40"/>
  <c r="IC533" i="40" s="1"/>
  <c r="HT511" i="40"/>
  <c r="IC511" i="40" s="1"/>
  <c r="HT540" i="40"/>
  <c r="IC540" i="40" s="1"/>
  <c r="HT538" i="40"/>
  <c r="IC538" i="40" s="1"/>
  <c r="HT530" i="40"/>
  <c r="IC530" i="40" s="1"/>
  <c r="HT505" i="40"/>
  <c r="IC505" i="40" s="1"/>
  <c r="HT573" i="40"/>
  <c r="IC573" i="40" s="1"/>
  <c r="HT560" i="40"/>
  <c r="IC560" i="40" s="1"/>
  <c r="HT546" i="40"/>
  <c r="IC546" i="40" s="1"/>
  <c r="HT504" i="40"/>
  <c r="IC504" i="40" s="1"/>
  <c r="HT559" i="40"/>
  <c r="IC559" i="40" s="1"/>
  <c r="HT576" i="40"/>
  <c r="IC576" i="40" s="1"/>
  <c r="HT542" i="40"/>
  <c r="IC542" i="40" s="1"/>
  <c r="HT526" i="40"/>
  <c r="IC526" i="40" s="1"/>
  <c r="HT522" i="40"/>
  <c r="IC522" i="40" s="1"/>
  <c r="HT508" i="40"/>
  <c r="IC508" i="40" s="1"/>
  <c r="HT507" i="40"/>
  <c r="IC507" i="40" s="1"/>
  <c r="HT567" i="40"/>
  <c r="IC567" i="40" s="1"/>
  <c r="HT562" i="40"/>
  <c r="IC562" i="40" s="1"/>
  <c r="HT551" i="40"/>
  <c r="IC551" i="40" s="1"/>
  <c r="HT549" i="40"/>
  <c r="IC549" i="40" s="1"/>
  <c r="HT539" i="40"/>
  <c r="IC539" i="40" s="1"/>
  <c r="HT528" i="40"/>
  <c r="IC528" i="40" s="1"/>
  <c r="HT509" i="40"/>
  <c r="IC509" i="40" s="1"/>
  <c r="HT547" i="40"/>
  <c r="IC547" i="40" s="1"/>
  <c r="HT556" i="40"/>
  <c r="IC556" i="40" s="1"/>
  <c r="HT552" i="40"/>
  <c r="IC552" i="40" s="1"/>
  <c r="HT525" i="40"/>
  <c r="IC525" i="40" s="1"/>
  <c r="HT516" i="40"/>
  <c r="IC516" i="40" s="1"/>
  <c r="HT568" i="40"/>
  <c r="IC568" i="40" s="1"/>
  <c r="HT527" i="40"/>
  <c r="IC527" i="40" s="1"/>
  <c r="HT510" i="40"/>
  <c r="IC510" i="40" s="1"/>
  <c r="HT503" i="40"/>
  <c r="IC503" i="40" s="1"/>
  <c r="HT545" i="40"/>
  <c r="IC545" i="40" s="1"/>
  <c r="HT524" i="40"/>
  <c r="IC524" i="40" s="1"/>
  <c r="HT502" i="40"/>
  <c r="IC502" i="40" s="1"/>
  <c r="HT557" i="40"/>
  <c r="IC557" i="40" s="1"/>
  <c r="HT548" i="40"/>
  <c r="IC548" i="40" s="1"/>
  <c r="HT541" i="40"/>
  <c r="IC541" i="40" s="1"/>
  <c r="HT512" i="40"/>
  <c r="IC512" i="40" s="1"/>
  <c r="KT151" i="40"/>
  <c r="KU150" i="40"/>
  <c r="I64" i="70" s="1"/>
  <c r="HU551" i="40"/>
  <c r="ID551" i="40" s="1"/>
  <c r="HU549" i="40"/>
  <c r="ID549" i="40" s="1"/>
  <c r="HU535" i="40"/>
  <c r="ID535" i="40" s="1"/>
  <c r="HU510" i="40"/>
  <c r="ID510" i="40" s="1"/>
  <c r="HU558" i="40"/>
  <c r="ID558" i="40" s="1"/>
  <c r="HU573" i="40"/>
  <c r="ID573" i="40" s="1"/>
  <c r="HU566" i="40"/>
  <c r="ID566" i="40" s="1"/>
  <c r="HU562" i="40"/>
  <c r="ID562" i="40" s="1"/>
  <c r="HU543" i="40"/>
  <c r="ID543" i="40" s="1"/>
  <c r="HU533" i="40"/>
  <c r="ID533" i="40" s="1"/>
  <c r="HU522" i="40"/>
  <c r="ID522" i="40" s="1"/>
  <c r="HU505" i="40"/>
  <c r="ID505" i="40" s="1"/>
  <c r="HU581" i="40"/>
  <c r="ID581" i="40" s="1"/>
  <c r="HU576" i="40"/>
  <c r="ID576" i="40" s="1"/>
  <c r="HU568" i="40"/>
  <c r="ID568" i="40" s="1"/>
  <c r="HU557" i="40"/>
  <c r="ID557" i="40" s="1"/>
  <c r="HU550" i="40"/>
  <c r="ID550" i="40" s="1"/>
  <c r="HU548" i="40"/>
  <c r="ID548" i="40" s="1"/>
  <c r="HU528" i="40"/>
  <c r="ID528" i="40" s="1"/>
  <c r="HU525" i="40"/>
  <c r="ID525" i="40" s="1"/>
  <c r="HU509" i="40"/>
  <c r="ID509" i="40" s="1"/>
  <c r="HU553" i="40"/>
  <c r="ID553" i="40" s="1"/>
  <c r="HU502" i="40"/>
  <c r="ID502" i="40" s="1"/>
  <c r="HU512" i="40"/>
  <c r="ID512" i="40" s="1"/>
  <c r="HU541" i="40"/>
  <c r="ID541" i="40" s="1"/>
  <c r="HU519" i="40"/>
  <c r="ID519" i="40" s="1"/>
  <c r="HU578" i="40"/>
  <c r="ID578" i="40" s="1"/>
  <c r="HU575" i="40"/>
  <c r="ID575" i="40" s="1"/>
  <c r="HU565" i="40"/>
  <c r="ID565" i="40" s="1"/>
  <c r="HU563" i="40"/>
  <c r="ID563" i="40" s="1"/>
  <c r="HU538" i="40"/>
  <c r="ID538" i="40" s="1"/>
  <c r="HU504" i="40"/>
  <c r="ID504" i="40" s="1"/>
  <c r="HU501" i="40"/>
  <c r="ID501" i="40" s="1"/>
  <c r="HU580" i="40"/>
  <c r="ID580" i="40" s="1"/>
  <c r="HU560" i="40"/>
  <c r="ID560" i="40" s="1"/>
  <c r="HU546" i="40"/>
  <c r="ID546" i="40" s="1"/>
  <c r="HU542" i="40"/>
  <c r="ID542" i="40" s="1"/>
  <c r="HU529" i="40"/>
  <c r="ID529" i="40" s="1"/>
  <c r="HU514" i="40"/>
  <c r="ID514" i="40" s="1"/>
  <c r="HU515" i="40"/>
  <c r="ID515" i="40" s="1"/>
  <c r="HU555" i="40"/>
  <c r="ID555" i="40" s="1"/>
  <c r="HU530" i="40"/>
  <c r="ID530" i="40" s="1"/>
  <c r="HU513" i="40"/>
  <c r="ID513" i="40" s="1"/>
  <c r="HU556" i="40"/>
  <c r="ID556" i="40" s="1"/>
  <c r="HU552" i="40"/>
  <c r="ID552" i="40" s="1"/>
  <c r="HU536" i="40"/>
  <c r="ID536" i="40" s="1"/>
  <c r="HU534" i="40"/>
  <c r="ID534" i="40" s="1"/>
  <c r="HU531" i="40"/>
  <c r="ID531" i="40" s="1"/>
  <c r="HU520" i="40"/>
  <c r="ID520" i="40" s="1"/>
  <c r="HU574" i="40"/>
  <c r="ID574" i="40" s="1"/>
  <c r="HU569" i="40"/>
  <c r="ID569" i="40" s="1"/>
  <c r="HU561" i="40"/>
  <c r="ID561" i="40" s="1"/>
  <c r="HU517" i="40"/>
  <c r="ID517" i="40" s="1"/>
  <c r="HU508" i="40"/>
  <c r="ID508" i="40" s="1"/>
  <c r="HU506" i="40"/>
  <c r="ID506" i="40" s="1"/>
  <c r="HU572" i="40"/>
  <c r="ID572" i="40" s="1"/>
  <c r="HU567" i="40"/>
  <c r="ID567" i="40" s="1"/>
  <c r="HU545" i="40"/>
  <c r="ID545" i="40" s="1"/>
  <c r="HU526" i="40"/>
  <c r="ID526" i="40" s="1"/>
  <c r="HU524" i="40"/>
  <c r="ID524" i="40" s="1"/>
  <c r="HU521" i="40"/>
  <c r="ID521" i="40" s="1"/>
  <c r="HU518" i="40"/>
  <c r="ID518" i="40" s="1"/>
  <c r="HU579" i="40"/>
  <c r="ID579" i="40" s="1"/>
  <c r="HU554" i="40"/>
  <c r="ID554" i="40" s="1"/>
  <c r="HU544" i="40"/>
  <c r="ID544" i="40" s="1"/>
  <c r="HU539" i="40"/>
  <c r="ID539" i="40" s="1"/>
  <c r="HU564" i="40"/>
  <c r="ID564" i="40" s="1"/>
  <c r="HU532" i="40"/>
  <c r="ID532" i="40" s="1"/>
  <c r="HU577" i="40"/>
  <c r="ID577" i="40" s="1"/>
  <c r="HU570" i="40"/>
  <c r="ID570" i="40" s="1"/>
  <c r="HU547" i="40"/>
  <c r="ID547" i="40" s="1"/>
  <c r="HU527" i="40"/>
  <c r="ID527" i="40" s="1"/>
  <c r="HU523" i="40"/>
  <c r="ID523" i="40" s="1"/>
  <c r="HU571" i="40"/>
  <c r="ID571" i="40" s="1"/>
  <c r="HU559" i="40"/>
  <c r="ID559" i="40" s="1"/>
  <c r="HU540" i="40"/>
  <c r="ID540" i="40" s="1"/>
  <c r="HU511" i="40"/>
  <c r="ID511" i="40" s="1"/>
  <c r="HU503" i="40"/>
  <c r="ID503" i="40" s="1"/>
  <c r="HU537" i="40"/>
  <c r="ID537" i="40" s="1"/>
  <c r="HU516" i="40"/>
  <c r="ID516" i="40" s="1"/>
  <c r="HU507" i="40"/>
  <c r="ID507" i="40" s="1"/>
  <c r="KC304" i="40"/>
  <c r="KD304" i="40" s="1"/>
  <c r="KE304" i="40" s="1"/>
  <c r="KG303" i="40"/>
  <c r="JI428" i="40"/>
  <c r="JK428" i="40" s="1"/>
  <c r="JI446" i="40"/>
  <c r="JK446" i="40" s="1"/>
  <c r="IB470" i="40"/>
  <c r="IE470" i="40" s="1"/>
  <c r="KC205" i="40"/>
  <c r="KD205" i="40" s="1"/>
  <c r="KE205" i="40" s="1"/>
  <c r="KG205" i="40" s="1"/>
  <c r="KG204" i="40"/>
  <c r="IB437" i="40" l="1"/>
  <c r="IE437" i="40" s="1"/>
  <c r="JI423" i="40"/>
  <c r="JK423" i="40" s="1"/>
  <c r="JI461" i="40"/>
  <c r="JK461" i="40" s="1"/>
  <c r="JI478" i="40"/>
  <c r="JK478" i="40" s="1"/>
  <c r="JI470" i="40"/>
  <c r="JK470" i="40" s="1"/>
  <c r="JI404" i="40"/>
  <c r="JK404" i="40" s="1"/>
  <c r="IB446" i="40"/>
  <c r="IE446" i="40" s="1"/>
  <c r="IB428" i="40"/>
  <c r="IE428" i="40" s="1"/>
  <c r="JI434" i="40"/>
  <c r="JK434" i="40" s="1"/>
  <c r="IB475" i="40"/>
  <c r="IE475" i="40" s="1"/>
  <c r="JI409" i="40"/>
  <c r="JK409" i="40" s="1"/>
  <c r="E18" i="59" s="1"/>
  <c r="IB435" i="40"/>
  <c r="IE435" i="40" s="1"/>
  <c r="IB447" i="40"/>
  <c r="IE447" i="40" s="1"/>
  <c r="JI468" i="40"/>
  <c r="JK468" i="40" s="1"/>
  <c r="IB403" i="40"/>
  <c r="IB414" i="40"/>
  <c r="IE414" i="40" s="1"/>
  <c r="IB424" i="40"/>
  <c r="IE424" i="40" s="1"/>
  <c r="JI475" i="40"/>
  <c r="JK475" i="40" s="1"/>
  <c r="JI437" i="40"/>
  <c r="JK437" i="40" s="1"/>
  <c r="JI458" i="40"/>
  <c r="JK458" i="40" s="1"/>
  <c r="IB430" i="40"/>
  <c r="IE430" i="40" s="1"/>
  <c r="IB442" i="40"/>
  <c r="IE442" i="40" s="1"/>
  <c r="IB434" i="40"/>
  <c r="IE434" i="40" s="1"/>
  <c r="IB423" i="40"/>
  <c r="IE423" i="40" s="1"/>
  <c r="JI430" i="40"/>
  <c r="JK430" i="40" s="1"/>
  <c r="IB415" i="40"/>
  <c r="IE415" i="40" s="1"/>
  <c r="JI442" i="40"/>
  <c r="JK442" i="40" s="1"/>
  <c r="JI415" i="40"/>
  <c r="JK415" i="40" s="1"/>
  <c r="IB443" i="40"/>
  <c r="IE443" i="40" s="1"/>
  <c r="JI487" i="40"/>
  <c r="JK487" i="40" s="1"/>
  <c r="JI413" i="40"/>
  <c r="JK413" i="40" s="1"/>
  <c r="IB461" i="40"/>
  <c r="IE461" i="40" s="1"/>
  <c r="JI443" i="40"/>
  <c r="JK443" i="40" s="1"/>
  <c r="JI417" i="40"/>
  <c r="JK417" i="40" s="1"/>
  <c r="IB457" i="40"/>
  <c r="IE457" i="40" s="1"/>
  <c r="JI480" i="40"/>
  <c r="JK480" i="40" s="1"/>
  <c r="JI457" i="40"/>
  <c r="JK457" i="40" s="1"/>
  <c r="IB521" i="40"/>
  <c r="IE521" i="40" s="1"/>
  <c r="JI510" i="40"/>
  <c r="JK510" i="40" s="1"/>
  <c r="F19" i="59" s="1"/>
  <c r="JI481" i="40"/>
  <c r="JK481" i="40" s="1"/>
  <c r="JI456" i="40"/>
  <c r="JK456" i="40" s="1"/>
  <c r="JI421" i="40"/>
  <c r="JK421" i="40" s="1"/>
  <c r="IB504" i="40"/>
  <c r="IE504" i="40" s="1"/>
  <c r="JI408" i="40"/>
  <c r="JK408" i="40" s="1"/>
  <c r="JI460" i="40"/>
  <c r="JK460" i="40" s="1"/>
  <c r="JI472" i="40"/>
  <c r="JK472" i="40" s="1"/>
  <c r="IB463" i="40"/>
  <c r="IE463" i="40" s="1"/>
  <c r="IB566" i="40"/>
  <c r="IE566" i="40" s="1"/>
  <c r="JI444" i="40"/>
  <c r="JK444" i="40" s="1"/>
  <c r="JI441" i="40"/>
  <c r="JK441" i="40" s="1"/>
  <c r="JI515" i="40"/>
  <c r="JK515" i="40" s="1"/>
  <c r="IB429" i="40"/>
  <c r="IE429" i="40" s="1"/>
  <c r="IB433" i="40"/>
  <c r="IE433" i="40" s="1"/>
  <c r="JI453" i="40"/>
  <c r="JK453" i="40" s="1"/>
  <c r="JI431" i="40"/>
  <c r="JK431" i="40" s="1"/>
  <c r="JI432" i="40"/>
  <c r="JK432" i="40" s="1"/>
  <c r="IB581" i="40"/>
  <c r="IE581" i="40" s="1"/>
  <c r="IB476" i="40"/>
  <c r="IE476" i="40" s="1"/>
  <c r="IB436" i="40"/>
  <c r="IE436" i="40" s="1"/>
  <c r="JI463" i="40"/>
  <c r="JK463" i="40" s="1"/>
  <c r="IB445" i="40"/>
  <c r="IE445" i="40" s="1"/>
  <c r="IB466" i="40"/>
  <c r="IE466" i="40" s="1"/>
  <c r="IB471" i="40"/>
  <c r="IE471" i="40" s="1"/>
  <c r="IB425" i="40"/>
  <c r="IE425" i="40" s="1"/>
  <c r="IB440" i="40"/>
  <c r="IE440" i="40" s="1"/>
  <c r="JI429" i="40"/>
  <c r="JK429" i="40" s="1"/>
  <c r="JI476" i="40"/>
  <c r="JK476" i="40" s="1"/>
  <c r="IB448" i="40"/>
  <c r="IE448" i="40" s="1"/>
  <c r="IB438" i="40"/>
  <c r="IE438" i="40" s="1"/>
  <c r="IB439" i="40"/>
  <c r="IE439" i="40" s="1"/>
  <c r="IB460" i="40"/>
  <c r="IE460" i="40" s="1"/>
  <c r="IB456" i="40"/>
  <c r="IE456" i="40" s="1"/>
  <c r="IB479" i="40"/>
  <c r="IE479" i="40" s="1"/>
  <c r="IB459" i="40"/>
  <c r="IE459" i="40" s="1"/>
  <c r="JI466" i="40"/>
  <c r="JK466" i="40" s="1"/>
  <c r="JI471" i="40"/>
  <c r="JK471" i="40" s="1"/>
  <c r="JI425" i="40"/>
  <c r="JK425" i="40" s="1"/>
  <c r="JI440" i="40"/>
  <c r="JK440" i="40" s="1"/>
  <c r="IB455" i="40"/>
  <c r="IE455" i="40" s="1"/>
  <c r="JI465" i="40"/>
  <c r="JK465" i="40" s="1"/>
  <c r="JI459" i="40"/>
  <c r="JK459" i="40" s="1"/>
  <c r="IB419" i="40"/>
  <c r="IE419" i="40" s="1"/>
  <c r="IB418" i="40"/>
  <c r="IE418" i="40" s="1"/>
  <c r="IB469" i="40"/>
  <c r="IE469" i="40" s="1"/>
  <c r="JI448" i="40"/>
  <c r="JK448" i="40" s="1"/>
  <c r="JI438" i="40"/>
  <c r="JK438" i="40" s="1"/>
  <c r="IB474" i="40"/>
  <c r="IE474" i="40" s="1"/>
  <c r="JI407" i="40"/>
  <c r="JK407" i="40" s="1"/>
  <c r="JI445" i="40"/>
  <c r="JK445" i="40" s="1"/>
  <c r="JI513" i="40"/>
  <c r="JK513" i="40" s="1"/>
  <c r="JI474" i="40"/>
  <c r="JK474" i="40" s="1"/>
  <c r="IB408" i="40"/>
  <c r="IE408" i="40" s="1"/>
  <c r="IB481" i="40"/>
  <c r="IE481" i="40" s="1"/>
  <c r="IB453" i="40"/>
  <c r="IE453" i="40" s="1"/>
  <c r="IB472" i="40"/>
  <c r="IE472" i="40" s="1"/>
  <c r="IB444" i="40"/>
  <c r="IE444" i="40" s="1"/>
  <c r="JI455" i="40"/>
  <c r="JK455" i="40" s="1"/>
  <c r="JI439" i="40"/>
  <c r="JK439" i="40" s="1"/>
  <c r="JI419" i="40"/>
  <c r="JK419" i="40" s="1"/>
  <c r="JI467" i="40"/>
  <c r="JK467" i="40" s="1"/>
  <c r="JI418" i="40"/>
  <c r="JK418" i="40" s="1"/>
  <c r="IB441" i="40"/>
  <c r="IE441" i="40" s="1"/>
  <c r="JI469" i="40"/>
  <c r="JK469" i="40" s="1"/>
  <c r="IB432" i="40"/>
  <c r="IE432" i="40" s="1"/>
  <c r="IB480" i="40"/>
  <c r="IE480" i="40" s="1"/>
  <c r="JI525" i="40"/>
  <c r="JK525" i="40" s="1"/>
  <c r="IB512" i="40"/>
  <c r="IE512" i="40" s="1"/>
  <c r="JI504" i="40"/>
  <c r="JK504" i="40" s="1"/>
  <c r="IB422" i="40"/>
  <c r="IE422" i="40" s="1"/>
  <c r="IB449" i="40"/>
  <c r="IE449" i="40" s="1"/>
  <c r="IB427" i="40"/>
  <c r="IE427" i="40" s="1"/>
  <c r="IB451" i="40"/>
  <c r="IE451" i="40" s="1"/>
  <c r="IB520" i="40"/>
  <c r="IE520" i="40" s="1"/>
  <c r="JI447" i="40"/>
  <c r="JK447" i="40" s="1"/>
  <c r="IB454" i="40"/>
  <c r="IE454" i="40" s="1"/>
  <c r="JI435" i="40"/>
  <c r="JK435" i="40" s="1"/>
  <c r="JI403" i="40"/>
  <c r="JK403" i="40" s="1"/>
  <c r="JI424" i="40"/>
  <c r="JK424" i="40" s="1"/>
  <c r="JI414" i="40"/>
  <c r="JK414" i="40" s="1"/>
  <c r="IB450" i="40"/>
  <c r="IE450" i="40" s="1"/>
  <c r="IB426" i="40"/>
  <c r="IE426" i="40" s="1"/>
  <c r="JI436" i="40"/>
  <c r="JK436" i="40" s="1"/>
  <c r="JI452" i="40"/>
  <c r="JK452" i="40" s="1"/>
  <c r="IB452" i="40"/>
  <c r="IE452" i="40" s="1"/>
  <c r="JI512" i="40"/>
  <c r="JK512" i="40" s="1"/>
  <c r="H19" i="59" s="1"/>
  <c r="JI422" i="40"/>
  <c r="JK422" i="40" s="1"/>
  <c r="JI449" i="40"/>
  <c r="JK449" i="40" s="1"/>
  <c r="JI427" i="40"/>
  <c r="JK427" i="40" s="1"/>
  <c r="JI451" i="40"/>
  <c r="JK451" i="40" s="1"/>
  <c r="IB402" i="40"/>
  <c r="IE402" i="40" s="1"/>
  <c r="AS17" i="68" s="1"/>
  <c r="JI562" i="40"/>
  <c r="JK562" i="40" s="1"/>
  <c r="JI454" i="40"/>
  <c r="JK454" i="40" s="1"/>
  <c r="IB420" i="40"/>
  <c r="IE420" i="40" s="1"/>
  <c r="IB473" i="40"/>
  <c r="IE473" i="40" s="1"/>
  <c r="JI426" i="40"/>
  <c r="JK426" i="40" s="1"/>
  <c r="JI405" i="40"/>
  <c r="JK405" i="40" s="1"/>
  <c r="JI485" i="40"/>
  <c r="JK485" i="40" s="1"/>
  <c r="IB510" i="40"/>
  <c r="IE510" i="40" s="1"/>
  <c r="IB404" i="40"/>
  <c r="IE404" i="40" s="1"/>
  <c r="IB413" i="40"/>
  <c r="IE413" i="40" s="1"/>
  <c r="IB407" i="40"/>
  <c r="IE407" i="40" s="1"/>
  <c r="IB458" i="40"/>
  <c r="IE458" i="40" s="1"/>
  <c r="JI402" i="40"/>
  <c r="JK402" i="40" s="1"/>
  <c r="H6" i="59" s="1"/>
  <c r="IB515" i="40"/>
  <c r="IE515" i="40" s="1"/>
  <c r="IB409" i="40"/>
  <c r="IE409" i="40" s="1"/>
  <c r="IB465" i="40"/>
  <c r="IE465" i="40" s="1"/>
  <c r="JI420" i="40"/>
  <c r="JK420" i="40" s="1"/>
  <c r="IB468" i="40"/>
  <c r="IE468" i="40" s="1"/>
  <c r="IB467" i="40"/>
  <c r="IE467" i="40" s="1"/>
  <c r="IB421" i="40"/>
  <c r="IE421" i="40" s="1"/>
  <c r="IB431" i="40"/>
  <c r="IE431" i="40" s="1"/>
  <c r="IB525" i="40"/>
  <c r="IE525" i="40" s="1"/>
  <c r="IB575" i="40"/>
  <c r="IE575" i="40" s="1"/>
  <c r="JI433" i="40"/>
  <c r="JK433" i="40" s="1"/>
  <c r="IB417" i="40"/>
  <c r="IE417" i="40" s="1"/>
  <c r="JI483" i="40"/>
  <c r="JK483" i="40" s="1"/>
  <c r="IB555" i="40"/>
  <c r="IE555" i="40" s="1"/>
  <c r="IB550" i="40"/>
  <c r="IE550" i="40" s="1"/>
  <c r="JI575" i="40"/>
  <c r="JK575" i="40" s="1"/>
  <c r="JI548" i="40"/>
  <c r="JK548" i="40" s="1"/>
  <c r="JI486" i="40"/>
  <c r="JK486" i="40" s="1"/>
  <c r="IB509" i="40"/>
  <c r="IE509" i="40" s="1"/>
  <c r="JI484" i="40"/>
  <c r="JK484" i="40" s="1"/>
  <c r="IB578" i="40"/>
  <c r="IE578" i="40" s="1"/>
  <c r="IB552" i="40"/>
  <c r="IE552" i="40" s="1"/>
  <c r="JI569" i="40"/>
  <c r="JK569" i="40" s="1"/>
  <c r="JI533" i="40"/>
  <c r="JK533" i="40" s="1"/>
  <c r="IB558" i="40"/>
  <c r="IE558" i="40" s="1"/>
  <c r="JI550" i="40"/>
  <c r="JK550" i="40" s="1"/>
  <c r="JI552" i="40"/>
  <c r="JK552" i="40" s="1"/>
  <c r="IB562" i="40"/>
  <c r="IE562" i="40" s="1"/>
  <c r="JI541" i="40"/>
  <c r="JK541" i="40" s="1"/>
  <c r="IB548" i="40"/>
  <c r="IE548" i="40" s="1"/>
  <c r="IB568" i="40"/>
  <c r="IE568" i="40" s="1"/>
  <c r="HT284" i="40"/>
  <c r="HT287" i="40"/>
  <c r="HT286" i="40"/>
  <c r="HT283" i="40"/>
  <c r="HT282" i="40"/>
  <c r="HT285" i="40"/>
  <c r="IB483" i="40"/>
  <c r="IE483" i="40" s="1"/>
  <c r="IB584" i="40"/>
  <c r="IE584" i="40" s="1"/>
  <c r="JI586" i="40"/>
  <c r="JK586" i="40" s="1"/>
  <c r="JI587" i="40"/>
  <c r="JK587" i="40" s="1"/>
  <c r="IB486" i="40"/>
  <c r="IE486" i="40" s="1"/>
  <c r="IB587" i="40"/>
  <c r="IE587" i="40" s="1"/>
  <c r="JI582" i="40"/>
  <c r="JK582" i="40" s="1"/>
  <c r="JI583" i="40"/>
  <c r="JK583" i="40" s="1"/>
  <c r="IG486" i="40"/>
  <c r="HU284" i="40"/>
  <c r="HU286" i="40"/>
  <c r="HU285" i="40"/>
  <c r="HU287" i="40"/>
  <c r="HU283" i="40"/>
  <c r="JI283" i="40" s="1"/>
  <c r="JK283" i="40" s="1"/>
  <c r="HU282" i="40"/>
  <c r="HS386" i="40"/>
  <c r="HS686" i="40" s="1"/>
  <c r="HS384" i="40"/>
  <c r="HS684" i="40" s="1"/>
  <c r="HS387" i="40"/>
  <c r="HS687" i="40" s="1"/>
  <c r="HS383" i="40"/>
  <c r="HS385" i="40"/>
  <c r="HS685" i="40" s="1"/>
  <c r="HS382" i="40"/>
  <c r="IB487" i="40"/>
  <c r="IE487" i="40" s="1"/>
  <c r="IB485" i="40"/>
  <c r="IE485" i="40" s="1"/>
  <c r="IB586" i="40"/>
  <c r="IE586" i="40" s="1"/>
  <c r="IB583" i="40"/>
  <c r="IE583" i="40" s="1"/>
  <c r="JI585" i="40"/>
  <c r="JK585" i="40" s="1"/>
  <c r="IB541" i="40"/>
  <c r="IE541" i="40" s="1"/>
  <c r="IB506" i="40"/>
  <c r="IE506" i="40" s="1"/>
  <c r="IB484" i="40"/>
  <c r="IE484" i="40" s="1"/>
  <c r="IB482" i="40"/>
  <c r="IE482" i="40" s="1"/>
  <c r="IB582" i="40"/>
  <c r="IE582" i="40" s="1"/>
  <c r="IB585" i="40"/>
  <c r="IE585" i="40" s="1"/>
  <c r="JI584" i="40"/>
  <c r="JK584" i="40" s="1"/>
  <c r="JI473" i="40"/>
  <c r="JK473" i="40" s="1"/>
  <c r="JI558" i="40"/>
  <c r="JK558" i="40" s="1"/>
  <c r="JI479" i="40"/>
  <c r="JK479" i="40" s="1"/>
  <c r="JI581" i="40"/>
  <c r="JK581" i="40" s="1"/>
  <c r="JI542" i="40"/>
  <c r="JK542" i="40" s="1"/>
  <c r="JI401" i="40"/>
  <c r="JK401" i="40" s="1"/>
  <c r="JI464" i="40"/>
  <c r="JK464" i="40" s="1"/>
  <c r="JI412" i="40"/>
  <c r="JK412" i="40" s="1"/>
  <c r="H18" i="59" s="1"/>
  <c r="JI509" i="40"/>
  <c r="JK509" i="40" s="1"/>
  <c r="E19" i="59" s="1"/>
  <c r="JI546" i="40"/>
  <c r="JK546" i="40" s="1"/>
  <c r="JI411" i="40"/>
  <c r="JK411" i="40" s="1"/>
  <c r="G18" i="59" s="1"/>
  <c r="JI450" i="40"/>
  <c r="JK450" i="40" s="1"/>
  <c r="IB405" i="40"/>
  <c r="IE405" i="40" s="1"/>
  <c r="IB462" i="40"/>
  <c r="IE462" i="40" s="1"/>
  <c r="JI462" i="40"/>
  <c r="JK462" i="40" s="1"/>
  <c r="IB574" i="40"/>
  <c r="IE574" i="40" s="1"/>
  <c r="IB477" i="40"/>
  <c r="IE477" i="40" s="1"/>
  <c r="IB545" i="40"/>
  <c r="IE545" i="40" s="1"/>
  <c r="JI477" i="40"/>
  <c r="JK477" i="40" s="1"/>
  <c r="IB416" i="40"/>
  <c r="IE416" i="40" s="1"/>
  <c r="JI416" i="40"/>
  <c r="JK416" i="40" s="1"/>
  <c r="IB511" i="40"/>
  <c r="IE511" i="40" s="1"/>
  <c r="JI578" i="40"/>
  <c r="JK578" i="40" s="1"/>
  <c r="IB559" i="40"/>
  <c r="IE559" i="40" s="1"/>
  <c r="JI568" i="40"/>
  <c r="JK568" i="40" s="1"/>
  <c r="IB579" i="40"/>
  <c r="IE579" i="40" s="1"/>
  <c r="JI520" i="40"/>
  <c r="JK520" i="40" s="1"/>
  <c r="JI555" i="40"/>
  <c r="JK555" i="40" s="1"/>
  <c r="JI566" i="40"/>
  <c r="JK566" i="40" s="1"/>
  <c r="JI506" i="40"/>
  <c r="JK506" i="40" s="1"/>
  <c r="JI559" i="40"/>
  <c r="JK559" i="40" s="1"/>
  <c r="IB532" i="40"/>
  <c r="IE532" i="40" s="1"/>
  <c r="JI579" i="40"/>
  <c r="JK579" i="40" s="1"/>
  <c r="IB535" i="40"/>
  <c r="IE535" i="40" s="1"/>
  <c r="IB538" i="40"/>
  <c r="IE538" i="40" s="1"/>
  <c r="IB569" i="40"/>
  <c r="IE569" i="40" s="1"/>
  <c r="IB570" i="40"/>
  <c r="IE570" i="40" s="1"/>
  <c r="IB533" i="40"/>
  <c r="IE533" i="40" s="1"/>
  <c r="IB536" i="40"/>
  <c r="IE536" i="40" s="1"/>
  <c r="IB513" i="40"/>
  <c r="IE513" i="40" s="1"/>
  <c r="IB542" i="40"/>
  <c r="IE542" i="40" s="1"/>
  <c r="IB546" i="40"/>
  <c r="IE546" i="40" s="1"/>
  <c r="JI564" i="40"/>
  <c r="JK564" i="40" s="1"/>
  <c r="JI554" i="40"/>
  <c r="JK554" i="40" s="1"/>
  <c r="JI535" i="40"/>
  <c r="JK535" i="40" s="1"/>
  <c r="JI538" i="40"/>
  <c r="JK538" i="40" s="1"/>
  <c r="IB554" i="40"/>
  <c r="IE554" i="40" s="1"/>
  <c r="IB527" i="40"/>
  <c r="IE527" i="40" s="1"/>
  <c r="JI527" i="40"/>
  <c r="JK527" i="40" s="1"/>
  <c r="IB410" i="40"/>
  <c r="IE410" i="40" s="1"/>
  <c r="JI511" i="40"/>
  <c r="JK511" i="40" s="1"/>
  <c r="G19" i="59" s="1"/>
  <c r="IB551" i="40"/>
  <c r="IE551" i="40" s="1"/>
  <c r="IB406" i="40"/>
  <c r="IE406" i="40" s="1"/>
  <c r="JI521" i="40"/>
  <c r="JK521" i="40" s="1"/>
  <c r="JI410" i="40"/>
  <c r="JK410" i="40" s="1"/>
  <c r="F18" i="59" s="1"/>
  <c r="IG527" i="40"/>
  <c r="IB557" i="40"/>
  <c r="IE557" i="40" s="1"/>
  <c r="IB528" i="40"/>
  <c r="IE528" i="40" s="1"/>
  <c r="IB531" i="40"/>
  <c r="IE531" i="40" s="1"/>
  <c r="IB563" i="40"/>
  <c r="IE563" i="40" s="1"/>
  <c r="IB560" i="40"/>
  <c r="IE560" i="40" s="1"/>
  <c r="IB505" i="40"/>
  <c r="IE505" i="40" s="1"/>
  <c r="IB519" i="40"/>
  <c r="IE519" i="40" s="1"/>
  <c r="IB529" i="40"/>
  <c r="IE529" i="40" s="1"/>
  <c r="IB507" i="40"/>
  <c r="IE507" i="40" s="1"/>
  <c r="IB537" i="40"/>
  <c r="IE537" i="40" s="1"/>
  <c r="IB543" i="40"/>
  <c r="IE543" i="40" s="1"/>
  <c r="IB524" i="40"/>
  <c r="IE524" i="40" s="1"/>
  <c r="IB508" i="40"/>
  <c r="IE508" i="40" s="1"/>
  <c r="IB522" i="40"/>
  <c r="IE522" i="40" s="1"/>
  <c r="IB530" i="40"/>
  <c r="IE530" i="40" s="1"/>
  <c r="IB573" i="40"/>
  <c r="IE573" i="40" s="1"/>
  <c r="IB514" i="40"/>
  <c r="IE514" i="40" s="1"/>
  <c r="IB565" i="40"/>
  <c r="IE565" i="40" s="1"/>
  <c r="IB502" i="40"/>
  <c r="IE502" i="40" s="1"/>
  <c r="IB523" i="40"/>
  <c r="IE523" i="40" s="1"/>
  <c r="IG401" i="40"/>
  <c r="K10" i="61" s="1"/>
  <c r="IG478" i="40"/>
  <c r="IG456" i="40"/>
  <c r="IG412" i="40"/>
  <c r="IG470" i="40"/>
  <c r="IG457" i="40"/>
  <c r="IG428" i="40"/>
  <c r="IG446" i="40"/>
  <c r="IF434" i="40"/>
  <c r="IF475" i="40"/>
  <c r="IF442" i="40"/>
  <c r="IF470" i="40"/>
  <c r="IF412" i="40"/>
  <c r="IF401" i="40"/>
  <c r="IF478" i="40"/>
  <c r="IF446" i="40"/>
  <c r="IF403" i="40"/>
  <c r="IF408" i="40"/>
  <c r="KC305" i="40"/>
  <c r="KD305" i="40" s="1"/>
  <c r="KE305" i="40" s="1"/>
  <c r="KG305" i="40" s="1"/>
  <c r="KG304" i="40"/>
  <c r="JI503" i="40"/>
  <c r="JK503" i="40" s="1"/>
  <c r="HT253" i="40"/>
  <c r="HT241" i="40"/>
  <c r="HT201" i="40"/>
  <c r="HT210" i="40"/>
  <c r="HT270" i="40"/>
  <c r="HT251" i="40"/>
  <c r="HT247" i="40"/>
  <c r="HT237" i="40"/>
  <c r="HT230" i="40"/>
  <c r="HT202" i="40"/>
  <c r="HT254" i="40"/>
  <c r="HT233" i="40"/>
  <c r="HT222" i="40"/>
  <c r="HT214" i="40"/>
  <c r="HT279" i="40"/>
  <c r="HT265" i="40"/>
  <c r="HT262" i="40"/>
  <c r="HT256" i="40"/>
  <c r="HT255" i="40"/>
  <c r="HT242" i="40"/>
  <c r="HT227" i="40"/>
  <c r="HT228" i="40"/>
  <c r="HT225" i="40"/>
  <c r="HT224" i="40"/>
  <c r="HT218" i="40"/>
  <c r="HT208" i="40"/>
  <c r="HT206" i="40"/>
  <c r="HT203" i="40"/>
  <c r="HT269" i="40"/>
  <c r="HT280" i="40"/>
  <c r="HT274" i="40"/>
  <c r="HT266" i="40"/>
  <c r="HT263" i="40"/>
  <c r="HT257" i="40"/>
  <c r="HT246" i="40"/>
  <c r="HT234" i="40"/>
  <c r="HT211" i="40"/>
  <c r="HT204" i="40"/>
  <c r="HT260" i="40"/>
  <c r="HT226" i="40"/>
  <c r="HT215" i="40"/>
  <c r="HT240" i="40"/>
  <c r="HT238" i="40"/>
  <c r="HT223" i="40"/>
  <c r="HT209" i="40"/>
  <c r="HT267" i="40"/>
  <c r="HT231" i="40"/>
  <c r="HT221" i="40"/>
  <c r="HT275" i="40"/>
  <c r="HT271" i="40"/>
  <c r="HT281" i="40"/>
  <c r="HT278" i="40"/>
  <c r="HT273" i="40"/>
  <c r="HT261" i="40"/>
  <c r="HT277" i="40"/>
  <c r="HT258" i="40"/>
  <c r="HT216" i="40"/>
  <c r="HT213" i="40"/>
  <c r="HT264" i="40"/>
  <c r="HT252" i="40"/>
  <c r="HT250" i="40"/>
  <c r="HT232" i="40"/>
  <c r="HT272" i="40"/>
  <c r="HT276" i="40"/>
  <c r="HT268" i="40"/>
  <c r="HT259" i="40"/>
  <c r="HT248" i="40"/>
  <c r="HT235" i="40"/>
  <c r="HT229" i="40"/>
  <c r="HT212" i="40"/>
  <c r="HT207" i="40"/>
  <c r="HT244" i="40"/>
  <c r="HT243" i="40"/>
  <c r="HT239" i="40"/>
  <c r="HT236" i="40"/>
  <c r="HT245" i="40"/>
  <c r="HT219" i="40"/>
  <c r="HT205" i="40"/>
  <c r="HT249" i="40"/>
  <c r="HT220" i="40"/>
  <c r="HT217" i="40"/>
  <c r="HU280" i="40"/>
  <c r="HU274" i="40"/>
  <c r="HU272" i="40"/>
  <c r="HU269" i="40"/>
  <c r="HU249" i="40"/>
  <c r="HU208" i="40"/>
  <c r="HU281" i="40"/>
  <c r="HU276" i="40"/>
  <c r="HU231" i="40"/>
  <c r="HU230" i="40"/>
  <c r="HU209" i="40"/>
  <c r="HU206" i="40"/>
  <c r="HU268" i="40"/>
  <c r="HU263" i="40"/>
  <c r="HU279" i="40"/>
  <c r="HU242" i="40"/>
  <c r="HU227" i="40"/>
  <c r="HU220" i="40"/>
  <c r="HU217" i="40"/>
  <c r="HU241" i="40"/>
  <c r="HU239" i="40"/>
  <c r="HU229" i="40"/>
  <c r="HU223" i="40"/>
  <c r="HU216" i="40"/>
  <c r="HU214" i="40"/>
  <c r="HU261" i="40"/>
  <c r="HU235" i="40"/>
  <c r="HU221" i="40"/>
  <c r="HU215" i="40"/>
  <c r="HU267" i="40"/>
  <c r="HU262" i="40"/>
  <c r="HU260" i="40"/>
  <c r="HU257" i="40"/>
  <c r="JI257" i="40" s="1"/>
  <c r="JK257" i="40" s="1"/>
  <c r="HU254" i="40"/>
  <c r="HU238" i="40"/>
  <c r="HU213" i="40"/>
  <c r="HU273" i="40"/>
  <c r="HU266" i="40"/>
  <c r="HU259" i="40"/>
  <c r="HU258" i="40"/>
  <c r="HU243" i="40"/>
  <c r="HU234" i="40"/>
  <c r="HU205" i="40"/>
  <c r="HU256" i="40"/>
  <c r="HU255" i="40"/>
  <c r="HU248" i="40"/>
  <c r="JI248" i="40" s="1"/>
  <c r="JK248" i="40" s="1"/>
  <c r="HU278" i="40"/>
  <c r="HU277" i="40"/>
  <c r="HU264" i="40"/>
  <c r="HU201" i="40"/>
  <c r="JI201" i="40" s="1"/>
  <c r="JK201" i="40" s="1"/>
  <c r="HU247" i="40"/>
  <c r="HU245" i="40"/>
  <c r="HU244" i="40"/>
  <c r="HU236" i="40"/>
  <c r="JI236" i="40" s="1"/>
  <c r="JK236" i="40" s="1"/>
  <c r="HU232" i="40"/>
  <c r="HU222" i="40"/>
  <c r="HU207" i="40"/>
  <c r="HU271" i="40"/>
  <c r="HU246" i="40"/>
  <c r="HU225" i="40"/>
  <c r="HU224" i="40"/>
  <c r="HU219" i="40"/>
  <c r="HU211" i="40"/>
  <c r="HU203" i="40"/>
  <c r="HU228" i="40"/>
  <c r="HU240" i="40"/>
  <c r="HU233" i="40"/>
  <c r="HU210" i="40"/>
  <c r="HU204" i="40"/>
  <c r="HU275" i="40"/>
  <c r="HU251" i="40"/>
  <c r="HU212" i="40"/>
  <c r="HU270" i="40"/>
  <c r="HU265" i="40"/>
  <c r="HU253" i="40"/>
  <c r="HU252" i="40"/>
  <c r="HU250" i="40"/>
  <c r="HU237" i="40"/>
  <c r="HU226" i="40"/>
  <c r="HU218" i="40"/>
  <c r="HU202" i="40"/>
  <c r="JI570" i="40"/>
  <c r="JK570" i="40" s="1"/>
  <c r="HS344" i="40"/>
  <c r="HS644" i="40" s="1"/>
  <c r="HS318" i="40"/>
  <c r="HS618" i="40" s="1"/>
  <c r="HS314" i="40"/>
  <c r="HS311" i="40"/>
  <c r="HS611" i="40" s="1"/>
  <c r="HS350" i="40"/>
  <c r="HS650" i="40" s="1"/>
  <c r="HS346" i="40"/>
  <c r="HS646" i="40" s="1"/>
  <c r="HS315" i="40"/>
  <c r="HS615" i="40" s="1"/>
  <c r="HS358" i="40"/>
  <c r="HS658" i="40" s="1"/>
  <c r="HS369" i="40"/>
  <c r="HS363" i="40"/>
  <c r="HS663" i="40" s="1"/>
  <c r="HS334" i="40"/>
  <c r="HS634" i="40" s="1"/>
  <c r="HS324" i="40"/>
  <c r="HS624" i="40" s="1"/>
  <c r="HS309" i="40"/>
  <c r="HS609" i="40" s="1"/>
  <c r="HS352" i="40"/>
  <c r="HS652" i="40" s="1"/>
  <c r="HS349" i="40"/>
  <c r="HS649" i="40" s="1"/>
  <c r="HS343" i="40"/>
  <c r="HS340" i="40"/>
  <c r="HS640" i="40" s="1"/>
  <c r="HS329" i="40"/>
  <c r="HS629" i="40" s="1"/>
  <c r="HS319" i="40"/>
  <c r="HS305" i="40"/>
  <c r="HS366" i="40"/>
  <c r="HS666" i="40" s="1"/>
  <c r="HS381" i="40"/>
  <c r="HS681" i="40" s="1"/>
  <c r="HS367" i="40"/>
  <c r="HS667" i="40" s="1"/>
  <c r="HS322" i="40"/>
  <c r="HS306" i="40"/>
  <c r="HS373" i="40"/>
  <c r="HS673" i="40" s="1"/>
  <c r="HS310" i="40"/>
  <c r="HS610" i="40" s="1"/>
  <c r="HS308" i="40"/>
  <c r="HS608" i="40" s="1"/>
  <c r="HS307" i="40"/>
  <c r="HS607" i="40" s="1"/>
  <c r="HS368" i="40"/>
  <c r="HS668" i="40" s="1"/>
  <c r="HS365" i="40"/>
  <c r="HS665" i="40" s="1"/>
  <c r="HS348" i="40"/>
  <c r="HS648" i="40" s="1"/>
  <c r="HS320" i="40"/>
  <c r="HS620" i="40" s="1"/>
  <c r="HS303" i="40"/>
  <c r="HS603" i="40" s="1"/>
  <c r="HS302" i="40"/>
  <c r="HS355" i="40"/>
  <c r="HS655" i="40" s="1"/>
  <c r="HS327" i="40"/>
  <c r="HS627" i="40" s="1"/>
  <c r="HS321" i="40"/>
  <c r="HS621" i="40" s="1"/>
  <c r="HS356" i="40"/>
  <c r="HS656" i="40" s="1"/>
  <c r="HS353" i="40"/>
  <c r="HS336" i="40"/>
  <c r="HS636" i="40" s="1"/>
  <c r="HS317" i="40"/>
  <c r="HS617" i="40" s="1"/>
  <c r="HS380" i="40"/>
  <c r="HS680" i="40" s="1"/>
  <c r="HS375" i="40"/>
  <c r="HS675" i="40" s="1"/>
  <c r="HS374" i="40"/>
  <c r="HS337" i="40"/>
  <c r="HS637" i="40" s="1"/>
  <c r="HS316" i="40"/>
  <c r="HS616" i="40" s="1"/>
  <c r="HS312" i="40"/>
  <c r="HS612" i="40" s="1"/>
  <c r="HS379" i="40"/>
  <c r="HS357" i="40"/>
  <c r="HS657" i="40" s="1"/>
  <c r="HS378" i="40"/>
  <c r="HS678" i="40" s="1"/>
  <c r="HS362" i="40"/>
  <c r="HS662" i="40" s="1"/>
  <c r="HS342" i="40"/>
  <c r="HS642" i="40" s="1"/>
  <c r="HS313" i="40"/>
  <c r="HS613" i="40" s="1"/>
  <c r="HS370" i="40"/>
  <c r="HS670" i="40" s="1"/>
  <c r="HS351" i="40"/>
  <c r="HS651" i="40" s="1"/>
  <c r="HS347" i="40"/>
  <c r="HS647" i="40" s="1"/>
  <c r="HS338" i="40"/>
  <c r="HS638" i="40" s="1"/>
  <c r="HS335" i="40"/>
  <c r="HS635" i="40" s="1"/>
  <c r="HS333" i="40"/>
  <c r="HS633" i="40" s="1"/>
  <c r="HS328" i="40"/>
  <c r="HS628" i="40" s="1"/>
  <c r="HS325" i="40"/>
  <c r="HS326" i="40"/>
  <c r="HS626" i="40" s="1"/>
  <c r="HS371" i="40"/>
  <c r="HS671" i="40" s="1"/>
  <c r="HS376" i="40"/>
  <c r="HS676" i="40" s="1"/>
  <c r="HS364" i="40"/>
  <c r="HS664" i="40" s="1"/>
  <c r="HS361" i="40"/>
  <c r="HS341" i="40"/>
  <c r="HS641" i="40" s="1"/>
  <c r="HS301" i="40"/>
  <c r="HS601" i="40" s="1"/>
  <c r="HS372" i="40"/>
  <c r="HS672" i="40" s="1"/>
  <c r="HS359" i="40"/>
  <c r="HS659" i="40" s="1"/>
  <c r="HS377" i="40"/>
  <c r="HS677" i="40" s="1"/>
  <c r="HS354" i="40"/>
  <c r="HS331" i="40"/>
  <c r="HS631" i="40" s="1"/>
  <c r="HS332" i="40"/>
  <c r="HS632" i="40" s="1"/>
  <c r="HS330" i="40"/>
  <c r="HS630" i="40" s="1"/>
  <c r="HS323" i="40"/>
  <c r="HS360" i="40"/>
  <c r="HS660" i="40" s="1"/>
  <c r="HS304" i="40"/>
  <c r="HS604" i="40" s="1"/>
  <c r="HS345" i="40"/>
  <c r="HS645" i="40" s="1"/>
  <c r="HS339" i="40"/>
  <c r="HS639" i="40" s="1"/>
  <c r="IB503" i="40"/>
  <c r="IG503" i="40" s="1"/>
  <c r="IG560" i="40"/>
  <c r="KT152" i="40"/>
  <c r="KU151" i="40"/>
  <c r="I65" i="70" s="1"/>
  <c r="JI557" i="40"/>
  <c r="JK557" i="40" s="1"/>
  <c r="JI528" i="40"/>
  <c r="JK528" i="40" s="1"/>
  <c r="JI531" i="40"/>
  <c r="JK531" i="40" s="1"/>
  <c r="JI563" i="40"/>
  <c r="JK563" i="40" s="1"/>
  <c r="JI560" i="40"/>
  <c r="JK560" i="40" s="1"/>
  <c r="JI505" i="40"/>
  <c r="JK505" i="40" s="1"/>
  <c r="JI519" i="40"/>
  <c r="JK519" i="40" s="1"/>
  <c r="JI529" i="40"/>
  <c r="JK529" i="40" s="1"/>
  <c r="JI507" i="40"/>
  <c r="JK507" i="40" s="1"/>
  <c r="JI537" i="40"/>
  <c r="JK537" i="40" s="1"/>
  <c r="IF541" i="40"/>
  <c r="I10" i="61"/>
  <c r="JI543" i="40"/>
  <c r="JK543" i="40" s="1"/>
  <c r="JI524" i="40"/>
  <c r="JK524" i="40" s="1"/>
  <c r="JI508" i="40"/>
  <c r="JK508" i="40" s="1"/>
  <c r="JI522" i="40"/>
  <c r="JK522" i="40" s="1"/>
  <c r="JI530" i="40"/>
  <c r="JK530" i="40" s="1"/>
  <c r="JI573" i="40"/>
  <c r="JK573" i="40" s="1"/>
  <c r="JI514" i="40"/>
  <c r="JK514" i="40" s="1"/>
  <c r="JI565" i="40"/>
  <c r="JK565" i="40" s="1"/>
  <c r="JI502" i="40"/>
  <c r="JK502" i="40" s="1"/>
  <c r="JI523" i="40"/>
  <c r="JK523" i="40" s="1"/>
  <c r="JI406" i="40"/>
  <c r="JK406" i="40" s="1"/>
  <c r="IG454" i="40"/>
  <c r="IG403" i="40"/>
  <c r="IF452" i="40"/>
  <c r="IG545" i="40"/>
  <c r="IB576" i="40"/>
  <c r="IE576" i="40" s="1"/>
  <c r="IB571" i="40"/>
  <c r="IE571" i="40" s="1"/>
  <c r="IB549" i="40"/>
  <c r="IE549" i="40" s="1"/>
  <c r="IB539" i="40"/>
  <c r="IE539" i="40" s="1"/>
  <c r="IB556" i="40"/>
  <c r="IE556" i="40" s="1"/>
  <c r="IB547" i="40"/>
  <c r="IE547" i="40" s="1"/>
  <c r="IB526" i="40"/>
  <c r="IE526" i="40" s="1"/>
  <c r="IB580" i="40"/>
  <c r="IE580" i="40" s="1"/>
  <c r="IB567" i="40"/>
  <c r="IE567" i="40" s="1"/>
  <c r="IB501" i="40"/>
  <c r="IE501" i="40" s="1"/>
  <c r="IF579" i="40"/>
  <c r="IB572" i="40"/>
  <c r="IE572" i="40" s="1"/>
  <c r="IB561" i="40"/>
  <c r="IE561" i="40" s="1"/>
  <c r="IB516" i="40"/>
  <c r="IE516" i="40" s="1"/>
  <c r="IB517" i="40"/>
  <c r="IE517" i="40" s="1"/>
  <c r="IB534" i="40"/>
  <c r="IE534" i="40" s="1"/>
  <c r="IB540" i="40"/>
  <c r="IE540" i="40" s="1"/>
  <c r="IB544" i="40"/>
  <c r="IE544" i="40" s="1"/>
  <c r="IB518" i="40"/>
  <c r="IE518" i="40" s="1"/>
  <c r="IB577" i="40"/>
  <c r="IE577" i="40" s="1"/>
  <c r="IB553" i="40"/>
  <c r="IE553" i="40" s="1"/>
  <c r="IG423" i="40"/>
  <c r="IG434" i="40"/>
  <c r="IG464" i="40"/>
  <c r="IG415" i="40"/>
  <c r="IG437" i="40"/>
  <c r="IG411" i="40"/>
  <c r="IG442" i="40"/>
  <c r="IG475" i="40"/>
  <c r="IF415" i="40"/>
  <c r="IF411" i="40"/>
  <c r="IF423" i="40"/>
  <c r="IF437" i="40"/>
  <c r="IF464" i="40"/>
  <c r="IF457" i="40"/>
  <c r="IF430" i="40"/>
  <c r="JI545" i="40"/>
  <c r="JK545" i="40" s="1"/>
  <c r="JI574" i="40"/>
  <c r="JK574" i="40" s="1"/>
  <c r="JI536" i="40"/>
  <c r="JK536" i="40" s="1"/>
  <c r="JI532" i="40"/>
  <c r="JK532" i="40" s="1"/>
  <c r="IB564" i="40"/>
  <c r="IE564" i="40" s="1"/>
  <c r="IG507" i="40"/>
  <c r="IG521" i="40"/>
  <c r="JI576" i="40"/>
  <c r="JK576" i="40" s="1"/>
  <c r="JI571" i="40"/>
  <c r="JK571" i="40" s="1"/>
  <c r="JI551" i="40"/>
  <c r="JK551" i="40" s="1"/>
  <c r="JI549" i="40"/>
  <c r="JK549" i="40" s="1"/>
  <c r="JI539" i="40"/>
  <c r="JK539" i="40" s="1"/>
  <c r="JI556" i="40"/>
  <c r="JK556" i="40" s="1"/>
  <c r="JI547" i="40"/>
  <c r="JK547" i="40" s="1"/>
  <c r="JI526" i="40"/>
  <c r="JK526" i="40" s="1"/>
  <c r="JI580" i="40"/>
  <c r="JK580" i="40" s="1"/>
  <c r="JI567" i="40"/>
  <c r="JK567" i="40" s="1"/>
  <c r="JI501" i="40"/>
  <c r="JK501" i="40" s="1"/>
  <c r="IF557" i="40"/>
  <c r="IF507" i="40"/>
  <c r="IE403" i="40"/>
  <c r="JI572" i="40"/>
  <c r="JK572" i="40" s="1"/>
  <c r="JI561" i="40"/>
  <c r="JK561" i="40" s="1"/>
  <c r="JI516" i="40"/>
  <c r="JK516" i="40" s="1"/>
  <c r="JI517" i="40"/>
  <c r="JK517" i="40" s="1"/>
  <c r="JI534" i="40"/>
  <c r="JK534" i="40" s="1"/>
  <c r="JI540" i="40"/>
  <c r="JK540" i="40" s="1"/>
  <c r="JI544" i="40"/>
  <c r="JK544" i="40" s="1"/>
  <c r="JI518" i="40"/>
  <c r="JK518" i="40" s="1"/>
  <c r="JI577" i="40"/>
  <c r="JK577" i="40" s="1"/>
  <c r="JI553" i="40"/>
  <c r="JK553" i="40" s="1"/>
  <c r="IG444" i="40"/>
  <c r="IF425" i="40"/>
  <c r="IF469" i="40"/>
  <c r="IG546" i="40" l="1"/>
  <c r="IF448" i="40"/>
  <c r="IG429" i="40"/>
  <c r="IG408" i="40"/>
  <c r="IF578" i="40"/>
  <c r="IG452" i="40"/>
  <c r="IF515" i="40"/>
  <c r="IF413" i="40"/>
  <c r="IF435" i="40"/>
  <c r="IG451" i="40"/>
  <c r="IG566" i="40"/>
  <c r="IF444" i="40"/>
  <c r="IF525" i="40"/>
  <c r="IG515" i="40"/>
  <c r="IF456" i="40"/>
  <c r="IG448" i="40"/>
  <c r="IF429" i="40"/>
  <c r="IF461" i="40"/>
  <c r="IG425" i="40"/>
  <c r="IG413" i="40"/>
  <c r="IF450" i="40"/>
  <c r="KP450" i="40" s="1"/>
  <c r="IF468" i="40"/>
  <c r="IG414" i="40"/>
  <c r="IG578" i="40"/>
  <c r="IF451" i="40"/>
  <c r="AQ451" i="40" s="1"/>
  <c r="IG461" i="40"/>
  <c r="IF432" i="40"/>
  <c r="IG469" i="40"/>
  <c r="IG558" i="40"/>
  <c r="IG432" i="40"/>
  <c r="W48" i="68" s="1"/>
  <c r="IG450" i="40"/>
  <c r="IF566" i="40"/>
  <c r="IF414" i="40"/>
  <c r="AQ414" i="40" s="1"/>
  <c r="IG435" i="40"/>
  <c r="IF428" i="40"/>
  <c r="IG468" i="40"/>
  <c r="IF558" i="40"/>
  <c r="JD558" i="40" s="1"/>
  <c r="JR558" i="40" s="1"/>
  <c r="IG525" i="40"/>
  <c r="W38" i="68"/>
  <c r="IF447" i="40"/>
  <c r="IF424" i="40"/>
  <c r="JI280" i="40"/>
  <c r="JK280" i="40" s="1"/>
  <c r="IG447" i="40"/>
  <c r="IG430" i="40"/>
  <c r="IG424" i="40"/>
  <c r="JD424" i="40" s="1"/>
  <c r="W44" i="68"/>
  <c r="S44" i="68" s="1"/>
  <c r="IG562" i="40"/>
  <c r="IG443" i="40"/>
  <c r="IF506" i="40"/>
  <c r="IF581" i="40"/>
  <c r="IF443" i="40"/>
  <c r="JI216" i="40"/>
  <c r="JK216" i="40" s="1"/>
  <c r="IF563" i="40"/>
  <c r="JI229" i="40"/>
  <c r="JK229" i="40" s="1"/>
  <c r="IF521" i="40"/>
  <c r="KP521" i="40" s="1"/>
  <c r="JI270" i="40"/>
  <c r="JK270" i="40" s="1"/>
  <c r="JI227" i="40"/>
  <c r="JK227" i="40" s="1"/>
  <c r="JI260" i="40"/>
  <c r="JK260" i="40" s="1"/>
  <c r="IF512" i="40"/>
  <c r="AQ515" i="40"/>
  <c r="IF436" i="40"/>
  <c r="IG463" i="40"/>
  <c r="IF454" i="40"/>
  <c r="AQ454" i="40" s="1"/>
  <c r="IG563" i="40"/>
  <c r="IG405" i="40"/>
  <c r="IG504" i="40"/>
  <c r="G6" i="59"/>
  <c r="G30" i="59" s="1"/>
  <c r="Z43" i="59" s="1"/>
  <c r="IG436" i="40"/>
  <c r="IG431" i="40"/>
  <c r="IF570" i="40"/>
  <c r="IF504" i="40"/>
  <c r="IG529" i="40"/>
  <c r="IF477" i="40"/>
  <c r="IF529" i="40"/>
  <c r="IF463" i="40"/>
  <c r="JI241" i="40"/>
  <c r="JK241" i="40" s="1"/>
  <c r="KP525" i="40"/>
  <c r="JD442" i="40"/>
  <c r="JQ442" i="40" s="1"/>
  <c r="JI232" i="40"/>
  <c r="JK232" i="40" s="1"/>
  <c r="JI267" i="40"/>
  <c r="JK267" i="40" s="1"/>
  <c r="AQ457" i="40"/>
  <c r="JI255" i="40"/>
  <c r="JK255" i="40" s="1"/>
  <c r="IG438" i="40"/>
  <c r="IF440" i="40"/>
  <c r="IG506" i="40"/>
  <c r="IF536" i="40"/>
  <c r="IG528" i="40"/>
  <c r="IF438" i="40"/>
  <c r="IG480" i="40"/>
  <c r="IG481" i="40"/>
  <c r="IG581" i="40"/>
  <c r="IF505" i="40"/>
  <c r="IF433" i="40"/>
  <c r="IG537" i="40"/>
  <c r="IF555" i="40"/>
  <c r="IG565" i="40"/>
  <c r="IF480" i="40"/>
  <c r="KP480" i="40" s="1"/>
  <c r="JD434" i="40"/>
  <c r="JR434" i="40" s="1"/>
  <c r="IG433" i="40"/>
  <c r="IG426" i="40"/>
  <c r="IG538" i="40"/>
  <c r="IG479" i="40"/>
  <c r="IF481" i="40"/>
  <c r="IF445" i="40"/>
  <c r="IF479" i="40"/>
  <c r="IG445" i="40"/>
  <c r="IG440" i="40"/>
  <c r="IG555" i="40"/>
  <c r="IF548" i="40"/>
  <c r="IG522" i="40"/>
  <c r="JI242" i="40"/>
  <c r="JK242" i="40" s="1"/>
  <c r="IG502" i="40"/>
  <c r="JD468" i="40"/>
  <c r="JQ468" i="40" s="1"/>
  <c r="IG559" i="40"/>
  <c r="JI277" i="40"/>
  <c r="JK277" i="40" s="1"/>
  <c r="IG543" i="40"/>
  <c r="IF550" i="40"/>
  <c r="IF543" i="40"/>
  <c r="AQ456" i="40"/>
  <c r="IF530" i="40"/>
  <c r="IF453" i="40"/>
  <c r="IF476" i="40"/>
  <c r="IG458" i="40"/>
  <c r="IG530" i="40"/>
  <c r="IF559" i="40"/>
  <c r="IF522" i="40"/>
  <c r="AQ522" i="40" s="1"/>
  <c r="JI207" i="40"/>
  <c r="JK207" i="40" s="1"/>
  <c r="JI264" i="40"/>
  <c r="JK264" i="40" s="1"/>
  <c r="JI231" i="40"/>
  <c r="JK231" i="40" s="1"/>
  <c r="IG453" i="40"/>
  <c r="IF419" i="40"/>
  <c r="IG476" i="40"/>
  <c r="IF565" i="40"/>
  <c r="IG465" i="40"/>
  <c r="IG449" i="40"/>
  <c r="IG513" i="40"/>
  <c r="IF509" i="40"/>
  <c r="IF459" i="40"/>
  <c r="IG441" i="40"/>
  <c r="IG551" i="40"/>
  <c r="IG550" i="40"/>
  <c r="IG574" i="40"/>
  <c r="IF574" i="40"/>
  <c r="JI247" i="40"/>
  <c r="JK247" i="40" s="1"/>
  <c r="JI238" i="40"/>
  <c r="JK238" i="40" s="1"/>
  <c r="JI281" i="40"/>
  <c r="JK281" i="40" s="1"/>
  <c r="IF503" i="40"/>
  <c r="JI268" i="40"/>
  <c r="JK268" i="40" s="1"/>
  <c r="JI249" i="40"/>
  <c r="JK249" i="40" s="1"/>
  <c r="JD428" i="40"/>
  <c r="JR428" i="40" s="1"/>
  <c r="IG477" i="40"/>
  <c r="KP401" i="40"/>
  <c r="JI245" i="40"/>
  <c r="JK245" i="40" s="1"/>
  <c r="JI252" i="40"/>
  <c r="JK252" i="40" s="1"/>
  <c r="JI210" i="40"/>
  <c r="JK210" i="40" s="1"/>
  <c r="F16" i="59" s="1"/>
  <c r="JD412" i="40"/>
  <c r="JQ412" i="40" s="1"/>
  <c r="IF421" i="40"/>
  <c r="IF532" i="40"/>
  <c r="IG509" i="40"/>
  <c r="IG523" i="40"/>
  <c r="IF568" i="40"/>
  <c r="IF569" i="40"/>
  <c r="IF528" i="40"/>
  <c r="IG569" i="40"/>
  <c r="IF441" i="40"/>
  <c r="IG459" i="40"/>
  <c r="IG439" i="40"/>
  <c r="IF449" i="40"/>
  <c r="IF439" i="40"/>
  <c r="IF466" i="40"/>
  <c r="IF465" i="40"/>
  <c r="IG419" i="40"/>
  <c r="IG466" i="40"/>
  <c r="IF513" i="40"/>
  <c r="IF402" i="40"/>
  <c r="IF473" i="40"/>
  <c r="IF458" i="40"/>
  <c r="IG421" i="40"/>
  <c r="IG402" i="40"/>
  <c r="AU17" i="68" s="1"/>
  <c r="IF573" i="40"/>
  <c r="IF527" i="40"/>
  <c r="AQ527" i="40" s="1"/>
  <c r="IG568" i="40"/>
  <c r="JI233" i="40"/>
  <c r="JK233" i="40" s="1"/>
  <c r="JI278" i="40"/>
  <c r="JK278" i="40" s="1"/>
  <c r="JI239" i="40"/>
  <c r="JK239" i="40" s="1"/>
  <c r="JI212" i="40"/>
  <c r="JK212" i="40" s="1"/>
  <c r="H16" i="59" s="1"/>
  <c r="JI259" i="40"/>
  <c r="JK259" i="40" s="1"/>
  <c r="JI213" i="40"/>
  <c r="JK213" i="40" s="1"/>
  <c r="JI204" i="40"/>
  <c r="JK204" i="40" s="1"/>
  <c r="JI228" i="40"/>
  <c r="JK228" i="40" s="1"/>
  <c r="JI251" i="40"/>
  <c r="JK251" i="40" s="1"/>
  <c r="IG473" i="40"/>
  <c r="IF510" i="40"/>
  <c r="IG510" i="40"/>
  <c r="JI234" i="40"/>
  <c r="JK234" i="40" s="1"/>
  <c r="H30" i="59"/>
  <c r="AB43" i="59" s="1"/>
  <c r="IF471" i="40"/>
  <c r="IF460" i="40"/>
  <c r="IG542" i="40"/>
  <c r="E6" i="59"/>
  <c r="T43" i="59" s="1"/>
  <c r="IF474" i="40"/>
  <c r="AQ461" i="40"/>
  <c r="IF417" i="40"/>
  <c r="IG455" i="40"/>
  <c r="IF562" i="40"/>
  <c r="IG514" i="40"/>
  <c r="JI240" i="40"/>
  <c r="JK240" i="40" s="1"/>
  <c r="JI271" i="40"/>
  <c r="JK271" i="40" s="1"/>
  <c r="JI208" i="40"/>
  <c r="JK208" i="40" s="1"/>
  <c r="IF404" i="40"/>
  <c r="IG460" i="40"/>
  <c r="IF455" i="40"/>
  <c r="F6" i="59"/>
  <c r="F30" i="59" s="1"/>
  <c r="X43" i="59" s="1"/>
  <c r="IG472" i="40"/>
  <c r="KP412" i="40"/>
  <c r="IF405" i="40"/>
  <c r="IG404" i="40"/>
  <c r="IF472" i="40"/>
  <c r="AQ472" i="40" s="1"/>
  <c r="IG418" i="40"/>
  <c r="IG471" i="40"/>
  <c r="IG474" i="40"/>
  <c r="IF542" i="40"/>
  <c r="IG570" i="40"/>
  <c r="IG427" i="40"/>
  <c r="IG417" i="40"/>
  <c r="W36" i="68" s="1"/>
  <c r="IF427" i="40"/>
  <c r="IF431" i="40"/>
  <c r="IF418" i="40"/>
  <c r="AQ447" i="40"/>
  <c r="JI250" i="40"/>
  <c r="JK250" i="40" s="1"/>
  <c r="JI273" i="40"/>
  <c r="JK273" i="40" s="1"/>
  <c r="JI275" i="40"/>
  <c r="JK275" i="40" s="1"/>
  <c r="JI215" i="40"/>
  <c r="JK215" i="40" s="1"/>
  <c r="JI211" i="40"/>
  <c r="JK211" i="40" s="1"/>
  <c r="G16" i="59" s="1"/>
  <c r="JI263" i="40"/>
  <c r="JK263" i="40" s="1"/>
  <c r="JI218" i="40"/>
  <c r="JK218" i="40" s="1"/>
  <c r="JI262" i="40"/>
  <c r="JK262" i="40" s="1"/>
  <c r="IF533" i="40"/>
  <c r="IG541" i="40"/>
  <c r="JD541" i="40" s="1"/>
  <c r="IG552" i="40"/>
  <c r="IG511" i="40"/>
  <c r="AQ430" i="40"/>
  <c r="IG573" i="40"/>
  <c r="IF420" i="40"/>
  <c r="IG409" i="40"/>
  <c r="IG483" i="40"/>
  <c r="W34" i="68" s="1"/>
  <c r="IF467" i="40"/>
  <c r="KP475" i="40"/>
  <c r="IG407" i="40"/>
  <c r="IG422" i="40"/>
  <c r="IF407" i="40"/>
  <c r="IG520" i="40"/>
  <c r="IF426" i="40"/>
  <c r="IF523" i="40"/>
  <c r="KP523" i="40" s="1"/>
  <c r="IG533" i="40"/>
  <c r="IF422" i="40"/>
  <c r="IG410" i="40"/>
  <c r="IG579" i="40"/>
  <c r="KP579" i="40" s="1"/>
  <c r="IG575" i="40"/>
  <c r="JD408" i="40"/>
  <c r="JR408" i="40" s="1"/>
  <c r="IG462" i="40"/>
  <c r="IF462" i="40"/>
  <c r="JD401" i="40"/>
  <c r="JR401" i="40" s="1"/>
  <c r="IF552" i="40"/>
  <c r="IG535" i="40"/>
  <c r="IG420" i="40"/>
  <c r="IF520" i="40"/>
  <c r="IF546" i="40"/>
  <c r="AQ546" i="40" s="1"/>
  <c r="IF531" i="40"/>
  <c r="IF511" i="40"/>
  <c r="IF545" i="40"/>
  <c r="KP545" i="40" s="1"/>
  <c r="IG548" i="40"/>
  <c r="IF410" i="40"/>
  <c r="IF409" i="40"/>
  <c r="IG467" i="40"/>
  <c r="W42" i="68" s="1"/>
  <c r="IF524" i="40"/>
  <c r="IF575" i="40"/>
  <c r="JI284" i="40"/>
  <c r="JK284" i="40" s="1"/>
  <c r="IG512" i="40"/>
  <c r="JI217" i="40"/>
  <c r="JK217" i="40" s="1"/>
  <c r="JI209" i="40"/>
  <c r="JK209" i="40" s="1"/>
  <c r="E16" i="59" s="1"/>
  <c r="AQ446" i="40"/>
  <c r="IF535" i="40"/>
  <c r="IF406" i="40"/>
  <c r="AQ425" i="40"/>
  <c r="IF551" i="40"/>
  <c r="KP470" i="40"/>
  <c r="IG406" i="40"/>
  <c r="IG485" i="40"/>
  <c r="JI286" i="40"/>
  <c r="JK286" i="40" s="1"/>
  <c r="JI272" i="40"/>
  <c r="JK272" i="40" s="1"/>
  <c r="IF538" i="40"/>
  <c r="IG584" i="40"/>
  <c r="IG586" i="40"/>
  <c r="IF487" i="40"/>
  <c r="IG583" i="40"/>
  <c r="JI285" i="40"/>
  <c r="JK285" i="40" s="1"/>
  <c r="IF482" i="40"/>
  <c r="IF586" i="40"/>
  <c r="V38" i="69" s="1"/>
  <c r="IF584" i="40"/>
  <c r="HT382" i="40"/>
  <c r="IC382" i="40" s="1"/>
  <c r="HT387" i="40"/>
  <c r="IC387" i="40" s="1"/>
  <c r="HT384" i="40"/>
  <c r="IC384" i="40" s="1"/>
  <c r="HT386" i="40"/>
  <c r="IC386" i="40" s="1"/>
  <c r="HT385" i="40"/>
  <c r="IC385" i="40" s="1"/>
  <c r="HT383" i="40"/>
  <c r="IC383" i="40" s="1"/>
  <c r="IF485" i="40"/>
  <c r="ID287" i="40"/>
  <c r="IF587" i="40"/>
  <c r="IG585" i="40"/>
  <c r="IG582" i="40"/>
  <c r="IC283" i="40"/>
  <c r="KP403" i="40"/>
  <c r="JD447" i="40"/>
  <c r="JR447" i="40" s="1"/>
  <c r="HU383" i="40"/>
  <c r="ID383" i="40" s="1"/>
  <c r="HU386" i="40"/>
  <c r="ID386" i="40" s="1"/>
  <c r="HU385" i="40"/>
  <c r="ID385" i="40" s="1"/>
  <c r="HU384" i="40"/>
  <c r="ID384" i="40" s="1"/>
  <c r="HU387" i="40"/>
  <c r="ID387" i="40" s="1"/>
  <c r="HU382" i="40"/>
  <c r="ID382" i="40" s="1"/>
  <c r="IF585" i="40"/>
  <c r="IF484" i="40"/>
  <c r="IF583" i="40"/>
  <c r="ID285" i="40"/>
  <c r="HS682" i="40"/>
  <c r="IF486" i="40"/>
  <c r="AQ486" i="40" s="1"/>
  <c r="IG487" i="40"/>
  <c r="IG587" i="40"/>
  <c r="IC286" i="40"/>
  <c r="IG482" i="40"/>
  <c r="IG484" i="40"/>
  <c r="ID282" i="40"/>
  <c r="ID286" i="40"/>
  <c r="JI282" i="40"/>
  <c r="JK282" i="40" s="1"/>
  <c r="IF483" i="40"/>
  <c r="V34" i="68" s="1"/>
  <c r="IC285" i="40"/>
  <c r="IC287" i="40"/>
  <c r="JI220" i="40"/>
  <c r="JK220" i="40" s="1"/>
  <c r="JI244" i="40"/>
  <c r="JK244" i="40" s="1"/>
  <c r="JI276" i="40"/>
  <c r="JK276" i="40" s="1"/>
  <c r="JI258" i="40"/>
  <c r="JK258" i="40" s="1"/>
  <c r="JI221" i="40"/>
  <c r="JK221" i="40" s="1"/>
  <c r="JI226" i="40"/>
  <c r="JK226" i="40" s="1"/>
  <c r="JI266" i="40"/>
  <c r="JK266" i="40" s="1"/>
  <c r="JI224" i="40"/>
  <c r="JK224" i="40" s="1"/>
  <c r="JI265" i="40"/>
  <c r="JK265" i="40" s="1"/>
  <c r="JI237" i="40"/>
  <c r="JK237" i="40" s="1"/>
  <c r="IF582" i="40"/>
  <c r="ID283" i="40"/>
  <c r="ID284" i="40"/>
  <c r="HS683" i="40"/>
  <c r="JI287" i="40"/>
  <c r="JK287" i="40" s="1"/>
  <c r="IC282" i="40"/>
  <c r="IC284" i="40"/>
  <c r="IG519" i="40"/>
  <c r="KP468" i="40"/>
  <c r="IG536" i="40"/>
  <c r="KP428" i="40"/>
  <c r="IG508" i="40"/>
  <c r="IF554" i="40"/>
  <c r="AQ448" i="40"/>
  <c r="AQ423" i="40"/>
  <c r="IG571" i="40"/>
  <c r="IF501" i="40"/>
  <c r="IG501" i="40"/>
  <c r="K11" i="61" s="1"/>
  <c r="IF416" i="40"/>
  <c r="V46" i="68" s="1"/>
  <c r="IG416" i="40"/>
  <c r="W46" i="68" s="1"/>
  <c r="S46" i="68" s="1"/>
  <c r="IG532" i="40"/>
  <c r="W48" i="69" s="1"/>
  <c r="JD435" i="40"/>
  <c r="JR435" i="40" s="1"/>
  <c r="IF516" i="40"/>
  <c r="IG544" i="40"/>
  <c r="JD515" i="40"/>
  <c r="JR515" i="40" s="1"/>
  <c r="KP447" i="40"/>
  <c r="AQ464" i="40"/>
  <c r="KP469" i="40"/>
  <c r="IG554" i="40"/>
  <c r="AQ566" i="40"/>
  <c r="IF526" i="40"/>
  <c r="KP413" i="40"/>
  <c r="IF537" i="40"/>
  <c r="KP452" i="40"/>
  <c r="IF517" i="40"/>
  <c r="IF547" i="40"/>
  <c r="IG517" i="40"/>
  <c r="AQ470" i="40"/>
  <c r="AQ507" i="40"/>
  <c r="IG577" i="40"/>
  <c r="IF560" i="40"/>
  <c r="KP560" i="40" s="1"/>
  <c r="IF539" i="40"/>
  <c r="KP446" i="40"/>
  <c r="IG539" i="40"/>
  <c r="AQ478" i="40"/>
  <c r="IF519" i="40"/>
  <c r="KP448" i="40"/>
  <c r="JI225" i="40"/>
  <c r="JK225" i="40" s="1"/>
  <c r="IF508" i="40"/>
  <c r="JD469" i="40"/>
  <c r="JR469" i="40" s="1"/>
  <c r="JD437" i="40"/>
  <c r="JR437" i="40" s="1"/>
  <c r="AQ411" i="40"/>
  <c r="IF580" i="40"/>
  <c r="JI261" i="40"/>
  <c r="JK261" i="40" s="1"/>
  <c r="JI256" i="40"/>
  <c r="JK256" i="40" s="1"/>
  <c r="JI214" i="40"/>
  <c r="JK214" i="40" s="1"/>
  <c r="KP444" i="40"/>
  <c r="IF514" i="40"/>
  <c r="KP415" i="40"/>
  <c r="JD475" i="40"/>
  <c r="JR475" i="40" s="1"/>
  <c r="IG580" i="40"/>
  <c r="JI243" i="40"/>
  <c r="JK243" i="40" s="1"/>
  <c r="JI222" i="40"/>
  <c r="JK222" i="40" s="1"/>
  <c r="JI230" i="40"/>
  <c r="JK230" i="40" s="1"/>
  <c r="IG505" i="40"/>
  <c r="AQ452" i="40"/>
  <c r="IF577" i="40"/>
  <c r="KP566" i="40"/>
  <c r="JD446" i="40"/>
  <c r="JR446" i="40" s="1"/>
  <c r="JR412" i="40"/>
  <c r="KP425" i="40"/>
  <c r="AQ473" i="40"/>
  <c r="JD403" i="40"/>
  <c r="F7" i="59"/>
  <c r="F31" i="59" s="1"/>
  <c r="E7" i="59"/>
  <c r="H7" i="59"/>
  <c r="H31" i="59" s="1"/>
  <c r="G7" i="59"/>
  <c r="G31" i="59" s="1"/>
  <c r="KP442" i="40"/>
  <c r="KP456" i="40"/>
  <c r="IG564" i="40"/>
  <c r="ID218" i="40"/>
  <c r="ID252" i="40"/>
  <c r="ID212" i="40"/>
  <c r="ID210" i="40"/>
  <c r="ID203" i="40"/>
  <c r="ID225" i="40"/>
  <c r="ID222" i="40"/>
  <c r="ID245" i="40"/>
  <c r="ID277" i="40"/>
  <c r="ID256" i="40"/>
  <c r="ID258" i="40"/>
  <c r="ID213" i="40"/>
  <c r="ID260" i="40"/>
  <c r="ID221" i="40"/>
  <c r="ID216" i="40"/>
  <c r="ID241" i="40"/>
  <c r="ID242" i="40"/>
  <c r="ID206" i="40"/>
  <c r="ID276" i="40"/>
  <c r="ID269" i="40"/>
  <c r="KP437" i="40"/>
  <c r="IC220" i="40"/>
  <c r="IC245" i="40"/>
  <c r="IC244" i="40"/>
  <c r="IC235" i="40"/>
  <c r="IC276" i="40"/>
  <c r="IC252" i="40"/>
  <c r="IC258" i="40"/>
  <c r="IC278" i="40"/>
  <c r="IC221" i="40"/>
  <c r="IC223" i="40"/>
  <c r="IC226" i="40"/>
  <c r="IC234" i="40"/>
  <c r="IC266" i="40"/>
  <c r="IC203" i="40"/>
  <c r="IC224" i="40"/>
  <c r="IC242" i="40"/>
  <c r="IC265" i="40"/>
  <c r="IC233" i="40"/>
  <c r="IC237" i="40"/>
  <c r="IC210" i="40"/>
  <c r="AQ401" i="40"/>
  <c r="J10" i="61"/>
  <c r="KP461" i="40"/>
  <c r="JD411" i="40"/>
  <c r="KP464" i="40"/>
  <c r="HS674" i="40"/>
  <c r="JI219" i="40"/>
  <c r="JK219" i="40" s="1"/>
  <c r="JI269" i="40"/>
  <c r="JK269" i="40" s="1"/>
  <c r="HS679" i="40"/>
  <c r="IF572" i="40"/>
  <c r="IF534" i="40"/>
  <c r="JD507" i="40"/>
  <c r="KP507" i="40"/>
  <c r="JD461" i="40"/>
  <c r="KP430" i="40"/>
  <c r="IG556" i="40"/>
  <c r="IG524" i="40"/>
  <c r="IG540" i="40"/>
  <c r="V48" i="68"/>
  <c r="AQ432" i="40"/>
  <c r="S38" i="68"/>
  <c r="AA38" i="68" s="1"/>
  <c r="IF571" i="40"/>
  <c r="IF549" i="40"/>
  <c r="IG567" i="40"/>
  <c r="KP515" i="40"/>
  <c r="IG518" i="40"/>
  <c r="AQ415" i="40"/>
  <c r="JD448" i="40"/>
  <c r="HS701" i="40"/>
  <c r="IF556" i="40"/>
  <c r="I11" i="61"/>
  <c r="JD425" i="40"/>
  <c r="IG576" i="40"/>
  <c r="AQ450" i="40"/>
  <c r="JD456" i="40"/>
  <c r="IF544" i="40"/>
  <c r="IG547" i="40"/>
  <c r="ID226" i="40"/>
  <c r="ID253" i="40"/>
  <c r="ID251" i="40"/>
  <c r="ID233" i="40"/>
  <c r="ID211" i="40"/>
  <c r="ID246" i="40"/>
  <c r="ID232" i="40"/>
  <c r="ID247" i="40"/>
  <c r="ID278" i="40"/>
  <c r="ID205" i="40"/>
  <c r="ID259" i="40"/>
  <c r="ID238" i="40"/>
  <c r="ID262" i="40"/>
  <c r="ID235" i="40"/>
  <c r="ID223" i="40"/>
  <c r="ID217" i="40"/>
  <c r="ID279" i="40"/>
  <c r="ID209" i="40"/>
  <c r="ID281" i="40"/>
  <c r="ID272" i="40"/>
  <c r="IC249" i="40"/>
  <c r="IC236" i="40"/>
  <c r="IC207" i="40"/>
  <c r="IC248" i="40"/>
  <c r="IC272" i="40"/>
  <c r="IC264" i="40"/>
  <c r="IC277" i="40"/>
  <c r="IC281" i="40"/>
  <c r="IC231" i="40"/>
  <c r="IC238" i="40"/>
  <c r="IC260" i="40"/>
  <c r="IC246" i="40"/>
  <c r="IC274" i="40"/>
  <c r="IC206" i="40"/>
  <c r="IC225" i="40"/>
  <c r="IC255" i="40"/>
  <c r="IC279" i="40"/>
  <c r="IC254" i="40"/>
  <c r="IC247" i="40"/>
  <c r="IC201" i="40"/>
  <c r="KP408" i="40"/>
  <c r="JD470" i="40"/>
  <c r="AQ403" i="40"/>
  <c r="AQ428" i="40"/>
  <c r="AQ475" i="40"/>
  <c r="JD464" i="40"/>
  <c r="AS17" i="69"/>
  <c r="JD530" i="40"/>
  <c r="HS654" i="40"/>
  <c r="JI274" i="40"/>
  <c r="JK274" i="40" s="1"/>
  <c r="HS605" i="40"/>
  <c r="HS622" i="40"/>
  <c r="JI203" i="40"/>
  <c r="JK203" i="40" s="1"/>
  <c r="HS643" i="40"/>
  <c r="JI279" i="40"/>
  <c r="JK279" i="40" s="1"/>
  <c r="IF502" i="40"/>
  <c r="KP502" i="40" s="1"/>
  <c r="JD430" i="40"/>
  <c r="IG557" i="40"/>
  <c r="JD557" i="40" s="1"/>
  <c r="IG531" i="40"/>
  <c r="IG516" i="40"/>
  <c r="V48" i="69"/>
  <c r="KP457" i="40"/>
  <c r="IF553" i="40"/>
  <c r="IG549" i="40"/>
  <c r="AQ468" i="40"/>
  <c r="IF540" i="40"/>
  <c r="IG526" i="40"/>
  <c r="ID237" i="40"/>
  <c r="ID265" i="40"/>
  <c r="ID275" i="40"/>
  <c r="ID240" i="40"/>
  <c r="ID219" i="40"/>
  <c r="ID271" i="40"/>
  <c r="ID236" i="40"/>
  <c r="ID201" i="40"/>
  <c r="ID248" i="40"/>
  <c r="ID234" i="40"/>
  <c r="ID266" i="40"/>
  <c r="ID254" i="40"/>
  <c r="ID267" i="40"/>
  <c r="ID261" i="40"/>
  <c r="ID229" i="40"/>
  <c r="ID220" i="40"/>
  <c r="ID263" i="40"/>
  <c r="ID230" i="40"/>
  <c r="ID208" i="40"/>
  <c r="ID274" i="40"/>
  <c r="KP434" i="40"/>
  <c r="IC205" i="40"/>
  <c r="IC239" i="40"/>
  <c r="IC212" i="40"/>
  <c r="IC259" i="40"/>
  <c r="IC232" i="40"/>
  <c r="IC213" i="40"/>
  <c r="IC261" i="40"/>
  <c r="IC271" i="40"/>
  <c r="IC267" i="40"/>
  <c r="IC240" i="40"/>
  <c r="IC204" i="40"/>
  <c r="IC257" i="40"/>
  <c r="IC280" i="40"/>
  <c r="IC208" i="40"/>
  <c r="IC228" i="40"/>
  <c r="IC256" i="40"/>
  <c r="IC214" i="40"/>
  <c r="IC202" i="40"/>
  <c r="IC251" i="40"/>
  <c r="IC241" i="40"/>
  <c r="HT368" i="40"/>
  <c r="IC368" i="40" s="1"/>
  <c r="HT381" i="40"/>
  <c r="IC381" i="40" s="1"/>
  <c r="HT376" i="40"/>
  <c r="IC376" i="40" s="1"/>
  <c r="HT375" i="40"/>
  <c r="IC375" i="40" s="1"/>
  <c r="HT367" i="40"/>
  <c r="IC367" i="40" s="1"/>
  <c r="HT358" i="40"/>
  <c r="IC358" i="40" s="1"/>
  <c r="HT350" i="40"/>
  <c r="IC350" i="40" s="1"/>
  <c r="HT351" i="40"/>
  <c r="IC351" i="40" s="1"/>
  <c r="HT338" i="40"/>
  <c r="IC338" i="40" s="1"/>
  <c r="HT316" i="40"/>
  <c r="IC316" i="40" s="1"/>
  <c r="HT354" i="40"/>
  <c r="IC354" i="40" s="1"/>
  <c r="HT341" i="40"/>
  <c r="IC341" i="40" s="1"/>
  <c r="HT314" i="40"/>
  <c r="IC314" i="40" s="1"/>
  <c r="HT378" i="40"/>
  <c r="IC378" i="40" s="1"/>
  <c r="HT374" i="40"/>
  <c r="IC374" i="40" s="1"/>
  <c r="HT373" i="40"/>
  <c r="IC373" i="40" s="1"/>
  <c r="HT310" i="40"/>
  <c r="IC310" i="40" s="1"/>
  <c r="HT322" i="40"/>
  <c r="IC322" i="40" s="1"/>
  <c r="HT307" i="40"/>
  <c r="IC307" i="40" s="1"/>
  <c r="HT303" i="40"/>
  <c r="IC303" i="40" s="1"/>
  <c r="HT380" i="40"/>
  <c r="IC380" i="40" s="1"/>
  <c r="HT365" i="40"/>
  <c r="IC365" i="40" s="1"/>
  <c r="HT344" i="40"/>
  <c r="IC344" i="40" s="1"/>
  <c r="HT337" i="40"/>
  <c r="IC337" i="40" s="1"/>
  <c r="HT320" i="40"/>
  <c r="IC320" i="40" s="1"/>
  <c r="HT308" i="40"/>
  <c r="IC308" i="40" s="1"/>
  <c r="HT360" i="40"/>
  <c r="IC360" i="40" s="1"/>
  <c r="HT346" i="40"/>
  <c r="IC346" i="40" s="1"/>
  <c r="HT331" i="40"/>
  <c r="IC331" i="40" s="1"/>
  <c r="HT306" i="40"/>
  <c r="IC306" i="40" s="1"/>
  <c r="HT352" i="40"/>
  <c r="IC352" i="40" s="1"/>
  <c r="HT347" i="40"/>
  <c r="IC347" i="40" s="1"/>
  <c r="HT340" i="40"/>
  <c r="IC340" i="40" s="1"/>
  <c r="HT332" i="40"/>
  <c r="IC332" i="40" s="1"/>
  <c r="HT329" i="40"/>
  <c r="IC329" i="40" s="1"/>
  <c r="HT323" i="40"/>
  <c r="IC323" i="40" s="1"/>
  <c r="HT339" i="40"/>
  <c r="IC339" i="40" s="1"/>
  <c r="HT379" i="40"/>
  <c r="IC379" i="40" s="1"/>
  <c r="HT348" i="40"/>
  <c r="IC348" i="40" s="1"/>
  <c r="HT349" i="40"/>
  <c r="IC349" i="40" s="1"/>
  <c r="HT342" i="40"/>
  <c r="IC342" i="40" s="1"/>
  <c r="HT334" i="40"/>
  <c r="IC334" i="40" s="1"/>
  <c r="HT317" i="40"/>
  <c r="IC317" i="40" s="1"/>
  <c r="HT301" i="40"/>
  <c r="IC301" i="40" s="1"/>
  <c r="HT359" i="40"/>
  <c r="IC359" i="40" s="1"/>
  <c r="HT361" i="40"/>
  <c r="IC361" i="40" s="1"/>
  <c r="HT356" i="40"/>
  <c r="IC356" i="40" s="1"/>
  <c r="HT304" i="40"/>
  <c r="IC304" i="40" s="1"/>
  <c r="HT305" i="40"/>
  <c r="IC305" i="40" s="1"/>
  <c r="HT372" i="40"/>
  <c r="IC372" i="40" s="1"/>
  <c r="HT345" i="40"/>
  <c r="IC345" i="40" s="1"/>
  <c r="HT328" i="40"/>
  <c r="IC328" i="40" s="1"/>
  <c r="HT326" i="40"/>
  <c r="IC326" i="40" s="1"/>
  <c r="HT377" i="40"/>
  <c r="IC377" i="40" s="1"/>
  <c r="HT371" i="40"/>
  <c r="IC371" i="40" s="1"/>
  <c r="HT369" i="40"/>
  <c r="IC369" i="40" s="1"/>
  <c r="HT357" i="40"/>
  <c r="IC357" i="40" s="1"/>
  <c r="HT355" i="40"/>
  <c r="IC355" i="40" s="1"/>
  <c r="HT343" i="40"/>
  <c r="IC343" i="40" s="1"/>
  <c r="HT327" i="40"/>
  <c r="IC327" i="40" s="1"/>
  <c r="HT319" i="40"/>
  <c r="IC319" i="40" s="1"/>
  <c r="HT315" i="40"/>
  <c r="IC315" i="40" s="1"/>
  <c r="HT363" i="40"/>
  <c r="IC363" i="40" s="1"/>
  <c r="HT333" i="40"/>
  <c r="IC333" i="40" s="1"/>
  <c r="HT330" i="40"/>
  <c r="IC330" i="40" s="1"/>
  <c r="HT318" i="40"/>
  <c r="IC318" i="40" s="1"/>
  <c r="HT312" i="40"/>
  <c r="IC312" i="40" s="1"/>
  <c r="HT302" i="40"/>
  <c r="IC302" i="40" s="1"/>
  <c r="HT362" i="40"/>
  <c r="IC362" i="40" s="1"/>
  <c r="HT325" i="40"/>
  <c r="IC325" i="40" s="1"/>
  <c r="HT324" i="40"/>
  <c r="IC324" i="40" s="1"/>
  <c r="HT370" i="40"/>
  <c r="IC370" i="40" s="1"/>
  <c r="HT366" i="40"/>
  <c r="IC366" i="40" s="1"/>
  <c r="HT364" i="40"/>
  <c r="IC364" i="40" s="1"/>
  <c r="HT336" i="40"/>
  <c r="IC336" i="40" s="1"/>
  <c r="HT335" i="40"/>
  <c r="IC335" i="40" s="1"/>
  <c r="HT321" i="40"/>
  <c r="IC321" i="40" s="1"/>
  <c r="HT313" i="40"/>
  <c r="IC313" i="40" s="1"/>
  <c r="HT309" i="40"/>
  <c r="IC309" i="40" s="1"/>
  <c r="HT311" i="40"/>
  <c r="IC311" i="40" s="1"/>
  <c r="HT353" i="40"/>
  <c r="IC353" i="40" s="1"/>
  <c r="AQ412" i="40"/>
  <c r="AQ442" i="40"/>
  <c r="AQ434" i="40"/>
  <c r="KP405" i="40"/>
  <c r="HS606" i="40"/>
  <c r="JI254" i="40"/>
  <c r="JK254" i="40" s="1"/>
  <c r="HS653" i="40"/>
  <c r="JI205" i="40"/>
  <c r="JK205" i="40" s="1"/>
  <c r="HS623" i="40"/>
  <c r="HS602" i="40"/>
  <c r="JI235" i="40"/>
  <c r="JK235" i="40" s="1"/>
  <c r="KP478" i="40"/>
  <c r="IG561" i="40"/>
  <c r="W44" i="69" s="1"/>
  <c r="KP423" i="40"/>
  <c r="KP432" i="40"/>
  <c r="AQ469" i="40"/>
  <c r="AQ437" i="40"/>
  <c r="JD457" i="40"/>
  <c r="JD432" i="40"/>
  <c r="JD452" i="40"/>
  <c r="IF567" i="40"/>
  <c r="KP440" i="40"/>
  <c r="JD415" i="40"/>
  <c r="IG553" i="40"/>
  <c r="AQ413" i="40"/>
  <c r="JD450" i="40"/>
  <c r="JD429" i="40"/>
  <c r="IF518" i="40"/>
  <c r="KT153" i="40"/>
  <c r="KU152" i="40"/>
  <c r="I66" i="70" s="1"/>
  <c r="IG534" i="40"/>
  <c r="JD566" i="40"/>
  <c r="IE503" i="40"/>
  <c r="ID202" i="40"/>
  <c r="ID250" i="40"/>
  <c r="ID270" i="40"/>
  <c r="ID204" i="40"/>
  <c r="ID228" i="40"/>
  <c r="ID224" i="40"/>
  <c r="ID207" i="40"/>
  <c r="ID244" i="40"/>
  <c r="ID264" i="40"/>
  <c r="ID255" i="40"/>
  <c r="ID243" i="40"/>
  <c r="ID273" i="40"/>
  <c r="ID257" i="40"/>
  <c r="ID215" i="40"/>
  <c r="ID214" i="40"/>
  <c r="ID239" i="40"/>
  <c r="ID227" i="40"/>
  <c r="ID268" i="40"/>
  <c r="ID231" i="40"/>
  <c r="ID249" i="40"/>
  <c r="ID280" i="40"/>
  <c r="IC217" i="40"/>
  <c r="IC219" i="40"/>
  <c r="IC243" i="40"/>
  <c r="IC229" i="40"/>
  <c r="IC268" i="40"/>
  <c r="IC250" i="40"/>
  <c r="IC216" i="40"/>
  <c r="IC273" i="40"/>
  <c r="IC275" i="40"/>
  <c r="IC209" i="40"/>
  <c r="IC215" i="40"/>
  <c r="IC211" i="40"/>
  <c r="IC263" i="40"/>
  <c r="IC269" i="40"/>
  <c r="IC218" i="40"/>
  <c r="IC227" i="40"/>
  <c r="IC262" i="40"/>
  <c r="IC222" i="40"/>
  <c r="IC230" i="40"/>
  <c r="IC270" i="40"/>
  <c r="IC253" i="40"/>
  <c r="HU353" i="40"/>
  <c r="ID353" i="40" s="1"/>
  <c r="HU340" i="40"/>
  <c r="ID340" i="40" s="1"/>
  <c r="HU338" i="40"/>
  <c r="ID338" i="40" s="1"/>
  <c r="HU311" i="40"/>
  <c r="ID311" i="40" s="1"/>
  <c r="HU307" i="40"/>
  <c r="ID307" i="40" s="1"/>
  <c r="HU303" i="40"/>
  <c r="ID303" i="40" s="1"/>
  <c r="HU352" i="40"/>
  <c r="ID352" i="40" s="1"/>
  <c r="HU342" i="40"/>
  <c r="ID342" i="40" s="1"/>
  <c r="HU318" i="40"/>
  <c r="ID318" i="40" s="1"/>
  <c r="HU310" i="40"/>
  <c r="ID310" i="40" s="1"/>
  <c r="HU359" i="40"/>
  <c r="ID359" i="40" s="1"/>
  <c r="HU358" i="40"/>
  <c r="ID358" i="40" s="1"/>
  <c r="HU333" i="40"/>
  <c r="ID333" i="40" s="1"/>
  <c r="HU320" i="40"/>
  <c r="ID320" i="40" s="1"/>
  <c r="HU305" i="40"/>
  <c r="ID305" i="40" s="1"/>
  <c r="HU355" i="40"/>
  <c r="ID355" i="40" s="1"/>
  <c r="HU341" i="40"/>
  <c r="ID341" i="40" s="1"/>
  <c r="HU325" i="40"/>
  <c r="ID325" i="40" s="1"/>
  <c r="HU306" i="40"/>
  <c r="ID306" i="40" s="1"/>
  <c r="HU302" i="40"/>
  <c r="ID302" i="40" s="1"/>
  <c r="HU377" i="40"/>
  <c r="ID377" i="40" s="1"/>
  <c r="HU334" i="40"/>
  <c r="ID334" i="40" s="1"/>
  <c r="HU324" i="40"/>
  <c r="ID324" i="40" s="1"/>
  <c r="HU374" i="40"/>
  <c r="ID374" i="40" s="1"/>
  <c r="HU349" i="40"/>
  <c r="ID349" i="40" s="1"/>
  <c r="HU346" i="40"/>
  <c r="ID346" i="40" s="1"/>
  <c r="HU329" i="40"/>
  <c r="ID329" i="40" s="1"/>
  <c r="HU372" i="40"/>
  <c r="ID372" i="40" s="1"/>
  <c r="HU370" i="40"/>
  <c r="ID370" i="40" s="1"/>
  <c r="HU367" i="40"/>
  <c r="ID367" i="40" s="1"/>
  <c r="HU365" i="40"/>
  <c r="ID365" i="40" s="1"/>
  <c r="HU361" i="40"/>
  <c r="ID361" i="40" s="1"/>
  <c r="HU343" i="40"/>
  <c r="ID343" i="40" s="1"/>
  <c r="HU339" i="40"/>
  <c r="ID339" i="40" s="1"/>
  <c r="HU337" i="40"/>
  <c r="ID337" i="40" s="1"/>
  <c r="HU321" i="40"/>
  <c r="ID321" i="40" s="1"/>
  <c r="HU316" i="40"/>
  <c r="ID316" i="40" s="1"/>
  <c r="HU313" i="40"/>
  <c r="ID313" i="40" s="1"/>
  <c r="HU348" i="40"/>
  <c r="ID348" i="40" s="1"/>
  <c r="HU331" i="40"/>
  <c r="ID331" i="40" s="1"/>
  <c r="HU314" i="40"/>
  <c r="ID314" i="40" s="1"/>
  <c r="HU362" i="40"/>
  <c r="ID362" i="40" s="1"/>
  <c r="HU381" i="40"/>
  <c r="ID381" i="40" s="1"/>
  <c r="HU378" i="40"/>
  <c r="ID378" i="40" s="1"/>
  <c r="HU335" i="40"/>
  <c r="ID335" i="40" s="1"/>
  <c r="HU327" i="40"/>
  <c r="ID327" i="40" s="1"/>
  <c r="HU380" i="40"/>
  <c r="ID380" i="40" s="1"/>
  <c r="HU330" i="40"/>
  <c r="ID330" i="40" s="1"/>
  <c r="HU317" i="40"/>
  <c r="ID317" i="40" s="1"/>
  <c r="HU315" i="40"/>
  <c r="ID315" i="40" s="1"/>
  <c r="HU301" i="40"/>
  <c r="ID301" i="40" s="1"/>
  <c r="HU373" i="40"/>
  <c r="ID373" i="40" s="1"/>
  <c r="HU368" i="40"/>
  <c r="ID368" i="40" s="1"/>
  <c r="HU354" i="40"/>
  <c r="ID354" i="40" s="1"/>
  <c r="HU350" i="40"/>
  <c r="ID350" i="40" s="1"/>
  <c r="HU351" i="40"/>
  <c r="ID351" i="40" s="1"/>
  <c r="HU323" i="40"/>
  <c r="ID323" i="40" s="1"/>
  <c r="HU375" i="40"/>
  <c r="ID375" i="40" s="1"/>
  <c r="HU326" i="40"/>
  <c r="ID326" i="40" s="1"/>
  <c r="HU363" i="40"/>
  <c r="ID363" i="40" s="1"/>
  <c r="HU347" i="40"/>
  <c r="ID347" i="40" s="1"/>
  <c r="HU344" i="40"/>
  <c r="ID344" i="40" s="1"/>
  <c r="HU336" i="40"/>
  <c r="ID336" i="40" s="1"/>
  <c r="HU332" i="40"/>
  <c r="ID332" i="40" s="1"/>
  <c r="HU328" i="40"/>
  <c r="ID328" i="40" s="1"/>
  <c r="HU309" i="40"/>
  <c r="ID309" i="40" s="1"/>
  <c r="HU376" i="40"/>
  <c r="ID376" i="40" s="1"/>
  <c r="HU379" i="40"/>
  <c r="ID379" i="40" s="1"/>
  <c r="HU366" i="40"/>
  <c r="ID366" i="40" s="1"/>
  <c r="HU360" i="40"/>
  <c r="ID360" i="40" s="1"/>
  <c r="HU357" i="40"/>
  <c r="ID357" i="40" s="1"/>
  <c r="HU345" i="40"/>
  <c r="ID345" i="40" s="1"/>
  <c r="HU369" i="40"/>
  <c r="ID369" i="40" s="1"/>
  <c r="HU371" i="40"/>
  <c r="ID371" i="40" s="1"/>
  <c r="HU364" i="40"/>
  <c r="ID364" i="40" s="1"/>
  <c r="HU356" i="40"/>
  <c r="ID356" i="40" s="1"/>
  <c r="HU322" i="40"/>
  <c r="ID322" i="40" s="1"/>
  <c r="HU319" i="40"/>
  <c r="ID319" i="40" s="1"/>
  <c r="HU312" i="40"/>
  <c r="ID312" i="40" s="1"/>
  <c r="HU308" i="40"/>
  <c r="ID308" i="40" s="1"/>
  <c r="HU304" i="40"/>
  <c r="ID304" i="40" s="1"/>
  <c r="JD413" i="40"/>
  <c r="AQ408" i="40"/>
  <c r="AQ444" i="40"/>
  <c r="KP411" i="40"/>
  <c r="HS661" i="40"/>
  <c r="JI206" i="40"/>
  <c r="JK206" i="40" s="1"/>
  <c r="HS619" i="40"/>
  <c r="JI253" i="40"/>
  <c r="JK253" i="40" s="1"/>
  <c r="HS669" i="40"/>
  <c r="JI246" i="40"/>
  <c r="JK246" i="40" s="1"/>
  <c r="HS614" i="40"/>
  <c r="JI223" i="40"/>
  <c r="JK223" i="40" s="1"/>
  <c r="HS625" i="40"/>
  <c r="JI202" i="40"/>
  <c r="JK202" i="40" s="1"/>
  <c r="IF564" i="40"/>
  <c r="AQ558" i="40"/>
  <c r="IF561" i="40"/>
  <c r="IF576" i="40"/>
  <c r="JD525" i="40"/>
  <c r="AQ525" i="40"/>
  <c r="KP455" i="40"/>
  <c r="JD444" i="40"/>
  <c r="JD478" i="40"/>
  <c r="IG572" i="40"/>
  <c r="JD423" i="40"/>
  <c r="W38" i="69" l="1"/>
  <c r="AQ429" i="40"/>
  <c r="AQ435" i="40"/>
  <c r="AQ578" i="40"/>
  <c r="KP429" i="40"/>
  <c r="KP414" i="40"/>
  <c r="KP435" i="40"/>
  <c r="KP451" i="40"/>
  <c r="KP558" i="40"/>
  <c r="JD414" i="40"/>
  <c r="JR414" i="40" s="1"/>
  <c r="KP578" i="40"/>
  <c r="JD451" i="40"/>
  <c r="JD578" i="40"/>
  <c r="AQ562" i="40"/>
  <c r="KP587" i="40"/>
  <c r="W34" i="69"/>
  <c r="JD431" i="40"/>
  <c r="JR431" i="40" s="1"/>
  <c r="AQ405" i="40"/>
  <c r="AQ424" i="40"/>
  <c r="AQ433" i="40"/>
  <c r="AQ563" i="40"/>
  <c r="KP473" i="40"/>
  <c r="JD565" i="40"/>
  <c r="AQ440" i="40"/>
  <c r="P18" i="59"/>
  <c r="AQ505" i="40"/>
  <c r="KP424" i="40"/>
  <c r="AQ455" i="40"/>
  <c r="JD523" i="40"/>
  <c r="JR523" i="40" s="1"/>
  <c r="JD471" i="40"/>
  <c r="KP565" i="40"/>
  <c r="AQ581" i="40"/>
  <c r="AQ565" i="40"/>
  <c r="KP581" i="40"/>
  <c r="HT653" i="40"/>
  <c r="W36" i="69"/>
  <c r="W46" i="69"/>
  <c r="W40" i="69"/>
  <c r="W42" i="69"/>
  <c r="W40" i="68"/>
  <c r="JD570" i="40"/>
  <c r="JR570" i="40" s="1"/>
  <c r="JR442" i="40"/>
  <c r="KP463" i="40"/>
  <c r="AQ526" i="40"/>
  <c r="JD573" i="40"/>
  <c r="JQ573" i="40" s="1"/>
  <c r="JD506" i="40"/>
  <c r="JD542" i="40"/>
  <c r="AQ443" i="40"/>
  <c r="JD505" i="40"/>
  <c r="JR505" i="40" s="1"/>
  <c r="JI386" i="40"/>
  <c r="JK386" i="40" s="1"/>
  <c r="JD443" i="40"/>
  <c r="AQ463" i="40"/>
  <c r="AQ477" i="40"/>
  <c r="JD440" i="40"/>
  <c r="JR440" i="40" s="1"/>
  <c r="JD581" i="40"/>
  <c r="JR581" i="40" s="1"/>
  <c r="KP438" i="40"/>
  <c r="KP436" i="40"/>
  <c r="JD563" i="40"/>
  <c r="JR563" i="40" s="1"/>
  <c r="AQ521" i="40"/>
  <c r="JD521" i="40"/>
  <c r="JR521" i="40" s="1"/>
  <c r="KP522" i="40"/>
  <c r="KP443" i="40"/>
  <c r="JD522" i="40"/>
  <c r="JD519" i="40"/>
  <c r="JR519" i="40" s="1"/>
  <c r="JD509" i="40"/>
  <c r="JQ509" i="40" s="1"/>
  <c r="KP569" i="40"/>
  <c r="KP563" i="40"/>
  <c r="JQ435" i="40"/>
  <c r="AQ436" i="40"/>
  <c r="AQ458" i="40"/>
  <c r="KP481" i="40"/>
  <c r="JD436" i="40"/>
  <c r="JR436" i="40" s="1"/>
  <c r="JD438" i="40"/>
  <c r="JQ408" i="40"/>
  <c r="KP433" i="40"/>
  <c r="JD417" i="40"/>
  <c r="JR417" i="40" s="1"/>
  <c r="AQ528" i="40"/>
  <c r="JD555" i="40"/>
  <c r="JR555" i="40" s="1"/>
  <c r="AQ438" i="40"/>
  <c r="KP471" i="40"/>
  <c r="JR468" i="40"/>
  <c r="KP531" i="40"/>
  <c r="AQ536" i="40"/>
  <c r="AQ512" i="40"/>
  <c r="KP439" i="40"/>
  <c r="KP453" i="40"/>
  <c r="KP445" i="40"/>
  <c r="JD409" i="40"/>
  <c r="JQ409" i="40" s="1"/>
  <c r="KP511" i="40"/>
  <c r="AQ462" i="40"/>
  <c r="AQ471" i="40"/>
  <c r="IB222" i="40"/>
  <c r="IE222" i="40" s="1"/>
  <c r="JQ515" i="40"/>
  <c r="KP454" i="40"/>
  <c r="JD454" i="40"/>
  <c r="AQ542" i="40"/>
  <c r="AQ529" i="40"/>
  <c r="AQ570" i="40"/>
  <c r="JD504" i="40"/>
  <c r="JQ504" i="40" s="1"/>
  <c r="JD463" i="40"/>
  <c r="JR463" i="40" s="1"/>
  <c r="KP529" i="40"/>
  <c r="AQ523" i="40"/>
  <c r="AQ480" i="40"/>
  <c r="KP570" i="40"/>
  <c r="AQ504" i="40"/>
  <c r="KP505" i="40"/>
  <c r="AQ579" i="40"/>
  <c r="KP504" i="40"/>
  <c r="JD529" i="40"/>
  <c r="JR529" i="40" s="1"/>
  <c r="KP527" i="40"/>
  <c r="JD562" i="40"/>
  <c r="AQ506" i="40"/>
  <c r="AQ543" i="40"/>
  <c r="KP532" i="40"/>
  <c r="JD481" i="40"/>
  <c r="JR481" i="40" s="1"/>
  <c r="JD476" i="40"/>
  <c r="JR476" i="40" s="1"/>
  <c r="KP559" i="40"/>
  <c r="AQ532" i="40"/>
  <c r="AQ481" i="40"/>
  <c r="JD564" i="40"/>
  <c r="JQ564" i="40" s="1"/>
  <c r="AQ545" i="40"/>
  <c r="AQ544" i="40"/>
  <c r="AQ514" i="40"/>
  <c r="KP538" i="40"/>
  <c r="JD545" i="40"/>
  <c r="JR545" i="40" s="1"/>
  <c r="JD426" i="40"/>
  <c r="JR426" i="40" s="1"/>
  <c r="JD501" i="40"/>
  <c r="JD479" i="40"/>
  <c r="JQ479" i="40" s="1"/>
  <c r="JD569" i="40"/>
  <c r="JR569" i="40" s="1"/>
  <c r="AQ431" i="40"/>
  <c r="JD579" i="40"/>
  <c r="JD480" i="40"/>
  <c r="JR480" i="40" s="1"/>
  <c r="KP458" i="40"/>
  <c r="KP431" i="40"/>
  <c r="KP562" i="40"/>
  <c r="JD462" i="40"/>
  <c r="JR462" i="40" s="1"/>
  <c r="AQ426" i="40"/>
  <c r="JQ428" i="40"/>
  <c r="JD527" i="40"/>
  <c r="AQ531" i="40"/>
  <c r="JD531" i="40"/>
  <c r="JR531" i="40" s="1"/>
  <c r="JD458" i="40"/>
  <c r="JQ458" i="40" s="1"/>
  <c r="KP506" i="40"/>
  <c r="KP417" i="40"/>
  <c r="AQ402" i="40"/>
  <c r="KP465" i="40"/>
  <c r="JD439" i="40"/>
  <c r="JD453" i="40"/>
  <c r="JQ453" i="40" s="1"/>
  <c r="AQ550" i="40"/>
  <c r="AQ445" i="40"/>
  <c r="JD433" i="40"/>
  <c r="JR433" i="40" s="1"/>
  <c r="AQ555" i="40"/>
  <c r="KP516" i="40"/>
  <c r="AQ474" i="40"/>
  <c r="AQ404" i="40"/>
  <c r="AQ421" i="40"/>
  <c r="KP466" i="40"/>
  <c r="AQ459" i="40"/>
  <c r="AQ574" i="40"/>
  <c r="JD441" i="40"/>
  <c r="JQ441" i="40" s="1"/>
  <c r="KP449" i="40"/>
  <c r="AU17" i="69"/>
  <c r="JD477" i="40"/>
  <c r="AQ465" i="40"/>
  <c r="AQ417" i="40"/>
  <c r="KP550" i="40"/>
  <c r="JD402" i="40"/>
  <c r="KQ435" i="40" s="1"/>
  <c r="KP476" i="40"/>
  <c r="KP542" i="40"/>
  <c r="JD520" i="40"/>
  <c r="JR520" i="40" s="1"/>
  <c r="AQ513" i="40"/>
  <c r="AQ479" i="40"/>
  <c r="JD465" i="40"/>
  <c r="AQ476" i="40"/>
  <c r="KP479" i="40"/>
  <c r="KP477" i="40"/>
  <c r="AT17" i="68"/>
  <c r="AV17" i="68" s="1"/>
  <c r="KP555" i="40"/>
  <c r="JQ434" i="40"/>
  <c r="JD550" i="40"/>
  <c r="JR550" i="40" s="1"/>
  <c r="JD551" i="40"/>
  <c r="JQ551" i="40" s="1"/>
  <c r="JD559" i="40"/>
  <c r="JR559" i="40" s="1"/>
  <c r="KP528" i="40"/>
  <c r="KP402" i="40"/>
  <c r="AQ453" i="40"/>
  <c r="JD445" i="40"/>
  <c r="JQ445" i="40" s="1"/>
  <c r="KP520" i="40"/>
  <c r="AQ559" i="40"/>
  <c r="JD537" i="40"/>
  <c r="JR537" i="40" s="1"/>
  <c r="AQ569" i="40"/>
  <c r="JQ469" i="40"/>
  <c r="AQ520" i="40"/>
  <c r="JD508" i="40"/>
  <c r="JQ508" i="40" s="1"/>
  <c r="IB274" i="40"/>
  <c r="IG274" i="40" s="1"/>
  <c r="JD467" i="40"/>
  <c r="JD532" i="40"/>
  <c r="JQ532" i="40" s="1"/>
  <c r="JD419" i="40"/>
  <c r="JR419" i="40" s="1"/>
  <c r="AQ530" i="40"/>
  <c r="AQ541" i="40"/>
  <c r="JD449" i="40"/>
  <c r="JQ449" i="40" s="1"/>
  <c r="AQ537" i="40"/>
  <c r="KP543" i="40"/>
  <c r="KP574" i="40"/>
  <c r="JD474" i="40"/>
  <c r="JQ474" i="40" s="1"/>
  <c r="KP573" i="40"/>
  <c r="AQ441" i="40"/>
  <c r="KP441" i="40"/>
  <c r="KP409" i="40"/>
  <c r="KP467" i="40"/>
  <c r="JD513" i="40"/>
  <c r="JR513" i="40" s="1"/>
  <c r="AQ503" i="40"/>
  <c r="AQ573" i="40"/>
  <c r="KP419" i="40"/>
  <c r="JD543" i="40"/>
  <c r="JR543" i="40" s="1"/>
  <c r="AQ419" i="40"/>
  <c r="KP541" i="40"/>
  <c r="AQ449" i="40"/>
  <c r="KP572" i="40"/>
  <c r="KP537" i="40"/>
  <c r="AQ511" i="40"/>
  <c r="JD574" i="40"/>
  <c r="JQ574" i="40" s="1"/>
  <c r="KP530" i="40"/>
  <c r="JD577" i="40"/>
  <c r="JR577" i="40" s="1"/>
  <c r="JD455" i="40"/>
  <c r="JR455" i="40" s="1"/>
  <c r="KP418" i="40"/>
  <c r="KP501" i="40"/>
  <c r="KP508" i="40"/>
  <c r="KP519" i="40"/>
  <c r="AQ460" i="40"/>
  <c r="KP539" i="40"/>
  <c r="JD422" i="40"/>
  <c r="JR422" i="40" s="1"/>
  <c r="JD510" i="40"/>
  <c r="JQ510" i="40" s="1"/>
  <c r="AQ439" i="40"/>
  <c r="JD528" i="40"/>
  <c r="JQ528" i="40" s="1"/>
  <c r="KP462" i="40"/>
  <c r="KP509" i="40"/>
  <c r="AQ535" i="40"/>
  <c r="JD460" i="40"/>
  <c r="KP460" i="40"/>
  <c r="JD459" i="40"/>
  <c r="JQ459" i="40" s="1"/>
  <c r="JD421" i="40"/>
  <c r="JQ421" i="40" s="1"/>
  <c r="JD466" i="40"/>
  <c r="JQ466" i="40" s="1"/>
  <c r="KP474" i="40"/>
  <c r="JD404" i="40"/>
  <c r="JD511" i="40"/>
  <c r="JQ511" i="40" s="1"/>
  <c r="AQ409" i="40"/>
  <c r="AQ508" i="40"/>
  <c r="AQ510" i="40"/>
  <c r="AQ483" i="40"/>
  <c r="AQ585" i="40"/>
  <c r="AQ466" i="40"/>
  <c r="KP404" i="40"/>
  <c r="KP514" i="40"/>
  <c r="JD514" i="40"/>
  <c r="JQ514" i="40" s="1"/>
  <c r="AQ422" i="40"/>
  <c r="JD568" i="40"/>
  <c r="JR568" i="40" s="1"/>
  <c r="AQ509" i="40"/>
  <c r="JD410" i="40"/>
  <c r="KQ410" i="40" s="1"/>
  <c r="AQ418" i="40"/>
  <c r="KP513" i="40"/>
  <c r="KP459" i="40"/>
  <c r="KP568" i="40"/>
  <c r="JD472" i="40"/>
  <c r="JR472" i="40" s="1"/>
  <c r="KP410" i="40"/>
  <c r="KP472" i="40"/>
  <c r="IB203" i="40"/>
  <c r="IF203" i="40" s="1"/>
  <c r="KP422" i="40"/>
  <c r="JQ481" i="40"/>
  <c r="AQ482" i="40"/>
  <c r="AQ524" i="40"/>
  <c r="JD533" i="40"/>
  <c r="JR533" i="40" s="1"/>
  <c r="JD552" i="40"/>
  <c r="JR552" i="40" s="1"/>
  <c r="AQ427" i="40"/>
  <c r="JD473" i="40"/>
  <c r="KP510" i="40"/>
  <c r="KQ428" i="40"/>
  <c r="JQ447" i="40"/>
  <c r="AQ560" i="40"/>
  <c r="AQ410" i="40"/>
  <c r="KP426" i="40"/>
  <c r="KP421" i="40"/>
  <c r="AQ568" i="40"/>
  <c r="HT687" i="40"/>
  <c r="KP535" i="40"/>
  <c r="AQ485" i="40"/>
  <c r="AQ586" i="40"/>
  <c r="JD418" i="40"/>
  <c r="HT622" i="40"/>
  <c r="HT618" i="40"/>
  <c r="KP552" i="40"/>
  <c r="JD405" i="40"/>
  <c r="JQ405" i="40" s="1"/>
  <c r="J11" i="61"/>
  <c r="O11" i="61" s="1"/>
  <c r="AF11" i="61" s="1"/>
  <c r="AJ11" i="61" s="1"/>
  <c r="KP556" i="40"/>
  <c r="JD546" i="40"/>
  <c r="JR546" i="40" s="1"/>
  <c r="JQ558" i="40"/>
  <c r="AQ583" i="40"/>
  <c r="HT616" i="40"/>
  <c r="AQ567" i="40"/>
  <c r="JQ475" i="40"/>
  <c r="AQ501" i="40"/>
  <c r="AQ538" i="40"/>
  <c r="JQ401" i="40"/>
  <c r="KP546" i="40"/>
  <c r="JD524" i="40"/>
  <c r="JR524" i="40" s="1"/>
  <c r="E30" i="59"/>
  <c r="AQ519" i="40"/>
  <c r="HT686" i="40"/>
  <c r="JD427" i="40"/>
  <c r="AE41" i="70" s="1"/>
  <c r="KP427" i="40"/>
  <c r="JD560" i="40"/>
  <c r="JR560" i="40" s="1"/>
  <c r="AQ548" i="40"/>
  <c r="KP575" i="40"/>
  <c r="HT617" i="40"/>
  <c r="JD526" i="40"/>
  <c r="JQ526" i="40" s="1"/>
  <c r="HT643" i="40"/>
  <c r="JQ414" i="40"/>
  <c r="IB279" i="40"/>
  <c r="IF279" i="40" s="1"/>
  <c r="IB256" i="40"/>
  <c r="IF256" i="40" s="1"/>
  <c r="JD580" i="40"/>
  <c r="JR580" i="40" s="1"/>
  <c r="JD406" i="40"/>
  <c r="JR406" i="40" s="1"/>
  <c r="JD575" i="40"/>
  <c r="JQ575" i="40" s="1"/>
  <c r="KP407" i="40"/>
  <c r="JD420" i="40"/>
  <c r="AQ552" i="40"/>
  <c r="JD535" i="40"/>
  <c r="JR535" i="40" s="1"/>
  <c r="AQ406" i="40"/>
  <c r="JD407" i="40"/>
  <c r="KP577" i="40"/>
  <c r="AQ575" i="40"/>
  <c r="JD586" i="40"/>
  <c r="JQ586" i="40" s="1"/>
  <c r="KP548" i="40"/>
  <c r="AQ467" i="40"/>
  <c r="KP406" i="40"/>
  <c r="AQ518" i="40"/>
  <c r="AQ420" i="40"/>
  <c r="KP533" i="40"/>
  <c r="AQ533" i="40"/>
  <c r="AQ407" i="40"/>
  <c r="JD536" i="40"/>
  <c r="JR536" i="40" s="1"/>
  <c r="IB225" i="40"/>
  <c r="IF225" i="40" s="1"/>
  <c r="JD547" i="40"/>
  <c r="JR547" i="40" s="1"/>
  <c r="JD548" i="40"/>
  <c r="JR548" i="40" s="1"/>
  <c r="KP420" i="40"/>
  <c r="HT684" i="40"/>
  <c r="JD487" i="40"/>
  <c r="KQ487" i="40" s="1"/>
  <c r="JD554" i="40"/>
  <c r="JQ554" i="40" s="1"/>
  <c r="AQ516" i="40"/>
  <c r="HT668" i="40"/>
  <c r="AQ551" i="40"/>
  <c r="HT630" i="40"/>
  <c r="HT662" i="40"/>
  <c r="HT619" i="40"/>
  <c r="IB214" i="40"/>
  <c r="IG214" i="40" s="1"/>
  <c r="KP551" i="40"/>
  <c r="IB223" i="40"/>
  <c r="IE223" i="40" s="1"/>
  <c r="AQ571" i="40"/>
  <c r="JD512" i="40"/>
  <c r="KP512" i="40"/>
  <c r="AQ584" i="40"/>
  <c r="JD556" i="40"/>
  <c r="JR556" i="40" s="1"/>
  <c r="AQ582" i="40"/>
  <c r="KP584" i="40"/>
  <c r="KP585" i="40"/>
  <c r="JD517" i="40"/>
  <c r="JR517" i="40" s="1"/>
  <c r="JD584" i="40"/>
  <c r="JQ584" i="40" s="1"/>
  <c r="HU686" i="40"/>
  <c r="O6" i="59"/>
  <c r="G43" i="59" s="1"/>
  <c r="HU684" i="40"/>
  <c r="HT685" i="40"/>
  <c r="HU683" i="40"/>
  <c r="JI383" i="40"/>
  <c r="JK383" i="40" s="1"/>
  <c r="JD540" i="40"/>
  <c r="JQ540" i="40" s="1"/>
  <c r="AE60" i="70"/>
  <c r="AQ577" i="40"/>
  <c r="KP485" i="40"/>
  <c r="KP586" i="40"/>
  <c r="JI387" i="40"/>
  <c r="JK387" i="40" s="1"/>
  <c r="JD482" i="40"/>
  <c r="KQ482" i="40" s="1"/>
  <c r="JD538" i="40"/>
  <c r="HT615" i="40"/>
  <c r="KP580" i="40"/>
  <c r="IB261" i="40"/>
  <c r="IE261" i="40" s="1"/>
  <c r="JD539" i="40"/>
  <c r="JR539" i="40" s="1"/>
  <c r="AQ416" i="40"/>
  <c r="KP484" i="40"/>
  <c r="IB230" i="40"/>
  <c r="IG230" i="40" s="1"/>
  <c r="HT675" i="40"/>
  <c r="JQ446" i="40"/>
  <c r="KP536" i="40"/>
  <c r="HT682" i="40"/>
  <c r="JD485" i="40"/>
  <c r="JQ485" i="40" s="1"/>
  <c r="AQ487" i="40"/>
  <c r="JI385" i="40"/>
  <c r="JK385" i="40" s="1"/>
  <c r="HT670" i="40"/>
  <c r="HT627" i="40"/>
  <c r="AQ576" i="40"/>
  <c r="IB219" i="40"/>
  <c r="IE219" i="40" s="1"/>
  <c r="KP553" i="40"/>
  <c r="IB206" i="40"/>
  <c r="IE206" i="40" s="1"/>
  <c r="AE49" i="70"/>
  <c r="KP483" i="40"/>
  <c r="JD587" i="40"/>
  <c r="JQ587" i="40" s="1"/>
  <c r="KP486" i="40"/>
  <c r="JD484" i="40"/>
  <c r="JR484" i="40" s="1"/>
  <c r="KP487" i="40"/>
  <c r="HT669" i="40"/>
  <c r="AQ561" i="40"/>
  <c r="HT663" i="40"/>
  <c r="HT673" i="40"/>
  <c r="HT650" i="40"/>
  <c r="HT629" i="40"/>
  <c r="JD534" i="40"/>
  <c r="JR534" i="40" s="1"/>
  <c r="JD416" i="40"/>
  <c r="JR416" i="40" s="1"/>
  <c r="JD549" i="40"/>
  <c r="JQ549" i="40" s="1"/>
  <c r="KP416" i="40"/>
  <c r="JD483" i="40"/>
  <c r="JR483" i="40" s="1"/>
  <c r="KP482" i="40"/>
  <c r="JD486" i="40"/>
  <c r="JQ486" i="40" s="1"/>
  <c r="KP583" i="40"/>
  <c r="AE15" i="70"/>
  <c r="BK15" i="70" s="1"/>
  <c r="AQ539" i="40"/>
  <c r="AQ554" i="40"/>
  <c r="AQ484" i="40"/>
  <c r="JI384" i="40"/>
  <c r="JK384" i="40" s="1"/>
  <c r="IB282" i="40"/>
  <c r="IF282" i="40" s="1"/>
  <c r="IC682" i="40"/>
  <c r="JB682" i="40" s="1"/>
  <c r="IM682" i="40" s="1"/>
  <c r="ID684" i="40"/>
  <c r="IB285" i="40"/>
  <c r="IF285" i="40" s="1"/>
  <c r="IC685" i="40"/>
  <c r="ID682" i="40"/>
  <c r="JC682" i="40" s="1"/>
  <c r="IN682" i="40" s="1"/>
  <c r="IB283" i="40"/>
  <c r="IF283" i="40" s="1"/>
  <c r="IC683" i="40"/>
  <c r="JB683" i="40" s="1"/>
  <c r="IM683" i="40" s="1"/>
  <c r="IB383" i="40"/>
  <c r="IE383" i="40" s="1"/>
  <c r="IB387" i="40"/>
  <c r="IE387" i="40" s="1"/>
  <c r="HU682" i="40"/>
  <c r="JD583" i="40"/>
  <c r="IB286" i="40"/>
  <c r="IG286" i="40" s="1"/>
  <c r="IC686" i="40"/>
  <c r="JB686" i="40" s="1"/>
  <c r="IM686" i="40" s="1"/>
  <c r="ID685" i="40"/>
  <c r="HT683" i="40"/>
  <c r="AQ587" i="40"/>
  <c r="JI382" i="40"/>
  <c r="JK382" i="40" s="1"/>
  <c r="IB385" i="40"/>
  <c r="IE385" i="40" s="1"/>
  <c r="IB382" i="40"/>
  <c r="IE382" i="40" s="1"/>
  <c r="KP517" i="40"/>
  <c r="IB284" i="40"/>
  <c r="IF284" i="40" s="1"/>
  <c r="IC684" i="40"/>
  <c r="JB684" i="40" s="1"/>
  <c r="IM684" i="40" s="1"/>
  <c r="ID683" i="40"/>
  <c r="IB287" i="40"/>
  <c r="IF287" i="40" s="1"/>
  <c r="IC687" i="40"/>
  <c r="ID686" i="40"/>
  <c r="JC686" i="40" s="1"/>
  <c r="IN686" i="40" s="1"/>
  <c r="JD585" i="40"/>
  <c r="HU685" i="40"/>
  <c r="ID687" i="40"/>
  <c r="JC687" i="40" s="1"/>
  <c r="IN687" i="40" s="1"/>
  <c r="KP582" i="40"/>
  <c r="IB386" i="40"/>
  <c r="IE386" i="40" s="1"/>
  <c r="HU687" i="40"/>
  <c r="JD582" i="40"/>
  <c r="IB384" i="40"/>
  <c r="IE384" i="40" s="1"/>
  <c r="P6" i="59"/>
  <c r="P30" i="59" s="1"/>
  <c r="AC43" i="59" s="1"/>
  <c r="M6" i="59"/>
  <c r="E43" i="59" s="1"/>
  <c r="AE31" i="70"/>
  <c r="JR402" i="40"/>
  <c r="AQ580" i="40"/>
  <c r="KQ442" i="40"/>
  <c r="KQ408" i="40"/>
  <c r="N6" i="59"/>
  <c r="F43" i="59" s="1"/>
  <c r="HT611" i="40"/>
  <c r="AQ547" i="40"/>
  <c r="KP554" i="40"/>
  <c r="AQ517" i="40"/>
  <c r="HT609" i="40"/>
  <c r="KP571" i="40"/>
  <c r="IB246" i="40"/>
  <c r="IG246" i="40" s="1"/>
  <c r="KQ402" i="40"/>
  <c r="AE56" i="70"/>
  <c r="JD571" i="40"/>
  <c r="JR571" i="40" s="1"/>
  <c r="JQ581" i="40"/>
  <c r="AE51" i="70"/>
  <c r="AQ556" i="40"/>
  <c r="AE22" i="70"/>
  <c r="JQ437" i="40"/>
  <c r="KQ437" i="40"/>
  <c r="AE10" i="70"/>
  <c r="BK10" i="70" s="1"/>
  <c r="KQ434" i="40"/>
  <c r="AE48" i="70"/>
  <c r="IB325" i="40"/>
  <c r="IE325" i="40" s="1"/>
  <c r="KP534" i="40"/>
  <c r="KP547" i="40"/>
  <c r="JD544" i="40"/>
  <c r="JR544" i="40" s="1"/>
  <c r="HU615" i="40"/>
  <c r="IB318" i="40"/>
  <c r="IE318" i="40" s="1"/>
  <c r="HU639" i="40"/>
  <c r="HU655" i="40"/>
  <c r="IB303" i="40"/>
  <c r="IG303" i="40" s="1"/>
  <c r="JR557" i="40"/>
  <c r="JQ557" i="40"/>
  <c r="JR564" i="40"/>
  <c r="JR526" i="40"/>
  <c r="JR444" i="40"/>
  <c r="KQ444" i="40"/>
  <c r="JQ444" i="40"/>
  <c r="AE58" i="70"/>
  <c r="JR532" i="40"/>
  <c r="JQ513" i="40"/>
  <c r="HU680" i="40"/>
  <c r="HU631" i="40"/>
  <c r="HU627" i="40"/>
  <c r="HU614" i="40"/>
  <c r="HU657" i="40"/>
  <c r="HU643" i="40"/>
  <c r="HU664" i="40"/>
  <c r="HU607" i="40"/>
  <c r="HU628" i="40"/>
  <c r="HU670" i="40"/>
  <c r="HU602" i="40"/>
  <c r="IB346" i="40"/>
  <c r="IE346" i="40" s="1"/>
  <c r="IB352" i="40"/>
  <c r="IE352" i="40" s="1"/>
  <c r="IB381" i="40"/>
  <c r="IE381" i="40" s="1"/>
  <c r="IB368" i="40"/>
  <c r="IE368" i="40" s="1"/>
  <c r="IB321" i="40"/>
  <c r="IE321" i="40" s="1"/>
  <c r="IB337" i="40"/>
  <c r="IE337" i="40" s="1"/>
  <c r="IB313" i="40"/>
  <c r="IE313" i="40" s="1"/>
  <c r="IB372" i="40"/>
  <c r="IE372" i="40" s="1"/>
  <c r="IB360" i="40"/>
  <c r="IE360" i="40" s="1"/>
  <c r="JR541" i="40"/>
  <c r="JQ541" i="40"/>
  <c r="KU153" i="40"/>
  <c r="I67" i="70" s="1"/>
  <c r="KT154" i="40"/>
  <c r="KQ415" i="40"/>
  <c r="JR415" i="40"/>
  <c r="JQ415" i="40"/>
  <c r="AE13" i="70"/>
  <c r="AE29" i="70"/>
  <c r="JD576" i="40"/>
  <c r="JD572" i="40"/>
  <c r="KQ457" i="40"/>
  <c r="JR457" i="40"/>
  <c r="JQ457" i="40"/>
  <c r="KP564" i="40"/>
  <c r="JQ410" i="40"/>
  <c r="IC651" i="40"/>
  <c r="JB651" i="40" s="1"/>
  <c r="IM651" i="40" s="1"/>
  <c r="IB251" i="40"/>
  <c r="IF251" i="40" s="1"/>
  <c r="IC614" i="40"/>
  <c r="JB614" i="40" s="1"/>
  <c r="IM614" i="40" s="1"/>
  <c r="IC628" i="40"/>
  <c r="IB228" i="40"/>
  <c r="IG228" i="40" s="1"/>
  <c r="IC680" i="40"/>
  <c r="JB680" i="40" s="1"/>
  <c r="IM680" i="40" s="1"/>
  <c r="IB280" i="40"/>
  <c r="IF280" i="40" s="1"/>
  <c r="IC604" i="40"/>
  <c r="IB204" i="40"/>
  <c r="IF204" i="40" s="1"/>
  <c r="IC667" i="40"/>
  <c r="IB267" i="40"/>
  <c r="IF267" i="40" s="1"/>
  <c r="IC661" i="40"/>
  <c r="IC632" i="40"/>
  <c r="IB232" i="40"/>
  <c r="IF232" i="40" s="1"/>
  <c r="IC612" i="40"/>
  <c r="IB212" i="40"/>
  <c r="IF212" i="40" s="1"/>
  <c r="IC605" i="40"/>
  <c r="ID674" i="40"/>
  <c r="ID630" i="40"/>
  <c r="ID620" i="40"/>
  <c r="JC620" i="40" s="1"/>
  <c r="IN620" i="40" s="1"/>
  <c r="ID661" i="40"/>
  <c r="ID654" i="40"/>
  <c r="JC654" i="40" s="1"/>
  <c r="IN654" i="40" s="1"/>
  <c r="ID634" i="40"/>
  <c r="HU601" i="40"/>
  <c r="HU701" i="40" s="1"/>
  <c r="ID671" i="40"/>
  <c r="JC671" i="40" s="1"/>
  <c r="IN671" i="40" s="1"/>
  <c r="ID640" i="40"/>
  <c r="ID665" i="40"/>
  <c r="JC665" i="40" s="1"/>
  <c r="IN665" i="40" s="1"/>
  <c r="JI314" i="40"/>
  <c r="JK314" i="40" s="1"/>
  <c r="JI334" i="40"/>
  <c r="JK334" i="40" s="1"/>
  <c r="JI319" i="40"/>
  <c r="JK319" i="40" s="1"/>
  <c r="JI310" i="40"/>
  <c r="JK310" i="40" s="1"/>
  <c r="F17" i="59" s="1"/>
  <c r="JI302" i="40"/>
  <c r="JK302" i="40" s="1"/>
  <c r="JI380" i="40"/>
  <c r="JK380" i="40" s="1"/>
  <c r="JI378" i="40"/>
  <c r="JK378" i="40" s="1"/>
  <c r="JI335" i="40"/>
  <c r="JK335" i="40" s="1"/>
  <c r="JI361" i="40"/>
  <c r="JK361" i="40" s="1"/>
  <c r="JI332" i="40"/>
  <c r="JK332" i="40" s="1"/>
  <c r="KP540" i="40"/>
  <c r="AQ540" i="40"/>
  <c r="AQ553" i="40"/>
  <c r="JR451" i="40"/>
  <c r="KQ451" i="40"/>
  <c r="JQ451" i="40"/>
  <c r="AE65" i="70"/>
  <c r="JR530" i="40"/>
  <c r="JQ530" i="40"/>
  <c r="KQ459" i="40"/>
  <c r="JR424" i="40"/>
  <c r="KQ424" i="40"/>
  <c r="JQ424" i="40"/>
  <c r="AE38" i="70"/>
  <c r="KQ470" i="40"/>
  <c r="JR470" i="40"/>
  <c r="JQ470" i="40"/>
  <c r="HT601" i="40"/>
  <c r="HT701" i="40" s="1"/>
  <c r="IC654" i="40"/>
  <c r="JB654" i="40" s="1"/>
  <c r="IM654" i="40" s="1"/>
  <c r="IC655" i="40"/>
  <c r="IB255" i="40"/>
  <c r="IF255" i="40" s="1"/>
  <c r="IC606" i="40"/>
  <c r="IC646" i="40"/>
  <c r="IC638" i="40"/>
  <c r="IB238" i="40"/>
  <c r="IG238" i="40" s="1"/>
  <c r="IC681" i="40"/>
  <c r="JB681" i="40" s="1"/>
  <c r="IM681" i="40" s="1"/>
  <c r="IB281" i="40"/>
  <c r="IG281" i="40" s="1"/>
  <c r="IC664" i="40"/>
  <c r="IB264" i="40"/>
  <c r="IG264" i="40" s="1"/>
  <c r="IC648" i="40"/>
  <c r="IB248" i="40"/>
  <c r="IF248" i="40" s="1"/>
  <c r="IC636" i="40"/>
  <c r="IB236" i="40"/>
  <c r="IF236" i="40" s="1"/>
  <c r="ID672" i="40"/>
  <c r="ID609" i="40"/>
  <c r="JC609" i="40" s="1"/>
  <c r="IN609" i="40" s="1"/>
  <c r="ID617" i="40"/>
  <c r="ID635" i="40"/>
  <c r="ID638" i="40"/>
  <c r="JC638" i="40" s="1"/>
  <c r="IN638" i="40" s="1"/>
  <c r="ID605" i="40"/>
  <c r="ID647" i="40"/>
  <c r="JC647" i="40" s="1"/>
  <c r="IN647" i="40" s="1"/>
  <c r="ID646" i="40"/>
  <c r="ID633" i="40"/>
  <c r="ID653" i="40"/>
  <c r="JC653" i="40" s="1"/>
  <c r="IN653" i="40" s="1"/>
  <c r="JI311" i="40"/>
  <c r="JK311" i="40" s="1"/>
  <c r="G17" i="59" s="1"/>
  <c r="JI324" i="40"/>
  <c r="JK324" i="40" s="1"/>
  <c r="JI305" i="40"/>
  <c r="JK305" i="40" s="1"/>
  <c r="JI308" i="40"/>
  <c r="JK308" i="40" s="1"/>
  <c r="JI355" i="40"/>
  <c r="JK355" i="40" s="1"/>
  <c r="JI375" i="40"/>
  <c r="JK375" i="40" s="1"/>
  <c r="JI362" i="40"/>
  <c r="JK362" i="40" s="1"/>
  <c r="JI333" i="40"/>
  <c r="JK333" i="40" s="1"/>
  <c r="JI341" i="40"/>
  <c r="JK341" i="40" s="1"/>
  <c r="JI330" i="40"/>
  <c r="JK330" i="40" s="1"/>
  <c r="JR506" i="40"/>
  <c r="JQ506" i="40"/>
  <c r="JD516" i="40"/>
  <c r="AE52" i="70"/>
  <c r="AQ557" i="40"/>
  <c r="AQ534" i="40"/>
  <c r="HT610" i="40"/>
  <c r="HT633" i="40"/>
  <c r="HT642" i="40"/>
  <c r="HT603" i="40"/>
  <c r="HT634" i="40"/>
  <c r="HT623" i="40"/>
  <c r="HT678" i="40"/>
  <c r="HT652" i="40"/>
  <c r="HT635" i="40"/>
  <c r="HT645" i="40"/>
  <c r="JR578" i="40"/>
  <c r="JQ578" i="40"/>
  <c r="ID676" i="40"/>
  <c r="JC676" i="40" s="1"/>
  <c r="IN676" i="40" s="1"/>
  <c r="ID642" i="40"/>
  <c r="JC642" i="40" s="1"/>
  <c r="IN642" i="40" s="1"/>
  <c r="ID616" i="40"/>
  <c r="ID660" i="40"/>
  <c r="ID658" i="40"/>
  <c r="ID677" i="40"/>
  <c r="JC677" i="40" s="1"/>
  <c r="IN677" i="40" s="1"/>
  <c r="ID622" i="40"/>
  <c r="JC622" i="40" s="1"/>
  <c r="IN622" i="40" s="1"/>
  <c r="IG203" i="40"/>
  <c r="ID603" i="40"/>
  <c r="ID612" i="40"/>
  <c r="JC612" i="40" s="1"/>
  <c r="IN612" i="40" s="1"/>
  <c r="ID618" i="40"/>
  <c r="JC618" i="40" s="1"/>
  <c r="IN618" i="40" s="1"/>
  <c r="JI350" i="40"/>
  <c r="JK350" i="40" s="1"/>
  <c r="JI309" i="40"/>
  <c r="JK309" i="40" s="1"/>
  <c r="E17" i="59" s="1"/>
  <c r="JI366" i="40"/>
  <c r="JK366" i="40" s="1"/>
  <c r="JI307" i="40"/>
  <c r="JK307" i="40" s="1"/>
  <c r="JI327" i="40"/>
  <c r="JK327" i="40" s="1"/>
  <c r="JI374" i="40"/>
  <c r="JK374" i="40" s="1"/>
  <c r="JI342" i="40"/>
  <c r="JK342" i="40" s="1"/>
  <c r="JI328" i="40"/>
  <c r="JK328" i="40" s="1"/>
  <c r="JI301" i="40"/>
  <c r="JK301" i="40" s="1"/>
  <c r="JI323" i="40"/>
  <c r="JK323" i="40" s="1"/>
  <c r="Z44" i="59"/>
  <c r="IB205" i="40"/>
  <c r="JR423" i="40"/>
  <c r="KQ423" i="40"/>
  <c r="JQ423" i="40"/>
  <c r="AE37" i="70"/>
  <c r="E4" i="59"/>
  <c r="H4" i="59"/>
  <c r="H28" i="59" s="1"/>
  <c r="G4" i="59"/>
  <c r="G28" i="59" s="1"/>
  <c r="F4" i="59"/>
  <c r="F28" i="59" s="1"/>
  <c r="JR525" i="40"/>
  <c r="JQ525" i="40"/>
  <c r="KQ476" i="40"/>
  <c r="JR478" i="40"/>
  <c r="KQ478" i="40"/>
  <c r="JQ478" i="40"/>
  <c r="IC653" i="40"/>
  <c r="JB653" i="40" s="1"/>
  <c r="IM653" i="40" s="1"/>
  <c r="IC630" i="40"/>
  <c r="IC662" i="40"/>
  <c r="JB662" i="40" s="1"/>
  <c r="IM662" i="40" s="1"/>
  <c r="IB262" i="40"/>
  <c r="IF262" i="40" s="1"/>
  <c r="IC618" i="40"/>
  <c r="JB618" i="40" s="1"/>
  <c r="IM618" i="40" s="1"/>
  <c r="IB218" i="40"/>
  <c r="IF218" i="40" s="1"/>
  <c r="IC663" i="40"/>
  <c r="JB663" i="40" s="1"/>
  <c r="IM663" i="40" s="1"/>
  <c r="IB263" i="40"/>
  <c r="IF263" i="40" s="1"/>
  <c r="IC615" i="40"/>
  <c r="IB215" i="40"/>
  <c r="IF215" i="40" s="1"/>
  <c r="IC675" i="40"/>
  <c r="JB675" i="40" s="1"/>
  <c r="IM675" i="40" s="1"/>
  <c r="IB275" i="40"/>
  <c r="IF275" i="40" s="1"/>
  <c r="IC616" i="40"/>
  <c r="JB616" i="40" s="1"/>
  <c r="IM616" i="40" s="1"/>
  <c r="IB216" i="40"/>
  <c r="IF216" i="40" s="1"/>
  <c r="IC668" i="40"/>
  <c r="JB668" i="40" s="1"/>
  <c r="IM668" i="40" s="1"/>
  <c r="IB268" i="40"/>
  <c r="IF268" i="40" s="1"/>
  <c r="IC643" i="40"/>
  <c r="IC617" i="40"/>
  <c r="JB617" i="40" s="1"/>
  <c r="IM617" i="40" s="1"/>
  <c r="IB217" i="40"/>
  <c r="IF217" i="40" s="1"/>
  <c r="ID680" i="40"/>
  <c r="ID631" i="40"/>
  <c r="ID627" i="40"/>
  <c r="ID614" i="40"/>
  <c r="ID657" i="40"/>
  <c r="ID643" i="40"/>
  <c r="ID664" i="40"/>
  <c r="JC664" i="40" s="1"/>
  <c r="IN664" i="40" s="1"/>
  <c r="ID607" i="40"/>
  <c r="JC607" i="40" s="1"/>
  <c r="IN607" i="40" s="1"/>
  <c r="ID628" i="40"/>
  <c r="JC628" i="40" s="1"/>
  <c r="IN628" i="40" s="1"/>
  <c r="ID670" i="40"/>
  <c r="ID602" i="40"/>
  <c r="JI346" i="40"/>
  <c r="JK346" i="40" s="1"/>
  <c r="JI352" i="40"/>
  <c r="JK352" i="40" s="1"/>
  <c r="JI381" i="40"/>
  <c r="JK381" i="40" s="1"/>
  <c r="JI368" i="40"/>
  <c r="JK368" i="40" s="1"/>
  <c r="JI321" i="40"/>
  <c r="JK321" i="40" s="1"/>
  <c r="JI337" i="40"/>
  <c r="JK337" i="40" s="1"/>
  <c r="JI313" i="40"/>
  <c r="JK313" i="40" s="1"/>
  <c r="JI325" i="40"/>
  <c r="JK325" i="40" s="1"/>
  <c r="JI372" i="40"/>
  <c r="JK372" i="40" s="1"/>
  <c r="JI360" i="40"/>
  <c r="JK360" i="40" s="1"/>
  <c r="JR527" i="40"/>
  <c r="JQ527" i="40"/>
  <c r="JR450" i="40"/>
  <c r="KQ450" i="40"/>
  <c r="JQ450" i="40"/>
  <c r="AE64" i="70"/>
  <c r="AE50" i="70"/>
  <c r="KP561" i="40"/>
  <c r="JR522" i="40"/>
  <c r="JQ522" i="40"/>
  <c r="HT651" i="40"/>
  <c r="HT614" i="40"/>
  <c r="HT628" i="40"/>
  <c r="HT680" i="40"/>
  <c r="HT604" i="40"/>
  <c r="HT667" i="40"/>
  <c r="HT661" i="40"/>
  <c r="HT632" i="40"/>
  <c r="HT612" i="40"/>
  <c r="HT605" i="40"/>
  <c r="HU608" i="40"/>
  <c r="HU663" i="40"/>
  <c r="HU629" i="40"/>
  <c r="HU667" i="40"/>
  <c r="JI667" i="40" s="1"/>
  <c r="HU666" i="40"/>
  <c r="HU648" i="40"/>
  <c r="HU636" i="40"/>
  <c r="HU619" i="40"/>
  <c r="HU675" i="40"/>
  <c r="HU637" i="40"/>
  <c r="IB315" i="40"/>
  <c r="IE315" i="40" s="1"/>
  <c r="IB349" i="40"/>
  <c r="IE349" i="40" s="1"/>
  <c r="IB367" i="40"/>
  <c r="IE367" i="40" s="1"/>
  <c r="IB365" i="40"/>
  <c r="IE365" i="40" s="1"/>
  <c r="IB356" i="40"/>
  <c r="IE356" i="40" s="1"/>
  <c r="IB316" i="40"/>
  <c r="IE316" i="40" s="1"/>
  <c r="IB370" i="40"/>
  <c r="IE370" i="40" s="1"/>
  <c r="IB326" i="40"/>
  <c r="IE326" i="40" s="1"/>
  <c r="IB359" i="40"/>
  <c r="IE359" i="40" s="1"/>
  <c r="IB304" i="40"/>
  <c r="IE304" i="40" s="1"/>
  <c r="HT654" i="40"/>
  <c r="HT655" i="40"/>
  <c r="HT606" i="40"/>
  <c r="HT646" i="40"/>
  <c r="HT638" i="40"/>
  <c r="HT681" i="40"/>
  <c r="HT664" i="40"/>
  <c r="HT648" i="40"/>
  <c r="HT636" i="40"/>
  <c r="HU681" i="40"/>
  <c r="HU679" i="40"/>
  <c r="HU623" i="40"/>
  <c r="HU662" i="40"/>
  <c r="HU659" i="40"/>
  <c r="HU678" i="40"/>
  <c r="HU632" i="40"/>
  <c r="HU611" i="40"/>
  <c r="HU651" i="40"/>
  <c r="HU626" i="40"/>
  <c r="IB358" i="40"/>
  <c r="IE358" i="40" s="1"/>
  <c r="IB343" i="40"/>
  <c r="IE343" i="40" s="1"/>
  <c r="IB322" i="40"/>
  <c r="IE322" i="40" s="1"/>
  <c r="IB348" i="40"/>
  <c r="IE348" i="40" s="1"/>
  <c r="IB353" i="40"/>
  <c r="IE353" i="40" s="1"/>
  <c r="IB312" i="40"/>
  <c r="IE312" i="40" s="1"/>
  <c r="IB351" i="40"/>
  <c r="IE351" i="40" s="1"/>
  <c r="IB371" i="40"/>
  <c r="IE371" i="40" s="1"/>
  <c r="IB377" i="40"/>
  <c r="IE377" i="40" s="1"/>
  <c r="IB345" i="40"/>
  <c r="IE345" i="40" s="1"/>
  <c r="JR425" i="40"/>
  <c r="KQ425" i="40"/>
  <c r="JQ425" i="40"/>
  <c r="AE39" i="70"/>
  <c r="KP544" i="40"/>
  <c r="AQ549" i="40"/>
  <c r="JR467" i="40"/>
  <c r="KQ467" i="40"/>
  <c r="JQ467" i="40"/>
  <c r="KP557" i="40"/>
  <c r="AQ572" i="40"/>
  <c r="IB243" i="40"/>
  <c r="IG243" i="40" s="1"/>
  <c r="JR573" i="40"/>
  <c r="JQ411" i="40"/>
  <c r="JR411" i="40"/>
  <c r="KQ411" i="40"/>
  <c r="AE11" i="70"/>
  <c r="AE25" i="70"/>
  <c r="O18" i="59"/>
  <c r="IC637" i="40"/>
  <c r="JB637" i="40" s="1"/>
  <c r="IM637" i="40" s="1"/>
  <c r="IB237" i="40"/>
  <c r="IF237" i="40" s="1"/>
  <c r="IC665" i="40"/>
  <c r="JB665" i="40" s="1"/>
  <c r="IM665" i="40" s="1"/>
  <c r="IB265" i="40"/>
  <c r="IG265" i="40" s="1"/>
  <c r="IC624" i="40"/>
  <c r="JB624" i="40" s="1"/>
  <c r="IM624" i="40" s="1"/>
  <c r="IB224" i="40"/>
  <c r="IF224" i="40" s="1"/>
  <c r="IC666" i="40"/>
  <c r="IB266" i="40"/>
  <c r="IG266" i="40" s="1"/>
  <c r="IC626" i="40"/>
  <c r="IB226" i="40"/>
  <c r="IG226" i="40" s="1"/>
  <c r="IC621" i="40"/>
  <c r="IB221" i="40"/>
  <c r="IF221" i="40" s="1"/>
  <c r="IC658" i="40"/>
  <c r="IB258" i="40"/>
  <c r="IG258" i="40" s="1"/>
  <c r="IC676" i="40"/>
  <c r="IB276" i="40"/>
  <c r="IG276" i="40" s="1"/>
  <c r="IC644" i="40"/>
  <c r="IB244" i="40"/>
  <c r="IG244" i="40" s="1"/>
  <c r="IC620" i="40"/>
  <c r="IB220" i="40"/>
  <c r="IG220" i="40" s="1"/>
  <c r="HU669" i="40"/>
  <c r="HU606" i="40"/>
  <c r="HU641" i="40"/>
  <c r="HU621" i="40"/>
  <c r="HU613" i="40"/>
  <c r="HU656" i="40"/>
  <c r="HU645" i="40"/>
  <c r="HU625" i="40"/>
  <c r="HU610" i="40"/>
  <c r="HU652" i="40"/>
  <c r="IB344" i="40"/>
  <c r="IE344" i="40" s="1"/>
  <c r="IB369" i="40"/>
  <c r="IE369" i="40" s="1"/>
  <c r="IB340" i="40"/>
  <c r="IE340" i="40" s="1"/>
  <c r="IB306" i="40"/>
  <c r="IE306" i="40" s="1"/>
  <c r="IB320" i="40"/>
  <c r="IE320" i="40" s="1"/>
  <c r="IB336" i="40"/>
  <c r="IE336" i="40" s="1"/>
  <c r="IB379" i="40"/>
  <c r="IE379" i="40" s="1"/>
  <c r="IB347" i="40"/>
  <c r="IE347" i="40" s="1"/>
  <c r="IB376" i="40"/>
  <c r="IE376" i="40" s="1"/>
  <c r="IB354" i="40"/>
  <c r="IE354" i="40" s="1"/>
  <c r="IB339" i="40"/>
  <c r="IE339" i="40" s="1"/>
  <c r="AB44" i="59"/>
  <c r="JR404" i="40"/>
  <c r="KP526" i="40"/>
  <c r="HU649" i="40"/>
  <c r="HU668" i="40"/>
  <c r="HU673" i="40"/>
  <c r="HU644" i="40"/>
  <c r="HU624" i="40"/>
  <c r="HU604" i="40"/>
  <c r="HU650" i="40"/>
  <c r="IB363" i="40"/>
  <c r="IE363" i="40" s="1"/>
  <c r="IB329" i="40"/>
  <c r="IE329" i="40" s="1"/>
  <c r="IB373" i="40"/>
  <c r="IE373" i="40" s="1"/>
  <c r="IB317" i="40"/>
  <c r="IE317" i="40" s="1"/>
  <c r="IB357" i="40"/>
  <c r="IE357" i="40" s="1"/>
  <c r="IB338" i="40"/>
  <c r="IE338" i="40" s="1"/>
  <c r="IB364" i="40"/>
  <c r="IE364" i="40" s="1"/>
  <c r="IB331" i="40"/>
  <c r="IE331" i="40" s="1"/>
  <c r="JR566" i="40"/>
  <c r="JQ566" i="40"/>
  <c r="KQ429" i="40"/>
  <c r="JR429" i="40"/>
  <c r="JQ429" i="40"/>
  <c r="AE43" i="70"/>
  <c r="JR579" i="40"/>
  <c r="JQ579" i="40"/>
  <c r="JR452" i="40"/>
  <c r="KQ452" i="40"/>
  <c r="JQ452" i="40"/>
  <c r="AE66" i="70"/>
  <c r="AA46" i="68"/>
  <c r="JD561" i="40"/>
  <c r="IC641" i="40"/>
  <c r="IB241" i="40"/>
  <c r="IF241" i="40" s="1"/>
  <c r="IC602" i="40"/>
  <c r="IC656" i="40"/>
  <c r="IC608" i="40"/>
  <c r="IB208" i="40"/>
  <c r="IF208" i="40" s="1"/>
  <c r="IC657" i="40"/>
  <c r="IB257" i="40"/>
  <c r="IF257" i="40" s="1"/>
  <c r="IC640" i="40"/>
  <c r="IB240" i="40"/>
  <c r="IC671" i="40"/>
  <c r="IB271" i="40"/>
  <c r="IG271" i="40" s="1"/>
  <c r="IC613" i="40"/>
  <c r="JB613" i="40" s="1"/>
  <c r="IM613" i="40" s="1"/>
  <c r="IB213" i="40"/>
  <c r="IF213" i="40" s="1"/>
  <c r="IC659" i="40"/>
  <c r="IB259" i="40"/>
  <c r="IF259" i="40" s="1"/>
  <c r="IC639" i="40"/>
  <c r="IB239" i="40"/>
  <c r="IF239" i="40" s="1"/>
  <c r="ID608" i="40"/>
  <c r="ID663" i="40"/>
  <c r="ID629" i="40"/>
  <c r="ID667" i="40"/>
  <c r="ID666" i="40"/>
  <c r="JC666" i="40" s="1"/>
  <c r="IN666" i="40" s="1"/>
  <c r="ID648" i="40"/>
  <c r="JC648" i="40" s="1"/>
  <c r="IN648" i="40" s="1"/>
  <c r="ID636" i="40"/>
  <c r="ID619" i="40"/>
  <c r="ID675" i="40"/>
  <c r="ID637" i="40"/>
  <c r="JC637" i="40" s="1"/>
  <c r="IN637" i="40" s="1"/>
  <c r="JI315" i="40"/>
  <c r="JK315" i="40" s="1"/>
  <c r="JI349" i="40"/>
  <c r="JK349" i="40" s="1"/>
  <c r="JI367" i="40"/>
  <c r="JK367" i="40" s="1"/>
  <c r="JI365" i="40"/>
  <c r="JK365" i="40" s="1"/>
  <c r="JI356" i="40"/>
  <c r="JK356" i="40" s="1"/>
  <c r="JI316" i="40"/>
  <c r="JK316" i="40" s="1"/>
  <c r="JI370" i="40"/>
  <c r="JK370" i="40" s="1"/>
  <c r="JI326" i="40"/>
  <c r="JK326" i="40" s="1"/>
  <c r="JI359" i="40"/>
  <c r="JK359" i="40" s="1"/>
  <c r="JI304" i="40"/>
  <c r="JK304" i="40" s="1"/>
  <c r="KP567" i="40"/>
  <c r="JR430" i="40"/>
  <c r="KQ430" i="40"/>
  <c r="JQ430" i="40"/>
  <c r="AE44" i="70"/>
  <c r="AQ502" i="40"/>
  <c r="AT17" i="69"/>
  <c r="JR464" i="40"/>
  <c r="KQ464" i="40"/>
  <c r="JQ464" i="40"/>
  <c r="IC647" i="40"/>
  <c r="IB247" i="40"/>
  <c r="IF247" i="40" s="1"/>
  <c r="IC679" i="40"/>
  <c r="IC625" i="40"/>
  <c r="JB625" i="40" s="1"/>
  <c r="IM625" i="40" s="1"/>
  <c r="IC674" i="40"/>
  <c r="JB674" i="40" s="1"/>
  <c r="IM674" i="40" s="1"/>
  <c r="IC660" i="40"/>
  <c r="IB260" i="40"/>
  <c r="IF260" i="40" s="1"/>
  <c r="IC631" i="40"/>
  <c r="IB231" i="40"/>
  <c r="IG231" i="40" s="1"/>
  <c r="IC677" i="40"/>
  <c r="JB677" i="40" s="1"/>
  <c r="IM677" i="40" s="1"/>
  <c r="IB277" i="40"/>
  <c r="IG277" i="40" s="1"/>
  <c r="IC672" i="40"/>
  <c r="JB672" i="40" s="1"/>
  <c r="IM672" i="40" s="1"/>
  <c r="IB272" i="40"/>
  <c r="IG272" i="40" s="1"/>
  <c r="IC607" i="40"/>
  <c r="IB207" i="40"/>
  <c r="IC649" i="40"/>
  <c r="IB249" i="40"/>
  <c r="IG249" i="40" s="1"/>
  <c r="ID681" i="40"/>
  <c r="JC681" i="40" s="1"/>
  <c r="IN681" i="40" s="1"/>
  <c r="ID679" i="40"/>
  <c r="ID623" i="40"/>
  <c r="JC623" i="40" s="1"/>
  <c r="IN623" i="40" s="1"/>
  <c r="ID662" i="40"/>
  <c r="JC662" i="40" s="1"/>
  <c r="IN662" i="40" s="1"/>
  <c r="ID659" i="40"/>
  <c r="ID678" i="40"/>
  <c r="ID632" i="40"/>
  <c r="JC632" i="40" s="1"/>
  <c r="IN632" i="40" s="1"/>
  <c r="ID611" i="40"/>
  <c r="ID651" i="40"/>
  <c r="JC651" i="40" s="1"/>
  <c r="IN651" i="40" s="1"/>
  <c r="ID626" i="40"/>
  <c r="JI358" i="40"/>
  <c r="JK358" i="40" s="1"/>
  <c r="JI343" i="40"/>
  <c r="JK343" i="40" s="1"/>
  <c r="JI322" i="40"/>
  <c r="JK322" i="40" s="1"/>
  <c r="JI348" i="40"/>
  <c r="JK348" i="40" s="1"/>
  <c r="JI353" i="40"/>
  <c r="JK353" i="40" s="1"/>
  <c r="JI312" i="40"/>
  <c r="JK312" i="40" s="1"/>
  <c r="H17" i="59" s="1"/>
  <c r="JI351" i="40"/>
  <c r="JK351" i="40" s="1"/>
  <c r="JI371" i="40"/>
  <c r="JK371" i="40" s="1"/>
  <c r="JI377" i="40"/>
  <c r="JK377" i="40" s="1"/>
  <c r="JI345" i="40"/>
  <c r="JK345" i="40" s="1"/>
  <c r="JR439" i="40"/>
  <c r="KQ439" i="40"/>
  <c r="JQ439" i="40"/>
  <c r="AE53" i="70"/>
  <c r="JR454" i="40"/>
  <c r="KQ454" i="40"/>
  <c r="JQ454" i="40"/>
  <c r="AE68" i="70"/>
  <c r="JR501" i="40"/>
  <c r="JQ501" i="40"/>
  <c r="KP518" i="40"/>
  <c r="JR461" i="40"/>
  <c r="KQ461" i="40"/>
  <c r="JQ461" i="40"/>
  <c r="JQ507" i="40"/>
  <c r="JR507" i="40"/>
  <c r="KP524" i="40"/>
  <c r="HT637" i="40"/>
  <c r="HT665" i="40"/>
  <c r="HT624" i="40"/>
  <c r="HT666" i="40"/>
  <c r="HT626" i="40"/>
  <c r="HT621" i="40"/>
  <c r="HT658" i="40"/>
  <c r="HT676" i="40"/>
  <c r="HT644" i="40"/>
  <c r="HT620" i="40"/>
  <c r="ID669" i="40"/>
  <c r="ID606" i="40"/>
  <c r="ID641" i="40"/>
  <c r="ID621" i="40"/>
  <c r="ID613" i="40"/>
  <c r="ID656" i="40"/>
  <c r="ID645" i="40"/>
  <c r="JC645" i="40" s="1"/>
  <c r="IN645" i="40" s="1"/>
  <c r="ID625" i="40"/>
  <c r="ID610" i="40"/>
  <c r="ID652" i="40"/>
  <c r="JC652" i="40" s="1"/>
  <c r="IN652" i="40" s="1"/>
  <c r="JI344" i="40"/>
  <c r="JK344" i="40" s="1"/>
  <c r="JI369" i="40"/>
  <c r="JK369" i="40" s="1"/>
  <c r="JI340" i="40"/>
  <c r="JK340" i="40" s="1"/>
  <c r="JI306" i="40"/>
  <c r="JK306" i="40" s="1"/>
  <c r="JI320" i="40"/>
  <c r="JK320" i="40" s="1"/>
  <c r="JI336" i="40"/>
  <c r="JK336" i="40" s="1"/>
  <c r="JI379" i="40"/>
  <c r="JK379" i="40" s="1"/>
  <c r="JI347" i="40"/>
  <c r="JK347" i="40" s="1"/>
  <c r="JI376" i="40"/>
  <c r="JK376" i="40" s="1"/>
  <c r="JI354" i="40"/>
  <c r="JK354" i="40" s="1"/>
  <c r="JI339" i="40"/>
  <c r="JK339" i="40" s="1"/>
  <c r="AQ564" i="40"/>
  <c r="O10" i="61"/>
  <c r="AF10" i="61" s="1"/>
  <c r="AJ10" i="61" s="1"/>
  <c r="T44" i="59"/>
  <c r="E31" i="59"/>
  <c r="JQ403" i="40"/>
  <c r="KQ403" i="40"/>
  <c r="JR403" i="40"/>
  <c r="IB253" i="40"/>
  <c r="KQ413" i="40"/>
  <c r="JR413" i="40"/>
  <c r="JQ413" i="40"/>
  <c r="AE27" i="70"/>
  <c r="IC670" i="40"/>
  <c r="JB670" i="40" s="1"/>
  <c r="IM670" i="40" s="1"/>
  <c r="IB270" i="40"/>
  <c r="IG270" i="40" s="1"/>
  <c r="IC622" i="40"/>
  <c r="IC627" i="40"/>
  <c r="IB227" i="40"/>
  <c r="IF227" i="40" s="1"/>
  <c r="IC669" i="40"/>
  <c r="IC611" i="40"/>
  <c r="IB211" i="40"/>
  <c r="IC609" i="40"/>
  <c r="IB209" i="40"/>
  <c r="IG209" i="40" s="1"/>
  <c r="IC673" i="40"/>
  <c r="IB273" i="40"/>
  <c r="IF273" i="40" s="1"/>
  <c r="IC650" i="40"/>
  <c r="IB250" i="40"/>
  <c r="IF250" i="40" s="1"/>
  <c r="IC629" i="40"/>
  <c r="JB629" i="40" s="1"/>
  <c r="IM629" i="40" s="1"/>
  <c r="IB229" i="40"/>
  <c r="IG229" i="40" s="1"/>
  <c r="IC619" i="40"/>
  <c r="ID649" i="40"/>
  <c r="ID668" i="40"/>
  <c r="ID639" i="40"/>
  <c r="ID615" i="40"/>
  <c r="JC615" i="40" s="1"/>
  <c r="IN615" i="40" s="1"/>
  <c r="ID673" i="40"/>
  <c r="JC673" i="40" s="1"/>
  <c r="IN673" i="40" s="1"/>
  <c r="ID655" i="40"/>
  <c r="ID644" i="40"/>
  <c r="JC644" i="40" s="1"/>
  <c r="IN644" i="40" s="1"/>
  <c r="ID624" i="40"/>
  <c r="ID604" i="40"/>
  <c r="ID650" i="40"/>
  <c r="JI318" i="40"/>
  <c r="JK318" i="40" s="1"/>
  <c r="JI363" i="40"/>
  <c r="JK363" i="40" s="1"/>
  <c r="JI329" i="40"/>
  <c r="JK329" i="40" s="1"/>
  <c r="JI373" i="40"/>
  <c r="JK373" i="40" s="1"/>
  <c r="JI303" i="40"/>
  <c r="JK303" i="40" s="1"/>
  <c r="JI317" i="40"/>
  <c r="JK317" i="40" s="1"/>
  <c r="JI357" i="40"/>
  <c r="JK357" i="40" s="1"/>
  <c r="JI338" i="40"/>
  <c r="JK338" i="40" s="1"/>
  <c r="JI364" i="40"/>
  <c r="JK364" i="40" s="1"/>
  <c r="JI331" i="40"/>
  <c r="JK331" i="40" s="1"/>
  <c r="JD503" i="40"/>
  <c r="KP503" i="40"/>
  <c r="KQ477" i="40"/>
  <c r="JR477" i="40"/>
  <c r="JQ477" i="40"/>
  <c r="KP576" i="40"/>
  <c r="KQ432" i="40"/>
  <c r="JR432" i="40"/>
  <c r="JQ432" i="40"/>
  <c r="AE9" i="70"/>
  <c r="AE46" i="70"/>
  <c r="JR443" i="40"/>
  <c r="KQ443" i="40"/>
  <c r="JQ443" i="40"/>
  <c r="AE57" i="70"/>
  <c r="JR542" i="40"/>
  <c r="JQ542" i="40"/>
  <c r="JR471" i="40"/>
  <c r="KQ471" i="40"/>
  <c r="JQ471" i="40"/>
  <c r="JR565" i="40"/>
  <c r="JQ565" i="40"/>
  <c r="KQ480" i="40"/>
  <c r="HT641" i="40"/>
  <c r="HT602" i="40"/>
  <c r="HT656" i="40"/>
  <c r="HT608" i="40"/>
  <c r="HT657" i="40"/>
  <c r="HT640" i="40"/>
  <c r="HT671" i="40"/>
  <c r="HT613" i="40"/>
  <c r="HT659" i="40"/>
  <c r="HT639" i="40"/>
  <c r="HU674" i="40"/>
  <c r="HU630" i="40"/>
  <c r="HU620" i="40"/>
  <c r="HU661" i="40"/>
  <c r="HU654" i="40"/>
  <c r="HU634" i="40"/>
  <c r="ID601" i="40"/>
  <c r="ID701" i="40" s="1"/>
  <c r="HU671" i="40"/>
  <c r="HU640" i="40"/>
  <c r="HU665" i="40"/>
  <c r="IB314" i="40"/>
  <c r="IE314" i="40" s="1"/>
  <c r="IB334" i="40"/>
  <c r="IE334" i="40" s="1"/>
  <c r="IB319" i="40"/>
  <c r="IE319" i="40" s="1"/>
  <c r="IB310" i="40"/>
  <c r="IE310" i="40" s="1"/>
  <c r="IB302" i="40"/>
  <c r="IE302" i="40" s="1"/>
  <c r="IB380" i="40"/>
  <c r="IE380" i="40" s="1"/>
  <c r="IB378" i="40"/>
  <c r="IE378" i="40" s="1"/>
  <c r="IB335" i="40"/>
  <c r="IE335" i="40" s="1"/>
  <c r="IB361" i="40"/>
  <c r="IE361" i="40" s="1"/>
  <c r="IB332" i="40"/>
  <c r="IE332" i="40" s="1"/>
  <c r="AA44" i="68"/>
  <c r="JD567" i="40"/>
  <c r="JD553" i="40"/>
  <c r="JD502" i="40"/>
  <c r="IC601" i="40"/>
  <c r="IC701" i="40" s="1"/>
  <c r="IB201" i="40"/>
  <c r="HT647" i="40"/>
  <c r="HT679" i="40"/>
  <c r="HT625" i="40"/>
  <c r="HT674" i="40"/>
  <c r="HT660" i="40"/>
  <c r="HT631" i="40"/>
  <c r="HT677" i="40"/>
  <c r="HT672" i="40"/>
  <c r="HT607" i="40"/>
  <c r="HT649" i="40"/>
  <c r="HU672" i="40"/>
  <c r="HU609" i="40"/>
  <c r="HU617" i="40"/>
  <c r="HU635" i="40"/>
  <c r="HU638" i="40"/>
  <c r="HU605" i="40"/>
  <c r="HU647" i="40"/>
  <c r="HU646" i="40"/>
  <c r="HU633" i="40"/>
  <c r="HU653" i="40"/>
  <c r="JI653" i="40" s="1"/>
  <c r="IB311" i="40"/>
  <c r="IE311" i="40" s="1"/>
  <c r="IB324" i="40"/>
  <c r="IE324" i="40" s="1"/>
  <c r="IB305" i="40"/>
  <c r="IE305" i="40" s="1"/>
  <c r="IB308" i="40"/>
  <c r="IE308" i="40" s="1"/>
  <c r="IB355" i="40"/>
  <c r="IE355" i="40" s="1"/>
  <c r="IB375" i="40"/>
  <c r="IE375" i="40" s="1"/>
  <c r="IB362" i="40"/>
  <c r="IE362" i="40" s="1"/>
  <c r="IB333" i="40"/>
  <c r="IE333" i="40" s="1"/>
  <c r="IB341" i="40"/>
  <c r="IE341" i="40" s="1"/>
  <c r="IB330" i="40"/>
  <c r="IE330" i="40" s="1"/>
  <c r="JQ555" i="40"/>
  <c r="JR456" i="40"/>
  <c r="KQ456" i="40"/>
  <c r="JQ456" i="40"/>
  <c r="AE8" i="70"/>
  <c r="JQ448" i="40"/>
  <c r="KQ448" i="40"/>
  <c r="JR448" i="40"/>
  <c r="AE62" i="70"/>
  <c r="KP549" i="40"/>
  <c r="JD518" i="40"/>
  <c r="IB235" i="40"/>
  <c r="IF235" i="40" s="1"/>
  <c r="IC610" i="40"/>
  <c r="IB210" i="40"/>
  <c r="IC633" i="40"/>
  <c r="IB233" i="40"/>
  <c r="IF233" i="40" s="1"/>
  <c r="IC642" i="40"/>
  <c r="IB242" i="40"/>
  <c r="IF242" i="40" s="1"/>
  <c r="IC603" i="40"/>
  <c r="IC634" i="40"/>
  <c r="JB634" i="40" s="1"/>
  <c r="IM634" i="40" s="1"/>
  <c r="IB234" i="40"/>
  <c r="IC623" i="40"/>
  <c r="JB623" i="40" s="1"/>
  <c r="IM623" i="40" s="1"/>
  <c r="IC678" i="40"/>
  <c r="JB678" i="40" s="1"/>
  <c r="IM678" i="40" s="1"/>
  <c r="IB278" i="40"/>
  <c r="IF278" i="40" s="1"/>
  <c r="IC652" i="40"/>
  <c r="JB652" i="40" s="1"/>
  <c r="IM652" i="40" s="1"/>
  <c r="IB252" i="40"/>
  <c r="IF252" i="40" s="1"/>
  <c r="IC635" i="40"/>
  <c r="IC645" i="40"/>
  <c r="JB645" i="40" s="1"/>
  <c r="IM645" i="40" s="1"/>
  <c r="IB245" i="40"/>
  <c r="IF245" i="40" s="1"/>
  <c r="HU676" i="40"/>
  <c r="HU642" i="40"/>
  <c r="HU616" i="40"/>
  <c r="HU660" i="40"/>
  <c r="HU658" i="40"/>
  <c r="HU677" i="40"/>
  <c r="HU622" i="40"/>
  <c r="HU603" i="40"/>
  <c r="HU612" i="40"/>
  <c r="HU618" i="40"/>
  <c r="IB350" i="40"/>
  <c r="IE350" i="40" s="1"/>
  <c r="IB309" i="40"/>
  <c r="IE309" i="40" s="1"/>
  <c r="IB366" i="40"/>
  <c r="IE366" i="40" s="1"/>
  <c r="IB307" i="40"/>
  <c r="IE307" i="40" s="1"/>
  <c r="IB327" i="40"/>
  <c r="IE327" i="40" s="1"/>
  <c r="IB374" i="40"/>
  <c r="IE374" i="40" s="1"/>
  <c r="IB342" i="40"/>
  <c r="IE342" i="40" s="1"/>
  <c r="IB328" i="40"/>
  <c r="IE328" i="40" s="1"/>
  <c r="IB301" i="40"/>
  <c r="IE301" i="40" s="1"/>
  <c r="IB323" i="40"/>
  <c r="IE323" i="40" s="1"/>
  <c r="X44" i="59"/>
  <c r="IB269" i="40"/>
  <c r="IF269" i="40" s="1"/>
  <c r="IB202" i="40"/>
  <c r="IG202" i="40" s="1"/>
  <c r="IB254" i="40"/>
  <c r="IF254" i="40" s="1"/>
  <c r="KQ438" i="40" l="1"/>
  <c r="JQ523" i="40"/>
  <c r="M19" i="59"/>
  <c r="JQ438" i="40"/>
  <c r="JI618" i="40"/>
  <c r="JR509" i="40"/>
  <c r="JQ570" i="40"/>
  <c r="JQ529" i="40"/>
  <c r="JR575" i="40"/>
  <c r="JR438" i="40"/>
  <c r="JQ505" i="40"/>
  <c r="JR551" i="40"/>
  <c r="JR574" i="40"/>
  <c r="IE203" i="40"/>
  <c r="JR445" i="40"/>
  <c r="JQ560" i="40"/>
  <c r="JQ440" i="40"/>
  <c r="JQ563" i="40"/>
  <c r="IE274" i="40"/>
  <c r="JQ546" i="40"/>
  <c r="N18" i="59"/>
  <c r="N30" i="59" s="1"/>
  <c r="KQ440" i="40"/>
  <c r="JI647" i="40"/>
  <c r="JR410" i="40"/>
  <c r="AE69" i="70"/>
  <c r="JQ431" i="40"/>
  <c r="AE24" i="70"/>
  <c r="JR528" i="40"/>
  <c r="JQ402" i="40"/>
  <c r="KQ447" i="40"/>
  <c r="KQ401" i="40"/>
  <c r="AE23" i="70"/>
  <c r="KQ407" i="40"/>
  <c r="KQ420" i="40"/>
  <c r="AE16" i="70"/>
  <c r="BK16" i="70" s="1"/>
  <c r="AE61" i="70"/>
  <c r="KQ404" i="40"/>
  <c r="KQ455" i="40"/>
  <c r="JQ406" i="40"/>
  <c r="KQ414" i="40"/>
  <c r="JQ472" i="40"/>
  <c r="JI638" i="40"/>
  <c r="JQ436" i="40"/>
  <c r="IG222" i="40"/>
  <c r="KQ417" i="40"/>
  <c r="JQ521" i="40"/>
  <c r="JQ462" i="40"/>
  <c r="JQ480" i="40"/>
  <c r="IF222" i="40"/>
  <c r="KQ436" i="40"/>
  <c r="JQ476" i="40"/>
  <c r="JQ519" i="40"/>
  <c r="JR479" i="40"/>
  <c r="JQ417" i="40"/>
  <c r="JI654" i="40"/>
  <c r="KQ479" i="40"/>
  <c r="JQ535" i="40"/>
  <c r="JR441" i="40"/>
  <c r="AE67" i="70"/>
  <c r="KQ453" i="40"/>
  <c r="KQ463" i="40"/>
  <c r="AE7" i="70"/>
  <c r="BK7" i="70" s="1"/>
  <c r="KQ412" i="40"/>
  <c r="AE26" i="70"/>
  <c r="KQ469" i="40"/>
  <c r="KQ446" i="40"/>
  <c r="KQ475" i="40"/>
  <c r="AE14" i="70"/>
  <c r="BK14" i="70" s="1"/>
  <c r="AE28" i="70"/>
  <c r="AE47" i="70"/>
  <c r="JR453" i="40"/>
  <c r="AE12" i="70"/>
  <c r="BK12" i="70" s="1"/>
  <c r="KQ409" i="40"/>
  <c r="JQ463" i="40"/>
  <c r="AE55" i="70"/>
  <c r="KQ473" i="40"/>
  <c r="KQ468" i="40"/>
  <c r="AE45" i="70"/>
  <c r="JQ536" i="40"/>
  <c r="JQ550" i="40"/>
  <c r="KQ433" i="40"/>
  <c r="KQ431" i="40"/>
  <c r="KQ462" i="40"/>
  <c r="KQ441" i="40"/>
  <c r="AE18" i="70"/>
  <c r="BK18" i="70" s="1"/>
  <c r="JR504" i="40"/>
  <c r="M18" i="59"/>
  <c r="M30" i="59" s="1"/>
  <c r="JQ433" i="40"/>
  <c r="AE54" i="70"/>
  <c r="JR409" i="40"/>
  <c r="KQ481" i="40"/>
  <c r="KQ460" i="40"/>
  <c r="AE42" i="70"/>
  <c r="KQ474" i="40"/>
  <c r="KQ465" i="40"/>
  <c r="W44" i="66"/>
  <c r="JQ455" i="40"/>
  <c r="KQ458" i="40"/>
  <c r="IG279" i="40"/>
  <c r="JI650" i="40"/>
  <c r="KQ466" i="40"/>
  <c r="JR458" i="40"/>
  <c r="JQ426" i="40"/>
  <c r="JR514" i="40"/>
  <c r="KQ547" i="40"/>
  <c r="IF274" i="40"/>
  <c r="AV17" i="69"/>
  <c r="KQ449" i="40"/>
  <c r="JI668" i="40"/>
  <c r="KQ426" i="40"/>
  <c r="KQ445" i="40"/>
  <c r="JR460" i="40"/>
  <c r="JQ577" i="40"/>
  <c r="AE40" i="70"/>
  <c r="IG251" i="40"/>
  <c r="IF337" i="40"/>
  <c r="IG352" i="40"/>
  <c r="IG224" i="40"/>
  <c r="IF352" i="40"/>
  <c r="IE256" i="40"/>
  <c r="JR562" i="40"/>
  <c r="JQ562" i="40"/>
  <c r="JR508" i="40"/>
  <c r="JQ545" i="40"/>
  <c r="AE17" i="70"/>
  <c r="JQ569" i="40"/>
  <c r="JI658" i="40"/>
  <c r="JQ531" i="40"/>
  <c r="JQ465" i="40"/>
  <c r="JR421" i="40"/>
  <c r="JQ419" i="40"/>
  <c r="JR584" i="40"/>
  <c r="JQ543" i="40"/>
  <c r="JR465" i="40"/>
  <c r="IE303" i="40"/>
  <c r="JQ537" i="40"/>
  <c r="KQ419" i="40"/>
  <c r="AE33" i="70"/>
  <c r="IF363" i="40"/>
  <c r="JQ517" i="40"/>
  <c r="IG256" i="40"/>
  <c r="AE59" i="70"/>
  <c r="IG337" i="40"/>
  <c r="JQ404" i="40"/>
  <c r="JQ533" i="40"/>
  <c r="JQ559" i="40"/>
  <c r="JR459" i="40"/>
  <c r="KQ472" i="40"/>
  <c r="JR554" i="40"/>
  <c r="KQ416" i="40"/>
  <c r="JQ520" i="40"/>
  <c r="JR586" i="40"/>
  <c r="JI684" i="40"/>
  <c r="JI602" i="40"/>
  <c r="IE246" i="40"/>
  <c r="JI617" i="40"/>
  <c r="JR449" i="40"/>
  <c r="JR474" i="40"/>
  <c r="IE279" i="40"/>
  <c r="KP279" i="40" s="1"/>
  <c r="JR466" i="40"/>
  <c r="IG261" i="40"/>
  <c r="W36" i="66" s="1"/>
  <c r="JQ547" i="40"/>
  <c r="KQ422" i="40"/>
  <c r="AE36" i="70"/>
  <c r="JQ422" i="40"/>
  <c r="JI622" i="40"/>
  <c r="AE63" i="70"/>
  <c r="JI619" i="40"/>
  <c r="JQ460" i="40"/>
  <c r="AE20" i="70"/>
  <c r="JI686" i="40"/>
  <c r="KQ406" i="40"/>
  <c r="AE21" i="70"/>
  <c r="IF223" i="40"/>
  <c r="IG336" i="40"/>
  <c r="JR405" i="40"/>
  <c r="JI643" i="40"/>
  <c r="JQ524" i="40"/>
  <c r="JI635" i="40"/>
  <c r="JQ571" i="40"/>
  <c r="JI634" i="40"/>
  <c r="IG204" i="40"/>
  <c r="IG248" i="40"/>
  <c r="JQ427" i="40"/>
  <c r="IF351" i="40"/>
  <c r="JQ568" i="40"/>
  <c r="JR510" i="40"/>
  <c r="N19" i="59"/>
  <c r="JQ487" i="40"/>
  <c r="JR418" i="40"/>
  <c r="JQ418" i="40"/>
  <c r="JI676" i="40"/>
  <c r="JQ407" i="40"/>
  <c r="IF219" i="40"/>
  <c r="IG348" i="40"/>
  <c r="IG219" i="40"/>
  <c r="W34" i="66" s="1"/>
  <c r="KQ405" i="40"/>
  <c r="JR427" i="40"/>
  <c r="KQ421" i="40"/>
  <c r="IE225" i="40"/>
  <c r="KQ418" i="40"/>
  <c r="JQ552" i="40"/>
  <c r="JI673" i="40"/>
  <c r="JI662" i="40"/>
  <c r="KQ427" i="40"/>
  <c r="AE35" i="70"/>
  <c r="AE32" i="70"/>
  <c r="JI687" i="40"/>
  <c r="JR473" i="40"/>
  <c r="JQ473" i="40"/>
  <c r="IF348" i="40"/>
  <c r="KP348" i="40" s="1"/>
  <c r="JR407" i="40"/>
  <c r="JI616" i="40"/>
  <c r="IG225" i="40"/>
  <c r="IG223" i="40"/>
  <c r="O30" i="59"/>
  <c r="AA43" i="59" s="1"/>
  <c r="JR511" i="40"/>
  <c r="O19" i="59"/>
  <c r="IG320" i="40"/>
  <c r="IF329" i="40"/>
  <c r="JI683" i="40"/>
  <c r="V43" i="59"/>
  <c r="I30" i="59"/>
  <c r="H43" i="59"/>
  <c r="P43" i="59" s="1"/>
  <c r="AC55" i="59" s="1"/>
  <c r="IG215" i="40"/>
  <c r="JQ548" i="40"/>
  <c r="IF214" i="40"/>
  <c r="JQ580" i="40"/>
  <c r="JR485" i="40"/>
  <c r="JR482" i="40"/>
  <c r="JR487" i="40"/>
  <c r="JR420" i="40"/>
  <c r="JQ420" i="40"/>
  <c r="JR540" i="40"/>
  <c r="IG255" i="40"/>
  <c r="IF349" i="40"/>
  <c r="IE214" i="40"/>
  <c r="IF246" i="40"/>
  <c r="JI655" i="40"/>
  <c r="AE34" i="70"/>
  <c r="JI605" i="40"/>
  <c r="IF304" i="40"/>
  <c r="IF261" i="40"/>
  <c r="IG239" i="40"/>
  <c r="JI661" i="40"/>
  <c r="IF370" i="40"/>
  <c r="JI615" i="40"/>
  <c r="IF369" i="40"/>
  <c r="JI639" i="40"/>
  <c r="IG232" i="40"/>
  <c r="JQ534" i="40"/>
  <c r="JQ539" i="40"/>
  <c r="JI663" i="40"/>
  <c r="AE30" i="70"/>
  <c r="IG280" i="40"/>
  <c r="JR512" i="40"/>
  <c r="P19" i="59"/>
  <c r="JQ512" i="40"/>
  <c r="IF345" i="40"/>
  <c r="JQ556" i="40"/>
  <c r="JI675" i="40"/>
  <c r="JQ416" i="40"/>
  <c r="JI630" i="40"/>
  <c r="IG340" i="40"/>
  <c r="JQ484" i="40"/>
  <c r="JI682" i="40"/>
  <c r="JI678" i="40"/>
  <c r="KQ486" i="40"/>
  <c r="KQ483" i="40"/>
  <c r="IG213" i="40"/>
  <c r="JQ544" i="40"/>
  <c r="JI669" i="40"/>
  <c r="JI609" i="40"/>
  <c r="IG236" i="40"/>
  <c r="IF368" i="40"/>
  <c r="IG367" i="40"/>
  <c r="IG372" i="40"/>
  <c r="JI670" i="40"/>
  <c r="R6" i="59"/>
  <c r="U43" i="59" s="1"/>
  <c r="IF336" i="40"/>
  <c r="IF321" i="40"/>
  <c r="IG321" i="40"/>
  <c r="IF318" i="40"/>
  <c r="JI627" i="40"/>
  <c r="IE230" i="40"/>
  <c r="JI685" i="40"/>
  <c r="KQ485" i="40"/>
  <c r="JR486" i="40"/>
  <c r="IF354" i="40"/>
  <c r="IF317" i="40"/>
  <c r="IG365" i="40"/>
  <c r="IG206" i="40"/>
  <c r="IF230" i="40"/>
  <c r="IF206" i="40"/>
  <c r="JQ482" i="40"/>
  <c r="JI603" i="40"/>
  <c r="IG354" i="40"/>
  <c r="IG221" i="40"/>
  <c r="JI611" i="40"/>
  <c r="JI629" i="40"/>
  <c r="IG241" i="40"/>
  <c r="IF372" i="40"/>
  <c r="JR538" i="40"/>
  <c r="JQ538" i="40"/>
  <c r="IG385" i="40"/>
  <c r="IF356" i="40"/>
  <c r="IF312" i="40"/>
  <c r="IG325" i="40"/>
  <c r="IG315" i="40"/>
  <c r="IB603" i="40"/>
  <c r="IE603" i="40" s="1"/>
  <c r="IG312" i="40"/>
  <c r="IG262" i="40"/>
  <c r="IF303" i="40"/>
  <c r="IG381" i="40"/>
  <c r="JI606" i="40"/>
  <c r="IG212" i="40"/>
  <c r="IF381" i="40"/>
  <c r="JR549" i="40"/>
  <c r="IG383" i="40"/>
  <c r="KQ484" i="40"/>
  <c r="JI646" i="40"/>
  <c r="IF343" i="40"/>
  <c r="IG339" i="40"/>
  <c r="IG263" i="40"/>
  <c r="JI604" i="40"/>
  <c r="IG359" i="40"/>
  <c r="JI612" i="40"/>
  <c r="IG268" i="40"/>
  <c r="IG313" i="40"/>
  <c r="JI645" i="40"/>
  <c r="IF313" i="40"/>
  <c r="IB625" i="40"/>
  <c r="IG625" i="40" s="1"/>
  <c r="IG287" i="40"/>
  <c r="IG283" i="40"/>
  <c r="IG318" i="40"/>
  <c r="JR587" i="40"/>
  <c r="IG285" i="40"/>
  <c r="IF325" i="40"/>
  <c r="JQ483" i="40"/>
  <c r="JI701" i="40"/>
  <c r="IG387" i="40"/>
  <c r="IF383" i="40"/>
  <c r="IF382" i="40"/>
  <c r="IF384" i="40"/>
  <c r="IF385" i="40"/>
  <c r="IF387" i="40"/>
  <c r="IF386" i="40"/>
  <c r="JR585" i="40"/>
  <c r="KQ585" i="40"/>
  <c r="JQ585" i="40"/>
  <c r="JB687" i="40"/>
  <c r="IM687" i="40" s="1"/>
  <c r="IE284" i="40"/>
  <c r="IB684" i="40"/>
  <c r="IE684" i="40" s="1"/>
  <c r="IE286" i="40"/>
  <c r="IB686" i="40"/>
  <c r="IE686" i="40" s="1"/>
  <c r="JB685" i="40"/>
  <c r="IM685" i="40" s="1"/>
  <c r="KQ582" i="40"/>
  <c r="JR582" i="40"/>
  <c r="JQ582" i="40"/>
  <c r="JR583" i="40"/>
  <c r="KQ583" i="40"/>
  <c r="JQ583" i="40"/>
  <c r="IE283" i="40"/>
  <c r="IB683" i="40"/>
  <c r="IE683" i="40" s="1"/>
  <c r="IG284" i="40"/>
  <c r="IE282" i="40"/>
  <c r="IB682" i="40"/>
  <c r="IE682" i="40" s="1"/>
  <c r="KQ587" i="40"/>
  <c r="IG384" i="40"/>
  <c r="IE287" i="40"/>
  <c r="IB687" i="40"/>
  <c r="IE687" i="40" s="1"/>
  <c r="IG386" i="40"/>
  <c r="IE285" i="40"/>
  <c r="IB685" i="40"/>
  <c r="IE685" i="40" s="1"/>
  <c r="IG237" i="40"/>
  <c r="JC683" i="40"/>
  <c r="IN683" i="40" s="1"/>
  <c r="JC685" i="40"/>
  <c r="IN685" i="40" s="1"/>
  <c r="KQ584" i="40"/>
  <c r="IF286" i="40"/>
  <c r="KQ586" i="40"/>
  <c r="IG382" i="40"/>
  <c r="IG282" i="40"/>
  <c r="JC684" i="40"/>
  <c r="IN684" i="40" s="1"/>
  <c r="JI623" i="40"/>
  <c r="IG344" i="40"/>
  <c r="IF346" i="40"/>
  <c r="IF376" i="40"/>
  <c r="IG360" i="40"/>
  <c r="IF347" i="40"/>
  <c r="IF344" i="40"/>
  <c r="IF371" i="40"/>
  <c r="IG346" i="40"/>
  <c r="IG371" i="40"/>
  <c r="IF360" i="40"/>
  <c r="IG275" i="40"/>
  <c r="IG259" i="40"/>
  <c r="IG267" i="40"/>
  <c r="W38" i="66" s="1"/>
  <c r="IB646" i="40"/>
  <c r="IE646" i="40" s="1"/>
  <c r="JI677" i="40"/>
  <c r="IG326" i="40"/>
  <c r="AM69" i="70"/>
  <c r="AQ203" i="40"/>
  <c r="AM60" i="70"/>
  <c r="JI651" i="40"/>
  <c r="JI671" i="40"/>
  <c r="KQ552" i="40"/>
  <c r="JI601" i="40"/>
  <c r="JI660" i="40"/>
  <c r="AM66" i="70"/>
  <c r="AM37" i="70"/>
  <c r="IF231" i="40"/>
  <c r="IG273" i="40"/>
  <c r="IG208" i="40"/>
  <c r="IF258" i="40"/>
  <c r="JI620" i="40"/>
  <c r="IF209" i="40"/>
  <c r="IF276" i="40"/>
  <c r="JI632" i="40"/>
  <c r="IG306" i="40"/>
  <c r="KQ523" i="40"/>
  <c r="KQ546" i="40"/>
  <c r="KQ555" i="40"/>
  <c r="JI672" i="40"/>
  <c r="IG250" i="40"/>
  <c r="IF373" i="40"/>
  <c r="IG338" i="40"/>
  <c r="AM7" i="70"/>
  <c r="BN7" i="70" s="1"/>
  <c r="KQ563" i="40"/>
  <c r="JI640" i="40"/>
  <c r="IB661" i="40"/>
  <c r="IG661" i="40" s="1"/>
  <c r="JI681" i="40"/>
  <c r="JB603" i="40"/>
  <c r="IM603" i="40" s="1"/>
  <c r="IE252" i="40"/>
  <c r="IB652" i="40"/>
  <c r="IF652" i="40" s="1"/>
  <c r="IE278" i="40"/>
  <c r="IB678" i="40"/>
  <c r="IE678" i="40" s="1"/>
  <c r="IE210" i="40"/>
  <c r="IB610" i="40"/>
  <c r="IE610" i="40" s="1"/>
  <c r="IE201" i="40"/>
  <c r="IB601" i="40"/>
  <c r="IE601" i="40" s="1"/>
  <c r="IF201" i="40"/>
  <c r="IG201" i="40"/>
  <c r="K8" i="61" s="1"/>
  <c r="IF374" i="40"/>
  <c r="IF309" i="40"/>
  <c r="AM54" i="70"/>
  <c r="AM56" i="70"/>
  <c r="KQ503" i="40"/>
  <c r="JQ503" i="40"/>
  <c r="JR503" i="40"/>
  <c r="JC655" i="40"/>
  <c r="IN655" i="40" s="1"/>
  <c r="JC649" i="40"/>
  <c r="IN649" i="40" s="1"/>
  <c r="JB650" i="40"/>
  <c r="IM650" i="40" s="1"/>
  <c r="JB669" i="40"/>
  <c r="IM669" i="40" s="1"/>
  <c r="IG309" i="40"/>
  <c r="IE253" i="40"/>
  <c r="IB653" i="40"/>
  <c r="IF653" i="40" s="1"/>
  <c r="AM15" i="70"/>
  <c r="KQ517" i="40"/>
  <c r="JC610" i="40"/>
  <c r="IN610" i="40" s="1"/>
  <c r="AM58" i="70"/>
  <c r="IE207" i="40"/>
  <c r="IB607" i="40"/>
  <c r="IG607" i="40" s="1"/>
  <c r="JB631" i="40"/>
  <c r="IM631" i="40" s="1"/>
  <c r="JC675" i="40"/>
  <c r="IN675" i="40" s="1"/>
  <c r="JC636" i="40"/>
  <c r="IN636" i="40" s="1"/>
  <c r="IE240" i="40"/>
  <c r="IB640" i="40"/>
  <c r="IG640" i="40" s="1"/>
  <c r="JB657" i="40"/>
  <c r="IM657" i="40" s="1"/>
  <c r="IF341" i="40"/>
  <c r="IF301" i="40"/>
  <c r="IF327" i="40"/>
  <c r="IF335" i="40"/>
  <c r="AM10" i="70"/>
  <c r="AM53" i="70"/>
  <c r="KQ566" i="40"/>
  <c r="IG364" i="40"/>
  <c r="JI613" i="40"/>
  <c r="IE244" i="40"/>
  <c r="IB644" i="40"/>
  <c r="IF644" i="40" s="1"/>
  <c r="JB676" i="40"/>
  <c r="IM676" i="40" s="1"/>
  <c r="IE266" i="40"/>
  <c r="IB666" i="40"/>
  <c r="JA666" i="40" s="1"/>
  <c r="IL666" i="40" s="1"/>
  <c r="AM8" i="70"/>
  <c r="JI666" i="40"/>
  <c r="JI608" i="40"/>
  <c r="IF367" i="40"/>
  <c r="IF380" i="40"/>
  <c r="IF339" i="40"/>
  <c r="IF326" i="40"/>
  <c r="IF362" i="40"/>
  <c r="AM41" i="70"/>
  <c r="KQ527" i="40"/>
  <c r="IG207" i="40"/>
  <c r="JC643" i="40"/>
  <c r="IN643" i="40" s="1"/>
  <c r="JC614" i="40"/>
  <c r="IN614" i="40" s="1"/>
  <c r="JC631" i="40"/>
  <c r="IN631" i="40" s="1"/>
  <c r="JB615" i="40"/>
  <c r="IM615" i="40" s="1"/>
  <c r="IG342" i="40"/>
  <c r="IG374" i="40"/>
  <c r="IG331" i="40"/>
  <c r="IG351" i="40"/>
  <c r="IG345" i="40"/>
  <c r="IB656" i="40"/>
  <c r="IE656" i="40" s="1"/>
  <c r="AB41" i="59"/>
  <c r="IG216" i="40"/>
  <c r="KQ578" i="40"/>
  <c r="JI610" i="40"/>
  <c r="KQ560" i="40"/>
  <c r="IG253" i="40"/>
  <c r="JC605" i="40"/>
  <c r="IN605" i="40" s="1"/>
  <c r="JB636" i="40"/>
  <c r="IM636" i="40" s="1"/>
  <c r="IE281" i="40"/>
  <c r="IB681" i="40"/>
  <c r="IG681" i="40" s="1"/>
  <c r="IE238" i="40"/>
  <c r="IB638" i="40"/>
  <c r="IG638" i="40" s="1"/>
  <c r="JB655" i="40"/>
  <c r="IM655" i="40" s="1"/>
  <c r="JB612" i="40"/>
  <c r="IM612" i="40" s="1"/>
  <c r="JB667" i="40"/>
  <c r="IM667" i="40" s="1"/>
  <c r="IF358" i="40"/>
  <c r="IF365" i="40"/>
  <c r="IF379" i="40"/>
  <c r="IF377" i="40"/>
  <c r="KQ519" i="40"/>
  <c r="KQ577" i="40"/>
  <c r="BK13" i="70"/>
  <c r="JI607" i="40"/>
  <c r="JI614" i="40"/>
  <c r="IG349" i="40"/>
  <c r="IG314" i="40"/>
  <c r="W48" i="67" s="1"/>
  <c r="IG323" i="40"/>
  <c r="IG322" i="40"/>
  <c r="AM46" i="70"/>
  <c r="IB623" i="40"/>
  <c r="IF623" i="40" s="1"/>
  <c r="IB622" i="40"/>
  <c r="IF622" i="40" s="1"/>
  <c r="AM38" i="70"/>
  <c r="KQ557" i="40"/>
  <c r="IE254" i="40"/>
  <c r="IB654" i="40"/>
  <c r="IE654" i="40" s="1"/>
  <c r="IE202" i="40"/>
  <c r="IB602" i="40"/>
  <c r="IE602" i="40" s="1"/>
  <c r="IF307" i="40"/>
  <c r="JC604" i="40"/>
  <c r="IN604" i="40" s="1"/>
  <c r="JB619" i="40"/>
  <c r="IM619" i="40" s="1"/>
  <c r="IE211" i="40"/>
  <c r="IB611" i="40"/>
  <c r="IF611" i="40" s="1"/>
  <c r="JB622" i="40"/>
  <c r="IM622" i="40" s="1"/>
  <c r="IG334" i="40"/>
  <c r="AM28" i="70"/>
  <c r="JD203" i="40"/>
  <c r="KP203" i="40"/>
  <c r="AM31" i="70"/>
  <c r="IG210" i="40"/>
  <c r="JC613" i="40"/>
  <c r="IN613" i="40" s="1"/>
  <c r="JC641" i="40"/>
  <c r="IN641" i="40" s="1"/>
  <c r="JC669" i="40"/>
  <c r="IN669" i="40" s="1"/>
  <c r="AM21" i="70"/>
  <c r="KQ507" i="40"/>
  <c r="KQ501" i="40"/>
  <c r="IG211" i="40"/>
  <c r="JC678" i="40"/>
  <c r="IN678" i="40" s="1"/>
  <c r="IE249" i="40"/>
  <c r="IB649" i="40"/>
  <c r="IF649" i="40" s="1"/>
  <c r="JB607" i="40"/>
  <c r="IM607" i="40" s="1"/>
  <c r="KQ543" i="40"/>
  <c r="JC629" i="40"/>
  <c r="IN629" i="40" s="1"/>
  <c r="IE213" i="40"/>
  <c r="IB613" i="40"/>
  <c r="IE613" i="40" s="1"/>
  <c r="IE271" i="40"/>
  <c r="IB671" i="40"/>
  <c r="IF671" i="40" s="1"/>
  <c r="JB640" i="40"/>
  <c r="IM640" i="40" s="1"/>
  <c r="JB656" i="40"/>
  <c r="IM656" i="40" s="1"/>
  <c r="IF202" i="40"/>
  <c r="IF333" i="40"/>
  <c r="IF311" i="40"/>
  <c r="KQ574" i="40"/>
  <c r="AM45" i="70"/>
  <c r="JI649" i="40"/>
  <c r="IG324" i="40"/>
  <c r="IG380" i="40"/>
  <c r="JI625" i="40"/>
  <c r="JI621" i="40"/>
  <c r="IE220" i="40"/>
  <c r="IB620" i="40"/>
  <c r="IF620" i="40" s="1"/>
  <c r="JB644" i="40"/>
  <c r="IM644" i="40" s="1"/>
  <c r="IE226" i="40"/>
  <c r="IB626" i="40"/>
  <c r="IF626" i="40" s="1"/>
  <c r="JB666" i="40"/>
  <c r="IM666" i="40" s="1"/>
  <c r="BK11" i="70"/>
  <c r="AM47" i="70"/>
  <c r="KQ533" i="40"/>
  <c r="JI626" i="40"/>
  <c r="JI679" i="40"/>
  <c r="AM43" i="70"/>
  <c r="IF338" i="40"/>
  <c r="IF320" i="40"/>
  <c r="IF342" i="40"/>
  <c r="IF357" i="40"/>
  <c r="IF366" i="40"/>
  <c r="AM36" i="70"/>
  <c r="AM50" i="70"/>
  <c r="JC670" i="40"/>
  <c r="IN670" i="40" s="1"/>
  <c r="IE217" i="40"/>
  <c r="IB617" i="40"/>
  <c r="IF617" i="40" s="1"/>
  <c r="JB643" i="40"/>
  <c r="IM643" i="40" s="1"/>
  <c r="IG358" i="40"/>
  <c r="IG378" i="40"/>
  <c r="IG363" i="40"/>
  <c r="JD363" i="40" s="1"/>
  <c r="IG356" i="40"/>
  <c r="IB674" i="40"/>
  <c r="IE674" i="40" s="1"/>
  <c r="IB679" i="40"/>
  <c r="IE679" i="40" s="1"/>
  <c r="KQ525" i="40"/>
  <c r="KQ559" i="40"/>
  <c r="IG357" i="40"/>
  <c r="T41" i="59"/>
  <c r="E28" i="59"/>
  <c r="IE205" i="40"/>
  <c r="IB605" i="40"/>
  <c r="IE605" i="40" s="1"/>
  <c r="JC660" i="40"/>
  <c r="IN660" i="40" s="1"/>
  <c r="JI652" i="40"/>
  <c r="KQ575" i="40"/>
  <c r="JQ516" i="40"/>
  <c r="JR516" i="40"/>
  <c r="KQ516" i="40"/>
  <c r="AM30" i="70"/>
  <c r="JC633" i="40"/>
  <c r="IN633" i="40" s="1"/>
  <c r="IG205" i="40"/>
  <c r="JC635" i="40"/>
  <c r="IN635" i="40" s="1"/>
  <c r="IG217" i="40"/>
  <c r="W48" i="66" s="1"/>
  <c r="JC672" i="40"/>
  <c r="IN672" i="40" s="1"/>
  <c r="IE264" i="40"/>
  <c r="IB664" i="40"/>
  <c r="IG664" i="40" s="1"/>
  <c r="JB638" i="40"/>
  <c r="IM638" i="40" s="1"/>
  <c r="JB606" i="40"/>
  <c r="IM606" i="40" s="1"/>
  <c r="AM44" i="70"/>
  <c r="KQ530" i="40"/>
  <c r="IG240" i="40"/>
  <c r="JC630" i="40"/>
  <c r="IN630" i="40" s="1"/>
  <c r="JB605" i="40"/>
  <c r="IM605" i="40" s="1"/>
  <c r="JB661" i="40"/>
  <c r="IM661" i="40" s="1"/>
  <c r="IE280" i="40"/>
  <c r="IB680" i="40"/>
  <c r="IE680" i="40" s="1"/>
  <c r="IE228" i="40"/>
  <c r="IB628" i="40"/>
  <c r="IF628" i="40" s="1"/>
  <c r="IF316" i="40"/>
  <c r="IF308" i="40"/>
  <c r="IF334" i="40"/>
  <c r="IF355" i="40"/>
  <c r="IF364" i="40"/>
  <c r="AM33" i="70"/>
  <c r="KQ572" i="40"/>
  <c r="JR572" i="40"/>
  <c r="JQ572" i="40"/>
  <c r="KQ580" i="40"/>
  <c r="AM55" i="70"/>
  <c r="JI664" i="40"/>
  <c r="AM27" i="70"/>
  <c r="IG333" i="40"/>
  <c r="IG370" i="40"/>
  <c r="IG335" i="40"/>
  <c r="IG347" i="40"/>
  <c r="IG304" i="40"/>
  <c r="AM9" i="70"/>
  <c r="IE234" i="40"/>
  <c r="IB634" i="40"/>
  <c r="IE634" i="40" s="1"/>
  <c r="BK8" i="70"/>
  <c r="IE242" i="40"/>
  <c r="IB642" i="40"/>
  <c r="IG642" i="40" s="1"/>
  <c r="IE233" i="40"/>
  <c r="IB633" i="40"/>
  <c r="IE633" i="40" s="1"/>
  <c r="JB610" i="40"/>
  <c r="IM610" i="40" s="1"/>
  <c r="IE235" i="40"/>
  <c r="IB635" i="40"/>
  <c r="IE635" i="40" s="1"/>
  <c r="KQ502" i="40"/>
  <c r="JQ502" i="40"/>
  <c r="JR502" i="40"/>
  <c r="O7" i="59"/>
  <c r="P7" i="59"/>
  <c r="M7" i="59"/>
  <c r="E44" i="59" s="1"/>
  <c r="N7" i="59"/>
  <c r="AM25" i="70"/>
  <c r="AM59" i="70"/>
  <c r="KQ510" i="40"/>
  <c r="AM24" i="70"/>
  <c r="AM29" i="70"/>
  <c r="AM26" i="70"/>
  <c r="KQ520" i="40"/>
  <c r="KQ515" i="40"/>
  <c r="KQ538" i="40"/>
  <c r="AM65" i="70"/>
  <c r="AM64" i="70"/>
  <c r="AM11" i="70"/>
  <c r="KQ545" i="40"/>
  <c r="KQ562" i="40"/>
  <c r="AM34" i="70"/>
  <c r="KQ551" i="40"/>
  <c r="KQ550" i="40"/>
  <c r="KQ521" i="40"/>
  <c r="AM35" i="70"/>
  <c r="KQ511" i="40"/>
  <c r="KQ581" i="40"/>
  <c r="AM18" i="70"/>
  <c r="KQ558" i="40"/>
  <c r="KQ535" i="40"/>
  <c r="AM49" i="70"/>
  <c r="KQ512" i="40"/>
  <c r="AM12" i="70"/>
  <c r="AM13" i="70"/>
  <c r="KQ504" i="40"/>
  <c r="AM52" i="70"/>
  <c r="IE269" i="40"/>
  <c r="IB669" i="40"/>
  <c r="IE669" i="40" s="1"/>
  <c r="I9" i="61"/>
  <c r="IE245" i="40"/>
  <c r="IB645" i="40"/>
  <c r="IF645" i="40" s="1"/>
  <c r="JB635" i="40"/>
  <c r="IM635" i="40" s="1"/>
  <c r="IF234" i="40"/>
  <c r="JB642" i="40"/>
  <c r="IM642" i="40" s="1"/>
  <c r="JB633" i="40"/>
  <c r="IM633" i="40" s="1"/>
  <c r="IF210" i="40"/>
  <c r="KQ518" i="40"/>
  <c r="JR518" i="40"/>
  <c r="JQ518" i="40"/>
  <c r="AM16" i="70"/>
  <c r="AM32" i="70"/>
  <c r="JB601" i="40"/>
  <c r="JR553" i="40"/>
  <c r="KQ553" i="40"/>
  <c r="JQ553" i="40"/>
  <c r="AM67" i="70"/>
  <c r="KQ571" i="40"/>
  <c r="AS17" i="67"/>
  <c r="JC601" i="40"/>
  <c r="JC701" i="40" s="1"/>
  <c r="IN701" i="40" s="1"/>
  <c r="JI674" i="40"/>
  <c r="IF350" i="40"/>
  <c r="IF324" i="40"/>
  <c r="KQ542" i="40"/>
  <c r="JC668" i="40"/>
  <c r="IN668" i="40" s="1"/>
  <c r="IF229" i="40"/>
  <c r="IE273" i="40"/>
  <c r="IB673" i="40"/>
  <c r="IG673" i="40" s="1"/>
  <c r="IE209" i="40"/>
  <c r="IB609" i="40"/>
  <c r="IF609" i="40" s="1"/>
  <c r="JB611" i="40"/>
  <c r="IM611" i="40" s="1"/>
  <c r="IE227" i="40"/>
  <c r="IB627" i="40"/>
  <c r="IE627" i="40" s="1"/>
  <c r="IF270" i="40"/>
  <c r="IG310" i="40"/>
  <c r="IG362" i="40"/>
  <c r="IG375" i="40"/>
  <c r="AM23" i="70"/>
  <c r="KQ509" i="40"/>
  <c r="IG350" i="40"/>
  <c r="V44" i="59"/>
  <c r="I31" i="59"/>
  <c r="JC625" i="40"/>
  <c r="IN625" i="40" s="1"/>
  <c r="IG245" i="40"/>
  <c r="IG269" i="40"/>
  <c r="KQ548" i="40"/>
  <c r="IG278" i="40"/>
  <c r="JB649" i="40"/>
  <c r="IM649" i="40" s="1"/>
  <c r="IF207" i="40"/>
  <c r="IF272" i="40"/>
  <c r="IF277" i="40"/>
  <c r="IE260" i="40"/>
  <c r="IB660" i="40"/>
  <c r="IE247" i="40"/>
  <c r="IB647" i="40"/>
  <c r="KQ570" i="40"/>
  <c r="JC619" i="40"/>
  <c r="IN619" i="40" s="1"/>
  <c r="JC608" i="40"/>
  <c r="IN608" i="40" s="1"/>
  <c r="IE239" i="40"/>
  <c r="IB639" i="40"/>
  <c r="IF639" i="40" s="1"/>
  <c r="IE259" i="40"/>
  <c r="IB659" i="40"/>
  <c r="IE659" i="40" s="1"/>
  <c r="JB671" i="40"/>
  <c r="IM671" i="40" s="1"/>
  <c r="IF240" i="40"/>
  <c r="IE208" i="40"/>
  <c r="IB608" i="40"/>
  <c r="IE608" i="40" s="1"/>
  <c r="IE241" i="40"/>
  <c r="IB641" i="40"/>
  <c r="IE641" i="40" s="1"/>
  <c r="IF375" i="40"/>
  <c r="IF323" i="40"/>
  <c r="IF328" i="40"/>
  <c r="IF302" i="40"/>
  <c r="JI624" i="40"/>
  <c r="IG329" i="40"/>
  <c r="IG301" i="40"/>
  <c r="K9" i="61" s="1"/>
  <c r="AM51" i="70"/>
  <c r="KQ537" i="40"/>
  <c r="JI641" i="40"/>
  <c r="JB620" i="40"/>
  <c r="IM620" i="40" s="1"/>
  <c r="IF244" i="40"/>
  <c r="IE258" i="40"/>
  <c r="IB658" i="40"/>
  <c r="IG658" i="40" s="1"/>
  <c r="IE221" i="40"/>
  <c r="IB621" i="40"/>
  <c r="IG621" i="40" s="1"/>
  <c r="JB626" i="40"/>
  <c r="IM626" i="40" s="1"/>
  <c r="IF266" i="40"/>
  <c r="IF265" i="40"/>
  <c r="IE243" i="40"/>
  <c r="IB643" i="40"/>
  <c r="IE643" i="40" s="1"/>
  <c r="JI659" i="40"/>
  <c r="KQ556" i="40"/>
  <c r="JI636" i="40"/>
  <c r="IF314" i="40"/>
  <c r="IF331" i="40"/>
  <c r="IF359" i="40"/>
  <c r="IF319" i="40"/>
  <c r="JC657" i="40"/>
  <c r="IN657" i="40" s="1"/>
  <c r="JC627" i="40"/>
  <c r="IN627" i="40" s="1"/>
  <c r="JC680" i="40"/>
  <c r="IN680" i="40" s="1"/>
  <c r="IF243" i="40"/>
  <c r="IE263" i="40"/>
  <c r="IB663" i="40"/>
  <c r="IE218" i="40"/>
  <c r="IB618" i="40"/>
  <c r="IF618" i="40" s="1"/>
  <c r="IE262" i="40"/>
  <c r="IB662" i="40"/>
  <c r="JB630" i="40"/>
  <c r="IM630" i="40" s="1"/>
  <c r="IF253" i="40"/>
  <c r="IG355" i="40"/>
  <c r="IG361" i="40"/>
  <c r="IG330" i="40"/>
  <c r="IG332" i="40"/>
  <c r="IG308" i="40"/>
  <c r="KP274" i="40"/>
  <c r="IG369" i="40"/>
  <c r="X41" i="59"/>
  <c r="AM42" i="70"/>
  <c r="IG260" i="40"/>
  <c r="JI642" i="40"/>
  <c r="IG233" i="40"/>
  <c r="IG235" i="40"/>
  <c r="IE248" i="40"/>
  <c r="IB648" i="40"/>
  <c r="IF648" i="40" s="1"/>
  <c r="JB664" i="40"/>
  <c r="IM664" i="40" s="1"/>
  <c r="IF238" i="40"/>
  <c r="IB606" i="40"/>
  <c r="JC634" i="40"/>
  <c r="IN634" i="40" s="1"/>
  <c r="IG254" i="40"/>
  <c r="IF205" i="40"/>
  <c r="IE232" i="40"/>
  <c r="IB632" i="40"/>
  <c r="IG632" i="40" s="1"/>
  <c r="IE204" i="40"/>
  <c r="IB604" i="40"/>
  <c r="IF604" i="40" s="1"/>
  <c r="JB628" i="40"/>
  <c r="IM628" i="40" s="1"/>
  <c r="IF378" i="40"/>
  <c r="IF306" i="40"/>
  <c r="IF361" i="40"/>
  <c r="IF315" i="40"/>
  <c r="AM17" i="70"/>
  <c r="JR576" i="40"/>
  <c r="KQ576" i="40"/>
  <c r="JQ576" i="40"/>
  <c r="JI631" i="40"/>
  <c r="KQ513" i="40"/>
  <c r="IG353" i="40"/>
  <c r="IG341" i="40"/>
  <c r="IG343" i="40"/>
  <c r="IG317" i="40"/>
  <c r="IG328" i="40"/>
  <c r="AM61" i="70"/>
  <c r="IB619" i="40"/>
  <c r="KQ524" i="40"/>
  <c r="KQ549" i="40"/>
  <c r="JR567" i="40"/>
  <c r="KQ567" i="40"/>
  <c r="JQ567" i="40"/>
  <c r="KQ565" i="40"/>
  <c r="KQ540" i="40"/>
  <c r="BK9" i="70"/>
  <c r="JC650" i="40"/>
  <c r="IN650" i="40" s="1"/>
  <c r="JC624" i="40"/>
  <c r="IN624" i="40" s="1"/>
  <c r="JC639" i="40"/>
  <c r="IN639" i="40" s="1"/>
  <c r="IE229" i="40"/>
  <c r="IB629" i="40"/>
  <c r="IF629" i="40" s="1"/>
  <c r="IE250" i="40"/>
  <c r="IB650" i="40"/>
  <c r="IG650" i="40" s="1"/>
  <c r="JB673" i="40"/>
  <c r="IM673" i="40" s="1"/>
  <c r="JB609" i="40"/>
  <c r="IM609" i="40" s="1"/>
  <c r="IF211" i="40"/>
  <c r="JB627" i="40"/>
  <c r="IM627" i="40" s="1"/>
  <c r="IE270" i="40"/>
  <c r="IB670" i="40"/>
  <c r="IE670" i="40" s="1"/>
  <c r="IG327" i="40"/>
  <c r="IG319" i="40"/>
  <c r="KQ514" i="40"/>
  <c r="IG252" i="40"/>
  <c r="JC656" i="40"/>
  <c r="IN656" i="40" s="1"/>
  <c r="JC621" i="40"/>
  <c r="IN621" i="40" s="1"/>
  <c r="JC606" i="40"/>
  <c r="IN606" i="40" s="1"/>
  <c r="JI665" i="40"/>
  <c r="AM62" i="70"/>
  <c r="KQ544" i="40"/>
  <c r="JC626" i="40"/>
  <c r="IN626" i="40" s="1"/>
  <c r="JC611" i="40"/>
  <c r="IN611" i="40" s="1"/>
  <c r="JC659" i="40"/>
  <c r="IN659" i="40" s="1"/>
  <c r="JC679" i="40"/>
  <c r="IN679" i="40" s="1"/>
  <c r="IF249" i="40"/>
  <c r="IE272" i="40"/>
  <c r="IB672" i="40"/>
  <c r="IE672" i="40" s="1"/>
  <c r="IE277" i="40"/>
  <c r="IB677" i="40"/>
  <c r="IG677" i="40" s="1"/>
  <c r="IE231" i="40"/>
  <c r="IB631" i="40"/>
  <c r="JB660" i="40"/>
  <c r="IM660" i="40" s="1"/>
  <c r="JB679" i="40"/>
  <c r="IM679" i="40" s="1"/>
  <c r="JB647" i="40"/>
  <c r="IM647" i="40" s="1"/>
  <c r="AM57" i="70"/>
  <c r="AM68" i="70"/>
  <c r="KQ554" i="40"/>
  <c r="JC667" i="40"/>
  <c r="IN667" i="40" s="1"/>
  <c r="JC663" i="40"/>
  <c r="IN663" i="40" s="1"/>
  <c r="JB639" i="40"/>
  <c r="IM639" i="40" s="1"/>
  <c r="JB659" i="40"/>
  <c r="IM659" i="40" s="1"/>
  <c r="IF271" i="40"/>
  <c r="IE257" i="40"/>
  <c r="IB657" i="40"/>
  <c r="IE657" i="40" s="1"/>
  <c r="JB608" i="40"/>
  <c r="IM608" i="40" s="1"/>
  <c r="JB602" i="40"/>
  <c r="JB641" i="40"/>
  <c r="IM641" i="40" s="1"/>
  <c r="IB614" i="40"/>
  <c r="IG614" i="40" s="1"/>
  <c r="KQ531" i="40"/>
  <c r="JR561" i="40"/>
  <c r="KQ561" i="40"/>
  <c r="JQ561" i="40"/>
  <c r="AM48" i="70"/>
  <c r="KQ534" i="40"/>
  <c r="KQ579" i="40"/>
  <c r="KQ539" i="40"/>
  <c r="JI644" i="40"/>
  <c r="IG305" i="40"/>
  <c r="JI656" i="40"/>
  <c r="IF220" i="40"/>
  <c r="V44" i="66" s="1"/>
  <c r="IE276" i="40"/>
  <c r="IB676" i="40"/>
  <c r="IG676" i="40" s="1"/>
  <c r="JB658" i="40"/>
  <c r="IM658" i="40" s="1"/>
  <c r="JB621" i="40"/>
  <c r="IM621" i="40" s="1"/>
  <c r="IF226" i="40"/>
  <c r="IE224" i="40"/>
  <c r="IB624" i="40"/>
  <c r="IE624" i="40" s="1"/>
  <c r="IE265" i="40"/>
  <c r="IB665" i="40"/>
  <c r="IG665" i="40" s="1"/>
  <c r="IE237" i="40"/>
  <c r="IB637" i="40"/>
  <c r="O43" i="59"/>
  <c r="KQ573" i="40"/>
  <c r="KQ529" i="40"/>
  <c r="JI637" i="40"/>
  <c r="JI648" i="40"/>
  <c r="IF310" i="40"/>
  <c r="IF340" i="40"/>
  <c r="IF305" i="40"/>
  <c r="IF330" i="40"/>
  <c r="IF353" i="40"/>
  <c r="KQ522" i="40"/>
  <c r="KQ568" i="40"/>
  <c r="KQ536" i="40"/>
  <c r="JC602" i="40"/>
  <c r="IG257" i="40"/>
  <c r="IG227" i="40"/>
  <c r="W46" i="66" s="1"/>
  <c r="IE268" i="40"/>
  <c r="IB668" i="40"/>
  <c r="IE668" i="40" s="1"/>
  <c r="IE216" i="40"/>
  <c r="IB616" i="40"/>
  <c r="IE616" i="40" s="1"/>
  <c r="IE275" i="40"/>
  <c r="IB675" i="40"/>
  <c r="IE675" i="40" s="1"/>
  <c r="IE215" i="40"/>
  <c r="IB615" i="40"/>
  <c r="IG311" i="40"/>
  <c r="W40" i="67" s="1"/>
  <c r="IG302" i="40"/>
  <c r="IG373" i="40"/>
  <c r="IG379" i="40"/>
  <c r="AM22" i="70"/>
  <c r="KQ508" i="40"/>
  <c r="AM39" i="70"/>
  <c r="Z41" i="59"/>
  <c r="AM14" i="70"/>
  <c r="KQ528" i="40"/>
  <c r="IG218" i="40"/>
  <c r="JC603" i="40"/>
  <c r="IN603" i="40" s="1"/>
  <c r="JC658" i="40"/>
  <c r="IN658" i="40" s="1"/>
  <c r="JC616" i="40"/>
  <c r="IN616" i="40" s="1"/>
  <c r="IG242" i="40"/>
  <c r="JI633" i="40"/>
  <c r="AM20" i="70"/>
  <c r="KQ506" i="40"/>
  <c r="JC646" i="40"/>
  <c r="IN646" i="40" s="1"/>
  <c r="IG247" i="40"/>
  <c r="JC617" i="40"/>
  <c r="IN617" i="40" s="1"/>
  <c r="IE236" i="40"/>
  <c r="IB636" i="40"/>
  <c r="IE636" i="40" s="1"/>
  <c r="JB648" i="40"/>
  <c r="IM648" i="40" s="1"/>
  <c r="IF264" i="40"/>
  <c r="IF281" i="40"/>
  <c r="JB646" i="40"/>
  <c r="IM646" i="40" s="1"/>
  <c r="IE255" i="40"/>
  <c r="IB655" i="40"/>
  <c r="IG655" i="40" s="1"/>
  <c r="F5" i="59"/>
  <c r="F29" i="59" s="1"/>
  <c r="H5" i="59"/>
  <c r="H29" i="59" s="1"/>
  <c r="G5" i="59"/>
  <c r="G29" i="59" s="1"/>
  <c r="E5" i="59"/>
  <c r="T42" i="59" s="1"/>
  <c r="JC640" i="40"/>
  <c r="IN640" i="40" s="1"/>
  <c r="IG234" i="40"/>
  <c r="JC661" i="40"/>
  <c r="IN661" i="40" s="1"/>
  <c r="JC674" i="40"/>
  <c r="IN674" i="40" s="1"/>
  <c r="IE212" i="40"/>
  <c r="IB612" i="40"/>
  <c r="IF612" i="40" s="1"/>
  <c r="JB632" i="40"/>
  <c r="IM632" i="40" s="1"/>
  <c r="IE267" i="40"/>
  <c r="IB667" i="40"/>
  <c r="IG667" i="40" s="1"/>
  <c r="JB604" i="40"/>
  <c r="IM604" i="40" s="1"/>
  <c r="IF228" i="40"/>
  <c r="IE251" i="40"/>
  <c r="IB651" i="40"/>
  <c r="IF322" i="40"/>
  <c r="IF332" i="40"/>
  <c r="JA625" i="40"/>
  <c r="IL625" i="40" s="1"/>
  <c r="KT155" i="40"/>
  <c r="KU154" i="40"/>
  <c r="I68" i="70" s="1"/>
  <c r="KQ541" i="40"/>
  <c r="JI628" i="40"/>
  <c r="JI657" i="40"/>
  <c r="JI680" i="40"/>
  <c r="IG307" i="40"/>
  <c r="IG377" i="40"/>
  <c r="IG316" i="40"/>
  <c r="IG368" i="40"/>
  <c r="IG366" i="40"/>
  <c r="KQ505" i="40"/>
  <c r="IG376" i="40"/>
  <c r="KQ532" i="40"/>
  <c r="IB630" i="40"/>
  <c r="IE630" i="40" s="1"/>
  <c r="KQ569" i="40"/>
  <c r="AM40" i="70"/>
  <c r="KQ526" i="40"/>
  <c r="KQ564" i="40"/>
  <c r="AM63" i="70"/>
  <c r="W44" i="67" l="1"/>
  <c r="JD246" i="40"/>
  <c r="AQ274" i="40"/>
  <c r="Y43" i="59"/>
  <c r="N43" i="59"/>
  <c r="KP369" i="40"/>
  <c r="AJ11" i="70"/>
  <c r="JD256" i="40"/>
  <c r="JQ256" i="40" s="1"/>
  <c r="JD352" i="40"/>
  <c r="AQ271" i="40"/>
  <c r="KP352" i="40"/>
  <c r="AJ9" i="70"/>
  <c r="W46" i="67"/>
  <c r="AI17" i="70"/>
  <c r="JD251" i="40"/>
  <c r="JQ251" i="40" s="1"/>
  <c r="JD279" i="40"/>
  <c r="JR279" i="40" s="1"/>
  <c r="W42" i="67"/>
  <c r="W38" i="67"/>
  <c r="JD225" i="40"/>
  <c r="JQ225" i="40" s="1"/>
  <c r="JD312" i="40"/>
  <c r="JR312" i="40" s="1"/>
  <c r="IF610" i="40"/>
  <c r="KP368" i="40"/>
  <c r="AQ222" i="40"/>
  <c r="W36" i="67"/>
  <c r="JD261" i="40"/>
  <c r="KP256" i="40"/>
  <c r="KP329" i="40"/>
  <c r="JD222" i="40"/>
  <c r="JR222" i="40" s="1"/>
  <c r="BK17" i="70"/>
  <c r="KP222" i="40"/>
  <c r="IG603" i="40"/>
  <c r="AI12" i="70"/>
  <c r="AI9" i="70"/>
  <c r="JD248" i="40"/>
  <c r="AJ8" i="70"/>
  <c r="W40" i="66"/>
  <c r="AI15" i="70"/>
  <c r="AI13" i="70"/>
  <c r="AJ12" i="70"/>
  <c r="AI16" i="70"/>
  <c r="AI11" i="70"/>
  <c r="AJ14" i="70"/>
  <c r="AJ7" i="70"/>
  <c r="AQ256" i="40"/>
  <c r="AJ10" i="70"/>
  <c r="AQ348" i="40"/>
  <c r="JD348" i="40"/>
  <c r="JR348" i="40" s="1"/>
  <c r="AQ337" i="40"/>
  <c r="AQ303" i="40"/>
  <c r="W34" i="67"/>
  <c r="W42" i="66"/>
  <c r="AQ219" i="40"/>
  <c r="AQ352" i="40"/>
  <c r="KP261" i="40"/>
  <c r="KP383" i="40"/>
  <c r="KP225" i="40"/>
  <c r="JD337" i="40"/>
  <c r="JQ337" i="40" s="1"/>
  <c r="JD372" i="40"/>
  <c r="JD274" i="40"/>
  <c r="JR274" i="40" s="1"/>
  <c r="AQ263" i="40"/>
  <c r="IE625" i="40"/>
  <c r="AQ212" i="40"/>
  <c r="AQ268" i="40"/>
  <c r="JD219" i="40"/>
  <c r="JR219" i="40" s="1"/>
  <c r="KP223" i="40"/>
  <c r="AJ56" i="70"/>
  <c r="KP246" i="40"/>
  <c r="AQ336" i="40"/>
  <c r="KP337" i="40"/>
  <c r="KP219" i="40"/>
  <c r="AQ351" i="40"/>
  <c r="JD223" i="40"/>
  <c r="JR223" i="40" s="1"/>
  <c r="AQ372" i="40"/>
  <c r="AQ264" i="40"/>
  <c r="JD351" i="40"/>
  <c r="JR351" i="40" s="1"/>
  <c r="AQ365" i="40"/>
  <c r="AJ68" i="70"/>
  <c r="AQ206" i="40"/>
  <c r="AQ214" i="40"/>
  <c r="KP372" i="40"/>
  <c r="KP303" i="40"/>
  <c r="AQ225" i="40"/>
  <c r="AJ69" i="70"/>
  <c r="AJ38" i="70"/>
  <c r="JD303" i="40"/>
  <c r="JQ303" i="40" s="1"/>
  <c r="AQ241" i="40"/>
  <c r="IG601" i="40"/>
  <c r="K12" i="61" s="1"/>
  <c r="IF601" i="40"/>
  <c r="J12" i="61" s="1"/>
  <c r="JD304" i="40"/>
  <c r="JQ304" i="40" s="1"/>
  <c r="AQ246" i="40"/>
  <c r="AQ279" i="40"/>
  <c r="JD370" i="40"/>
  <c r="JR370" i="40" s="1"/>
  <c r="IG659" i="40"/>
  <c r="AQ315" i="40"/>
  <c r="AQ204" i="40"/>
  <c r="AJ66" i="70"/>
  <c r="KP336" i="40"/>
  <c r="AJ48" i="70"/>
  <c r="AQ223" i="40"/>
  <c r="AQ320" i="40"/>
  <c r="IG626" i="40"/>
  <c r="IF638" i="40"/>
  <c r="KP214" i="40"/>
  <c r="IF666" i="40"/>
  <c r="JD206" i="40"/>
  <c r="JR206" i="40" s="1"/>
  <c r="JD367" i="40"/>
  <c r="JR367" i="40" s="1"/>
  <c r="AQ267" i="40"/>
  <c r="KP206" i="40"/>
  <c r="KP215" i="40"/>
  <c r="AQ340" i="40"/>
  <c r="JD336" i="40"/>
  <c r="JR336" i="40" s="1"/>
  <c r="AQ339" i="40"/>
  <c r="KP309" i="40"/>
  <c r="KP325" i="40"/>
  <c r="IF681" i="40"/>
  <c r="JD385" i="40"/>
  <c r="JR385" i="40" s="1"/>
  <c r="JD214" i="40"/>
  <c r="JR214" i="40" s="1"/>
  <c r="AQ367" i="40"/>
  <c r="IG679" i="40"/>
  <c r="IF678" i="40"/>
  <c r="IG678" i="40"/>
  <c r="AQ382" i="40"/>
  <c r="IF632" i="40"/>
  <c r="JD341" i="40"/>
  <c r="JR341" i="40" s="1"/>
  <c r="JD320" i="40"/>
  <c r="JR320" i="40" s="1"/>
  <c r="IG682" i="40"/>
  <c r="AQ346" i="40"/>
  <c r="JD386" i="40"/>
  <c r="JR386" i="40" s="1"/>
  <c r="AQ313" i="40"/>
  <c r="JD381" i="40"/>
  <c r="JQ381" i="40" s="1"/>
  <c r="AI24" i="70"/>
  <c r="AQ381" i="40"/>
  <c r="IG620" i="40"/>
  <c r="IF646" i="40"/>
  <c r="AJ67" i="70"/>
  <c r="JD313" i="40"/>
  <c r="JR313" i="40" s="1"/>
  <c r="AQ261" i="40"/>
  <c r="AJ46" i="70"/>
  <c r="AJ25" i="70"/>
  <c r="AI34" i="70"/>
  <c r="IG646" i="40"/>
  <c r="IF627" i="40"/>
  <c r="AJ52" i="70"/>
  <c r="AJ28" i="70"/>
  <c r="AJ26" i="70"/>
  <c r="AQ236" i="40"/>
  <c r="AI43" i="70"/>
  <c r="AI33" i="70"/>
  <c r="AI22" i="70"/>
  <c r="AQ210" i="40"/>
  <c r="IF661" i="40"/>
  <c r="AI21" i="70"/>
  <c r="AI40" i="70"/>
  <c r="AI37" i="70"/>
  <c r="AI61" i="70"/>
  <c r="AI27" i="70"/>
  <c r="AI32" i="70"/>
  <c r="AI35" i="70"/>
  <c r="AJ64" i="70"/>
  <c r="JD375" i="40"/>
  <c r="JQ375" i="40" s="1"/>
  <c r="AI31" i="70"/>
  <c r="AI45" i="70"/>
  <c r="AJ55" i="70"/>
  <c r="AI36" i="70"/>
  <c r="AI23" i="70"/>
  <c r="AJ51" i="70"/>
  <c r="JA646" i="40"/>
  <c r="IL646" i="40" s="1"/>
  <c r="AJ41" i="70"/>
  <c r="AI30" i="70"/>
  <c r="AJ59" i="70"/>
  <c r="AJ47" i="70"/>
  <c r="AJ42" i="70"/>
  <c r="KP313" i="40"/>
  <c r="AQ232" i="40"/>
  <c r="AI65" i="70"/>
  <c r="AJ50" i="70"/>
  <c r="AJ60" i="70"/>
  <c r="AI62" i="70"/>
  <c r="AJ58" i="70"/>
  <c r="AI39" i="70"/>
  <c r="AI53" i="70"/>
  <c r="JD354" i="40"/>
  <c r="JQ354" i="40" s="1"/>
  <c r="KP312" i="40"/>
  <c r="JD230" i="40"/>
  <c r="JR230" i="40" s="1"/>
  <c r="KP321" i="40"/>
  <c r="JA656" i="40"/>
  <c r="IL656" i="40" s="1"/>
  <c r="JD343" i="40"/>
  <c r="JR343" i="40" s="1"/>
  <c r="IG622" i="40"/>
  <c r="AQ364" i="40"/>
  <c r="JD280" i="40"/>
  <c r="JQ280" i="40" s="1"/>
  <c r="AQ345" i="40"/>
  <c r="IF680" i="40"/>
  <c r="IG671" i="40"/>
  <c r="IG656" i="40"/>
  <c r="AQ306" i="40"/>
  <c r="IG652" i="40"/>
  <c r="JD366" i="40"/>
  <c r="JR366" i="40" s="1"/>
  <c r="JD307" i="40"/>
  <c r="JQ307" i="40" s="1"/>
  <c r="IF659" i="40"/>
  <c r="JD378" i="40"/>
  <c r="JQ378" i="40" s="1"/>
  <c r="AT17" i="67"/>
  <c r="AQ325" i="40"/>
  <c r="AQ312" i="40"/>
  <c r="IF607" i="40"/>
  <c r="IG623" i="40"/>
  <c r="IE661" i="40"/>
  <c r="AQ282" i="40"/>
  <c r="KP354" i="40"/>
  <c r="KP230" i="40"/>
  <c r="AQ321" i="40"/>
  <c r="KP371" i="40"/>
  <c r="KP381" i="40"/>
  <c r="KP385" i="40"/>
  <c r="AB55" i="59"/>
  <c r="AQ387" i="40"/>
  <c r="KP347" i="40"/>
  <c r="KP250" i="40"/>
  <c r="IG680" i="40"/>
  <c r="JA603" i="40"/>
  <c r="IL603" i="40" s="1"/>
  <c r="JD356" i="40"/>
  <c r="JQ356" i="40" s="1"/>
  <c r="JD321" i="40"/>
  <c r="JR321" i="40" s="1"/>
  <c r="IF603" i="40"/>
  <c r="AQ603" i="40" s="1"/>
  <c r="KP346" i="40"/>
  <c r="IF686" i="40"/>
  <c r="AQ332" i="40"/>
  <c r="IF621" i="40"/>
  <c r="AQ314" i="40"/>
  <c r="AQ347" i="40"/>
  <c r="AQ354" i="40"/>
  <c r="AQ230" i="40"/>
  <c r="IF625" i="40"/>
  <c r="JD625" i="40" s="1"/>
  <c r="JD383" i="40"/>
  <c r="JQ383" i="40" s="1"/>
  <c r="AQ385" i="40"/>
  <c r="AQ242" i="40"/>
  <c r="AQ370" i="40"/>
  <c r="AQ249" i="40"/>
  <c r="AQ238" i="40"/>
  <c r="JD380" i="40"/>
  <c r="JQ380" i="40" s="1"/>
  <c r="AQ326" i="40"/>
  <c r="IG609" i="40"/>
  <c r="KP302" i="40"/>
  <c r="AQ353" i="40"/>
  <c r="AQ369" i="40"/>
  <c r="IF613" i="40"/>
  <c r="JD277" i="40"/>
  <c r="JR277" i="40" s="1"/>
  <c r="AQ205" i="40"/>
  <c r="AQ331" i="40"/>
  <c r="AQ207" i="40"/>
  <c r="IF656" i="40"/>
  <c r="AQ218" i="40"/>
  <c r="IF633" i="40"/>
  <c r="AQ330" i="40"/>
  <c r="IG683" i="40"/>
  <c r="AQ233" i="40"/>
  <c r="JA661" i="40"/>
  <c r="IL661" i="40" s="1"/>
  <c r="KP387" i="40"/>
  <c r="KP326" i="40"/>
  <c r="JD355" i="40"/>
  <c r="JQ355" i="40" s="1"/>
  <c r="AQ262" i="40"/>
  <c r="JD325" i="40"/>
  <c r="JR325" i="40" s="1"/>
  <c r="KP357" i="40"/>
  <c r="AQ338" i="40"/>
  <c r="JD387" i="40"/>
  <c r="JQ387" i="40" s="1"/>
  <c r="IG686" i="40"/>
  <c r="AQ384" i="40"/>
  <c r="AQ237" i="40"/>
  <c r="AQ359" i="40"/>
  <c r="AQ323" i="40"/>
  <c r="AQ240" i="40"/>
  <c r="AQ383" i="40"/>
  <c r="IG610" i="40"/>
  <c r="AQ610" i="40" s="1"/>
  <c r="IF682" i="40"/>
  <c r="KP382" i="40"/>
  <c r="JD384" i="40"/>
  <c r="JQ384" i="40" s="1"/>
  <c r="JD318" i="40"/>
  <c r="KP318" i="40"/>
  <c r="AQ284" i="40"/>
  <c r="AQ318" i="40"/>
  <c r="JA682" i="40"/>
  <c r="IL682" i="40" s="1"/>
  <c r="JA683" i="40"/>
  <c r="IL683" i="40" s="1"/>
  <c r="JD244" i="40"/>
  <c r="JR244" i="40" s="1"/>
  <c r="JD335" i="40"/>
  <c r="JQ335" i="40" s="1"/>
  <c r="KP344" i="40"/>
  <c r="KP386" i="40"/>
  <c r="AQ371" i="40"/>
  <c r="IG685" i="40"/>
  <c r="AQ386" i="40"/>
  <c r="IG684" i="40"/>
  <c r="JA686" i="40"/>
  <c r="IL686" i="40" s="1"/>
  <c r="JD357" i="40"/>
  <c r="JR357" i="40" s="1"/>
  <c r="KP384" i="40"/>
  <c r="KP374" i="40"/>
  <c r="JD282" i="40"/>
  <c r="KP282" i="40"/>
  <c r="JD286" i="40"/>
  <c r="KP286" i="40"/>
  <c r="IG687" i="40"/>
  <c r="IF654" i="40"/>
  <c r="KP373" i="40"/>
  <c r="KP216" i="40"/>
  <c r="KP280" i="40"/>
  <c r="JD326" i="40"/>
  <c r="JR326" i="40" s="1"/>
  <c r="KP345" i="40"/>
  <c r="AQ226" i="40"/>
  <c r="AQ252" i="40"/>
  <c r="AQ211" i="40"/>
  <c r="IG644" i="40"/>
  <c r="AQ344" i="40"/>
  <c r="KP380" i="40"/>
  <c r="IG654" i="40"/>
  <c r="JD346" i="40"/>
  <c r="JR346" i="40" s="1"/>
  <c r="JD344" i="40"/>
  <c r="JD285" i="40"/>
  <c r="KP285" i="40"/>
  <c r="JD382" i="40"/>
  <c r="JD287" i="40"/>
  <c r="KP287" i="40"/>
  <c r="AQ287" i="40"/>
  <c r="IF685" i="40"/>
  <c r="JR383" i="40"/>
  <c r="JD284" i="40"/>
  <c r="KP284" i="40"/>
  <c r="IG653" i="40"/>
  <c r="JD345" i="40"/>
  <c r="JR345" i="40" s="1"/>
  <c r="JD347" i="40"/>
  <c r="JR347" i="40" s="1"/>
  <c r="M31" i="59"/>
  <c r="W44" i="59" s="1"/>
  <c r="KP335" i="40"/>
  <c r="AQ254" i="40"/>
  <c r="AQ253" i="40"/>
  <c r="KP351" i="40"/>
  <c r="AQ244" i="40"/>
  <c r="AQ269" i="40"/>
  <c r="KP349" i="40"/>
  <c r="JD371" i="40"/>
  <c r="JR371" i="40" s="1"/>
  <c r="IF683" i="40"/>
  <c r="AQ286" i="40"/>
  <c r="IF684" i="40"/>
  <c r="AQ285" i="40"/>
  <c r="JD283" i="40"/>
  <c r="KP283" i="40"/>
  <c r="IF687" i="40"/>
  <c r="JD376" i="40"/>
  <c r="JR376" i="40" s="1"/>
  <c r="JD316" i="40"/>
  <c r="JR316" i="40" s="1"/>
  <c r="AQ322" i="40"/>
  <c r="AQ228" i="40"/>
  <c r="KP275" i="40"/>
  <c r="AQ220" i="40"/>
  <c r="AQ349" i="40"/>
  <c r="IG634" i="40"/>
  <c r="IF664" i="40"/>
  <c r="KP235" i="40"/>
  <c r="KP356" i="40"/>
  <c r="AQ266" i="40"/>
  <c r="KP320" i="40"/>
  <c r="AQ342" i="40"/>
  <c r="JD349" i="40"/>
  <c r="JR349" i="40" s="1"/>
  <c r="IF640" i="40"/>
  <c r="JA685" i="40"/>
  <c r="IL685" i="40" s="1"/>
  <c r="JA687" i="40"/>
  <c r="IL687" i="40" s="1"/>
  <c r="JA684" i="40"/>
  <c r="IL684" i="40" s="1"/>
  <c r="AQ283" i="40"/>
  <c r="AR14" i="70"/>
  <c r="AQ310" i="40"/>
  <c r="IG674" i="40"/>
  <c r="KP365" i="40"/>
  <c r="JD276" i="40"/>
  <c r="JR276" i="40" s="1"/>
  <c r="KP231" i="40"/>
  <c r="KP360" i="40"/>
  <c r="IF674" i="40"/>
  <c r="AQ324" i="40"/>
  <c r="AQ360" i="40"/>
  <c r="JD365" i="40"/>
  <c r="JR365" i="40" s="1"/>
  <c r="JD360" i="40"/>
  <c r="JR360" i="40" s="1"/>
  <c r="AQ247" i="40"/>
  <c r="KP361" i="40"/>
  <c r="AQ278" i="40"/>
  <c r="JD327" i="40"/>
  <c r="JR327" i="40" s="1"/>
  <c r="KP338" i="40"/>
  <c r="AQ334" i="40"/>
  <c r="M43" i="59"/>
  <c r="W43" i="59"/>
  <c r="IG602" i="40"/>
  <c r="JD338" i="40"/>
  <c r="JQ338" i="40" s="1"/>
  <c r="Q30" i="59"/>
  <c r="IG613" i="40"/>
  <c r="JD305" i="40"/>
  <c r="JR305" i="40" s="1"/>
  <c r="IG616" i="40"/>
  <c r="KP350" i="40"/>
  <c r="JA645" i="40"/>
  <c r="IL645" i="40" s="1"/>
  <c r="JA669" i="40"/>
  <c r="IL669" i="40" s="1"/>
  <c r="AQ343" i="40"/>
  <c r="AQ257" i="40"/>
  <c r="IG633" i="40"/>
  <c r="IG627" i="40"/>
  <c r="AQ627" i="40" s="1"/>
  <c r="JA675" i="40"/>
  <c r="IL675" i="40" s="1"/>
  <c r="E29" i="59"/>
  <c r="I29" i="59" s="1"/>
  <c r="KP306" i="40"/>
  <c r="KP355" i="40"/>
  <c r="KP245" i="40"/>
  <c r="JD309" i="40"/>
  <c r="JQ309" i="40" s="1"/>
  <c r="IB701" i="40"/>
  <c r="JA636" i="40"/>
  <c r="IL636" i="40" s="1"/>
  <c r="KP343" i="40"/>
  <c r="AQ260" i="40"/>
  <c r="JA627" i="40"/>
  <c r="IL627" i="40" s="1"/>
  <c r="JA616" i="40"/>
  <c r="IL616" i="40" s="1"/>
  <c r="JA672" i="40"/>
  <c r="IL672" i="40" s="1"/>
  <c r="KP362" i="40"/>
  <c r="AQ245" i="40"/>
  <c r="JA654" i="40"/>
  <c r="IL654" i="40" s="1"/>
  <c r="JD358" i="40"/>
  <c r="JQ358" i="40" s="1"/>
  <c r="JD350" i="40"/>
  <c r="JR350" i="40" s="1"/>
  <c r="JD362" i="40"/>
  <c r="JR362" i="40" s="1"/>
  <c r="KP316" i="40"/>
  <c r="KP363" i="40"/>
  <c r="KP307" i="40"/>
  <c r="AQ216" i="40"/>
  <c r="AQ319" i="40"/>
  <c r="JA633" i="40"/>
  <c r="IL633" i="40" s="1"/>
  <c r="JD226" i="40"/>
  <c r="JR226" i="40" s="1"/>
  <c r="KP305" i="40"/>
  <c r="IG618" i="40"/>
  <c r="JA659" i="40"/>
  <c r="IL659" i="40" s="1"/>
  <c r="JD324" i="40"/>
  <c r="JQ324" i="40" s="1"/>
  <c r="AQ7" i="70"/>
  <c r="JR304" i="40"/>
  <c r="KT156" i="40"/>
  <c r="KU155" i="40"/>
  <c r="IG651" i="40"/>
  <c r="IE651" i="40"/>
  <c r="Z42" i="59"/>
  <c r="IG615" i="40"/>
  <c r="IE615" i="40"/>
  <c r="JA668" i="40"/>
  <c r="IL668" i="40" s="1"/>
  <c r="JA637" i="40"/>
  <c r="IL637" i="40" s="1"/>
  <c r="IE637" i="40"/>
  <c r="JA624" i="40"/>
  <c r="IL624" i="40" s="1"/>
  <c r="JR337" i="40"/>
  <c r="JA657" i="40"/>
  <c r="IL657" i="40" s="1"/>
  <c r="AR57" i="70"/>
  <c r="AQ62" i="70"/>
  <c r="JA670" i="40"/>
  <c r="IL670" i="40" s="1"/>
  <c r="JD229" i="40"/>
  <c r="KP229" i="40"/>
  <c r="IG624" i="40"/>
  <c r="JD317" i="40"/>
  <c r="JD311" i="40"/>
  <c r="JA619" i="40"/>
  <c r="IL619" i="40" s="1"/>
  <c r="IE619" i="40"/>
  <c r="JA630" i="40"/>
  <c r="IL630" i="40" s="1"/>
  <c r="JA632" i="40"/>
  <c r="IL632" i="40" s="1"/>
  <c r="IE632" i="40"/>
  <c r="JA648" i="40"/>
  <c r="IL648" i="40" s="1"/>
  <c r="IE648" i="40"/>
  <c r="JA662" i="40"/>
  <c r="IL662" i="40" s="1"/>
  <c r="IE662" i="40"/>
  <c r="JA663" i="40"/>
  <c r="IL663" i="40" s="1"/>
  <c r="IE663" i="40"/>
  <c r="JD359" i="40"/>
  <c r="JD221" i="40"/>
  <c r="KP221" i="40"/>
  <c r="AR51" i="70"/>
  <c r="AQ328" i="40"/>
  <c r="JA641" i="40"/>
  <c r="IL641" i="40" s="1"/>
  <c r="JA608" i="40"/>
  <c r="IL608" i="40" s="1"/>
  <c r="JD259" i="40"/>
  <c r="KP259" i="40"/>
  <c r="IG637" i="40"/>
  <c r="AQ272" i="40"/>
  <c r="KP251" i="40"/>
  <c r="AQ23" i="70"/>
  <c r="KP310" i="40"/>
  <c r="JD227" i="40"/>
  <c r="JD209" i="40"/>
  <c r="KP209" i="40"/>
  <c r="JD314" i="40"/>
  <c r="KP324" i="40"/>
  <c r="JD330" i="40"/>
  <c r="AQ234" i="40"/>
  <c r="JD269" i="40"/>
  <c r="KP269" i="40"/>
  <c r="BN13" i="70"/>
  <c r="AQ13" i="70"/>
  <c r="BN11" i="70"/>
  <c r="AQ11" i="70"/>
  <c r="AQ24" i="70"/>
  <c r="F44" i="59"/>
  <c r="N31" i="59"/>
  <c r="JA635" i="40"/>
  <c r="IL635" i="40" s="1"/>
  <c r="JD233" i="40"/>
  <c r="KP233" i="40"/>
  <c r="JD323" i="40"/>
  <c r="JA634" i="40"/>
  <c r="IL634" i="40" s="1"/>
  <c r="KP328" i="40"/>
  <c r="JD368" i="40"/>
  <c r="IF614" i="40"/>
  <c r="IG630" i="40"/>
  <c r="KP264" i="40"/>
  <c r="JR363" i="40"/>
  <c r="JQ363" i="40"/>
  <c r="JD215" i="40"/>
  <c r="IF643" i="40"/>
  <c r="AQ43" i="70"/>
  <c r="IF665" i="40"/>
  <c r="JA626" i="40"/>
  <c r="IL626" i="40" s="1"/>
  <c r="IE626" i="40"/>
  <c r="KP276" i="40"/>
  <c r="JD220" i="40"/>
  <c r="KP220" i="40"/>
  <c r="JD369" i="40"/>
  <c r="AQ333" i="40"/>
  <c r="AQ373" i="40"/>
  <c r="IF677" i="40"/>
  <c r="JA649" i="40"/>
  <c r="IL649" i="40" s="1"/>
  <c r="IE649" i="40"/>
  <c r="JD334" i="40"/>
  <c r="JA611" i="40"/>
  <c r="IL611" i="40" s="1"/>
  <c r="IE611" i="40"/>
  <c r="JD250" i="40"/>
  <c r="AQ376" i="40"/>
  <c r="AR66" i="70"/>
  <c r="AS17" i="71"/>
  <c r="JD254" i="40"/>
  <c r="KP254" i="40"/>
  <c r="AR46" i="70"/>
  <c r="S34" i="67"/>
  <c r="AA34" i="67" s="1"/>
  <c r="AQ377" i="40"/>
  <c r="AQ280" i="40"/>
  <c r="IF655" i="40"/>
  <c r="JD238" i="40"/>
  <c r="KP238" i="40"/>
  <c r="IF636" i="40"/>
  <c r="AR41" i="70"/>
  <c r="AQ362" i="40"/>
  <c r="KP370" i="40"/>
  <c r="JD377" i="40"/>
  <c r="JD266" i="40"/>
  <c r="KP266" i="40"/>
  <c r="KP340" i="40"/>
  <c r="JD329" i="40"/>
  <c r="AQ301" i="40"/>
  <c r="J9" i="61"/>
  <c r="IF641" i="40"/>
  <c r="JD207" i="40"/>
  <c r="KP207" i="40"/>
  <c r="KP253" i="40"/>
  <c r="IF669" i="40"/>
  <c r="IF650" i="40"/>
  <c r="AQ309" i="40"/>
  <c r="JD374" i="40"/>
  <c r="AQ374" i="40"/>
  <c r="KP378" i="40"/>
  <c r="AQ201" i="40"/>
  <c r="J8" i="61"/>
  <c r="KP333" i="40"/>
  <c r="JD210" i="40"/>
  <c r="KP210" i="40"/>
  <c r="JD278" i="40"/>
  <c r="KP278" i="40"/>
  <c r="JD216" i="40"/>
  <c r="JD231" i="40"/>
  <c r="AB42" i="59"/>
  <c r="IM602" i="40"/>
  <c r="AT18" i="71"/>
  <c r="JA631" i="40"/>
  <c r="IL631" i="40" s="1"/>
  <c r="IE631" i="40"/>
  <c r="JA604" i="40"/>
  <c r="IL604" i="40" s="1"/>
  <c r="IE604" i="40"/>
  <c r="JD232" i="40"/>
  <c r="KP232" i="40"/>
  <c r="JA606" i="40"/>
  <c r="IL606" i="40" s="1"/>
  <c r="IE606" i="40"/>
  <c r="JA658" i="40"/>
  <c r="IL658" i="40" s="1"/>
  <c r="IE658" i="40"/>
  <c r="JA639" i="40"/>
  <c r="IL639" i="40" s="1"/>
  <c r="IE639" i="40"/>
  <c r="JA647" i="40"/>
  <c r="IL647" i="40" s="1"/>
  <c r="IE647" i="40"/>
  <c r="JA660" i="40"/>
  <c r="IL660" i="40" s="1"/>
  <c r="IE660" i="40"/>
  <c r="AQ270" i="40"/>
  <c r="JA673" i="40"/>
  <c r="IL673" i="40" s="1"/>
  <c r="IE673" i="40"/>
  <c r="IG668" i="40"/>
  <c r="JD301" i="40"/>
  <c r="BN12" i="70"/>
  <c r="AQ12" i="70"/>
  <c r="AR12" i="70"/>
  <c r="AQ35" i="70"/>
  <c r="AQ34" i="70"/>
  <c r="AR64" i="70"/>
  <c r="JA642" i="40"/>
  <c r="IL642" i="40" s="1"/>
  <c r="IE642" i="40"/>
  <c r="KP341" i="40"/>
  <c r="JD328" i="40"/>
  <c r="AQ27" i="70"/>
  <c r="AQ33" i="70"/>
  <c r="AQ308" i="40"/>
  <c r="JA628" i="40"/>
  <c r="IL628" i="40" s="1"/>
  <c r="IE628" i="40"/>
  <c r="IG635" i="40"/>
  <c r="KP205" i="40"/>
  <c r="AQ378" i="40"/>
  <c r="IF675" i="40"/>
  <c r="AR50" i="70"/>
  <c r="AQ366" i="40"/>
  <c r="IF624" i="40"/>
  <c r="KP226" i="40"/>
  <c r="AQ45" i="70"/>
  <c r="AQ304" i="40"/>
  <c r="JA671" i="40"/>
  <c r="IL671" i="40" s="1"/>
  <c r="IE671" i="40"/>
  <c r="JD213" i="40"/>
  <c r="KP213" i="40"/>
  <c r="IF672" i="40"/>
  <c r="JD249" i="40"/>
  <c r="KP249" i="40"/>
  <c r="IG669" i="40"/>
  <c r="AQ31" i="70"/>
  <c r="JR203" i="40"/>
  <c r="JQ203" i="40"/>
  <c r="IF670" i="40"/>
  <c r="JD211" i="40"/>
  <c r="KP211" i="40"/>
  <c r="IG604" i="40"/>
  <c r="KP334" i="40"/>
  <c r="JD202" i="40"/>
  <c r="AS17" i="66"/>
  <c r="KP202" i="40"/>
  <c r="AR44" i="70"/>
  <c r="AR38" i="70"/>
  <c r="Y55" i="59"/>
  <c r="X55" i="59"/>
  <c r="KP379" i="40"/>
  <c r="AQ379" i="40"/>
  <c r="JA681" i="40"/>
  <c r="IL681" i="40" s="1"/>
  <c r="IE681" i="40"/>
  <c r="JD253" i="40"/>
  <c r="JA674" i="40"/>
  <c r="IL674" i="40" s="1"/>
  <c r="IF663" i="40"/>
  <c r="KP353" i="40"/>
  <c r="AQ221" i="40"/>
  <c r="JA644" i="40"/>
  <c r="IL644" i="40" s="1"/>
  <c r="IE644" i="40"/>
  <c r="JD379" i="40"/>
  <c r="KP364" i="40"/>
  <c r="KP317" i="40"/>
  <c r="AQ53" i="70"/>
  <c r="IF602" i="40"/>
  <c r="JA640" i="40"/>
  <c r="IL640" i="40" s="1"/>
  <c r="IE640" i="40"/>
  <c r="IG663" i="40"/>
  <c r="IG675" i="40"/>
  <c r="IF631" i="40"/>
  <c r="KP315" i="40"/>
  <c r="IG639" i="40"/>
  <c r="AR56" i="70"/>
  <c r="AQ363" i="40"/>
  <c r="JD201" i="40"/>
  <c r="I8" i="61"/>
  <c r="KP201" i="40"/>
  <c r="JD333" i="40"/>
  <c r="AQ37" i="70"/>
  <c r="JA652" i="40"/>
  <c r="IL652" i="40" s="1"/>
  <c r="IE652" i="40"/>
  <c r="AQ235" i="40"/>
  <c r="JD281" i="40"/>
  <c r="AQ281" i="40"/>
  <c r="AQ302" i="40"/>
  <c r="AU17" i="67"/>
  <c r="AQ61" i="70"/>
  <c r="JD315" i="40"/>
  <c r="JD243" i="40"/>
  <c r="KP243" i="40"/>
  <c r="JR352" i="40"/>
  <c r="JQ352" i="40"/>
  <c r="JA667" i="40"/>
  <c r="IL667" i="40" s="1"/>
  <c r="IE667" i="40"/>
  <c r="JA612" i="40"/>
  <c r="IL612" i="40" s="1"/>
  <c r="IE612" i="40"/>
  <c r="X42" i="59"/>
  <c r="JD255" i="40"/>
  <c r="KP255" i="40"/>
  <c r="AQ39" i="70"/>
  <c r="AQ22" i="70"/>
  <c r="JD268" i="40"/>
  <c r="KP268" i="40"/>
  <c r="IN602" i="40"/>
  <c r="AU18" i="71"/>
  <c r="AQ368" i="40"/>
  <c r="Z55" i="59"/>
  <c r="AA55" i="59"/>
  <c r="JA665" i="40"/>
  <c r="IL665" i="40" s="1"/>
  <c r="IE665" i="40"/>
  <c r="JD224" i="40"/>
  <c r="KP224" i="40"/>
  <c r="JD373" i="40"/>
  <c r="AR48" i="70"/>
  <c r="IF608" i="40"/>
  <c r="KP257" i="40"/>
  <c r="AR68" i="70"/>
  <c r="IG606" i="40"/>
  <c r="JD270" i="40"/>
  <c r="KP270" i="40"/>
  <c r="BN17" i="70"/>
  <c r="AQ17" i="70"/>
  <c r="JD361" i="40"/>
  <c r="AQ361" i="40"/>
  <c r="JD204" i="40"/>
  <c r="KP204" i="40"/>
  <c r="IF630" i="40"/>
  <c r="JA618" i="40"/>
  <c r="IL618" i="40" s="1"/>
  <c r="IE618" i="40"/>
  <c r="AQ243" i="40"/>
  <c r="JD322" i="40"/>
  <c r="JD258" i="40"/>
  <c r="KP258" i="40"/>
  <c r="KP376" i="40"/>
  <c r="JD241" i="40"/>
  <c r="KP241" i="40"/>
  <c r="JD208" i="40"/>
  <c r="KP208" i="40"/>
  <c r="JD239" i="40"/>
  <c r="KP239" i="40"/>
  <c r="IG619" i="40"/>
  <c r="JD247" i="40"/>
  <c r="KP247" i="40"/>
  <c r="JD260" i="40"/>
  <c r="KP260" i="40"/>
  <c r="IG662" i="40"/>
  <c r="JD273" i="40"/>
  <c r="KP273" i="40"/>
  <c r="IN601" i="40"/>
  <c r="N12" i="61"/>
  <c r="AA12" i="61" s="1"/>
  <c r="AR67" i="70"/>
  <c r="AQ32" i="70"/>
  <c r="IG645" i="40"/>
  <c r="IE645" i="40"/>
  <c r="KP327" i="40"/>
  <c r="AR52" i="70"/>
  <c r="BN18" i="70"/>
  <c r="AQ18" i="70"/>
  <c r="AQ65" i="70"/>
  <c r="AR26" i="70"/>
  <c r="AR59" i="70"/>
  <c r="R7" i="59"/>
  <c r="U44" i="59" s="1"/>
  <c r="H44" i="59"/>
  <c r="P31" i="59"/>
  <c r="JD235" i="40"/>
  <c r="JD242" i="40"/>
  <c r="KP242" i="40"/>
  <c r="AR60" i="70"/>
  <c r="JD234" i="40"/>
  <c r="KP234" i="40"/>
  <c r="AR55" i="70"/>
  <c r="AQ316" i="40"/>
  <c r="JD228" i="40"/>
  <c r="KP228" i="40"/>
  <c r="IF605" i="40"/>
  <c r="AQ255" i="40"/>
  <c r="IG672" i="40"/>
  <c r="IG612" i="40"/>
  <c r="IF616" i="40"/>
  <c r="JA617" i="40"/>
  <c r="IL617" i="40" s="1"/>
  <c r="IE617" i="40"/>
  <c r="IG670" i="40"/>
  <c r="AQ357" i="40"/>
  <c r="KP304" i="40"/>
  <c r="AR47" i="70"/>
  <c r="AQ258" i="40"/>
  <c r="AQ202" i="40"/>
  <c r="AT17" i="66"/>
  <c r="JD257" i="40"/>
  <c r="JD271" i="40"/>
  <c r="KP271" i="40"/>
  <c r="AQ239" i="40"/>
  <c r="AR28" i="70"/>
  <c r="AQ273" i="40"/>
  <c r="IF619" i="40"/>
  <c r="AQ329" i="40"/>
  <c r="KP332" i="40"/>
  <c r="KP366" i="40"/>
  <c r="JA622" i="40"/>
  <c r="IL622" i="40" s="1"/>
  <c r="IE622" i="40"/>
  <c r="IF667" i="40"/>
  <c r="KP281" i="40"/>
  <c r="IG617" i="40"/>
  <c r="JD342" i="40"/>
  <c r="IF615" i="40"/>
  <c r="IG628" i="40"/>
  <c r="BN8" i="70"/>
  <c r="AR8" i="70"/>
  <c r="JD353" i="40"/>
  <c r="IF658" i="40"/>
  <c r="KP244" i="40"/>
  <c r="KP339" i="40"/>
  <c r="JD306" i="40"/>
  <c r="KP331" i="40"/>
  <c r="AR10" i="70"/>
  <c r="BN10" i="70"/>
  <c r="AQ335" i="40"/>
  <c r="AQ208" i="40"/>
  <c r="JD240" i="40"/>
  <c r="KP240" i="40"/>
  <c r="KP248" i="40"/>
  <c r="IF647" i="40"/>
  <c r="BN15" i="70"/>
  <c r="AQ15" i="70"/>
  <c r="AQ227" i="40"/>
  <c r="AQ209" i="40"/>
  <c r="AQ356" i="40"/>
  <c r="KP319" i="40"/>
  <c r="JA601" i="40"/>
  <c r="KP308" i="40"/>
  <c r="JA610" i="40"/>
  <c r="IL610" i="40" s="1"/>
  <c r="JA678" i="40"/>
  <c r="IL678" i="40" s="1"/>
  <c r="JD252" i="40"/>
  <c r="KP252" i="40"/>
  <c r="AQ217" i="40"/>
  <c r="AQ251" i="40"/>
  <c r="AQ224" i="40"/>
  <c r="AQ40" i="70"/>
  <c r="JR372" i="40"/>
  <c r="JQ372" i="40"/>
  <c r="JR251" i="40"/>
  <c r="JA655" i="40"/>
  <c r="IL655" i="40" s="1"/>
  <c r="IE655" i="40"/>
  <c r="JQ312" i="40"/>
  <c r="JD237" i="40"/>
  <c r="KP237" i="40"/>
  <c r="JA650" i="40"/>
  <c r="IL650" i="40" s="1"/>
  <c r="IE650" i="40"/>
  <c r="JR248" i="40"/>
  <c r="JQ248" i="40"/>
  <c r="AR42" i="70"/>
  <c r="JD262" i="40"/>
  <c r="KP262" i="40"/>
  <c r="JD263" i="40"/>
  <c r="KP263" i="40"/>
  <c r="KP322" i="40"/>
  <c r="AQ63" i="70"/>
  <c r="JA651" i="40"/>
  <c r="IL651" i="40" s="1"/>
  <c r="JD267" i="40"/>
  <c r="KP267" i="40"/>
  <c r="JD212" i="40"/>
  <c r="KP212" i="40"/>
  <c r="JD236" i="40"/>
  <c r="KP236" i="40"/>
  <c r="BN14" i="70"/>
  <c r="JA615" i="40"/>
  <c r="IL615" i="40" s="1"/>
  <c r="JD264" i="40"/>
  <c r="AQ305" i="40"/>
  <c r="JD265" i="40"/>
  <c r="KP265" i="40"/>
  <c r="JA676" i="40"/>
  <c r="IL676" i="40" s="1"/>
  <c r="IE676" i="40"/>
  <c r="JA614" i="40"/>
  <c r="IL614" i="40" s="1"/>
  <c r="IE614" i="40"/>
  <c r="IG648" i="40"/>
  <c r="IF660" i="40"/>
  <c r="JA677" i="40"/>
  <c r="IL677" i="40" s="1"/>
  <c r="IE677" i="40"/>
  <c r="JD272" i="40"/>
  <c r="KP272" i="40"/>
  <c r="JD340" i="40"/>
  <c r="JA629" i="40"/>
  <c r="IL629" i="40" s="1"/>
  <c r="IE629" i="40"/>
  <c r="AQ317" i="40"/>
  <c r="JD310" i="40"/>
  <c r="KP311" i="40"/>
  <c r="IG647" i="40"/>
  <c r="JD218" i="40"/>
  <c r="KP218" i="40"/>
  <c r="IG657" i="40"/>
  <c r="KP359" i="40"/>
  <c r="JA643" i="40"/>
  <c r="IL643" i="40" s="1"/>
  <c r="AQ265" i="40"/>
  <c r="JA621" i="40"/>
  <c r="IL621" i="40" s="1"/>
  <c r="IE621" i="40"/>
  <c r="KP375" i="40"/>
  <c r="AQ375" i="40"/>
  <c r="IG608" i="40"/>
  <c r="AQ277" i="40"/>
  <c r="JA609" i="40"/>
  <c r="IL609" i="40" s="1"/>
  <c r="IE609" i="40"/>
  <c r="AQ229" i="40"/>
  <c r="JR261" i="40"/>
  <c r="JQ261" i="40"/>
  <c r="AQ350" i="40"/>
  <c r="KP314" i="40"/>
  <c r="JD302" i="40"/>
  <c r="IM601" i="40"/>
  <c r="M12" i="61"/>
  <c r="Z12" i="61" s="1"/>
  <c r="JB701" i="40"/>
  <c r="IM701" i="40" s="1"/>
  <c r="KP330" i="40"/>
  <c r="BN16" i="70"/>
  <c r="AQ16" i="70"/>
  <c r="IF635" i="40"/>
  <c r="JD245" i="40"/>
  <c r="KP301" i="40"/>
  <c r="G44" i="59"/>
  <c r="O31" i="59"/>
  <c r="AR69" i="70"/>
  <c r="IF634" i="40"/>
  <c r="KP323" i="40"/>
  <c r="IF642" i="40"/>
  <c r="BN9" i="70"/>
  <c r="AR9" i="70"/>
  <c r="AQ9" i="70"/>
  <c r="AQ355" i="40"/>
  <c r="IF651" i="40"/>
  <c r="JA680" i="40"/>
  <c r="IL680" i="40" s="1"/>
  <c r="JR246" i="40"/>
  <c r="JQ246" i="40"/>
  <c r="IF606" i="40"/>
  <c r="JA664" i="40"/>
  <c r="IL664" i="40" s="1"/>
  <c r="IE664" i="40"/>
  <c r="JD205" i="40"/>
  <c r="AQ30" i="70"/>
  <c r="IG660" i="40"/>
  <c r="JA605" i="40"/>
  <c r="IL605" i="40" s="1"/>
  <c r="V41" i="59"/>
  <c r="I28" i="59"/>
  <c r="AQ215" i="40"/>
  <c r="IF668" i="40"/>
  <c r="JD217" i="40"/>
  <c r="KP217" i="40"/>
  <c r="AQ36" i="70"/>
  <c r="IF637" i="40"/>
  <c r="AQ276" i="40"/>
  <c r="JA620" i="40"/>
  <c r="IL620" i="40" s="1"/>
  <c r="IE620" i="40"/>
  <c r="JD364" i="40"/>
  <c r="AQ311" i="40"/>
  <c r="JA613" i="40"/>
  <c r="IL613" i="40" s="1"/>
  <c r="IG629" i="40"/>
  <c r="JD275" i="40"/>
  <c r="AQ231" i="40"/>
  <c r="AQ21" i="70"/>
  <c r="IG641" i="40"/>
  <c r="AQ250" i="40"/>
  <c r="AQ307" i="40"/>
  <c r="JD332" i="40"/>
  <c r="JA602" i="40"/>
  <c r="JA623" i="40"/>
  <c r="IL623" i="40" s="1"/>
  <c r="IE623" i="40"/>
  <c r="JR225" i="40"/>
  <c r="AQ358" i="40"/>
  <c r="JA638" i="40"/>
  <c r="IL638" i="40" s="1"/>
  <c r="IE638" i="40"/>
  <c r="AQ248" i="40"/>
  <c r="IG605" i="40"/>
  <c r="JA679" i="40"/>
  <c r="IL679" i="40" s="1"/>
  <c r="IF662" i="40"/>
  <c r="IG631" i="40"/>
  <c r="IG643" i="40"/>
  <c r="AQ380" i="40"/>
  <c r="KP367" i="40"/>
  <c r="KP358" i="40"/>
  <c r="KP377" i="40"/>
  <c r="IG666" i="40"/>
  <c r="IE666" i="40"/>
  <c r="IF676" i="40"/>
  <c r="JD339" i="40"/>
  <c r="JD331" i="40"/>
  <c r="AQ327" i="40"/>
  <c r="AQ341" i="40"/>
  <c r="IF657" i="40"/>
  <c r="AQ259" i="40"/>
  <c r="IG636" i="40"/>
  <c r="IF679" i="40"/>
  <c r="JA607" i="40"/>
  <c r="IL607" i="40" s="1"/>
  <c r="IE607" i="40"/>
  <c r="IG611" i="40"/>
  <c r="AR58" i="70"/>
  <c r="JA653" i="40"/>
  <c r="IL653" i="40" s="1"/>
  <c r="IE653" i="40"/>
  <c r="KP227" i="40"/>
  <c r="IF673" i="40"/>
  <c r="IG649" i="40"/>
  <c r="JD319" i="40"/>
  <c r="I12" i="61"/>
  <c r="JD308" i="40"/>
  <c r="AR7" i="70"/>
  <c r="KP342" i="40"/>
  <c r="KP277" i="40"/>
  <c r="AQ275" i="40"/>
  <c r="AQ213" i="40"/>
  <c r="AU17" i="66"/>
  <c r="M17" i="59" l="1"/>
  <c r="AQ622" i="40"/>
  <c r="JQ313" i="40"/>
  <c r="JQ230" i="40"/>
  <c r="JQ279" i="40"/>
  <c r="P17" i="59"/>
  <c r="JR256" i="40"/>
  <c r="JQ219" i="40"/>
  <c r="JQ348" i="40"/>
  <c r="JR380" i="40"/>
  <c r="JR335" i="40"/>
  <c r="JQ222" i="40"/>
  <c r="JQ274" i="40"/>
  <c r="JQ341" i="40"/>
  <c r="V42" i="59"/>
  <c r="AQ652" i="40"/>
  <c r="JQ206" i="40"/>
  <c r="JQ349" i="40"/>
  <c r="JQ367" i="40"/>
  <c r="JQ351" i="40"/>
  <c r="JR309" i="40"/>
  <c r="JR307" i="40"/>
  <c r="JR280" i="40"/>
  <c r="JQ223" i="40"/>
  <c r="AQ679" i="40"/>
  <c r="JQ370" i="40"/>
  <c r="JD659" i="40"/>
  <c r="AQ661" i="40"/>
  <c r="KQ385" i="40"/>
  <c r="JD603" i="40"/>
  <c r="JQ603" i="40" s="1"/>
  <c r="AQ659" i="40"/>
  <c r="JQ385" i="40"/>
  <c r="JR303" i="40"/>
  <c r="JQ343" i="40"/>
  <c r="AQ633" i="40"/>
  <c r="JQ386" i="40"/>
  <c r="AQ625" i="40"/>
  <c r="JD661" i="40"/>
  <c r="JR661" i="40" s="1"/>
  <c r="JQ336" i="40"/>
  <c r="JD601" i="40"/>
  <c r="JR601" i="40" s="1"/>
  <c r="KQ280" i="40"/>
  <c r="JR354" i="40"/>
  <c r="JR378" i="40"/>
  <c r="JR355" i="40"/>
  <c r="JQ244" i="40"/>
  <c r="JD686" i="40"/>
  <c r="JQ686" i="40" s="1"/>
  <c r="JD633" i="40"/>
  <c r="AQ601" i="40"/>
  <c r="JR381" i="40"/>
  <c r="AU17" i="71"/>
  <c r="JQ625" i="40"/>
  <c r="JR625" i="40"/>
  <c r="AQ626" i="40"/>
  <c r="JR356" i="40"/>
  <c r="AQ613" i="40"/>
  <c r="JQ214" i="40"/>
  <c r="AQ673" i="40"/>
  <c r="JR375" i="40"/>
  <c r="AQ637" i="40"/>
  <c r="JQ345" i="40"/>
  <c r="JR387" i="40"/>
  <c r="JD674" i="40"/>
  <c r="JR674" i="40" s="1"/>
  <c r="AQ687" i="40"/>
  <c r="AQ678" i="40"/>
  <c r="AQ683" i="40"/>
  <c r="JR384" i="40"/>
  <c r="JD656" i="40"/>
  <c r="AQ680" i="40"/>
  <c r="AQ686" i="40"/>
  <c r="O39" i="70"/>
  <c r="JD627" i="40"/>
  <c r="AQ682" i="40"/>
  <c r="AQ646" i="40"/>
  <c r="JQ327" i="40"/>
  <c r="JQ350" i="40"/>
  <c r="JQ320" i="40"/>
  <c r="AQ658" i="40"/>
  <c r="JQ276" i="40"/>
  <c r="JD646" i="40"/>
  <c r="JQ321" i="40"/>
  <c r="AQ642" i="40"/>
  <c r="JQ366" i="40"/>
  <c r="O8" i="61"/>
  <c r="AF8" i="61" s="1"/>
  <c r="AJ8" i="61" s="1"/>
  <c r="JR324" i="40"/>
  <c r="JD669" i="40"/>
  <c r="JQ669" i="40" s="1"/>
  <c r="AQ651" i="40"/>
  <c r="JQ362" i="40"/>
  <c r="JQ277" i="40"/>
  <c r="AQ628" i="40"/>
  <c r="AQ640" i="40"/>
  <c r="AQ662" i="40"/>
  <c r="AQ656" i="40"/>
  <c r="AV17" i="67"/>
  <c r="AQ624" i="40"/>
  <c r="W63" i="70"/>
  <c r="AQ611" i="40"/>
  <c r="JD636" i="40"/>
  <c r="JR636" i="40" s="1"/>
  <c r="KQ279" i="40"/>
  <c r="JQ346" i="40"/>
  <c r="JQ316" i="40"/>
  <c r="KQ246" i="40"/>
  <c r="AQ630" i="40"/>
  <c r="JQ325" i="40"/>
  <c r="JR338" i="40"/>
  <c r="JD682" i="40"/>
  <c r="JQ682" i="40" s="1"/>
  <c r="AQ657" i="40"/>
  <c r="O44" i="70"/>
  <c r="AQ616" i="40"/>
  <c r="JQ365" i="40"/>
  <c r="JQ305" i="40"/>
  <c r="AQ684" i="40"/>
  <c r="AQ606" i="40"/>
  <c r="JQ360" i="40"/>
  <c r="JQ357" i="40"/>
  <c r="AQ685" i="40"/>
  <c r="AQ635" i="40"/>
  <c r="JQ318" i="40"/>
  <c r="JR318" i="40"/>
  <c r="JD675" i="40"/>
  <c r="JQ675" i="40" s="1"/>
  <c r="KQ387" i="40"/>
  <c r="KQ386" i="40"/>
  <c r="AQ654" i="40"/>
  <c r="AQ674" i="40"/>
  <c r="KQ282" i="40"/>
  <c r="JR282" i="40"/>
  <c r="JQ282" i="40"/>
  <c r="JR285" i="40"/>
  <c r="KQ285" i="40"/>
  <c r="JQ285" i="40"/>
  <c r="JD678" i="40"/>
  <c r="JR678" i="40" s="1"/>
  <c r="KQ244" i="40"/>
  <c r="KQ248" i="40"/>
  <c r="KQ251" i="40"/>
  <c r="JQ371" i="40"/>
  <c r="JQ326" i="40"/>
  <c r="JQ376" i="40"/>
  <c r="JR682" i="40"/>
  <c r="JR284" i="40"/>
  <c r="KQ284" i="40"/>
  <c r="JQ284" i="40"/>
  <c r="JR287" i="40"/>
  <c r="KQ287" i="40"/>
  <c r="JQ287" i="40"/>
  <c r="JR344" i="40"/>
  <c r="JQ344" i="40"/>
  <c r="JR286" i="40"/>
  <c r="KQ286" i="40"/>
  <c r="JQ286" i="40"/>
  <c r="JD687" i="40"/>
  <c r="JD610" i="40"/>
  <c r="JR610" i="40" s="1"/>
  <c r="KQ230" i="40"/>
  <c r="JD654" i="40"/>
  <c r="JQ654" i="40" s="1"/>
  <c r="O60" i="70"/>
  <c r="JD608" i="40"/>
  <c r="JQ608" i="40" s="1"/>
  <c r="O58" i="70"/>
  <c r="O65" i="70"/>
  <c r="AQ615" i="40"/>
  <c r="AQ612" i="40"/>
  <c r="M44" i="59"/>
  <c r="W56" i="59" s="1"/>
  <c r="JQ347" i="40"/>
  <c r="KQ382" i="40"/>
  <c r="JR382" i="40"/>
  <c r="JQ382" i="40"/>
  <c r="JD685" i="40"/>
  <c r="AQ649" i="40"/>
  <c r="KQ225" i="40"/>
  <c r="JD641" i="40"/>
  <c r="JR641" i="40" s="1"/>
  <c r="AQ629" i="40"/>
  <c r="AQ668" i="40"/>
  <c r="AQ634" i="40"/>
  <c r="KQ305" i="40"/>
  <c r="KQ261" i="40"/>
  <c r="AQ648" i="40"/>
  <c r="O62" i="70"/>
  <c r="AQ667" i="40"/>
  <c r="JD672" i="40"/>
  <c r="JQ672" i="40" s="1"/>
  <c r="KQ274" i="40"/>
  <c r="AQ639" i="40"/>
  <c r="AQ604" i="40"/>
  <c r="KQ384" i="40"/>
  <c r="KQ283" i="40"/>
  <c r="JR283" i="40"/>
  <c r="JQ283" i="40"/>
  <c r="KQ383" i="40"/>
  <c r="JD684" i="40"/>
  <c r="JD683" i="40"/>
  <c r="O17" i="70"/>
  <c r="BE17" i="70" s="1"/>
  <c r="W55" i="59"/>
  <c r="V55" i="59"/>
  <c r="JR358" i="40"/>
  <c r="JD671" i="40"/>
  <c r="JR671" i="40" s="1"/>
  <c r="JQ226" i="40"/>
  <c r="JD644" i="40"/>
  <c r="JR644" i="40" s="1"/>
  <c r="JD666" i="40"/>
  <c r="JR666" i="40" s="1"/>
  <c r="AQ617" i="40"/>
  <c r="JD620" i="40"/>
  <c r="JQ620" i="40" s="1"/>
  <c r="JD655" i="40"/>
  <c r="JR655" i="40" s="1"/>
  <c r="JD632" i="40"/>
  <c r="AQ619" i="40"/>
  <c r="O33" i="70"/>
  <c r="JD623" i="40"/>
  <c r="KQ222" i="40"/>
  <c r="O20" i="70"/>
  <c r="AQ663" i="40"/>
  <c r="IE701" i="40"/>
  <c r="IG701" i="40"/>
  <c r="IF701" i="40"/>
  <c r="JD650" i="40"/>
  <c r="JQ650" i="40" s="1"/>
  <c r="O36" i="70"/>
  <c r="KQ206" i="40"/>
  <c r="KQ219" i="40"/>
  <c r="AQ666" i="40"/>
  <c r="JD664" i="40"/>
  <c r="JR664" i="40" s="1"/>
  <c r="JD609" i="40"/>
  <c r="JQ609" i="40" s="1"/>
  <c r="JD621" i="40"/>
  <c r="JR621" i="40" s="1"/>
  <c r="JD629" i="40"/>
  <c r="JR629" i="40" s="1"/>
  <c r="JD676" i="40"/>
  <c r="JQ676" i="40" s="1"/>
  <c r="JD668" i="40"/>
  <c r="JR668" i="40" s="1"/>
  <c r="JD617" i="40"/>
  <c r="JQ617" i="40" s="1"/>
  <c r="JD665" i="40"/>
  <c r="JR665" i="40" s="1"/>
  <c r="O28" i="70"/>
  <c r="Q31" i="59"/>
  <c r="KQ203" i="40"/>
  <c r="JD677" i="40"/>
  <c r="JR677" i="40" s="1"/>
  <c r="JD614" i="40"/>
  <c r="JR614" i="40" s="1"/>
  <c r="AQ645" i="40"/>
  <c r="JD626" i="40"/>
  <c r="JQ626" i="40" s="1"/>
  <c r="W59" i="70"/>
  <c r="JR237" i="40"/>
  <c r="KQ237" i="40"/>
  <c r="JQ237" i="40"/>
  <c r="O51" i="70"/>
  <c r="JD607" i="40"/>
  <c r="JR331" i="40"/>
  <c r="KQ331" i="40"/>
  <c r="JQ331" i="40"/>
  <c r="W45" i="70"/>
  <c r="JD638" i="40"/>
  <c r="JR332" i="40"/>
  <c r="KQ332" i="40"/>
  <c r="JQ332" i="40"/>
  <c r="W46" i="70"/>
  <c r="W9" i="70"/>
  <c r="JR275" i="40"/>
  <c r="KQ275" i="40"/>
  <c r="JQ275" i="40"/>
  <c r="AA44" i="59"/>
  <c r="O44" i="59"/>
  <c r="KQ218" i="40"/>
  <c r="JR218" i="40"/>
  <c r="JQ218" i="40"/>
  <c r="O16" i="70"/>
  <c r="O32" i="70"/>
  <c r="KQ310" i="40"/>
  <c r="JQ310" i="40"/>
  <c r="JR310" i="40"/>
  <c r="N17" i="59"/>
  <c r="W24" i="70"/>
  <c r="KQ272" i="40"/>
  <c r="JR272" i="40"/>
  <c r="JQ272" i="40"/>
  <c r="KQ312" i="40"/>
  <c r="KQ366" i="40"/>
  <c r="JQ306" i="40"/>
  <c r="JR306" i="40"/>
  <c r="KQ306" i="40"/>
  <c r="W20" i="70"/>
  <c r="JD622" i="40"/>
  <c r="AQ607" i="40"/>
  <c r="JR271" i="40"/>
  <c r="KQ271" i="40"/>
  <c r="JQ271" i="40"/>
  <c r="W50" i="70"/>
  <c r="AQ605" i="40"/>
  <c r="JR242" i="40"/>
  <c r="KQ242" i="40"/>
  <c r="JQ242" i="40"/>
  <c r="O56" i="70"/>
  <c r="AC44" i="59"/>
  <c r="P44" i="59"/>
  <c r="JD645" i="40"/>
  <c r="JR273" i="40"/>
  <c r="KQ273" i="40"/>
  <c r="JQ273" i="40"/>
  <c r="JR247" i="40"/>
  <c r="KQ247" i="40"/>
  <c r="JQ247" i="40"/>
  <c r="O61" i="70"/>
  <c r="JR241" i="40"/>
  <c r="KQ241" i="40"/>
  <c r="JQ241" i="40"/>
  <c r="O55" i="70"/>
  <c r="JR322" i="40"/>
  <c r="KQ322" i="40"/>
  <c r="JQ322" i="40"/>
  <c r="W36" i="70"/>
  <c r="W57" i="70"/>
  <c r="JR270" i="40"/>
  <c r="KQ270" i="40"/>
  <c r="JQ270" i="40"/>
  <c r="JR224" i="40"/>
  <c r="KQ224" i="40"/>
  <c r="JQ224" i="40"/>
  <c r="O38" i="70"/>
  <c r="JD612" i="40"/>
  <c r="KQ352" i="40"/>
  <c r="KQ327" i="40"/>
  <c r="W61" i="70"/>
  <c r="JR201" i="40"/>
  <c r="KQ201" i="40"/>
  <c r="JQ201" i="40"/>
  <c r="AQ602" i="40"/>
  <c r="AT17" i="71"/>
  <c r="KQ214" i="40"/>
  <c r="W35" i="70"/>
  <c r="AQ670" i="40"/>
  <c r="JR213" i="40"/>
  <c r="JQ213" i="40"/>
  <c r="KQ213" i="40"/>
  <c r="O27" i="70"/>
  <c r="AQ675" i="40"/>
  <c r="AQ638" i="40"/>
  <c r="W64" i="70"/>
  <c r="KQ350" i="40"/>
  <c r="KQ324" i="40"/>
  <c r="JD647" i="40"/>
  <c r="JD624" i="40"/>
  <c r="JD630" i="40"/>
  <c r="KQ278" i="40"/>
  <c r="JR278" i="40"/>
  <c r="JQ278" i="40"/>
  <c r="AQ650" i="40"/>
  <c r="JR603" i="40"/>
  <c r="AQ641" i="40"/>
  <c r="JR329" i="40"/>
  <c r="KQ329" i="40"/>
  <c r="JQ329" i="40"/>
  <c r="W43" i="70"/>
  <c r="JR377" i="40"/>
  <c r="KQ377" i="40"/>
  <c r="JQ377" i="40"/>
  <c r="KQ238" i="40"/>
  <c r="JR238" i="40"/>
  <c r="JQ238" i="40"/>
  <c r="O52" i="70"/>
  <c r="JD602" i="40"/>
  <c r="JD611" i="40"/>
  <c r="KQ354" i="40"/>
  <c r="KQ220" i="40"/>
  <c r="JR220" i="40"/>
  <c r="JQ220" i="40"/>
  <c r="O34" i="70"/>
  <c r="AQ665" i="40"/>
  <c r="KQ348" i="40"/>
  <c r="AQ643" i="40"/>
  <c r="KQ363" i="40"/>
  <c r="JD680" i="40"/>
  <c r="JQ314" i="40"/>
  <c r="JR314" i="40"/>
  <c r="KQ314" i="40"/>
  <c r="W28" i="70"/>
  <c r="AQ671" i="40"/>
  <c r="W52" i="70"/>
  <c r="JR221" i="40"/>
  <c r="KQ221" i="40"/>
  <c r="JQ221" i="40"/>
  <c r="O35" i="70"/>
  <c r="JD663" i="40"/>
  <c r="W7" i="70"/>
  <c r="KQ355" i="40"/>
  <c r="JD619" i="40"/>
  <c r="AQ621" i="40"/>
  <c r="W40" i="70"/>
  <c r="JD651" i="40"/>
  <c r="KQ304" i="40"/>
  <c r="W8" i="70"/>
  <c r="KQ217" i="40"/>
  <c r="JR217" i="40"/>
  <c r="JQ217" i="40"/>
  <c r="O15" i="70"/>
  <c r="O31" i="70"/>
  <c r="KQ236" i="40"/>
  <c r="JR236" i="40"/>
  <c r="JQ236" i="40"/>
  <c r="O50" i="70"/>
  <c r="JQ212" i="40"/>
  <c r="JR212" i="40"/>
  <c r="KQ212" i="40"/>
  <c r="O12" i="70"/>
  <c r="P16" i="59"/>
  <c r="O26" i="70"/>
  <c r="JR263" i="40"/>
  <c r="KQ263" i="40"/>
  <c r="JQ263" i="40"/>
  <c r="W12" i="70"/>
  <c r="JR240" i="40"/>
  <c r="KQ240" i="40"/>
  <c r="JQ240" i="40"/>
  <c r="O54" i="70"/>
  <c r="KQ346" i="40"/>
  <c r="JR353" i="40"/>
  <c r="KQ353" i="40"/>
  <c r="JQ353" i="40"/>
  <c r="W67" i="70"/>
  <c r="JR257" i="40"/>
  <c r="KQ257" i="40"/>
  <c r="JQ257" i="40"/>
  <c r="KQ234" i="40"/>
  <c r="JR234" i="40"/>
  <c r="JQ234" i="40"/>
  <c r="O48" i="70"/>
  <c r="O10" i="70"/>
  <c r="AQ664" i="40"/>
  <c r="KQ313" i="40"/>
  <c r="JR373" i="40"/>
  <c r="KQ373" i="40"/>
  <c r="JQ373" i="40"/>
  <c r="KQ268" i="40"/>
  <c r="JR268" i="40"/>
  <c r="JQ268" i="40"/>
  <c r="W66" i="70"/>
  <c r="JR243" i="40"/>
  <c r="KQ243" i="40"/>
  <c r="JQ243" i="40"/>
  <c r="O57" i="70"/>
  <c r="W41" i="70"/>
  <c r="KQ307" i="40"/>
  <c r="JR333" i="40"/>
  <c r="KQ333" i="40"/>
  <c r="JQ333" i="40"/>
  <c r="W47" i="70"/>
  <c r="JR253" i="40"/>
  <c r="KQ253" i="40"/>
  <c r="JQ253" i="40"/>
  <c r="O67" i="70"/>
  <c r="AV17" i="66"/>
  <c r="JR249" i="40"/>
  <c r="KQ249" i="40"/>
  <c r="JQ249" i="40"/>
  <c r="O63" i="70"/>
  <c r="KQ325" i="40"/>
  <c r="JR328" i="40"/>
  <c r="KQ328" i="40"/>
  <c r="JQ328" i="40"/>
  <c r="W14" i="70"/>
  <c r="W42" i="70"/>
  <c r="JD642" i="40"/>
  <c r="JD673" i="40"/>
  <c r="KQ320" i="40"/>
  <c r="JD670" i="40"/>
  <c r="KQ231" i="40"/>
  <c r="JR231" i="40"/>
  <c r="JQ231" i="40"/>
  <c r="O45" i="70"/>
  <c r="AQ669" i="40"/>
  <c r="KQ309" i="40"/>
  <c r="JR656" i="40"/>
  <c r="JQ656" i="40"/>
  <c r="AQ655" i="40"/>
  <c r="AQ677" i="40"/>
  <c r="W68" i="70"/>
  <c r="W62" i="70"/>
  <c r="JQ215" i="40"/>
  <c r="KQ215" i="40"/>
  <c r="JR215" i="40"/>
  <c r="O13" i="70"/>
  <c r="O29" i="70"/>
  <c r="AQ614" i="40"/>
  <c r="JR233" i="40"/>
  <c r="KQ233" i="40"/>
  <c r="JQ233" i="40"/>
  <c r="O47" i="70"/>
  <c r="JD643" i="40"/>
  <c r="KQ351" i="40"/>
  <c r="W69" i="70"/>
  <c r="KQ360" i="40"/>
  <c r="KQ381" i="40"/>
  <c r="KQ357" i="40"/>
  <c r="KQ376" i="40"/>
  <c r="W55" i="70"/>
  <c r="JR319" i="40"/>
  <c r="KQ319" i="40"/>
  <c r="JQ319" i="40"/>
  <c r="W33" i="70"/>
  <c r="W17" i="70"/>
  <c r="JQ339" i="40"/>
  <c r="KQ339" i="40"/>
  <c r="JR339" i="40"/>
  <c r="W53" i="70"/>
  <c r="JR245" i="40"/>
  <c r="KQ245" i="40"/>
  <c r="JQ245" i="40"/>
  <c r="O59" i="70"/>
  <c r="JQ627" i="40"/>
  <c r="JR627" i="40"/>
  <c r="KQ308" i="40"/>
  <c r="JQ308" i="40"/>
  <c r="JR308" i="40"/>
  <c r="W22" i="70"/>
  <c r="JD653" i="40"/>
  <c r="AQ676" i="40"/>
  <c r="IL602" i="40"/>
  <c r="KP664" i="40" s="1"/>
  <c r="AS18" i="71"/>
  <c r="JR364" i="40"/>
  <c r="KQ364" i="40"/>
  <c r="JQ364" i="40"/>
  <c r="KQ349" i="40"/>
  <c r="AQ653" i="40"/>
  <c r="JR205" i="40"/>
  <c r="JQ205" i="40"/>
  <c r="KQ205" i="40"/>
  <c r="JR633" i="40"/>
  <c r="JQ633" i="40"/>
  <c r="JR659" i="40"/>
  <c r="JQ659" i="40"/>
  <c r="JR340" i="40"/>
  <c r="KQ340" i="40"/>
  <c r="JQ340" i="40"/>
  <c r="JR265" i="40"/>
  <c r="KQ265" i="40"/>
  <c r="JQ265" i="40"/>
  <c r="JR264" i="40"/>
  <c r="KQ264" i="40"/>
  <c r="JQ264" i="40"/>
  <c r="KQ335" i="40"/>
  <c r="W26" i="70"/>
  <c r="AQ647" i="40"/>
  <c r="JR646" i="40"/>
  <c r="JQ646" i="40"/>
  <c r="KQ380" i="40"/>
  <c r="KQ371" i="40"/>
  <c r="KQ228" i="40"/>
  <c r="JR228" i="40"/>
  <c r="JQ228" i="40"/>
  <c r="O14" i="70"/>
  <c r="O42" i="70"/>
  <c r="KQ235" i="40"/>
  <c r="JR235" i="40"/>
  <c r="JQ235" i="40"/>
  <c r="O49" i="70"/>
  <c r="JR260" i="40"/>
  <c r="KQ260" i="40"/>
  <c r="JQ260" i="40"/>
  <c r="KQ208" i="40"/>
  <c r="JR208" i="40"/>
  <c r="JQ208" i="40"/>
  <c r="O22" i="70"/>
  <c r="KQ303" i="40"/>
  <c r="JD618" i="40"/>
  <c r="AQ609" i="40"/>
  <c r="KQ367" i="40"/>
  <c r="AQ608" i="40"/>
  <c r="JD616" i="40"/>
  <c r="JD667" i="40"/>
  <c r="JQ315" i="40"/>
  <c r="KQ315" i="40"/>
  <c r="JR315" i="40"/>
  <c r="W13" i="70"/>
  <c r="W29" i="70"/>
  <c r="JD657" i="40"/>
  <c r="JR281" i="40"/>
  <c r="KQ281" i="40"/>
  <c r="JQ281" i="40"/>
  <c r="O18" i="70"/>
  <c r="JD652" i="40"/>
  <c r="JD640" i="40"/>
  <c r="JR379" i="40"/>
  <c r="KQ379" i="40"/>
  <c r="JQ379" i="40"/>
  <c r="JD681" i="40"/>
  <c r="JQ202" i="40"/>
  <c r="KQ202" i="40"/>
  <c r="JR202" i="40"/>
  <c r="M4" i="59"/>
  <c r="E41" i="59" s="1"/>
  <c r="N4" i="59"/>
  <c r="F41" i="59" s="1"/>
  <c r="P4" i="59"/>
  <c r="O4" i="59"/>
  <c r="G41" i="59" s="1"/>
  <c r="O8" i="70"/>
  <c r="KQ256" i="40"/>
  <c r="AQ672" i="40"/>
  <c r="AQ644" i="40"/>
  <c r="JD628" i="40"/>
  <c r="JD634" i="40"/>
  <c r="KQ362" i="40"/>
  <c r="W38" i="70"/>
  <c r="JD660" i="40"/>
  <c r="W34" i="70"/>
  <c r="AQ681" i="40"/>
  <c r="JR232" i="40"/>
  <c r="KQ232" i="40"/>
  <c r="JQ232" i="40"/>
  <c r="O46" i="70"/>
  <c r="O9" i="70"/>
  <c r="JQ216" i="40"/>
  <c r="JR216" i="40"/>
  <c r="KQ216" i="40"/>
  <c r="O30" i="70"/>
  <c r="KQ210" i="40"/>
  <c r="JR210" i="40"/>
  <c r="JQ210" i="40"/>
  <c r="O24" i="70"/>
  <c r="N16" i="59"/>
  <c r="JR374" i="40"/>
  <c r="KQ374" i="40"/>
  <c r="JQ374" i="40"/>
  <c r="AQ636" i="40"/>
  <c r="JR254" i="40"/>
  <c r="KQ254" i="40"/>
  <c r="JQ254" i="40"/>
  <c r="O68" i="70"/>
  <c r="JR334" i="40"/>
  <c r="KQ334" i="40"/>
  <c r="JQ334" i="40"/>
  <c r="W48" i="70"/>
  <c r="W10" i="70"/>
  <c r="JD613" i="40"/>
  <c r="KQ369" i="40"/>
  <c r="JR369" i="40"/>
  <c r="JQ369" i="40"/>
  <c r="JD679" i="40"/>
  <c r="JR368" i="40"/>
  <c r="KQ368" i="40"/>
  <c r="JQ368" i="40"/>
  <c r="KQ223" i="40"/>
  <c r="JR323" i="40"/>
  <c r="KQ323" i="40"/>
  <c r="JQ323" i="40"/>
  <c r="W37" i="70"/>
  <c r="JR269" i="40"/>
  <c r="KQ269" i="40"/>
  <c r="JQ269" i="40"/>
  <c r="JR330" i="40"/>
  <c r="KQ330" i="40"/>
  <c r="JQ330" i="40"/>
  <c r="W44" i="70"/>
  <c r="M16" i="59"/>
  <c r="JQ209" i="40"/>
  <c r="JR209" i="40"/>
  <c r="KQ209" i="40"/>
  <c r="O23" i="70"/>
  <c r="AQ620" i="40"/>
  <c r="W65" i="70"/>
  <c r="JD662" i="40"/>
  <c r="JD648" i="40"/>
  <c r="W18" i="70"/>
  <c r="JR311" i="40"/>
  <c r="KQ311" i="40"/>
  <c r="JQ311" i="40"/>
  <c r="W11" i="70"/>
  <c r="O17" i="59"/>
  <c r="W25" i="70"/>
  <c r="KQ229" i="40"/>
  <c r="JR229" i="40"/>
  <c r="JQ229" i="40"/>
  <c r="O43" i="70"/>
  <c r="KQ277" i="40"/>
  <c r="KQ337" i="40"/>
  <c r="JD637" i="40"/>
  <c r="AQ632" i="40"/>
  <c r="I7" i="70"/>
  <c r="I69" i="70"/>
  <c r="KQ226" i="40"/>
  <c r="KQ375" i="40"/>
  <c r="KQ358" i="40"/>
  <c r="KQ316" i="40"/>
  <c r="W54" i="70"/>
  <c r="JQ302" i="40"/>
  <c r="JR302" i="40"/>
  <c r="KQ302" i="40"/>
  <c r="M5" i="59"/>
  <c r="E42" i="59" s="1"/>
  <c r="N5" i="59"/>
  <c r="F42" i="59" s="1"/>
  <c r="P5" i="59"/>
  <c r="P29" i="59" s="1"/>
  <c r="O5" i="59"/>
  <c r="G42" i="59" s="1"/>
  <c r="KQ318" i="40"/>
  <c r="W16" i="70"/>
  <c r="KQ344" i="40"/>
  <c r="W58" i="70"/>
  <c r="W32" i="70"/>
  <c r="AQ660" i="40"/>
  <c r="KQ345" i="40"/>
  <c r="JR267" i="40"/>
  <c r="KQ267" i="40"/>
  <c r="JQ267" i="40"/>
  <c r="KQ262" i="40"/>
  <c r="JR262" i="40"/>
  <c r="JQ262" i="40"/>
  <c r="W49" i="70"/>
  <c r="KQ372" i="40"/>
  <c r="KQ252" i="40"/>
  <c r="JR252" i="40"/>
  <c r="JQ252" i="40"/>
  <c r="O66" i="70"/>
  <c r="IL601" i="40"/>
  <c r="L12" i="61"/>
  <c r="Y12" i="61" s="1"/>
  <c r="JA701" i="40"/>
  <c r="W60" i="70"/>
  <c r="JR342" i="40"/>
  <c r="KQ342" i="40"/>
  <c r="JQ342" i="40"/>
  <c r="W56" i="70"/>
  <c r="KQ336" i="40"/>
  <c r="JR239" i="40"/>
  <c r="KQ239" i="40"/>
  <c r="JQ239" i="40"/>
  <c r="O53" i="70"/>
  <c r="KQ258" i="40"/>
  <c r="JR258" i="40"/>
  <c r="JQ258" i="40"/>
  <c r="JR204" i="40"/>
  <c r="KQ204" i="40"/>
  <c r="JQ204" i="40"/>
  <c r="JR361" i="40"/>
  <c r="KQ361" i="40"/>
  <c r="JQ361" i="40"/>
  <c r="W27" i="70"/>
  <c r="KQ343" i="40"/>
  <c r="KQ365" i="40"/>
  <c r="KQ255" i="40"/>
  <c r="JR255" i="40"/>
  <c r="JQ255" i="40"/>
  <c r="O7" i="70"/>
  <c r="O69" i="70"/>
  <c r="KQ347" i="40"/>
  <c r="W21" i="70"/>
  <c r="AQ631" i="40"/>
  <c r="KQ321" i="40"/>
  <c r="JQ211" i="40"/>
  <c r="JR211" i="40"/>
  <c r="KQ211" i="40"/>
  <c r="O25" i="70"/>
  <c r="O16" i="59"/>
  <c r="O11" i="70"/>
  <c r="W39" i="70"/>
  <c r="JD635" i="40"/>
  <c r="JR301" i="40"/>
  <c r="KQ301" i="40"/>
  <c r="JQ301" i="40"/>
  <c r="JD639" i="40"/>
  <c r="JD658" i="40"/>
  <c r="JD606" i="40"/>
  <c r="JD604" i="40"/>
  <c r="JD631" i="40"/>
  <c r="W23" i="70"/>
  <c r="JQ207" i="40"/>
  <c r="JR207" i="40"/>
  <c r="KQ207" i="40"/>
  <c r="O21" i="70"/>
  <c r="KQ266" i="40"/>
  <c r="JR266" i="40"/>
  <c r="JQ266" i="40"/>
  <c r="JR250" i="40"/>
  <c r="KQ250" i="40"/>
  <c r="JQ250" i="40"/>
  <c r="O64" i="70"/>
  <c r="JD649" i="40"/>
  <c r="JD605" i="40"/>
  <c r="O37" i="70"/>
  <c r="AQ623" i="40"/>
  <c r="Y44" i="59"/>
  <c r="N44" i="59"/>
  <c r="O9" i="61"/>
  <c r="AF9" i="61" s="1"/>
  <c r="AJ9" i="61" s="1"/>
  <c r="KQ227" i="40"/>
  <c r="JR227" i="40"/>
  <c r="JQ227" i="40"/>
  <c r="O41" i="70"/>
  <c r="JR259" i="40"/>
  <c r="KQ259" i="40"/>
  <c r="JQ259" i="40"/>
  <c r="KQ338" i="40"/>
  <c r="JR359" i="40"/>
  <c r="KQ359" i="40"/>
  <c r="JQ359" i="40"/>
  <c r="JR317" i="40"/>
  <c r="KQ317" i="40"/>
  <c r="JQ317" i="40"/>
  <c r="W15" i="70"/>
  <c r="W31" i="70"/>
  <c r="W51" i="70"/>
  <c r="KQ276" i="40"/>
  <c r="KQ326" i="40"/>
  <c r="JD615" i="40"/>
  <c r="KT157" i="40"/>
  <c r="KU156" i="40"/>
  <c r="I8" i="70" s="1"/>
  <c r="O40" i="70"/>
  <c r="AQ618" i="40"/>
  <c r="KQ356" i="40"/>
  <c r="KQ370" i="40"/>
  <c r="KQ378" i="40"/>
  <c r="KQ341" i="40"/>
  <c r="W30" i="70"/>
  <c r="K7" i="70" l="1"/>
  <c r="JQ661" i="40"/>
  <c r="JR686" i="40"/>
  <c r="AV17" i="71"/>
  <c r="AU40" i="70"/>
  <c r="JQ601" i="40"/>
  <c r="JQ674" i="40"/>
  <c r="JR669" i="40"/>
  <c r="AU41" i="70"/>
  <c r="JQ671" i="40"/>
  <c r="KQ674" i="40"/>
  <c r="KP652" i="40"/>
  <c r="JR626" i="40"/>
  <c r="AU35" i="70"/>
  <c r="KQ646" i="40"/>
  <c r="AU47" i="70"/>
  <c r="JQ621" i="40"/>
  <c r="KP641" i="40"/>
  <c r="JQ678" i="40"/>
  <c r="KP662" i="40"/>
  <c r="KP628" i="40"/>
  <c r="KP681" i="40"/>
  <c r="KP653" i="40"/>
  <c r="KP668" i="40"/>
  <c r="KP670" i="40"/>
  <c r="JQ665" i="40"/>
  <c r="KQ677" i="40"/>
  <c r="KQ678" i="40"/>
  <c r="JQ664" i="40"/>
  <c r="V56" i="59"/>
  <c r="JQ655" i="40"/>
  <c r="KQ669" i="40"/>
  <c r="AU68" i="70"/>
  <c r="JR672" i="40"/>
  <c r="JQ636" i="40"/>
  <c r="JR654" i="40"/>
  <c r="AU46" i="70"/>
  <c r="JR675" i="40"/>
  <c r="AU60" i="70"/>
  <c r="KQ659" i="40"/>
  <c r="KQ633" i="40"/>
  <c r="KQ621" i="40"/>
  <c r="KQ654" i="40"/>
  <c r="AU8" i="70"/>
  <c r="BQ8" i="70" s="1"/>
  <c r="KQ671" i="40"/>
  <c r="KP637" i="40"/>
  <c r="KQ644" i="40"/>
  <c r="KP657" i="40"/>
  <c r="KQ626" i="40"/>
  <c r="KQ627" i="40"/>
  <c r="AU34" i="70"/>
  <c r="KQ656" i="40"/>
  <c r="JQ610" i="40"/>
  <c r="N28" i="59"/>
  <c r="Y41" i="59" s="1"/>
  <c r="JQ641" i="40"/>
  <c r="AU43" i="70"/>
  <c r="AU22" i="70"/>
  <c r="KQ620" i="40"/>
  <c r="JQ677" i="40"/>
  <c r="KQ629" i="40"/>
  <c r="JR620" i="40"/>
  <c r="KQ609" i="40"/>
  <c r="AU9" i="70"/>
  <c r="BQ9" i="70" s="1"/>
  <c r="JQ629" i="40"/>
  <c r="KQ665" i="40"/>
  <c r="KQ614" i="40"/>
  <c r="KQ623" i="40"/>
  <c r="AU69" i="70"/>
  <c r="JR683" i="40"/>
  <c r="JQ683" i="40"/>
  <c r="KQ608" i="40"/>
  <c r="AU23" i="70"/>
  <c r="JR609" i="40"/>
  <c r="JR632" i="40"/>
  <c r="JQ668" i="40"/>
  <c r="JQ666" i="40"/>
  <c r="JQ684" i="40"/>
  <c r="JR684" i="40"/>
  <c r="JR687" i="40"/>
  <c r="JQ687" i="40"/>
  <c r="KP630" i="40"/>
  <c r="KP626" i="40"/>
  <c r="KP660" i="40"/>
  <c r="KP640" i="40"/>
  <c r="KP618" i="40"/>
  <c r="KP601" i="40"/>
  <c r="KP635" i="40"/>
  <c r="KP673" i="40"/>
  <c r="JR608" i="40"/>
  <c r="M20" i="59"/>
  <c r="KQ664" i="40"/>
  <c r="AU7" i="70"/>
  <c r="BQ7" i="70" s="1"/>
  <c r="KQ655" i="40"/>
  <c r="JQ632" i="40"/>
  <c r="N20" i="59"/>
  <c r="JR685" i="40"/>
  <c r="JQ685" i="40"/>
  <c r="KP648" i="40"/>
  <c r="KP667" i="40"/>
  <c r="KQ632" i="40"/>
  <c r="JR650" i="40"/>
  <c r="AU58" i="70"/>
  <c r="JR676" i="40"/>
  <c r="JQ614" i="40"/>
  <c r="JQ644" i="40"/>
  <c r="AU37" i="70"/>
  <c r="JR623" i="40"/>
  <c r="S65" i="70"/>
  <c r="JQ623" i="40"/>
  <c r="KQ676" i="40"/>
  <c r="AU28" i="70"/>
  <c r="O28" i="59"/>
  <c r="O41" i="59" s="1"/>
  <c r="JR617" i="40"/>
  <c r="M28" i="59"/>
  <c r="W41" i="59" s="1"/>
  <c r="KP665" i="40"/>
  <c r="KP642" i="40"/>
  <c r="KP671" i="40"/>
  <c r="KP605" i="40"/>
  <c r="KP655" i="40"/>
  <c r="S36" i="70"/>
  <c r="KP677" i="40"/>
  <c r="KP613" i="40"/>
  <c r="AC42" i="59"/>
  <c r="KT158" i="40"/>
  <c r="KU157" i="40"/>
  <c r="KQ615" i="40"/>
  <c r="JQ615" i="40"/>
  <c r="JR615" i="40"/>
  <c r="AU29" i="70"/>
  <c r="AU13" i="70"/>
  <c r="BQ13" i="70" s="1"/>
  <c r="T41" i="70"/>
  <c r="KQ649" i="40"/>
  <c r="JR649" i="40"/>
  <c r="JQ649" i="40"/>
  <c r="AU63" i="70"/>
  <c r="AA23" i="70"/>
  <c r="JQ658" i="40"/>
  <c r="JR658" i="40"/>
  <c r="KQ658" i="40"/>
  <c r="JQ635" i="40"/>
  <c r="JR635" i="40"/>
  <c r="KQ635" i="40"/>
  <c r="AU49" i="70"/>
  <c r="AA41" i="59"/>
  <c r="AA21" i="70"/>
  <c r="AB32" i="70"/>
  <c r="J7" i="70"/>
  <c r="J11" i="70"/>
  <c r="J12" i="70"/>
  <c r="J13" i="70"/>
  <c r="J15" i="70"/>
  <c r="J16" i="70"/>
  <c r="J17" i="70"/>
  <c r="J14" i="70"/>
  <c r="J9" i="70"/>
  <c r="J10" i="70"/>
  <c r="AA25" i="70"/>
  <c r="BH10" i="70"/>
  <c r="AB10" i="70"/>
  <c r="S24" i="70"/>
  <c r="AA34" i="70"/>
  <c r="R4" i="59"/>
  <c r="U41" i="59" s="1"/>
  <c r="H41" i="59"/>
  <c r="JR640" i="40"/>
  <c r="JQ640" i="40"/>
  <c r="KQ640" i="40"/>
  <c r="AU54" i="70"/>
  <c r="BE18" i="70"/>
  <c r="AA13" i="70"/>
  <c r="BH13" i="70"/>
  <c r="JR618" i="40"/>
  <c r="JQ618" i="40"/>
  <c r="KQ618" i="40"/>
  <c r="AU16" i="70"/>
  <c r="BQ16" i="70" s="1"/>
  <c r="AU32" i="70"/>
  <c r="T58" i="70"/>
  <c r="T44" i="70"/>
  <c r="AB53" i="70"/>
  <c r="AB55" i="70"/>
  <c r="KP624" i="40"/>
  <c r="T47" i="70"/>
  <c r="BE13" i="70"/>
  <c r="S13" i="70"/>
  <c r="KP611" i="40"/>
  <c r="JR670" i="40"/>
  <c r="JQ670" i="40"/>
  <c r="KQ670" i="40"/>
  <c r="S63" i="70"/>
  <c r="T28" i="70"/>
  <c r="AA66" i="70"/>
  <c r="T48" i="70"/>
  <c r="BE15" i="70"/>
  <c r="T15" i="70"/>
  <c r="S15" i="70"/>
  <c r="JR619" i="40"/>
  <c r="JQ619" i="40"/>
  <c r="KQ619" i="40"/>
  <c r="AU17" i="70"/>
  <c r="BQ17" i="70" s="1"/>
  <c r="AU33" i="70"/>
  <c r="BH7" i="70"/>
  <c r="AB7" i="70"/>
  <c r="AA7" i="70"/>
  <c r="S34" i="70"/>
  <c r="KQ642" i="40"/>
  <c r="JQ602" i="40"/>
  <c r="KQ602" i="40"/>
  <c r="JR602" i="40"/>
  <c r="KQ696" i="40"/>
  <c r="KQ697" i="40"/>
  <c r="KQ689" i="40"/>
  <c r="KQ692" i="40"/>
  <c r="O8" i="59"/>
  <c r="G45" i="59" s="1"/>
  <c r="KQ685" i="40"/>
  <c r="KQ683" i="40"/>
  <c r="KQ688" i="40"/>
  <c r="KQ684" i="40"/>
  <c r="KQ690" i="40"/>
  <c r="KQ693" i="40"/>
  <c r="KQ694" i="40"/>
  <c r="KQ691" i="40"/>
  <c r="P8" i="59"/>
  <c r="N8" i="59"/>
  <c r="F45" i="59" s="1"/>
  <c r="KQ695" i="40"/>
  <c r="KQ698" i="40"/>
  <c r="M8" i="59"/>
  <c r="E45" i="59" s="1"/>
  <c r="KQ699" i="40"/>
  <c r="KQ700" i="40"/>
  <c r="KQ682" i="40"/>
  <c r="KQ687" i="40"/>
  <c r="KQ686" i="40"/>
  <c r="AU39" i="70"/>
  <c r="KQ625" i="40"/>
  <c r="KQ603" i="40"/>
  <c r="KP604" i="40"/>
  <c r="JR647" i="40"/>
  <c r="JQ647" i="40"/>
  <c r="KQ647" i="40"/>
  <c r="AU61" i="70"/>
  <c r="S27" i="70"/>
  <c r="KP644" i="40"/>
  <c r="AA61" i="70"/>
  <c r="JR612" i="40"/>
  <c r="JQ612" i="40"/>
  <c r="KQ612" i="40"/>
  <c r="P20" i="59"/>
  <c r="P32" i="59" s="1"/>
  <c r="AC45" i="59" s="1"/>
  <c r="AU26" i="70"/>
  <c r="AU12" i="70"/>
  <c r="BQ12" i="70" s="1"/>
  <c r="AA36" i="70"/>
  <c r="JR645" i="40"/>
  <c r="JQ645" i="40"/>
  <c r="KQ645" i="40"/>
  <c r="AU59" i="70"/>
  <c r="JQ622" i="40"/>
  <c r="JR622" i="40"/>
  <c r="KQ622" i="40"/>
  <c r="AU36" i="70"/>
  <c r="KP678" i="40"/>
  <c r="S62" i="70"/>
  <c r="KP629" i="40"/>
  <c r="KP643" i="40"/>
  <c r="KP680" i="40"/>
  <c r="BH9" i="70"/>
  <c r="AA9" i="70"/>
  <c r="S39" i="70"/>
  <c r="AU24" i="70"/>
  <c r="KQ617" i="40"/>
  <c r="AB59" i="70"/>
  <c r="KQ666" i="40"/>
  <c r="KQ641" i="40"/>
  <c r="AA30" i="70"/>
  <c r="AB51" i="70"/>
  <c r="S37" i="70"/>
  <c r="S64" i="70"/>
  <c r="JR631" i="40"/>
  <c r="JQ631" i="40"/>
  <c r="KQ631" i="40"/>
  <c r="AU45" i="70"/>
  <c r="JR639" i="40"/>
  <c r="JQ639" i="40"/>
  <c r="KQ639" i="40"/>
  <c r="AU53" i="70"/>
  <c r="AA39" i="70"/>
  <c r="T69" i="70"/>
  <c r="AA27" i="70"/>
  <c r="AB56" i="70"/>
  <c r="AB58" i="70"/>
  <c r="AB54" i="70"/>
  <c r="O29" i="59"/>
  <c r="JR648" i="40"/>
  <c r="JQ648" i="40"/>
  <c r="KQ648" i="40"/>
  <c r="AU62" i="70"/>
  <c r="AA37" i="70"/>
  <c r="AB48" i="70"/>
  <c r="M29" i="59"/>
  <c r="S30" i="70"/>
  <c r="BE9" i="70"/>
  <c r="S9" i="70"/>
  <c r="T9" i="70"/>
  <c r="JQ660" i="40"/>
  <c r="JR660" i="40"/>
  <c r="KQ660" i="40"/>
  <c r="JQ657" i="40"/>
  <c r="JR657" i="40"/>
  <c r="KQ657" i="40"/>
  <c r="KQ667" i="40"/>
  <c r="JQ667" i="40"/>
  <c r="JR667" i="40"/>
  <c r="KP614" i="40"/>
  <c r="KP621" i="40"/>
  <c r="T60" i="70"/>
  <c r="KP607" i="40"/>
  <c r="KP632" i="40"/>
  <c r="JR643" i="40"/>
  <c r="KQ643" i="40"/>
  <c r="JQ643" i="40"/>
  <c r="AU57" i="70"/>
  <c r="KP634" i="40"/>
  <c r="AA62" i="70"/>
  <c r="JQ642" i="40"/>
  <c r="JR642" i="40"/>
  <c r="AU56" i="70"/>
  <c r="AB47" i="70"/>
  <c r="KP612" i="40"/>
  <c r="T54" i="70"/>
  <c r="P28" i="59"/>
  <c r="KP615" i="40"/>
  <c r="BH8" i="70"/>
  <c r="AB8" i="70"/>
  <c r="JR663" i="40"/>
  <c r="JQ663" i="40"/>
  <c r="KQ663" i="40"/>
  <c r="AB28" i="70"/>
  <c r="T52" i="70"/>
  <c r="KQ630" i="40"/>
  <c r="JR630" i="40"/>
  <c r="JQ630" i="40"/>
  <c r="AU44" i="70"/>
  <c r="KP606" i="40"/>
  <c r="AB56" i="59"/>
  <c r="AC56" i="59"/>
  <c r="KP617" i="40"/>
  <c r="KP650" i="40"/>
  <c r="KP651" i="40"/>
  <c r="AA24" i="70"/>
  <c r="KP609" i="40"/>
  <c r="AB46" i="70"/>
  <c r="JR638" i="40"/>
  <c r="JQ638" i="40"/>
  <c r="KQ638" i="40"/>
  <c r="AU52" i="70"/>
  <c r="Y56" i="59"/>
  <c r="X56" i="59"/>
  <c r="JR605" i="40"/>
  <c r="JQ605" i="40"/>
  <c r="KQ605" i="40"/>
  <c r="JR604" i="40"/>
  <c r="KQ604" i="40"/>
  <c r="JQ604" i="40"/>
  <c r="S66" i="70"/>
  <c r="R5" i="59"/>
  <c r="U42" i="59" s="1"/>
  <c r="H42" i="59"/>
  <c r="P42" i="59" s="1"/>
  <c r="BH11" i="70"/>
  <c r="AA11" i="70"/>
  <c r="JQ662" i="40"/>
  <c r="JR662" i="40"/>
  <c r="KQ662" i="40"/>
  <c r="S23" i="70"/>
  <c r="S68" i="70"/>
  <c r="T46" i="70"/>
  <c r="KQ634" i="40"/>
  <c r="JQ634" i="40"/>
  <c r="JR634" i="40"/>
  <c r="AU48" i="70"/>
  <c r="AU10" i="70"/>
  <c r="BQ10" i="70" s="1"/>
  <c r="BE8" i="70"/>
  <c r="T8" i="70"/>
  <c r="JR652" i="40"/>
  <c r="JQ652" i="40"/>
  <c r="KQ652" i="40"/>
  <c r="AU66" i="70"/>
  <c r="S22" i="70"/>
  <c r="T42" i="70"/>
  <c r="KP602" i="40"/>
  <c r="KP696" i="40"/>
  <c r="KP686" i="40"/>
  <c r="KP683" i="40"/>
  <c r="KP698" i="40"/>
  <c r="KP688" i="40"/>
  <c r="KP682" i="40"/>
  <c r="KP685" i="40"/>
  <c r="KP692" i="40"/>
  <c r="KP695" i="40"/>
  <c r="KP689" i="40"/>
  <c r="KP684" i="40"/>
  <c r="KP699" i="40"/>
  <c r="KP690" i="40"/>
  <c r="KP700" i="40"/>
  <c r="KP697" i="40"/>
  <c r="KP687" i="40"/>
  <c r="KP694" i="40"/>
  <c r="KP693" i="40"/>
  <c r="KP691" i="40"/>
  <c r="KP675" i="40"/>
  <c r="KP654" i="40"/>
  <c r="KP672" i="40"/>
  <c r="KP616" i="40"/>
  <c r="KP669" i="40"/>
  <c r="KP661" i="40"/>
  <c r="KP646" i="40"/>
  <c r="KP656" i="40"/>
  <c r="KP603" i="40"/>
  <c r="KP645" i="40"/>
  <c r="KP627" i="40"/>
  <c r="KP633" i="40"/>
  <c r="KP625" i="40"/>
  <c r="KP659" i="40"/>
  <c r="KP666" i="40"/>
  <c r="KP636" i="40"/>
  <c r="JQ653" i="40"/>
  <c r="JR653" i="40"/>
  <c r="KQ653" i="40"/>
  <c r="AU67" i="70"/>
  <c r="KP638" i="40"/>
  <c r="BH17" i="70"/>
  <c r="AA17" i="70"/>
  <c r="KP619" i="40"/>
  <c r="AB69" i="70"/>
  <c r="AA68" i="70"/>
  <c r="KP647" i="40"/>
  <c r="AB42" i="70"/>
  <c r="S67" i="70"/>
  <c r="AB41" i="70"/>
  <c r="KP622" i="40"/>
  <c r="KP610" i="40"/>
  <c r="BH12" i="70"/>
  <c r="AA12" i="70"/>
  <c r="BE12" i="70"/>
  <c r="S12" i="70"/>
  <c r="AA63" i="70"/>
  <c r="JR651" i="40"/>
  <c r="KQ651" i="40"/>
  <c r="JQ651" i="40"/>
  <c r="AU65" i="70"/>
  <c r="S35" i="70"/>
  <c r="KP649" i="40"/>
  <c r="AA43" i="70"/>
  <c r="JR624" i="40"/>
  <c r="JQ624" i="40"/>
  <c r="KQ624" i="40"/>
  <c r="AU38" i="70"/>
  <c r="KP658" i="40"/>
  <c r="KQ661" i="40"/>
  <c r="AA35" i="70"/>
  <c r="T55" i="70"/>
  <c r="AB50" i="70"/>
  <c r="AB20" i="70"/>
  <c r="KQ675" i="40"/>
  <c r="N29" i="59"/>
  <c r="T32" i="70"/>
  <c r="AA56" i="59"/>
  <c r="Z56" i="59"/>
  <c r="KP623" i="40"/>
  <c r="AA45" i="70"/>
  <c r="KQ610" i="40"/>
  <c r="AU31" i="70"/>
  <c r="KQ650" i="40"/>
  <c r="O12" i="61"/>
  <c r="AF12" i="61" s="1"/>
  <c r="AJ12" i="61" s="1"/>
  <c r="S40" i="70"/>
  <c r="AB31" i="70"/>
  <c r="BE7" i="70"/>
  <c r="T7" i="70"/>
  <c r="AB60" i="70"/>
  <c r="J8" i="70"/>
  <c r="K15" i="70"/>
  <c r="K16" i="70"/>
  <c r="K8" i="70"/>
  <c r="BH15" i="70"/>
  <c r="AB15" i="70"/>
  <c r="AA15" i="70"/>
  <c r="S21" i="70"/>
  <c r="JR606" i="40"/>
  <c r="KQ606" i="40"/>
  <c r="JQ606" i="40"/>
  <c r="AU20" i="70"/>
  <c r="S11" i="70"/>
  <c r="BE11" i="70"/>
  <c r="S33" i="70"/>
  <c r="T53" i="70"/>
  <c r="IL701" i="40"/>
  <c r="KP701" i="40" s="1"/>
  <c r="JD701" i="40"/>
  <c r="BH16" i="70"/>
  <c r="AB16" i="70"/>
  <c r="J69" i="70"/>
  <c r="J21" i="70"/>
  <c r="J22" i="70"/>
  <c r="J20" i="70"/>
  <c r="J28" i="70"/>
  <c r="J23" i="70"/>
  <c r="J25" i="70"/>
  <c r="J27" i="70"/>
  <c r="J26" i="70"/>
  <c r="J30" i="70"/>
  <c r="J24" i="70"/>
  <c r="J29" i="70"/>
  <c r="J32" i="70"/>
  <c r="J33" i="70"/>
  <c r="J31" i="70"/>
  <c r="J34" i="70"/>
  <c r="J35" i="70"/>
  <c r="J37" i="70"/>
  <c r="J36" i="70"/>
  <c r="J39" i="70"/>
  <c r="J38" i="70"/>
  <c r="J41" i="70"/>
  <c r="J40" i="70"/>
  <c r="J43" i="70"/>
  <c r="J45" i="70"/>
  <c r="J42" i="70"/>
  <c r="J44" i="70"/>
  <c r="J50" i="70"/>
  <c r="J47" i="70"/>
  <c r="J46" i="70"/>
  <c r="J49" i="70"/>
  <c r="J48" i="70"/>
  <c r="J53" i="70"/>
  <c r="J51" i="70"/>
  <c r="J52" i="70"/>
  <c r="J54" i="70"/>
  <c r="J55" i="70"/>
  <c r="J56" i="70"/>
  <c r="J57" i="70"/>
  <c r="J58" i="70"/>
  <c r="J59" i="70"/>
  <c r="J60" i="70"/>
  <c r="J61" i="70"/>
  <c r="J62" i="70"/>
  <c r="J65" i="70"/>
  <c r="J67" i="70"/>
  <c r="J64" i="70"/>
  <c r="J63" i="70"/>
  <c r="J68" i="70"/>
  <c r="J66" i="70"/>
  <c r="JQ637" i="40"/>
  <c r="JR637" i="40"/>
  <c r="KQ637" i="40"/>
  <c r="AU51" i="70"/>
  <c r="S43" i="70"/>
  <c r="BH18" i="70"/>
  <c r="AA65" i="70"/>
  <c r="AB44" i="70"/>
  <c r="JR679" i="40"/>
  <c r="JQ679" i="40"/>
  <c r="KQ679" i="40"/>
  <c r="JQ613" i="40"/>
  <c r="JR613" i="40"/>
  <c r="KQ613" i="40"/>
  <c r="AU27" i="70"/>
  <c r="AB38" i="70"/>
  <c r="JR628" i="40"/>
  <c r="JQ628" i="40"/>
  <c r="KQ628" i="40"/>
  <c r="AU42" i="70"/>
  <c r="AU14" i="70"/>
  <c r="BQ14" i="70" s="1"/>
  <c r="JR681" i="40"/>
  <c r="JQ681" i="40"/>
  <c r="KQ681" i="40"/>
  <c r="AU18" i="70"/>
  <c r="BQ18" i="70" s="1"/>
  <c r="AB29" i="70"/>
  <c r="S17" i="70"/>
  <c r="JR616" i="40"/>
  <c r="JQ616" i="40"/>
  <c r="KQ616" i="40"/>
  <c r="AU30" i="70"/>
  <c r="BE14" i="70"/>
  <c r="S14" i="70"/>
  <c r="T14" i="70"/>
  <c r="AA22" i="70"/>
  <c r="T59" i="70"/>
  <c r="KP679" i="40"/>
  <c r="AA33" i="70"/>
  <c r="KP663" i="40"/>
  <c r="KP608" i="40"/>
  <c r="S45" i="70"/>
  <c r="JR673" i="40"/>
  <c r="JQ673" i="40"/>
  <c r="KQ673" i="40"/>
  <c r="BH14" i="70"/>
  <c r="AB14" i="70"/>
  <c r="T57" i="70"/>
  <c r="T20" i="70"/>
  <c r="BE10" i="70"/>
  <c r="T10" i="70"/>
  <c r="AA67" i="70"/>
  <c r="T50" i="70"/>
  <c r="T31" i="70"/>
  <c r="AA40" i="70"/>
  <c r="AB52" i="70"/>
  <c r="JQ680" i="40"/>
  <c r="JR680" i="40"/>
  <c r="KQ680" i="40"/>
  <c r="JQ611" i="40"/>
  <c r="JR611" i="40"/>
  <c r="KQ611" i="40"/>
  <c r="AU25" i="70"/>
  <c r="O20" i="59"/>
  <c r="AU11" i="70"/>
  <c r="BQ11" i="70" s="1"/>
  <c r="KP631" i="40"/>
  <c r="KP639" i="40"/>
  <c r="AA64" i="70"/>
  <c r="KP674" i="40"/>
  <c r="T38" i="70"/>
  <c r="AB57" i="70"/>
  <c r="S61" i="70"/>
  <c r="T56" i="70"/>
  <c r="KP676" i="40"/>
  <c r="BE16" i="70"/>
  <c r="T16" i="70"/>
  <c r="KP620" i="40"/>
  <c r="JQ607" i="40"/>
  <c r="JR607" i="40"/>
  <c r="KQ607" i="40"/>
  <c r="AU21" i="70"/>
  <c r="AU15" i="70"/>
  <c r="BQ15" i="70" s="1"/>
  <c r="KQ668" i="40"/>
  <c r="T51" i="70"/>
  <c r="AU64" i="70"/>
  <c r="KQ672" i="40"/>
  <c r="KQ601" i="40"/>
  <c r="AU55" i="70"/>
  <c r="AU50" i="70"/>
  <c r="KQ636" i="40"/>
  <c r="N41" i="59" l="1"/>
  <c r="Y53" i="59" s="1"/>
  <c r="M41" i="59"/>
  <c r="W53" i="59" s="1"/>
  <c r="N32" i="59"/>
  <c r="Y45" i="59" s="1"/>
  <c r="M32" i="59"/>
  <c r="W45" i="59" s="1"/>
  <c r="O32" i="59"/>
  <c r="AA45" i="59" s="1"/>
  <c r="Q28" i="59"/>
  <c r="AC54" i="59"/>
  <c r="AB54" i="59"/>
  <c r="Z53" i="59"/>
  <c r="AA53" i="59"/>
  <c r="KT159" i="40"/>
  <c r="KU158" i="40"/>
  <c r="X53" i="59"/>
  <c r="L24" i="73"/>
  <c r="K24" i="73"/>
  <c r="H24" i="73"/>
  <c r="J24" i="73"/>
  <c r="JR701" i="40"/>
  <c r="JQ701" i="40"/>
  <c r="KQ701" i="40"/>
  <c r="G38" i="70"/>
  <c r="AC41" i="59"/>
  <c r="P41" i="59"/>
  <c r="W42" i="59"/>
  <c r="Q29" i="59"/>
  <c r="M42" i="59"/>
  <c r="AA42" i="59"/>
  <c r="O42" i="59"/>
  <c r="R8" i="59"/>
  <c r="U45" i="59" s="1"/>
  <c r="H45" i="59"/>
  <c r="Y42" i="59"/>
  <c r="N42" i="59"/>
  <c r="V53" i="59" l="1"/>
  <c r="Q32" i="59"/>
  <c r="KT160" i="40"/>
  <c r="KU159" i="40"/>
  <c r="AC53" i="59"/>
  <c r="AB53" i="59"/>
  <c r="L38" i="70"/>
  <c r="L28" i="70"/>
  <c r="L20" i="70"/>
  <c r="L21" i="70"/>
  <c r="L37" i="70"/>
  <c r="K30" i="70"/>
  <c r="K26" i="70"/>
  <c r="K33" i="70"/>
  <c r="L32" i="70"/>
  <c r="L35" i="70"/>
  <c r="L31" i="70"/>
  <c r="L22" i="70"/>
  <c r="K25" i="70"/>
  <c r="K23" i="70"/>
  <c r="L29" i="70"/>
  <c r="L27" i="70"/>
  <c r="K24" i="70"/>
  <c r="L34" i="70"/>
  <c r="K21" i="70"/>
  <c r="L26" i="70"/>
  <c r="L23" i="70"/>
  <c r="K29" i="70"/>
  <c r="K34" i="70"/>
  <c r="K37" i="70"/>
  <c r="L36" i="70"/>
  <c r="K20" i="70"/>
  <c r="K28" i="70"/>
  <c r="K31" i="70"/>
  <c r="L25" i="70"/>
  <c r="L33" i="70"/>
  <c r="K36" i="70"/>
  <c r="L24" i="70"/>
  <c r="K32" i="70"/>
  <c r="K35" i="70"/>
  <c r="K38" i="70"/>
  <c r="K22" i="70"/>
  <c r="K27" i="70"/>
  <c r="L30" i="70"/>
  <c r="K67" i="70"/>
  <c r="L44" i="70"/>
  <c r="L53" i="70"/>
  <c r="L59" i="70"/>
  <c r="L52" i="70"/>
  <c r="L66" i="70"/>
  <c r="K40" i="70"/>
  <c r="K61" i="70"/>
  <c r="K57" i="70"/>
  <c r="K69" i="70"/>
  <c r="L55" i="70"/>
  <c r="K45" i="70"/>
  <c r="K48" i="70"/>
  <c r="L49" i="70"/>
  <c r="K41" i="70"/>
  <c r="L41" i="70"/>
  <c r="L67" i="70"/>
  <c r="K44" i="70"/>
  <c r="K53" i="70"/>
  <c r="K62" i="70"/>
  <c r="K59" i="70"/>
  <c r="K51" i="70"/>
  <c r="L47" i="70"/>
  <c r="L40" i="70"/>
  <c r="L61" i="70"/>
  <c r="K50" i="70"/>
  <c r="K55" i="70"/>
  <c r="L45" i="70"/>
  <c r="K63" i="70"/>
  <c r="L42" i="70"/>
  <c r="L60" i="70"/>
  <c r="K49" i="70"/>
  <c r="K39" i="70"/>
  <c r="K43" i="70"/>
  <c r="L62" i="70"/>
  <c r="K64" i="70"/>
  <c r="L51" i="70"/>
  <c r="L58" i="70"/>
  <c r="L54" i="70"/>
  <c r="K65" i="70"/>
  <c r="L50" i="70"/>
  <c r="K46" i="70"/>
  <c r="K68" i="70"/>
  <c r="L56" i="70"/>
  <c r="L63" i="70"/>
  <c r="K42" i="70"/>
  <c r="K60" i="70"/>
  <c r="L39" i="70"/>
  <c r="L43" i="70"/>
  <c r="L64" i="70"/>
  <c r="K52" i="70"/>
  <c r="K66" i="70"/>
  <c r="K58" i="70"/>
  <c r="K54" i="70"/>
  <c r="L65" i="70"/>
  <c r="L57" i="70"/>
  <c r="L69" i="70"/>
  <c r="L46" i="70"/>
  <c r="L68" i="70"/>
  <c r="K56" i="70"/>
  <c r="L48" i="70"/>
  <c r="K47" i="70"/>
  <c r="V54" i="59"/>
  <c r="W54" i="59"/>
  <c r="X54" i="59"/>
  <c r="Y54" i="59"/>
  <c r="Z54" i="59"/>
  <c r="AA54" i="59"/>
  <c r="X24" i="73" l="1"/>
  <c r="V24" i="73"/>
  <c r="W24" i="73"/>
  <c r="T24" i="73"/>
  <c r="P24" i="73"/>
  <c r="N24" i="73"/>
  <c r="R24" i="73"/>
  <c r="Q24" i="73"/>
  <c r="KU160" i="40"/>
  <c r="KT161" i="40"/>
  <c r="KU161" i="40" l="1"/>
  <c r="KT162" i="40"/>
  <c r="KU162" i="40" l="1"/>
  <c r="KT163" i="40"/>
  <c r="KT164" i="40" l="1"/>
  <c r="KU163" i="40"/>
  <c r="KT165" i="40" l="1"/>
  <c r="KU164" i="40"/>
  <c r="KT166" i="40" l="1"/>
  <c r="KU165" i="40"/>
  <c r="KU166" i="40" l="1"/>
  <c r="KT167" i="40"/>
  <c r="KT168" i="40" l="1"/>
  <c r="KU167" i="40"/>
  <c r="KU168" i="40" l="1"/>
  <c r="KT169" i="40"/>
  <c r="KU169" i="40" l="1"/>
  <c r="KT170" i="40"/>
  <c r="KU170" i="40" l="1"/>
  <c r="KT171" i="40"/>
  <c r="KT172" i="40" l="1"/>
  <c r="KU171" i="40"/>
  <c r="KU172" i="40" l="1"/>
  <c r="KT173" i="40"/>
  <c r="KU173" i="40" l="1"/>
  <c r="KT174" i="40"/>
  <c r="KU174" i="40" l="1"/>
  <c r="KT175" i="40"/>
  <c r="KT176" i="40" l="1"/>
  <c r="KU175" i="40"/>
  <c r="KT177" i="40" l="1"/>
  <c r="KU176" i="40"/>
  <c r="KT178" i="40" l="1"/>
  <c r="KU177" i="40"/>
  <c r="KU178" i="40" l="1"/>
  <c r="KT179" i="40"/>
  <c r="KT180" i="40" l="1"/>
  <c r="KU179" i="40"/>
  <c r="KU180" i="40" l="1"/>
  <c r="KT181" i="40"/>
  <c r="KU181" i="40" l="1"/>
  <c r="I18" i="70" s="1"/>
  <c r="L18" i="70" s="1"/>
  <c r="KT182" i="40"/>
  <c r="KT183" i="40" l="1"/>
  <c r="KU182" i="40"/>
  <c r="J18" i="70"/>
  <c r="K18" i="70"/>
  <c r="KT184" i="40" l="1"/>
  <c r="KU183" i="40"/>
  <c r="KT185" i="40" l="1"/>
  <c r="KU184" i="40"/>
  <c r="KT186" i="40" l="1"/>
  <c r="KU185" i="40"/>
  <c r="KT187" i="40" l="1"/>
  <c r="KU187" i="40" s="1"/>
  <c r="KU186" i="40"/>
  <c r="KV110" i="40" s="1"/>
  <c r="KV114" i="40" l="1"/>
  <c r="KV112" i="40"/>
  <c r="KV115" i="40"/>
  <c r="KV117" i="40"/>
  <c r="KV116" i="40"/>
  <c r="KV118" i="40"/>
  <c r="KV111" i="40"/>
  <c r="KV109" i="40"/>
  <c r="KV113" i="40"/>
  <c r="JG209" i="40"/>
  <c r="JL209" i="40" s="1"/>
  <c r="JM209" i="40" s="1"/>
  <c r="JG201" i="40"/>
  <c r="JL201" i="40" s="1"/>
  <c r="JG210" i="40"/>
  <c r="JG211" i="40"/>
  <c r="JL211" i="40" s="1"/>
  <c r="JG212" i="40"/>
  <c r="JL212" i="40" s="1"/>
  <c r="JM212" i="40" s="1"/>
  <c r="JG213" i="40"/>
  <c r="JL213" i="40" s="1"/>
  <c r="JG214" i="40"/>
  <c r="JL214" i="40" s="1"/>
  <c r="JM214" i="40" s="1"/>
  <c r="JU214" i="40" s="1"/>
  <c r="JV214" i="40" s="1"/>
  <c r="JW214" i="40" s="1"/>
  <c r="JG215" i="40"/>
  <c r="JG216" i="40"/>
  <c r="JL216" i="40" s="1"/>
  <c r="JM216" i="40" s="1"/>
  <c r="JG217" i="40"/>
  <c r="JL217" i="40" s="1"/>
  <c r="JG218" i="40"/>
  <c r="JL218" i="40" s="1"/>
  <c r="JM218" i="40" s="1"/>
  <c r="U16" i="70" s="1"/>
  <c r="JG309" i="40"/>
  <c r="JG301" i="40"/>
  <c r="JL301" i="40" s="1"/>
  <c r="JG310" i="40"/>
  <c r="JL310" i="40" s="1"/>
  <c r="JM310" i="40" s="1"/>
  <c r="JG311" i="40"/>
  <c r="JL311" i="40" s="1"/>
  <c r="JG312" i="40"/>
  <c r="JG313" i="40"/>
  <c r="JL313" i="40" s="1"/>
  <c r="JG314" i="40"/>
  <c r="JL314" i="40" s="1"/>
  <c r="JM314" i="40" s="1"/>
  <c r="JG315" i="40"/>
  <c r="JL315" i="40" s="1"/>
  <c r="JG316" i="40"/>
  <c r="JG317" i="40"/>
  <c r="JL317" i="40" s="1"/>
  <c r="JG318" i="40"/>
  <c r="JG409" i="40"/>
  <c r="JG401" i="40"/>
  <c r="JG410" i="40"/>
  <c r="JL410" i="40" s="1"/>
  <c r="JG411" i="40"/>
  <c r="JL411" i="40" s="1"/>
  <c r="JG412" i="40"/>
  <c r="JL412" i="40" s="1"/>
  <c r="JG413" i="40"/>
  <c r="JG414" i="40"/>
  <c r="JL414" i="40" s="1"/>
  <c r="JG415" i="40"/>
  <c r="JL415" i="40" s="1"/>
  <c r="JM415" i="40" s="1"/>
  <c r="JG416" i="40"/>
  <c r="JL416" i="40" s="1"/>
  <c r="JG417" i="40"/>
  <c r="JG418" i="40"/>
  <c r="JL418" i="40" s="1"/>
  <c r="JG509" i="40"/>
  <c r="JL509" i="40" s="1"/>
  <c r="JM509" i="40" s="1"/>
  <c r="JG501" i="40"/>
  <c r="AP11" i="61" s="1"/>
  <c r="V11" i="61" s="1"/>
  <c r="JG510" i="40"/>
  <c r="JL510" i="40" s="1"/>
  <c r="JG511" i="40"/>
  <c r="JG512" i="40"/>
  <c r="JL512" i="40" s="1"/>
  <c r="JG513" i="40"/>
  <c r="JG514" i="40"/>
  <c r="JG515" i="40"/>
  <c r="JG516" i="40"/>
  <c r="JL516" i="40" s="1"/>
  <c r="JG517" i="40"/>
  <c r="JL517" i="40" s="1"/>
  <c r="JG518" i="40"/>
  <c r="JG206" i="40"/>
  <c r="JL206" i="40" s="1"/>
  <c r="JM206" i="40" s="1"/>
  <c r="JG306" i="40"/>
  <c r="JL306" i="40" s="1"/>
  <c r="JG406" i="40"/>
  <c r="JL406" i="40" s="1"/>
  <c r="JG506" i="40"/>
  <c r="JG207" i="40"/>
  <c r="JL207" i="40" s="1"/>
  <c r="JG208" i="40"/>
  <c r="JL208" i="40" s="1"/>
  <c r="JG219" i="40"/>
  <c r="JL219" i="40" s="1"/>
  <c r="JM219" i="40" s="1"/>
  <c r="U17" i="70" s="1"/>
  <c r="JG220" i="40"/>
  <c r="JG221" i="40"/>
  <c r="JL221" i="40" s="1"/>
  <c r="JM221" i="40" s="1"/>
  <c r="JG222" i="40"/>
  <c r="JL222" i="40" s="1"/>
  <c r="JG223" i="40"/>
  <c r="JL223" i="40" s="1"/>
  <c r="JG224" i="40"/>
  <c r="JG225" i="40"/>
  <c r="JL225" i="40" s="1"/>
  <c r="JG226" i="40"/>
  <c r="JG227" i="40"/>
  <c r="JL227" i="40" s="1"/>
  <c r="JM227" i="40" s="1"/>
  <c r="KJ227" i="40" s="1"/>
  <c r="JG228" i="40"/>
  <c r="JG229" i="40"/>
  <c r="JL229" i="40" s="1"/>
  <c r="JM229" i="40" s="1"/>
  <c r="JG230" i="40"/>
  <c r="JL230" i="40" s="1"/>
  <c r="JG231" i="40"/>
  <c r="JL231" i="40" s="1"/>
  <c r="JM231" i="40" s="1"/>
  <c r="JU231" i="40" s="1"/>
  <c r="JV231" i="40" s="1"/>
  <c r="JW231" i="40" s="1"/>
  <c r="JG232" i="40"/>
  <c r="JG233" i="40"/>
  <c r="JL233" i="40" s="1"/>
  <c r="JM233" i="40" s="1"/>
  <c r="JG234" i="40"/>
  <c r="JL234" i="40" s="1"/>
  <c r="JG235" i="40"/>
  <c r="JL235" i="40" s="1"/>
  <c r="JM235" i="40" s="1"/>
  <c r="KK235" i="40" s="1"/>
  <c r="JG236" i="40"/>
  <c r="JG237" i="40"/>
  <c r="JL237" i="40" s="1"/>
  <c r="JM237" i="40" s="1"/>
  <c r="JG238" i="40"/>
  <c r="JL238" i="40" s="1"/>
  <c r="JG239" i="40"/>
  <c r="JL239" i="40" s="1"/>
  <c r="JM239" i="40" s="1"/>
  <c r="U53" i="70" s="1"/>
  <c r="JG240" i="40"/>
  <c r="JG241" i="40"/>
  <c r="JL241" i="40" s="1"/>
  <c r="JM241" i="40" s="1"/>
  <c r="JG242" i="40"/>
  <c r="JL242" i="40" s="1"/>
  <c r="JG243" i="40"/>
  <c r="JL243" i="40" s="1"/>
  <c r="JM243" i="40" s="1"/>
  <c r="JS243" i="40" s="1"/>
  <c r="JG244" i="40"/>
  <c r="JG245" i="40"/>
  <c r="JL245" i="40" s="1"/>
  <c r="JM245" i="40" s="1"/>
  <c r="JG246" i="40"/>
  <c r="JL246" i="40" s="1"/>
  <c r="JG247" i="40"/>
  <c r="JL247" i="40" s="1"/>
  <c r="JM247" i="40" s="1"/>
  <c r="KI247" i="40" s="1"/>
  <c r="JG248" i="40"/>
  <c r="JG249" i="40"/>
  <c r="JL249" i="40" s="1"/>
  <c r="JM249" i="40" s="1"/>
  <c r="JG250" i="40"/>
  <c r="JL250" i="40" s="1"/>
  <c r="JG251" i="40"/>
  <c r="JL251" i="40" s="1"/>
  <c r="JM251" i="40" s="1"/>
  <c r="JS251" i="40" s="1"/>
  <c r="JG252" i="40"/>
  <c r="JG253" i="40"/>
  <c r="JL253" i="40" s="1"/>
  <c r="JM253" i="40" s="1"/>
  <c r="JG254" i="40"/>
  <c r="JL254" i="40" s="1"/>
  <c r="JG255" i="40"/>
  <c r="JL255" i="40" s="1"/>
  <c r="JM255" i="40" s="1"/>
  <c r="JU255" i="40" s="1"/>
  <c r="JV255" i="40" s="1"/>
  <c r="JW255" i="40" s="1"/>
  <c r="JG202" i="40"/>
  <c r="JG307" i="40"/>
  <c r="JL307" i="40" s="1"/>
  <c r="JG308" i="40"/>
  <c r="JL308" i="40" s="1"/>
  <c r="JG319" i="40"/>
  <c r="JG320" i="40"/>
  <c r="JL320" i="40" s="1"/>
  <c r="JG321" i="40"/>
  <c r="JL321" i="40" s="1"/>
  <c r="JG322" i="40"/>
  <c r="JL322" i="40" s="1"/>
  <c r="JG323" i="40"/>
  <c r="JG324" i="40"/>
  <c r="JL324" i="40" s="1"/>
  <c r="JG325" i="40"/>
  <c r="JL325" i="40" s="1"/>
  <c r="JG326" i="40"/>
  <c r="JL326" i="40" s="1"/>
  <c r="JG327" i="40"/>
  <c r="JG328" i="40"/>
  <c r="JL328" i="40" s="1"/>
  <c r="JG329" i="40"/>
  <c r="JL329" i="40" s="1"/>
  <c r="JG330" i="40"/>
  <c r="JL330" i="40" s="1"/>
  <c r="JM330" i="40" s="1"/>
  <c r="JG331" i="40"/>
  <c r="JG332" i="40"/>
  <c r="JL332" i="40" s="1"/>
  <c r="JG333" i="40"/>
  <c r="JL333" i="40" s="1"/>
  <c r="JG334" i="40"/>
  <c r="JL334" i="40" s="1"/>
  <c r="JM334" i="40" s="1"/>
  <c r="JG335" i="40"/>
  <c r="JG336" i="40"/>
  <c r="JG337" i="40"/>
  <c r="JL337" i="40" s="1"/>
  <c r="JG338" i="40"/>
  <c r="JL338" i="40" s="1"/>
  <c r="JG339" i="40"/>
  <c r="JG340" i="40"/>
  <c r="JL340" i="40" s="1"/>
  <c r="JG341" i="40"/>
  <c r="JL341" i="40" s="1"/>
  <c r="JG342" i="40"/>
  <c r="JL342" i="40" s="1"/>
  <c r="JG343" i="40"/>
  <c r="JG344" i="40"/>
  <c r="JL344" i="40" s="1"/>
  <c r="JG345" i="40"/>
  <c r="JL345" i="40" s="1"/>
  <c r="JG346" i="40"/>
  <c r="JL346" i="40" s="1"/>
  <c r="JG347" i="40"/>
  <c r="JG348" i="40"/>
  <c r="JL348" i="40" s="1"/>
  <c r="JG349" i="40"/>
  <c r="JL349" i="40" s="1"/>
  <c r="JG350" i="40"/>
  <c r="JL350" i="40" s="1"/>
  <c r="JG351" i="40"/>
  <c r="JG352" i="40"/>
  <c r="JL352" i="40" s="1"/>
  <c r="JG353" i="40"/>
  <c r="JL353" i="40" s="1"/>
  <c r="JG354" i="40"/>
  <c r="JL354" i="40" s="1"/>
  <c r="JG355" i="40"/>
  <c r="JG302" i="40"/>
  <c r="JL302" i="40" s="1"/>
  <c r="JG407" i="40"/>
  <c r="JL407" i="40" s="1"/>
  <c r="JG408" i="40"/>
  <c r="JL408" i="40" s="1"/>
  <c r="JM406" i="40"/>
  <c r="JG419" i="40"/>
  <c r="JL419" i="40" s="1"/>
  <c r="JM419" i="40" s="1"/>
  <c r="AK33" i="70" s="1"/>
  <c r="JG420" i="40"/>
  <c r="JL420" i="40" s="1"/>
  <c r="JG421" i="40"/>
  <c r="JL421" i="40" s="1"/>
  <c r="JM421" i="40" s="1"/>
  <c r="JG422" i="40"/>
  <c r="JG423" i="40"/>
  <c r="JL423" i="40" s="1"/>
  <c r="JM423" i="40" s="1"/>
  <c r="JU423" i="40" s="1"/>
  <c r="JV423" i="40" s="1"/>
  <c r="JW423" i="40" s="1"/>
  <c r="JG424" i="40"/>
  <c r="JL424" i="40" s="1"/>
  <c r="JG425" i="40"/>
  <c r="JL425" i="40" s="1"/>
  <c r="JM425" i="40" s="1"/>
  <c r="JG426" i="40"/>
  <c r="JG427" i="40"/>
  <c r="JL427" i="40" s="1"/>
  <c r="JM427" i="40" s="1"/>
  <c r="KI427" i="40" s="1"/>
  <c r="JG428" i="40"/>
  <c r="JL428" i="40" s="1"/>
  <c r="JG429" i="40"/>
  <c r="JL429" i="40" s="1"/>
  <c r="JM429" i="40" s="1"/>
  <c r="JG430" i="40"/>
  <c r="JG431" i="40"/>
  <c r="JL431" i="40" s="1"/>
  <c r="JM431" i="40" s="1"/>
  <c r="KJ431" i="40" s="1"/>
  <c r="JG432" i="40"/>
  <c r="JL432" i="40" s="1"/>
  <c r="JG433" i="40"/>
  <c r="JL433" i="40" s="1"/>
  <c r="JM433" i="40" s="1"/>
  <c r="JG434" i="40"/>
  <c r="JG435" i="40"/>
  <c r="JL435" i="40" s="1"/>
  <c r="JM435" i="40" s="1"/>
  <c r="KI435" i="40" s="1"/>
  <c r="JG436" i="40"/>
  <c r="JL436" i="40" s="1"/>
  <c r="JG437" i="40"/>
  <c r="JL437" i="40" s="1"/>
  <c r="JM437" i="40" s="1"/>
  <c r="JG438" i="40"/>
  <c r="JG439" i="40"/>
  <c r="JL439" i="40" s="1"/>
  <c r="JM439" i="40" s="1"/>
  <c r="JT439" i="40" s="1"/>
  <c r="JX439" i="40" s="1"/>
  <c r="JG440" i="40"/>
  <c r="JL440" i="40" s="1"/>
  <c r="JG441" i="40"/>
  <c r="JL441" i="40" s="1"/>
  <c r="JM441" i="40" s="1"/>
  <c r="JG442" i="40"/>
  <c r="JG443" i="40"/>
  <c r="JL443" i="40" s="1"/>
  <c r="JG444" i="40"/>
  <c r="JG445" i="40"/>
  <c r="JG446" i="40"/>
  <c r="JG447" i="40"/>
  <c r="JL447" i="40" s="1"/>
  <c r="JG448" i="40"/>
  <c r="JG449" i="40"/>
  <c r="JL449" i="40" s="1"/>
  <c r="JG450" i="40"/>
  <c r="JG451" i="40"/>
  <c r="JL451" i="40" s="1"/>
  <c r="JG452" i="40"/>
  <c r="JG453" i="40"/>
  <c r="JG454" i="40"/>
  <c r="JG455" i="40"/>
  <c r="JL455" i="40" s="1"/>
  <c r="JG402" i="40"/>
  <c r="JL402" i="40" s="1"/>
  <c r="JG507" i="40"/>
  <c r="JL507" i="40" s="1"/>
  <c r="JG508" i="40"/>
  <c r="JG519" i="40"/>
  <c r="JG520" i="40"/>
  <c r="JL520" i="40" s="1"/>
  <c r="JM520" i="40" s="1"/>
  <c r="AE40" i="69" s="1"/>
  <c r="JG521" i="40"/>
  <c r="JG522" i="40"/>
  <c r="JL522" i="40" s="1"/>
  <c r="JM522" i="40" s="1"/>
  <c r="JS522" i="40" s="1"/>
  <c r="JG523" i="40"/>
  <c r="JG524" i="40"/>
  <c r="JL524" i="40" s="1"/>
  <c r="JM524" i="40" s="1"/>
  <c r="JS524" i="40" s="1"/>
  <c r="JG525" i="40"/>
  <c r="JG526" i="40"/>
  <c r="JL526" i="40" s="1"/>
  <c r="JM526" i="40" s="1"/>
  <c r="JU526" i="40" s="1"/>
  <c r="JV526" i="40" s="1"/>
  <c r="JW526" i="40" s="1"/>
  <c r="JG527" i="40"/>
  <c r="JG528" i="40"/>
  <c r="JL528" i="40" s="1"/>
  <c r="JM528" i="40" s="1"/>
  <c r="JU528" i="40" s="1"/>
  <c r="JV528" i="40" s="1"/>
  <c r="JW528" i="40" s="1"/>
  <c r="JG529" i="40"/>
  <c r="JG530" i="40"/>
  <c r="JL530" i="40" s="1"/>
  <c r="JM530" i="40" s="1"/>
  <c r="JS530" i="40" s="1"/>
  <c r="JG531" i="40"/>
  <c r="JG532" i="40"/>
  <c r="JL532" i="40" s="1"/>
  <c r="JM532" i="40" s="1"/>
  <c r="JG533" i="40"/>
  <c r="JG534" i="40"/>
  <c r="JL534" i="40" s="1"/>
  <c r="JM534" i="40" s="1"/>
  <c r="KI534" i="40" s="1"/>
  <c r="JG535" i="40"/>
  <c r="JG536" i="40"/>
  <c r="JL536" i="40" s="1"/>
  <c r="JM536" i="40" s="1"/>
  <c r="JU536" i="40" s="1"/>
  <c r="JV536" i="40" s="1"/>
  <c r="JW536" i="40" s="1"/>
  <c r="JG537" i="40"/>
  <c r="JG538" i="40"/>
  <c r="JL538" i="40" s="1"/>
  <c r="JM538" i="40" s="1"/>
  <c r="JU538" i="40" s="1"/>
  <c r="JV538" i="40" s="1"/>
  <c r="JW538" i="40" s="1"/>
  <c r="JG539" i="40"/>
  <c r="JG540" i="40"/>
  <c r="JL540" i="40" s="1"/>
  <c r="JM540" i="40" s="1"/>
  <c r="JU540" i="40" s="1"/>
  <c r="JV540" i="40" s="1"/>
  <c r="JW540" i="40" s="1"/>
  <c r="JG541" i="40"/>
  <c r="JG542" i="40"/>
  <c r="JL542" i="40" s="1"/>
  <c r="JM542" i="40" s="1"/>
  <c r="KK542" i="40" s="1"/>
  <c r="JG543" i="40"/>
  <c r="JG544" i="40"/>
  <c r="JL544" i="40" s="1"/>
  <c r="JM544" i="40" s="1"/>
  <c r="JU544" i="40" s="1"/>
  <c r="JV544" i="40" s="1"/>
  <c r="JW544" i="40" s="1"/>
  <c r="JG545" i="40"/>
  <c r="JG546" i="40"/>
  <c r="JL546" i="40" s="1"/>
  <c r="JM546" i="40" s="1"/>
  <c r="JT546" i="40" s="1"/>
  <c r="JX546" i="40" s="1"/>
  <c r="JG547" i="40"/>
  <c r="JG548" i="40"/>
  <c r="JL548" i="40" s="1"/>
  <c r="JM548" i="40" s="1"/>
  <c r="JU548" i="40" s="1"/>
  <c r="JV548" i="40" s="1"/>
  <c r="JW548" i="40" s="1"/>
  <c r="JG549" i="40"/>
  <c r="JG550" i="40"/>
  <c r="JL550" i="40" s="1"/>
  <c r="JM550" i="40" s="1"/>
  <c r="JU550" i="40" s="1"/>
  <c r="JV550" i="40" s="1"/>
  <c r="JW550" i="40" s="1"/>
  <c r="JG551" i="40"/>
  <c r="JG552" i="40"/>
  <c r="JL552" i="40" s="1"/>
  <c r="JM552" i="40" s="1"/>
  <c r="JU552" i="40" s="1"/>
  <c r="JV552" i="40" s="1"/>
  <c r="JW552" i="40" s="1"/>
  <c r="JG553" i="40"/>
  <c r="JG554" i="40"/>
  <c r="JL554" i="40" s="1"/>
  <c r="JM554" i="40" s="1"/>
  <c r="KK554" i="40" s="1"/>
  <c r="JG555" i="40"/>
  <c r="JG502" i="40"/>
  <c r="JL502" i="40" s="1"/>
  <c r="AQ49" i="70"/>
  <c r="JG259" i="40"/>
  <c r="JL259" i="40" s="1"/>
  <c r="JM259" i="40" s="1"/>
  <c r="JU259" i="40" s="1"/>
  <c r="JV259" i="40" s="1"/>
  <c r="JW259" i="40" s="1"/>
  <c r="JG359" i="40"/>
  <c r="JL359" i="40" s="1"/>
  <c r="JG459" i="40"/>
  <c r="JL459" i="40" s="1"/>
  <c r="JG559" i="40"/>
  <c r="R44" i="66"/>
  <c r="Z44" i="66" s="1"/>
  <c r="V33" i="66"/>
  <c r="V67" i="66" s="1"/>
  <c r="S44" i="67"/>
  <c r="AA44" i="67" s="1"/>
  <c r="R48" i="69"/>
  <c r="Z48" i="69"/>
  <c r="V33" i="69"/>
  <c r="R33" i="69" s="1"/>
  <c r="Z33" i="69" s="1"/>
  <c r="Z55" i="69" s="1"/>
  <c r="R34" i="68"/>
  <c r="Z34" i="68" s="1"/>
  <c r="V33" i="68"/>
  <c r="V57" i="68" s="1"/>
  <c r="R46" i="68"/>
  <c r="Z46" i="68" s="1"/>
  <c r="R38" i="69"/>
  <c r="Z38" i="69" s="1"/>
  <c r="R48" i="68"/>
  <c r="Z48" i="68" s="1"/>
  <c r="S42" i="68"/>
  <c r="AA42" i="68" s="1"/>
  <c r="S34" i="69"/>
  <c r="AA34" i="69" s="1"/>
  <c r="W33" i="69"/>
  <c r="W53" i="69" s="1"/>
  <c r="S46" i="69"/>
  <c r="AA46" i="69" s="1"/>
  <c r="S36" i="69"/>
  <c r="AA36" i="69" s="1"/>
  <c r="JG281" i="40"/>
  <c r="JG256" i="40"/>
  <c r="JL256" i="40" s="1"/>
  <c r="JG581" i="40"/>
  <c r="JL581" i="40" s="1"/>
  <c r="JM581" i="40" s="1"/>
  <c r="JU581" i="40" s="1"/>
  <c r="JV581" i="40" s="1"/>
  <c r="JW581" i="40" s="1"/>
  <c r="JG556" i="40"/>
  <c r="JL556" i="40" s="1"/>
  <c r="JM556" i="40" s="1"/>
  <c r="JG381" i="40"/>
  <c r="JL381" i="40" s="1"/>
  <c r="JG481" i="40"/>
  <c r="JL481" i="40" s="1"/>
  <c r="JG280" i="40"/>
  <c r="JL280" i="40" s="1"/>
  <c r="JG380" i="40"/>
  <c r="JG480" i="40"/>
  <c r="JL480" i="40" s="1"/>
  <c r="JG580" i="40"/>
  <c r="JL580" i="40" s="1"/>
  <c r="JG279" i="40"/>
  <c r="JL279" i="40" s="1"/>
  <c r="JG379" i="40"/>
  <c r="JG479" i="40"/>
  <c r="JL479" i="40" s="1"/>
  <c r="JM479" i="40" s="1"/>
  <c r="JU479" i="40" s="1"/>
  <c r="JV479" i="40" s="1"/>
  <c r="JW479" i="40" s="1"/>
  <c r="JG579" i="40"/>
  <c r="JL579" i="40" s="1"/>
  <c r="JM579" i="40" s="1"/>
  <c r="JG277" i="40"/>
  <c r="JL277" i="40" s="1"/>
  <c r="JM277" i="40" s="1"/>
  <c r="JG377" i="40"/>
  <c r="JG477" i="40"/>
  <c r="JL477" i="40" s="1"/>
  <c r="JM477" i="40" s="1"/>
  <c r="JG577" i="40"/>
  <c r="JL577" i="40" s="1"/>
  <c r="JG278" i="40"/>
  <c r="JL278" i="40" s="1"/>
  <c r="JG378" i="40"/>
  <c r="JG478" i="40"/>
  <c r="JL478" i="40" s="1"/>
  <c r="JG578" i="40"/>
  <c r="JL578" i="40" s="1"/>
  <c r="JM578" i="40" s="1"/>
  <c r="KJ578" i="40" s="1"/>
  <c r="JG276" i="40"/>
  <c r="JL276" i="40" s="1"/>
  <c r="JG376" i="40"/>
  <c r="JL376" i="40" s="1"/>
  <c r="JM376" i="40" s="1"/>
  <c r="KK376" i="40" s="1"/>
  <c r="JG476" i="40"/>
  <c r="JL476" i="40" s="1"/>
  <c r="JG576" i="40"/>
  <c r="JL576" i="40" s="1"/>
  <c r="JM576" i="40" s="1"/>
  <c r="JT576" i="40" s="1"/>
  <c r="JX576" i="40" s="1"/>
  <c r="JG274" i="40"/>
  <c r="JL274" i="40" s="1"/>
  <c r="JM274" i="40" s="1"/>
  <c r="JG374" i="40"/>
  <c r="JG474" i="40"/>
  <c r="JL474" i="40" s="1"/>
  <c r="JM474" i="40" s="1"/>
  <c r="JG574" i="40"/>
  <c r="JL574" i="40" s="1"/>
  <c r="JG273" i="40"/>
  <c r="JL273" i="40" s="1"/>
  <c r="JG373" i="40"/>
  <c r="JG473" i="40"/>
  <c r="JL473" i="40" s="1"/>
  <c r="JG573" i="40"/>
  <c r="JL573" i="40" s="1"/>
  <c r="JG272" i="40"/>
  <c r="JL272" i="40" s="1"/>
  <c r="JG372" i="40"/>
  <c r="JG472" i="40"/>
  <c r="JL472" i="40" s="1"/>
  <c r="JG572" i="40"/>
  <c r="JL572" i="40" s="1"/>
  <c r="JG270" i="40"/>
  <c r="JL270" i="40" s="1"/>
  <c r="JG370" i="40"/>
  <c r="JG470" i="40"/>
  <c r="JL470" i="40" s="1"/>
  <c r="JM470" i="40" s="1"/>
  <c r="JG570" i="40"/>
  <c r="JL570" i="40" s="1"/>
  <c r="JM570" i="40" s="1"/>
  <c r="JU570" i="40" s="1"/>
  <c r="JV570" i="40" s="1"/>
  <c r="JW570" i="40" s="1"/>
  <c r="JG268" i="40"/>
  <c r="JL268" i="40" s="1"/>
  <c r="JG368" i="40"/>
  <c r="JL368" i="40" s="1"/>
  <c r="JM368" i="40" s="1"/>
  <c r="JS368" i="40" s="1"/>
  <c r="JG468" i="40"/>
  <c r="JL468" i="40" s="1"/>
  <c r="JM468" i="40" s="1"/>
  <c r="JG568" i="40"/>
  <c r="JL568" i="40" s="1"/>
  <c r="W38" i="58"/>
  <c r="W39" i="58" s="1"/>
  <c r="W44" i="58"/>
  <c r="JG266" i="40"/>
  <c r="JL266" i="40" s="1"/>
  <c r="JG366" i="40"/>
  <c r="JL366" i="40" s="1"/>
  <c r="JG466" i="40"/>
  <c r="JL466" i="40" s="1"/>
  <c r="JG566" i="40"/>
  <c r="JG265" i="40"/>
  <c r="JL265" i="40" s="1"/>
  <c r="JG365" i="40"/>
  <c r="JL365" i="40" s="1"/>
  <c r="JG465" i="40"/>
  <c r="JL465" i="40" s="1"/>
  <c r="JG565" i="40"/>
  <c r="JG264" i="40"/>
  <c r="JL264" i="40" s="1"/>
  <c r="JG364" i="40"/>
  <c r="JL364" i="40" s="1"/>
  <c r="JM364" i="40" s="1"/>
  <c r="JT364" i="40" s="1"/>
  <c r="JX364" i="40" s="1"/>
  <c r="JG464" i="40"/>
  <c r="JL464" i="40" s="1"/>
  <c r="JG564" i="40"/>
  <c r="JG263" i="40"/>
  <c r="JL263" i="40" s="1"/>
  <c r="JG363" i="40"/>
  <c r="JL363" i="40" s="1"/>
  <c r="JM363" i="40" s="1"/>
  <c r="JG463" i="40"/>
  <c r="JG563" i="40"/>
  <c r="JG262" i="40"/>
  <c r="JL262" i="40" s="1"/>
  <c r="JG362" i="40"/>
  <c r="JL362" i="40" s="1"/>
  <c r="JM362" i="40" s="1"/>
  <c r="JG462" i="40"/>
  <c r="JL462" i="40" s="1"/>
  <c r="JG562" i="40"/>
  <c r="JG261" i="40"/>
  <c r="JL261" i="40" s="1"/>
  <c r="JG361" i="40"/>
  <c r="JL361" i="40" s="1"/>
  <c r="JG461" i="40"/>
  <c r="JL461" i="40" s="1"/>
  <c r="JG561" i="40"/>
  <c r="JG260" i="40"/>
  <c r="JL260" i="40" s="1"/>
  <c r="JG360" i="40"/>
  <c r="JL360" i="40" s="1"/>
  <c r="JM360" i="40" s="1"/>
  <c r="JG460" i="40"/>
  <c r="JG560" i="40"/>
  <c r="U46" i="58"/>
  <c r="Q46" i="58" s="1"/>
  <c r="Q47" i="58" s="1"/>
  <c r="V46" i="58"/>
  <c r="V47" i="58" s="1"/>
  <c r="S46" i="58"/>
  <c r="AA46" i="58" s="1"/>
  <c r="AA47" i="58" s="1"/>
  <c r="AE46" i="58"/>
  <c r="AP8" i="61"/>
  <c r="V8" i="61" s="1"/>
  <c r="AQ8" i="61"/>
  <c r="W8" i="61" s="1"/>
  <c r="AR8" i="61"/>
  <c r="X8" i="61" s="1"/>
  <c r="AP9" i="61"/>
  <c r="V9" i="61" s="1"/>
  <c r="AQ9" i="61"/>
  <c r="W9" i="61" s="1"/>
  <c r="AR9" i="61"/>
  <c r="X9" i="61" s="1"/>
  <c r="JG258" i="40"/>
  <c r="JL258" i="40" s="1"/>
  <c r="JG358" i="40"/>
  <c r="JL358" i="40" s="1"/>
  <c r="JG458" i="40"/>
  <c r="JG558" i="40"/>
  <c r="JG257" i="40"/>
  <c r="JL257" i="40" s="1"/>
  <c r="JG357" i="40"/>
  <c r="JL357" i="40" s="1"/>
  <c r="JM357" i="40" s="1"/>
  <c r="JG457" i="40"/>
  <c r="JG557" i="40"/>
  <c r="JL557" i="40" s="1"/>
  <c r="JM557" i="40" s="1"/>
  <c r="JG356" i="40"/>
  <c r="JG456" i="40"/>
  <c r="JL456" i="40" s="1"/>
  <c r="JM456" i="40" s="1"/>
  <c r="F48" i="44"/>
  <c r="P48" i="44" s="1"/>
  <c r="I48" i="44"/>
  <c r="J48" i="44"/>
  <c r="F43" i="44"/>
  <c r="J43" i="44"/>
  <c r="I43" i="44"/>
  <c r="U33" i="71"/>
  <c r="U59" i="71" s="1"/>
  <c r="V33" i="71"/>
  <c r="V39" i="71" s="1"/>
  <c r="W33" i="71"/>
  <c r="S33" i="71" s="1"/>
  <c r="S69" i="71" s="1"/>
  <c r="U34" i="58"/>
  <c r="V34" i="58"/>
  <c r="R34" i="58" s="1"/>
  <c r="R35" i="58" s="1"/>
  <c r="S34" i="58"/>
  <c r="AA34" i="58" s="1"/>
  <c r="AA35" i="58" s="1"/>
  <c r="AE34" i="58"/>
  <c r="AE35" i="58" s="1"/>
  <c r="AI35" i="58" s="1"/>
  <c r="U40" i="58"/>
  <c r="V40" i="58"/>
  <c r="R40" i="58" s="1"/>
  <c r="S40" i="58"/>
  <c r="AA40" i="58" s="1"/>
  <c r="AA41" i="58" s="1"/>
  <c r="AE40" i="58"/>
  <c r="AE41" i="58" s="1"/>
  <c r="AI41" i="58" s="1"/>
  <c r="U44" i="58"/>
  <c r="V44" i="58"/>
  <c r="R44" i="58" s="1"/>
  <c r="AE44" i="58"/>
  <c r="AE45" i="58" s="1"/>
  <c r="AI45" i="58" s="1"/>
  <c r="JG204" i="40"/>
  <c r="JL204" i="40" s="1"/>
  <c r="JM204" i="40" s="1"/>
  <c r="JG304" i="40"/>
  <c r="JL304" i="40" s="1"/>
  <c r="JM304" i="40" s="1"/>
  <c r="JT304" i="40" s="1"/>
  <c r="JX304" i="40" s="1"/>
  <c r="JG404" i="40"/>
  <c r="JG504" i="40"/>
  <c r="JL504" i="40" s="1"/>
  <c r="JG203" i="40"/>
  <c r="JG303" i="40"/>
  <c r="JL303" i="40" s="1"/>
  <c r="JM303" i="40" s="1"/>
  <c r="JG403" i="40"/>
  <c r="JG503" i="40"/>
  <c r="JL503" i="40" s="1"/>
  <c r="JG205" i="40"/>
  <c r="JL205" i="40" s="1"/>
  <c r="JM205" i="40" s="1"/>
  <c r="JU205" i="40" s="1"/>
  <c r="JV205" i="40" s="1"/>
  <c r="JW205" i="40" s="1"/>
  <c r="JG305" i="40"/>
  <c r="JL305" i="40" s="1"/>
  <c r="JM305" i="40" s="1"/>
  <c r="JU305" i="40" s="1"/>
  <c r="JV305" i="40" s="1"/>
  <c r="JW305" i="40" s="1"/>
  <c r="JG405" i="40"/>
  <c r="JG505" i="40"/>
  <c r="JL505" i="40" s="1"/>
  <c r="W57" i="71"/>
  <c r="U38" i="58"/>
  <c r="Q38" i="58" s="1"/>
  <c r="Q39" i="58" s="1"/>
  <c r="V38" i="58"/>
  <c r="AE38" i="58"/>
  <c r="AE39" i="58" s="1"/>
  <c r="AI39" i="58" s="1"/>
  <c r="AF34" i="58"/>
  <c r="AF35" i="58" s="1"/>
  <c r="AG35" i="58" s="1"/>
  <c r="AF38" i="58"/>
  <c r="AF39" i="58" s="1"/>
  <c r="AG39" i="58" s="1"/>
  <c r="AF40" i="58"/>
  <c r="AF41" i="58" s="1"/>
  <c r="AG41" i="58" s="1"/>
  <c r="H38" i="70"/>
  <c r="M38" i="70"/>
  <c r="JG267" i="40"/>
  <c r="JL267" i="40" s="1"/>
  <c r="JM267" i="40" s="1"/>
  <c r="JG367" i="40"/>
  <c r="JG467" i="40"/>
  <c r="JL467" i="40" s="1"/>
  <c r="JG567" i="40"/>
  <c r="AF44" i="58"/>
  <c r="AF45" i="58" s="1"/>
  <c r="AG45" i="58" s="1"/>
  <c r="JM480" i="40"/>
  <c r="JU480" i="40" s="1"/>
  <c r="JV480" i="40" s="1"/>
  <c r="JW480" i="40" s="1"/>
  <c r="JG275" i="40"/>
  <c r="JL275" i="40" s="1"/>
  <c r="JG375" i="40"/>
  <c r="JG475" i="40"/>
  <c r="JL475" i="40" s="1"/>
  <c r="JG575" i="40"/>
  <c r="JL575" i="40" s="1"/>
  <c r="JM575" i="40" s="1"/>
  <c r="KJ575" i="40" s="1"/>
  <c r="JG269" i="40"/>
  <c r="JG369" i="40"/>
  <c r="JL369" i="40" s="1"/>
  <c r="JM369" i="40" s="1"/>
  <c r="JG469" i="40"/>
  <c r="JL469" i="40" s="1"/>
  <c r="JM469" i="40" s="1"/>
  <c r="JU469" i="40" s="1"/>
  <c r="JV469" i="40" s="1"/>
  <c r="JW469" i="40" s="1"/>
  <c r="JG569" i="40"/>
  <c r="JM473" i="40"/>
  <c r="KI473" i="40" s="1"/>
  <c r="JG271" i="40"/>
  <c r="JG371" i="40"/>
  <c r="JG471" i="40"/>
  <c r="JL471" i="40" s="1"/>
  <c r="JG571" i="40"/>
  <c r="JL571" i="40" s="1"/>
  <c r="JM571" i="40" s="1"/>
  <c r="U44" i="69"/>
  <c r="Q44" i="69" s="1"/>
  <c r="V44" i="69"/>
  <c r="S44" i="69"/>
  <c r="AA44" i="69" s="1"/>
  <c r="U33" i="69"/>
  <c r="Q33" i="69" s="1"/>
  <c r="U46" i="69"/>
  <c r="Q46" i="69" s="1"/>
  <c r="V46" i="69"/>
  <c r="AF46" i="58"/>
  <c r="AF47" i="58" s="1"/>
  <c r="AG47" i="58" s="1"/>
  <c r="U38" i="69"/>
  <c r="S38" i="69"/>
  <c r="AA38" i="69" s="1"/>
  <c r="U42" i="69"/>
  <c r="V42" i="69"/>
  <c r="S42" i="69"/>
  <c r="AA42" i="69" s="1"/>
  <c r="U40" i="69"/>
  <c r="Q40" i="69" s="1"/>
  <c r="V40" i="69"/>
  <c r="S40" i="69"/>
  <c r="AA40" i="69" s="1"/>
  <c r="U34" i="69"/>
  <c r="V34" i="69"/>
  <c r="R34" i="69" s="1"/>
  <c r="U48" i="69"/>
  <c r="S48" i="69"/>
  <c r="AA48" i="69" s="1"/>
  <c r="AE48" i="69"/>
  <c r="U36" i="69"/>
  <c r="Q36" i="69" s="1"/>
  <c r="V36" i="69"/>
  <c r="D39" i="44"/>
  <c r="F39" i="44"/>
  <c r="J39" i="44"/>
  <c r="I39" i="44"/>
  <c r="D24" i="44"/>
  <c r="F24" i="44"/>
  <c r="D32" i="44"/>
  <c r="F32" i="44"/>
  <c r="I32" i="44"/>
  <c r="J32" i="44"/>
  <c r="JG625" i="40"/>
  <c r="JF625" i="40" s="1"/>
  <c r="AE48" i="67"/>
  <c r="U48" i="67"/>
  <c r="U33" i="67"/>
  <c r="Q33" i="67" s="1"/>
  <c r="Q55" i="67" s="1"/>
  <c r="V48" i="67"/>
  <c r="R48" i="67" s="1"/>
  <c r="V33" i="67"/>
  <c r="R33" i="67" s="1"/>
  <c r="R69" i="67" s="1"/>
  <c r="S48" i="67"/>
  <c r="AA48" i="67" s="1"/>
  <c r="W33" i="67"/>
  <c r="W35" i="67" s="1"/>
  <c r="U38" i="67"/>
  <c r="Q38" i="67" s="1"/>
  <c r="V38" i="67"/>
  <c r="S38" i="67"/>
  <c r="AA38" i="67" s="1"/>
  <c r="D36" i="44"/>
  <c r="F36" i="44"/>
  <c r="J36" i="44"/>
  <c r="I36" i="44"/>
  <c r="R55" i="69"/>
  <c r="U42" i="67"/>
  <c r="V42" i="67"/>
  <c r="R42" i="67" s="1"/>
  <c r="S42" i="67"/>
  <c r="AA42" i="67" s="1"/>
  <c r="U36" i="66"/>
  <c r="V36" i="66"/>
  <c r="R36" i="66" s="1"/>
  <c r="S36" i="66"/>
  <c r="AA36" i="66" s="1"/>
  <c r="U33" i="66"/>
  <c r="U55" i="66" s="1"/>
  <c r="W33" i="66"/>
  <c r="S33" i="66" s="1"/>
  <c r="D41" i="44"/>
  <c r="F41" i="44"/>
  <c r="I41" i="44"/>
  <c r="J41" i="44"/>
  <c r="D54" i="44"/>
  <c r="F54" i="44"/>
  <c r="I54" i="44"/>
  <c r="J54" i="44"/>
  <c r="D34" i="44"/>
  <c r="F34" i="44"/>
  <c r="I34" i="44"/>
  <c r="J34" i="44"/>
  <c r="R69" i="69"/>
  <c r="D31" i="44"/>
  <c r="F31" i="44"/>
  <c r="J31" i="44"/>
  <c r="I31" i="44"/>
  <c r="D26" i="44"/>
  <c r="F26" i="44"/>
  <c r="R61" i="69"/>
  <c r="U44" i="67"/>
  <c r="V44" i="67"/>
  <c r="AB9" i="70"/>
  <c r="U34" i="67"/>
  <c r="V34" i="67"/>
  <c r="U38" i="68"/>
  <c r="Q38" i="68" s="1"/>
  <c r="V38" i="68"/>
  <c r="U33" i="68"/>
  <c r="U69" i="68" s="1"/>
  <c r="W33" i="68"/>
  <c r="S33" i="68" s="1"/>
  <c r="D51" i="44"/>
  <c r="F51" i="44"/>
  <c r="I51" i="44"/>
  <c r="J51" i="44"/>
  <c r="D50" i="44"/>
  <c r="F50" i="44"/>
  <c r="J50" i="44"/>
  <c r="I50" i="44"/>
  <c r="R57" i="69"/>
  <c r="D44" i="44"/>
  <c r="F44" i="44"/>
  <c r="J44" i="44"/>
  <c r="I44" i="44"/>
  <c r="U46" i="67"/>
  <c r="Q46" i="67" s="1"/>
  <c r="V46" i="67"/>
  <c r="S46" i="67"/>
  <c r="AA46" i="67" s="1"/>
  <c r="U42" i="66"/>
  <c r="V42" i="66"/>
  <c r="R42" i="66" s="1"/>
  <c r="S42" i="66"/>
  <c r="AA42" i="66" s="1"/>
  <c r="D21" i="44"/>
  <c r="F21" i="44"/>
  <c r="D25" i="44"/>
  <c r="F25" i="44"/>
  <c r="U46" i="66"/>
  <c r="Q46" i="66" s="1"/>
  <c r="V46" i="66"/>
  <c r="S46" i="66"/>
  <c r="AA46" i="66" s="1"/>
  <c r="U34" i="66"/>
  <c r="Q34" i="66" s="1"/>
  <c r="V34" i="66"/>
  <c r="R34" i="66" s="1"/>
  <c r="S34" i="66"/>
  <c r="AA34" i="66" s="1"/>
  <c r="U48" i="68"/>
  <c r="Q48" i="68" s="1"/>
  <c r="S48" i="68"/>
  <c r="AA48" i="68"/>
  <c r="AE48" i="68"/>
  <c r="U42" i="68"/>
  <c r="V42" i="68"/>
  <c r="R42" i="68" s="1"/>
  <c r="S36" i="67"/>
  <c r="AA36" i="67" s="1"/>
  <c r="JU314" i="40"/>
  <c r="JV314" i="40" s="1"/>
  <c r="JW314" i="40" s="1"/>
  <c r="D22" i="44"/>
  <c r="F22" i="44"/>
  <c r="D45" i="44"/>
  <c r="F45" i="44"/>
  <c r="J45" i="44"/>
  <c r="I45" i="44"/>
  <c r="U40" i="67"/>
  <c r="Q40" i="67" s="1"/>
  <c r="V40" i="67"/>
  <c r="S40" i="67"/>
  <c r="AA40" i="67" s="1"/>
  <c r="U36" i="68"/>
  <c r="V36" i="68"/>
  <c r="S36" i="68"/>
  <c r="AA36" i="68" s="1"/>
  <c r="AE38" i="66"/>
  <c r="U38" i="66"/>
  <c r="V38" i="66"/>
  <c r="S38" i="66"/>
  <c r="AA38" i="66" s="1"/>
  <c r="D37" i="44"/>
  <c r="F37" i="44"/>
  <c r="I37" i="44"/>
  <c r="J37" i="44"/>
  <c r="AF48" i="66"/>
  <c r="D27" i="44"/>
  <c r="F27" i="44"/>
  <c r="J27" i="44"/>
  <c r="I27" i="44"/>
  <c r="JU249" i="40"/>
  <c r="JV249" i="40" s="1"/>
  <c r="JW249" i="40" s="1"/>
  <c r="U48" i="66"/>
  <c r="Q48" i="66" s="1"/>
  <c r="V48" i="66"/>
  <c r="S48" i="66"/>
  <c r="AA48" i="66" s="1"/>
  <c r="AE48" i="66"/>
  <c r="U36" i="67"/>
  <c r="V36" i="67"/>
  <c r="U44" i="66"/>
  <c r="S44" i="66"/>
  <c r="AA44" i="66" s="1"/>
  <c r="D29" i="44"/>
  <c r="F29" i="44"/>
  <c r="I29" i="44"/>
  <c r="J29" i="44"/>
  <c r="D30" i="44"/>
  <c r="F30" i="44"/>
  <c r="J30" i="44"/>
  <c r="I30" i="44"/>
  <c r="AE44" i="68"/>
  <c r="U44" i="68"/>
  <c r="V44" i="68"/>
  <c r="U46" i="68"/>
  <c r="Q46" i="68" s="1"/>
  <c r="D52" i="44"/>
  <c r="F52" i="44"/>
  <c r="J52" i="44"/>
  <c r="I52" i="44"/>
  <c r="U34" i="68"/>
  <c r="S34" i="68"/>
  <c r="AA34" i="68" s="1"/>
  <c r="V55" i="69"/>
  <c r="V57" i="69"/>
  <c r="V65" i="69"/>
  <c r="V69" i="69"/>
  <c r="D23" i="44"/>
  <c r="P23" i="44" s="1"/>
  <c r="D47" i="44"/>
  <c r="F47" i="44"/>
  <c r="J47" i="44"/>
  <c r="I47" i="44"/>
  <c r="D38" i="44"/>
  <c r="F38" i="44"/>
  <c r="J38" i="44"/>
  <c r="I38" i="44"/>
  <c r="D33" i="44"/>
  <c r="F33" i="44"/>
  <c r="J33" i="44"/>
  <c r="I33" i="44"/>
  <c r="D46" i="44"/>
  <c r="F46" i="44"/>
  <c r="J46" i="44"/>
  <c r="I46" i="44"/>
  <c r="D20" i="44"/>
  <c r="F20" i="44"/>
  <c r="U40" i="68"/>
  <c r="V40" i="68"/>
  <c r="S40" i="68"/>
  <c r="AA40" i="68" s="1"/>
  <c r="D53" i="44"/>
  <c r="F53" i="44"/>
  <c r="J53" i="44"/>
  <c r="I53" i="44"/>
  <c r="AE40" i="66"/>
  <c r="U40" i="66"/>
  <c r="V40" i="66"/>
  <c r="S40" i="66"/>
  <c r="AA40" i="66" s="1"/>
  <c r="D28" i="44"/>
  <c r="F28" i="44"/>
  <c r="J28" i="44"/>
  <c r="I28" i="44"/>
  <c r="D42" i="44"/>
  <c r="F42" i="44"/>
  <c r="J42" i="44"/>
  <c r="I42" i="44"/>
  <c r="D49" i="44"/>
  <c r="P49" i="44" s="1"/>
  <c r="I49" i="44"/>
  <c r="J49" i="44"/>
  <c r="JU532" i="40"/>
  <c r="JV532" i="40" s="1"/>
  <c r="JW532" i="40" s="1"/>
  <c r="AF48" i="69"/>
  <c r="AF48" i="68"/>
  <c r="D35" i="44"/>
  <c r="F35" i="44"/>
  <c r="J35" i="44"/>
  <c r="I35" i="44"/>
  <c r="D40" i="44"/>
  <c r="F40" i="44"/>
  <c r="J40" i="44"/>
  <c r="I40" i="44"/>
  <c r="V49" i="68"/>
  <c r="V51" i="66"/>
  <c r="V59" i="66"/>
  <c r="JU524" i="40"/>
  <c r="JV524" i="40" s="1"/>
  <c r="JW524" i="40" s="1"/>
  <c r="JT524" i="40"/>
  <c r="JX524" i="40" s="1"/>
  <c r="AS38" i="70"/>
  <c r="KK524" i="40"/>
  <c r="KJ524" i="40"/>
  <c r="KI524" i="40"/>
  <c r="KI204" i="40"/>
  <c r="JU334" i="40"/>
  <c r="JV334" i="40" s="1"/>
  <c r="JW334" i="40" s="1"/>
  <c r="JT334" i="40"/>
  <c r="JX334" i="40" s="1"/>
  <c r="AC10" i="70"/>
  <c r="AC48" i="70"/>
  <c r="KI334" i="40"/>
  <c r="JS334" i="40"/>
  <c r="KK334" i="40"/>
  <c r="KJ334" i="40"/>
  <c r="JT544" i="40"/>
  <c r="JX544" i="40" s="1"/>
  <c r="AS58" i="70"/>
  <c r="JS544" i="40"/>
  <c r="KK544" i="40"/>
  <c r="KI544" i="40"/>
  <c r="JT314" i="40"/>
  <c r="JX314" i="40" s="1"/>
  <c r="AC28" i="70"/>
  <c r="KI314" i="40"/>
  <c r="JS314" i="40"/>
  <c r="KK314" i="40"/>
  <c r="KJ314" i="40"/>
  <c r="JU310" i="40"/>
  <c r="JV310" i="40" s="1"/>
  <c r="JW310" i="40" s="1"/>
  <c r="AC24" i="70"/>
  <c r="KK310" i="40"/>
  <c r="KJ310" i="40"/>
  <c r="KI310" i="40"/>
  <c r="JS310" i="40"/>
  <c r="JT310" i="40"/>
  <c r="JX310" i="40" s="1"/>
  <c r="JT536" i="40"/>
  <c r="JX536" i="40" s="1"/>
  <c r="AS50" i="70"/>
  <c r="JS536" i="40"/>
  <c r="KI536" i="40"/>
  <c r="KK536" i="40"/>
  <c r="JU509" i="40"/>
  <c r="JV509" i="40" s="1"/>
  <c r="JW509" i="40" s="1"/>
  <c r="JT509" i="40"/>
  <c r="JX509" i="40" s="1"/>
  <c r="AS23" i="70"/>
  <c r="JS509" i="40"/>
  <c r="KI509" i="40"/>
  <c r="KJ509" i="40"/>
  <c r="KK509" i="40"/>
  <c r="Z69" i="69"/>
  <c r="Z51" i="69"/>
  <c r="Z53" i="69"/>
  <c r="Z61" i="69"/>
  <c r="Z65" i="69"/>
  <c r="D19" i="44"/>
  <c r="F19" i="44"/>
  <c r="JT548" i="40"/>
  <c r="JX548" i="40" s="1"/>
  <c r="JT552" i="40"/>
  <c r="JX552" i="40" s="1"/>
  <c r="JT528" i="40"/>
  <c r="JX528" i="40" s="1"/>
  <c r="AS14" i="70"/>
  <c r="AS42" i="70"/>
  <c r="KI528" i="40"/>
  <c r="KK528" i="40"/>
  <c r="KJ528" i="40"/>
  <c r="AS66" i="70"/>
  <c r="KK552" i="40"/>
  <c r="KJ552" i="40"/>
  <c r="KI552" i="40"/>
  <c r="JU209" i="40"/>
  <c r="JV209" i="40" s="1"/>
  <c r="JW209" i="40" s="1"/>
  <c r="U23" i="70"/>
  <c r="KJ209" i="40"/>
  <c r="KK209" i="40"/>
  <c r="KI209" i="40"/>
  <c r="JS209" i="40"/>
  <c r="JT209" i="40"/>
  <c r="JX209" i="40" s="1"/>
  <c r="D18" i="44"/>
  <c r="O18" i="44" s="1"/>
  <c r="JU578" i="40"/>
  <c r="JV578" i="40" s="1"/>
  <c r="JW578" i="40" s="1"/>
  <c r="JT578" i="40"/>
  <c r="JX578" i="40" s="1"/>
  <c r="KK578" i="40"/>
  <c r="KI578" i="40"/>
  <c r="JU216" i="40"/>
  <c r="JV216" i="40" s="1"/>
  <c r="JW216" i="40" s="1"/>
  <c r="U30" i="70"/>
  <c r="KJ216" i="40"/>
  <c r="JS216" i="40"/>
  <c r="KI216" i="40"/>
  <c r="KK216" i="40"/>
  <c r="JT216" i="40"/>
  <c r="JX216" i="40" s="1"/>
  <c r="JU421" i="40"/>
  <c r="JV421" i="40" s="1"/>
  <c r="JW421" i="40" s="1"/>
  <c r="AK35" i="70"/>
  <c r="KJ421" i="40"/>
  <c r="KK421" i="40"/>
  <c r="JS421" i="40"/>
  <c r="KI421" i="40"/>
  <c r="JT421" i="40"/>
  <c r="JX421" i="40" s="1"/>
  <c r="JU245" i="40"/>
  <c r="JV245" i="40" s="1"/>
  <c r="JW245" i="40" s="1"/>
  <c r="JT245" i="40"/>
  <c r="JX245" i="40" s="1"/>
  <c r="U59" i="70"/>
  <c r="KK245" i="40"/>
  <c r="KI245" i="40"/>
  <c r="JS245" i="40"/>
  <c r="KJ245" i="40"/>
  <c r="JU520" i="40"/>
  <c r="JV520" i="40" s="1"/>
  <c r="JW520" i="40" s="1"/>
  <c r="JT520" i="40"/>
  <c r="JX520" i="40" s="1"/>
  <c r="AS34" i="70"/>
  <c r="JS520" i="40"/>
  <c r="KK520" i="40"/>
  <c r="KJ520" i="40"/>
  <c r="KI520" i="40"/>
  <c r="JT532" i="40"/>
  <c r="JX532" i="40" s="1"/>
  <c r="AS46" i="70"/>
  <c r="AS9" i="70"/>
  <c r="JS532" i="40"/>
  <c r="KI532" i="40"/>
  <c r="KJ532" i="40"/>
  <c r="KK532" i="40"/>
  <c r="JT540" i="40"/>
  <c r="JX540" i="40" s="1"/>
  <c r="AS54" i="70"/>
  <c r="JS540" i="40"/>
  <c r="KJ540" i="40"/>
  <c r="KI540" i="40"/>
  <c r="JU237" i="40"/>
  <c r="JV237" i="40" s="1"/>
  <c r="JW237" i="40" s="1"/>
  <c r="U51" i="70"/>
  <c r="KJ237" i="40"/>
  <c r="KK237" i="40"/>
  <c r="KI237" i="40"/>
  <c r="JS237" i="40"/>
  <c r="JT237" i="40"/>
  <c r="JX237" i="40" s="1"/>
  <c r="JT204" i="40"/>
  <c r="JX204" i="40" s="1"/>
  <c r="JU330" i="40"/>
  <c r="JV330" i="40" s="1"/>
  <c r="JW330" i="40" s="1"/>
  <c r="JT330" i="40"/>
  <c r="JX330" i="40" s="1"/>
  <c r="AC44" i="70"/>
  <c r="KK330" i="40"/>
  <c r="JS330" i="40"/>
  <c r="KJ330" i="40"/>
  <c r="KI330" i="40"/>
  <c r="JU576" i="40"/>
  <c r="JV576" i="40" s="1"/>
  <c r="JW576" i="40" s="1"/>
  <c r="KJ576" i="40"/>
  <c r="KI576" i="40"/>
  <c r="JS576" i="40"/>
  <c r="JU437" i="40"/>
  <c r="JV437" i="40" s="1"/>
  <c r="JW437" i="40" s="1"/>
  <c r="JT437" i="40"/>
  <c r="JX437" i="40" s="1"/>
  <c r="AK51" i="70"/>
  <c r="KJ437" i="40"/>
  <c r="KK437" i="40"/>
  <c r="JS437" i="40"/>
  <c r="KI437" i="40"/>
  <c r="AS62" i="70"/>
  <c r="KK548" i="40"/>
  <c r="JS548" i="40"/>
  <c r="KI548" i="40"/>
  <c r="KJ548" i="40"/>
  <c r="JT253" i="40"/>
  <c r="JX253" i="40" s="1"/>
  <c r="JX201" i="40"/>
  <c r="JT433" i="40"/>
  <c r="JX433" i="40" s="1"/>
  <c r="JT249" i="40"/>
  <c r="JX249" i="40" s="1"/>
  <c r="JX507" i="40"/>
  <c r="JT212" i="40"/>
  <c r="JX212" i="40" s="1"/>
  <c r="JX301" i="40"/>
  <c r="JT229" i="40"/>
  <c r="JX229" i="40" s="1"/>
  <c r="JU206" i="40"/>
  <c r="JV206" i="40" s="1"/>
  <c r="JW206" i="40" s="1"/>
  <c r="JT206" i="40"/>
  <c r="JX206" i="40" s="1"/>
  <c r="U20" i="70"/>
  <c r="KK206" i="40"/>
  <c r="JS206" i="40"/>
  <c r="KI206" i="40"/>
  <c r="KJ206" i="40"/>
  <c r="JT233" i="40"/>
  <c r="JX233" i="40" s="1"/>
  <c r="JU253" i="40"/>
  <c r="JV253" i="40" s="1"/>
  <c r="JW253" i="40" s="1"/>
  <c r="U67" i="70"/>
  <c r="KI253" i="40"/>
  <c r="KK253" i="40"/>
  <c r="KJ253" i="40"/>
  <c r="JS253" i="40"/>
  <c r="D17" i="44"/>
  <c r="F17" i="44"/>
  <c r="U63" i="70"/>
  <c r="KI249" i="40"/>
  <c r="JS249" i="40"/>
  <c r="KK249" i="40"/>
  <c r="KJ249" i="40"/>
  <c r="JU221" i="40"/>
  <c r="JV221" i="40" s="1"/>
  <c r="JW221" i="40" s="1"/>
  <c r="JT221" i="40"/>
  <c r="JX221" i="40" s="1"/>
  <c r="U35" i="70"/>
  <c r="KK221" i="40"/>
  <c r="JS221" i="40"/>
  <c r="KJ221" i="40"/>
  <c r="KI221" i="40"/>
  <c r="JU229" i="40"/>
  <c r="JV229" i="40" s="1"/>
  <c r="JW229" i="40" s="1"/>
  <c r="U43" i="70"/>
  <c r="KK229" i="40"/>
  <c r="JS229" i="40"/>
  <c r="KJ229" i="40"/>
  <c r="KI229" i="40"/>
  <c r="JU429" i="40"/>
  <c r="JV429" i="40" s="1"/>
  <c r="JW429" i="40" s="1"/>
  <c r="JT429" i="40"/>
  <c r="JX429" i="40" s="1"/>
  <c r="AK43" i="70"/>
  <c r="KI429" i="40"/>
  <c r="KK429" i="40"/>
  <c r="KJ429" i="40"/>
  <c r="JS429" i="40"/>
  <c r="JU415" i="40"/>
  <c r="JV415" i="40" s="1"/>
  <c r="JW415" i="40" s="1"/>
  <c r="JT415" i="40"/>
  <c r="JX415" i="40" s="1"/>
  <c r="AK29" i="70"/>
  <c r="AK13" i="70"/>
  <c r="KI415" i="40"/>
  <c r="KJ415" i="40"/>
  <c r="KK415" i="40"/>
  <c r="JS415" i="40"/>
  <c r="JU441" i="40"/>
  <c r="JV441" i="40" s="1"/>
  <c r="JW441" i="40" s="1"/>
  <c r="JT441" i="40"/>
  <c r="JX441" i="40" s="1"/>
  <c r="AK55" i="70"/>
  <c r="KI441" i="40"/>
  <c r="KJ441" i="40"/>
  <c r="KK441" i="40"/>
  <c r="JS441" i="40"/>
  <c r="JU212" i="40"/>
  <c r="JV212" i="40" s="1"/>
  <c r="JW212" i="40" s="1"/>
  <c r="U12" i="70"/>
  <c r="U26" i="70"/>
  <c r="KK212" i="40"/>
  <c r="KJ212" i="40"/>
  <c r="KI212" i="40"/>
  <c r="JS212" i="40"/>
  <c r="JU233" i="40"/>
  <c r="JV233" i="40" s="1"/>
  <c r="JW233" i="40" s="1"/>
  <c r="U47" i="70"/>
  <c r="KK233" i="40"/>
  <c r="JS233" i="40"/>
  <c r="KJ233" i="40"/>
  <c r="KI233" i="40"/>
  <c r="JU433" i="40"/>
  <c r="JV433" i="40" s="1"/>
  <c r="JW433" i="40" s="1"/>
  <c r="AK47" i="70"/>
  <c r="KK433" i="40"/>
  <c r="KJ433" i="40"/>
  <c r="KI433" i="40"/>
  <c r="JS433" i="40"/>
  <c r="JS479" i="40"/>
  <c r="KJ479" i="40"/>
  <c r="KK205" i="40"/>
  <c r="JU241" i="40"/>
  <c r="JV241" i="40" s="1"/>
  <c r="JW241" i="40" s="1"/>
  <c r="JT241" i="40"/>
  <c r="JX241" i="40" s="1"/>
  <c r="U55" i="70"/>
  <c r="KI241" i="40"/>
  <c r="KJ241" i="40"/>
  <c r="KK241" i="40"/>
  <c r="JS241" i="40"/>
  <c r="JU425" i="40"/>
  <c r="JV425" i="40" s="1"/>
  <c r="JW425" i="40" s="1"/>
  <c r="JT425" i="40"/>
  <c r="JX425" i="40" s="1"/>
  <c r="AK39" i="70"/>
  <c r="KI425" i="40"/>
  <c r="KJ425" i="40"/>
  <c r="KK425" i="40"/>
  <c r="JS425" i="40"/>
  <c r="K41" i="44"/>
  <c r="K32" i="44"/>
  <c r="F33" i="71"/>
  <c r="F43" i="71" s="1"/>
  <c r="G33" i="71"/>
  <c r="H33" i="71"/>
  <c r="I33" i="71"/>
  <c r="I51" i="71" s="1"/>
  <c r="J33" i="71"/>
  <c r="J67" i="71" s="1"/>
  <c r="K33" i="71"/>
  <c r="K71" i="71" s="1"/>
  <c r="L33" i="71"/>
  <c r="L45" i="71" s="1"/>
  <c r="M33" i="71"/>
  <c r="M45" i="71" s="1"/>
  <c r="N33" i="71"/>
  <c r="N37" i="71" s="1"/>
  <c r="O33" i="71"/>
  <c r="O45" i="71" s="1"/>
  <c r="F36" i="67"/>
  <c r="F33" i="67"/>
  <c r="F69" i="67" s="1"/>
  <c r="I38" i="58"/>
  <c r="I39" i="58" s="1"/>
  <c r="F34" i="68"/>
  <c r="F33" i="68"/>
  <c r="F59" i="68" s="1"/>
  <c r="F46" i="67"/>
  <c r="F44" i="66"/>
  <c r="F33" i="66"/>
  <c r="F51" i="66" s="1"/>
  <c r="G44" i="66"/>
  <c r="G33" i="66"/>
  <c r="H44" i="66"/>
  <c r="H33" i="66"/>
  <c r="I44" i="66"/>
  <c r="I33" i="66"/>
  <c r="I53" i="66" s="1"/>
  <c r="J33" i="66"/>
  <c r="J43" i="66" s="1"/>
  <c r="K44" i="66"/>
  <c r="K33" i="66"/>
  <c r="K53" i="66" s="1"/>
  <c r="L44" i="66"/>
  <c r="L33" i="66"/>
  <c r="L65" i="66" s="1"/>
  <c r="M44" i="66"/>
  <c r="M33" i="66"/>
  <c r="M53" i="66" s="1"/>
  <c r="N44" i="66"/>
  <c r="N33" i="66"/>
  <c r="N61" i="66" s="1"/>
  <c r="O44" i="66"/>
  <c r="O33" i="66"/>
  <c r="O67" i="66" s="1"/>
  <c r="F44" i="68"/>
  <c r="G44" i="68"/>
  <c r="G33" i="68"/>
  <c r="H44" i="68"/>
  <c r="H33" i="68"/>
  <c r="I44" i="68"/>
  <c r="I33" i="68"/>
  <c r="I57" i="68" s="1"/>
  <c r="J33" i="68"/>
  <c r="J35" i="68" s="1"/>
  <c r="K44" i="68"/>
  <c r="K33" i="68"/>
  <c r="K61" i="68" s="1"/>
  <c r="L44" i="68"/>
  <c r="L33" i="68"/>
  <c r="L51" i="68" s="1"/>
  <c r="M44" i="68"/>
  <c r="M33" i="68"/>
  <c r="M51" i="68" s="1"/>
  <c r="N44" i="68"/>
  <c r="N33" i="68"/>
  <c r="N55" i="68" s="1"/>
  <c r="O44" i="68"/>
  <c r="O33" i="68"/>
  <c r="O65" i="68" s="1"/>
  <c r="I34" i="69"/>
  <c r="I33" i="69"/>
  <c r="I63" i="69" s="1"/>
  <c r="I34" i="58"/>
  <c r="I35" i="58" s="1"/>
  <c r="I44" i="69"/>
  <c r="F38" i="69"/>
  <c r="F33" i="69"/>
  <c r="F71" i="69" s="1"/>
  <c r="F40" i="66"/>
  <c r="G40" i="66"/>
  <c r="H40" i="66"/>
  <c r="I40" i="66"/>
  <c r="K40" i="66"/>
  <c r="L40" i="66"/>
  <c r="L41" i="66" s="1"/>
  <c r="M40" i="66"/>
  <c r="N40" i="66"/>
  <c r="O40" i="66"/>
  <c r="F48" i="69"/>
  <c r="G48" i="69"/>
  <c r="G33" i="69"/>
  <c r="H48" i="69"/>
  <c r="H33" i="69"/>
  <c r="I48" i="69"/>
  <c r="J33" i="69"/>
  <c r="J35" i="69" s="1"/>
  <c r="K48" i="69"/>
  <c r="K33" i="69"/>
  <c r="K59" i="69" s="1"/>
  <c r="L48" i="69"/>
  <c r="L33" i="69"/>
  <c r="L51" i="69" s="1"/>
  <c r="M48" i="69"/>
  <c r="M33" i="69"/>
  <c r="M69" i="69" s="1"/>
  <c r="N48" i="69"/>
  <c r="N33" i="69"/>
  <c r="N65" i="69" s="1"/>
  <c r="O48" i="69"/>
  <c r="O33" i="69"/>
  <c r="O57" i="69" s="1"/>
  <c r="F40" i="69"/>
  <c r="G40" i="69"/>
  <c r="H40" i="69"/>
  <c r="I40" i="69"/>
  <c r="K40" i="69"/>
  <c r="L40" i="69"/>
  <c r="L41" i="69" s="1"/>
  <c r="M40" i="69"/>
  <c r="N40" i="69"/>
  <c r="O40" i="69"/>
  <c r="F34" i="58"/>
  <c r="F35" i="58" s="1"/>
  <c r="I34" i="68"/>
  <c r="F44" i="58"/>
  <c r="F45" i="58" s="1"/>
  <c r="H44" i="58"/>
  <c r="I44" i="58"/>
  <c r="I45" i="58" s="1"/>
  <c r="K44" i="58"/>
  <c r="K45" i="58" s="1"/>
  <c r="N44" i="58"/>
  <c r="N45" i="58" s="1"/>
  <c r="O44" i="58"/>
  <c r="O45" i="58" s="1"/>
  <c r="F48" i="67"/>
  <c r="G48" i="67"/>
  <c r="G33" i="67"/>
  <c r="H48" i="67"/>
  <c r="H33" i="67"/>
  <c r="I48" i="67"/>
  <c r="I33" i="67"/>
  <c r="I59" i="67" s="1"/>
  <c r="J33" i="67"/>
  <c r="J45" i="67" s="1"/>
  <c r="K48" i="67"/>
  <c r="K33" i="67"/>
  <c r="K69" i="67" s="1"/>
  <c r="L48" i="67"/>
  <c r="L33" i="67"/>
  <c r="L51" i="67" s="1"/>
  <c r="M48" i="67"/>
  <c r="M33" i="67"/>
  <c r="M53" i="67" s="1"/>
  <c r="N48" i="67"/>
  <c r="N33" i="67"/>
  <c r="N57" i="67" s="1"/>
  <c r="O48" i="67"/>
  <c r="O33" i="67"/>
  <c r="O63" i="67" s="1"/>
  <c r="F42" i="69"/>
  <c r="G42" i="69"/>
  <c r="H42" i="69"/>
  <c r="I42" i="69"/>
  <c r="K42" i="69"/>
  <c r="K43" i="69" s="1"/>
  <c r="L42" i="69"/>
  <c r="M42" i="69"/>
  <c r="N42" i="69"/>
  <c r="O42" i="69"/>
  <c r="O43" i="69" s="1"/>
  <c r="I38" i="66"/>
  <c r="I42" i="66"/>
  <c r="I46" i="68"/>
  <c r="I46" i="66"/>
  <c r="F42" i="68"/>
  <c r="G42" i="68"/>
  <c r="H42" i="68"/>
  <c r="I42" i="68"/>
  <c r="K42" i="68"/>
  <c r="L42" i="68"/>
  <c r="L43" i="68" s="1"/>
  <c r="M42" i="68"/>
  <c r="N42" i="68"/>
  <c r="O42" i="68"/>
  <c r="F38" i="68"/>
  <c r="F39" i="68" s="1"/>
  <c r="I38" i="68"/>
  <c r="I38" i="67"/>
  <c r="I39" i="67" s="1"/>
  <c r="F36" i="69"/>
  <c r="F34" i="66"/>
  <c r="I40" i="67"/>
  <c r="F36" i="66"/>
  <c r="F34" i="67"/>
  <c r="I42" i="67"/>
  <c r="F46" i="66"/>
  <c r="G46" i="66"/>
  <c r="H46" i="66"/>
  <c r="K46" i="66"/>
  <c r="K47" i="66" s="1"/>
  <c r="L46" i="66"/>
  <c r="M46" i="66"/>
  <c r="N46" i="66"/>
  <c r="O46" i="66"/>
  <c r="O47" i="66" s="1"/>
  <c r="I34" i="67"/>
  <c r="F46" i="69"/>
  <c r="G46" i="69"/>
  <c r="H46" i="69"/>
  <c r="I46" i="69"/>
  <c r="K46" i="69"/>
  <c r="K47" i="69" s="1"/>
  <c r="L46" i="69"/>
  <c r="M46" i="69"/>
  <c r="N46" i="69"/>
  <c r="O46" i="69"/>
  <c r="F38" i="67"/>
  <c r="F40" i="58"/>
  <c r="F41" i="58" s="1"/>
  <c r="G40" i="58"/>
  <c r="H40" i="58"/>
  <c r="I40" i="58"/>
  <c r="I41" i="58" s="1"/>
  <c r="M40" i="58"/>
  <c r="M41" i="58" s="1"/>
  <c r="N40" i="58"/>
  <c r="N41" i="58" s="1"/>
  <c r="O40" i="58"/>
  <c r="O41" i="58" s="1"/>
  <c r="F40" i="68"/>
  <c r="G40" i="68"/>
  <c r="H40" i="68"/>
  <c r="I40" i="68"/>
  <c r="K40" i="68"/>
  <c r="L40" i="68"/>
  <c r="L41" i="68" s="1"/>
  <c r="M40" i="68"/>
  <c r="N40" i="68"/>
  <c r="O40" i="68"/>
  <c r="F42" i="67"/>
  <c r="G42" i="67"/>
  <c r="H42" i="67"/>
  <c r="K42" i="67"/>
  <c r="L42" i="67"/>
  <c r="M42" i="67"/>
  <c r="N42" i="67"/>
  <c r="O42" i="67"/>
  <c r="F44" i="69"/>
  <c r="F45" i="69" s="1"/>
  <c r="I38" i="69"/>
  <c r="I36" i="66"/>
  <c r="F48" i="66"/>
  <c r="F46" i="58"/>
  <c r="F47" i="58" s="1"/>
  <c r="H46" i="58"/>
  <c r="I46" i="58"/>
  <c r="I47" i="58" s="1"/>
  <c r="K46" i="58"/>
  <c r="K47" i="58" s="1"/>
  <c r="N46" i="58"/>
  <c r="N47" i="58" s="1"/>
  <c r="O46" i="58"/>
  <c r="O47" i="58" s="1"/>
  <c r="F40" i="67"/>
  <c r="G40" i="67"/>
  <c r="H40" i="67"/>
  <c r="K40" i="67"/>
  <c r="K41" i="67" s="1"/>
  <c r="L40" i="67"/>
  <c r="M40" i="67"/>
  <c r="N40" i="67"/>
  <c r="O40" i="67"/>
  <c r="O41" i="67" s="1"/>
  <c r="F38" i="58"/>
  <c r="F39" i="58" s="1"/>
  <c r="H38" i="58"/>
  <c r="K38" i="58"/>
  <c r="K39" i="58" s="1"/>
  <c r="M38" i="58"/>
  <c r="M39" i="58" s="1"/>
  <c r="N38" i="58"/>
  <c r="N39" i="58" s="1"/>
  <c r="O38" i="58"/>
  <c r="O39" i="58" s="1"/>
  <c r="F42" i="66"/>
  <c r="G42" i="66"/>
  <c r="H42" i="66"/>
  <c r="K42" i="66"/>
  <c r="L42" i="66"/>
  <c r="M42" i="66"/>
  <c r="N42" i="66"/>
  <c r="N43" i="66" s="1"/>
  <c r="O42" i="66"/>
  <c r="F71" i="68"/>
  <c r="F36" i="68"/>
  <c r="F38" i="66"/>
  <c r="G38" i="66"/>
  <c r="H38" i="66"/>
  <c r="K38" i="66"/>
  <c r="L38" i="66"/>
  <c r="M38" i="66"/>
  <c r="N38" i="66"/>
  <c r="O38" i="66"/>
  <c r="F34" i="69"/>
  <c r="G34" i="69"/>
  <c r="H34" i="69"/>
  <c r="K34" i="69"/>
  <c r="L34" i="69"/>
  <c r="M34" i="69"/>
  <c r="N34" i="69"/>
  <c r="O34" i="69"/>
  <c r="F44" i="67"/>
  <c r="G44" i="67"/>
  <c r="H44" i="67"/>
  <c r="I44" i="67"/>
  <c r="K44" i="67"/>
  <c r="L44" i="67"/>
  <c r="M44" i="67"/>
  <c r="N44" i="67"/>
  <c r="O44" i="67"/>
  <c r="F48" i="68"/>
  <c r="G48" i="68"/>
  <c r="H48" i="68"/>
  <c r="I48" i="68"/>
  <c r="K48" i="68"/>
  <c r="L48" i="68"/>
  <c r="M48" i="68"/>
  <c r="N48" i="68"/>
  <c r="O48" i="68"/>
  <c r="F46" i="68"/>
  <c r="F42" i="58"/>
  <c r="F43" i="58" s="1"/>
  <c r="H42" i="58"/>
  <c r="I42" i="58"/>
  <c r="I43" i="58" s="1"/>
  <c r="K42" i="58"/>
  <c r="K43" i="58" s="1"/>
  <c r="N42" i="58"/>
  <c r="N43" i="58" s="1"/>
  <c r="O42" i="58"/>
  <c r="O43" i="58" s="1"/>
  <c r="I36" i="68"/>
  <c r="I46" i="67"/>
  <c r="L34" i="68"/>
  <c r="M34" i="68"/>
  <c r="G38" i="67"/>
  <c r="L38" i="67"/>
  <c r="K38" i="67"/>
  <c r="M38" i="67"/>
  <c r="G36" i="67"/>
  <c r="M44" i="69"/>
  <c r="G44" i="69"/>
  <c r="L44" i="69"/>
  <c r="K36" i="67"/>
  <c r="L36" i="67"/>
  <c r="M36" i="67"/>
  <c r="G36" i="66"/>
  <c r="K44" i="69"/>
  <c r="K36" i="66"/>
  <c r="M36" i="66"/>
  <c r="L36" i="66"/>
  <c r="K34" i="67"/>
  <c r="G46" i="68"/>
  <c r="G34" i="67"/>
  <c r="K46" i="68"/>
  <c r="M46" i="68"/>
  <c r="G34" i="66"/>
  <c r="L34" i="67"/>
  <c r="M34" i="67"/>
  <c r="G36" i="69"/>
  <c r="G38" i="68"/>
  <c r="L36" i="69"/>
  <c r="M34" i="66"/>
  <c r="L34" i="66"/>
  <c r="K36" i="69"/>
  <c r="L38" i="68"/>
  <c r="M38" i="68"/>
  <c r="M36" i="69"/>
  <c r="K38" i="68"/>
  <c r="AF48" i="67"/>
  <c r="G38" i="69"/>
  <c r="G46" i="67"/>
  <c r="G36" i="68"/>
  <c r="M46" i="67"/>
  <c r="L46" i="67"/>
  <c r="K36" i="68"/>
  <c r="M36" i="68"/>
  <c r="K38" i="69"/>
  <c r="G48" i="66"/>
  <c r="AF34" i="69"/>
  <c r="K46" i="67"/>
  <c r="L38" i="69"/>
  <c r="L36" i="68"/>
  <c r="L48" i="66"/>
  <c r="M48" i="66"/>
  <c r="M38" i="69"/>
  <c r="K48" i="66"/>
  <c r="G34" i="68"/>
  <c r="H34" i="68"/>
  <c r="K34" i="68"/>
  <c r="N34" i="68"/>
  <c r="O34" i="68"/>
  <c r="G34" i="58"/>
  <c r="H34" i="58"/>
  <c r="M34" i="58"/>
  <c r="M35" i="58" s="1"/>
  <c r="N34" i="58"/>
  <c r="N35" i="58" s="1"/>
  <c r="O34" i="58"/>
  <c r="O35" i="58" s="1"/>
  <c r="I48" i="66"/>
  <c r="I36" i="67"/>
  <c r="I36" i="69"/>
  <c r="I34" i="66"/>
  <c r="N46" i="67"/>
  <c r="H38" i="69"/>
  <c r="N36" i="67"/>
  <c r="H36" i="69"/>
  <c r="O38" i="69"/>
  <c r="O36" i="68"/>
  <c r="N36" i="66"/>
  <c r="O36" i="66"/>
  <c r="O48" i="66"/>
  <c r="O46" i="67"/>
  <c r="H48" i="66"/>
  <c r="H36" i="67"/>
  <c r="H36" i="66"/>
  <c r="N34" i="66"/>
  <c r="H34" i="66"/>
  <c r="O34" i="67"/>
  <c r="N48" i="66"/>
  <c r="H46" i="68"/>
  <c r="N34" i="67"/>
  <c r="K34" i="66"/>
  <c r="H46" i="67"/>
  <c r="O34" i="66"/>
  <c r="O36" i="69"/>
  <c r="H38" i="68"/>
  <c r="N44" i="69"/>
  <c r="H36" i="68"/>
  <c r="L46" i="68"/>
  <c r="N38" i="67"/>
  <c r="O36" i="67"/>
  <c r="H44" i="69"/>
  <c r="N38" i="69"/>
  <c r="N36" i="69"/>
  <c r="O44" i="69"/>
  <c r="N36" i="58"/>
  <c r="N46" i="68"/>
  <c r="O46" i="68"/>
  <c r="H38" i="67"/>
  <c r="O38" i="67"/>
  <c r="H34" i="67"/>
  <c r="O38" i="68"/>
  <c r="N38" i="68"/>
  <c r="N36" i="68"/>
  <c r="AE34" i="69" l="1"/>
  <c r="KI479" i="40"/>
  <c r="JT479" i="40"/>
  <c r="JX479" i="40" s="1"/>
  <c r="Z57" i="69"/>
  <c r="Z67" i="69"/>
  <c r="Z59" i="69"/>
  <c r="V63" i="69"/>
  <c r="V53" i="69"/>
  <c r="R63" i="69"/>
  <c r="JM476" i="40"/>
  <c r="JS476" i="40" s="1"/>
  <c r="KK479" i="40"/>
  <c r="JT205" i="40"/>
  <c r="JX205" i="40" s="1"/>
  <c r="AS68" i="70"/>
  <c r="Z63" i="69"/>
  <c r="Z71" i="69"/>
  <c r="W65" i="68"/>
  <c r="V71" i="69"/>
  <c r="V61" i="69"/>
  <c r="V49" i="69"/>
  <c r="R53" i="69"/>
  <c r="W63" i="66"/>
  <c r="W53" i="66"/>
  <c r="W41" i="66"/>
  <c r="V67" i="67"/>
  <c r="V55" i="67"/>
  <c r="KK305" i="40"/>
  <c r="W71" i="66"/>
  <c r="W61" i="66"/>
  <c r="W49" i="66"/>
  <c r="W39" i="66"/>
  <c r="AE34" i="66"/>
  <c r="JG653" i="40"/>
  <c r="JF653" i="40" s="1"/>
  <c r="JG607" i="40"/>
  <c r="JF607" i="40" s="1"/>
  <c r="JG637" i="40"/>
  <c r="JF637" i="40" s="1"/>
  <c r="W47" i="66"/>
  <c r="W69" i="66"/>
  <c r="W57" i="66"/>
  <c r="W37" i="66"/>
  <c r="AF40" i="66"/>
  <c r="KJ570" i="40"/>
  <c r="KK576" i="40"/>
  <c r="KK540" i="40"/>
  <c r="KK364" i="40"/>
  <c r="JS578" i="40"/>
  <c r="JS552" i="40"/>
  <c r="JS528" i="40"/>
  <c r="KJ536" i="40"/>
  <c r="KJ544" i="40"/>
  <c r="W65" i="66"/>
  <c r="W55" i="66"/>
  <c r="W45" i="66"/>
  <c r="KI304" i="40"/>
  <c r="J49" i="69"/>
  <c r="N37" i="69"/>
  <c r="K35" i="66"/>
  <c r="O37" i="66"/>
  <c r="JT570" i="40"/>
  <c r="JX570" i="40" s="1"/>
  <c r="KJ364" i="40"/>
  <c r="W47" i="68"/>
  <c r="KJ305" i="40"/>
  <c r="L57" i="69"/>
  <c r="KK570" i="40"/>
  <c r="W45" i="68"/>
  <c r="L65" i="68"/>
  <c r="AF40" i="69"/>
  <c r="F49" i="68"/>
  <c r="JS570" i="40"/>
  <c r="KI364" i="40"/>
  <c r="W63" i="68"/>
  <c r="U59" i="69"/>
  <c r="JM365" i="40"/>
  <c r="JT365" i="40" s="1"/>
  <c r="JX365" i="40" s="1"/>
  <c r="AF44" i="68"/>
  <c r="L37" i="68"/>
  <c r="W57" i="68"/>
  <c r="W37" i="68"/>
  <c r="V65" i="68"/>
  <c r="W53" i="68"/>
  <c r="J71" i="67"/>
  <c r="U69" i="67"/>
  <c r="R57" i="67"/>
  <c r="R59" i="67"/>
  <c r="V63" i="67"/>
  <c r="V53" i="67"/>
  <c r="V37" i="69"/>
  <c r="KI231" i="40"/>
  <c r="V71" i="67"/>
  <c r="V61" i="67"/>
  <c r="V51" i="67"/>
  <c r="R53" i="67"/>
  <c r="R71" i="67"/>
  <c r="AN39" i="58"/>
  <c r="U69" i="70"/>
  <c r="KI530" i="40"/>
  <c r="V69" i="67"/>
  <c r="V59" i="67"/>
  <c r="M55" i="66"/>
  <c r="N61" i="69"/>
  <c r="KJ259" i="40"/>
  <c r="KK214" i="40"/>
  <c r="KK247" i="40"/>
  <c r="AS44" i="70"/>
  <c r="KI522" i="40"/>
  <c r="O69" i="66"/>
  <c r="L41" i="71"/>
  <c r="I65" i="69"/>
  <c r="U61" i="70"/>
  <c r="KK239" i="40"/>
  <c r="KI538" i="40"/>
  <c r="AS36" i="70"/>
  <c r="KJ546" i="40"/>
  <c r="JT530" i="40"/>
  <c r="JX530" i="40" s="1"/>
  <c r="O59" i="66"/>
  <c r="N53" i="68"/>
  <c r="K63" i="66"/>
  <c r="J57" i="69"/>
  <c r="L39" i="71"/>
  <c r="KJ255" i="40"/>
  <c r="JT239" i="40"/>
  <c r="JX239" i="40" s="1"/>
  <c r="KI554" i="40"/>
  <c r="JS581" i="40"/>
  <c r="JS546" i="40"/>
  <c r="V65" i="67"/>
  <c r="V57" i="67"/>
  <c r="W69" i="68"/>
  <c r="W55" i="68"/>
  <c r="W41" i="68"/>
  <c r="R51" i="69"/>
  <c r="R59" i="69"/>
  <c r="JM574" i="40"/>
  <c r="KI574" i="40" s="1"/>
  <c r="JM272" i="40"/>
  <c r="JT272" i="40" s="1"/>
  <c r="JX272" i="40" s="1"/>
  <c r="KJ231" i="40"/>
  <c r="U45" i="70"/>
  <c r="U41" i="70"/>
  <c r="KI214" i="40"/>
  <c r="KI255" i="40"/>
  <c r="U7" i="70"/>
  <c r="JS247" i="40"/>
  <c r="JT247" i="40"/>
  <c r="JX247" i="40" s="1"/>
  <c r="JS239" i="40"/>
  <c r="JU239" i="40"/>
  <c r="JV239" i="40" s="1"/>
  <c r="JW239" i="40" s="1"/>
  <c r="KJ530" i="40"/>
  <c r="JU530" i="40"/>
  <c r="JV530" i="40" s="1"/>
  <c r="JW530" i="40" s="1"/>
  <c r="KK538" i="40"/>
  <c r="JS554" i="40"/>
  <c r="JU554" i="40"/>
  <c r="JV554" i="40" s="1"/>
  <c r="JW554" i="40" s="1"/>
  <c r="KJ522" i="40"/>
  <c r="JT522" i="40"/>
  <c r="JX522" i="40" s="1"/>
  <c r="JT538" i="40"/>
  <c r="JX538" i="40" s="1"/>
  <c r="KK546" i="40"/>
  <c r="JU546" i="40"/>
  <c r="JV546" i="40" s="1"/>
  <c r="JW546" i="40" s="1"/>
  <c r="JM461" i="40"/>
  <c r="JT461" i="40" s="1"/>
  <c r="JX461" i="40" s="1"/>
  <c r="K59" i="67"/>
  <c r="JS231" i="40"/>
  <c r="JT231" i="40"/>
  <c r="JX231" i="40" s="1"/>
  <c r="JT219" i="40"/>
  <c r="JX219" i="40" s="1"/>
  <c r="JS214" i="40"/>
  <c r="U28" i="70"/>
  <c r="KK255" i="40"/>
  <c r="JT255" i="40"/>
  <c r="JX255" i="40" s="1"/>
  <c r="KJ247" i="40"/>
  <c r="JU247" i="40"/>
  <c r="JV247" i="40" s="1"/>
  <c r="JW247" i="40" s="1"/>
  <c r="KI239" i="40"/>
  <c r="KK530" i="40"/>
  <c r="KJ538" i="40"/>
  <c r="AS52" i="70"/>
  <c r="KJ554" i="40"/>
  <c r="KI542" i="40"/>
  <c r="KK522" i="40"/>
  <c r="JU522" i="40"/>
  <c r="JV522" i="40" s="1"/>
  <c r="JW522" i="40" s="1"/>
  <c r="JT243" i="40"/>
  <c r="JX243" i="40" s="1"/>
  <c r="JS469" i="40"/>
  <c r="AS60" i="70"/>
  <c r="JT554" i="40"/>
  <c r="JX554" i="40" s="1"/>
  <c r="S47" i="58"/>
  <c r="M39" i="71"/>
  <c r="KK231" i="40"/>
  <c r="KJ214" i="40"/>
  <c r="JS255" i="40"/>
  <c r="JT218" i="40"/>
  <c r="JX218" i="40" s="1"/>
  <c r="KJ239" i="40"/>
  <c r="JT214" i="40"/>
  <c r="JX214" i="40" s="1"/>
  <c r="KJ526" i="40"/>
  <c r="JS538" i="40"/>
  <c r="AS10" i="70"/>
  <c r="JT235" i="40"/>
  <c r="JX235" i="40" s="1"/>
  <c r="KI546" i="40"/>
  <c r="JM268" i="40"/>
  <c r="KJ268" i="40" s="1"/>
  <c r="S38" i="58"/>
  <c r="AA38" i="58" s="1"/>
  <c r="AA39" i="58" s="1"/>
  <c r="O65" i="66"/>
  <c r="K59" i="66"/>
  <c r="K65" i="66"/>
  <c r="L63" i="68"/>
  <c r="M67" i="66"/>
  <c r="J51" i="69"/>
  <c r="J63" i="69"/>
  <c r="L67" i="71"/>
  <c r="N51" i="69"/>
  <c r="F55" i="69"/>
  <c r="U39" i="67"/>
  <c r="O71" i="66"/>
  <c r="K61" i="66"/>
  <c r="J71" i="69"/>
  <c r="J47" i="69"/>
  <c r="L35" i="71"/>
  <c r="L67" i="69"/>
  <c r="N57" i="69"/>
  <c r="I57" i="69"/>
  <c r="F51" i="69"/>
  <c r="W55" i="67"/>
  <c r="K55" i="66"/>
  <c r="M59" i="66"/>
  <c r="J45" i="68"/>
  <c r="O63" i="66"/>
  <c r="K69" i="66"/>
  <c r="M63" i="66"/>
  <c r="J39" i="68"/>
  <c r="J55" i="69"/>
  <c r="J39" i="69"/>
  <c r="L53" i="71"/>
  <c r="L49" i="71"/>
  <c r="L59" i="69"/>
  <c r="N67" i="69"/>
  <c r="I55" i="69"/>
  <c r="U63" i="67"/>
  <c r="W45" i="67"/>
  <c r="V43" i="69"/>
  <c r="Q51" i="67"/>
  <c r="U55" i="67"/>
  <c r="W65" i="67"/>
  <c r="W37" i="67"/>
  <c r="W61" i="69"/>
  <c r="Q71" i="67"/>
  <c r="U71" i="67"/>
  <c r="U53" i="67"/>
  <c r="U49" i="68"/>
  <c r="W57" i="67"/>
  <c r="V35" i="66"/>
  <c r="O39" i="71"/>
  <c r="O53" i="66"/>
  <c r="N55" i="67"/>
  <c r="M57" i="66"/>
  <c r="J55" i="68"/>
  <c r="N47" i="71"/>
  <c r="J53" i="69"/>
  <c r="J41" i="69"/>
  <c r="O55" i="71"/>
  <c r="L65" i="69"/>
  <c r="N59" i="69"/>
  <c r="N53" i="69"/>
  <c r="N39" i="69"/>
  <c r="M49" i="66"/>
  <c r="L39" i="69"/>
  <c r="M35" i="66"/>
  <c r="F69" i="69"/>
  <c r="F69" i="68"/>
  <c r="M43" i="66"/>
  <c r="U61" i="67"/>
  <c r="V37" i="67"/>
  <c r="R63" i="67"/>
  <c r="W69" i="67"/>
  <c r="W47" i="67"/>
  <c r="R55" i="67"/>
  <c r="JM381" i="40"/>
  <c r="K65" i="71"/>
  <c r="J47" i="66"/>
  <c r="Z34" i="66"/>
  <c r="O59" i="67"/>
  <c r="M55" i="71"/>
  <c r="I51" i="66"/>
  <c r="O61" i="66"/>
  <c r="O55" i="66"/>
  <c r="O51" i="66"/>
  <c r="K67" i="66"/>
  <c r="K71" i="66"/>
  <c r="O69" i="68"/>
  <c r="M41" i="71"/>
  <c r="M61" i="66"/>
  <c r="M71" i="66"/>
  <c r="M69" i="66"/>
  <c r="J69" i="68"/>
  <c r="N65" i="68"/>
  <c r="N49" i="71"/>
  <c r="J65" i="69"/>
  <c r="J69" i="69"/>
  <c r="J61" i="69"/>
  <c r="J37" i="69"/>
  <c r="L65" i="71"/>
  <c r="L43" i="71"/>
  <c r="L47" i="71"/>
  <c r="L69" i="71"/>
  <c r="L61" i="69"/>
  <c r="L69" i="69"/>
  <c r="N55" i="69"/>
  <c r="N63" i="69"/>
  <c r="O39" i="67"/>
  <c r="O35" i="66"/>
  <c r="O47" i="67"/>
  <c r="K49" i="66"/>
  <c r="K47" i="67"/>
  <c r="L37" i="69"/>
  <c r="M37" i="66"/>
  <c r="K39" i="67"/>
  <c r="O45" i="67"/>
  <c r="K45" i="67"/>
  <c r="L35" i="69"/>
  <c r="F35" i="69"/>
  <c r="I71" i="69"/>
  <c r="F67" i="69"/>
  <c r="F61" i="69"/>
  <c r="O43" i="66"/>
  <c r="K43" i="66"/>
  <c r="O43" i="68"/>
  <c r="L43" i="69"/>
  <c r="M41" i="66"/>
  <c r="JS205" i="40"/>
  <c r="U67" i="67"/>
  <c r="U59" i="67"/>
  <c r="U51" i="67"/>
  <c r="W71" i="68"/>
  <c r="W61" i="68"/>
  <c r="W49" i="68"/>
  <c r="W39" i="68"/>
  <c r="Q53" i="67"/>
  <c r="W63" i="67"/>
  <c r="W53" i="67"/>
  <c r="W41" i="67"/>
  <c r="Q41" i="67"/>
  <c r="O57" i="66"/>
  <c r="K57" i="66"/>
  <c r="K51" i="66"/>
  <c r="M57" i="71"/>
  <c r="L53" i="68"/>
  <c r="M51" i="66"/>
  <c r="M65" i="66"/>
  <c r="J51" i="68"/>
  <c r="N59" i="68"/>
  <c r="J67" i="69"/>
  <c r="J59" i="69"/>
  <c r="J43" i="69"/>
  <c r="J45" i="69"/>
  <c r="AK44" i="69" s="1"/>
  <c r="L55" i="71"/>
  <c r="L71" i="71"/>
  <c r="L59" i="71"/>
  <c r="L37" i="71"/>
  <c r="L63" i="69"/>
  <c r="L55" i="69"/>
  <c r="N71" i="69"/>
  <c r="N69" i="69"/>
  <c r="N45" i="69"/>
  <c r="O49" i="66"/>
  <c r="I67" i="69"/>
  <c r="M39" i="66"/>
  <c r="U65" i="67"/>
  <c r="U57" i="67"/>
  <c r="U41" i="67"/>
  <c r="U63" i="66"/>
  <c r="Q63" i="67"/>
  <c r="Q65" i="67"/>
  <c r="Q57" i="67"/>
  <c r="W71" i="67"/>
  <c r="W61" i="67"/>
  <c r="W49" i="67"/>
  <c r="W39" i="67"/>
  <c r="V47" i="69"/>
  <c r="L71" i="68"/>
  <c r="J61" i="68"/>
  <c r="J37" i="68"/>
  <c r="N61" i="68"/>
  <c r="N47" i="68"/>
  <c r="N49" i="68"/>
  <c r="F67" i="68"/>
  <c r="F41" i="68"/>
  <c r="AK40" i="68" s="1"/>
  <c r="L45" i="68"/>
  <c r="L69" i="68"/>
  <c r="L59" i="68"/>
  <c r="L61" i="68"/>
  <c r="J63" i="68"/>
  <c r="J57" i="68"/>
  <c r="J53" i="68"/>
  <c r="J41" i="68"/>
  <c r="N67" i="68"/>
  <c r="N51" i="68"/>
  <c r="N69" i="68"/>
  <c r="N37" i="68"/>
  <c r="N35" i="68"/>
  <c r="L35" i="68"/>
  <c r="F55" i="68"/>
  <c r="N41" i="68"/>
  <c r="L55" i="68"/>
  <c r="J71" i="68"/>
  <c r="J67" i="68"/>
  <c r="J49" i="68"/>
  <c r="N71" i="68"/>
  <c r="L67" i="68"/>
  <c r="L57" i="68"/>
  <c r="J65" i="68"/>
  <c r="J59" i="68"/>
  <c r="J43" i="68"/>
  <c r="J47" i="68"/>
  <c r="N63" i="68"/>
  <c r="N57" i="68"/>
  <c r="N39" i="68"/>
  <c r="L49" i="68"/>
  <c r="F37" i="68"/>
  <c r="AK36" i="68" s="1"/>
  <c r="L71" i="67"/>
  <c r="O47" i="71"/>
  <c r="J37" i="67"/>
  <c r="I71" i="68"/>
  <c r="F59" i="66"/>
  <c r="L55" i="67"/>
  <c r="O61" i="71"/>
  <c r="O37" i="71"/>
  <c r="N43" i="69"/>
  <c r="N65" i="71"/>
  <c r="N61" i="71"/>
  <c r="N55" i="71"/>
  <c r="K51" i="69"/>
  <c r="J57" i="71"/>
  <c r="N67" i="66"/>
  <c r="N59" i="71"/>
  <c r="N69" i="71"/>
  <c r="N51" i="71"/>
  <c r="JU476" i="40"/>
  <c r="JV476" i="40" s="1"/>
  <c r="JW476" i="40" s="1"/>
  <c r="K71" i="68"/>
  <c r="O51" i="69"/>
  <c r="N63" i="71"/>
  <c r="N57" i="71"/>
  <c r="J51" i="66"/>
  <c r="KI480" i="40"/>
  <c r="J71" i="71"/>
  <c r="J53" i="71"/>
  <c r="J59" i="71"/>
  <c r="J49" i="71"/>
  <c r="O49" i="67"/>
  <c r="N41" i="44"/>
  <c r="O57" i="67"/>
  <c r="O55" i="67"/>
  <c r="M71" i="71"/>
  <c r="M35" i="71"/>
  <c r="M63" i="71"/>
  <c r="K55" i="67"/>
  <c r="K61" i="67"/>
  <c r="O37" i="67"/>
  <c r="I65" i="66"/>
  <c r="JS427" i="40"/>
  <c r="O67" i="67"/>
  <c r="O65" i="67"/>
  <c r="M59" i="71"/>
  <c r="M47" i="71"/>
  <c r="M37" i="71"/>
  <c r="M65" i="71"/>
  <c r="K71" i="67"/>
  <c r="I69" i="66"/>
  <c r="JS439" i="40"/>
  <c r="O53" i="67"/>
  <c r="O69" i="67"/>
  <c r="M61" i="71"/>
  <c r="M53" i="71"/>
  <c r="M69" i="71"/>
  <c r="M67" i="71"/>
  <c r="K51" i="67"/>
  <c r="M47" i="67"/>
  <c r="I37" i="66"/>
  <c r="I47" i="66"/>
  <c r="M49" i="69"/>
  <c r="JS473" i="40"/>
  <c r="V43" i="67"/>
  <c r="N61" i="67"/>
  <c r="K63" i="71"/>
  <c r="L65" i="67"/>
  <c r="O65" i="71"/>
  <c r="O67" i="71"/>
  <c r="O41" i="71"/>
  <c r="O69" i="71"/>
  <c r="O63" i="71"/>
  <c r="J69" i="67"/>
  <c r="J41" i="67"/>
  <c r="N35" i="67"/>
  <c r="N37" i="67"/>
  <c r="I51" i="68"/>
  <c r="F67" i="66"/>
  <c r="L41" i="67"/>
  <c r="N43" i="67"/>
  <c r="F37" i="66"/>
  <c r="I43" i="68"/>
  <c r="N49" i="67"/>
  <c r="KK480" i="40"/>
  <c r="JU473" i="40"/>
  <c r="JV473" i="40" s="1"/>
  <c r="JW473" i="40" s="1"/>
  <c r="JT423" i="40"/>
  <c r="JX423" i="40" s="1"/>
  <c r="JT376" i="40"/>
  <c r="JX376" i="40" s="1"/>
  <c r="U47" i="67"/>
  <c r="JS575" i="40"/>
  <c r="N71" i="67"/>
  <c r="L61" i="67"/>
  <c r="O51" i="71"/>
  <c r="O57" i="71"/>
  <c r="O35" i="71"/>
  <c r="O53" i="71"/>
  <c r="O49" i="71"/>
  <c r="J63" i="67"/>
  <c r="J35" i="67"/>
  <c r="L35" i="67"/>
  <c r="F71" i="66"/>
  <c r="KJ480" i="40"/>
  <c r="JT480" i="40"/>
  <c r="JX480" i="40" s="1"/>
  <c r="KJ423" i="40"/>
  <c r="KI476" i="40"/>
  <c r="KK575" i="40"/>
  <c r="N69" i="67"/>
  <c r="N59" i="67"/>
  <c r="L53" i="67"/>
  <c r="O43" i="71"/>
  <c r="O59" i="71"/>
  <c r="O71" i="71"/>
  <c r="J61" i="67"/>
  <c r="F53" i="66"/>
  <c r="JS480" i="40"/>
  <c r="JU575" i="40"/>
  <c r="JV575" i="40" s="1"/>
  <c r="JW575" i="40" s="1"/>
  <c r="L47" i="69"/>
  <c r="N45" i="68"/>
  <c r="JM264" i="40"/>
  <c r="JS264" i="40" s="1"/>
  <c r="R51" i="67"/>
  <c r="K41" i="66"/>
  <c r="R67" i="67"/>
  <c r="AN35" i="58"/>
  <c r="JG649" i="40"/>
  <c r="JF649" i="40" s="1"/>
  <c r="JG645" i="40"/>
  <c r="JF645" i="40" s="1"/>
  <c r="JG641" i="40"/>
  <c r="JF641" i="40" s="1"/>
  <c r="JG633" i="40"/>
  <c r="JF633" i="40" s="1"/>
  <c r="L43" i="67"/>
  <c r="N49" i="69"/>
  <c r="L49" i="69"/>
  <c r="O43" i="44"/>
  <c r="M47" i="68"/>
  <c r="L39" i="66"/>
  <c r="O43" i="67"/>
  <c r="O42" i="44"/>
  <c r="O65" i="69"/>
  <c r="I63" i="66"/>
  <c r="I61" i="66"/>
  <c r="I67" i="66"/>
  <c r="KI423" i="40"/>
  <c r="U57" i="66"/>
  <c r="U59" i="66"/>
  <c r="U51" i="66"/>
  <c r="U67" i="66"/>
  <c r="S33" i="69"/>
  <c r="S63" i="69" s="1"/>
  <c r="W41" i="69"/>
  <c r="W57" i="69"/>
  <c r="W49" i="69"/>
  <c r="W65" i="69"/>
  <c r="JU435" i="40"/>
  <c r="JV435" i="40" s="1"/>
  <c r="JW435" i="40" s="1"/>
  <c r="KJ435" i="40"/>
  <c r="AK49" i="70"/>
  <c r="KK435" i="40"/>
  <c r="JT427" i="40"/>
  <c r="JX427" i="40" s="1"/>
  <c r="KJ427" i="40"/>
  <c r="KK427" i="40"/>
  <c r="JU419" i="40"/>
  <c r="JV419" i="40" s="1"/>
  <c r="JW419" i="40" s="1"/>
  <c r="KI419" i="40"/>
  <c r="AK17" i="70"/>
  <c r="JS419" i="40"/>
  <c r="K57" i="68"/>
  <c r="M57" i="69"/>
  <c r="M65" i="68"/>
  <c r="L35" i="66"/>
  <c r="F61" i="67"/>
  <c r="F67" i="67"/>
  <c r="KI439" i="40"/>
  <c r="KI431" i="40"/>
  <c r="JS435" i="40"/>
  <c r="JT419" i="40"/>
  <c r="JX419" i="40" s="1"/>
  <c r="KJ469" i="40"/>
  <c r="O51" i="67"/>
  <c r="O61" i="67"/>
  <c r="O71" i="67"/>
  <c r="N71" i="66"/>
  <c r="K51" i="68"/>
  <c r="K67" i="68"/>
  <c r="O67" i="68"/>
  <c r="M65" i="69"/>
  <c r="M49" i="71"/>
  <c r="M43" i="71"/>
  <c r="M51" i="71"/>
  <c r="M55" i="68"/>
  <c r="O61" i="69"/>
  <c r="J53" i="66"/>
  <c r="J49" i="66"/>
  <c r="N41" i="66"/>
  <c r="K65" i="67"/>
  <c r="K63" i="67"/>
  <c r="K53" i="67"/>
  <c r="J53" i="67"/>
  <c r="J43" i="67"/>
  <c r="L57" i="66"/>
  <c r="M71" i="67"/>
  <c r="K49" i="67"/>
  <c r="N39" i="67"/>
  <c r="O35" i="67"/>
  <c r="I45" i="66"/>
  <c r="I49" i="66"/>
  <c r="K35" i="68"/>
  <c r="I63" i="67"/>
  <c r="I59" i="66"/>
  <c r="I71" i="66"/>
  <c r="F63" i="66"/>
  <c r="N39" i="66"/>
  <c r="JT435" i="40"/>
  <c r="JX435" i="40" s="1"/>
  <c r="KJ419" i="40"/>
  <c r="AK41" i="70"/>
  <c r="W45" i="69"/>
  <c r="R38" i="68"/>
  <c r="Z38" i="68" s="1"/>
  <c r="V39" i="68"/>
  <c r="N34" i="44"/>
  <c r="JG676" i="40"/>
  <c r="JF676" i="40" s="1"/>
  <c r="KI571" i="40"/>
  <c r="KK571" i="40"/>
  <c r="KK574" i="40"/>
  <c r="KI305" i="40"/>
  <c r="JT305" i="40"/>
  <c r="JX305" i="40" s="1"/>
  <c r="JS304" i="40"/>
  <c r="JU304" i="40"/>
  <c r="JV304" i="40" s="1"/>
  <c r="JW304" i="40" s="1"/>
  <c r="KJ304" i="40"/>
  <c r="U43" i="68"/>
  <c r="U53" i="68"/>
  <c r="U65" i="68"/>
  <c r="R44" i="67"/>
  <c r="R45" i="67" s="1"/>
  <c r="V45" i="67"/>
  <c r="KI469" i="40"/>
  <c r="KK469" i="40"/>
  <c r="JT469" i="40"/>
  <c r="JX469" i="40" s="1"/>
  <c r="AK53" i="70"/>
  <c r="KK439" i="40"/>
  <c r="JU439" i="40"/>
  <c r="JV439" i="40" s="1"/>
  <c r="JW439" i="40" s="1"/>
  <c r="KJ439" i="40"/>
  <c r="JU431" i="40"/>
  <c r="JV431" i="40" s="1"/>
  <c r="JW431" i="40" s="1"/>
  <c r="KK431" i="40"/>
  <c r="AK45" i="70"/>
  <c r="JS431" i="40"/>
  <c r="AK37" i="70"/>
  <c r="JS423" i="40"/>
  <c r="KK423" i="40"/>
  <c r="N65" i="66"/>
  <c r="O63" i="68"/>
  <c r="M69" i="68"/>
  <c r="J69" i="66"/>
  <c r="J45" i="66"/>
  <c r="L71" i="66"/>
  <c r="N69" i="66"/>
  <c r="K65" i="68"/>
  <c r="O57" i="68"/>
  <c r="M55" i="69"/>
  <c r="M71" i="68"/>
  <c r="O71" i="69"/>
  <c r="J67" i="66"/>
  <c r="J35" i="66"/>
  <c r="AK34" i="66" s="1"/>
  <c r="K57" i="67"/>
  <c r="K67" i="67"/>
  <c r="K71" i="69"/>
  <c r="K41" i="69"/>
  <c r="M65" i="67"/>
  <c r="I35" i="66"/>
  <c r="K35" i="67"/>
  <c r="K37" i="67"/>
  <c r="O49" i="68"/>
  <c r="K49" i="68"/>
  <c r="I55" i="66"/>
  <c r="I57" i="66"/>
  <c r="M41" i="67"/>
  <c r="K43" i="67"/>
  <c r="O41" i="68"/>
  <c r="I39" i="66"/>
  <c r="I63" i="68"/>
  <c r="I69" i="68"/>
  <c r="F65" i="66"/>
  <c r="F57" i="66"/>
  <c r="AK56" i="66" s="1"/>
  <c r="F61" i="66"/>
  <c r="JT431" i="40"/>
  <c r="JX431" i="40" s="1"/>
  <c r="KK419" i="40"/>
  <c r="JU427" i="40"/>
  <c r="JV427" i="40" s="1"/>
  <c r="JW427" i="40" s="1"/>
  <c r="JS461" i="40"/>
  <c r="U57" i="68"/>
  <c r="U71" i="66"/>
  <c r="O53" i="44"/>
  <c r="N29" i="44"/>
  <c r="W69" i="69"/>
  <c r="W37" i="69"/>
  <c r="KK473" i="40"/>
  <c r="JT473" i="40"/>
  <c r="JX473" i="40" s="1"/>
  <c r="KJ473" i="40"/>
  <c r="JT476" i="40"/>
  <c r="JX476" i="40" s="1"/>
  <c r="KJ476" i="40"/>
  <c r="KK476" i="40"/>
  <c r="P41" i="44"/>
  <c r="O38" i="44"/>
  <c r="O27" i="44"/>
  <c r="R71" i="69"/>
  <c r="R65" i="69"/>
  <c r="N32" i="44"/>
  <c r="O39" i="44"/>
  <c r="R35" i="69"/>
  <c r="JM573" i="40"/>
  <c r="JM361" i="40"/>
  <c r="KJ361" i="40" s="1"/>
  <c r="M45" i="67"/>
  <c r="F39" i="66"/>
  <c r="J65" i="71"/>
  <c r="F43" i="66"/>
  <c r="AK42" i="66" s="1"/>
  <c r="F43" i="67"/>
  <c r="AK42" i="67" s="1"/>
  <c r="F35" i="66"/>
  <c r="I43" i="66"/>
  <c r="I41" i="66"/>
  <c r="KI570" i="40"/>
  <c r="JS364" i="40"/>
  <c r="JU364" i="40"/>
  <c r="JV364" i="40" s="1"/>
  <c r="JW364" i="40" s="1"/>
  <c r="W67" i="68"/>
  <c r="W59" i="68"/>
  <c r="W51" i="68"/>
  <c r="W43" i="68"/>
  <c r="W35" i="68"/>
  <c r="W67" i="66"/>
  <c r="W59" i="66"/>
  <c r="W51" i="66"/>
  <c r="W43" i="66"/>
  <c r="W35" i="66"/>
  <c r="Q61" i="67"/>
  <c r="W67" i="67"/>
  <c r="W59" i="67"/>
  <c r="W51" i="67"/>
  <c r="W43" i="67"/>
  <c r="V67" i="69"/>
  <c r="V59" i="69"/>
  <c r="V51" i="69"/>
  <c r="V39" i="69"/>
  <c r="R67" i="69"/>
  <c r="JM366" i="40"/>
  <c r="JT366" i="40" s="1"/>
  <c r="JX366" i="40" s="1"/>
  <c r="JM465" i="40"/>
  <c r="JT465" i="40" s="1"/>
  <c r="JX465" i="40" s="1"/>
  <c r="JM276" i="40"/>
  <c r="JS276" i="40" s="1"/>
  <c r="N59" i="66"/>
  <c r="K63" i="68"/>
  <c r="M63" i="69"/>
  <c r="M57" i="68"/>
  <c r="M53" i="68"/>
  <c r="L67" i="67"/>
  <c r="L69" i="67"/>
  <c r="L63" i="67"/>
  <c r="O55" i="69"/>
  <c r="O67" i="69"/>
  <c r="N53" i="71"/>
  <c r="N35" i="71"/>
  <c r="N71" i="71"/>
  <c r="N39" i="71"/>
  <c r="N41" i="71"/>
  <c r="J63" i="66"/>
  <c r="J61" i="66"/>
  <c r="J39" i="66"/>
  <c r="J59" i="67"/>
  <c r="J55" i="67"/>
  <c r="J51" i="67"/>
  <c r="J49" i="67"/>
  <c r="J47" i="67"/>
  <c r="K69" i="69"/>
  <c r="L39" i="67"/>
  <c r="L69" i="66"/>
  <c r="L67" i="66"/>
  <c r="N35" i="66"/>
  <c r="O37" i="68"/>
  <c r="L47" i="67"/>
  <c r="K45" i="69"/>
  <c r="I37" i="68"/>
  <c r="I65" i="67"/>
  <c r="I67" i="68"/>
  <c r="I53" i="68"/>
  <c r="M49" i="68"/>
  <c r="J51" i="71"/>
  <c r="J41" i="71"/>
  <c r="O40" i="44"/>
  <c r="U43" i="67"/>
  <c r="Q38" i="69"/>
  <c r="Q39" i="69" s="1"/>
  <c r="U39" i="69"/>
  <c r="J61" i="71"/>
  <c r="J37" i="71"/>
  <c r="J39" i="71"/>
  <c r="J43" i="71"/>
  <c r="J63" i="71"/>
  <c r="N63" i="67"/>
  <c r="N51" i="67"/>
  <c r="N65" i="67"/>
  <c r="N63" i="66"/>
  <c r="K53" i="68"/>
  <c r="O71" i="68"/>
  <c r="O53" i="68"/>
  <c r="M59" i="69"/>
  <c r="N67" i="67"/>
  <c r="N53" i="67"/>
  <c r="N57" i="66"/>
  <c r="K55" i="68"/>
  <c r="O61" i="68"/>
  <c r="M67" i="69"/>
  <c r="M53" i="69"/>
  <c r="M67" i="68"/>
  <c r="M61" i="68"/>
  <c r="L57" i="67"/>
  <c r="L59" i="67"/>
  <c r="O59" i="69"/>
  <c r="N67" i="71"/>
  <c r="N43" i="71"/>
  <c r="N45" i="71"/>
  <c r="M37" i="68"/>
  <c r="J71" i="66"/>
  <c r="J57" i="66"/>
  <c r="M41" i="68"/>
  <c r="J67" i="67"/>
  <c r="J57" i="67"/>
  <c r="J65" i="67"/>
  <c r="J39" i="67"/>
  <c r="L63" i="66"/>
  <c r="O45" i="69"/>
  <c r="N47" i="67"/>
  <c r="I65" i="68"/>
  <c r="L45" i="67"/>
  <c r="J35" i="71"/>
  <c r="J69" i="71"/>
  <c r="L43" i="66"/>
  <c r="N41" i="67"/>
  <c r="F53" i="69"/>
  <c r="F65" i="69"/>
  <c r="F57" i="69"/>
  <c r="F63" i="69"/>
  <c r="I51" i="69"/>
  <c r="I61" i="69"/>
  <c r="I59" i="69"/>
  <c r="F65" i="68"/>
  <c r="F51" i="68"/>
  <c r="F53" i="68"/>
  <c r="U61" i="68"/>
  <c r="O30" i="44"/>
  <c r="KK268" i="40"/>
  <c r="I61" i="68"/>
  <c r="I59" i="68"/>
  <c r="I55" i="68"/>
  <c r="Q33" i="68"/>
  <c r="Q47" i="68" s="1"/>
  <c r="U55" i="68"/>
  <c r="U63" i="68"/>
  <c r="U71" i="68"/>
  <c r="U51" i="68"/>
  <c r="U59" i="68"/>
  <c r="U67" i="68"/>
  <c r="R34" i="67"/>
  <c r="Z34" i="67" s="1"/>
  <c r="V35" i="67"/>
  <c r="KI575" i="40"/>
  <c r="U69" i="66"/>
  <c r="U61" i="66"/>
  <c r="U53" i="66"/>
  <c r="W71" i="69"/>
  <c r="W63" i="69"/>
  <c r="W55" i="69"/>
  <c r="W47" i="69"/>
  <c r="W39" i="69"/>
  <c r="KK304" i="40"/>
  <c r="KL304" i="40" s="1"/>
  <c r="AT13" i="67" s="1"/>
  <c r="L49" i="66"/>
  <c r="K39" i="69"/>
  <c r="K39" i="68"/>
  <c r="K37" i="69"/>
  <c r="AK36" i="69" s="1"/>
  <c r="K37" i="66"/>
  <c r="L37" i="67"/>
  <c r="M45" i="69"/>
  <c r="I47" i="67"/>
  <c r="I49" i="68"/>
  <c r="N45" i="67"/>
  <c r="F55" i="66"/>
  <c r="F69" i="66"/>
  <c r="O39" i="66"/>
  <c r="K39" i="66"/>
  <c r="I35" i="67"/>
  <c r="I43" i="69"/>
  <c r="O41" i="66"/>
  <c r="P32" i="44"/>
  <c r="JS305" i="40"/>
  <c r="JT575" i="40"/>
  <c r="JX575" i="40" s="1"/>
  <c r="U45" i="68"/>
  <c r="U65" i="66"/>
  <c r="V43" i="66"/>
  <c r="R65" i="67"/>
  <c r="R61" i="67"/>
  <c r="V45" i="69"/>
  <c r="V35" i="69"/>
  <c r="W67" i="69"/>
  <c r="W59" i="69"/>
  <c r="W51" i="69"/>
  <c r="W43" i="69"/>
  <c r="W35" i="69"/>
  <c r="JM572" i="40"/>
  <c r="JM568" i="40"/>
  <c r="JM464" i="40"/>
  <c r="KK464" i="40" s="1"/>
  <c r="L45" i="66"/>
  <c r="I71" i="71"/>
  <c r="AK54" i="66"/>
  <c r="AK52" i="68"/>
  <c r="O46" i="44"/>
  <c r="O33" i="44"/>
  <c r="O47" i="44"/>
  <c r="N51" i="44"/>
  <c r="N54" i="44"/>
  <c r="C48" i="62"/>
  <c r="C36" i="62"/>
  <c r="C42" i="62"/>
  <c r="C38" i="62"/>
  <c r="C46" i="62"/>
  <c r="C34" i="62"/>
  <c r="C44" i="62"/>
  <c r="C40" i="62"/>
  <c r="F47" i="66"/>
  <c r="O35" i="44"/>
  <c r="O52" i="44"/>
  <c r="K53" i="71"/>
  <c r="K39" i="71"/>
  <c r="K55" i="71"/>
  <c r="M59" i="67"/>
  <c r="M57" i="67"/>
  <c r="F55" i="67"/>
  <c r="AK54" i="67" s="1"/>
  <c r="F71" i="67"/>
  <c r="M47" i="66"/>
  <c r="N43" i="68"/>
  <c r="JS259" i="40"/>
  <c r="KI227" i="40"/>
  <c r="U33" i="70"/>
  <c r="U32" i="70"/>
  <c r="JT259" i="40"/>
  <c r="JX259" i="40" s="1"/>
  <c r="JU251" i="40"/>
  <c r="JV251" i="40" s="1"/>
  <c r="JW251" i="40" s="1"/>
  <c r="KJ571" i="40"/>
  <c r="KJ542" i="40"/>
  <c r="JS534" i="40"/>
  <c r="U49" i="70"/>
  <c r="U57" i="70"/>
  <c r="U61" i="69"/>
  <c r="U41" i="69"/>
  <c r="S35" i="58"/>
  <c r="JM466" i="40"/>
  <c r="W59" i="71"/>
  <c r="W37" i="71"/>
  <c r="K37" i="71"/>
  <c r="M55" i="67"/>
  <c r="M35" i="67"/>
  <c r="AK68" i="66"/>
  <c r="F57" i="67"/>
  <c r="F39" i="67"/>
  <c r="KK259" i="40"/>
  <c r="JT227" i="40"/>
  <c r="JX227" i="40" s="1"/>
  <c r="JU219" i="40"/>
  <c r="JU218" i="40"/>
  <c r="JV218" i="40" s="1"/>
  <c r="JW218" i="40" s="1"/>
  <c r="KK251" i="40"/>
  <c r="KI526" i="40"/>
  <c r="JS571" i="40"/>
  <c r="KK550" i="40"/>
  <c r="AS56" i="70"/>
  <c r="AS48" i="70"/>
  <c r="JU235" i="40"/>
  <c r="JV235" i="40" s="1"/>
  <c r="JW235" i="40" s="1"/>
  <c r="KJ581" i="40"/>
  <c r="JU243" i="40"/>
  <c r="JV243" i="40" s="1"/>
  <c r="JW243" i="40" s="1"/>
  <c r="U57" i="69"/>
  <c r="U35" i="69"/>
  <c r="JU227" i="40"/>
  <c r="JV227" i="40" s="1"/>
  <c r="JW227" i="40" s="1"/>
  <c r="W53" i="71"/>
  <c r="W35" i="71"/>
  <c r="K45" i="71"/>
  <c r="K69" i="71"/>
  <c r="M63" i="67"/>
  <c r="F59" i="67"/>
  <c r="KI259" i="40"/>
  <c r="KI219" i="40"/>
  <c r="JS218" i="40"/>
  <c r="KJ251" i="40"/>
  <c r="JS526" i="40"/>
  <c r="JU571" i="40"/>
  <c r="JV571" i="40" s="1"/>
  <c r="JW571" i="40" s="1"/>
  <c r="KJ550" i="40"/>
  <c r="JT542" i="40"/>
  <c r="JX542" i="40" s="1"/>
  <c r="JT534" i="40"/>
  <c r="JX534" i="40" s="1"/>
  <c r="KI581" i="40"/>
  <c r="JT571" i="40"/>
  <c r="JX571" i="40" s="1"/>
  <c r="V49" i="67"/>
  <c r="U71" i="69"/>
  <c r="U55" i="69"/>
  <c r="AN41" i="58"/>
  <c r="S67" i="71"/>
  <c r="W51" i="71"/>
  <c r="K43" i="71"/>
  <c r="K67" i="71"/>
  <c r="K41" i="71"/>
  <c r="AK66" i="66"/>
  <c r="F63" i="67"/>
  <c r="M43" i="67"/>
  <c r="N47" i="69"/>
  <c r="I45" i="71"/>
  <c r="N48" i="44"/>
  <c r="KJ219" i="40"/>
  <c r="KK218" i="40"/>
  <c r="KI251" i="40"/>
  <c r="KK526" i="40"/>
  <c r="KI550" i="40"/>
  <c r="JU542" i="40"/>
  <c r="JV542" i="40" s="1"/>
  <c r="JW542" i="40" s="1"/>
  <c r="JU534" i="40"/>
  <c r="JV534" i="40" s="1"/>
  <c r="JW534" i="40" s="1"/>
  <c r="KI235" i="40"/>
  <c r="KK581" i="40"/>
  <c r="KK243" i="40"/>
  <c r="U69" i="69"/>
  <c r="U53" i="69"/>
  <c r="JM462" i="40"/>
  <c r="W69" i="71"/>
  <c r="W49" i="71"/>
  <c r="AQ11" i="61"/>
  <c r="W11" i="61" s="1"/>
  <c r="K51" i="71"/>
  <c r="K61" i="71"/>
  <c r="K35" i="71"/>
  <c r="M61" i="67"/>
  <c r="K47" i="71"/>
  <c r="K57" i="71"/>
  <c r="L53" i="69"/>
  <c r="L71" i="69"/>
  <c r="M69" i="67"/>
  <c r="M37" i="67"/>
  <c r="AK36" i="67" s="1"/>
  <c r="I37" i="69"/>
  <c r="I53" i="69"/>
  <c r="F59" i="69"/>
  <c r="AK54" i="69"/>
  <c r="F65" i="67"/>
  <c r="J55" i="71"/>
  <c r="J47" i="71"/>
  <c r="F57" i="68"/>
  <c r="AK56" i="68" s="1"/>
  <c r="F63" i="68"/>
  <c r="F49" i="66"/>
  <c r="JS227" i="40"/>
  <c r="KK219" i="40"/>
  <c r="KJ218" i="40"/>
  <c r="U65" i="70"/>
  <c r="AS40" i="70"/>
  <c r="JS550" i="40"/>
  <c r="KK534" i="40"/>
  <c r="KJ235" i="40"/>
  <c r="AS18" i="70"/>
  <c r="KI243" i="40"/>
  <c r="U67" i="69"/>
  <c r="U51" i="69"/>
  <c r="Q69" i="67"/>
  <c r="Q67" i="67"/>
  <c r="JG681" i="40"/>
  <c r="JF681" i="40" s="1"/>
  <c r="W67" i="71"/>
  <c r="W45" i="71"/>
  <c r="K49" i="71"/>
  <c r="F49" i="67"/>
  <c r="KK227" i="40"/>
  <c r="JS219" i="40"/>
  <c r="KI218" i="40"/>
  <c r="JT251" i="40"/>
  <c r="JX251" i="40" s="1"/>
  <c r="JT526" i="40"/>
  <c r="JX526" i="40" s="1"/>
  <c r="JT550" i="40"/>
  <c r="JX550" i="40" s="1"/>
  <c r="JS542" i="40"/>
  <c r="KJ534" i="40"/>
  <c r="JS235" i="40"/>
  <c r="JT581" i="40"/>
  <c r="JX581" i="40" s="1"/>
  <c r="KJ243" i="40"/>
  <c r="U65" i="69"/>
  <c r="U47" i="69"/>
  <c r="W65" i="71"/>
  <c r="W43" i="71"/>
  <c r="M51" i="67"/>
  <c r="F51" i="67"/>
  <c r="AK50" i="67" s="1"/>
  <c r="F41" i="67"/>
  <c r="K59" i="71"/>
  <c r="M49" i="67"/>
  <c r="M67" i="67"/>
  <c r="L47" i="68"/>
  <c r="F47" i="68"/>
  <c r="F45" i="67"/>
  <c r="N35" i="69"/>
  <c r="I69" i="69"/>
  <c r="F53" i="67"/>
  <c r="AK52" i="67" s="1"/>
  <c r="J45" i="71"/>
  <c r="F61" i="68"/>
  <c r="I39" i="69"/>
  <c r="I41" i="68"/>
  <c r="F35" i="67"/>
  <c r="U47" i="68"/>
  <c r="V41" i="69"/>
  <c r="U63" i="69"/>
  <c r="U45" i="69"/>
  <c r="Q59" i="67"/>
  <c r="JG668" i="40"/>
  <c r="JF668" i="40" s="1"/>
  <c r="W61" i="71"/>
  <c r="W41" i="71"/>
  <c r="V63" i="71"/>
  <c r="AK62" i="69"/>
  <c r="F47" i="67"/>
  <c r="AK46" i="67" s="1"/>
  <c r="JG656" i="40"/>
  <c r="JF656" i="40" s="1"/>
  <c r="AK60" i="68"/>
  <c r="U49" i="66"/>
  <c r="AM45" i="58"/>
  <c r="JM478" i="40"/>
  <c r="V51" i="71"/>
  <c r="M35" i="69"/>
  <c r="AK34" i="69" s="1"/>
  <c r="U39" i="68"/>
  <c r="U39" i="66"/>
  <c r="U39" i="71"/>
  <c r="U35" i="66"/>
  <c r="U47" i="58"/>
  <c r="M41" i="44"/>
  <c r="JM472" i="40"/>
  <c r="Y34" i="66"/>
  <c r="Y46" i="67"/>
  <c r="JM261" i="40"/>
  <c r="JG629" i="40"/>
  <c r="JF629" i="40" s="1"/>
  <c r="JG621" i="40"/>
  <c r="JF621" i="40" s="1"/>
  <c r="V41" i="71"/>
  <c r="F65" i="71"/>
  <c r="U39" i="58"/>
  <c r="O45" i="44"/>
  <c r="S41" i="58"/>
  <c r="V67" i="71"/>
  <c r="V57" i="71"/>
  <c r="V47" i="71"/>
  <c r="V35" i="71"/>
  <c r="I35" i="71"/>
  <c r="V65" i="71"/>
  <c r="V55" i="71"/>
  <c r="V43" i="71"/>
  <c r="M47" i="69"/>
  <c r="I63" i="71"/>
  <c r="V71" i="71"/>
  <c r="V59" i="71"/>
  <c r="V49" i="71"/>
  <c r="JM306" i="40"/>
  <c r="U55" i="71"/>
  <c r="N41" i="69"/>
  <c r="L49" i="67"/>
  <c r="O45" i="68"/>
  <c r="M43" i="68"/>
  <c r="N45" i="66"/>
  <c r="I59" i="71"/>
  <c r="I65" i="71"/>
  <c r="I53" i="71"/>
  <c r="I35" i="68"/>
  <c r="I41" i="71"/>
  <c r="I43" i="71"/>
  <c r="I39" i="71"/>
  <c r="I61" i="71"/>
  <c r="I47" i="71"/>
  <c r="I49" i="71"/>
  <c r="O44" i="44"/>
  <c r="O50" i="44"/>
  <c r="O28" i="44"/>
  <c r="AB9" i="61"/>
  <c r="T9" i="61" s="1"/>
  <c r="R46" i="67"/>
  <c r="R47" i="67" s="1"/>
  <c r="V47" i="67"/>
  <c r="JG650" i="40"/>
  <c r="JF650" i="40" s="1"/>
  <c r="JL438" i="40"/>
  <c r="JM438" i="40" s="1"/>
  <c r="JG638" i="40"/>
  <c r="JF638" i="40" s="1"/>
  <c r="JL426" i="40"/>
  <c r="JM426" i="40" s="1"/>
  <c r="JG626" i="40"/>
  <c r="JF626" i="40" s="1"/>
  <c r="JL351" i="40"/>
  <c r="JM351" i="40" s="1"/>
  <c r="AE46" i="67" s="1"/>
  <c r="JG651" i="40"/>
  <c r="JF651" i="40" s="1"/>
  <c r="JL339" i="40"/>
  <c r="JM339" i="40" s="1"/>
  <c r="JG639" i="40"/>
  <c r="JF639" i="40" s="1"/>
  <c r="JL327" i="40"/>
  <c r="JM327" i="40" s="1"/>
  <c r="JG627" i="40"/>
  <c r="JF627" i="40" s="1"/>
  <c r="JL202" i="40"/>
  <c r="JL602" i="40" s="1"/>
  <c r="JG602" i="40"/>
  <c r="JF602" i="40" s="1"/>
  <c r="JL244" i="40"/>
  <c r="JM244" i="40" s="1"/>
  <c r="JG644" i="40"/>
  <c r="JF644" i="40" s="1"/>
  <c r="JL236" i="40"/>
  <c r="JM236" i="40" s="1"/>
  <c r="JG636" i="40"/>
  <c r="JF636" i="40" s="1"/>
  <c r="JL228" i="40"/>
  <c r="JL628" i="40" s="1"/>
  <c r="JG628" i="40"/>
  <c r="JF628" i="40" s="1"/>
  <c r="JL506" i="40"/>
  <c r="JM506" i="40" s="1"/>
  <c r="JG618" i="40"/>
  <c r="JF618" i="40" s="1"/>
  <c r="JL417" i="40"/>
  <c r="JG617" i="40"/>
  <c r="JF617" i="40" s="1"/>
  <c r="JG601" i="40"/>
  <c r="JF601" i="40" s="1"/>
  <c r="AP10" i="61"/>
  <c r="V10" i="61" s="1"/>
  <c r="JL309" i="40"/>
  <c r="JM309" i="40" s="1"/>
  <c r="JL215" i="40"/>
  <c r="JM215" i="40" s="1"/>
  <c r="JG615" i="40"/>
  <c r="JF615" i="40" s="1"/>
  <c r="I53" i="67"/>
  <c r="I61" i="67"/>
  <c r="I57" i="67"/>
  <c r="I71" i="67"/>
  <c r="I69" i="67"/>
  <c r="I67" i="67"/>
  <c r="AK68" i="67"/>
  <c r="AK70" i="67"/>
  <c r="O49" i="69"/>
  <c r="O39" i="69"/>
  <c r="O47" i="69"/>
  <c r="O41" i="69"/>
  <c r="M41" i="69"/>
  <c r="M43" i="69"/>
  <c r="K49" i="69"/>
  <c r="K55" i="69"/>
  <c r="K65" i="69"/>
  <c r="K57" i="69"/>
  <c r="AK58" i="69"/>
  <c r="AK68" i="69"/>
  <c r="AK56" i="69"/>
  <c r="AK66" i="69"/>
  <c r="AK60" i="69"/>
  <c r="AK52" i="69"/>
  <c r="AK50" i="69"/>
  <c r="AK58" i="68"/>
  <c r="AK68" i="68"/>
  <c r="AK66" i="68"/>
  <c r="K43" i="68"/>
  <c r="AK64" i="68"/>
  <c r="AK70" i="68"/>
  <c r="AK50" i="68"/>
  <c r="K41" i="68"/>
  <c r="L61" i="66"/>
  <c r="L55" i="66"/>
  <c r="L59" i="66"/>
  <c r="AK64" i="66"/>
  <c r="AK70" i="66"/>
  <c r="AK58" i="66"/>
  <c r="AK60" i="66"/>
  <c r="U41" i="66"/>
  <c r="U35" i="68"/>
  <c r="Q36" i="66"/>
  <c r="Y36" i="66" s="1"/>
  <c r="U37" i="66"/>
  <c r="JL454" i="40"/>
  <c r="JL654" i="40" s="1"/>
  <c r="JG654" i="40"/>
  <c r="JL442" i="40"/>
  <c r="JL642" i="40" s="1"/>
  <c r="JG642" i="40"/>
  <c r="JF642" i="40" s="1"/>
  <c r="JL430" i="40"/>
  <c r="JL630" i="40" s="1"/>
  <c r="JG630" i="40"/>
  <c r="JL355" i="40"/>
  <c r="JM355" i="40" s="1"/>
  <c r="JG655" i="40"/>
  <c r="JF655" i="40" s="1"/>
  <c r="JL343" i="40"/>
  <c r="JM343" i="40" s="1"/>
  <c r="JG643" i="40"/>
  <c r="JF643" i="40" s="1"/>
  <c r="JL335" i="40"/>
  <c r="JM335" i="40" s="1"/>
  <c r="JG635" i="40"/>
  <c r="JF635" i="40" s="1"/>
  <c r="JL323" i="40"/>
  <c r="JM323" i="40" s="1"/>
  <c r="JG623" i="40"/>
  <c r="JF623" i="40" s="1"/>
  <c r="JL252" i="40"/>
  <c r="JM252" i="40" s="1"/>
  <c r="JG652" i="40"/>
  <c r="JF652" i="40" s="1"/>
  <c r="JL240" i="40"/>
  <c r="JM240" i="40" s="1"/>
  <c r="JG640" i="40"/>
  <c r="JF640" i="40" s="1"/>
  <c r="JG624" i="40"/>
  <c r="JF624" i="40" s="1"/>
  <c r="JL413" i="40"/>
  <c r="JM413" i="40" s="1"/>
  <c r="K61" i="69"/>
  <c r="I45" i="67"/>
  <c r="AK50" i="66"/>
  <c r="AK70" i="69"/>
  <c r="AK62" i="68"/>
  <c r="AK54" i="68"/>
  <c r="L47" i="66"/>
  <c r="KI465" i="40"/>
  <c r="KK369" i="40"/>
  <c r="JU369" i="40"/>
  <c r="JV369" i="40" s="1"/>
  <c r="JW369" i="40" s="1"/>
  <c r="KJ369" i="40"/>
  <c r="JS369" i="40"/>
  <c r="KI369" i="40"/>
  <c r="JT369" i="40"/>
  <c r="JX369" i="40" s="1"/>
  <c r="JL367" i="40"/>
  <c r="JM367" i="40" s="1"/>
  <c r="JG667" i="40"/>
  <c r="JF667" i="40" s="1"/>
  <c r="Q44" i="58"/>
  <c r="Q45" i="58" s="1"/>
  <c r="U45" i="58"/>
  <c r="AL45" i="58"/>
  <c r="U41" i="58"/>
  <c r="Q34" i="58"/>
  <c r="Q35" i="58" s="1"/>
  <c r="AL35" i="58"/>
  <c r="JG609" i="40"/>
  <c r="JF609" i="40" s="1"/>
  <c r="JL508" i="40"/>
  <c r="JG608" i="40"/>
  <c r="JF608" i="40" s="1"/>
  <c r="JG646" i="40"/>
  <c r="JF646" i="40" s="1"/>
  <c r="JL434" i="40"/>
  <c r="JL634" i="40" s="1"/>
  <c r="JG634" i="40"/>
  <c r="JF634" i="40" s="1"/>
  <c r="JL422" i="40"/>
  <c r="JL622" i="40" s="1"/>
  <c r="JG622" i="40"/>
  <c r="JF622" i="40" s="1"/>
  <c r="JU406" i="40"/>
  <c r="JV406" i="40" s="1"/>
  <c r="JW406" i="40" s="1"/>
  <c r="KK406" i="40"/>
  <c r="JT406" i="40"/>
  <c r="JX406" i="40" s="1"/>
  <c r="KI406" i="40"/>
  <c r="AK20" i="70"/>
  <c r="JS406" i="40"/>
  <c r="KJ406" i="40"/>
  <c r="JL347" i="40"/>
  <c r="JM347" i="40" s="1"/>
  <c r="AE42" i="67" s="1"/>
  <c r="JG647" i="40"/>
  <c r="JF647" i="40" s="1"/>
  <c r="JL331" i="40"/>
  <c r="JM331" i="40" s="1"/>
  <c r="JG631" i="40"/>
  <c r="JF631" i="40" s="1"/>
  <c r="JL319" i="40"/>
  <c r="JM319" i="40" s="1"/>
  <c r="JG619" i="40"/>
  <c r="JF619" i="40" s="1"/>
  <c r="JL248" i="40"/>
  <c r="JM248" i="40" s="1"/>
  <c r="JG648" i="40"/>
  <c r="JF648" i="40" s="1"/>
  <c r="JL232" i="40"/>
  <c r="JL632" i="40" s="1"/>
  <c r="JG632" i="40"/>
  <c r="JF632" i="40" s="1"/>
  <c r="JL220" i="40"/>
  <c r="JL620" i="40" s="1"/>
  <c r="JG620" i="40"/>
  <c r="JF620" i="40" s="1"/>
  <c r="JL514" i="40"/>
  <c r="JL614" i="40" s="1"/>
  <c r="JG614" i="40"/>
  <c r="JF614" i="40" s="1"/>
  <c r="JL316" i="40"/>
  <c r="JG616" i="40"/>
  <c r="JF616" i="40" s="1"/>
  <c r="K53" i="69"/>
  <c r="O35" i="68"/>
  <c r="I51" i="67"/>
  <c r="AK62" i="66"/>
  <c r="AK52" i="66"/>
  <c r="N53" i="66"/>
  <c r="N51" i="66"/>
  <c r="N55" i="66"/>
  <c r="K59" i="68"/>
  <c r="K69" i="68"/>
  <c r="O55" i="68"/>
  <c r="O59" i="68"/>
  <c r="O51" i="68"/>
  <c r="M61" i="69"/>
  <c r="M71" i="69"/>
  <c r="M51" i="69"/>
  <c r="M63" i="68"/>
  <c r="M59" i="68"/>
  <c r="O53" i="69"/>
  <c r="O63" i="69"/>
  <c r="O69" i="69"/>
  <c r="AK46" i="68"/>
  <c r="J55" i="66"/>
  <c r="J59" i="66"/>
  <c r="J65" i="66"/>
  <c r="J41" i="66"/>
  <c r="J37" i="66"/>
  <c r="K45" i="68"/>
  <c r="L61" i="71"/>
  <c r="L51" i="71"/>
  <c r="L63" i="71"/>
  <c r="L57" i="71"/>
  <c r="K67" i="69"/>
  <c r="K63" i="69"/>
  <c r="N49" i="66"/>
  <c r="L51" i="66"/>
  <c r="L53" i="66"/>
  <c r="M45" i="68"/>
  <c r="O37" i="69"/>
  <c r="N37" i="66"/>
  <c r="I55" i="67"/>
  <c r="AK64" i="69"/>
  <c r="AK60" i="67"/>
  <c r="Q34" i="67"/>
  <c r="Q35" i="67" s="1"/>
  <c r="U35" i="67"/>
  <c r="Q44" i="67"/>
  <c r="Q45" i="67" s="1"/>
  <c r="U45" i="67"/>
  <c r="V39" i="67"/>
  <c r="Q48" i="67"/>
  <c r="Q49" i="67" s="1"/>
  <c r="U49" i="67"/>
  <c r="JG613" i="40"/>
  <c r="JF613" i="40" s="1"/>
  <c r="V41" i="68"/>
  <c r="Q44" i="66"/>
  <c r="Y44" i="66" s="1"/>
  <c r="AC44" i="66" s="1"/>
  <c r="U45" i="66"/>
  <c r="U37" i="68"/>
  <c r="V41" i="67"/>
  <c r="Q42" i="66"/>
  <c r="Y42" i="66" s="1"/>
  <c r="U43" i="66"/>
  <c r="U49" i="69"/>
  <c r="JL271" i="40"/>
  <c r="JM271" i="40" s="1"/>
  <c r="JG671" i="40"/>
  <c r="JF671" i="40" s="1"/>
  <c r="KI205" i="40"/>
  <c r="KJ205" i="40"/>
  <c r="JL203" i="40"/>
  <c r="JM203" i="40" s="1"/>
  <c r="JG603" i="40"/>
  <c r="JF603" i="40" s="1"/>
  <c r="KK204" i="40"/>
  <c r="KL204" i="40" s="1"/>
  <c r="AT13" i="66" s="1"/>
  <c r="JS204" i="40"/>
  <c r="KJ204" i="40"/>
  <c r="JU204" i="40"/>
  <c r="JV204" i="40" s="1"/>
  <c r="JW204" i="40" s="1"/>
  <c r="JL559" i="40"/>
  <c r="JL659" i="40" s="1"/>
  <c r="JG659" i="40"/>
  <c r="JF659" i="40" s="1"/>
  <c r="M37" i="69"/>
  <c r="I43" i="67"/>
  <c r="V47" i="66"/>
  <c r="Q42" i="69"/>
  <c r="Q43" i="69" s="1"/>
  <c r="U43" i="69"/>
  <c r="AN47" i="58"/>
  <c r="AM47" i="58"/>
  <c r="AL47" i="58"/>
  <c r="JL560" i="40"/>
  <c r="JM560" i="40" s="1"/>
  <c r="KJ560" i="40" s="1"/>
  <c r="JG660" i="40"/>
  <c r="JF660" i="40" s="1"/>
  <c r="JL561" i="40"/>
  <c r="JM561" i="40" s="1"/>
  <c r="JG661" i="40"/>
  <c r="JF661" i="40" s="1"/>
  <c r="JL562" i="40"/>
  <c r="JM562" i="40" s="1"/>
  <c r="KI562" i="40" s="1"/>
  <c r="JG662" i="40"/>
  <c r="JF662" i="40" s="1"/>
  <c r="JL563" i="40"/>
  <c r="JM563" i="40" s="1"/>
  <c r="KI563" i="40" s="1"/>
  <c r="JG663" i="40"/>
  <c r="JF663" i="40" s="1"/>
  <c r="JL564" i="40"/>
  <c r="JM564" i="40" s="1"/>
  <c r="JG664" i="40"/>
  <c r="JF664" i="40" s="1"/>
  <c r="JL565" i="40"/>
  <c r="JM565" i="40" s="1"/>
  <c r="JG665" i="40"/>
  <c r="JF665" i="40" s="1"/>
  <c r="JL566" i="40"/>
  <c r="JM566" i="40" s="1"/>
  <c r="JG666" i="40"/>
  <c r="JF666" i="40" s="1"/>
  <c r="W45" i="58"/>
  <c r="AU19" i="58" s="1"/>
  <c r="AU20" i="58" s="1"/>
  <c r="S44" i="58"/>
  <c r="AN45" i="58"/>
  <c r="JT368" i="40"/>
  <c r="JX368" i="40" s="1"/>
  <c r="KJ368" i="40"/>
  <c r="KI368" i="40"/>
  <c r="JU368" i="40"/>
  <c r="JV368" i="40" s="1"/>
  <c r="JW368" i="40" s="1"/>
  <c r="KK368" i="40"/>
  <c r="JL370" i="40"/>
  <c r="JM370" i="40" s="1"/>
  <c r="JG670" i="40"/>
  <c r="JF670" i="40" s="1"/>
  <c r="JL372" i="40"/>
  <c r="JM372" i="40" s="1"/>
  <c r="JG672" i="40"/>
  <c r="JF672" i="40" s="1"/>
  <c r="JL373" i="40"/>
  <c r="JL673" i="40" s="1"/>
  <c r="JG673" i="40"/>
  <c r="JF673" i="40" s="1"/>
  <c r="JL374" i="40"/>
  <c r="JM374" i="40" s="1"/>
  <c r="JG674" i="40"/>
  <c r="JF674" i="40" s="1"/>
  <c r="JU376" i="40"/>
  <c r="JV376" i="40" s="1"/>
  <c r="JW376" i="40" s="1"/>
  <c r="KI376" i="40"/>
  <c r="JS376" i="40"/>
  <c r="KJ376" i="40"/>
  <c r="JL378" i="40"/>
  <c r="JM378" i="40" s="1"/>
  <c r="JU378" i="40" s="1"/>
  <c r="JV378" i="40" s="1"/>
  <c r="JW378" i="40" s="1"/>
  <c r="JG678" i="40"/>
  <c r="JF678" i="40" s="1"/>
  <c r="JL377" i="40"/>
  <c r="JM377" i="40" s="1"/>
  <c r="JG677" i="40"/>
  <c r="JF677" i="40" s="1"/>
  <c r="JL379" i="40"/>
  <c r="JM379" i="40" s="1"/>
  <c r="KJ379" i="40" s="1"/>
  <c r="JG679" i="40"/>
  <c r="JF679" i="40" s="1"/>
  <c r="JL380" i="40"/>
  <c r="JM380" i="40" s="1"/>
  <c r="JG680" i="40"/>
  <c r="JF680" i="40" s="1"/>
  <c r="R33" i="68"/>
  <c r="R51" i="68" s="1"/>
  <c r="V51" i="68"/>
  <c r="V59" i="68"/>
  <c r="V67" i="68"/>
  <c r="V35" i="68"/>
  <c r="V43" i="68"/>
  <c r="V53" i="68"/>
  <c r="V61" i="68"/>
  <c r="V69" i="68"/>
  <c r="V37" i="68"/>
  <c r="V47" i="68"/>
  <c r="V55" i="68"/>
  <c r="V63" i="68"/>
  <c r="V71" i="68"/>
  <c r="R33" i="66"/>
  <c r="Z33" i="66" s="1"/>
  <c r="V37" i="66"/>
  <c r="V45" i="66"/>
  <c r="V53" i="66"/>
  <c r="V61" i="66"/>
  <c r="V69" i="66"/>
  <c r="V39" i="66"/>
  <c r="V55" i="66"/>
  <c r="V63" i="66"/>
  <c r="V71" i="66"/>
  <c r="V41" i="66"/>
  <c r="V49" i="66"/>
  <c r="V57" i="66"/>
  <c r="V65" i="66"/>
  <c r="O39" i="68"/>
  <c r="O47" i="68"/>
  <c r="I37" i="67"/>
  <c r="K37" i="68"/>
  <c r="M39" i="68"/>
  <c r="K47" i="68"/>
  <c r="L37" i="66"/>
  <c r="M35" i="68"/>
  <c r="O35" i="69"/>
  <c r="K35" i="69"/>
  <c r="F47" i="69"/>
  <c r="N47" i="66"/>
  <c r="F43" i="68"/>
  <c r="AK42" i="68" s="1"/>
  <c r="Q36" i="67"/>
  <c r="Q37" i="67" s="1"/>
  <c r="U37" i="67"/>
  <c r="JL458" i="40"/>
  <c r="JM458" i="40" s="1"/>
  <c r="JS458" i="40" s="1"/>
  <c r="JG658" i="40"/>
  <c r="JF658" i="40" s="1"/>
  <c r="AK48" i="66"/>
  <c r="AK64" i="67"/>
  <c r="AK66" i="67"/>
  <c r="AK62" i="67"/>
  <c r="F57" i="71"/>
  <c r="F63" i="71"/>
  <c r="L45" i="69"/>
  <c r="M39" i="67"/>
  <c r="AK56" i="67"/>
  <c r="AK58" i="67"/>
  <c r="F49" i="71"/>
  <c r="O20" i="44"/>
  <c r="P54" i="44"/>
  <c r="I47" i="69"/>
  <c r="F37" i="69"/>
  <c r="F67" i="71"/>
  <c r="KK456" i="40"/>
  <c r="JU456" i="40"/>
  <c r="JV456" i="40" s="1"/>
  <c r="JW456" i="40" s="1"/>
  <c r="KI456" i="40"/>
  <c r="JT456" i="40"/>
  <c r="JX456" i="40" s="1"/>
  <c r="JS456" i="40"/>
  <c r="AK8" i="70"/>
  <c r="KJ456" i="40"/>
  <c r="P46" i="44"/>
  <c r="M38" i="44"/>
  <c r="P47" i="44"/>
  <c r="O17" i="44"/>
  <c r="KJ363" i="40"/>
  <c r="JU363" i="40"/>
  <c r="JV363" i="40" s="1"/>
  <c r="JW363" i="40" s="1"/>
  <c r="KK363" i="40"/>
  <c r="JT363" i="40"/>
  <c r="JX363" i="40" s="1"/>
  <c r="KI363" i="40"/>
  <c r="JS363" i="40"/>
  <c r="AK36" i="71"/>
  <c r="N17" i="44"/>
  <c r="P19" i="44"/>
  <c r="P42" i="44"/>
  <c r="P44" i="44"/>
  <c r="W71" i="71"/>
  <c r="W63" i="71"/>
  <c r="W55" i="71"/>
  <c r="W47" i="71"/>
  <c r="W39" i="71"/>
  <c r="I41" i="69"/>
  <c r="R38" i="66"/>
  <c r="Z38" i="66" s="1"/>
  <c r="M21" i="44"/>
  <c r="Y33" i="69"/>
  <c r="Q69" i="69"/>
  <c r="Q63" i="69"/>
  <c r="Q71" i="69"/>
  <c r="Q61" i="69"/>
  <c r="Q67" i="69"/>
  <c r="Q65" i="69"/>
  <c r="Q51" i="69"/>
  <c r="Q53" i="69"/>
  <c r="Q55" i="69"/>
  <c r="Q57" i="69"/>
  <c r="KI579" i="40"/>
  <c r="JU579" i="40"/>
  <c r="JV579" i="40" s="1"/>
  <c r="JW579" i="40" s="1"/>
  <c r="JS579" i="40"/>
  <c r="KJ579" i="40"/>
  <c r="JT579" i="40"/>
  <c r="JX579" i="40" s="1"/>
  <c r="KK579" i="40"/>
  <c r="KI267" i="40"/>
  <c r="JU267" i="40"/>
  <c r="JS267" i="40"/>
  <c r="JT267" i="40"/>
  <c r="JX267" i="40" s="1"/>
  <c r="KJ267" i="40"/>
  <c r="KK267" i="40"/>
  <c r="KK470" i="40"/>
  <c r="KJ470" i="40"/>
  <c r="JU470" i="40"/>
  <c r="JV470" i="40" s="1"/>
  <c r="JW470" i="40" s="1"/>
  <c r="KI470" i="40"/>
  <c r="JT470" i="40"/>
  <c r="JX470" i="40" s="1"/>
  <c r="JS470" i="40"/>
  <c r="JT474" i="40"/>
  <c r="JX474" i="40" s="1"/>
  <c r="KI474" i="40"/>
  <c r="JS474" i="40"/>
  <c r="KJ474" i="40"/>
  <c r="JU474" i="40"/>
  <c r="JV474" i="40" s="1"/>
  <c r="JW474" i="40" s="1"/>
  <c r="KK474" i="40"/>
  <c r="KJ477" i="40"/>
  <c r="JU477" i="40"/>
  <c r="JV477" i="40" s="1"/>
  <c r="JW477" i="40" s="1"/>
  <c r="JS477" i="40"/>
  <c r="JT477" i="40"/>
  <c r="JX477" i="40" s="1"/>
  <c r="KK477" i="40"/>
  <c r="KI477" i="40"/>
  <c r="KI360" i="40"/>
  <c r="JU360" i="40"/>
  <c r="JV360" i="40" s="1"/>
  <c r="JW360" i="40" s="1"/>
  <c r="KK360" i="40"/>
  <c r="KJ360" i="40"/>
  <c r="JT360" i="40"/>
  <c r="JX360" i="40" s="1"/>
  <c r="JS360" i="40"/>
  <c r="JM359" i="40"/>
  <c r="JM332" i="40"/>
  <c r="JM207" i="40"/>
  <c r="JX207" i="40"/>
  <c r="F43" i="69"/>
  <c r="AK42" i="69" s="1"/>
  <c r="F41" i="69"/>
  <c r="I49" i="69"/>
  <c r="N42" i="44"/>
  <c r="M29" i="44"/>
  <c r="N27" i="44"/>
  <c r="M50" i="44"/>
  <c r="Z44" i="67"/>
  <c r="JM260" i="40"/>
  <c r="U41" i="68"/>
  <c r="V45" i="68"/>
  <c r="N49" i="44"/>
  <c r="R48" i="66"/>
  <c r="Z48" i="66" s="1"/>
  <c r="Z42" i="66"/>
  <c r="Z42" i="68"/>
  <c r="O25" i="44"/>
  <c r="P24" i="44"/>
  <c r="F45" i="68"/>
  <c r="AK42" i="71"/>
  <c r="AK54" i="71"/>
  <c r="M40" i="44"/>
  <c r="N23" i="44"/>
  <c r="R44" i="68"/>
  <c r="Z44" i="68" s="1"/>
  <c r="R36" i="67"/>
  <c r="R37" i="67" s="1"/>
  <c r="R36" i="68"/>
  <c r="Z36" i="68" s="1"/>
  <c r="Q47" i="69"/>
  <c r="AB8" i="61"/>
  <c r="T8" i="61" s="1"/>
  <c r="JM455" i="40"/>
  <c r="S57" i="68"/>
  <c r="S53" i="68"/>
  <c r="S39" i="68"/>
  <c r="S59" i="68"/>
  <c r="S55" i="68"/>
  <c r="S49" i="68"/>
  <c r="S67" i="68"/>
  <c r="S61" i="68"/>
  <c r="S41" i="68"/>
  <c r="S37" i="68"/>
  <c r="S35" i="68"/>
  <c r="S47" i="68"/>
  <c r="S45" i="68"/>
  <c r="S71" i="68"/>
  <c r="S51" i="68"/>
  <c r="S63" i="68"/>
  <c r="S43" i="68"/>
  <c r="S65" i="68"/>
  <c r="S69" i="68"/>
  <c r="JU277" i="40"/>
  <c r="JV277" i="40" s="1"/>
  <c r="JW277" i="40" s="1"/>
  <c r="KK277" i="40"/>
  <c r="KI277" i="40"/>
  <c r="JT277" i="40"/>
  <c r="JX277" i="40" s="1"/>
  <c r="KJ277" i="40"/>
  <c r="JS277" i="40"/>
  <c r="JU303" i="40"/>
  <c r="JV303" i="40" s="1"/>
  <c r="JW303" i="40" s="1"/>
  <c r="KJ303" i="40"/>
  <c r="JT303" i="40"/>
  <c r="JX303" i="40" s="1"/>
  <c r="KK303" i="40"/>
  <c r="JS303" i="40"/>
  <c r="KI303" i="40"/>
  <c r="JT357" i="40"/>
  <c r="JX357" i="40" s="1"/>
  <c r="JS357" i="40"/>
  <c r="KI357" i="40"/>
  <c r="JU357" i="40"/>
  <c r="JV357" i="40" s="1"/>
  <c r="JW357" i="40" s="1"/>
  <c r="KJ357" i="40"/>
  <c r="KK357" i="40"/>
  <c r="KI556" i="40"/>
  <c r="JU556" i="40"/>
  <c r="JV556" i="40" s="1"/>
  <c r="JW556" i="40" s="1"/>
  <c r="KJ556" i="40"/>
  <c r="AS8" i="70"/>
  <c r="KK556" i="40"/>
  <c r="JS556" i="40"/>
  <c r="JT556" i="40"/>
  <c r="JX556" i="40" s="1"/>
  <c r="JU468" i="40"/>
  <c r="JV468" i="40" s="1"/>
  <c r="JW468" i="40" s="1"/>
  <c r="KK468" i="40"/>
  <c r="KI468" i="40"/>
  <c r="KJ468" i="40"/>
  <c r="JT468" i="40"/>
  <c r="JX468" i="40" s="1"/>
  <c r="JS468" i="40"/>
  <c r="JS274" i="40"/>
  <c r="JT274" i="40"/>
  <c r="JX274" i="40" s="1"/>
  <c r="KJ274" i="40"/>
  <c r="KK274" i="40"/>
  <c r="JU274" i="40"/>
  <c r="JV274" i="40" s="1"/>
  <c r="JW274" i="40" s="1"/>
  <c r="KI274" i="40"/>
  <c r="JM328" i="40"/>
  <c r="JX307" i="40"/>
  <c r="JL607" i="40"/>
  <c r="F39" i="69"/>
  <c r="F37" i="67"/>
  <c r="JT557" i="40"/>
  <c r="JX557" i="40" s="1"/>
  <c r="KI557" i="40"/>
  <c r="KK557" i="40"/>
  <c r="KJ557" i="40"/>
  <c r="JU557" i="40"/>
  <c r="JV557" i="40" s="1"/>
  <c r="JW557" i="40" s="1"/>
  <c r="JS557" i="40"/>
  <c r="KI362" i="40"/>
  <c r="KK362" i="40"/>
  <c r="JU362" i="40"/>
  <c r="JV362" i="40" s="1"/>
  <c r="JW362" i="40" s="1"/>
  <c r="JT362" i="40"/>
  <c r="JX362" i="40" s="1"/>
  <c r="JS362" i="40"/>
  <c r="KJ362" i="40"/>
  <c r="JM481" i="40"/>
  <c r="AE36" i="68" s="1"/>
  <c r="JM407" i="40"/>
  <c r="JX407" i="40"/>
  <c r="AK44" i="71"/>
  <c r="M18" i="44"/>
  <c r="N19" i="44"/>
  <c r="P30" i="44"/>
  <c r="M45" i="44"/>
  <c r="M25" i="44"/>
  <c r="N44" i="44"/>
  <c r="M51" i="44"/>
  <c r="M54" i="44"/>
  <c r="M32" i="44"/>
  <c r="Q37" i="69"/>
  <c r="Q41" i="69"/>
  <c r="JG675" i="40"/>
  <c r="JF675" i="40" s="1"/>
  <c r="U35" i="71"/>
  <c r="P20" i="44"/>
  <c r="M52" i="44"/>
  <c r="P29" i="44"/>
  <c r="Y48" i="66"/>
  <c r="P27" i="44"/>
  <c r="Q38" i="66"/>
  <c r="Y38" i="66" s="1"/>
  <c r="M22" i="44"/>
  <c r="O21" i="44"/>
  <c r="O54" i="44"/>
  <c r="Z42" i="67"/>
  <c r="V41" i="58"/>
  <c r="JM338" i="40"/>
  <c r="JM308" i="40"/>
  <c r="I37" i="71"/>
  <c r="M17" i="44"/>
  <c r="P35" i="44"/>
  <c r="R40" i="68"/>
  <c r="Z40" i="68" s="1"/>
  <c r="O26" i="44"/>
  <c r="Q59" i="69"/>
  <c r="R36" i="69"/>
  <c r="R37" i="69" s="1"/>
  <c r="R40" i="69"/>
  <c r="R41" i="69" s="1"/>
  <c r="JM340" i="40"/>
  <c r="JM447" i="40"/>
  <c r="JL336" i="40"/>
  <c r="JM223" i="40"/>
  <c r="AK48" i="68"/>
  <c r="I39" i="68"/>
  <c r="I35" i="69"/>
  <c r="I69" i="71"/>
  <c r="I55" i="71"/>
  <c r="I57" i="71"/>
  <c r="I67" i="71"/>
  <c r="AK68" i="71"/>
  <c r="F69" i="71"/>
  <c r="AK58" i="71"/>
  <c r="F35" i="71"/>
  <c r="F45" i="71"/>
  <c r="F39" i="71"/>
  <c r="F37" i="71"/>
  <c r="F47" i="71"/>
  <c r="AK62" i="71"/>
  <c r="I47" i="68"/>
  <c r="F55" i="71"/>
  <c r="AK40" i="71"/>
  <c r="F61" i="71"/>
  <c r="F53" i="71"/>
  <c r="AK70" i="71"/>
  <c r="F41" i="71"/>
  <c r="AK38" i="71"/>
  <c r="AK46" i="71"/>
  <c r="AK50" i="71"/>
  <c r="AK48" i="71"/>
  <c r="F41" i="66"/>
  <c r="F45" i="66"/>
  <c r="AK66" i="71"/>
  <c r="AK64" i="71"/>
  <c r="AK56" i="71"/>
  <c r="AK60" i="71"/>
  <c r="AK52" i="71"/>
  <c r="F59" i="71"/>
  <c r="AK34" i="71"/>
  <c r="F51" i="71"/>
  <c r="F71" i="71"/>
  <c r="O19" i="44"/>
  <c r="M19" i="44"/>
  <c r="S35" i="66"/>
  <c r="S39" i="66"/>
  <c r="S55" i="66"/>
  <c r="S57" i="66"/>
  <c r="S49" i="66"/>
  <c r="S71" i="66"/>
  <c r="S53" i="66"/>
  <c r="S65" i="66"/>
  <c r="S59" i="66"/>
  <c r="S67" i="66"/>
  <c r="S69" i="66"/>
  <c r="S41" i="66"/>
  <c r="S47" i="66"/>
  <c r="S37" i="66"/>
  <c r="S61" i="66"/>
  <c r="S51" i="66"/>
  <c r="S63" i="66"/>
  <c r="M49" i="44"/>
  <c r="M53" i="44"/>
  <c r="M46" i="44"/>
  <c r="P33" i="44"/>
  <c r="N38" i="44"/>
  <c r="P52" i="44"/>
  <c r="M30" i="44"/>
  <c r="S45" i="66"/>
  <c r="N45" i="44"/>
  <c r="N22" i="44"/>
  <c r="AA33" i="66"/>
  <c r="M23" i="44"/>
  <c r="M27" i="44"/>
  <c r="P37" i="44"/>
  <c r="N25" i="44"/>
  <c r="P34" i="44"/>
  <c r="M34" i="44"/>
  <c r="S33" i="67"/>
  <c r="S47" i="67" s="1"/>
  <c r="M42" i="44"/>
  <c r="M28" i="44"/>
  <c r="P38" i="44"/>
  <c r="O23" i="44"/>
  <c r="P45" i="44"/>
  <c r="S43" i="66"/>
  <c r="P51" i="44"/>
  <c r="O51" i="44"/>
  <c r="Q33" i="66"/>
  <c r="JM257" i="40"/>
  <c r="P39" i="44"/>
  <c r="Q34" i="69"/>
  <c r="Q35" i="69" s="1"/>
  <c r="U41" i="71"/>
  <c r="U47" i="71"/>
  <c r="U63" i="71"/>
  <c r="JL460" i="40"/>
  <c r="JM460" i="40" s="1"/>
  <c r="JM270" i="40"/>
  <c r="JM279" i="40"/>
  <c r="JL445" i="40"/>
  <c r="JM445" i="40" s="1"/>
  <c r="JL226" i="40"/>
  <c r="JL401" i="40"/>
  <c r="JM401" i="40" s="1"/>
  <c r="AQ10" i="61"/>
  <c r="W10" i="61" s="1"/>
  <c r="AR10" i="61"/>
  <c r="X10" i="61" s="1"/>
  <c r="JL312" i="40"/>
  <c r="JG612" i="40"/>
  <c r="JF612" i="40" s="1"/>
  <c r="JM471" i="40"/>
  <c r="JL558" i="40"/>
  <c r="JM558" i="40" s="1"/>
  <c r="JM258" i="40"/>
  <c r="JL463" i="40"/>
  <c r="JL513" i="40"/>
  <c r="JM513" i="40" s="1"/>
  <c r="JL501" i="40"/>
  <c r="JX501" i="40" s="1"/>
  <c r="AR11" i="61"/>
  <c r="X11" i="61" s="1"/>
  <c r="JL210" i="40"/>
  <c r="JG610" i="40"/>
  <c r="JF610" i="40" s="1"/>
  <c r="Q47" i="67"/>
  <c r="P50" i="44"/>
  <c r="AA33" i="68"/>
  <c r="N26" i="44"/>
  <c r="M31" i="44"/>
  <c r="P36" i="44"/>
  <c r="O24" i="44"/>
  <c r="JG605" i="40"/>
  <c r="JF605" i="40" s="1"/>
  <c r="AM35" i="58"/>
  <c r="AL39" i="58"/>
  <c r="AM41" i="58"/>
  <c r="JG604" i="40"/>
  <c r="JF604" i="40" s="1"/>
  <c r="JG657" i="40"/>
  <c r="JM275" i="40"/>
  <c r="JM280" i="40"/>
  <c r="AE47" i="58"/>
  <c r="AI47" i="58" s="1"/>
  <c r="JM262" i="40"/>
  <c r="R38" i="58"/>
  <c r="Z38" i="58" s="1"/>
  <c r="Z39" i="58" s="1"/>
  <c r="V39" i="58"/>
  <c r="U71" i="71"/>
  <c r="U51" i="71"/>
  <c r="P43" i="44"/>
  <c r="N43" i="44"/>
  <c r="JM263" i="40"/>
  <c r="JL318" i="40"/>
  <c r="JM318" i="40" s="1"/>
  <c r="M44" i="44"/>
  <c r="M26" i="44"/>
  <c r="O41" i="44"/>
  <c r="O32" i="44"/>
  <c r="M24" i="44"/>
  <c r="JG669" i="40"/>
  <c r="JF669" i="40" s="1"/>
  <c r="AM39" i="58"/>
  <c r="AL41" i="58"/>
  <c r="R42" i="69"/>
  <c r="R43" i="69" s="1"/>
  <c r="R46" i="69"/>
  <c r="R47" i="69" s="1"/>
  <c r="JM577" i="40"/>
  <c r="JL269" i="40"/>
  <c r="JM269" i="40" s="1"/>
  <c r="JM475" i="40"/>
  <c r="JM580" i="40"/>
  <c r="U35" i="58"/>
  <c r="JM358" i="40"/>
  <c r="U67" i="71"/>
  <c r="U43" i="71"/>
  <c r="R33" i="71"/>
  <c r="Z33" i="71" s="1"/>
  <c r="V37" i="71"/>
  <c r="V45" i="71"/>
  <c r="V53" i="71"/>
  <c r="V61" i="71"/>
  <c r="V69" i="71"/>
  <c r="JL356" i="40"/>
  <c r="JM356" i="40" s="1"/>
  <c r="JL457" i="40"/>
  <c r="JL657" i="40" s="1"/>
  <c r="JL453" i="40"/>
  <c r="JM453" i="40" s="1"/>
  <c r="JL515" i="40"/>
  <c r="JL511" i="40"/>
  <c r="JL611" i="40" s="1"/>
  <c r="JG611" i="40"/>
  <c r="JF611" i="40" s="1"/>
  <c r="JL676" i="40"/>
  <c r="Z49" i="69"/>
  <c r="JM502" i="40"/>
  <c r="AN68" i="70" s="1"/>
  <c r="JM449" i="40"/>
  <c r="JM354" i="40"/>
  <c r="JM352" i="40"/>
  <c r="JM350" i="40"/>
  <c r="JM348" i="40"/>
  <c r="JM346" i="40"/>
  <c r="JM344" i="40"/>
  <c r="JM342" i="40"/>
  <c r="JM225" i="40"/>
  <c r="JM507" i="40"/>
  <c r="JM451" i="40"/>
  <c r="JM443" i="40"/>
  <c r="JM516" i="40"/>
  <c r="AE46" i="69" s="1"/>
  <c r="JM512" i="40"/>
  <c r="JM510" i="40"/>
  <c r="JM317" i="40"/>
  <c r="JM315" i="40"/>
  <c r="JM313" i="40"/>
  <c r="JM311" i="40"/>
  <c r="JM301" i="40"/>
  <c r="JM302" i="40"/>
  <c r="I41" i="67"/>
  <c r="F49" i="69"/>
  <c r="I45" i="69"/>
  <c r="AK38" i="68"/>
  <c r="AK44" i="67"/>
  <c r="I49" i="67"/>
  <c r="I45" i="68"/>
  <c r="O45" i="66"/>
  <c r="AK44" i="66"/>
  <c r="K45" i="66"/>
  <c r="F35" i="68"/>
  <c r="P17" i="44"/>
  <c r="N18" i="44"/>
  <c r="P18" i="44"/>
  <c r="N40" i="44"/>
  <c r="P40" i="44"/>
  <c r="N28" i="44"/>
  <c r="P28" i="44"/>
  <c r="R40" i="66"/>
  <c r="Z40" i="66" s="1"/>
  <c r="N53" i="44"/>
  <c r="P53" i="44"/>
  <c r="M20" i="44"/>
  <c r="N46" i="44"/>
  <c r="Q34" i="68"/>
  <c r="Y34" i="68" s="1"/>
  <c r="AC34" i="68" s="1"/>
  <c r="Q44" i="68"/>
  <c r="Y44" i="68" s="1"/>
  <c r="N30" i="44"/>
  <c r="R40" i="67"/>
  <c r="R41" i="67" s="1"/>
  <c r="O22" i="44"/>
  <c r="Q42" i="68"/>
  <c r="Y42" i="68" s="1"/>
  <c r="P25" i="44"/>
  <c r="N21" i="44"/>
  <c r="M35" i="44"/>
  <c r="O49" i="44"/>
  <c r="Q40" i="66"/>
  <c r="Y40" i="66" s="1"/>
  <c r="N20" i="44"/>
  <c r="M33" i="44"/>
  <c r="M47" i="44"/>
  <c r="N52" i="44"/>
  <c r="O29" i="44"/>
  <c r="N37" i="44"/>
  <c r="M37" i="44"/>
  <c r="P22" i="44"/>
  <c r="R46" i="66"/>
  <c r="Z46" i="66" s="1"/>
  <c r="P21" i="44"/>
  <c r="N50" i="44"/>
  <c r="N35" i="44"/>
  <c r="N33" i="44"/>
  <c r="N47" i="44"/>
  <c r="O37" i="44"/>
  <c r="Z33" i="67"/>
  <c r="R43" i="67"/>
  <c r="N31" i="44"/>
  <c r="P31" i="44"/>
  <c r="O36" i="44"/>
  <c r="M36" i="44"/>
  <c r="Q39" i="67"/>
  <c r="R49" i="67"/>
  <c r="P26" i="44"/>
  <c r="O34" i="44"/>
  <c r="Z36" i="66"/>
  <c r="N36" i="44"/>
  <c r="Z48" i="67"/>
  <c r="Y33" i="67"/>
  <c r="N24" i="44"/>
  <c r="O31" i="44"/>
  <c r="Q42" i="67"/>
  <c r="Q43" i="67" s="1"/>
  <c r="R38" i="67"/>
  <c r="R39" i="67" s="1"/>
  <c r="Y46" i="69"/>
  <c r="R44" i="69"/>
  <c r="R45" i="69" s="1"/>
  <c r="JL371" i="40"/>
  <c r="JL569" i="40"/>
  <c r="JL375" i="40"/>
  <c r="JL567" i="40"/>
  <c r="JM266" i="40"/>
  <c r="M39" i="44"/>
  <c r="S57" i="71"/>
  <c r="S41" i="71"/>
  <c r="S37" i="71"/>
  <c r="AA33" i="71"/>
  <c r="S71" i="71"/>
  <c r="S63" i="71"/>
  <c r="S51" i="71"/>
  <c r="S61" i="71"/>
  <c r="S43" i="71"/>
  <c r="S65" i="71"/>
  <c r="S49" i="71"/>
  <c r="S59" i="71"/>
  <c r="S39" i="71"/>
  <c r="S55" i="71"/>
  <c r="S47" i="71"/>
  <c r="N39" i="44"/>
  <c r="Q48" i="69"/>
  <c r="Q49" i="69" s="1"/>
  <c r="Q45" i="69"/>
  <c r="S45" i="71"/>
  <c r="S35" i="71"/>
  <c r="JM505" i="40"/>
  <c r="JM503" i="40"/>
  <c r="JM504" i="40"/>
  <c r="AD9" i="61"/>
  <c r="AH9" i="61" s="1"/>
  <c r="AD8" i="61"/>
  <c r="AH8" i="61" s="1"/>
  <c r="JM467" i="40"/>
  <c r="AE42" i="68" s="1"/>
  <c r="JL405" i="40"/>
  <c r="JM405" i="40" s="1"/>
  <c r="JL403" i="40"/>
  <c r="JM403" i="40" s="1"/>
  <c r="JL404" i="40"/>
  <c r="JM404" i="40" s="1"/>
  <c r="S53" i="71"/>
  <c r="JL668" i="40"/>
  <c r="M48" i="44"/>
  <c r="U69" i="71"/>
  <c r="U61" i="71"/>
  <c r="U53" i="71"/>
  <c r="U45" i="71"/>
  <c r="U37" i="71"/>
  <c r="Q33" i="71"/>
  <c r="Y33" i="71" s="1"/>
  <c r="M43" i="44"/>
  <c r="O48" i="44"/>
  <c r="AS64" i="70"/>
  <c r="JM265" i="40"/>
  <c r="U65" i="71"/>
  <c r="U57" i="71"/>
  <c r="U49" i="71"/>
  <c r="JM273" i="40"/>
  <c r="JM278" i="40"/>
  <c r="JM256" i="40"/>
  <c r="JL281" i="40"/>
  <c r="JM281" i="40" s="1"/>
  <c r="AE36" i="66" s="1"/>
  <c r="R49" i="69"/>
  <c r="JM459" i="40"/>
  <c r="Z39" i="69"/>
  <c r="JL555" i="40"/>
  <c r="JM555" i="40" s="1"/>
  <c r="JL553" i="40"/>
  <c r="JM553" i="40" s="1"/>
  <c r="JL551" i="40"/>
  <c r="JM551" i="40" s="1"/>
  <c r="JL549" i="40"/>
  <c r="JM549" i="40" s="1"/>
  <c r="JL547" i="40"/>
  <c r="JM547" i="40" s="1"/>
  <c r="JL545" i="40"/>
  <c r="JM545" i="40" s="1"/>
  <c r="JL543" i="40"/>
  <c r="JM543" i="40" s="1"/>
  <c r="JL541" i="40"/>
  <c r="JM541" i="40" s="1"/>
  <c r="JL539" i="40"/>
  <c r="JM539" i="40" s="1"/>
  <c r="JL537" i="40"/>
  <c r="JM537" i="40" s="1"/>
  <c r="JL535" i="40"/>
  <c r="JM535" i="40" s="1"/>
  <c r="JL533" i="40"/>
  <c r="JM533" i="40" s="1"/>
  <c r="JL531" i="40"/>
  <c r="JM531" i="40" s="1"/>
  <c r="R39" i="69"/>
  <c r="JL529" i="40"/>
  <c r="JL527" i="40"/>
  <c r="JL525" i="40"/>
  <c r="JL523" i="40"/>
  <c r="JL521" i="40"/>
  <c r="JM521" i="40" s="1"/>
  <c r="JL519" i="40"/>
  <c r="JM519" i="40" s="1"/>
  <c r="JL452" i="40"/>
  <c r="JL450" i="40"/>
  <c r="JM450" i="40" s="1"/>
  <c r="JL448" i="40"/>
  <c r="JL446" i="40"/>
  <c r="JM446" i="40" s="1"/>
  <c r="JL444" i="40"/>
  <c r="JM402" i="40"/>
  <c r="JM440" i="40"/>
  <c r="JM436" i="40"/>
  <c r="JM432" i="40"/>
  <c r="JM428" i="40"/>
  <c r="JM424" i="40"/>
  <c r="JM420" i="40"/>
  <c r="AE40" i="68" s="1"/>
  <c r="JM408" i="40"/>
  <c r="JM353" i="40"/>
  <c r="JM349" i="40"/>
  <c r="JM345" i="40"/>
  <c r="JM341" i="40"/>
  <c r="JM337" i="40"/>
  <c r="JM333" i="40"/>
  <c r="JM329" i="40"/>
  <c r="AE38" i="67" s="1"/>
  <c r="JM307" i="40"/>
  <c r="JM326" i="40"/>
  <c r="JM325" i="40"/>
  <c r="JM324" i="40"/>
  <c r="JM322" i="40"/>
  <c r="JM321" i="40"/>
  <c r="JM320" i="40"/>
  <c r="AE44" i="67" s="1"/>
  <c r="JM254" i="40"/>
  <c r="JM250" i="40"/>
  <c r="JM246" i="40"/>
  <c r="JM242" i="40"/>
  <c r="JM238" i="40"/>
  <c r="JM234" i="40"/>
  <c r="JM230" i="40"/>
  <c r="JL224" i="40"/>
  <c r="JL518" i="40"/>
  <c r="JM518" i="40" s="1"/>
  <c r="JM411" i="40"/>
  <c r="JL409" i="40"/>
  <c r="JM222" i="40"/>
  <c r="JM208" i="40"/>
  <c r="JG606" i="40"/>
  <c r="JM517" i="40"/>
  <c r="JM418" i="40"/>
  <c r="JM416" i="40"/>
  <c r="AE46" i="68" s="1"/>
  <c r="JM414" i="40"/>
  <c r="JM412" i="40"/>
  <c r="JM410" i="40"/>
  <c r="JM217" i="40"/>
  <c r="JM213" i="40"/>
  <c r="JM211" i="40"/>
  <c r="JM201" i="40"/>
  <c r="AK48" i="69"/>
  <c r="Y44" i="69"/>
  <c r="Y40" i="69"/>
  <c r="Y36" i="69"/>
  <c r="U37" i="69"/>
  <c r="Z34" i="69"/>
  <c r="Z35" i="69" s="1"/>
  <c r="Y48" i="68"/>
  <c r="Y46" i="68"/>
  <c r="AK44" i="68"/>
  <c r="Q40" i="68"/>
  <c r="Y40" i="68" s="1"/>
  <c r="Y38" i="68"/>
  <c r="L39" i="68"/>
  <c r="Q36" i="68"/>
  <c r="Y36" i="68" s="1"/>
  <c r="Y48" i="67"/>
  <c r="AK48" i="67"/>
  <c r="Y40" i="67"/>
  <c r="Y38" i="67"/>
  <c r="U47" i="66"/>
  <c r="Y46" i="66"/>
  <c r="M45" i="66"/>
  <c r="AK40" i="66"/>
  <c r="Z44" i="58"/>
  <c r="Z45" i="58" s="1"/>
  <c r="R45" i="58"/>
  <c r="V45" i="58"/>
  <c r="Q40" i="58"/>
  <c r="Q41" i="58" s="1"/>
  <c r="N37" i="58"/>
  <c r="V35" i="58"/>
  <c r="Z40" i="58"/>
  <c r="Z41" i="58" s="1"/>
  <c r="R41" i="58"/>
  <c r="AK42" i="58"/>
  <c r="Y38" i="58"/>
  <c r="Z34" i="58"/>
  <c r="Z35" i="58" s="1"/>
  <c r="R46" i="58"/>
  <c r="R47" i="58" s="1"/>
  <c r="AK34" i="58"/>
  <c r="M39" i="69"/>
  <c r="Y46" i="58"/>
  <c r="AK46" i="58"/>
  <c r="AK44" i="58"/>
  <c r="AK46" i="69" l="1"/>
  <c r="Y48" i="69"/>
  <c r="AC48" i="69" s="1"/>
  <c r="AK38" i="67"/>
  <c r="AC48" i="66"/>
  <c r="AD48" i="66" s="1"/>
  <c r="AK36" i="66"/>
  <c r="S39" i="58"/>
  <c r="JM674" i="40"/>
  <c r="JU574" i="40"/>
  <c r="JV574" i="40" s="1"/>
  <c r="JW574" i="40" s="1"/>
  <c r="JS574" i="40"/>
  <c r="JK607" i="40"/>
  <c r="AK46" i="66"/>
  <c r="KJ574" i="40"/>
  <c r="Y44" i="58"/>
  <c r="JT574" i="40"/>
  <c r="JX574" i="40" s="1"/>
  <c r="JL636" i="40"/>
  <c r="JK636" i="40" s="1"/>
  <c r="KI461" i="40"/>
  <c r="KI268" i="40"/>
  <c r="KJ365" i="40"/>
  <c r="Y44" i="67"/>
  <c r="AP12" i="61"/>
  <c r="V12" i="61" s="1"/>
  <c r="AK38" i="69"/>
  <c r="JU465" i="40"/>
  <c r="JV465" i="40" s="1"/>
  <c r="JW465" i="40" s="1"/>
  <c r="KK272" i="40"/>
  <c r="JU272" i="40"/>
  <c r="JV272" i="40" s="1"/>
  <c r="JW272" i="40" s="1"/>
  <c r="KK465" i="40"/>
  <c r="KJ272" i="40"/>
  <c r="S47" i="69"/>
  <c r="KJ465" i="40"/>
  <c r="AK38" i="66"/>
  <c r="JL670" i="40"/>
  <c r="JK670" i="40" s="1"/>
  <c r="AK40" i="67"/>
  <c r="R35" i="67"/>
  <c r="JT268" i="40"/>
  <c r="JX268" i="40" s="1"/>
  <c r="JM668" i="40"/>
  <c r="JS668" i="40" s="1"/>
  <c r="JU268" i="40"/>
  <c r="JV268" i="40" s="1"/>
  <c r="JW268" i="40" s="1"/>
  <c r="KI365" i="40"/>
  <c r="JS268" i="40"/>
  <c r="KK461" i="40"/>
  <c r="AC34" i="66"/>
  <c r="AD34" i="66" s="1"/>
  <c r="AK34" i="67"/>
  <c r="Y42" i="69"/>
  <c r="JU365" i="40"/>
  <c r="JV365" i="40" s="1"/>
  <c r="JW365" i="40" s="1"/>
  <c r="JS365" i="40"/>
  <c r="KK365" i="40"/>
  <c r="AC40" i="68"/>
  <c r="A35" i="58"/>
  <c r="KL305" i="40"/>
  <c r="AU13" i="67" s="1"/>
  <c r="AC44" i="68"/>
  <c r="AD44" i="68" s="1"/>
  <c r="AC38" i="66"/>
  <c r="AK34" i="68"/>
  <c r="AE40" i="67"/>
  <c r="Y38" i="69"/>
  <c r="Z46" i="69"/>
  <c r="Z47" i="69" s="1"/>
  <c r="Z44" i="69"/>
  <c r="Z45" i="69" s="1"/>
  <c r="Z42" i="69"/>
  <c r="Z43" i="69" s="1"/>
  <c r="AK40" i="69"/>
  <c r="Z40" i="69"/>
  <c r="Z41" i="69" s="1"/>
  <c r="Z36" i="69"/>
  <c r="Z37" i="69" s="1"/>
  <c r="Y34" i="69"/>
  <c r="AC34" i="69" s="1"/>
  <c r="AC42" i="68"/>
  <c r="AC36" i="68"/>
  <c r="AD36" i="68" s="1"/>
  <c r="Z40" i="67"/>
  <c r="Z41" i="67" s="1"/>
  <c r="Z46" i="67"/>
  <c r="AC46" i="67" s="1"/>
  <c r="AD46" i="67" s="1"/>
  <c r="Y42" i="67"/>
  <c r="AC42" i="67" s="1"/>
  <c r="Z38" i="67"/>
  <c r="AC38" i="67" s="1"/>
  <c r="Y34" i="67"/>
  <c r="AC34" i="67" s="1"/>
  <c r="Y36" i="67"/>
  <c r="Y37" i="67" s="1"/>
  <c r="JU381" i="40"/>
  <c r="AE36" i="67"/>
  <c r="AC42" i="66"/>
  <c r="JV267" i="40"/>
  <c r="JW267" i="40" s="1"/>
  <c r="AF38" i="66"/>
  <c r="JV219" i="40"/>
  <c r="JW219" i="40" s="1"/>
  <c r="AF34" i="66"/>
  <c r="Z36" i="67"/>
  <c r="AC36" i="67" s="1"/>
  <c r="AC40" i="66"/>
  <c r="KI381" i="40"/>
  <c r="JS272" i="40"/>
  <c r="KI272" i="40"/>
  <c r="JM454" i="40"/>
  <c r="KO454" i="40" s="1"/>
  <c r="JM202" i="40"/>
  <c r="P35" i="70" s="1"/>
  <c r="AR12" i="61"/>
  <c r="X12" i="61" s="1"/>
  <c r="JL626" i="40"/>
  <c r="JK626" i="40" s="1"/>
  <c r="Y34" i="58"/>
  <c r="JL606" i="40"/>
  <c r="JK606" i="40" s="1"/>
  <c r="AQ12" i="61"/>
  <c r="W12" i="61" s="1"/>
  <c r="JU461" i="40"/>
  <c r="JV461" i="40" s="1"/>
  <c r="JW461" i="40" s="1"/>
  <c r="KJ461" i="40"/>
  <c r="JT381" i="40"/>
  <c r="JX381" i="40" s="1"/>
  <c r="AA33" i="69"/>
  <c r="AA43" i="69" s="1"/>
  <c r="JS381" i="40"/>
  <c r="AC18" i="70"/>
  <c r="KK381" i="40"/>
  <c r="KJ381" i="40"/>
  <c r="JM220" i="40"/>
  <c r="AE44" i="66" s="1"/>
  <c r="AD44" i="66" s="1"/>
  <c r="JM676" i="40"/>
  <c r="JS676" i="40" s="1"/>
  <c r="JU264" i="40"/>
  <c r="JV264" i="40" s="1"/>
  <c r="JW264" i="40" s="1"/>
  <c r="KK264" i="40"/>
  <c r="Q45" i="66"/>
  <c r="Y40" i="58"/>
  <c r="Y41" i="58" s="1"/>
  <c r="KI366" i="40"/>
  <c r="JT264" i="40"/>
  <c r="JX264" i="40" s="1"/>
  <c r="KJ264" i="40"/>
  <c r="KI264" i="40"/>
  <c r="R37" i="68"/>
  <c r="R63" i="68"/>
  <c r="R43" i="68"/>
  <c r="JM373" i="40"/>
  <c r="JU373" i="40" s="1"/>
  <c r="JV373" i="40" s="1"/>
  <c r="JW373" i="40" s="1"/>
  <c r="S37" i="69"/>
  <c r="JL677" i="40"/>
  <c r="JK677" i="40" s="1"/>
  <c r="JU361" i="40"/>
  <c r="JV361" i="40" s="1"/>
  <c r="JW361" i="40" s="1"/>
  <c r="S67" i="69"/>
  <c r="JM232" i="40"/>
  <c r="JM632" i="40" s="1"/>
  <c r="R39" i="58"/>
  <c r="A39" i="58" s="1"/>
  <c r="S71" i="69"/>
  <c r="JU366" i="40"/>
  <c r="JV366" i="40" s="1"/>
  <c r="JW366" i="40" s="1"/>
  <c r="JL638" i="40"/>
  <c r="JK638" i="40" s="1"/>
  <c r="JM559" i="40"/>
  <c r="KJ559" i="40" s="1"/>
  <c r="KK366" i="40"/>
  <c r="JS366" i="40"/>
  <c r="KJ366" i="40"/>
  <c r="JL615" i="40"/>
  <c r="JK615" i="40" s="1"/>
  <c r="AU19" i="69"/>
  <c r="AU20" i="69" s="1"/>
  <c r="JL661" i="40"/>
  <c r="JK661" i="40" s="1"/>
  <c r="Q43" i="68"/>
  <c r="Q45" i="68"/>
  <c r="S35" i="69"/>
  <c r="KI378" i="40"/>
  <c r="KK379" i="40"/>
  <c r="JS361" i="40"/>
  <c r="S39" i="69"/>
  <c r="S57" i="69"/>
  <c r="S51" i="69"/>
  <c r="S59" i="69"/>
  <c r="R47" i="68"/>
  <c r="JL665" i="40"/>
  <c r="JK665" i="40" s="1"/>
  <c r="Y33" i="68"/>
  <c r="Y37" i="68" s="1"/>
  <c r="Q39" i="68"/>
  <c r="Q35" i="68"/>
  <c r="JL678" i="40"/>
  <c r="JK678" i="40" s="1"/>
  <c r="JL679" i="40"/>
  <c r="JK679" i="40" s="1"/>
  <c r="R41" i="68"/>
  <c r="R45" i="68"/>
  <c r="KJ378" i="40"/>
  <c r="KI361" i="40"/>
  <c r="Q49" i="68"/>
  <c r="S69" i="69"/>
  <c r="S43" i="69"/>
  <c r="S41" i="69"/>
  <c r="S53" i="69"/>
  <c r="Q37" i="68"/>
  <c r="Q41" i="68"/>
  <c r="R35" i="68"/>
  <c r="R49" i="68"/>
  <c r="Q37" i="66"/>
  <c r="KK563" i="40"/>
  <c r="R67" i="68"/>
  <c r="S61" i="69"/>
  <c r="S49" i="69"/>
  <c r="S45" i="69"/>
  <c r="JT562" i="40"/>
  <c r="JX562" i="40" s="1"/>
  <c r="AD11" i="61"/>
  <c r="AH11" i="61" s="1"/>
  <c r="AT19" i="69"/>
  <c r="AT20" i="69" s="1"/>
  <c r="AU19" i="67"/>
  <c r="AU19" i="66"/>
  <c r="AU21" i="66" s="1"/>
  <c r="AU19" i="68"/>
  <c r="AU21" i="68" s="1"/>
  <c r="KI458" i="40"/>
  <c r="JK634" i="40"/>
  <c r="KJ562" i="40"/>
  <c r="JK632" i="40"/>
  <c r="KK276" i="40"/>
  <c r="JU276" i="40"/>
  <c r="JV276" i="40" s="1"/>
  <c r="JW276" i="40" s="1"/>
  <c r="AC38" i="58"/>
  <c r="AD38" i="58" s="1"/>
  <c r="AD39" i="58" s="1"/>
  <c r="JM664" i="40"/>
  <c r="JS664" i="40" s="1"/>
  <c r="JS573" i="40"/>
  <c r="JU573" i="40"/>
  <c r="JV573" i="40" s="1"/>
  <c r="JW573" i="40" s="1"/>
  <c r="JT573" i="40"/>
  <c r="JX573" i="40" s="1"/>
  <c r="KK573" i="40"/>
  <c r="KI573" i="40"/>
  <c r="KJ573" i="40"/>
  <c r="R65" i="71"/>
  <c r="KI276" i="40"/>
  <c r="Y49" i="69"/>
  <c r="JM434" i="40"/>
  <c r="AF48" i="70" s="1"/>
  <c r="JG701" i="40"/>
  <c r="JF701" i="40" s="1"/>
  <c r="KK378" i="40"/>
  <c r="JS379" i="40"/>
  <c r="JT276" i="40"/>
  <c r="JX276" i="40" s="1"/>
  <c r="JS465" i="40"/>
  <c r="KJ464" i="40"/>
  <c r="AS19" i="66"/>
  <c r="AS20" i="66" s="1"/>
  <c r="AB11" i="61"/>
  <c r="T11" i="61" s="1"/>
  <c r="KJ276" i="40"/>
  <c r="JU464" i="40"/>
  <c r="JV464" i="40" s="1"/>
  <c r="JW464" i="40" s="1"/>
  <c r="JT464" i="40"/>
  <c r="JX464" i="40" s="1"/>
  <c r="KK361" i="40"/>
  <c r="JT361" i="40"/>
  <c r="JX361" i="40" s="1"/>
  <c r="S65" i="69"/>
  <c r="S55" i="69"/>
  <c r="JT378" i="40"/>
  <c r="JX378" i="40" s="1"/>
  <c r="JS378" i="40"/>
  <c r="R59" i="68"/>
  <c r="R55" i="68"/>
  <c r="JT379" i="40"/>
  <c r="JX379" i="40" s="1"/>
  <c r="KI464" i="40"/>
  <c r="JS464" i="40"/>
  <c r="R61" i="68"/>
  <c r="R71" i="68"/>
  <c r="JU379" i="40"/>
  <c r="JV379" i="40" s="1"/>
  <c r="JW379" i="40" s="1"/>
  <c r="KJ568" i="40"/>
  <c r="JT568" i="40"/>
  <c r="JX568" i="40" s="1"/>
  <c r="KK568" i="40"/>
  <c r="JU568" i="40"/>
  <c r="JV568" i="40" s="1"/>
  <c r="JW568" i="40" s="1"/>
  <c r="JS568" i="40"/>
  <c r="KI568" i="40"/>
  <c r="JS563" i="40"/>
  <c r="R69" i="68"/>
  <c r="R65" i="68"/>
  <c r="Z33" i="68"/>
  <c r="Z41" i="68" s="1"/>
  <c r="KI379" i="40"/>
  <c r="JS572" i="40"/>
  <c r="KI572" i="40"/>
  <c r="JU572" i="40"/>
  <c r="JV572" i="40" s="1"/>
  <c r="JW572" i="40" s="1"/>
  <c r="JT572" i="40"/>
  <c r="JX572" i="40" s="1"/>
  <c r="KJ572" i="40"/>
  <c r="KK572" i="40"/>
  <c r="Q71" i="68"/>
  <c r="Q67" i="68"/>
  <c r="Q63" i="68"/>
  <c r="Q55" i="68"/>
  <c r="Q53" i="68"/>
  <c r="Q65" i="68"/>
  <c r="Q69" i="68"/>
  <c r="Q51" i="68"/>
  <c r="Q59" i="68"/>
  <c r="Q57" i="68"/>
  <c r="Q61" i="68"/>
  <c r="JK659" i="40"/>
  <c r="KL205" i="40"/>
  <c r="AU13" i="66" s="1"/>
  <c r="AT19" i="67"/>
  <c r="AT20" i="67" s="1"/>
  <c r="Z39" i="67"/>
  <c r="JS674" i="40"/>
  <c r="JT674" i="40"/>
  <c r="A47" i="58"/>
  <c r="JL666" i="40"/>
  <c r="JK666" i="40" s="1"/>
  <c r="JX607" i="40"/>
  <c r="JU560" i="40"/>
  <c r="JV560" i="40" s="1"/>
  <c r="JW560" i="40" s="1"/>
  <c r="KK562" i="40"/>
  <c r="JK673" i="40"/>
  <c r="JK602" i="40"/>
  <c r="JL640" i="40"/>
  <c r="JK640" i="40" s="1"/>
  <c r="JT458" i="40"/>
  <c r="JX458" i="40" s="1"/>
  <c r="JU562" i="40"/>
  <c r="JV562" i="40" s="1"/>
  <c r="JW562" i="40" s="1"/>
  <c r="JM677" i="40"/>
  <c r="JT677" i="40" s="1"/>
  <c r="JL674" i="40"/>
  <c r="JU674" i="40" s="1"/>
  <c r="JV674" i="40" s="1"/>
  <c r="JW674" i="40" s="1"/>
  <c r="JL662" i="40"/>
  <c r="JK662" i="40" s="1"/>
  <c r="JS562" i="40"/>
  <c r="Y53" i="69"/>
  <c r="Y69" i="69"/>
  <c r="AT19" i="68"/>
  <c r="AT21" i="68" s="1"/>
  <c r="AS19" i="67"/>
  <c r="AS20" i="67" s="1"/>
  <c r="AS19" i="58"/>
  <c r="AS20" i="58" s="1"/>
  <c r="W40" i="62"/>
  <c r="S40" i="62" s="1"/>
  <c r="S41" i="62" s="1"/>
  <c r="M40" i="62"/>
  <c r="M41" i="62" s="1"/>
  <c r="H40" i="62"/>
  <c r="V40" i="62"/>
  <c r="N40" i="62"/>
  <c r="N41" i="62" s="1"/>
  <c r="L40" i="62"/>
  <c r="L41" i="62" s="1"/>
  <c r="O40" i="62"/>
  <c r="O41" i="62" s="1"/>
  <c r="F40" i="62"/>
  <c r="AE40" i="62"/>
  <c r="U40" i="62"/>
  <c r="Q40" i="62" s="1"/>
  <c r="Q41" i="62" s="1"/>
  <c r="J40" i="62"/>
  <c r="J41" i="62" s="1"/>
  <c r="AF40" i="62"/>
  <c r="AF41" i="62" s="1"/>
  <c r="AG41" i="62" s="1"/>
  <c r="I40" i="62"/>
  <c r="I41" i="62" s="1"/>
  <c r="G40" i="62"/>
  <c r="K40" i="62"/>
  <c r="K41" i="62" s="1"/>
  <c r="J38" i="62"/>
  <c r="J39" i="62" s="1"/>
  <c r="F38" i="62"/>
  <c r="O38" i="62"/>
  <c r="O39" i="62" s="1"/>
  <c r="K38" i="62"/>
  <c r="K39" i="62" s="1"/>
  <c r="AE38" i="62"/>
  <c r="M38" i="62"/>
  <c r="M39" i="62" s="1"/>
  <c r="V38" i="62"/>
  <c r="R38" i="62" s="1"/>
  <c r="R39" i="62" s="1"/>
  <c r="I38" i="62"/>
  <c r="I39" i="62" s="1"/>
  <c r="W38" i="62"/>
  <c r="S38" i="62" s="1"/>
  <c r="S39" i="62" s="1"/>
  <c r="U38" i="62"/>
  <c r="Q38" i="62" s="1"/>
  <c r="Q39" i="62" s="1"/>
  <c r="N38" i="62"/>
  <c r="N39" i="62" s="1"/>
  <c r="G38" i="62"/>
  <c r="L38" i="62"/>
  <c r="L39" i="62" s="1"/>
  <c r="AF38" i="62"/>
  <c r="AF39" i="62" s="1"/>
  <c r="AG39" i="62" s="1"/>
  <c r="H38" i="62"/>
  <c r="Y51" i="69"/>
  <c r="AE44" i="62"/>
  <c r="F44" i="62"/>
  <c r="N44" i="62"/>
  <c r="N45" i="62" s="1"/>
  <c r="W44" i="62"/>
  <c r="O44" i="62"/>
  <c r="O45" i="62" s="1"/>
  <c r="U44" i="62"/>
  <c r="Q44" i="62" s="1"/>
  <c r="Q45" i="62" s="1"/>
  <c r="L44" i="62"/>
  <c r="L45" i="62" s="1"/>
  <c r="H44" i="62"/>
  <c r="AF44" i="62"/>
  <c r="AF45" i="62" s="1"/>
  <c r="AG45" i="62" s="1"/>
  <c r="V44" i="62"/>
  <c r="K44" i="62"/>
  <c r="K45" i="62" s="1"/>
  <c r="M44" i="62"/>
  <c r="M45" i="62" s="1"/>
  <c r="J44" i="62"/>
  <c r="J45" i="62" s="1"/>
  <c r="G44" i="62"/>
  <c r="I44" i="62"/>
  <c r="I45" i="62" s="1"/>
  <c r="S44" i="62"/>
  <c r="S45" i="62" s="1"/>
  <c r="O42" i="62"/>
  <c r="O43" i="62" s="1"/>
  <c r="AF42" i="62"/>
  <c r="AF43" i="62" s="1"/>
  <c r="AG43" i="62" s="1"/>
  <c r="J42" i="62"/>
  <c r="J43" i="62" s="1"/>
  <c r="U42" i="62"/>
  <c r="M42" i="62"/>
  <c r="M43" i="62" s="1"/>
  <c r="H42" i="62"/>
  <c r="G42" i="62"/>
  <c r="I42" i="62"/>
  <c r="I43" i="62" s="1"/>
  <c r="K42" i="62"/>
  <c r="K43" i="62" s="1"/>
  <c r="F42" i="62"/>
  <c r="V42" i="62"/>
  <c r="R42" i="62" s="1"/>
  <c r="R43" i="62" s="1"/>
  <c r="W42" i="62"/>
  <c r="N42" i="62"/>
  <c r="N43" i="62" s="1"/>
  <c r="L42" i="62"/>
  <c r="L43" i="62" s="1"/>
  <c r="AE42" i="62"/>
  <c r="Q42" i="62"/>
  <c r="Q43" i="62" s="1"/>
  <c r="R61" i="71"/>
  <c r="R45" i="71"/>
  <c r="AS19" i="68"/>
  <c r="AS20" i="68" s="1"/>
  <c r="U34" i="62"/>
  <c r="Q34" i="62" s="1"/>
  <c r="Q35" i="62" s="1"/>
  <c r="K34" i="62"/>
  <c r="K35" i="62" s="1"/>
  <c r="H34" i="62"/>
  <c r="I34" i="62"/>
  <c r="I35" i="62" s="1"/>
  <c r="L34" i="62"/>
  <c r="L35" i="62" s="1"/>
  <c r="AF34" i="62"/>
  <c r="AF35" i="62" s="1"/>
  <c r="AG35" i="62" s="1"/>
  <c r="F34" i="62"/>
  <c r="J34" i="62"/>
  <c r="J35" i="62" s="1"/>
  <c r="N34" i="62"/>
  <c r="N35" i="62" s="1"/>
  <c r="W34" i="62"/>
  <c r="S34" i="62" s="1"/>
  <c r="S35" i="62" s="1"/>
  <c r="AE34" i="62"/>
  <c r="O34" i="62"/>
  <c r="O35" i="62" s="1"/>
  <c r="M34" i="62"/>
  <c r="M35" i="62" s="1"/>
  <c r="G34" i="62"/>
  <c r="V34" i="62"/>
  <c r="M36" i="62"/>
  <c r="M37" i="62" s="1"/>
  <c r="I36" i="62"/>
  <c r="I37" i="62" s="1"/>
  <c r="G36" i="62"/>
  <c r="N36" i="62"/>
  <c r="N37" i="62" s="1"/>
  <c r="U36" i="62"/>
  <c r="Q36" i="62" s="1"/>
  <c r="Q37" i="62" s="1"/>
  <c r="O36" i="62"/>
  <c r="O37" i="62" s="1"/>
  <c r="F36" i="62"/>
  <c r="AE36" i="62"/>
  <c r="V36" i="62"/>
  <c r="H36" i="62"/>
  <c r="J36" i="62"/>
  <c r="J37" i="62" s="1"/>
  <c r="L36" i="62"/>
  <c r="L37" i="62" s="1"/>
  <c r="AF36" i="62"/>
  <c r="AF37" i="62" s="1"/>
  <c r="AG37" i="62" s="1"/>
  <c r="W36" i="62"/>
  <c r="S36" i="62" s="1"/>
  <c r="S37" i="62" s="1"/>
  <c r="K36" i="62"/>
  <c r="K37" i="62" s="1"/>
  <c r="N46" i="62"/>
  <c r="N47" i="62" s="1"/>
  <c r="O46" i="62"/>
  <c r="O47" i="62" s="1"/>
  <c r="V46" i="62"/>
  <c r="R46" i="62" s="1"/>
  <c r="R47" i="62" s="1"/>
  <c r="L46" i="62"/>
  <c r="L47" i="62" s="1"/>
  <c r="G46" i="62"/>
  <c r="AF46" i="62"/>
  <c r="AF47" i="62" s="1"/>
  <c r="AG47" i="62" s="1"/>
  <c r="W46" i="62"/>
  <c r="S46" i="62" s="1"/>
  <c r="S47" i="62" s="1"/>
  <c r="M46" i="62"/>
  <c r="M47" i="62" s="1"/>
  <c r="U46" i="62"/>
  <c r="K46" i="62"/>
  <c r="K47" i="62" s="1"/>
  <c r="I46" i="62"/>
  <c r="I47" i="62" s="1"/>
  <c r="F46" i="62"/>
  <c r="H46" i="62"/>
  <c r="AE46" i="62"/>
  <c r="J46" i="62"/>
  <c r="J47" i="62" s="1"/>
  <c r="U48" i="62"/>
  <c r="Q48" i="62" s="1"/>
  <c r="Q49" i="62" s="1"/>
  <c r="N48" i="62"/>
  <c r="N49" i="62" s="1"/>
  <c r="V48" i="62"/>
  <c r="H48" i="62"/>
  <c r="K48" i="62"/>
  <c r="K49" i="62" s="1"/>
  <c r="M48" i="62"/>
  <c r="M49" i="62" s="1"/>
  <c r="J48" i="62"/>
  <c r="J49" i="62" s="1"/>
  <c r="I48" i="62"/>
  <c r="I49" i="62" s="1"/>
  <c r="F48" i="62"/>
  <c r="AF48" i="62"/>
  <c r="AF49" i="62" s="1"/>
  <c r="AG49" i="62" s="1"/>
  <c r="W48" i="62"/>
  <c r="O48" i="62"/>
  <c r="O49" i="62" s="1"/>
  <c r="AE48" i="62"/>
  <c r="G48" i="62"/>
  <c r="L48" i="62"/>
  <c r="L49" i="62" s="1"/>
  <c r="JM514" i="40"/>
  <c r="KO514" i="40" s="1"/>
  <c r="KK458" i="40"/>
  <c r="JM228" i="40"/>
  <c r="JM628" i="40" s="1"/>
  <c r="JU466" i="40"/>
  <c r="JV466" i="40" s="1"/>
  <c r="JW466" i="40" s="1"/>
  <c r="JT466" i="40"/>
  <c r="JX466" i="40" s="1"/>
  <c r="KI466" i="40"/>
  <c r="JS466" i="40"/>
  <c r="KJ466" i="40"/>
  <c r="KK466" i="40"/>
  <c r="AS19" i="69"/>
  <c r="AS21" i="69" s="1"/>
  <c r="KJ458" i="40"/>
  <c r="JL672" i="40"/>
  <c r="JK672" i="40" s="1"/>
  <c r="JU458" i="40"/>
  <c r="JV458" i="40" s="1"/>
  <c r="JW458" i="40" s="1"/>
  <c r="JM430" i="40"/>
  <c r="KJ430" i="40" s="1"/>
  <c r="AN60" i="70"/>
  <c r="JL664" i="40"/>
  <c r="JK664" i="40" s="1"/>
  <c r="X20" i="70"/>
  <c r="JM606" i="40"/>
  <c r="JS606" i="40" s="1"/>
  <c r="JU462" i="40"/>
  <c r="JV462" i="40" s="1"/>
  <c r="JW462" i="40" s="1"/>
  <c r="JT462" i="40"/>
  <c r="JX462" i="40" s="1"/>
  <c r="KK462" i="40"/>
  <c r="JS462" i="40"/>
  <c r="KI462" i="40"/>
  <c r="KJ462" i="40"/>
  <c r="AN62" i="70"/>
  <c r="AN44" i="70"/>
  <c r="X31" i="70"/>
  <c r="X68" i="70"/>
  <c r="JK614" i="40"/>
  <c r="JK628" i="40"/>
  <c r="AN46" i="70"/>
  <c r="Q41" i="66"/>
  <c r="R51" i="71"/>
  <c r="R67" i="71"/>
  <c r="JL660" i="40"/>
  <c r="JK660" i="40" s="1"/>
  <c r="KK560" i="40"/>
  <c r="KI261" i="40"/>
  <c r="KK261" i="40"/>
  <c r="JU261" i="40"/>
  <c r="JV261" i="40" s="1"/>
  <c r="JW261" i="40" s="1"/>
  <c r="JT261" i="40"/>
  <c r="JX261" i="40" s="1"/>
  <c r="JS261" i="40"/>
  <c r="KJ261" i="40"/>
  <c r="R53" i="71"/>
  <c r="R49" i="71"/>
  <c r="X64" i="70"/>
  <c r="Y57" i="69"/>
  <c r="JS560" i="40"/>
  <c r="R39" i="71"/>
  <c r="KI560" i="40"/>
  <c r="JT472" i="40"/>
  <c r="JX472" i="40" s="1"/>
  <c r="KK472" i="40"/>
  <c r="KJ472" i="40"/>
  <c r="JS472" i="40"/>
  <c r="KI472" i="40"/>
  <c r="JU472" i="40"/>
  <c r="JV472" i="40" s="1"/>
  <c r="JW472" i="40" s="1"/>
  <c r="R35" i="71"/>
  <c r="Y61" i="69"/>
  <c r="Y65" i="69"/>
  <c r="JT560" i="40"/>
  <c r="JX560" i="40" s="1"/>
  <c r="KJ478" i="40"/>
  <c r="KK478" i="40"/>
  <c r="KI478" i="40"/>
  <c r="JU478" i="40"/>
  <c r="JV478" i="40" s="1"/>
  <c r="JW478" i="40" s="1"/>
  <c r="JT478" i="40"/>
  <c r="JX478" i="40" s="1"/>
  <c r="JS478" i="40"/>
  <c r="X44" i="70"/>
  <c r="R55" i="71"/>
  <c r="R41" i="71"/>
  <c r="X54" i="70"/>
  <c r="Y71" i="69"/>
  <c r="Y59" i="69"/>
  <c r="R53" i="68"/>
  <c r="R57" i="68"/>
  <c r="JL680" i="40"/>
  <c r="JK680" i="40" s="1"/>
  <c r="X56" i="70"/>
  <c r="Y63" i="69"/>
  <c r="Y67" i="69"/>
  <c r="R39" i="68"/>
  <c r="R69" i="71"/>
  <c r="R57" i="71"/>
  <c r="X52" i="70"/>
  <c r="R63" i="71"/>
  <c r="R47" i="66"/>
  <c r="Y55" i="69"/>
  <c r="AU19" i="71"/>
  <c r="AU21" i="71" s="1"/>
  <c r="X27" i="70"/>
  <c r="AN26" i="70"/>
  <c r="X42" i="70"/>
  <c r="JK622" i="40"/>
  <c r="AT19" i="66"/>
  <c r="AD10" i="61"/>
  <c r="AH10" i="61" s="1"/>
  <c r="X22" i="70"/>
  <c r="KJ306" i="40"/>
  <c r="JU306" i="40"/>
  <c r="JV306" i="40" s="1"/>
  <c r="JW306" i="40" s="1"/>
  <c r="JS306" i="40"/>
  <c r="JT306" i="40"/>
  <c r="JX306" i="40" s="1"/>
  <c r="KI306" i="40"/>
  <c r="AC20" i="70"/>
  <c r="KK306" i="40"/>
  <c r="X48" i="70"/>
  <c r="AN50" i="70"/>
  <c r="AN66" i="70"/>
  <c r="AN48" i="70"/>
  <c r="R41" i="66"/>
  <c r="JU563" i="40"/>
  <c r="JV563" i="40" s="1"/>
  <c r="JW563" i="40" s="1"/>
  <c r="JT563" i="40"/>
  <c r="JX563" i="40" s="1"/>
  <c r="R39" i="66"/>
  <c r="JM422" i="40"/>
  <c r="AF36" i="70" s="1"/>
  <c r="X62" i="70"/>
  <c r="X29" i="70"/>
  <c r="X60" i="70"/>
  <c r="X24" i="70"/>
  <c r="AF65" i="70"/>
  <c r="X46" i="70"/>
  <c r="AN23" i="70"/>
  <c r="AN21" i="70"/>
  <c r="AN54" i="70"/>
  <c r="AN52" i="70"/>
  <c r="AN64" i="70"/>
  <c r="R45" i="66"/>
  <c r="JL663" i="40"/>
  <c r="JK663" i="40" s="1"/>
  <c r="JM660" i="40"/>
  <c r="JT660" i="40" s="1"/>
  <c r="JK620" i="40"/>
  <c r="KJ563" i="40"/>
  <c r="R35" i="66"/>
  <c r="X66" i="70"/>
  <c r="X28" i="70"/>
  <c r="JM442" i="40"/>
  <c r="KJ442" i="40" s="1"/>
  <c r="X58" i="70"/>
  <c r="X25" i="70"/>
  <c r="AN58" i="70"/>
  <c r="AN56" i="70"/>
  <c r="R49" i="66"/>
  <c r="JM670" i="40"/>
  <c r="R59" i="71"/>
  <c r="R47" i="71"/>
  <c r="R37" i="71"/>
  <c r="JK642" i="40"/>
  <c r="R43" i="66"/>
  <c r="JK630" i="40"/>
  <c r="Z45" i="66"/>
  <c r="Z67" i="66"/>
  <c r="Z53" i="66"/>
  <c r="Z51" i="66"/>
  <c r="Z57" i="66"/>
  <c r="Z59" i="66"/>
  <c r="Z61" i="66"/>
  <c r="Z69" i="66"/>
  <c r="Z55" i="66"/>
  <c r="Z39" i="66"/>
  <c r="Z63" i="66"/>
  <c r="Z65" i="66"/>
  <c r="Z71" i="66"/>
  <c r="Z35" i="66"/>
  <c r="Z41" i="66"/>
  <c r="Z49" i="66"/>
  <c r="AT19" i="58"/>
  <c r="AT21" i="58" s="1"/>
  <c r="X32" i="70"/>
  <c r="JS377" i="40"/>
  <c r="JU377" i="40"/>
  <c r="JV377" i="40" s="1"/>
  <c r="JW377" i="40" s="1"/>
  <c r="KK377" i="40"/>
  <c r="JT377" i="40"/>
  <c r="JX377" i="40" s="1"/>
  <c r="KI377" i="40"/>
  <c r="KJ377" i="40"/>
  <c r="KJ374" i="40"/>
  <c r="KK374" i="40"/>
  <c r="JT374" i="40"/>
  <c r="JX374" i="40" s="1"/>
  <c r="KI374" i="40"/>
  <c r="JS374" i="40"/>
  <c r="JU374" i="40"/>
  <c r="JV374" i="40" s="1"/>
  <c r="JW374" i="40" s="1"/>
  <c r="KJ203" i="40"/>
  <c r="KK203" i="40"/>
  <c r="JT203" i="40"/>
  <c r="JX203" i="40" s="1"/>
  <c r="KI203" i="40"/>
  <c r="JS203" i="40"/>
  <c r="JU203" i="40"/>
  <c r="JV203" i="40" s="1"/>
  <c r="JW203" i="40" s="1"/>
  <c r="JS271" i="40"/>
  <c r="JT271" i="40"/>
  <c r="JX271" i="40" s="1"/>
  <c r="KJ271" i="40"/>
  <c r="JU271" i="40"/>
  <c r="JV271" i="40" s="1"/>
  <c r="JW271" i="40" s="1"/>
  <c r="KK271" i="40"/>
  <c r="KI271" i="40"/>
  <c r="JF630" i="40"/>
  <c r="JM316" i="40"/>
  <c r="KO316" i="40" s="1"/>
  <c r="JL616" i="40"/>
  <c r="JK616" i="40" s="1"/>
  <c r="JU566" i="40"/>
  <c r="JV566" i="40" s="1"/>
  <c r="JW566" i="40" s="1"/>
  <c r="KI566" i="40"/>
  <c r="JT566" i="40"/>
  <c r="JX566" i="40" s="1"/>
  <c r="JS566" i="40"/>
  <c r="KK566" i="40"/>
  <c r="KJ566" i="40"/>
  <c r="Z47" i="66"/>
  <c r="JM508" i="40"/>
  <c r="JM608" i="40" s="1"/>
  <c r="JL608" i="40"/>
  <c r="JK608" i="40" s="1"/>
  <c r="JU413" i="40"/>
  <c r="JV413" i="40" s="1"/>
  <c r="JW413" i="40" s="1"/>
  <c r="KI413" i="40"/>
  <c r="JT413" i="40"/>
  <c r="JX413" i="40" s="1"/>
  <c r="KK413" i="40"/>
  <c r="AK27" i="70"/>
  <c r="JS413" i="40"/>
  <c r="KJ413" i="40"/>
  <c r="Z37" i="66"/>
  <c r="Z43" i="66"/>
  <c r="KJ370" i="40"/>
  <c r="KI370" i="40"/>
  <c r="JU370" i="40"/>
  <c r="JV370" i="40" s="1"/>
  <c r="JW370" i="40" s="1"/>
  <c r="KK370" i="40"/>
  <c r="JT370" i="40"/>
  <c r="JX370" i="40" s="1"/>
  <c r="JS370" i="40"/>
  <c r="AA44" i="58"/>
  <c r="AA45" i="58" s="1"/>
  <c r="S45" i="58"/>
  <c r="A45" i="58" s="1"/>
  <c r="JU564" i="40"/>
  <c r="JV564" i="40" s="1"/>
  <c r="JW564" i="40" s="1"/>
  <c r="KI564" i="40"/>
  <c r="JT564" i="40"/>
  <c r="JX564" i="40" s="1"/>
  <c r="KJ564" i="40"/>
  <c r="KK564" i="40"/>
  <c r="JS564" i="40"/>
  <c r="AS20" i="70"/>
  <c r="KK506" i="40"/>
  <c r="JS506" i="40"/>
  <c r="JU506" i="40"/>
  <c r="JV506" i="40" s="1"/>
  <c r="JW506" i="40" s="1"/>
  <c r="KJ506" i="40"/>
  <c r="JT506" i="40"/>
  <c r="JX506" i="40" s="1"/>
  <c r="KI506" i="40"/>
  <c r="R67" i="66"/>
  <c r="R59" i="66"/>
  <c r="R63" i="66"/>
  <c r="R37" i="66"/>
  <c r="R55" i="66"/>
  <c r="R61" i="66"/>
  <c r="R71" i="66"/>
  <c r="R53" i="66"/>
  <c r="R57" i="66"/>
  <c r="R69" i="66"/>
  <c r="R51" i="66"/>
  <c r="R65" i="66"/>
  <c r="KK380" i="40"/>
  <c r="JU380" i="40"/>
  <c r="JV380" i="40" s="1"/>
  <c r="JW380" i="40" s="1"/>
  <c r="KI380" i="40"/>
  <c r="JS380" i="40"/>
  <c r="JT380" i="40"/>
  <c r="JX380" i="40" s="1"/>
  <c r="KJ380" i="40"/>
  <c r="JT565" i="40"/>
  <c r="JX565" i="40" s="1"/>
  <c r="KI565" i="40"/>
  <c r="JS565" i="40"/>
  <c r="KK565" i="40"/>
  <c r="JU565" i="40"/>
  <c r="JV565" i="40" s="1"/>
  <c r="JW565" i="40" s="1"/>
  <c r="KJ565" i="40"/>
  <c r="JK654" i="40"/>
  <c r="JF654" i="40"/>
  <c r="JM417" i="40"/>
  <c r="KO417" i="40" s="1"/>
  <c r="JL617" i="40"/>
  <c r="JK617" i="40" s="1"/>
  <c r="JM618" i="40"/>
  <c r="JT618" i="40" s="1"/>
  <c r="JK611" i="40"/>
  <c r="G20" i="59" s="1"/>
  <c r="JK657" i="40"/>
  <c r="JM501" i="40"/>
  <c r="JS501" i="40" s="1"/>
  <c r="Z53" i="68"/>
  <c r="KJ332" i="40"/>
  <c r="JT332" i="40"/>
  <c r="JX332" i="40" s="1"/>
  <c r="KI332" i="40"/>
  <c r="AC9" i="70"/>
  <c r="JS332" i="40"/>
  <c r="JU332" i="40"/>
  <c r="JV332" i="40" s="1"/>
  <c r="JW332" i="40" s="1"/>
  <c r="AC46" i="70"/>
  <c r="KK332" i="40"/>
  <c r="Y39" i="58"/>
  <c r="Z35" i="67"/>
  <c r="AK7" i="70"/>
  <c r="KI455" i="40"/>
  <c r="JU455" i="40"/>
  <c r="JV455" i="40" s="1"/>
  <c r="JW455" i="40" s="1"/>
  <c r="KK455" i="40"/>
  <c r="JT455" i="40"/>
  <c r="JX455" i="40" s="1"/>
  <c r="KJ455" i="40"/>
  <c r="AK69" i="70"/>
  <c r="JS455" i="40"/>
  <c r="KI207" i="40"/>
  <c r="JT207" i="40"/>
  <c r="KK207" i="40"/>
  <c r="JU207" i="40"/>
  <c r="JV207" i="40" s="1"/>
  <c r="JW207" i="40" s="1"/>
  <c r="KJ207" i="40"/>
  <c r="U21" i="70"/>
  <c r="JS207" i="40"/>
  <c r="JT359" i="40"/>
  <c r="JX359" i="40" s="1"/>
  <c r="JS359" i="40"/>
  <c r="KJ359" i="40"/>
  <c r="KK359" i="40"/>
  <c r="JU359" i="40"/>
  <c r="JV359" i="40" s="1"/>
  <c r="JW359" i="40" s="1"/>
  <c r="KI359" i="40"/>
  <c r="A41" i="58"/>
  <c r="JU260" i="40"/>
  <c r="JV260" i="40" s="1"/>
  <c r="JW260" i="40" s="1"/>
  <c r="KK260" i="40"/>
  <c r="JT260" i="40"/>
  <c r="JX260" i="40" s="1"/>
  <c r="KJ260" i="40"/>
  <c r="KI260" i="40"/>
  <c r="JS260" i="40"/>
  <c r="AA33" i="67"/>
  <c r="AA37" i="67" s="1"/>
  <c r="JU447" i="40"/>
  <c r="JV447" i="40" s="1"/>
  <c r="JW447" i="40" s="1"/>
  <c r="KI447" i="40"/>
  <c r="JT447" i="40"/>
  <c r="JX447" i="40" s="1"/>
  <c r="KK447" i="40"/>
  <c r="AK61" i="70"/>
  <c r="KJ447" i="40"/>
  <c r="JS447" i="40"/>
  <c r="AC54" i="70"/>
  <c r="JS340" i="40"/>
  <c r="JU340" i="40"/>
  <c r="JV340" i="40" s="1"/>
  <c r="JW340" i="40" s="1"/>
  <c r="KJ340" i="40"/>
  <c r="JT340" i="40"/>
  <c r="JX340" i="40" s="1"/>
  <c r="KK340" i="40"/>
  <c r="KI340" i="40"/>
  <c r="JU481" i="40"/>
  <c r="AK18" i="70"/>
  <c r="JT481" i="40"/>
  <c r="JX481" i="40" s="1"/>
  <c r="KJ481" i="40"/>
  <c r="KK481" i="40"/>
  <c r="JS481" i="40"/>
  <c r="KI481" i="40"/>
  <c r="AT19" i="71"/>
  <c r="AT21" i="71" s="1"/>
  <c r="JM680" i="40"/>
  <c r="JT680" i="40" s="1"/>
  <c r="JM463" i="40"/>
  <c r="KK463" i="40" s="1"/>
  <c r="JM336" i="40"/>
  <c r="KO336" i="40" s="1"/>
  <c r="JT223" i="40"/>
  <c r="JX223" i="40" s="1"/>
  <c r="KK223" i="40"/>
  <c r="U37" i="70"/>
  <c r="KJ223" i="40"/>
  <c r="JU223" i="40"/>
  <c r="JV223" i="40" s="1"/>
  <c r="JW223" i="40" s="1"/>
  <c r="KI223" i="40"/>
  <c r="JS223" i="40"/>
  <c r="JT308" i="40"/>
  <c r="JX308" i="40" s="1"/>
  <c r="JS308" i="40"/>
  <c r="AC22" i="70"/>
  <c r="KJ308" i="40"/>
  <c r="KI308" i="40"/>
  <c r="JU308" i="40"/>
  <c r="JV308" i="40" s="1"/>
  <c r="JW308" i="40" s="1"/>
  <c r="KK308" i="40"/>
  <c r="KI407" i="40"/>
  <c r="JU407" i="40"/>
  <c r="JV407" i="40" s="1"/>
  <c r="JW407" i="40" s="1"/>
  <c r="JS407" i="40"/>
  <c r="JT407" i="40"/>
  <c r="KK407" i="40"/>
  <c r="AK21" i="70"/>
  <c r="KJ407" i="40"/>
  <c r="AB10" i="61"/>
  <c r="T10" i="61" s="1"/>
  <c r="JS338" i="40"/>
  <c r="AC52" i="70"/>
  <c r="JT338" i="40"/>
  <c r="JX338" i="40" s="1"/>
  <c r="KK338" i="40"/>
  <c r="KJ338" i="40"/>
  <c r="JU338" i="40"/>
  <c r="JV338" i="40" s="1"/>
  <c r="JW338" i="40" s="1"/>
  <c r="KI338" i="40"/>
  <c r="AC42" i="70"/>
  <c r="KI328" i="40"/>
  <c r="KK328" i="40"/>
  <c r="JU328" i="40"/>
  <c r="JV328" i="40" s="1"/>
  <c r="JW328" i="40" s="1"/>
  <c r="KJ328" i="40"/>
  <c r="JT328" i="40"/>
  <c r="JX328" i="40" s="1"/>
  <c r="AC14" i="70"/>
  <c r="JS328" i="40"/>
  <c r="KL303" i="40"/>
  <c r="AS13" i="67" s="1"/>
  <c r="KO356" i="40"/>
  <c r="JT356" i="40"/>
  <c r="JX356" i="40" s="1"/>
  <c r="KJ356" i="40"/>
  <c r="KK356" i="40"/>
  <c r="AC8" i="70"/>
  <c r="KI356" i="40"/>
  <c r="JU356" i="40"/>
  <c r="JV356" i="40" s="1"/>
  <c r="JW356" i="40" s="1"/>
  <c r="X8" i="70"/>
  <c r="BI8" i="70" s="1"/>
  <c r="JS356" i="40"/>
  <c r="KT401" i="40"/>
  <c r="KT402" i="40" s="1"/>
  <c r="KT403" i="40" s="1"/>
  <c r="KT404" i="40" s="1"/>
  <c r="KT405" i="40" s="1"/>
  <c r="KT406" i="40" s="1"/>
  <c r="JT401" i="40"/>
  <c r="JU401" i="40"/>
  <c r="JV401" i="40" s="1"/>
  <c r="JW401" i="40" s="1"/>
  <c r="JS401" i="40"/>
  <c r="AS19" i="71"/>
  <c r="AS21" i="71" s="1"/>
  <c r="AE33" i="67"/>
  <c r="KO303" i="40"/>
  <c r="KO314" i="40"/>
  <c r="KO380" i="40"/>
  <c r="KO378" i="40"/>
  <c r="KO310" i="40"/>
  <c r="KO334" i="40"/>
  <c r="KO357" i="40"/>
  <c r="KO305" i="40"/>
  <c r="JU302" i="40"/>
  <c r="KO361" i="40"/>
  <c r="KO332" i="40"/>
  <c r="KO374" i="40"/>
  <c r="KO370" i="40"/>
  <c r="KO362" i="40"/>
  <c r="KO381" i="40"/>
  <c r="KO328" i="40"/>
  <c r="KO340" i="40"/>
  <c r="KO379" i="40"/>
  <c r="KO308" i="40"/>
  <c r="KO376" i="40"/>
  <c r="KO306" i="40"/>
  <c r="KO363" i="40"/>
  <c r="KO359" i="40"/>
  <c r="KO302" i="40"/>
  <c r="KO360" i="40"/>
  <c r="X10" i="70"/>
  <c r="BI10" i="70" s="1"/>
  <c r="KO377" i="40"/>
  <c r="KO366" i="40"/>
  <c r="X9" i="70"/>
  <c r="BI9" i="70" s="1"/>
  <c r="KO369" i="40"/>
  <c r="KO330" i="40"/>
  <c r="KO364" i="40"/>
  <c r="KI302" i="40"/>
  <c r="KO368" i="40"/>
  <c r="KO338" i="40"/>
  <c r="JT302" i="40"/>
  <c r="JX302" i="40" s="1"/>
  <c r="KJ302" i="40"/>
  <c r="X14" i="70"/>
  <c r="BI14" i="70" s="1"/>
  <c r="KO365" i="40"/>
  <c r="KK302" i="40"/>
  <c r="X18" i="70"/>
  <c r="BI18" i="70" s="1"/>
  <c r="JS302" i="40"/>
  <c r="KI315" i="40"/>
  <c r="JU315" i="40"/>
  <c r="JV315" i="40" s="1"/>
  <c r="JW315" i="40" s="1"/>
  <c r="AC13" i="70"/>
  <c r="JS315" i="40"/>
  <c r="KO315" i="40"/>
  <c r="AC29" i="70"/>
  <c r="KJ315" i="40"/>
  <c r="JT315" i="40"/>
  <c r="JX315" i="40" s="1"/>
  <c r="X13" i="70"/>
  <c r="BI13" i="70" s="1"/>
  <c r="KK315" i="40"/>
  <c r="JT451" i="40"/>
  <c r="JX451" i="40" s="1"/>
  <c r="KJ451" i="40"/>
  <c r="AK65" i="70"/>
  <c r="JS451" i="40"/>
  <c r="JU451" i="40"/>
  <c r="JV451" i="40" s="1"/>
  <c r="JW451" i="40" s="1"/>
  <c r="KK451" i="40"/>
  <c r="KI451" i="40"/>
  <c r="KO342" i="40"/>
  <c r="AC56" i="70"/>
  <c r="KK342" i="40"/>
  <c r="KJ342" i="40"/>
  <c r="JU342" i="40"/>
  <c r="JV342" i="40" s="1"/>
  <c r="JW342" i="40" s="1"/>
  <c r="JT342" i="40"/>
  <c r="JX342" i="40" s="1"/>
  <c r="JS342" i="40"/>
  <c r="KI342" i="40"/>
  <c r="AC64" i="70"/>
  <c r="KO350" i="40"/>
  <c r="JU350" i="40"/>
  <c r="JV350" i="40" s="1"/>
  <c r="JW350" i="40" s="1"/>
  <c r="JS350" i="40"/>
  <c r="JT350" i="40"/>
  <c r="JX350" i="40" s="1"/>
  <c r="KJ350" i="40"/>
  <c r="KI350" i="40"/>
  <c r="KK350" i="40"/>
  <c r="AN20" i="70"/>
  <c r="AN36" i="70"/>
  <c r="AN38" i="70"/>
  <c r="AN40" i="70"/>
  <c r="AE33" i="69"/>
  <c r="AN42" i="70"/>
  <c r="JU502" i="40"/>
  <c r="KO564" i="40"/>
  <c r="KO575" i="40"/>
  <c r="KO556" i="40"/>
  <c r="KO524" i="40"/>
  <c r="KO563" i="40"/>
  <c r="KO536" i="40"/>
  <c r="KO579" i="40"/>
  <c r="KO509" i="40"/>
  <c r="KO565" i="40"/>
  <c r="KO522" i="40"/>
  <c r="KO581" i="40"/>
  <c r="KO502" i="40"/>
  <c r="KO574" i="40"/>
  <c r="KO520" i="40"/>
  <c r="KO526" i="40"/>
  <c r="KO576" i="40"/>
  <c r="KO568" i="40"/>
  <c r="KO557" i="40"/>
  <c r="KO532" i="40"/>
  <c r="KO578" i="40"/>
  <c r="KO506" i="40"/>
  <c r="KO550" i="40"/>
  <c r="KO560" i="40"/>
  <c r="KO544" i="40"/>
  <c r="KO566" i="40"/>
  <c r="KO552" i="40"/>
  <c r="KO571" i="40"/>
  <c r="KO538" i="40"/>
  <c r="KO534" i="40"/>
  <c r="KO528" i="40"/>
  <c r="AN8" i="70"/>
  <c r="BO8" i="70" s="1"/>
  <c r="KO572" i="40"/>
  <c r="KO570" i="40"/>
  <c r="KO546" i="40"/>
  <c r="KO530" i="40"/>
  <c r="KO554" i="40"/>
  <c r="KO573" i="40"/>
  <c r="AN14" i="70"/>
  <c r="BO14" i="70" s="1"/>
  <c r="KJ502" i="40"/>
  <c r="KO548" i="40"/>
  <c r="KO562" i="40"/>
  <c r="AN9" i="70"/>
  <c r="BO9" i="70" s="1"/>
  <c r="JT502" i="40"/>
  <c r="JX502" i="40" s="1"/>
  <c r="KI502" i="40"/>
  <c r="KO542" i="40"/>
  <c r="KO540" i="40"/>
  <c r="AN18" i="70"/>
  <c r="BO18" i="70" s="1"/>
  <c r="AN10" i="70"/>
  <c r="BO10" i="70" s="1"/>
  <c r="JS502" i="40"/>
  <c r="KK502" i="40"/>
  <c r="JM515" i="40"/>
  <c r="JM615" i="40" s="1"/>
  <c r="R71" i="71"/>
  <c r="R43" i="71"/>
  <c r="JM658" i="40"/>
  <c r="KO358" i="40"/>
  <c r="JS358" i="40"/>
  <c r="JT358" i="40"/>
  <c r="JX358" i="40" s="1"/>
  <c r="KJ358" i="40"/>
  <c r="JU358" i="40"/>
  <c r="JV358" i="40" s="1"/>
  <c r="JW358" i="40" s="1"/>
  <c r="KI358" i="40"/>
  <c r="KK358" i="40"/>
  <c r="JS263" i="40"/>
  <c r="JU263" i="40"/>
  <c r="JV263" i="40" s="1"/>
  <c r="JW263" i="40" s="1"/>
  <c r="KI263" i="40"/>
  <c r="JT263" i="40"/>
  <c r="JX263" i="40" s="1"/>
  <c r="KJ263" i="40"/>
  <c r="KK263" i="40"/>
  <c r="JU561" i="40"/>
  <c r="JV561" i="40" s="1"/>
  <c r="JW561" i="40" s="1"/>
  <c r="KO561" i="40"/>
  <c r="KK561" i="40"/>
  <c r="KI561" i="40"/>
  <c r="JS561" i="40"/>
  <c r="JT561" i="40"/>
  <c r="JX561" i="40" s="1"/>
  <c r="KJ561" i="40"/>
  <c r="JU270" i="40"/>
  <c r="JV270" i="40" s="1"/>
  <c r="JW270" i="40" s="1"/>
  <c r="KK270" i="40"/>
  <c r="KJ270" i="40"/>
  <c r="JS270" i="40"/>
  <c r="KI270" i="40"/>
  <c r="JT270" i="40"/>
  <c r="JX270" i="40" s="1"/>
  <c r="JM661" i="40"/>
  <c r="JU257" i="40"/>
  <c r="JV257" i="40" s="1"/>
  <c r="JW257" i="40" s="1"/>
  <c r="KJ257" i="40"/>
  <c r="KK257" i="40"/>
  <c r="JT257" i="40"/>
  <c r="JX257" i="40" s="1"/>
  <c r="JS257" i="40"/>
  <c r="KI257" i="40"/>
  <c r="Y33" i="66"/>
  <c r="Y47" i="66" s="1"/>
  <c r="S49" i="67"/>
  <c r="S51" i="67"/>
  <c r="S55" i="67"/>
  <c r="S59" i="67"/>
  <c r="S69" i="67"/>
  <c r="S65" i="67"/>
  <c r="S35" i="67"/>
  <c r="S67" i="67"/>
  <c r="S71" i="67"/>
  <c r="S41" i="67"/>
  <c r="S53" i="67"/>
  <c r="S57" i="67"/>
  <c r="S61" i="67"/>
  <c r="S45" i="67"/>
  <c r="S37" i="67"/>
  <c r="S63" i="67"/>
  <c r="Q47" i="66"/>
  <c r="Q43" i="66"/>
  <c r="S43" i="67"/>
  <c r="KT301" i="40"/>
  <c r="KT302" i="40" s="1"/>
  <c r="KT303" i="40" s="1"/>
  <c r="KO301" i="40"/>
  <c r="JT301" i="40"/>
  <c r="JU301" i="40"/>
  <c r="JV301" i="40" s="1"/>
  <c r="JW301" i="40" s="1"/>
  <c r="JS301" i="40"/>
  <c r="JU317" i="40"/>
  <c r="JV317" i="40" s="1"/>
  <c r="JW317" i="40" s="1"/>
  <c r="KO317" i="40"/>
  <c r="JS317" i="40"/>
  <c r="X15" i="70"/>
  <c r="BI15" i="70" s="1"/>
  <c r="KJ317" i="40"/>
  <c r="AC31" i="70"/>
  <c r="KK317" i="40"/>
  <c r="JT317" i="40"/>
  <c r="JX317" i="40" s="1"/>
  <c r="AC15" i="70"/>
  <c r="KI317" i="40"/>
  <c r="AN30" i="70"/>
  <c r="KO516" i="40"/>
  <c r="AS30" i="70"/>
  <c r="JS516" i="40"/>
  <c r="JU516" i="40"/>
  <c r="KI516" i="40"/>
  <c r="JT516" i="40"/>
  <c r="JX516" i="40" s="1"/>
  <c r="KK516" i="40"/>
  <c r="KJ516" i="40"/>
  <c r="KO507" i="40"/>
  <c r="AS21" i="70"/>
  <c r="KJ507" i="40"/>
  <c r="JS507" i="40"/>
  <c r="JU507" i="40"/>
  <c r="JV507" i="40" s="1"/>
  <c r="JW507" i="40" s="1"/>
  <c r="KI507" i="40"/>
  <c r="JT507" i="40"/>
  <c r="KK507" i="40"/>
  <c r="KO344" i="40"/>
  <c r="JT344" i="40"/>
  <c r="JX344" i="40" s="1"/>
  <c r="KJ344" i="40"/>
  <c r="KK344" i="40"/>
  <c r="AC58" i="70"/>
  <c r="KI344" i="40"/>
  <c r="JS344" i="40"/>
  <c r="JU344" i="40"/>
  <c r="JV344" i="40" s="1"/>
  <c r="JW344" i="40" s="1"/>
  <c r="KO352" i="40"/>
  <c r="JS352" i="40"/>
  <c r="JT352" i="40"/>
  <c r="JX352" i="40" s="1"/>
  <c r="KJ352" i="40"/>
  <c r="AC66" i="70"/>
  <c r="KK352" i="40"/>
  <c r="JU352" i="40"/>
  <c r="JV352" i="40" s="1"/>
  <c r="JW352" i="40" s="1"/>
  <c r="KI352" i="40"/>
  <c r="JK676" i="40"/>
  <c r="JL656" i="40"/>
  <c r="JK656" i="40" s="1"/>
  <c r="Z69" i="71"/>
  <c r="Z63" i="71"/>
  <c r="Z51" i="71"/>
  <c r="Z37" i="71"/>
  <c r="Z59" i="71"/>
  <c r="Z45" i="71"/>
  <c r="Z41" i="71"/>
  <c r="Z39" i="71"/>
  <c r="Z61" i="71"/>
  <c r="Z35" i="71"/>
  <c r="Z43" i="71"/>
  <c r="Z53" i="71"/>
  <c r="Z55" i="71"/>
  <c r="Z49" i="71"/>
  <c r="Z57" i="71"/>
  <c r="Z71" i="71"/>
  <c r="Z67" i="71"/>
  <c r="Z47" i="71"/>
  <c r="Z65" i="71"/>
  <c r="KO577" i="40"/>
  <c r="JT577" i="40"/>
  <c r="JX577" i="40" s="1"/>
  <c r="JU577" i="40"/>
  <c r="JV577" i="40" s="1"/>
  <c r="JW577" i="40" s="1"/>
  <c r="KI577" i="40"/>
  <c r="JS577" i="40"/>
  <c r="KK577" i="40"/>
  <c r="KJ577" i="40"/>
  <c r="JM672" i="40"/>
  <c r="KO372" i="40"/>
  <c r="KJ372" i="40"/>
  <c r="KK372" i="40"/>
  <c r="JT372" i="40"/>
  <c r="JX372" i="40" s="1"/>
  <c r="KI372" i="40"/>
  <c r="JU372" i="40"/>
  <c r="JV372" i="40" s="1"/>
  <c r="JW372" i="40" s="1"/>
  <c r="JS372" i="40"/>
  <c r="KK373" i="40"/>
  <c r="KJ373" i="40"/>
  <c r="KJ258" i="40"/>
  <c r="JU258" i="40"/>
  <c r="JV258" i="40" s="1"/>
  <c r="JW258" i="40" s="1"/>
  <c r="KK258" i="40"/>
  <c r="JS258" i="40"/>
  <c r="JT258" i="40"/>
  <c r="JX258" i="40" s="1"/>
  <c r="KI258" i="40"/>
  <c r="AK59" i="70"/>
  <c r="KK445" i="40"/>
  <c r="JU445" i="40"/>
  <c r="JV445" i="40" s="1"/>
  <c r="JW445" i="40" s="1"/>
  <c r="KJ445" i="40"/>
  <c r="JT445" i="40"/>
  <c r="JX445" i="40" s="1"/>
  <c r="JS445" i="40"/>
  <c r="KI445" i="40"/>
  <c r="JM457" i="40"/>
  <c r="KO457" i="40" s="1"/>
  <c r="Q35" i="66"/>
  <c r="AA47" i="66"/>
  <c r="AA59" i="66"/>
  <c r="AA67" i="66"/>
  <c r="AA63" i="66"/>
  <c r="AA35" i="66"/>
  <c r="AA41" i="66"/>
  <c r="AA71" i="66"/>
  <c r="AA51" i="66"/>
  <c r="AA57" i="66"/>
  <c r="AA49" i="66"/>
  <c r="AA55" i="66"/>
  <c r="AA61" i="66"/>
  <c r="AA69" i="66"/>
  <c r="AA39" i="66"/>
  <c r="AA37" i="66"/>
  <c r="AA53" i="66"/>
  <c r="AA65" i="66"/>
  <c r="AA45" i="66"/>
  <c r="AA43" i="66"/>
  <c r="Z49" i="67"/>
  <c r="JU311" i="40"/>
  <c r="JV311" i="40" s="1"/>
  <c r="JW311" i="40" s="1"/>
  <c r="KO311" i="40"/>
  <c r="AC25" i="70"/>
  <c r="KK311" i="40"/>
  <c r="AC11" i="70"/>
  <c r="KJ311" i="40"/>
  <c r="JT311" i="40"/>
  <c r="JX311" i="40" s="1"/>
  <c r="KI311" i="40"/>
  <c r="X11" i="70"/>
  <c r="BI11" i="70" s="1"/>
  <c r="JS311" i="40"/>
  <c r="AN24" i="70"/>
  <c r="KO510" i="40"/>
  <c r="JU510" i="40"/>
  <c r="JV510" i="40" s="1"/>
  <c r="JW510" i="40" s="1"/>
  <c r="JT510" i="40"/>
  <c r="JX510" i="40" s="1"/>
  <c r="KI510" i="40"/>
  <c r="JS510" i="40"/>
  <c r="AS24" i="70"/>
  <c r="KJ510" i="40"/>
  <c r="KK510" i="40"/>
  <c r="JU225" i="40"/>
  <c r="JV225" i="40" s="1"/>
  <c r="JW225" i="40" s="1"/>
  <c r="KK225" i="40"/>
  <c r="U39" i="70"/>
  <c r="JS225" i="40"/>
  <c r="JT225" i="40"/>
  <c r="JX225" i="40" s="1"/>
  <c r="KJ225" i="40"/>
  <c r="KI225" i="40"/>
  <c r="KJ346" i="40"/>
  <c r="KO346" i="40"/>
  <c r="AC60" i="70"/>
  <c r="KK346" i="40"/>
  <c r="JS346" i="40"/>
  <c r="JT346" i="40"/>
  <c r="JX346" i="40" s="1"/>
  <c r="JU346" i="40"/>
  <c r="JV346" i="40" s="1"/>
  <c r="JW346" i="40" s="1"/>
  <c r="KI346" i="40"/>
  <c r="KO354" i="40"/>
  <c r="AC68" i="70"/>
  <c r="JS354" i="40"/>
  <c r="KI354" i="40"/>
  <c r="KK354" i="40"/>
  <c r="JT354" i="40"/>
  <c r="JX354" i="40" s="1"/>
  <c r="JU354" i="40"/>
  <c r="JV354" i="40" s="1"/>
  <c r="JW354" i="40" s="1"/>
  <c r="KJ354" i="40"/>
  <c r="JM511" i="40"/>
  <c r="JM611" i="40" s="1"/>
  <c r="KO580" i="40"/>
  <c r="KJ580" i="40"/>
  <c r="KI580" i="40"/>
  <c r="JU580" i="40"/>
  <c r="JV580" i="40" s="1"/>
  <c r="JW580" i="40" s="1"/>
  <c r="JS580" i="40"/>
  <c r="JT580" i="40"/>
  <c r="JX580" i="40" s="1"/>
  <c r="KK580" i="40"/>
  <c r="AN34" i="70"/>
  <c r="KI280" i="40"/>
  <c r="JS280" i="40"/>
  <c r="JU280" i="40"/>
  <c r="JV280" i="40" s="1"/>
  <c r="JW280" i="40" s="1"/>
  <c r="KJ280" i="40"/>
  <c r="JT280" i="40"/>
  <c r="JX280" i="40" s="1"/>
  <c r="KK280" i="40"/>
  <c r="JF657" i="40"/>
  <c r="AA49" i="68"/>
  <c r="AA37" i="68"/>
  <c r="AA43" i="68"/>
  <c r="AA41" i="68"/>
  <c r="AA47" i="68"/>
  <c r="AA51" i="68"/>
  <c r="AA63" i="68"/>
  <c r="AA39" i="68"/>
  <c r="AA35" i="68"/>
  <c r="AA69" i="68"/>
  <c r="AA61" i="68"/>
  <c r="AA53" i="68"/>
  <c r="AA71" i="68"/>
  <c r="AA67" i="68"/>
  <c r="AA55" i="68"/>
  <c r="AA45" i="68"/>
  <c r="AA65" i="68"/>
  <c r="AA59" i="68"/>
  <c r="AA57" i="68"/>
  <c r="JM210" i="40"/>
  <c r="JL610" i="40"/>
  <c r="JK610" i="40" s="1"/>
  <c r="F20" i="59" s="1"/>
  <c r="JL613" i="40"/>
  <c r="JK613" i="40" s="1"/>
  <c r="JL658" i="40"/>
  <c r="JK658" i="40" s="1"/>
  <c r="JT471" i="40"/>
  <c r="JX471" i="40" s="1"/>
  <c r="KI471" i="40"/>
  <c r="KK471" i="40"/>
  <c r="JS471" i="40"/>
  <c r="JU471" i="40"/>
  <c r="JV471" i="40" s="1"/>
  <c r="JW471" i="40" s="1"/>
  <c r="KJ471" i="40"/>
  <c r="JM226" i="40"/>
  <c r="JM626" i="40" s="1"/>
  <c r="JM679" i="40"/>
  <c r="KJ279" i="40"/>
  <c r="KK279" i="40"/>
  <c r="JU279" i="40"/>
  <c r="JV279" i="40" s="1"/>
  <c r="JW279" i="40" s="1"/>
  <c r="JS279" i="40"/>
  <c r="JT279" i="40"/>
  <c r="JX279" i="40" s="1"/>
  <c r="KI279" i="40"/>
  <c r="KO304" i="40"/>
  <c r="S39" i="67"/>
  <c r="KO313" i="40"/>
  <c r="KJ313" i="40"/>
  <c r="JT313" i="40"/>
  <c r="JX313" i="40" s="1"/>
  <c r="KI313" i="40"/>
  <c r="JU313" i="40"/>
  <c r="JV313" i="40" s="1"/>
  <c r="JW313" i="40" s="1"/>
  <c r="AC27" i="70"/>
  <c r="JS313" i="40"/>
  <c r="KK313" i="40"/>
  <c r="KO512" i="40"/>
  <c r="JU512" i="40"/>
  <c r="JV512" i="40" s="1"/>
  <c r="JW512" i="40" s="1"/>
  <c r="AN12" i="70"/>
  <c r="BO12" i="70" s="1"/>
  <c r="KI512" i="40"/>
  <c r="JT512" i="40"/>
  <c r="JX512" i="40" s="1"/>
  <c r="AS12" i="70"/>
  <c r="KJ512" i="40"/>
  <c r="KK512" i="40"/>
  <c r="AS26" i="70"/>
  <c r="JS512" i="40"/>
  <c r="JT443" i="40"/>
  <c r="JX443" i="40" s="1"/>
  <c r="KI443" i="40"/>
  <c r="KJ443" i="40"/>
  <c r="AK57" i="70"/>
  <c r="JS443" i="40"/>
  <c r="JU443" i="40"/>
  <c r="JV443" i="40" s="1"/>
  <c r="JW443" i="40" s="1"/>
  <c r="KK443" i="40"/>
  <c r="KO216" i="40"/>
  <c r="KO221" i="40"/>
  <c r="KO237" i="40"/>
  <c r="KO348" i="40"/>
  <c r="KK348" i="40"/>
  <c r="JU348" i="40"/>
  <c r="JV348" i="40" s="1"/>
  <c r="JW348" i="40" s="1"/>
  <c r="KJ348" i="40"/>
  <c r="KI348" i="40"/>
  <c r="JT348" i="40"/>
  <c r="JX348" i="40" s="1"/>
  <c r="AC62" i="70"/>
  <c r="JS348" i="40"/>
  <c r="AK63" i="70"/>
  <c r="JS449" i="40"/>
  <c r="JU449" i="40"/>
  <c r="JV449" i="40" s="1"/>
  <c r="JW449" i="40" s="1"/>
  <c r="KJ449" i="40"/>
  <c r="JT449" i="40"/>
  <c r="JX449" i="40" s="1"/>
  <c r="KI449" i="40"/>
  <c r="KK449" i="40"/>
  <c r="KI453" i="40"/>
  <c r="JT453" i="40"/>
  <c r="JX453" i="40" s="1"/>
  <c r="JS453" i="40"/>
  <c r="AK67" i="70"/>
  <c r="KJ453" i="40"/>
  <c r="JU453" i="40"/>
  <c r="JV453" i="40" s="1"/>
  <c r="JW453" i="40" s="1"/>
  <c r="KK453" i="40"/>
  <c r="JU475" i="40"/>
  <c r="JV475" i="40" s="1"/>
  <c r="JW475" i="40" s="1"/>
  <c r="KK475" i="40"/>
  <c r="KI475" i="40"/>
  <c r="JT475" i="40"/>
  <c r="JX475" i="40" s="1"/>
  <c r="KJ475" i="40"/>
  <c r="JS475" i="40"/>
  <c r="KO318" i="40"/>
  <c r="JT318" i="40"/>
  <c r="JX318" i="40" s="1"/>
  <c r="KJ318" i="40"/>
  <c r="AC16" i="70"/>
  <c r="KI318" i="40"/>
  <c r="JU318" i="40"/>
  <c r="JV318" i="40" s="1"/>
  <c r="JW318" i="40" s="1"/>
  <c r="AC32" i="70"/>
  <c r="JS318" i="40"/>
  <c r="X16" i="70"/>
  <c r="BI16" i="70" s="1"/>
  <c r="KK318" i="40"/>
  <c r="JM662" i="40"/>
  <c r="JU262" i="40"/>
  <c r="JV262" i="40" s="1"/>
  <c r="JW262" i="40" s="1"/>
  <c r="KK262" i="40"/>
  <c r="JT262" i="40"/>
  <c r="JX262" i="40" s="1"/>
  <c r="JS262" i="40"/>
  <c r="KI262" i="40"/>
  <c r="KJ262" i="40"/>
  <c r="JT275" i="40"/>
  <c r="JX275" i="40" s="1"/>
  <c r="KI275" i="40"/>
  <c r="KJ275" i="40"/>
  <c r="JU275" i="40"/>
  <c r="JV275" i="40" s="1"/>
  <c r="JW275" i="40" s="1"/>
  <c r="KK275" i="40"/>
  <c r="JS275" i="40"/>
  <c r="AN27" i="70"/>
  <c r="KO513" i="40"/>
  <c r="JT513" i="40"/>
  <c r="JX513" i="40" s="1"/>
  <c r="KI513" i="40"/>
  <c r="KJ513" i="40"/>
  <c r="AS27" i="70"/>
  <c r="JS513" i="40"/>
  <c r="JU513" i="40"/>
  <c r="JV513" i="40" s="1"/>
  <c r="JW513" i="40" s="1"/>
  <c r="KK513" i="40"/>
  <c r="KO558" i="40"/>
  <c r="JS558" i="40"/>
  <c r="KI558" i="40"/>
  <c r="KK558" i="40"/>
  <c r="JT558" i="40"/>
  <c r="JX558" i="40" s="1"/>
  <c r="JU558" i="40"/>
  <c r="JV558" i="40" s="1"/>
  <c r="JW558" i="40" s="1"/>
  <c r="KJ558" i="40"/>
  <c r="JM312" i="40"/>
  <c r="JL612" i="40"/>
  <c r="JK612" i="40" s="1"/>
  <c r="H20" i="59" s="1"/>
  <c r="JL601" i="40"/>
  <c r="JL701" i="40" s="1"/>
  <c r="JX401" i="40"/>
  <c r="JU460" i="40"/>
  <c r="JV460" i="40" s="1"/>
  <c r="JW460" i="40" s="1"/>
  <c r="KK460" i="40"/>
  <c r="KJ460" i="40"/>
  <c r="JT460" i="40"/>
  <c r="JX460" i="40" s="1"/>
  <c r="KI460" i="40"/>
  <c r="JS460" i="40"/>
  <c r="KJ269" i="40"/>
  <c r="JS269" i="40"/>
  <c r="JT269" i="40"/>
  <c r="JX269" i="40" s="1"/>
  <c r="JU269" i="40"/>
  <c r="JV269" i="40" s="1"/>
  <c r="JW269" i="40" s="1"/>
  <c r="KI269" i="40"/>
  <c r="KK269" i="40"/>
  <c r="Q67" i="66"/>
  <c r="Q69" i="66"/>
  <c r="Q61" i="66"/>
  <c r="Q51" i="66"/>
  <c r="Q63" i="66"/>
  <c r="Q55" i="66"/>
  <c r="Q57" i="66"/>
  <c r="Q71" i="66"/>
  <c r="Q53" i="66"/>
  <c r="Q39" i="66"/>
  <c r="Q65" i="66"/>
  <c r="Q59" i="66"/>
  <c r="Q49" i="66"/>
  <c r="AF64" i="70"/>
  <c r="JU450" i="40"/>
  <c r="JV450" i="40" s="1"/>
  <c r="JW450" i="40" s="1"/>
  <c r="KO450" i="40"/>
  <c r="JS450" i="40"/>
  <c r="JT450" i="40"/>
  <c r="JX450" i="40" s="1"/>
  <c r="KJ450" i="40"/>
  <c r="KI450" i="40"/>
  <c r="AK64" i="70"/>
  <c r="KK450" i="40"/>
  <c r="KJ405" i="40"/>
  <c r="KO405" i="40"/>
  <c r="KI405" i="40"/>
  <c r="JU405" i="40"/>
  <c r="JV405" i="40" s="1"/>
  <c r="JW405" i="40" s="1"/>
  <c r="JS405" i="40"/>
  <c r="JT405" i="40"/>
  <c r="JX405" i="40" s="1"/>
  <c r="KK405" i="40"/>
  <c r="JM605" i="40"/>
  <c r="AF60" i="70"/>
  <c r="KO446" i="40"/>
  <c r="AK60" i="70"/>
  <c r="JS446" i="40"/>
  <c r="KK446" i="40"/>
  <c r="JT446" i="40"/>
  <c r="JX446" i="40" s="1"/>
  <c r="KJ446" i="40"/>
  <c r="JU446" i="40"/>
  <c r="JV446" i="40" s="1"/>
  <c r="JW446" i="40" s="1"/>
  <c r="KI446" i="40"/>
  <c r="AC33" i="71"/>
  <c r="Y51" i="71"/>
  <c r="Y35" i="71"/>
  <c r="Y63" i="71"/>
  <c r="Y37" i="71"/>
  <c r="Y55" i="71"/>
  <c r="Y41" i="71"/>
  <c r="Y57" i="71"/>
  <c r="Y49" i="71"/>
  <c r="Y53" i="71"/>
  <c r="Y45" i="71"/>
  <c r="Y71" i="71"/>
  <c r="Y47" i="71"/>
  <c r="Y69" i="71"/>
  <c r="Y39" i="71"/>
  <c r="Y67" i="71"/>
  <c r="Y61" i="71"/>
  <c r="Y59" i="71"/>
  <c r="Y43" i="71"/>
  <c r="Y65" i="71"/>
  <c r="KK404" i="40"/>
  <c r="KO404" i="40"/>
  <c r="KI404" i="40"/>
  <c r="KJ404" i="40"/>
  <c r="JS404" i="40"/>
  <c r="JT404" i="40"/>
  <c r="JX404" i="40" s="1"/>
  <c r="JU404" i="40"/>
  <c r="JV404" i="40" s="1"/>
  <c r="JW404" i="40" s="1"/>
  <c r="JM604" i="40"/>
  <c r="AN32" i="70"/>
  <c r="KO518" i="40"/>
  <c r="JT518" i="40"/>
  <c r="JX518" i="40" s="1"/>
  <c r="JU518" i="40"/>
  <c r="JV518" i="40" s="1"/>
  <c r="JW518" i="40" s="1"/>
  <c r="AS32" i="70"/>
  <c r="KJ518" i="40"/>
  <c r="AN16" i="70"/>
  <c r="BO16" i="70" s="1"/>
  <c r="KI518" i="40"/>
  <c r="KK518" i="40"/>
  <c r="AS16" i="70"/>
  <c r="JS518" i="40"/>
  <c r="KT201" i="40"/>
  <c r="KT202" i="40" s="1"/>
  <c r="JT201" i="40"/>
  <c r="JU201" i="40"/>
  <c r="JV201" i="40" s="1"/>
  <c r="JW201" i="40" s="1"/>
  <c r="JS201" i="40"/>
  <c r="JU217" i="40"/>
  <c r="JV217" i="40" s="1"/>
  <c r="JW217" i="40" s="1"/>
  <c r="U15" i="70"/>
  <c r="JS217" i="40"/>
  <c r="KJ217" i="40"/>
  <c r="KK217" i="40"/>
  <c r="JT217" i="40"/>
  <c r="JX217" i="40" s="1"/>
  <c r="U31" i="70"/>
  <c r="KI217" i="40"/>
  <c r="AF28" i="70"/>
  <c r="JU414" i="40"/>
  <c r="JV414" i="40" s="1"/>
  <c r="JW414" i="40" s="1"/>
  <c r="KO414" i="40"/>
  <c r="JT414" i="40"/>
  <c r="JX414" i="40" s="1"/>
  <c r="KJ414" i="40"/>
  <c r="KK414" i="40"/>
  <c r="KI414" i="40"/>
  <c r="AK28" i="70"/>
  <c r="JS414" i="40"/>
  <c r="JF606" i="40"/>
  <c r="JL609" i="40"/>
  <c r="JL624" i="40"/>
  <c r="JU236" i="40"/>
  <c r="JV236" i="40" s="1"/>
  <c r="JW236" i="40" s="1"/>
  <c r="U50" i="70"/>
  <c r="JS236" i="40"/>
  <c r="KK236" i="40"/>
  <c r="JT236" i="40"/>
  <c r="JX236" i="40" s="1"/>
  <c r="KI236" i="40"/>
  <c r="KJ236" i="40"/>
  <c r="JU244" i="40"/>
  <c r="JV244" i="40" s="1"/>
  <c r="JW244" i="40" s="1"/>
  <c r="U58" i="70"/>
  <c r="JS244" i="40"/>
  <c r="KK244" i="40"/>
  <c r="KJ244" i="40"/>
  <c r="JT244" i="40"/>
  <c r="JX244" i="40" s="1"/>
  <c r="KI244" i="40"/>
  <c r="JU252" i="40"/>
  <c r="JV252" i="40" s="1"/>
  <c r="JW252" i="40" s="1"/>
  <c r="KI252" i="40"/>
  <c r="U66" i="70"/>
  <c r="KJ252" i="40"/>
  <c r="JS252" i="40"/>
  <c r="JT252" i="40"/>
  <c r="JX252" i="40" s="1"/>
  <c r="KK252" i="40"/>
  <c r="X35" i="70"/>
  <c r="JM621" i="40"/>
  <c r="JT321" i="40"/>
  <c r="JX321" i="40" s="1"/>
  <c r="KI321" i="40"/>
  <c r="JS321" i="40"/>
  <c r="KO321" i="40"/>
  <c r="AC35" i="70"/>
  <c r="KK321" i="40"/>
  <c r="KJ321" i="40"/>
  <c r="JU321" i="40"/>
  <c r="JV321" i="40" s="1"/>
  <c r="JW321" i="40" s="1"/>
  <c r="X39" i="70"/>
  <c r="JT325" i="40"/>
  <c r="JX325" i="40" s="1"/>
  <c r="KO325" i="40"/>
  <c r="JU325" i="40"/>
  <c r="JV325" i="40" s="1"/>
  <c r="JW325" i="40" s="1"/>
  <c r="KJ325" i="40"/>
  <c r="JS325" i="40"/>
  <c r="KK325" i="40"/>
  <c r="AC39" i="70"/>
  <c r="KI325" i="40"/>
  <c r="X43" i="70"/>
  <c r="KO329" i="40"/>
  <c r="JT329" i="40"/>
  <c r="JX329" i="40" s="1"/>
  <c r="KK329" i="40"/>
  <c r="JU329" i="40"/>
  <c r="KI329" i="40"/>
  <c r="KJ329" i="40"/>
  <c r="AC43" i="70"/>
  <c r="JS329" i="40"/>
  <c r="X51" i="70"/>
  <c r="JM637" i="40"/>
  <c r="AC51" i="70"/>
  <c r="KI337" i="40"/>
  <c r="KJ337" i="40"/>
  <c r="KO337" i="40"/>
  <c r="JT337" i="40"/>
  <c r="JX337" i="40" s="1"/>
  <c r="JS337" i="40"/>
  <c r="JU337" i="40"/>
  <c r="JV337" i="40" s="1"/>
  <c r="JW337" i="40" s="1"/>
  <c r="KK337" i="40"/>
  <c r="X59" i="70"/>
  <c r="JM645" i="40"/>
  <c r="JU345" i="40"/>
  <c r="JV345" i="40" s="1"/>
  <c r="JW345" i="40" s="1"/>
  <c r="JS345" i="40"/>
  <c r="KO345" i="40"/>
  <c r="AC59" i="70"/>
  <c r="KK345" i="40"/>
  <c r="KJ345" i="40"/>
  <c r="JT345" i="40"/>
  <c r="JX345" i="40" s="1"/>
  <c r="KI345" i="40"/>
  <c r="X67" i="70"/>
  <c r="JM653" i="40"/>
  <c r="KO353" i="40"/>
  <c r="KJ353" i="40"/>
  <c r="JT353" i="40"/>
  <c r="JX353" i="40" s="1"/>
  <c r="JS353" i="40"/>
  <c r="JU353" i="40"/>
  <c r="JV353" i="40" s="1"/>
  <c r="JW353" i="40" s="1"/>
  <c r="KK353" i="40"/>
  <c r="AC67" i="70"/>
  <c r="KI353" i="40"/>
  <c r="AF22" i="70"/>
  <c r="KO408" i="40"/>
  <c r="AK22" i="70"/>
  <c r="KJ408" i="40"/>
  <c r="KI408" i="40"/>
  <c r="JT408" i="40"/>
  <c r="JX408" i="40" s="1"/>
  <c r="JS408" i="40"/>
  <c r="JU408" i="40"/>
  <c r="JV408" i="40" s="1"/>
  <c r="JW408" i="40" s="1"/>
  <c r="KK408" i="40"/>
  <c r="AF40" i="70"/>
  <c r="KO426" i="40"/>
  <c r="JT426" i="40"/>
  <c r="JX426" i="40" s="1"/>
  <c r="KK426" i="40"/>
  <c r="JU426" i="40"/>
  <c r="JV426" i="40" s="1"/>
  <c r="JW426" i="40" s="1"/>
  <c r="JS426" i="40"/>
  <c r="AK40" i="70"/>
  <c r="KI426" i="40"/>
  <c r="KJ426" i="40"/>
  <c r="KO434" i="40"/>
  <c r="JU434" i="40"/>
  <c r="JV434" i="40" s="1"/>
  <c r="JW434" i="40" s="1"/>
  <c r="KI434" i="40"/>
  <c r="KK434" i="40"/>
  <c r="AK10" i="70"/>
  <c r="KJ434" i="40"/>
  <c r="AF10" i="70"/>
  <c r="BL10" i="70" s="1"/>
  <c r="JS434" i="40"/>
  <c r="AF68" i="70"/>
  <c r="KK454" i="40"/>
  <c r="KI454" i="40"/>
  <c r="JL644" i="40"/>
  <c r="JL648" i="40"/>
  <c r="JL652" i="40"/>
  <c r="JL621" i="40"/>
  <c r="JL629" i="40"/>
  <c r="JM529" i="40"/>
  <c r="AE44" i="69" s="1"/>
  <c r="AN47" i="70"/>
  <c r="JT533" i="40"/>
  <c r="JX533" i="40" s="1"/>
  <c r="KO533" i="40"/>
  <c r="KJ533" i="40"/>
  <c r="KK533" i="40"/>
  <c r="AS47" i="70"/>
  <c r="KI533" i="40"/>
  <c r="JU533" i="40"/>
  <c r="JV533" i="40" s="1"/>
  <c r="JW533" i="40" s="1"/>
  <c r="JS533" i="40"/>
  <c r="AN51" i="70"/>
  <c r="KO537" i="40"/>
  <c r="JT537" i="40"/>
  <c r="JX537" i="40" s="1"/>
  <c r="AS51" i="70"/>
  <c r="JS537" i="40"/>
  <c r="JU537" i="40"/>
  <c r="JV537" i="40" s="1"/>
  <c r="JW537" i="40" s="1"/>
  <c r="KJ537" i="40"/>
  <c r="KK537" i="40"/>
  <c r="KI537" i="40"/>
  <c r="AN55" i="70"/>
  <c r="KO541" i="40"/>
  <c r="AS55" i="70"/>
  <c r="JS541" i="40"/>
  <c r="KJ541" i="40"/>
  <c r="JT541" i="40"/>
  <c r="JX541" i="40" s="1"/>
  <c r="KK541" i="40"/>
  <c r="JU541" i="40"/>
  <c r="JV541" i="40" s="1"/>
  <c r="JW541" i="40" s="1"/>
  <c r="KI541" i="40"/>
  <c r="AN59" i="70"/>
  <c r="KO545" i="40"/>
  <c r="JS545" i="40"/>
  <c r="JT545" i="40"/>
  <c r="JX545" i="40" s="1"/>
  <c r="KI545" i="40"/>
  <c r="JU545" i="40"/>
  <c r="JV545" i="40" s="1"/>
  <c r="JW545" i="40" s="1"/>
  <c r="KK545" i="40"/>
  <c r="AS59" i="70"/>
  <c r="KJ545" i="40"/>
  <c r="AS63" i="70"/>
  <c r="AN63" i="70"/>
  <c r="KO549" i="40"/>
  <c r="KI549" i="40"/>
  <c r="JU549" i="40"/>
  <c r="JV549" i="40" s="1"/>
  <c r="JW549" i="40" s="1"/>
  <c r="KJ549" i="40"/>
  <c r="JT549" i="40"/>
  <c r="JX549" i="40" s="1"/>
  <c r="JS549" i="40"/>
  <c r="KK549" i="40"/>
  <c r="AN67" i="70"/>
  <c r="KO553" i="40"/>
  <c r="JT553" i="40"/>
  <c r="KI553" i="40"/>
  <c r="JU553" i="40"/>
  <c r="JV553" i="40" s="1"/>
  <c r="JW553" i="40" s="1"/>
  <c r="KJ553" i="40"/>
  <c r="JS553" i="40"/>
  <c r="KK553" i="40"/>
  <c r="AS67" i="70"/>
  <c r="JM656" i="40"/>
  <c r="JS256" i="40"/>
  <c r="KJ256" i="40"/>
  <c r="JT256" i="40"/>
  <c r="JX256" i="40" s="1"/>
  <c r="U8" i="70"/>
  <c r="KI256" i="40"/>
  <c r="JU256" i="40"/>
  <c r="JV256" i="40" s="1"/>
  <c r="JW256" i="40" s="1"/>
  <c r="KK256" i="40"/>
  <c r="JK668" i="40"/>
  <c r="KO467" i="40"/>
  <c r="KK467" i="40"/>
  <c r="KJ467" i="40"/>
  <c r="JT467" i="40"/>
  <c r="JX467" i="40" s="1"/>
  <c r="KI467" i="40"/>
  <c r="JU467" i="40"/>
  <c r="JS467" i="40"/>
  <c r="KO503" i="40"/>
  <c r="KK503" i="40"/>
  <c r="JS503" i="40"/>
  <c r="JT503" i="40"/>
  <c r="JX503" i="40" s="1"/>
  <c r="KI503" i="40"/>
  <c r="KJ503" i="40"/>
  <c r="JU503" i="40"/>
  <c r="JV503" i="40" s="1"/>
  <c r="JW503" i="40" s="1"/>
  <c r="JM666" i="40"/>
  <c r="JU266" i="40"/>
  <c r="JV266" i="40" s="1"/>
  <c r="JW266" i="40" s="1"/>
  <c r="JS266" i="40"/>
  <c r="KI266" i="40"/>
  <c r="JT266" i="40"/>
  <c r="JX266" i="40" s="1"/>
  <c r="KK266" i="40"/>
  <c r="KJ266" i="40"/>
  <c r="Y61" i="67"/>
  <c r="Y57" i="67"/>
  <c r="Y63" i="67"/>
  <c r="Y47" i="67"/>
  <c r="Y55" i="67"/>
  <c r="Y69" i="67"/>
  <c r="Y71" i="67"/>
  <c r="Y51" i="67"/>
  <c r="Y53" i="67"/>
  <c r="Y59" i="67"/>
  <c r="Y67" i="67"/>
  <c r="Y65" i="67"/>
  <c r="U11" i="70"/>
  <c r="KJ211" i="40"/>
  <c r="U25" i="70"/>
  <c r="JS211" i="40"/>
  <c r="JT211" i="40"/>
  <c r="JX211" i="40" s="1"/>
  <c r="KI211" i="40"/>
  <c r="JU211" i="40"/>
  <c r="JV211" i="40" s="1"/>
  <c r="JW211" i="40" s="1"/>
  <c r="KK211" i="40"/>
  <c r="X23" i="70"/>
  <c r="JU309" i="40"/>
  <c r="JV309" i="40" s="1"/>
  <c r="JW309" i="40" s="1"/>
  <c r="JS309" i="40"/>
  <c r="KO309" i="40"/>
  <c r="AC23" i="70"/>
  <c r="KI309" i="40"/>
  <c r="KJ309" i="40"/>
  <c r="JT309" i="40"/>
  <c r="JX309" i="40" s="1"/>
  <c r="KK309" i="40"/>
  <c r="AF30" i="70"/>
  <c r="KO416" i="40"/>
  <c r="JT416" i="40"/>
  <c r="JX416" i="40" s="1"/>
  <c r="KK416" i="40"/>
  <c r="JU416" i="40"/>
  <c r="JS416" i="40"/>
  <c r="AK30" i="70"/>
  <c r="KJ416" i="40"/>
  <c r="KI416" i="40"/>
  <c r="JT208" i="40"/>
  <c r="JX208" i="40" s="1"/>
  <c r="KJ208" i="40"/>
  <c r="JU208" i="40"/>
  <c r="JV208" i="40" s="1"/>
  <c r="JW208" i="40" s="1"/>
  <c r="JS208" i="40"/>
  <c r="U22" i="70"/>
  <c r="KI208" i="40"/>
  <c r="KK208" i="40"/>
  <c r="AF25" i="70"/>
  <c r="KO411" i="40"/>
  <c r="AK11" i="70"/>
  <c r="KJ411" i="40"/>
  <c r="AK25" i="70"/>
  <c r="KK411" i="40"/>
  <c r="JT411" i="40"/>
  <c r="JX411" i="40" s="1"/>
  <c r="AF11" i="70"/>
  <c r="BL11" i="70" s="1"/>
  <c r="KI411" i="40"/>
  <c r="JU411" i="40"/>
  <c r="JV411" i="40" s="1"/>
  <c r="JW411" i="40" s="1"/>
  <c r="JS411" i="40"/>
  <c r="JT230" i="40"/>
  <c r="JX230" i="40" s="1"/>
  <c r="KI230" i="40"/>
  <c r="JU230" i="40"/>
  <c r="JV230" i="40" s="1"/>
  <c r="JW230" i="40" s="1"/>
  <c r="JS230" i="40"/>
  <c r="U44" i="70"/>
  <c r="KJ230" i="40"/>
  <c r="KK230" i="40"/>
  <c r="U52" i="70"/>
  <c r="JM638" i="40"/>
  <c r="JT238" i="40"/>
  <c r="JX238" i="40" s="1"/>
  <c r="KJ238" i="40"/>
  <c r="JU238" i="40"/>
  <c r="JV238" i="40" s="1"/>
  <c r="JW238" i="40" s="1"/>
  <c r="JS238" i="40"/>
  <c r="KK238" i="40"/>
  <c r="KI238" i="40"/>
  <c r="JM646" i="40"/>
  <c r="U60" i="70"/>
  <c r="JS246" i="40"/>
  <c r="KJ246" i="40"/>
  <c r="JT246" i="40"/>
  <c r="JX246" i="40" s="1"/>
  <c r="KK246" i="40"/>
  <c r="JU246" i="40"/>
  <c r="JV246" i="40" s="1"/>
  <c r="JW246" i="40" s="1"/>
  <c r="KI246" i="40"/>
  <c r="U68" i="70"/>
  <c r="JS254" i="40"/>
  <c r="KI254" i="40"/>
  <c r="JT254" i="40"/>
  <c r="JX254" i="40" s="1"/>
  <c r="KK254" i="40"/>
  <c r="JU254" i="40"/>
  <c r="JV254" i="40" s="1"/>
  <c r="JW254" i="40" s="1"/>
  <c r="KJ254" i="40"/>
  <c r="X36" i="70"/>
  <c r="AC36" i="70"/>
  <c r="KI322" i="40"/>
  <c r="KO322" i="40"/>
  <c r="KK322" i="40"/>
  <c r="JU322" i="40"/>
  <c r="JV322" i="40" s="1"/>
  <c r="JW322" i="40" s="1"/>
  <c r="JT322" i="40"/>
  <c r="JX322" i="40" s="1"/>
  <c r="KJ322" i="40"/>
  <c r="JS322" i="40"/>
  <c r="X40" i="70"/>
  <c r="KO326" i="40"/>
  <c r="KK326" i="40"/>
  <c r="JT326" i="40"/>
  <c r="JX326" i="40" s="1"/>
  <c r="KJ326" i="40"/>
  <c r="AC40" i="70"/>
  <c r="JS326" i="40"/>
  <c r="JU326" i="40"/>
  <c r="JV326" i="40" s="1"/>
  <c r="JW326" i="40" s="1"/>
  <c r="KI326" i="40"/>
  <c r="X45" i="70"/>
  <c r="JM631" i="40"/>
  <c r="JU331" i="40"/>
  <c r="JV331" i="40" s="1"/>
  <c r="JW331" i="40" s="1"/>
  <c r="JS331" i="40"/>
  <c r="AC45" i="70"/>
  <c r="KK331" i="40"/>
  <c r="KO331" i="40"/>
  <c r="KJ331" i="40"/>
  <c r="JT331" i="40"/>
  <c r="JX331" i="40" s="1"/>
  <c r="KI331" i="40"/>
  <c r="X53" i="70"/>
  <c r="JM639" i="40"/>
  <c r="KO339" i="40"/>
  <c r="JT339" i="40"/>
  <c r="JX339" i="40" s="1"/>
  <c r="KI339" i="40"/>
  <c r="JU339" i="40"/>
  <c r="JV339" i="40" s="1"/>
  <c r="JW339" i="40" s="1"/>
  <c r="JS339" i="40"/>
  <c r="AC53" i="70"/>
  <c r="KK339" i="40"/>
  <c r="KJ339" i="40"/>
  <c r="X61" i="70"/>
  <c r="JM647" i="40"/>
  <c r="AC61" i="70"/>
  <c r="JS347" i="40"/>
  <c r="KJ347" i="40"/>
  <c r="JU347" i="40"/>
  <c r="KO347" i="40"/>
  <c r="JT347" i="40"/>
  <c r="JX347" i="40" s="1"/>
  <c r="KK347" i="40"/>
  <c r="KI347" i="40"/>
  <c r="X69" i="70"/>
  <c r="JM655" i="40"/>
  <c r="KK355" i="40"/>
  <c r="JT355" i="40"/>
  <c r="JX355" i="40" s="1"/>
  <c r="AC7" i="70"/>
  <c r="KJ355" i="40"/>
  <c r="AC69" i="70"/>
  <c r="JS355" i="40"/>
  <c r="KO355" i="40"/>
  <c r="X7" i="70"/>
  <c r="BI7" i="70" s="1"/>
  <c r="KI355" i="40"/>
  <c r="JU355" i="40"/>
  <c r="JV355" i="40" s="1"/>
  <c r="JW355" i="40" s="1"/>
  <c r="AF34" i="70"/>
  <c r="KO420" i="40"/>
  <c r="JT420" i="40"/>
  <c r="JX420" i="40" s="1"/>
  <c r="JU420" i="40"/>
  <c r="KI420" i="40"/>
  <c r="KJ420" i="40"/>
  <c r="JS420" i="40"/>
  <c r="AK34" i="70"/>
  <c r="KK420" i="40"/>
  <c r="AF42" i="70"/>
  <c r="JU428" i="40"/>
  <c r="JV428" i="40" s="1"/>
  <c r="JW428" i="40" s="1"/>
  <c r="KI428" i="40"/>
  <c r="AK42" i="70"/>
  <c r="KJ428" i="40"/>
  <c r="KO428" i="40"/>
  <c r="AK14" i="70"/>
  <c r="KK428" i="40"/>
  <c r="JT428" i="40"/>
  <c r="JX428" i="40" s="1"/>
  <c r="AF14" i="70"/>
  <c r="BL14" i="70" s="1"/>
  <c r="JS428" i="40"/>
  <c r="AF50" i="70"/>
  <c r="KO436" i="40"/>
  <c r="AK50" i="70"/>
  <c r="JS436" i="40"/>
  <c r="KK436" i="40"/>
  <c r="JT436" i="40"/>
  <c r="JX436" i="40" s="1"/>
  <c r="KI436" i="40"/>
  <c r="JU436" i="40"/>
  <c r="JV436" i="40" s="1"/>
  <c r="JW436" i="40" s="1"/>
  <c r="KJ436" i="40"/>
  <c r="AF27" i="70"/>
  <c r="AF33" i="70"/>
  <c r="AF49" i="70"/>
  <c r="AF29" i="70"/>
  <c r="AF45" i="70"/>
  <c r="AF69" i="70"/>
  <c r="AF20" i="70"/>
  <c r="AF41" i="70"/>
  <c r="AF57" i="70"/>
  <c r="AF21" i="70"/>
  <c r="AF37" i="70"/>
  <c r="AF53" i="70"/>
  <c r="KO472" i="40"/>
  <c r="KO471" i="40"/>
  <c r="KO421" i="40"/>
  <c r="KO453" i="40"/>
  <c r="KO480" i="40"/>
  <c r="JU402" i="40"/>
  <c r="KO419" i="40"/>
  <c r="KO435" i="40"/>
  <c r="KO445" i="40"/>
  <c r="KO413" i="40"/>
  <c r="KO456" i="40"/>
  <c r="KO461" i="40"/>
  <c r="KO429" i="40"/>
  <c r="KO470" i="40"/>
  <c r="KO455" i="40"/>
  <c r="AE33" i="68"/>
  <c r="KO478" i="40"/>
  <c r="KO406" i="40"/>
  <c r="KO443" i="40"/>
  <c r="KO427" i="40"/>
  <c r="KO401" i="40"/>
  <c r="KO451" i="40"/>
  <c r="KO469" i="40"/>
  <c r="KO437" i="40"/>
  <c r="KO465" i="40"/>
  <c r="KO476" i="40"/>
  <c r="KO468" i="40"/>
  <c r="KO447" i="40"/>
  <c r="KO464" i="40"/>
  <c r="KO462" i="40"/>
  <c r="KO479" i="40"/>
  <c r="KO474" i="40"/>
  <c r="KO441" i="40"/>
  <c r="KO402" i="40"/>
  <c r="KO423" i="40"/>
  <c r="JT402" i="40"/>
  <c r="JX402" i="40" s="1"/>
  <c r="KI402" i="40"/>
  <c r="KO425" i="40"/>
  <c r="KO433" i="40"/>
  <c r="KO407" i="40"/>
  <c r="KO460" i="40"/>
  <c r="KO458" i="40"/>
  <c r="KO431" i="40"/>
  <c r="KO481" i="40"/>
  <c r="KO473" i="40"/>
  <c r="KJ402" i="40"/>
  <c r="KO415" i="40"/>
  <c r="AF17" i="70"/>
  <c r="BL17" i="70" s="1"/>
  <c r="KO439" i="40"/>
  <c r="JS402" i="40"/>
  <c r="AF18" i="70"/>
  <c r="BL18" i="70" s="1"/>
  <c r="KO466" i="40"/>
  <c r="KO449" i="40"/>
  <c r="KO475" i="40"/>
  <c r="AF8" i="70"/>
  <c r="BL8" i="70" s="1"/>
  <c r="KO477" i="40"/>
  <c r="KK402" i="40"/>
  <c r="AF13" i="70"/>
  <c r="BL13" i="70" s="1"/>
  <c r="AF7" i="70"/>
  <c r="BL7" i="70" s="1"/>
  <c r="AF61" i="70"/>
  <c r="AF39" i="70"/>
  <c r="AF47" i="70"/>
  <c r="AF55" i="70"/>
  <c r="AF63" i="70"/>
  <c r="JL623" i="40"/>
  <c r="AN33" i="70"/>
  <c r="KO519" i="40"/>
  <c r="JT519" i="40"/>
  <c r="JX519" i="40" s="1"/>
  <c r="AN17" i="70"/>
  <c r="BO17" i="70" s="1"/>
  <c r="JS519" i="40"/>
  <c r="JU519" i="40"/>
  <c r="JV519" i="40" s="1"/>
  <c r="JW519" i="40" s="1"/>
  <c r="KI519" i="40"/>
  <c r="AS33" i="70"/>
  <c r="KK519" i="40"/>
  <c r="AS17" i="70"/>
  <c r="KJ519" i="40"/>
  <c r="JL631" i="40"/>
  <c r="JL635" i="40"/>
  <c r="JL639" i="40"/>
  <c r="JL643" i="40"/>
  <c r="JL647" i="40"/>
  <c r="JL651" i="40"/>
  <c r="JL655" i="40"/>
  <c r="JU559" i="40"/>
  <c r="JV559" i="40" s="1"/>
  <c r="JW559" i="40" s="1"/>
  <c r="JM678" i="40"/>
  <c r="KJ278" i="40"/>
  <c r="JS278" i="40"/>
  <c r="JT278" i="40"/>
  <c r="JX278" i="40" s="1"/>
  <c r="KK278" i="40"/>
  <c r="JU278" i="40"/>
  <c r="JV278" i="40" s="1"/>
  <c r="JW278" i="40" s="1"/>
  <c r="KI278" i="40"/>
  <c r="JL604" i="40"/>
  <c r="JL605" i="40"/>
  <c r="KO505" i="40"/>
  <c r="KI505" i="40"/>
  <c r="KJ505" i="40"/>
  <c r="JT505" i="40"/>
  <c r="JX505" i="40" s="1"/>
  <c r="KK505" i="40"/>
  <c r="JU505" i="40"/>
  <c r="JV505" i="40" s="1"/>
  <c r="JW505" i="40" s="1"/>
  <c r="JS505" i="40"/>
  <c r="JL675" i="40"/>
  <c r="Y47" i="69"/>
  <c r="JL667" i="40"/>
  <c r="JM567" i="40"/>
  <c r="AE42" i="69" s="1"/>
  <c r="JM613" i="40"/>
  <c r="KI213" i="40"/>
  <c r="JT213" i="40"/>
  <c r="JX213" i="40" s="1"/>
  <c r="KK213" i="40"/>
  <c r="JU213" i="40"/>
  <c r="JV213" i="40" s="1"/>
  <c r="JW213" i="40" s="1"/>
  <c r="KJ213" i="40"/>
  <c r="U27" i="70"/>
  <c r="JS213" i="40"/>
  <c r="AF24" i="70"/>
  <c r="KO410" i="40"/>
  <c r="JU410" i="40"/>
  <c r="JV410" i="40" s="1"/>
  <c r="JW410" i="40" s="1"/>
  <c r="AK24" i="70"/>
  <c r="JT410" i="40"/>
  <c r="JX410" i="40" s="1"/>
  <c r="KK410" i="40"/>
  <c r="KI410" i="40"/>
  <c r="JS410" i="40"/>
  <c r="KJ410" i="40"/>
  <c r="AF32" i="70"/>
  <c r="AK16" i="70"/>
  <c r="JS418" i="40"/>
  <c r="AF16" i="70"/>
  <c r="BL16" i="70" s="1"/>
  <c r="KI418" i="40"/>
  <c r="KO418" i="40"/>
  <c r="JT418" i="40"/>
  <c r="JX418" i="40" s="1"/>
  <c r="KJ418" i="40"/>
  <c r="JU418" i="40"/>
  <c r="JV418" i="40" s="1"/>
  <c r="JW418" i="40" s="1"/>
  <c r="AK32" i="70"/>
  <c r="KK418" i="40"/>
  <c r="JL618" i="40"/>
  <c r="KK232" i="40"/>
  <c r="JM640" i="40"/>
  <c r="JU240" i="40"/>
  <c r="JV240" i="40" s="1"/>
  <c r="JW240" i="40" s="1"/>
  <c r="KK240" i="40"/>
  <c r="KI240" i="40"/>
  <c r="JT240" i="40"/>
  <c r="JX240" i="40" s="1"/>
  <c r="JS240" i="40"/>
  <c r="U54" i="70"/>
  <c r="KJ240" i="40"/>
  <c r="JT248" i="40"/>
  <c r="JX248" i="40" s="1"/>
  <c r="KI248" i="40"/>
  <c r="JU248" i="40"/>
  <c r="JV248" i="40" s="1"/>
  <c r="JW248" i="40" s="1"/>
  <c r="JS248" i="40"/>
  <c r="U62" i="70"/>
  <c r="KJ248" i="40"/>
  <c r="KK248" i="40"/>
  <c r="X33" i="70"/>
  <c r="JM619" i="40"/>
  <c r="KO319" i="40"/>
  <c r="AC33" i="70"/>
  <c r="JS319" i="40"/>
  <c r="JT319" i="40"/>
  <c r="JX319" i="40" s="1"/>
  <c r="JU319" i="40"/>
  <c r="AF40" i="67" s="1"/>
  <c r="AC17" i="70"/>
  <c r="KK319" i="40"/>
  <c r="X17" i="70"/>
  <c r="BI17" i="70" s="1"/>
  <c r="KJ319" i="40"/>
  <c r="KI319" i="40"/>
  <c r="X37" i="70"/>
  <c r="KO323" i="40"/>
  <c r="AC37" i="70"/>
  <c r="KI323" i="40"/>
  <c r="JS323" i="40"/>
  <c r="JT323" i="40"/>
  <c r="JX323" i="40" s="1"/>
  <c r="KJ323" i="40"/>
  <c r="JU323" i="40"/>
  <c r="JV323" i="40" s="1"/>
  <c r="JW323" i="40" s="1"/>
  <c r="KK323" i="40"/>
  <c r="X21" i="70"/>
  <c r="JM607" i="40"/>
  <c r="KO307" i="40"/>
  <c r="JT307" i="40"/>
  <c r="KJ307" i="40"/>
  <c r="JU307" i="40"/>
  <c r="JV307" i="40" s="1"/>
  <c r="JW307" i="40" s="1"/>
  <c r="AC21" i="70"/>
  <c r="JS307" i="40"/>
  <c r="KK307" i="40"/>
  <c r="KI307" i="40"/>
  <c r="X47" i="70"/>
  <c r="JM633" i="40"/>
  <c r="KO333" i="40"/>
  <c r="AC47" i="70"/>
  <c r="KJ333" i="40"/>
  <c r="JU333" i="40"/>
  <c r="JV333" i="40" s="1"/>
  <c r="JW333" i="40" s="1"/>
  <c r="KI333" i="40"/>
  <c r="JS333" i="40"/>
  <c r="JT333" i="40"/>
  <c r="JX333" i="40" s="1"/>
  <c r="KK333" i="40"/>
  <c r="X55" i="70"/>
  <c r="JM641" i="40"/>
  <c r="KO341" i="40"/>
  <c r="AC55" i="70"/>
  <c r="KI341" i="40"/>
  <c r="JU341" i="40"/>
  <c r="JV341" i="40" s="1"/>
  <c r="JW341" i="40" s="1"/>
  <c r="KK341" i="40"/>
  <c r="KJ341" i="40"/>
  <c r="JT341" i="40"/>
  <c r="JX341" i="40" s="1"/>
  <c r="JS341" i="40"/>
  <c r="X63" i="70"/>
  <c r="JM649" i="40"/>
  <c r="KO349" i="40"/>
  <c r="AC63" i="70"/>
  <c r="KI349" i="40"/>
  <c r="JU349" i="40"/>
  <c r="JV349" i="40" s="1"/>
  <c r="JW349" i="40" s="1"/>
  <c r="KK349" i="40"/>
  <c r="JT349" i="40"/>
  <c r="JX349" i="40" s="1"/>
  <c r="JS349" i="40"/>
  <c r="KJ349" i="40"/>
  <c r="JT422" i="40"/>
  <c r="JX422" i="40" s="1"/>
  <c r="AK36" i="70"/>
  <c r="AF52" i="70"/>
  <c r="AK52" i="70"/>
  <c r="KO438" i="40"/>
  <c r="KJ438" i="40"/>
  <c r="JS438" i="40"/>
  <c r="JT438" i="40"/>
  <c r="JX438" i="40" s="1"/>
  <c r="KI438" i="40"/>
  <c r="JU438" i="40"/>
  <c r="JV438" i="40" s="1"/>
  <c r="JW438" i="40" s="1"/>
  <c r="KK438" i="40"/>
  <c r="JL646" i="40"/>
  <c r="JL650" i="40"/>
  <c r="AF67" i="70"/>
  <c r="JL625" i="40"/>
  <c r="AN35" i="70"/>
  <c r="KO521" i="40"/>
  <c r="KI521" i="40"/>
  <c r="AS35" i="70"/>
  <c r="JS521" i="40"/>
  <c r="KK521" i="40"/>
  <c r="JU521" i="40"/>
  <c r="JV521" i="40" s="1"/>
  <c r="JW521" i="40" s="1"/>
  <c r="JT521" i="40"/>
  <c r="JX521" i="40" s="1"/>
  <c r="KJ521" i="40"/>
  <c r="AN45" i="70"/>
  <c r="KO531" i="40"/>
  <c r="JT531" i="40"/>
  <c r="JX531" i="40" s="1"/>
  <c r="KK531" i="40"/>
  <c r="JU531" i="40"/>
  <c r="JV531" i="40" s="1"/>
  <c r="JW531" i="40" s="1"/>
  <c r="KJ531" i="40"/>
  <c r="AS45" i="70"/>
  <c r="KI531" i="40"/>
  <c r="JS531" i="40"/>
  <c r="AN49" i="70"/>
  <c r="JU535" i="40"/>
  <c r="JV535" i="40" s="1"/>
  <c r="JW535" i="40" s="1"/>
  <c r="KO535" i="40"/>
  <c r="AS49" i="70"/>
  <c r="KK535" i="40"/>
  <c r="KJ535" i="40"/>
  <c r="KI535" i="40"/>
  <c r="JT535" i="40"/>
  <c r="JX535" i="40" s="1"/>
  <c r="JS535" i="40"/>
  <c r="AN53" i="70"/>
  <c r="KO539" i="40"/>
  <c r="AS53" i="70"/>
  <c r="KK539" i="40"/>
  <c r="JS539" i="40"/>
  <c r="JT539" i="40"/>
  <c r="JX539" i="40" s="1"/>
  <c r="KJ539" i="40"/>
  <c r="JU539" i="40"/>
  <c r="JV539" i="40" s="1"/>
  <c r="JW539" i="40" s="1"/>
  <c r="KI539" i="40"/>
  <c r="AN57" i="70"/>
  <c r="KO543" i="40"/>
  <c r="KJ543" i="40"/>
  <c r="JT543" i="40"/>
  <c r="JX543" i="40" s="1"/>
  <c r="JS543" i="40"/>
  <c r="JU543" i="40"/>
  <c r="JV543" i="40" s="1"/>
  <c r="JW543" i="40" s="1"/>
  <c r="KI543" i="40"/>
  <c r="AS57" i="70"/>
  <c r="KK543" i="40"/>
  <c r="AN61" i="70"/>
  <c r="KO547" i="40"/>
  <c r="JT547" i="40"/>
  <c r="JX547" i="40" s="1"/>
  <c r="KJ547" i="40"/>
  <c r="JU547" i="40"/>
  <c r="JV547" i="40" s="1"/>
  <c r="JW547" i="40" s="1"/>
  <c r="KK547" i="40"/>
  <c r="AS61" i="70"/>
  <c r="JS547" i="40"/>
  <c r="KI547" i="40"/>
  <c r="AN65" i="70"/>
  <c r="AS65" i="70"/>
  <c r="JS551" i="40"/>
  <c r="KO551" i="40"/>
  <c r="KJ551" i="40"/>
  <c r="JU551" i="40"/>
  <c r="JV551" i="40" s="1"/>
  <c r="JW551" i="40" s="1"/>
  <c r="KI551" i="40"/>
  <c r="JT551" i="40"/>
  <c r="JX551" i="40" s="1"/>
  <c r="KK551" i="40"/>
  <c r="AN69" i="70"/>
  <c r="KO555" i="40"/>
  <c r="JU555" i="40"/>
  <c r="JV555" i="40" s="1"/>
  <c r="JW555" i="40" s="1"/>
  <c r="AS69" i="70"/>
  <c r="KK555" i="40"/>
  <c r="AN7" i="70"/>
  <c r="BO7" i="70" s="1"/>
  <c r="JS555" i="40"/>
  <c r="KJ555" i="40"/>
  <c r="JT555" i="40"/>
  <c r="JX555" i="40" s="1"/>
  <c r="AS7" i="70"/>
  <c r="KI555" i="40"/>
  <c r="KO459" i="40"/>
  <c r="JS459" i="40"/>
  <c r="JU459" i="40"/>
  <c r="JV459" i="40" s="1"/>
  <c r="JW459" i="40" s="1"/>
  <c r="KJ459" i="40"/>
  <c r="JT459" i="40"/>
  <c r="JX459" i="40" s="1"/>
  <c r="KI459" i="40"/>
  <c r="KK459" i="40"/>
  <c r="JM523" i="40"/>
  <c r="JM681" i="40"/>
  <c r="JU281" i="40"/>
  <c r="KJ281" i="40"/>
  <c r="U18" i="70"/>
  <c r="KK281" i="40"/>
  <c r="JS281" i="40"/>
  <c r="JT281" i="40"/>
  <c r="JX281" i="40" s="1"/>
  <c r="KI281" i="40"/>
  <c r="JU273" i="40"/>
  <c r="JV273" i="40" s="1"/>
  <c r="JW273" i="40" s="1"/>
  <c r="JS273" i="40"/>
  <c r="KI273" i="40"/>
  <c r="KJ273" i="40"/>
  <c r="JT273" i="40"/>
  <c r="JX273" i="40" s="1"/>
  <c r="KK273" i="40"/>
  <c r="Q43" i="71"/>
  <c r="Q65" i="71"/>
  <c r="Q49" i="71"/>
  <c r="Q59" i="71"/>
  <c r="Q57" i="71"/>
  <c r="Q41" i="71"/>
  <c r="Q37" i="71"/>
  <c r="Q71" i="71"/>
  <c r="Q63" i="71"/>
  <c r="Q51" i="71"/>
  <c r="Q61" i="71"/>
  <c r="Q53" i="71"/>
  <c r="Q69" i="71"/>
  <c r="Q35" i="71"/>
  <c r="Q67" i="71"/>
  <c r="Q45" i="71"/>
  <c r="Q47" i="71"/>
  <c r="Q39" i="71"/>
  <c r="Q55" i="71"/>
  <c r="KO403" i="40"/>
  <c r="KK403" i="40"/>
  <c r="JT403" i="40"/>
  <c r="JX403" i="40" s="1"/>
  <c r="KJ403" i="40"/>
  <c r="JS403" i="40"/>
  <c r="JU403" i="40"/>
  <c r="JV403" i="40" s="1"/>
  <c r="JW403" i="40" s="1"/>
  <c r="KI403" i="40"/>
  <c r="AA65" i="71"/>
  <c r="AA35" i="71"/>
  <c r="AA69" i="71"/>
  <c r="AA57" i="71"/>
  <c r="AA37" i="71"/>
  <c r="AA63" i="71"/>
  <c r="AA45" i="71"/>
  <c r="AA55" i="71"/>
  <c r="AA47" i="71"/>
  <c r="AA59" i="71"/>
  <c r="AA61" i="71"/>
  <c r="AA43" i="71"/>
  <c r="AA67" i="71"/>
  <c r="AA39" i="71"/>
  <c r="AA49" i="71"/>
  <c r="AA71" i="71"/>
  <c r="AA41" i="71"/>
  <c r="AA51" i="71"/>
  <c r="AA53" i="71"/>
  <c r="JL669" i="40"/>
  <c r="JM569" i="40"/>
  <c r="Z59" i="67"/>
  <c r="Z51" i="67"/>
  <c r="Z53" i="67"/>
  <c r="Z45" i="67"/>
  <c r="Z61" i="67"/>
  <c r="Z69" i="67"/>
  <c r="Z71" i="67"/>
  <c r="Z47" i="67"/>
  <c r="Z43" i="67"/>
  <c r="Z65" i="67"/>
  <c r="Z67" i="67"/>
  <c r="Z57" i="67"/>
  <c r="Z55" i="67"/>
  <c r="Z63" i="67"/>
  <c r="KJ215" i="40"/>
  <c r="JS215" i="40"/>
  <c r="JT215" i="40"/>
  <c r="JX215" i="40" s="1"/>
  <c r="U13" i="70"/>
  <c r="KK215" i="40"/>
  <c r="JU215" i="40"/>
  <c r="JV215" i="40" s="1"/>
  <c r="JW215" i="40" s="1"/>
  <c r="U29" i="70"/>
  <c r="KI215" i="40"/>
  <c r="AF26" i="70"/>
  <c r="KO412" i="40"/>
  <c r="AF12" i="70"/>
  <c r="BL12" i="70" s="1"/>
  <c r="KI412" i="40"/>
  <c r="JT412" i="40"/>
  <c r="JX412" i="40" s="1"/>
  <c r="KK412" i="40"/>
  <c r="JU412" i="40"/>
  <c r="JV412" i="40" s="1"/>
  <c r="JW412" i="40" s="1"/>
  <c r="AK26" i="70"/>
  <c r="KJ412" i="40"/>
  <c r="AK12" i="70"/>
  <c r="JS412" i="40"/>
  <c r="AN31" i="70"/>
  <c r="KO517" i="40"/>
  <c r="JU517" i="40"/>
  <c r="JV517" i="40" s="1"/>
  <c r="JW517" i="40" s="1"/>
  <c r="AS15" i="70"/>
  <c r="KI517" i="40"/>
  <c r="AN15" i="70"/>
  <c r="BO15" i="70" s="1"/>
  <c r="KJ517" i="40"/>
  <c r="KK517" i="40"/>
  <c r="JT517" i="40"/>
  <c r="JX517" i="40" s="1"/>
  <c r="AS31" i="70"/>
  <c r="JS517" i="40"/>
  <c r="JM622" i="40"/>
  <c r="JT222" i="40"/>
  <c r="JX222" i="40" s="1"/>
  <c r="KJ222" i="40"/>
  <c r="JU222" i="40"/>
  <c r="JV222" i="40" s="1"/>
  <c r="JW222" i="40" s="1"/>
  <c r="KK222" i="40"/>
  <c r="U36" i="70"/>
  <c r="KI222" i="40"/>
  <c r="JS222" i="40"/>
  <c r="JM224" i="40"/>
  <c r="JM409" i="40"/>
  <c r="P48" i="70"/>
  <c r="JM634" i="40"/>
  <c r="U48" i="70"/>
  <c r="KJ234" i="40"/>
  <c r="P10" i="70"/>
  <c r="BF10" i="70" s="1"/>
  <c r="KK234" i="40"/>
  <c r="JT234" i="40"/>
  <c r="JX234" i="40" s="1"/>
  <c r="KI234" i="40"/>
  <c r="JU234" i="40"/>
  <c r="JV234" i="40" s="1"/>
  <c r="JW234" i="40" s="1"/>
  <c r="U10" i="70"/>
  <c r="JS234" i="40"/>
  <c r="KO242" i="40"/>
  <c r="JT242" i="40"/>
  <c r="JX242" i="40" s="1"/>
  <c r="KI242" i="40"/>
  <c r="U56" i="70"/>
  <c r="KJ242" i="40"/>
  <c r="JU242" i="40"/>
  <c r="JV242" i="40" s="1"/>
  <c r="JW242" i="40" s="1"/>
  <c r="JS242" i="40"/>
  <c r="KK242" i="40"/>
  <c r="P64" i="70"/>
  <c r="U64" i="70"/>
  <c r="JM650" i="40"/>
  <c r="KK250" i="40"/>
  <c r="KI250" i="40"/>
  <c r="JT250" i="40"/>
  <c r="JX250" i="40" s="1"/>
  <c r="JS250" i="40"/>
  <c r="JU250" i="40"/>
  <c r="JV250" i="40" s="1"/>
  <c r="JW250" i="40" s="1"/>
  <c r="KJ250" i="40"/>
  <c r="X34" i="70"/>
  <c r="KO320" i="40"/>
  <c r="AC34" i="70"/>
  <c r="JS320" i="40"/>
  <c r="KI320" i="40"/>
  <c r="JU320" i="40"/>
  <c r="JT320" i="40"/>
  <c r="JX320" i="40" s="1"/>
  <c r="KJ320" i="40"/>
  <c r="KK320" i="40"/>
  <c r="X38" i="70"/>
  <c r="KO324" i="40"/>
  <c r="KK324" i="40"/>
  <c r="JT324" i="40"/>
  <c r="JX324" i="40" s="1"/>
  <c r="KI324" i="40"/>
  <c r="JU324" i="40"/>
  <c r="JV324" i="40" s="1"/>
  <c r="JW324" i="40" s="1"/>
  <c r="KJ324" i="40"/>
  <c r="AC38" i="70"/>
  <c r="JS324" i="40"/>
  <c r="X41" i="70"/>
  <c r="KO327" i="40"/>
  <c r="JS327" i="40"/>
  <c r="JT327" i="40"/>
  <c r="JX327" i="40" s="1"/>
  <c r="KK327" i="40"/>
  <c r="JU327" i="40"/>
  <c r="JV327" i="40" s="1"/>
  <c r="JW327" i="40" s="1"/>
  <c r="KI327" i="40"/>
  <c r="AC41" i="70"/>
  <c r="KJ327" i="40"/>
  <c r="X49" i="70"/>
  <c r="JM635" i="40"/>
  <c r="KO335" i="40"/>
  <c r="KJ335" i="40"/>
  <c r="JT335" i="40"/>
  <c r="JX335" i="40" s="1"/>
  <c r="JU335" i="40"/>
  <c r="JV335" i="40" s="1"/>
  <c r="JW335" i="40" s="1"/>
  <c r="JS335" i="40"/>
  <c r="KI335" i="40"/>
  <c r="AC49" i="70"/>
  <c r="KK335" i="40"/>
  <c r="X57" i="70"/>
  <c r="JM643" i="40"/>
  <c r="KJ343" i="40"/>
  <c r="AC57" i="70"/>
  <c r="JS343" i="40"/>
  <c r="KO343" i="40"/>
  <c r="KI343" i="40"/>
  <c r="JU343" i="40"/>
  <c r="JV343" i="40" s="1"/>
  <c r="JW343" i="40" s="1"/>
  <c r="JT343" i="40"/>
  <c r="JX343" i="40" s="1"/>
  <c r="KK343" i="40"/>
  <c r="X65" i="70"/>
  <c r="JM651" i="40"/>
  <c r="KO351" i="40"/>
  <c r="JU351" i="40"/>
  <c r="KI351" i="40"/>
  <c r="AC65" i="70"/>
  <c r="JS351" i="40"/>
  <c r="KK351" i="40"/>
  <c r="JT351" i="40"/>
  <c r="JX351" i="40" s="1"/>
  <c r="KJ351" i="40"/>
  <c r="AF38" i="70"/>
  <c r="KO424" i="40"/>
  <c r="JS424" i="40"/>
  <c r="AK38" i="70"/>
  <c r="KJ424" i="40"/>
  <c r="JU424" i="40"/>
  <c r="JV424" i="40" s="1"/>
  <c r="JW424" i="40" s="1"/>
  <c r="KK424" i="40"/>
  <c r="JT424" i="40"/>
  <c r="JX424" i="40" s="1"/>
  <c r="KI424" i="40"/>
  <c r="AF46" i="70"/>
  <c r="JU432" i="40"/>
  <c r="JV432" i="40" s="1"/>
  <c r="JW432" i="40" s="1"/>
  <c r="KO432" i="40"/>
  <c r="JT432" i="40"/>
  <c r="JX432" i="40" s="1"/>
  <c r="JS432" i="40"/>
  <c r="AK9" i="70"/>
  <c r="KK432" i="40"/>
  <c r="AK46" i="70"/>
  <c r="KI432" i="40"/>
  <c r="AF9" i="70"/>
  <c r="BL9" i="70" s="1"/>
  <c r="KJ432" i="40"/>
  <c r="AF54" i="70"/>
  <c r="KO440" i="40"/>
  <c r="JU440" i="40"/>
  <c r="JV440" i="40" s="1"/>
  <c r="JW440" i="40" s="1"/>
  <c r="KI440" i="40"/>
  <c r="AK54" i="70"/>
  <c r="JS440" i="40"/>
  <c r="KK440" i="40"/>
  <c r="JT440" i="40"/>
  <c r="JX440" i="40" s="1"/>
  <c r="KJ440" i="40"/>
  <c r="AF35" i="70"/>
  <c r="AF43" i="70"/>
  <c r="AF51" i="70"/>
  <c r="AF59" i="70"/>
  <c r="JM444" i="40"/>
  <c r="JM448" i="40"/>
  <c r="JM648" i="40" s="1"/>
  <c r="JM452" i="40"/>
  <c r="JM652" i="40" s="1"/>
  <c r="JL619" i="40"/>
  <c r="JL627" i="40"/>
  <c r="JM525" i="40"/>
  <c r="JL633" i="40"/>
  <c r="JL637" i="40"/>
  <c r="JL641" i="40"/>
  <c r="JL645" i="40"/>
  <c r="JL649" i="40"/>
  <c r="JL653" i="40"/>
  <c r="JX553" i="40"/>
  <c r="JM527" i="40"/>
  <c r="JM627" i="40" s="1"/>
  <c r="JL681" i="40"/>
  <c r="JM665" i="40"/>
  <c r="KO265" i="40"/>
  <c r="JS265" i="40"/>
  <c r="JT265" i="40"/>
  <c r="JX265" i="40" s="1"/>
  <c r="KK265" i="40"/>
  <c r="JU265" i="40"/>
  <c r="JV265" i="40" s="1"/>
  <c r="JW265" i="40" s="1"/>
  <c r="KI265" i="40"/>
  <c r="KJ265" i="40"/>
  <c r="JL603" i="40"/>
  <c r="KO504" i="40"/>
  <c r="KK504" i="40"/>
  <c r="KI504" i="40"/>
  <c r="JS504" i="40"/>
  <c r="KJ504" i="40"/>
  <c r="JU504" i="40"/>
  <c r="JV504" i="40" s="1"/>
  <c r="JW504" i="40" s="1"/>
  <c r="JT504" i="40"/>
  <c r="JX504" i="40" s="1"/>
  <c r="JT367" i="40"/>
  <c r="JX367" i="40" s="1"/>
  <c r="KO367" i="40"/>
  <c r="KI367" i="40"/>
  <c r="JU367" i="40"/>
  <c r="JV367" i="40" s="1"/>
  <c r="JW367" i="40" s="1"/>
  <c r="KJ367" i="40"/>
  <c r="KK367" i="40"/>
  <c r="JS367" i="40"/>
  <c r="JL671" i="40"/>
  <c r="JM371" i="40"/>
  <c r="JM603" i="40"/>
  <c r="JM375" i="40"/>
  <c r="AC44" i="67"/>
  <c r="Y45" i="67"/>
  <c r="Y45" i="68"/>
  <c r="AD48" i="69"/>
  <c r="Y45" i="69"/>
  <c r="AC42" i="69"/>
  <c r="Y43" i="69"/>
  <c r="Y41" i="69"/>
  <c r="AC38" i="69"/>
  <c r="Y39" i="69"/>
  <c r="Y37" i="69"/>
  <c r="AD34" i="69"/>
  <c r="AT20" i="68"/>
  <c r="AC48" i="68"/>
  <c r="AC46" i="68"/>
  <c r="AD42" i="68"/>
  <c r="AD40" i="68"/>
  <c r="AC38" i="68"/>
  <c r="Y49" i="67"/>
  <c r="AC48" i="67"/>
  <c r="AD42" i="67"/>
  <c r="Y41" i="67"/>
  <c r="Y39" i="67"/>
  <c r="AC46" i="66"/>
  <c r="AD40" i="66"/>
  <c r="AD38" i="66"/>
  <c r="AC36" i="66"/>
  <c r="Z46" i="58"/>
  <c r="Z47" i="58" s="1"/>
  <c r="Y45" i="58"/>
  <c r="AC34" i="58"/>
  <c r="Y35" i="58"/>
  <c r="Y47" i="58"/>
  <c r="Z37" i="67" l="1"/>
  <c r="AB12" i="61"/>
  <c r="T12" i="61" s="1"/>
  <c r="KO559" i="40"/>
  <c r="AK44" i="70"/>
  <c r="KO250" i="40"/>
  <c r="KR250" i="40" s="1"/>
  <c r="P56" i="70"/>
  <c r="KO213" i="40"/>
  <c r="KO238" i="40"/>
  <c r="P8" i="70"/>
  <c r="BF8" i="70" s="1"/>
  <c r="P50" i="70"/>
  <c r="KO212" i="40"/>
  <c r="KO209" i="40"/>
  <c r="KO227" i="40"/>
  <c r="KR227" i="40" s="1"/>
  <c r="JT668" i="40"/>
  <c r="JX668" i="40" s="1"/>
  <c r="P13" i="70"/>
  <c r="BF13" i="70" s="1"/>
  <c r="KO281" i="40"/>
  <c r="P62" i="70"/>
  <c r="KO240" i="40"/>
  <c r="AC46" i="69"/>
  <c r="AC47" i="69" s="1"/>
  <c r="JM602" i="40"/>
  <c r="KO208" i="40"/>
  <c r="KR208" i="40" s="1"/>
  <c r="Y61" i="68"/>
  <c r="JU668" i="40"/>
  <c r="JV668" i="40" s="1"/>
  <c r="JW668" i="40" s="1"/>
  <c r="KO249" i="40"/>
  <c r="KO259" i="40"/>
  <c r="KR259" i="40" s="1"/>
  <c r="KO205" i="40"/>
  <c r="Y39" i="68"/>
  <c r="Y47" i="68"/>
  <c r="AC40" i="69"/>
  <c r="P36" i="70"/>
  <c r="KO215" i="40"/>
  <c r="KO278" i="40"/>
  <c r="P44" i="70"/>
  <c r="Y51" i="68"/>
  <c r="P12" i="70"/>
  <c r="BF12" i="70" s="1"/>
  <c r="KO272" i="40"/>
  <c r="KO260" i="40"/>
  <c r="KS260" i="40" s="1"/>
  <c r="P30" i="70"/>
  <c r="KO225" i="40"/>
  <c r="JU670" i="40"/>
  <c r="JV670" i="40" s="1"/>
  <c r="JW670" i="40" s="1"/>
  <c r="KI422" i="40"/>
  <c r="JS422" i="40"/>
  <c r="JU422" i="40"/>
  <c r="JV422" i="40" s="1"/>
  <c r="JW422" i="40" s="1"/>
  <c r="KO422" i="40"/>
  <c r="AD12" i="61"/>
  <c r="AH12" i="61" s="1"/>
  <c r="KJ422" i="40"/>
  <c r="KK422" i="40"/>
  <c r="AA47" i="69"/>
  <c r="AA49" i="69"/>
  <c r="JM654" i="40"/>
  <c r="AK68" i="70"/>
  <c r="JU454" i="40"/>
  <c r="JV454" i="40" s="1"/>
  <c r="JW454" i="40" s="1"/>
  <c r="KO442" i="40"/>
  <c r="KS442" i="40" s="1"/>
  <c r="KJ454" i="40"/>
  <c r="JT454" i="40"/>
  <c r="JX454" i="40" s="1"/>
  <c r="JS454" i="40"/>
  <c r="Y43" i="67"/>
  <c r="Y49" i="68"/>
  <c r="P46" i="70"/>
  <c r="Y35" i="67"/>
  <c r="Y65" i="68"/>
  <c r="Z61" i="68"/>
  <c r="Y35" i="68"/>
  <c r="AC40" i="67"/>
  <c r="AC36" i="69"/>
  <c r="AC44" i="69"/>
  <c r="Y59" i="68"/>
  <c r="KJ232" i="40"/>
  <c r="Y55" i="68"/>
  <c r="Y67" i="68"/>
  <c r="JV329" i="40"/>
  <c r="JW329" i="40" s="1"/>
  <c r="AF38" i="67"/>
  <c r="JV516" i="40"/>
  <c r="JW516" i="40" s="1"/>
  <c r="AF46" i="69"/>
  <c r="JV481" i="40"/>
  <c r="JW481" i="40" s="1"/>
  <c r="AF36" i="68"/>
  <c r="JV351" i="40"/>
  <c r="JW351" i="40" s="1"/>
  <c r="AF46" i="67"/>
  <c r="JV320" i="40"/>
  <c r="JW320" i="40" s="1"/>
  <c r="AF44" i="67"/>
  <c r="JV467" i="40"/>
  <c r="JW467" i="40" s="1"/>
  <c r="AF42" i="68"/>
  <c r="JV420" i="40"/>
  <c r="JW420" i="40" s="1"/>
  <c r="AF40" i="68"/>
  <c r="JV347" i="40"/>
  <c r="JW347" i="40" s="1"/>
  <c r="AF42" i="67"/>
  <c r="JV416" i="40"/>
  <c r="JW416" i="40" s="1"/>
  <c r="AF46" i="68"/>
  <c r="AU21" i="69"/>
  <c r="Y35" i="69"/>
  <c r="AU20" i="68"/>
  <c r="JT434" i="40"/>
  <c r="JX434" i="40" s="1"/>
  <c r="AK48" i="70"/>
  <c r="JS680" i="40"/>
  <c r="AA65" i="69"/>
  <c r="JU232" i="40"/>
  <c r="JV232" i="40" s="1"/>
  <c r="JW232" i="40" s="1"/>
  <c r="Y71" i="68"/>
  <c r="Y53" i="68"/>
  <c r="AC33" i="68"/>
  <c r="AC41" i="68" s="1"/>
  <c r="Z55" i="68"/>
  <c r="JT232" i="40"/>
  <c r="JX232" i="40" s="1"/>
  <c r="Y63" i="68"/>
  <c r="Y57" i="68"/>
  <c r="Y69" i="68"/>
  <c r="Z43" i="68"/>
  <c r="AA51" i="69"/>
  <c r="AC44" i="58"/>
  <c r="JV319" i="40"/>
  <c r="JW319" i="40" s="1"/>
  <c r="JV281" i="40"/>
  <c r="JW281" i="40" s="1"/>
  <c r="AF36" i="66"/>
  <c r="AD36" i="67"/>
  <c r="JV381" i="40"/>
  <c r="JW381" i="40" s="1"/>
  <c r="AF36" i="67"/>
  <c r="AU21" i="67"/>
  <c r="AV19" i="66"/>
  <c r="AS21" i="66"/>
  <c r="AT21" i="66"/>
  <c r="AC46" i="58"/>
  <c r="AS21" i="58"/>
  <c r="AU21" i="58"/>
  <c r="AA45" i="69"/>
  <c r="AA61" i="69"/>
  <c r="AA35" i="69"/>
  <c r="AC33" i="69"/>
  <c r="P65" i="70"/>
  <c r="P53" i="70"/>
  <c r="P29" i="70"/>
  <c r="KO273" i="40"/>
  <c r="P54" i="70"/>
  <c r="P27" i="70"/>
  <c r="KO254" i="40"/>
  <c r="P60" i="70"/>
  <c r="P22" i="70"/>
  <c r="KO211" i="40"/>
  <c r="KO266" i="40"/>
  <c r="KO252" i="40"/>
  <c r="KO269" i="40"/>
  <c r="KS269" i="40" s="1"/>
  <c r="KO262" i="40"/>
  <c r="P17" i="70"/>
  <c r="BF17" i="70" s="1"/>
  <c r="KJ202" i="40"/>
  <c r="KO247" i="40"/>
  <c r="KS247" i="40" s="1"/>
  <c r="KO235" i="40"/>
  <c r="JS202" i="40"/>
  <c r="KO229" i="40"/>
  <c r="KO243" i="40"/>
  <c r="KR243" i="40" s="1"/>
  <c r="KO277" i="40"/>
  <c r="KO271" i="40"/>
  <c r="KO261" i="40"/>
  <c r="KO264" i="40"/>
  <c r="KR264" i="40" s="1"/>
  <c r="KO214" i="40"/>
  <c r="KO204" i="40"/>
  <c r="P26" i="70"/>
  <c r="JT373" i="40"/>
  <c r="JX373" i="40" s="1"/>
  <c r="JS373" i="40"/>
  <c r="P39" i="70"/>
  <c r="P37" i="70"/>
  <c r="P51" i="70"/>
  <c r="P45" i="70"/>
  <c r="P28" i="70"/>
  <c r="P55" i="70"/>
  <c r="P67" i="70"/>
  <c r="P69" i="70"/>
  <c r="P61" i="70"/>
  <c r="P59" i="70"/>
  <c r="P47" i="70"/>
  <c r="AU20" i="66"/>
  <c r="KO234" i="40"/>
  <c r="KO222" i="40"/>
  <c r="JM673" i="40"/>
  <c r="JT673" i="40" s="1"/>
  <c r="JX673" i="40" s="1"/>
  <c r="P18" i="70"/>
  <c r="BF18" i="70" s="1"/>
  <c r="KO248" i="40"/>
  <c r="P9" i="70"/>
  <c r="BF9" i="70" s="1"/>
  <c r="P25" i="70"/>
  <c r="P66" i="70"/>
  <c r="KO236" i="40"/>
  <c r="P15" i="70"/>
  <c r="BF15" i="70" s="1"/>
  <c r="KO217" i="40"/>
  <c r="KR217" i="40" s="1"/>
  <c r="KO275" i="40"/>
  <c r="P7" i="70"/>
  <c r="BF7" i="70" s="1"/>
  <c r="KO255" i="40"/>
  <c r="KI202" i="40"/>
  <c r="KO206" i="40"/>
  <c r="KO233" i="40"/>
  <c r="KO239" i="40"/>
  <c r="KO219" i="40"/>
  <c r="KR219" i="40" s="1"/>
  <c r="KO245" i="40"/>
  <c r="KO202" i="40"/>
  <c r="KO241" i="40"/>
  <c r="KO276" i="40"/>
  <c r="KS276" i="40" s="1"/>
  <c r="JU202" i="40"/>
  <c r="KO203" i="40"/>
  <c r="KI373" i="40"/>
  <c r="KO373" i="40"/>
  <c r="KR373" i="40" s="1"/>
  <c r="JU661" i="40"/>
  <c r="JV661" i="40" s="1"/>
  <c r="JW661" i="40" s="1"/>
  <c r="P63" i="70"/>
  <c r="P32" i="70"/>
  <c r="P49" i="70"/>
  <c r="AC40" i="58"/>
  <c r="AD40" i="58" s="1"/>
  <c r="AD41" i="58" s="1"/>
  <c r="AA69" i="69"/>
  <c r="P41" i="70"/>
  <c r="P34" i="70"/>
  <c r="P68" i="70"/>
  <c r="KO246" i="40"/>
  <c r="P52" i="70"/>
  <c r="KO230" i="40"/>
  <c r="KS230" i="40" s="1"/>
  <c r="P11" i="70"/>
  <c r="BF11" i="70" s="1"/>
  <c r="KO256" i="40"/>
  <c r="KO244" i="40"/>
  <c r="P58" i="70"/>
  <c r="P31" i="70"/>
  <c r="KO201" i="40"/>
  <c r="P16" i="70"/>
  <c r="BF16" i="70" s="1"/>
  <c r="KO267" i="40"/>
  <c r="KR267" i="40" s="1"/>
  <c r="JT202" i="40"/>
  <c r="JX202" i="40" s="1"/>
  <c r="KK202" i="40"/>
  <c r="KO268" i="40"/>
  <c r="KR268" i="40" s="1"/>
  <c r="KO253" i="40"/>
  <c r="KS253" i="40" s="1"/>
  <c r="KO251" i="40"/>
  <c r="KS251" i="40" s="1"/>
  <c r="KO274" i="40"/>
  <c r="KO207" i="40"/>
  <c r="KS207" i="40" s="1"/>
  <c r="KO223" i="40"/>
  <c r="KS223" i="40" s="1"/>
  <c r="KO231" i="40"/>
  <c r="KR231" i="40" s="1"/>
  <c r="KO218" i="40"/>
  <c r="AE33" i="66"/>
  <c r="AE63" i="66" s="1"/>
  <c r="AI63" i="66" s="1"/>
  <c r="KO279" i="40"/>
  <c r="KR279" i="40" s="1"/>
  <c r="KO280" i="40"/>
  <c r="KO258" i="40"/>
  <c r="KO257" i="40"/>
  <c r="KS257" i="40" s="1"/>
  <c r="KO270" i="40"/>
  <c r="KS270" i="40" s="1"/>
  <c r="KO263" i="40"/>
  <c r="P57" i="70"/>
  <c r="P23" i="70"/>
  <c r="P43" i="70"/>
  <c r="P21" i="70"/>
  <c r="P33" i="70"/>
  <c r="P20" i="70"/>
  <c r="Z49" i="68"/>
  <c r="AA57" i="69"/>
  <c r="AA63" i="69"/>
  <c r="AA59" i="69"/>
  <c r="AA39" i="69"/>
  <c r="JS677" i="40"/>
  <c r="AA55" i="69"/>
  <c r="AA71" i="69"/>
  <c r="AA67" i="69"/>
  <c r="AA37" i="69"/>
  <c r="Z57" i="68"/>
  <c r="Z65" i="68"/>
  <c r="Z71" i="68"/>
  <c r="Z35" i="68"/>
  <c r="Z39" i="68"/>
  <c r="JU676" i="40"/>
  <c r="JV676" i="40" s="1"/>
  <c r="JW676" i="40" s="1"/>
  <c r="Z45" i="68"/>
  <c r="Z63" i="68"/>
  <c r="Z67" i="68"/>
  <c r="Z47" i="68"/>
  <c r="Z37" i="68"/>
  <c r="Z59" i="68"/>
  <c r="Z51" i="68"/>
  <c r="Z69" i="68"/>
  <c r="JT676" i="40"/>
  <c r="JX676" i="40" s="1"/>
  <c r="AA41" i="69"/>
  <c r="AA53" i="69"/>
  <c r="KI442" i="40"/>
  <c r="JM642" i="40"/>
  <c r="JU642" i="40" s="1"/>
  <c r="JV642" i="40" s="1"/>
  <c r="JW642" i="40" s="1"/>
  <c r="KK442" i="40"/>
  <c r="JU442" i="40"/>
  <c r="JV442" i="40" s="1"/>
  <c r="JW442" i="40" s="1"/>
  <c r="JT220" i="40"/>
  <c r="JX220" i="40" s="1"/>
  <c r="KJ220" i="40"/>
  <c r="KO220" i="40"/>
  <c r="JS442" i="40"/>
  <c r="AK56" i="70"/>
  <c r="AF56" i="70"/>
  <c r="JU677" i="40"/>
  <c r="JV677" i="40" s="1"/>
  <c r="JW677" i="40" s="1"/>
  <c r="KK220" i="40"/>
  <c r="JS220" i="40"/>
  <c r="KI220" i="40"/>
  <c r="JM620" i="40"/>
  <c r="JT442" i="40"/>
  <c r="JX442" i="40" s="1"/>
  <c r="AA63" i="67"/>
  <c r="U34" i="70"/>
  <c r="JU220" i="40"/>
  <c r="JX680" i="40"/>
  <c r="KK228" i="40"/>
  <c r="JT228" i="40"/>
  <c r="JX228" i="40" s="1"/>
  <c r="AT21" i="69"/>
  <c r="JS228" i="40"/>
  <c r="P42" i="70"/>
  <c r="KO508" i="40"/>
  <c r="KR508" i="40" s="1"/>
  <c r="AS21" i="68"/>
  <c r="U42" i="70"/>
  <c r="KI463" i="40"/>
  <c r="JM663" i="40"/>
  <c r="JU663" i="40" s="1"/>
  <c r="JV663" i="40" s="1"/>
  <c r="JW663" i="40" s="1"/>
  <c r="U14" i="70"/>
  <c r="AS20" i="71"/>
  <c r="JU463" i="40"/>
  <c r="JV463" i="40" s="1"/>
  <c r="JW463" i="40" s="1"/>
  <c r="JX677" i="40"/>
  <c r="JX674" i="40"/>
  <c r="AU20" i="67"/>
  <c r="AS20" i="69"/>
  <c r="U9" i="70"/>
  <c r="JS232" i="40"/>
  <c r="KO232" i="40"/>
  <c r="KR232" i="40" s="1"/>
  <c r="KI228" i="40"/>
  <c r="JU228" i="40"/>
  <c r="JV228" i="40" s="1"/>
  <c r="JW228" i="40" s="1"/>
  <c r="KO228" i="40"/>
  <c r="KS228" i="40" s="1"/>
  <c r="KI232" i="40"/>
  <c r="U46" i="70"/>
  <c r="P14" i="70"/>
  <c r="BF14" i="70" s="1"/>
  <c r="KJ228" i="40"/>
  <c r="JX660" i="40"/>
  <c r="AC43" i="68"/>
  <c r="KI559" i="40"/>
  <c r="AV32" i="70"/>
  <c r="AV19" i="67"/>
  <c r="KK559" i="40"/>
  <c r="JS618" i="40"/>
  <c r="JS559" i="40"/>
  <c r="JM659" i="40"/>
  <c r="JT659" i="40" s="1"/>
  <c r="JX659" i="40" s="1"/>
  <c r="JT559" i="40"/>
  <c r="JX559" i="40" s="1"/>
  <c r="JS430" i="40"/>
  <c r="AA55" i="67"/>
  <c r="AA49" i="67"/>
  <c r="AA59" i="67"/>
  <c r="KO501" i="40"/>
  <c r="KR501" i="40" s="1"/>
  <c r="AC41" i="58"/>
  <c r="C41" i="58" s="1"/>
  <c r="AV19" i="69"/>
  <c r="AF15" i="70"/>
  <c r="BL15" i="70" s="1"/>
  <c r="JU606" i="40"/>
  <c r="JV606" i="40" s="1"/>
  <c r="JW606" i="40" s="1"/>
  <c r="KI514" i="40"/>
  <c r="JU660" i="40"/>
  <c r="JV660" i="40" s="1"/>
  <c r="JW660" i="40" s="1"/>
  <c r="JU664" i="40"/>
  <c r="JV664" i="40" s="1"/>
  <c r="JW664" i="40" s="1"/>
  <c r="JT606" i="40"/>
  <c r="JX606" i="40" s="1"/>
  <c r="JU514" i="40"/>
  <c r="JV514" i="40" s="1"/>
  <c r="JW514" i="40" s="1"/>
  <c r="JT664" i="40"/>
  <c r="JX664" i="40" s="1"/>
  <c r="AN28" i="70"/>
  <c r="JM616" i="40"/>
  <c r="JU616" i="40" s="1"/>
  <c r="JV616" i="40" s="1"/>
  <c r="JW616" i="40" s="1"/>
  <c r="AU20" i="71"/>
  <c r="AA43" i="67"/>
  <c r="AA61" i="67"/>
  <c r="AA71" i="67"/>
  <c r="AA51" i="67"/>
  <c r="AA47" i="67"/>
  <c r="AC39" i="58"/>
  <c r="C39" i="58" s="1"/>
  <c r="Y37" i="66"/>
  <c r="AT21" i="67"/>
  <c r="AV19" i="68"/>
  <c r="AT20" i="71"/>
  <c r="AC33" i="67"/>
  <c r="AC43" i="67" s="1"/>
  <c r="AA39" i="67"/>
  <c r="AA35" i="67"/>
  <c r="AA67" i="67"/>
  <c r="AA65" i="67"/>
  <c r="AA41" i="67"/>
  <c r="AS21" i="67"/>
  <c r="AA45" i="67"/>
  <c r="AA57" i="67"/>
  <c r="AA69" i="67"/>
  <c r="AA53" i="67"/>
  <c r="JK674" i="40"/>
  <c r="Y41" i="68"/>
  <c r="Y43" i="68"/>
  <c r="AV19" i="71"/>
  <c r="G8" i="59"/>
  <c r="G32" i="59" s="1"/>
  <c r="E8" i="59"/>
  <c r="T45" i="59" s="1"/>
  <c r="F8" i="59"/>
  <c r="F32" i="59" s="1"/>
  <c r="H8" i="59"/>
  <c r="H32" i="59" s="1"/>
  <c r="JT670" i="40"/>
  <c r="JX670" i="40" s="1"/>
  <c r="AH5" i="61"/>
  <c r="KK430" i="40"/>
  <c r="JT430" i="40"/>
  <c r="JX430" i="40" s="1"/>
  <c r="AF44" i="70"/>
  <c r="AF31" i="70"/>
  <c r="JM617" i="40"/>
  <c r="KO617" i="40" s="1"/>
  <c r="KJ463" i="40"/>
  <c r="JT463" i="40"/>
  <c r="JX463" i="40" s="1"/>
  <c r="JU430" i="40"/>
  <c r="JV430" i="40" s="1"/>
  <c r="JW430" i="40" s="1"/>
  <c r="KO430" i="40"/>
  <c r="KR430" i="40" s="1"/>
  <c r="KO463" i="40"/>
  <c r="KR463" i="40" s="1"/>
  <c r="JM630" i="40"/>
  <c r="JS630" i="40" s="1"/>
  <c r="JS463" i="40"/>
  <c r="JS660" i="40"/>
  <c r="KI430" i="40"/>
  <c r="JT501" i="40"/>
  <c r="KT501" i="40"/>
  <c r="KT502" i="40" s="1"/>
  <c r="KT503" i="40" s="1"/>
  <c r="KJ514" i="40"/>
  <c r="JT514" i="40"/>
  <c r="JX514" i="40" s="1"/>
  <c r="JS670" i="40"/>
  <c r="JM614" i="40"/>
  <c r="JM601" i="40"/>
  <c r="JM701" i="40" s="1"/>
  <c r="KO701" i="40" s="1"/>
  <c r="JU501" i="40"/>
  <c r="JV501" i="40" s="1"/>
  <c r="JW501" i="40" s="1"/>
  <c r="JS514" i="40"/>
  <c r="KK514" i="40"/>
  <c r="AS28" i="70"/>
  <c r="JU680" i="40"/>
  <c r="JV680" i="40" s="1"/>
  <c r="JW680" i="40" s="1"/>
  <c r="AV19" i="58"/>
  <c r="AT20" i="58"/>
  <c r="AL47" i="62"/>
  <c r="AN47" i="62"/>
  <c r="AM47" i="62"/>
  <c r="AE47" i="62"/>
  <c r="AI47" i="62" s="1"/>
  <c r="AN37" i="62"/>
  <c r="AL37" i="62"/>
  <c r="AM37" i="62"/>
  <c r="AE37" i="62"/>
  <c r="AI37" i="62" s="1"/>
  <c r="U35" i="62"/>
  <c r="Y34" i="62"/>
  <c r="W39" i="62"/>
  <c r="AA38" i="62"/>
  <c r="AA39" i="62" s="1"/>
  <c r="F39" i="62"/>
  <c r="AK38" i="62"/>
  <c r="F41" i="62"/>
  <c r="AK40" i="62"/>
  <c r="Z40" i="62"/>
  <c r="Z41" i="62" s="1"/>
  <c r="V41" i="62"/>
  <c r="S48" i="62"/>
  <c r="S49" i="62" s="1"/>
  <c r="AA48" i="62"/>
  <c r="AA49" i="62" s="1"/>
  <c r="W49" i="62"/>
  <c r="V49" i="62"/>
  <c r="Z48" i="62"/>
  <c r="Z49" i="62" s="1"/>
  <c r="Y46" i="62"/>
  <c r="U47" i="62"/>
  <c r="F37" i="62"/>
  <c r="AK36" i="62" s="1"/>
  <c r="S42" i="62"/>
  <c r="S43" i="62" s="1"/>
  <c r="W43" i="62"/>
  <c r="Y42" i="62"/>
  <c r="U43" i="62"/>
  <c r="V45" i="62"/>
  <c r="Z44" i="62"/>
  <c r="Z45" i="62" s="1"/>
  <c r="U45" i="62"/>
  <c r="Y44" i="62"/>
  <c r="F45" i="62"/>
  <c r="AK44" i="62"/>
  <c r="AM39" i="62"/>
  <c r="AN39" i="62"/>
  <c r="AL39" i="62"/>
  <c r="AE39" i="62"/>
  <c r="AI39" i="62" s="1"/>
  <c r="A39" i="62" s="1"/>
  <c r="Q46" i="62"/>
  <c r="Q47" i="62" s="1"/>
  <c r="AK46" i="62"/>
  <c r="F47" i="62"/>
  <c r="W37" i="62"/>
  <c r="AA36" i="62"/>
  <c r="AA37" i="62" s="1"/>
  <c r="R34" i="62"/>
  <c r="R35" i="62" s="1"/>
  <c r="Z34" i="62"/>
  <c r="Z35" i="62" s="1"/>
  <c r="V35" i="62"/>
  <c r="AN35" i="62"/>
  <c r="AM35" i="62"/>
  <c r="AL35" i="62"/>
  <c r="AE35" i="62"/>
  <c r="AI35" i="62" s="1"/>
  <c r="AK34" i="62"/>
  <c r="F35" i="62"/>
  <c r="AM43" i="62"/>
  <c r="AL43" i="62"/>
  <c r="AN43" i="62"/>
  <c r="AE43" i="62"/>
  <c r="AI43" i="62" s="1"/>
  <c r="Z42" i="62"/>
  <c r="Z43" i="62" s="1"/>
  <c r="V43" i="62"/>
  <c r="AL45" i="62"/>
  <c r="AE45" i="62"/>
  <c r="AI45" i="62" s="1"/>
  <c r="AN45" i="62"/>
  <c r="AM45" i="62"/>
  <c r="R40" i="62"/>
  <c r="R41" i="62" s="1"/>
  <c r="Y40" i="62"/>
  <c r="U41" i="62"/>
  <c r="R48" i="62"/>
  <c r="R49" i="62" s="1"/>
  <c r="AM49" i="62"/>
  <c r="AL49" i="62"/>
  <c r="AN49" i="62"/>
  <c r="AE49" i="62"/>
  <c r="AI49" i="62" s="1"/>
  <c r="F49" i="62"/>
  <c r="AK48" i="62"/>
  <c r="Y48" i="62"/>
  <c r="U49" i="62"/>
  <c r="AA46" i="62"/>
  <c r="AA47" i="62" s="1"/>
  <c r="W47" i="62"/>
  <c r="V47" i="62"/>
  <c r="Z46" i="62"/>
  <c r="Z47" i="62" s="1"/>
  <c r="R36" i="62"/>
  <c r="R37" i="62" s="1"/>
  <c r="V37" i="62"/>
  <c r="U37" i="62"/>
  <c r="Y36" i="62"/>
  <c r="AA34" i="62"/>
  <c r="AA35" i="62" s="1"/>
  <c r="W35" i="62"/>
  <c r="F43" i="62"/>
  <c r="AK42" i="62" s="1"/>
  <c r="R44" i="62"/>
  <c r="R45" i="62" s="1"/>
  <c r="AA44" i="62"/>
  <c r="AA45" i="62" s="1"/>
  <c r="W45" i="62"/>
  <c r="U39" i="62"/>
  <c r="Y38" i="62"/>
  <c r="V39" i="62"/>
  <c r="Z38" i="62"/>
  <c r="Z39" i="62" s="1"/>
  <c r="AN41" i="62"/>
  <c r="AE41" i="62"/>
  <c r="AI41" i="62" s="1"/>
  <c r="AL41" i="62"/>
  <c r="AM41" i="62"/>
  <c r="AA40" i="62"/>
  <c r="AA41" i="62" s="1"/>
  <c r="W41" i="62"/>
  <c r="AC35" i="68"/>
  <c r="JM636" i="40"/>
  <c r="JU636" i="40" s="1"/>
  <c r="JV636" i="40" s="1"/>
  <c r="JW636" i="40" s="1"/>
  <c r="AC37" i="68"/>
  <c r="AT20" i="66"/>
  <c r="KU403" i="40"/>
  <c r="KU402" i="40"/>
  <c r="KU404" i="40"/>
  <c r="KU405" i="40"/>
  <c r="KU201" i="40"/>
  <c r="KL203" i="40"/>
  <c r="AS13" i="66" s="1"/>
  <c r="JT508" i="40"/>
  <c r="JX508" i="40" s="1"/>
  <c r="JS508" i="40"/>
  <c r="AS22" i="70"/>
  <c r="KI508" i="40"/>
  <c r="KK508" i="40"/>
  <c r="JU508" i="40"/>
  <c r="JV508" i="40" s="1"/>
  <c r="JW508" i="40" s="1"/>
  <c r="KJ508" i="40"/>
  <c r="AN22" i="70"/>
  <c r="JU417" i="40"/>
  <c r="JV417" i="40" s="1"/>
  <c r="JW417" i="40" s="1"/>
  <c r="JS417" i="40"/>
  <c r="JT417" i="40"/>
  <c r="JX417" i="40" s="1"/>
  <c r="KK417" i="40"/>
  <c r="AK31" i="70"/>
  <c r="KI417" i="40"/>
  <c r="AK15" i="70"/>
  <c r="KJ417" i="40"/>
  <c r="AC30" i="70"/>
  <c r="KI316" i="40"/>
  <c r="JS316" i="40"/>
  <c r="JU316" i="40"/>
  <c r="JV316" i="40" s="1"/>
  <c r="JW316" i="40" s="1"/>
  <c r="KJ316" i="40"/>
  <c r="KK316" i="40"/>
  <c r="JT316" i="40"/>
  <c r="JX316" i="40" s="1"/>
  <c r="X30" i="70"/>
  <c r="KL403" i="40"/>
  <c r="AS13" i="68" s="1"/>
  <c r="KK336" i="40"/>
  <c r="JT336" i="40"/>
  <c r="JX336" i="40" s="1"/>
  <c r="KJ336" i="40"/>
  <c r="AC50" i="70"/>
  <c r="JS336" i="40"/>
  <c r="KI336" i="40"/>
  <c r="JU336" i="40"/>
  <c r="JV336" i="40" s="1"/>
  <c r="JW336" i="40" s="1"/>
  <c r="X50" i="70"/>
  <c r="KU401" i="40"/>
  <c r="JX701" i="40"/>
  <c r="JK701" i="40"/>
  <c r="KR269" i="40"/>
  <c r="KR513" i="40"/>
  <c r="KS513" i="40"/>
  <c r="KS262" i="40"/>
  <c r="KR262" i="40"/>
  <c r="KR348" i="40"/>
  <c r="KS348" i="40"/>
  <c r="KR253" i="40"/>
  <c r="KS274" i="40"/>
  <c r="KR274" i="40"/>
  <c r="KS231" i="40"/>
  <c r="KR218" i="40"/>
  <c r="AU16" i="66" s="1"/>
  <c r="KS218" i="40"/>
  <c r="AE71" i="66"/>
  <c r="AI71" i="66" s="1"/>
  <c r="AL39" i="66"/>
  <c r="AN55" i="66"/>
  <c r="AE39" i="66"/>
  <c r="AI39" i="66" s="1"/>
  <c r="KS512" i="40"/>
  <c r="KR512" i="40"/>
  <c r="KO210" i="40"/>
  <c r="JU210" i="40"/>
  <c r="JV210" i="40" s="1"/>
  <c r="JW210" i="40" s="1"/>
  <c r="KJ210" i="40"/>
  <c r="JT210" i="40"/>
  <c r="JX210" i="40" s="1"/>
  <c r="KI210" i="40"/>
  <c r="U24" i="70"/>
  <c r="KK210" i="40"/>
  <c r="JS210" i="40"/>
  <c r="P24" i="70"/>
  <c r="KS280" i="40"/>
  <c r="KR280" i="40"/>
  <c r="KR225" i="40"/>
  <c r="KS225" i="40"/>
  <c r="KR510" i="40"/>
  <c r="AS16" i="69" s="1"/>
  <c r="KS510" i="40"/>
  <c r="JT457" i="40"/>
  <c r="JX457" i="40" s="1"/>
  <c r="KJ457" i="40"/>
  <c r="JU457" i="40"/>
  <c r="JV457" i="40" s="1"/>
  <c r="JW457" i="40" s="1"/>
  <c r="KI457" i="40"/>
  <c r="JS457" i="40"/>
  <c r="KK457" i="40"/>
  <c r="KS372" i="40"/>
  <c r="KR372" i="40"/>
  <c r="KS540" i="40"/>
  <c r="KR540" i="40"/>
  <c r="KS546" i="40"/>
  <c r="KR546" i="40"/>
  <c r="KR528" i="40"/>
  <c r="KS528" i="40"/>
  <c r="KS552" i="40"/>
  <c r="KR552" i="40"/>
  <c r="KS550" i="40"/>
  <c r="KR550" i="40"/>
  <c r="KR557" i="40"/>
  <c r="KS557" i="40"/>
  <c r="KR526" i="40"/>
  <c r="KS526" i="40"/>
  <c r="KR581" i="40"/>
  <c r="KS581" i="40"/>
  <c r="KS579" i="40"/>
  <c r="KR579" i="40"/>
  <c r="KR556" i="40"/>
  <c r="KS556" i="40"/>
  <c r="KR350" i="40"/>
  <c r="KS350" i="40"/>
  <c r="KR365" i="40"/>
  <c r="KS365" i="40"/>
  <c r="KR364" i="40"/>
  <c r="KS364" i="40"/>
  <c r="KS366" i="40"/>
  <c r="KR366" i="40"/>
  <c r="KS302" i="40"/>
  <c r="KR302" i="40"/>
  <c r="KR376" i="40"/>
  <c r="KS376" i="40"/>
  <c r="KR328" i="40"/>
  <c r="KS328" i="40"/>
  <c r="KS374" i="40"/>
  <c r="KR374" i="40"/>
  <c r="KR305" i="40"/>
  <c r="G9" i="61" s="1"/>
  <c r="AN9" i="61" s="1"/>
  <c r="KS305" i="40"/>
  <c r="KR378" i="40"/>
  <c r="KS378" i="40"/>
  <c r="KR303" i="40"/>
  <c r="E9" i="61" s="1"/>
  <c r="KS303" i="40"/>
  <c r="KO312" i="40"/>
  <c r="JT312" i="40"/>
  <c r="JX312" i="40" s="1"/>
  <c r="X12" i="70"/>
  <c r="BI12" i="70" s="1"/>
  <c r="KK312" i="40"/>
  <c r="JS312" i="40"/>
  <c r="AC26" i="70"/>
  <c r="KJ312" i="40"/>
  <c r="JU312" i="40"/>
  <c r="JV312" i="40" s="1"/>
  <c r="JW312" i="40" s="1"/>
  <c r="AC12" i="70"/>
  <c r="KI312" i="40"/>
  <c r="JM612" i="40"/>
  <c r="AV12" i="70" s="1"/>
  <c r="BR12" i="70" s="1"/>
  <c r="X26" i="70"/>
  <c r="KR558" i="40"/>
  <c r="KS558" i="40"/>
  <c r="KS275" i="40"/>
  <c r="KR275" i="40"/>
  <c r="JS662" i="40"/>
  <c r="JU662" i="40"/>
  <c r="JV662" i="40" s="1"/>
  <c r="JW662" i="40" s="1"/>
  <c r="JT662" i="40"/>
  <c r="JX662" i="40" s="1"/>
  <c r="KS237" i="40"/>
  <c r="KR237" i="40"/>
  <c r="KR212" i="40"/>
  <c r="KS212" i="40"/>
  <c r="KS249" i="40"/>
  <c r="KR249" i="40"/>
  <c r="KS272" i="40"/>
  <c r="KR272" i="40"/>
  <c r="KS221" i="40"/>
  <c r="KR221" i="40"/>
  <c r="KR209" i="40"/>
  <c r="KS209" i="40"/>
  <c r="KR260" i="40"/>
  <c r="KS216" i="40"/>
  <c r="KR216" i="40"/>
  <c r="KS227" i="40"/>
  <c r="KR205" i="40"/>
  <c r="G8" i="61" s="1"/>
  <c r="AN8" i="61" s="1"/>
  <c r="KS205" i="40"/>
  <c r="KR313" i="40"/>
  <c r="AT16" i="67" s="1"/>
  <c r="KS313" i="40"/>
  <c r="KR304" i="40"/>
  <c r="F9" i="61" s="1"/>
  <c r="KS304" i="40"/>
  <c r="JU679" i="40"/>
  <c r="JV679" i="40" s="1"/>
  <c r="JW679" i="40" s="1"/>
  <c r="JT679" i="40"/>
  <c r="JX679" i="40" s="1"/>
  <c r="JS679" i="40"/>
  <c r="KS580" i="40"/>
  <c r="KR580" i="40"/>
  <c r="JS672" i="40"/>
  <c r="JU672" i="40"/>
  <c r="JV672" i="40" s="1"/>
  <c r="JW672" i="40" s="1"/>
  <c r="JT672" i="40"/>
  <c r="JX672" i="40" s="1"/>
  <c r="KS577" i="40"/>
  <c r="KR577" i="40"/>
  <c r="KR352" i="40"/>
  <c r="KS352" i="40"/>
  <c r="KR301" i="40"/>
  <c r="KS301" i="40"/>
  <c r="AC33" i="66"/>
  <c r="AC47" i="66" s="1"/>
  <c r="Y43" i="66"/>
  <c r="Y49" i="66"/>
  <c r="Y65" i="66"/>
  <c r="Y69" i="66"/>
  <c r="Y63" i="66"/>
  <c r="Y45" i="66"/>
  <c r="Y55" i="66"/>
  <c r="Y51" i="66"/>
  <c r="Y57" i="66"/>
  <c r="Y61" i="66"/>
  <c r="Y53" i="66"/>
  <c r="Y35" i="66"/>
  <c r="Y59" i="66"/>
  <c r="Y71" i="66"/>
  <c r="Y67" i="66"/>
  <c r="Y39" i="66"/>
  <c r="Y41" i="66"/>
  <c r="JM657" i="40"/>
  <c r="KO657" i="40" s="1"/>
  <c r="KS561" i="40"/>
  <c r="KR561" i="40"/>
  <c r="KS263" i="40"/>
  <c r="KR263" i="40"/>
  <c r="KS542" i="40"/>
  <c r="KR542" i="40"/>
  <c r="KR562" i="40"/>
  <c r="KS562" i="40"/>
  <c r="KS573" i="40"/>
  <c r="KR573" i="40"/>
  <c r="KS570" i="40"/>
  <c r="KR570" i="40"/>
  <c r="KS534" i="40"/>
  <c r="KR534" i="40"/>
  <c r="KS566" i="40"/>
  <c r="KR566" i="40"/>
  <c r="KR506" i="40"/>
  <c r="KS506" i="40"/>
  <c r="KR568" i="40"/>
  <c r="KS568" i="40"/>
  <c r="KS520" i="40"/>
  <c r="KR520" i="40"/>
  <c r="KS522" i="40"/>
  <c r="KR522" i="40"/>
  <c r="KR536" i="40"/>
  <c r="KS536" i="40"/>
  <c r="KR575" i="40"/>
  <c r="KS575" i="40"/>
  <c r="AE59" i="69"/>
  <c r="AI59" i="69" s="1"/>
  <c r="AE65" i="69"/>
  <c r="AI65" i="69" s="1"/>
  <c r="AE69" i="69"/>
  <c r="AI69" i="69" s="1"/>
  <c r="AE53" i="69"/>
  <c r="AI53" i="69" s="1"/>
  <c r="AE63" i="69"/>
  <c r="AI63" i="69" s="1"/>
  <c r="AE41" i="69"/>
  <c r="AI41" i="69" s="1"/>
  <c r="AE55" i="69"/>
  <c r="AI55" i="69" s="1"/>
  <c r="AE51" i="69"/>
  <c r="AI51" i="69" s="1"/>
  <c r="AE67" i="69"/>
  <c r="AI67" i="69" s="1"/>
  <c r="AE71" i="69"/>
  <c r="AI71" i="69" s="1"/>
  <c r="AE61" i="69"/>
  <c r="AI61" i="69" s="1"/>
  <c r="AE47" i="69"/>
  <c r="AI47" i="69" s="1"/>
  <c r="AE57" i="69"/>
  <c r="AI57" i="69" s="1"/>
  <c r="AE45" i="69"/>
  <c r="AI45" i="69" s="1"/>
  <c r="AN35" i="69"/>
  <c r="AL45" i="69"/>
  <c r="AN69" i="69"/>
  <c r="AN65" i="69"/>
  <c r="AN63" i="69"/>
  <c r="AM71" i="69"/>
  <c r="AN53" i="69"/>
  <c r="AM65" i="69"/>
  <c r="AL61" i="69"/>
  <c r="AM61" i="69"/>
  <c r="AL43" i="69"/>
  <c r="AM47" i="69"/>
  <c r="AM41" i="69"/>
  <c r="AN45" i="69"/>
  <c r="AM57" i="69"/>
  <c r="AL57" i="69"/>
  <c r="AL69" i="69"/>
  <c r="AN59" i="69"/>
  <c r="AL59" i="69"/>
  <c r="AN55" i="69"/>
  <c r="AN51" i="69"/>
  <c r="AM69" i="69"/>
  <c r="AL47" i="69"/>
  <c r="AM49" i="69"/>
  <c r="AL41" i="69"/>
  <c r="AM45" i="69"/>
  <c r="AL55" i="69"/>
  <c r="AL67" i="69"/>
  <c r="AM59" i="69"/>
  <c r="AL63" i="69"/>
  <c r="AM53" i="69"/>
  <c r="AM67" i="69"/>
  <c r="AM51" i="69"/>
  <c r="AN67" i="69"/>
  <c r="AM43" i="69"/>
  <c r="AN47" i="69"/>
  <c r="AN49" i="69"/>
  <c r="AL65" i="69"/>
  <c r="AL53" i="69"/>
  <c r="AN57" i="69"/>
  <c r="AL51" i="69"/>
  <c r="AL71" i="69"/>
  <c r="AM63" i="69"/>
  <c r="AN61" i="69"/>
  <c r="AM55" i="69"/>
  <c r="AN71" i="69"/>
  <c r="AN43" i="69"/>
  <c r="AL49" i="69"/>
  <c r="AN41" i="69"/>
  <c r="AE49" i="69"/>
  <c r="AI49" i="69" s="1"/>
  <c r="A49" i="69" s="1"/>
  <c r="AE35" i="69"/>
  <c r="AI35" i="69" s="1"/>
  <c r="A35" i="69" s="1"/>
  <c r="AM35" i="69"/>
  <c r="AE43" i="69"/>
  <c r="AI43" i="69" s="1"/>
  <c r="AD33" i="69"/>
  <c r="AD35" i="69" s="1"/>
  <c r="AL35" i="69"/>
  <c r="KU302" i="40"/>
  <c r="KS316" i="40"/>
  <c r="KR316" i="40"/>
  <c r="KR338" i="40"/>
  <c r="KS338" i="40"/>
  <c r="KR330" i="40"/>
  <c r="KS330" i="40"/>
  <c r="KR377" i="40"/>
  <c r="KS377" i="40"/>
  <c r="KS359" i="40"/>
  <c r="KR359" i="40"/>
  <c r="KR308" i="40"/>
  <c r="KS308" i="40"/>
  <c r="KS381" i="40"/>
  <c r="KR381" i="40"/>
  <c r="KR332" i="40"/>
  <c r="KS332" i="40"/>
  <c r="KR357" i="40"/>
  <c r="KS357" i="40"/>
  <c r="KR380" i="40"/>
  <c r="KS380" i="40"/>
  <c r="AL39" i="67"/>
  <c r="AM43" i="67"/>
  <c r="AL45" i="67"/>
  <c r="AE51" i="67"/>
  <c r="AI51" i="67" s="1"/>
  <c r="AE55" i="67"/>
  <c r="AI55" i="67" s="1"/>
  <c r="AE67" i="67"/>
  <c r="AI67" i="67" s="1"/>
  <c r="AE41" i="67"/>
  <c r="AI41" i="67" s="1"/>
  <c r="AE59" i="67"/>
  <c r="AI59" i="67" s="1"/>
  <c r="AE69" i="67"/>
  <c r="AI69" i="67" s="1"/>
  <c r="AN39" i="67"/>
  <c r="AE65" i="67"/>
  <c r="AI65" i="67" s="1"/>
  <c r="AL49" i="67"/>
  <c r="AN43" i="67"/>
  <c r="AE71" i="67"/>
  <c r="AI71" i="67" s="1"/>
  <c r="AN49" i="67"/>
  <c r="AL43" i="67"/>
  <c r="AM45" i="67"/>
  <c r="AE53" i="67"/>
  <c r="AI53" i="67" s="1"/>
  <c r="AM39" i="67"/>
  <c r="AE57" i="67"/>
  <c r="AI57" i="67" s="1"/>
  <c r="AE61" i="67"/>
  <c r="AI61" i="67" s="1"/>
  <c r="AM49" i="67"/>
  <c r="AN45" i="67"/>
  <c r="AN61" i="67"/>
  <c r="AM61" i="67"/>
  <c r="AL53" i="67"/>
  <c r="AN67" i="67"/>
  <c r="AN65" i="67"/>
  <c r="AM71" i="67"/>
  <c r="AN69" i="67"/>
  <c r="AN57" i="67"/>
  <c r="AE63" i="67"/>
  <c r="AI63" i="67" s="1"/>
  <c r="AN53" i="67"/>
  <c r="AN55" i="67"/>
  <c r="AM65" i="67"/>
  <c r="AN63" i="67"/>
  <c r="AN59" i="67"/>
  <c r="AM69" i="67"/>
  <c r="AM67" i="67"/>
  <c r="AL71" i="67"/>
  <c r="AM41" i="67"/>
  <c r="AM47" i="67"/>
  <c r="AM59" i="67"/>
  <c r="AL61" i="67"/>
  <c r="AL51" i="67"/>
  <c r="AM51" i="67"/>
  <c r="AL63" i="67"/>
  <c r="AL55" i="67"/>
  <c r="AL67" i="67"/>
  <c r="AN51" i="67"/>
  <c r="AN41" i="67"/>
  <c r="AM57" i="67"/>
  <c r="AL57" i="67"/>
  <c r="AM55" i="67"/>
  <c r="AL65" i="67"/>
  <c r="AM53" i="67"/>
  <c r="AL69" i="67"/>
  <c r="AN71" i="67"/>
  <c r="AM63" i="67"/>
  <c r="AL59" i="67"/>
  <c r="AL37" i="67"/>
  <c r="AN37" i="67"/>
  <c r="AL47" i="67"/>
  <c r="AL41" i="67"/>
  <c r="AM37" i="67"/>
  <c r="AN47" i="67"/>
  <c r="AE43" i="67"/>
  <c r="AI43" i="67" s="1"/>
  <c r="AE39" i="67"/>
  <c r="AI39" i="67" s="1"/>
  <c r="AE47" i="67"/>
  <c r="AI47" i="67" s="1"/>
  <c r="AE45" i="67"/>
  <c r="AI45" i="67" s="1"/>
  <c r="AE37" i="67"/>
  <c r="AI37" i="67" s="1"/>
  <c r="AE49" i="67"/>
  <c r="AI49" i="67" s="1"/>
  <c r="JK601" i="40"/>
  <c r="JX601" i="40"/>
  <c r="KR247" i="40"/>
  <c r="KS235" i="40"/>
  <c r="KR235" i="40"/>
  <c r="KR229" i="40"/>
  <c r="KS229" i="40"/>
  <c r="KR277" i="40"/>
  <c r="KS277" i="40"/>
  <c r="KR271" i="40"/>
  <c r="KS271" i="40"/>
  <c r="KS261" i="40"/>
  <c r="KR261" i="40"/>
  <c r="KR214" i="40"/>
  <c r="AT16" i="66" s="1"/>
  <c r="KS214" i="40"/>
  <c r="KR204" i="40"/>
  <c r="F8" i="61" s="1"/>
  <c r="KS204" i="40"/>
  <c r="KO511" i="40"/>
  <c r="JT511" i="40"/>
  <c r="JX511" i="40" s="1"/>
  <c r="AS25" i="70"/>
  <c r="KK511" i="40"/>
  <c r="AS11" i="70"/>
  <c r="JS511" i="40"/>
  <c r="AN11" i="70"/>
  <c r="BO11" i="70" s="1"/>
  <c r="KJ511" i="40"/>
  <c r="JU511" i="40"/>
  <c r="JV511" i="40" s="1"/>
  <c r="JW511" i="40" s="1"/>
  <c r="KI511" i="40"/>
  <c r="AN25" i="70"/>
  <c r="KS354" i="40"/>
  <c r="KR354" i="40"/>
  <c r="KS346" i="40"/>
  <c r="KR346" i="40"/>
  <c r="KS258" i="40"/>
  <c r="KR258" i="40"/>
  <c r="KS344" i="40"/>
  <c r="KR344" i="40"/>
  <c r="KR317" i="40"/>
  <c r="KS317" i="40"/>
  <c r="KT304" i="40"/>
  <c r="KU303" i="40"/>
  <c r="JS661" i="40"/>
  <c r="JT661" i="40"/>
  <c r="JX661" i="40" s="1"/>
  <c r="KS358" i="40"/>
  <c r="KR358" i="40"/>
  <c r="KO515" i="40"/>
  <c r="AN13" i="70"/>
  <c r="BO13" i="70" s="1"/>
  <c r="KK515" i="40"/>
  <c r="JS515" i="40"/>
  <c r="AS13" i="70"/>
  <c r="KJ515" i="40"/>
  <c r="JT515" i="40"/>
  <c r="JX515" i="40" s="1"/>
  <c r="JU515" i="40"/>
  <c r="JV515" i="40" s="1"/>
  <c r="JW515" i="40" s="1"/>
  <c r="AS29" i="70"/>
  <c r="KI515" i="40"/>
  <c r="AN29" i="70"/>
  <c r="KR548" i="40"/>
  <c r="KS548" i="40"/>
  <c r="KS554" i="40"/>
  <c r="KR554" i="40"/>
  <c r="KR572" i="40"/>
  <c r="KS572" i="40"/>
  <c r="KR538" i="40"/>
  <c r="KS538" i="40"/>
  <c r="KS544" i="40"/>
  <c r="KR544" i="40"/>
  <c r="KS578" i="40"/>
  <c r="KR578" i="40"/>
  <c r="KS576" i="40"/>
  <c r="KR576" i="40"/>
  <c r="KR574" i="40"/>
  <c r="KS574" i="40"/>
  <c r="KR565" i="40"/>
  <c r="KS565" i="40"/>
  <c r="KS563" i="40"/>
  <c r="KR563" i="40"/>
  <c r="KS564" i="40"/>
  <c r="KR564" i="40"/>
  <c r="KS342" i="40"/>
  <c r="KR342" i="40"/>
  <c r="KR514" i="40"/>
  <c r="AT16" i="69" s="1"/>
  <c r="KS514" i="40"/>
  <c r="KR315" i="40"/>
  <c r="KS315" i="40"/>
  <c r="KS368" i="40"/>
  <c r="KR368" i="40"/>
  <c r="KR369" i="40"/>
  <c r="KS369" i="40"/>
  <c r="KS363" i="40"/>
  <c r="KR363" i="40"/>
  <c r="KR379" i="40"/>
  <c r="KS379" i="40"/>
  <c r="KR362" i="40"/>
  <c r="KS362" i="40"/>
  <c r="KR361" i="40"/>
  <c r="KS361" i="40"/>
  <c r="KR334" i="40"/>
  <c r="KS334" i="40"/>
  <c r="KS336" i="40"/>
  <c r="KR336" i="40"/>
  <c r="KL405" i="40"/>
  <c r="AU13" i="68" s="1"/>
  <c r="KR318" i="40"/>
  <c r="AU16" i="67" s="1"/>
  <c r="KS318" i="40"/>
  <c r="KR255" i="40"/>
  <c r="KS255" i="40"/>
  <c r="KS206" i="40"/>
  <c r="KR206" i="40"/>
  <c r="KS233" i="40"/>
  <c r="KR233" i="40"/>
  <c r="KR239" i="40"/>
  <c r="KS239" i="40"/>
  <c r="KS219" i="40"/>
  <c r="KS245" i="40"/>
  <c r="KR245" i="40"/>
  <c r="KS202" i="40"/>
  <c r="KR202" i="40"/>
  <c r="KR241" i="40"/>
  <c r="KS241" i="40"/>
  <c r="AF33" i="66"/>
  <c r="JV202" i="40"/>
  <c r="JW202" i="40" s="1"/>
  <c r="KR203" i="40"/>
  <c r="E8" i="61" s="1"/>
  <c r="KS203" i="40"/>
  <c r="JM610" i="40"/>
  <c r="KO610" i="40" s="1"/>
  <c r="KO226" i="40"/>
  <c r="JT226" i="40"/>
  <c r="JX226" i="40" s="1"/>
  <c r="JS226" i="40"/>
  <c r="KK226" i="40"/>
  <c r="KJ226" i="40"/>
  <c r="JU226" i="40"/>
  <c r="JV226" i="40" s="1"/>
  <c r="JW226" i="40" s="1"/>
  <c r="U40" i="70"/>
  <c r="KI226" i="40"/>
  <c r="P40" i="70"/>
  <c r="KS311" i="40"/>
  <c r="KR311" i="40"/>
  <c r="KS507" i="40"/>
  <c r="KR507" i="40"/>
  <c r="KS516" i="40"/>
  <c r="KR516" i="40"/>
  <c r="KU301" i="40"/>
  <c r="JU658" i="40"/>
  <c r="JV658" i="40" s="1"/>
  <c r="JW658" i="40" s="1"/>
  <c r="JT658" i="40"/>
  <c r="JX658" i="40" s="1"/>
  <c r="JS658" i="40"/>
  <c r="KR530" i="40"/>
  <c r="KS530" i="40"/>
  <c r="KS571" i="40"/>
  <c r="KR571" i="40"/>
  <c r="KS560" i="40"/>
  <c r="KR560" i="40"/>
  <c r="KS532" i="40"/>
  <c r="KR532" i="40"/>
  <c r="KS502" i="40"/>
  <c r="KR502" i="40"/>
  <c r="KR509" i="40"/>
  <c r="KS509" i="40"/>
  <c r="KS524" i="40"/>
  <c r="KR524" i="40"/>
  <c r="AF33" i="69"/>
  <c r="JV502" i="40"/>
  <c r="JW502" i="40" s="1"/>
  <c r="KR360" i="40"/>
  <c r="KS360" i="40"/>
  <c r="KS306" i="40"/>
  <c r="KR306" i="40"/>
  <c r="KS340" i="40"/>
  <c r="KR340" i="40"/>
  <c r="KS370" i="40"/>
  <c r="KR370" i="40"/>
  <c r="AF33" i="67"/>
  <c r="JV302" i="40"/>
  <c r="JW302" i="40" s="1"/>
  <c r="KR310" i="40"/>
  <c r="AS16" i="67" s="1"/>
  <c r="KS310" i="40"/>
  <c r="KS314" i="40"/>
  <c r="KR314" i="40"/>
  <c r="KT407" i="40"/>
  <c r="KU406" i="40"/>
  <c r="AG20" i="70" s="1"/>
  <c r="KR356" i="40"/>
  <c r="KS356" i="40"/>
  <c r="KO652" i="40"/>
  <c r="AV66" i="70"/>
  <c r="JU652" i="40"/>
  <c r="JV652" i="40" s="1"/>
  <c r="JW652" i="40" s="1"/>
  <c r="JT652" i="40"/>
  <c r="JX652" i="40" s="1"/>
  <c r="JS652" i="40"/>
  <c r="KO648" i="40"/>
  <c r="JT648" i="40"/>
  <c r="JX648" i="40" s="1"/>
  <c r="JU648" i="40"/>
  <c r="JV648" i="40" s="1"/>
  <c r="JW648" i="40" s="1"/>
  <c r="AV62" i="70"/>
  <c r="JS648" i="40"/>
  <c r="KO603" i="40"/>
  <c r="JS603" i="40"/>
  <c r="JU603" i="40"/>
  <c r="JV603" i="40" s="1"/>
  <c r="JW603" i="40" s="1"/>
  <c r="JT603" i="40"/>
  <c r="JX603" i="40" s="1"/>
  <c r="KR504" i="40"/>
  <c r="F11" i="61" s="1"/>
  <c r="KS504" i="40"/>
  <c r="JK649" i="40"/>
  <c r="JK641" i="40"/>
  <c r="JK633" i="40"/>
  <c r="AF58" i="70"/>
  <c r="KO444" i="40"/>
  <c r="JU444" i="40"/>
  <c r="JV444" i="40" s="1"/>
  <c r="JW444" i="40" s="1"/>
  <c r="JS444" i="40"/>
  <c r="AK58" i="70"/>
  <c r="KK444" i="40"/>
  <c r="KI444" i="40"/>
  <c r="JT444" i="40"/>
  <c r="JX444" i="40" s="1"/>
  <c r="KJ444" i="40"/>
  <c r="KR424" i="40"/>
  <c r="KS424" i="40"/>
  <c r="KS335" i="40"/>
  <c r="KR335" i="40"/>
  <c r="KO627" i="40"/>
  <c r="AV41" i="70"/>
  <c r="JU627" i="40"/>
  <c r="JV627" i="40" s="1"/>
  <c r="JW627" i="40" s="1"/>
  <c r="JT627" i="40"/>
  <c r="JX627" i="40" s="1"/>
  <c r="JS627" i="40"/>
  <c r="KR320" i="40"/>
  <c r="KS320" i="40"/>
  <c r="KO622" i="40"/>
  <c r="AV36" i="70"/>
  <c r="JS622" i="40"/>
  <c r="JT622" i="40"/>
  <c r="JX622" i="40" s="1"/>
  <c r="JU622" i="40"/>
  <c r="JV622" i="40" s="1"/>
  <c r="JW622" i="40" s="1"/>
  <c r="KR517" i="40"/>
  <c r="KS517" i="40"/>
  <c r="KR412" i="40"/>
  <c r="KS412" i="40"/>
  <c r="KS215" i="40"/>
  <c r="KR215" i="40"/>
  <c r="JS659" i="40"/>
  <c r="KS273" i="40"/>
  <c r="KR273" i="40"/>
  <c r="KR535" i="40"/>
  <c r="KS535" i="40"/>
  <c r="JK650" i="40"/>
  <c r="KS349" i="40"/>
  <c r="KR349" i="40"/>
  <c r="KO641" i="40"/>
  <c r="AV55" i="70"/>
  <c r="JS641" i="40"/>
  <c r="JT641" i="40"/>
  <c r="JX641" i="40" s="1"/>
  <c r="JU641" i="40"/>
  <c r="JV641" i="40" s="1"/>
  <c r="JW641" i="40" s="1"/>
  <c r="KR323" i="40"/>
  <c r="KS323" i="40"/>
  <c r="KS248" i="40"/>
  <c r="KR248" i="40"/>
  <c r="KO640" i="40"/>
  <c r="JT640" i="40"/>
  <c r="JX640" i="40" s="1"/>
  <c r="JU640" i="40"/>
  <c r="JV640" i="40" s="1"/>
  <c r="JW640" i="40" s="1"/>
  <c r="AV54" i="70"/>
  <c r="JS640" i="40"/>
  <c r="KS232" i="40"/>
  <c r="KO620" i="40"/>
  <c r="JS620" i="40"/>
  <c r="JT620" i="40"/>
  <c r="JX620" i="40" s="1"/>
  <c r="JU620" i="40"/>
  <c r="JV620" i="40" s="1"/>
  <c r="JW620" i="40" s="1"/>
  <c r="AV34" i="70"/>
  <c r="KR418" i="40"/>
  <c r="KS418" i="40"/>
  <c r="KS213" i="40"/>
  <c r="KR213" i="40"/>
  <c r="KO567" i="40"/>
  <c r="JT567" i="40"/>
  <c r="JX567" i="40" s="1"/>
  <c r="JS567" i="40"/>
  <c r="JU567" i="40"/>
  <c r="KI567" i="40"/>
  <c r="KJ567" i="40"/>
  <c r="KK567" i="40"/>
  <c r="KO678" i="40"/>
  <c r="JU678" i="40"/>
  <c r="JV678" i="40" s="1"/>
  <c r="JW678" i="40" s="1"/>
  <c r="JT678" i="40"/>
  <c r="JX678" i="40" s="1"/>
  <c r="JS678" i="40"/>
  <c r="JK655" i="40"/>
  <c r="JK647" i="40"/>
  <c r="JK639" i="40"/>
  <c r="JK631" i="40"/>
  <c r="KS475" i="40"/>
  <c r="KR475" i="40"/>
  <c r="KR415" i="40"/>
  <c r="KS415" i="40"/>
  <c r="KS481" i="40"/>
  <c r="KR481" i="40"/>
  <c r="KS407" i="40"/>
  <c r="KR407" i="40"/>
  <c r="KR474" i="40"/>
  <c r="KS474" i="40"/>
  <c r="KS464" i="40"/>
  <c r="KR464" i="40"/>
  <c r="KS465" i="40"/>
  <c r="KR465" i="40"/>
  <c r="KR451" i="40"/>
  <c r="KS451" i="40"/>
  <c r="KS406" i="40"/>
  <c r="KR406" i="40"/>
  <c r="KS470" i="40"/>
  <c r="KR470" i="40"/>
  <c r="KS413" i="40"/>
  <c r="KR413" i="40"/>
  <c r="AF33" i="68"/>
  <c r="JV402" i="40"/>
  <c r="JW402" i="40" s="1"/>
  <c r="KS471" i="40"/>
  <c r="KR471" i="40"/>
  <c r="KS347" i="40"/>
  <c r="KR347" i="40"/>
  <c r="KO639" i="40"/>
  <c r="AV53" i="70"/>
  <c r="JU639" i="40"/>
  <c r="JV639" i="40" s="1"/>
  <c r="JW639" i="40" s="1"/>
  <c r="JT639" i="40"/>
  <c r="JX639" i="40" s="1"/>
  <c r="JS639" i="40"/>
  <c r="KO638" i="40"/>
  <c r="AV52" i="70"/>
  <c r="JS638" i="40"/>
  <c r="JU638" i="40"/>
  <c r="JV638" i="40" s="1"/>
  <c r="JW638" i="40" s="1"/>
  <c r="JT638" i="40"/>
  <c r="JX638" i="40" s="1"/>
  <c r="KS416" i="40"/>
  <c r="KR416" i="40"/>
  <c r="KR309" i="40"/>
  <c r="KS309" i="40"/>
  <c r="AC69" i="68"/>
  <c r="AC57" i="68"/>
  <c r="AC65" i="68"/>
  <c r="AC67" i="68"/>
  <c r="AC59" i="68"/>
  <c r="AC71" i="68"/>
  <c r="AC55" i="68"/>
  <c r="AC51" i="68"/>
  <c r="AC61" i="68"/>
  <c r="AC63" i="68"/>
  <c r="AD33" i="68"/>
  <c r="AC53" i="68"/>
  <c r="AC45" i="68"/>
  <c r="KS266" i="40"/>
  <c r="KR266" i="40"/>
  <c r="KO656" i="40"/>
  <c r="JU656" i="40"/>
  <c r="JV656" i="40" s="1"/>
  <c r="JW656" i="40" s="1"/>
  <c r="AV8" i="70"/>
  <c r="BR8" i="70" s="1"/>
  <c r="JT656" i="40"/>
  <c r="JX656" i="40" s="1"/>
  <c r="JS656" i="40"/>
  <c r="KS549" i="40"/>
  <c r="KR549" i="40"/>
  <c r="KR533" i="40"/>
  <c r="KS533" i="40"/>
  <c r="AN43" i="70"/>
  <c r="KO529" i="40"/>
  <c r="JT529" i="40"/>
  <c r="JX529" i="40" s="1"/>
  <c r="KJ529" i="40"/>
  <c r="JU529" i="40"/>
  <c r="KI529" i="40"/>
  <c r="AS43" i="70"/>
  <c r="KK529" i="40"/>
  <c r="JS529" i="40"/>
  <c r="JK621" i="40"/>
  <c r="JK648" i="40"/>
  <c r="KR442" i="40"/>
  <c r="KS434" i="40"/>
  <c r="KR434" i="40"/>
  <c r="KR408" i="40"/>
  <c r="KS408" i="40"/>
  <c r="JM629" i="40"/>
  <c r="KS252" i="40"/>
  <c r="KR252" i="40"/>
  <c r="KR244" i="40"/>
  <c r="KS244" i="40"/>
  <c r="JM644" i="40"/>
  <c r="KO628" i="40"/>
  <c r="JT628" i="40"/>
  <c r="JX628" i="40" s="1"/>
  <c r="JU628" i="40"/>
  <c r="JV628" i="40" s="1"/>
  <c r="JW628" i="40" s="1"/>
  <c r="AV42" i="70"/>
  <c r="JS628" i="40"/>
  <c r="AV14" i="70"/>
  <c r="BR14" i="70" s="1"/>
  <c r="KS518" i="40"/>
  <c r="KR518" i="40"/>
  <c r="AU16" i="69" s="1"/>
  <c r="KO618" i="40"/>
  <c r="KO604" i="40"/>
  <c r="JU604" i="40"/>
  <c r="JV604" i="40" s="1"/>
  <c r="JW604" i="40" s="1"/>
  <c r="JT604" i="40"/>
  <c r="JX604" i="40" s="1"/>
  <c r="JS604" i="40"/>
  <c r="AC41" i="71"/>
  <c r="AC65" i="71"/>
  <c r="AC45" i="71"/>
  <c r="AC53" i="71"/>
  <c r="AC59" i="71"/>
  <c r="AC37" i="71"/>
  <c r="AC61" i="71"/>
  <c r="AC69" i="71"/>
  <c r="AC35" i="71"/>
  <c r="AC51" i="71"/>
  <c r="AC67" i="71"/>
  <c r="AC47" i="71"/>
  <c r="AC43" i="71"/>
  <c r="AC55" i="71"/>
  <c r="AC39" i="71"/>
  <c r="AC57" i="71"/>
  <c r="AC71" i="71"/>
  <c r="AC63" i="71"/>
  <c r="AC49" i="71"/>
  <c r="KS446" i="40"/>
  <c r="KR446" i="40"/>
  <c r="AD44" i="67"/>
  <c r="JK681" i="40"/>
  <c r="JK619" i="40"/>
  <c r="KO635" i="40"/>
  <c r="AV49" i="70"/>
  <c r="JT635" i="40"/>
  <c r="JX635" i="40" s="1"/>
  <c r="JS635" i="40"/>
  <c r="JU635" i="40"/>
  <c r="JV635" i="40" s="1"/>
  <c r="JW635" i="40" s="1"/>
  <c r="KS250" i="40"/>
  <c r="KS242" i="40"/>
  <c r="KR242" i="40"/>
  <c r="KO569" i="40"/>
  <c r="JS569" i="40"/>
  <c r="KI569" i="40"/>
  <c r="JT569" i="40"/>
  <c r="JX569" i="40" s="1"/>
  <c r="KJ569" i="40"/>
  <c r="JU569" i="40"/>
  <c r="JV569" i="40" s="1"/>
  <c r="JW569" i="40" s="1"/>
  <c r="KK569" i="40"/>
  <c r="JM669" i="40"/>
  <c r="AN37" i="70"/>
  <c r="KO523" i="40"/>
  <c r="JS523" i="40"/>
  <c r="JT523" i="40"/>
  <c r="JX523" i="40" s="1"/>
  <c r="KI523" i="40"/>
  <c r="JU523" i="40"/>
  <c r="JV523" i="40" s="1"/>
  <c r="JW523" i="40" s="1"/>
  <c r="KJ523" i="40"/>
  <c r="AS37" i="70"/>
  <c r="KK523" i="40"/>
  <c r="KR459" i="40"/>
  <c r="KS459" i="40"/>
  <c r="KS543" i="40"/>
  <c r="KR543" i="40"/>
  <c r="KR521" i="40"/>
  <c r="KS521" i="40"/>
  <c r="JK625" i="40"/>
  <c r="KS438" i="40"/>
  <c r="KR438" i="40"/>
  <c r="KO649" i="40"/>
  <c r="JU649" i="40"/>
  <c r="JV649" i="40" s="1"/>
  <c r="JW649" i="40" s="1"/>
  <c r="AV63" i="70"/>
  <c r="JT649" i="40"/>
  <c r="JX649" i="40" s="1"/>
  <c r="JS649" i="40"/>
  <c r="KR307" i="40"/>
  <c r="KS307" i="40"/>
  <c r="JM623" i="40"/>
  <c r="KS319" i="40"/>
  <c r="KR319" i="40"/>
  <c r="KO632" i="40"/>
  <c r="JU632" i="40"/>
  <c r="JV632" i="40" s="1"/>
  <c r="JW632" i="40" s="1"/>
  <c r="JT632" i="40"/>
  <c r="JX632" i="40" s="1"/>
  <c r="AV46" i="70"/>
  <c r="JS632" i="40"/>
  <c r="AV9" i="70"/>
  <c r="BR9" i="70" s="1"/>
  <c r="KL505" i="40"/>
  <c r="AU13" i="69" s="1"/>
  <c r="JK605" i="40"/>
  <c r="KR449" i="40"/>
  <c r="KS449" i="40"/>
  <c r="KS431" i="40"/>
  <c r="KR431" i="40"/>
  <c r="KS433" i="40"/>
  <c r="KR433" i="40"/>
  <c r="KS423" i="40"/>
  <c r="KR423" i="40"/>
  <c r="KS457" i="40"/>
  <c r="KR457" i="40"/>
  <c r="KS447" i="40"/>
  <c r="KR447" i="40"/>
  <c r="KS437" i="40"/>
  <c r="KR437" i="40"/>
  <c r="KR401" i="40"/>
  <c r="KS401" i="40"/>
  <c r="KS478" i="40"/>
  <c r="KR478" i="40"/>
  <c r="KR429" i="40"/>
  <c r="KS429" i="40"/>
  <c r="KR445" i="40"/>
  <c r="KS445" i="40"/>
  <c r="KR480" i="40"/>
  <c r="KS480" i="40"/>
  <c r="KS472" i="40"/>
  <c r="KR472" i="40"/>
  <c r="KS420" i="40"/>
  <c r="KR420" i="40"/>
  <c r="KO647" i="40"/>
  <c r="JU647" i="40"/>
  <c r="JV647" i="40" s="1"/>
  <c r="JW647" i="40" s="1"/>
  <c r="JT647" i="40"/>
  <c r="JX647" i="40" s="1"/>
  <c r="AV61" i="70"/>
  <c r="JS647" i="40"/>
  <c r="KR326" i="40"/>
  <c r="KS326" i="40"/>
  <c r="KR246" i="40"/>
  <c r="KS246" i="40"/>
  <c r="KO611" i="40"/>
  <c r="JT611" i="40"/>
  <c r="JX611" i="40" s="1"/>
  <c r="JS611" i="40"/>
  <c r="AV25" i="70"/>
  <c r="JU611" i="40"/>
  <c r="JV611" i="40" s="1"/>
  <c r="JW611" i="40" s="1"/>
  <c r="AV11" i="70"/>
  <c r="BR11" i="70" s="1"/>
  <c r="KO666" i="40"/>
  <c r="JS666" i="40"/>
  <c r="JU666" i="40"/>
  <c r="JV666" i="40" s="1"/>
  <c r="JW666" i="40" s="1"/>
  <c r="JT666" i="40"/>
  <c r="JX666" i="40" s="1"/>
  <c r="KR503" i="40"/>
  <c r="E11" i="61" s="1"/>
  <c r="KS503" i="40"/>
  <c r="KR467" i="40"/>
  <c r="KS467" i="40"/>
  <c r="KS541" i="40"/>
  <c r="KR541" i="40"/>
  <c r="KS337" i="40"/>
  <c r="KR337" i="40"/>
  <c r="KO637" i="40"/>
  <c r="JT637" i="40"/>
  <c r="JX637" i="40" s="1"/>
  <c r="JU637" i="40"/>
  <c r="JV637" i="40" s="1"/>
  <c r="JW637" i="40" s="1"/>
  <c r="AV51" i="70"/>
  <c r="JS637" i="40"/>
  <c r="KR325" i="40"/>
  <c r="KS325" i="40"/>
  <c r="KR236" i="40"/>
  <c r="KS236" i="40"/>
  <c r="KS201" i="40"/>
  <c r="KR201" i="40"/>
  <c r="KO375" i="40"/>
  <c r="KI375" i="40"/>
  <c r="JT375" i="40"/>
  <c r="JX375" i="40" s="1"/>
  <c r="JU375" i="40"/>
  <c r="JV375" i="40" s="1"/>
  <c r="JW375" i="40" s="1"/>
  <c r="KJ375" i="40"/>
  <c r="JS375" i="40"/>
  <c r="KK375" i="40"/>
  <c r="JM675" i="40"/>
  <c r="JK671" i="40"/>
  <c r="JT371" i="40"/>
  <c r="JX371" i="40" s="1"/>
  <c r="KO371" i="40"/>
  <c r="JS371" i="40"/>
  <c r="KK371" i="40"/>
  <c r="KI371" i="40"/>
  <c r="JU371" i="40"/>
  <c r="JV371" i="40" s="1"/>
  <c r="JW371" i="40" s="1"/>
  <c r="KJ371" i="40"/>
  <c r="JM671" i="40"/>
  <c r="AN39" i="70"/>
  <c r="KO525" i="40"/>
  <c r="JS525" i="40"/>
  <c r="JT525" i="40"/>
  <c r="JX525" i="40" s="1"/>
  <c r="KK525" i="40"/>
  <c r="JU525" i="40"/>
  <c r="JV525" i="40" s="1"/>
  <c r="JW525" i="40" s="1"/>
  <c r="KJ525" i="40"/>
  <c r="AS39" i="70"/>
  <c r="KI525" i="40"/>
  <c r="KR432" i="40"/>
  <c r="KS432" i="40"/>
  <c r="KR367" i="40"/>
  <c r="KS367" i="40"/>
  <c r="KL504" i="40"/>
  <c r="AT13" i="69" s="1"/>
  <c r="JK603" i="40"/>
  <c r="KS265" i="40"/>
  <c r="KR265" i="40"/>
  <c r="AN41" i="70"/>
  <c r="KO527" i="40"/>
  <c r="JS527" i="40"/>
  <c r="JT527" i="40"/>
  <c r="JX527" i="40" s="1"/>
  <c r="KI527" i="40"/>
  <c r="JU527" i="40"/>
  <c r="JV527" i="40" s="1"/>
  <c r="JW527" i="40" s="1"/>
  <c r="KJ527" i="40"/>
  <c r="AS41" i="70"/>
  <c r="KK527" i="40"/>
  <c r="JK653" i="40"/>
  <c r="JK645" i="40"/>
  <c r="JK637" i="40"/>
  <c r="AF66" i="70"/>
  <c r="KO452" i="40"/>
  <c r="JT452" i="40"/>
  <c r="JX452" i="40" s="1"/>
  <c r="AK66" i="70"/>
  <c r="KI452" i="40"/>
  <c r="JU452" i="40"/>
  <c r="JV452" i="40" s="1"/>
  <c r="JW452" i="40" s="1"/>
  <c r="JS452" i="40"/>
  <c r="KJ452" i="40"/>
  <c r="KK452" i="40"/>
  <c r="KS440" i="40"/>
  <c r="KR440" i="40"/>
  <c r="KR351" i="40"/>
  <c r="KS351" i="40"/>
  <c r="KS343" i="40"/>
  <c r="KR343" i="40"/>
  <c r="JU643" i="40"/>
  <c r="JV643" i="40" s="1"/>
  <c r="JW643" i="40" s="1"/>
  <c r="JT643" i="40"/>
  <c r="JX643" i="40" s="1"/>
  <c r="AV57" i="70"/>
  <c r="JS643" i="40"/>
  <c r="KO643" i="40"/>
  <c r="KS324" i="40"/>
  <c r="KR324" i="40"/>
  <c r="KO650" i="40"/>
  <c r="AV64" i="70"/>
  <c r="JU650" i="40"/>
  <c r="JV650" i="40" s="1"/>
  <c r="JW650" i="40" s="1"/>
  <c r="JT650" i="40"/>
  <c r="JX650" i="40" s="1"/>
  <c r="JS650" i="40"/>
  <c r="KR234" i="40"/>
  <c r="KS234" i="40"/>
  <c r="AF23" i="70"/>
  <c r="KO409" i="40"/>
  <c r="JT409" i="40"/>
  <c r="JX409" i="40" s="1"/>
  <c r="JS409" i="40"/>
  <c r="AK23" i="70"/>
  <c r="KJ409" i="40"/>
  <c r="JU409" i="40"/>
  <c r="JV409" i="40" s="1"/>
  <c r="JW409" i="40" s="1"/>
  <c r="KI409" i="40"/>
  <c r="KK409" i="40"/>
  <c r="KR403" i="40"/>
  <c r="E10" i="61" s="1"/>
  <c r="KS403" i="40"/>
  <c r="KS281" i="40"/>
  <c r="KR281" i="40"/>
  <c r="JK646" i="40"/>
  <c r="KR422" i="40"/>
  <c r="KS422" i="40"/>
  <c r="KR333" i="40"/>
  <c r="KS333" i="40"/>
  <c r="KO607" i="40"/>
  <c r="JU607" i="40"/>
  <c r="JV607" i="40" s="1"/>
  <c r="JW607" i="40" s="1"/>
  <c r="AV21" i="70"/>
  <c r="JS607" i="40"/>
  <c r="JT607" i="40"/>
  <c r="KO619" i="40"/>
  <c r="AV17" i="70"/>
  <c r="BR17" i="70" s="1"/>
  <c r="JS619" i="40"/>
  <c r="JT619" i="40"/>
  <c r="JX619" i="40" s="1"/>
  <c r="JU619" i="40"/>
  <c r="JV619" i="40" s="1"/>
  <c r="JW619" i="40" s="1"/>
  <c r="AV33" i="70"/>
  <c r="KR410" i="40"/>
  <c r="AS16" i="68" s="1"/>
  <c r="KS410" i="40"/>
  <c r="JK667" i="40"/>
  <c r="JK675" i="40"/>
  <c r="KR505" i="40"/>
  <c r="G11" i="61" s="1"/>
  <c r="AN11" i="61" s="1"/>
  <c r="KS505" i="40"/>
  <c r="KS559" i="40"/>
  <c r="KR559" i="40"/>
  <c r="JK651" i="40"/>
  <c r="JK643" i="40"/>
  <c r="JK635" i="40"/>
  <c r="KS519" i="40"/>
  <c r="KR519" i="40"/>
  <c r="JK623" i="40"/>
  <c r="KR477" i="40"/>
  <c r="KS477" i="40"/>
  <c r="KR439" i="40"/>
  <c r="KS439" i="40"/>
  <c r="KS458" i="40"/>
  <c r="KR458" i="40"/>
  <c r="KR425" i="40"/>
  <c r="KS425" i="40"/>
  <c r="KS402" i="40"/>
  <c r="KR402" i="40"/>
  <c r="KR479" i="40"/>
  <c r="KS479" i="40"/>
  <c r="KS468" i="40"/>
  <c r="KR468" i="40"/>
  <c r="KS469" i="40"/>
  <c r="KR469" i="40"/>
  <c r="KR427" i="40"/>
  <c r="KS427" i="40"/>
  <c r="AE43" i="68"/>
  <c r="AI43" i="68" s="1"/>
  <c r="A43" i="68" s="1"/>
  <c r="AE61" i="68"/>
  <c r="AI61" i="68" s="1"/>
  <c r="AE63" i="68"/>
  <c r="AI63" i="68" s="1"/>
  <c r="AN43" i="68"/>
  <c r="AE71" i="68"/>
  <c r="AI71" i="68" s="1"/>
  <c r="A71" i="68" s="1"/>
  <c r="AE51" i="68"/>
  <c r="AI51" i="68" s="1"/>
  <c r="AE57" i="68"/>
  <c r="AI57" i="68" s="1"/>
  <c r="A57" i="68" s="1"/>
  <c r="AL43" i="68"/>
  <c r="AE53" i="68"/>
  <c r="AI53" i="68" s="1"/>
  <c r="AM43" i="68"/>
  <c r="AE59" i="68"/>
  <c r="AI59" i="68" s="1"/>
  <c r="AE55" i="68"/>
  <c r="AI55" i="68" s="1"/>
  <c r="AE67" i="68"/>
  <c r="AI67" i="68" s="1"/>
  <c r="AE69" i="68"/>
  <c r="AI69" i="68" s="1"/>
  <c r="AE65" i="68"/>
  <c r="AI65" i="68" s="1"/>
  <c r="AM47" i="68"/>
  <c r="AL45" i="68"/>
  <c r="AM65" i="68"/>
  <c r="AM59" i="68"/>
  <c r="AN61" i="68"/>
  <c r="AN67" i="68"/>
  <c r="AL71" i="68"/>
  <c r="AN55" i="68"/>
  <c r="AM63" i="68"/>
  <c r="AL53" i="68"/>
  <c r="AN49" i="68"/>
  <c r="AL37" i="68"/>
  <c r="AM45" i="68"/>
  <c r="AN59" i="68"/>
  <c r="AN69" i="68"/>
  <c r="AM55" i="68"/>
  <c r="AL57" i="68"/>
  <c r="AL63" i="68"/>
  <c r="AM69" i="68"/>
  <c r="AM61" i="68"/>
  <c r="AL65" i="68"/>
  <c r="AN41" i="68"/>
  <c r="AL47" i="68"/>
  <c r="AN45" i="68"/>
  <c r="AL61" i="68"/>
  <c r="AM67" i="68"/>
  <c r="AN57" i="68"/>
  <c r="AM57" i="68"/>
  <c r="AM51" i="68"/>
  <c r="AN53" i="68"/>
  <c r="AN51" i="68"/>
  <c r="AL55" i="68"/>
  <c r="AL49" i="68"/>
  <c r="AM37" i="68"/>
  <c r="AM41" i="68"/>
  <c r="AN47" i="68"/>
  <c r="AN63" i="68"/>
  <c r="AL67" i="68"/>
  <c r="AN71" i="68"/>
  <c r="AM71" i="68"/>
  <c r="AM53" i="68"/>
  <c r="AL59" i="68"/>
  <c r="AL51" i="68"/>
  <c r="AL69" i="68"/>
  <c r="AN65" i="68"/>
  <c r="AM49" i="68"/>
  <c r="AN37" i="68"/>
  <c r="AL41" i="68"/>
  <c r="AE47" i="68"/>
  <c r="AI47" i="68" s="1"/>
  <c r="A47" i="68" s="1"/>
  <c r="AE45" i="68"/>
  <c r="AI45" i="68" s="1"/>
  <c r="A45" i="68" s="1"/>
  <c r="AE37" i="68"/>
  <c r="AI37" i="68" s="1"/>
  <c r="A37" i="68" s="1"/>
  <c r="AE49" i="68"/>
  <c r="AI49" i="68" s="1"/>
  <c r="A49" i="68" s="1"/>
  <c r="AE41" i="68"/>
  <c r="AI41" i="68" s="1"/>
  <c r="A41" i="68" s="1"/>
  <c r="KR461" i="40"/>
  <c r="KS461" i="40"/>
  <c r="KS435" i="40"/>
  <c r="KR435" i="40"/>
  <c r="KR453" i="40"/>
  <c r="KS453" i="40"/>
  <c r="KO693" i="40"/>
  <c r="AE33" i="71"/>
  <c r="KO695" i="40"/>
  <c r="KO606" i="40"/>
  <c r="KO690" i="40"/>
  <c r="KO691" i="40"/>
  <c r="KO689" i="40"/>
  <c r="KO602" i="40"/>
  <c r="KO698" i="40"/>
  <c r="KO688" i="40"/>
  <c r="JS602" i="40"/>
  <c r="JU602" i="40"/>
  <c r="KO699" i="40"/>
  <c r="KO700" i="40"/>
  <c r="KO696" i="40"/>
  <c r="KO692" i="40"/>
  <c r="JT602" i="40"/>
  <c r="JX602" i="40" s="1"/>
  <c r="KO697" i="40"/>
  <c r="KO694" i="40"/>
  <c r="AV20" i="70"/>
  <c r="KO670" i="40"/>
  <c r="KO658" i="40"/>
  <c r="KO660" i="40"/>
  <c r="KO677" i="40"/>
  <c r="KO664" i="40"/>
  <c r="KO662" i="40"/>
  <c r="KO661" i="40"/>
  <c r="KO679" i="40"/>
  <c r="KO680" i="40"/>
  <c r="KO672" i="40"/>
  <c r="KO674" i="40"/>
  <c r="KO676" i="40"/>
  <c r="KO668" i="40"/>
  <c r="KO655" i="40"/>
  <c r="JT655" i="40"/>
  <c r="JX655" i="40" s="1"/>
  <c r="JU655" i="40"/>
  <c r="JV655" i="40" s="1"/>
  <c r="JW655" i="40" s="1"/>
  <c r="AV69" i="70"/>
  <c r="JS655" i="40"/>
  <c r="AV7" i="70"/>
  <c r="BR7" i="70" s="1"/>
  <c r="KR331" i="40"/>
  <c r="KS331" i="40"/>
  <c r="KO626" i="40"/>
  <c r="AV40" i="70"/>
  <c r="JU626" i="40"/>
  <c r="JV626" i="40" s="1"/>
  <c r="JW626" i="40" s="1"/>
  <c r="JT626" i="40"/>
  <c r="JX626" i="40" s="1"/>
  <c r="JS626" i="40"/>
  <c r="KR322" i="40"/>
  <c r="KS322" i="40"/>
  <c r="KR254" i="40"/>
  <c r="KS254" i="40"/>
  <c r="KO646" i="40"/>
  <c r="AV60" i="70"/>
  <c r="JU646" i="40"/>
  <c r="JV646" i="40" s="1"/>
  <c r="JW646" i="40" s="1"/>
  <c r="JT646" i="40"/>
  <c r="JX646" i="40" s="1"/>
  <c r="JS646" i="40"/>
  <c r="KO608" i="40"/>
  <c r="AV22" i="70"/>
  <c r="JS608" i="40"/>
  <c r="JU608" i="40"/>
  <c r="JV608" i="40" s="1"/>
  <c r="JW608" i="40" s="1"/>
  <c r="JT608" i="40"/>
  <c r="JX608" i="40" s="1"/>
  <c r="KR211" i="40"/>
  <c r="KS211" i="40"/>
  <c r="JK629" i="40"/>
  <c r="JK652" i="40"/>
  <c r="JK644" i="40"/>
  <c r="KR454" i="40"/>
  <c r="KS454" i="40"/>
  <c r="KS426" i="40"/>
  <c r="KR426" i="40"/>
  <c r="KR353" i="40"/>
  <c r="KS353" i="40"/>
  <c r="JU645" i="40"/>
  <c r="JV645" i="40" s="1"/>
  <c r="JW645" i="40" s="1"/>
  <c r="JT645" i="40"/>
  <c r="JX645" i="40" s="1"/>
  <c r="AV59" i="70"/>
  <c r="KO645" i="40"/>
  <c r="JS645" i="40"/>
  <c r="KR321" i="40"/>
  <c r="KS321" i="40"/>
  <c r="KO621" i="40"/>
  <c r="AV35" i="70"/>
  <c r="JU621" i="40"/>
  <c r="JV621" i="40" s="1"/>
  <c r="JW621" i="40" s="1"/>
  <c r="JT621" i="40"/>
  <c r="JX621" i="40" s="1"/>
  <c r="JS621" i="40"/>
  <c r="JK624" i="40"/>
  <c r="JK609" i="40"/>
  <c r="E20" i="59" s="1"/>
  <c r="KT203" i="40"/>
  <c r="KU202" i="40"/>
  <c r="KL404" i="40"/>
  <c r="AT13" i="68" s="1"/>
  <c r="KR405" i="40"/>
  <c r="G10" i="61" s="1"/>
  <c r="AN10" i="61" s="1"/>
  <c r="KS405" i="40"/>
  <c r="KR450" i="40"/>
  <c r="KS450" i="40"/>
  <c r="KO665" i="40"/>
  <c r="JT665" i="40"/>
  <c r="JX665" i="40" s="1"/>
  <c r="JU665" i="40"/>
  <c r="JV665" i="40" s="1"/>
  <c r="JW665" i="40" s="1"/>
  <c r="JS665" i="40"/>
  <c r="JK627" i="40"/>
  <c r="AF62" i="70"/>
  <c r="JU448" i="40"/>
  <c r="JV448" i="40" s="1"/>
  <c r="JW448" i="40" s="1"/>
  <c r="KO448" i="40"/>
  <c r="AK62" i="70"/>
  <c r="KK448" i="40"/>
  <c r="KI448" i="40"/>
  <c r="JT448" i="40"/>
  <c r="JX448" i="40" s="1"/>
  <c r="JS448" i="40"/>
  <c r="KJ448" i="40"/>
  <c r="KO651" i="40"/>
  <c r="AV65" i="70"/>
  <c r="JT651" i="40"/>
  <c r="JX651" i="40" s="1"/>
  <c r="JS651" i="40"/>
  <c r="JU651" i="40"/>
  <c r="JV651" i="40" s="1"/>
  <c r="JW651" i="40" s="1"/>
  <c r="KS327" i="40"/>
  <c r="KR327" i="40"/>
  <c r="KO634" i="40"/>
  <c r="JU634" i="40"/>
  <c r="JV634" i="40" s="1"/>
  <c r="JW634" i="40" s="1"/>
  <c r="JS634" i="40"/>
  <c r="AV48" i="70"/>
  <c r="JT634" i="40"/>
  <c r="JX634" i="40" s="1"/>
  <c r="AV10" i="70"/>
  <c r="BR10" i="70" s="1"/>
  <c r="P38" i="70"/>
  <c r="JM624" i="40"/>
  <c r="KO224" i="40"/>
  <c r="KK224" i="40"/>
  <c r="JS224" i="40"/>
  <c r="U38" i="70"/>
  <c r="KI224" i="40"/>
  <c r="JU224" i="40"/>
  <c r="JV224" i="40" s="1"/>
  <c r="JW224" i="40" s="1"/>
  <c r="KJ224" i="40"/>
  <c r="JT224" i="40"/>
  <c r="JX224" i="40" s="1"/>
  <c r="KS222" i="40"/>
  <c r="KR222" i="40"/>
  <c r="KO615" i="40"/>
  <c r="JT615" i="40"/>
  <c r="JX615" i="40" s="1"/>
  <c r="AV29" i="70"/>
  <c r="JU615" i="40"/>
  <c r="JV615" i="40" s="1"/>
  <c r="JW615" i="40" s="1"/>
  <c r="JS615" i="40"/>
  <c r="AV13" i="70"/>
  <c r="BR13" i="70" s="1"/>
  <c r="JK669" i="40"/>
  <c r="KO681" i="40"/>
  <c r="JU681" i="40"/>
  <c r="JV681" i="40" s="1"/>
  <c r="JW681" i="40" s="1"/>
  <c r="JT681" i="40"/>
  <c r="JX681" i="40" s="1"/>
  <c r="JS681" i="40"/>
  <c r="AV18" i="70"/>
  <c r="BR18" i="70" s="1"/>
  <c r="KR555" i="40"/>
  <c r="KS555" i="40"/>
  <c r="KR551" i="40"/>
  <c r="KS551" i="40"/>
  <c r="KS547" i="40"/>
  <c r="KR547" i="40"/>
  <c r="KS539" i="40"/>
  <c r="KR539" i="40"/>
  <c r="KR531" i="40"/>
  <c r="KS531" i="40"/>
  <c r="KR341" i="40"/>
  <c r="KS341" i="40"/>
  <c r="KO633" i="40"/>
  <c r="JU633" i="40"/>
  <c r="JV633" i="40" s="1"/>
  <c r="JW633" i="40" s="1"/>
  <c r="AV47" i="70"/>
  <c r="JT633" i="40"/>
  <c r="JX633" i="40" s="1"/>
  <c r="JS633" i="40"/>
  <c r="KS240" i="40"/>
  <c r="KR240" i="40"/>
  <c r="JM609" i="40"/>
  <c r="JK618" i="40"/>
  <c r="JX618" i="40"/>
  <c r="KS220" i="40"/>
  <c r="KR220" i="40"/>
  <c r="KO613" i="40"/>
  <c r="AV27" i="70"/>
  <c r="JS613" i="40"/>
  <c r="JU613" i="40"/>
  <c r="JV613" i="40" s="1"/>
  <c r="JW613" i="40" s="1"/>
  <c r="JT613" i="40"/>
  <c r="JX613" i="40" s="1"/>
  <c r="JK604" i="40"/>
  <c r="KR278" i="40"/>
  <c r="KS278" i="40"/>
  <c r="KR466" i="40"/>
  <c r="KS466" i="40"/>
  <c r="KR473" i="40"/>
  <c r="KS473" i="40"/>
  <c r="KR460" i="40"/>
  <c r="KS460" i="40"/>
  <c r="KR441" i="40"/>
  <c r="KS441" i="40"/>
  <c r="KR462" i="40"/>
  <c r="KS462" i="40"/>
  <c r="KS476" i="40"/>
  <c r="KR476" i="40"/>
  <c r="KR417" i="40"/>
  <c r="AU16" i="68" s="1"/>
  <c r="KS417" i="40"/>
  <c r="KS443" i="40"/>
  <c r="KR443" i="40"/>
  <c r="KS455" i="40"/>
  <c r="KR455" i="40"/>
  <c r="KR456" i="40"/>
  <c r="KS456" i="40"/>
  <c r="KS419" i="40"/>
  <c r="KR419" i="40"/>
  <c r="KS421" i="40"/>
  <c r="KR421" i="40"/>
  <c r="KR436" i="40"/>
  <c r="KS436" i="40"/>
  <c r="KR428" i="40"/>
  <c r="KS428" i="40"/>
  <c r="KR355" i="40"/>
  <c r="KS355" i="40"/>
  <c r="KS339" i="40"/>
  <c r="KR339" i="40"/>
  <c r="KO631" i="40"/>
  <c r="JT631" i="40"/>
  <c r="JX631" i="40" s="1"/>
  <c r="JS631" i="40"/>
  <c r="JU631" i="40"/>
  <c r="JV631" i="40" s="1"/>
  <c r="JW631" i="40" s="1"/>
  <c r="AV45" i="70"/>
  <c r="KO654" i="40"/>
  <c r="JU654" i="40"/>
  <c r="JV654" i="40" s="1"/>
  <c r="JW654" i="40" s="1"/>
  <c r="JT654" i="40"/>
  <c r="JX654" i="40" s="1"/>
  <c r="AV68" i="70"/>
  <c r="JS654" i="40"/>
  <c r="KR238" i="40"/>
  <c r="KS238" i="40"/>
  <c r="KR230" i="40"/>
  <c r="KR411" i="40"/>
  <c r="KS411" i="40"/>
  <c r="JM667" i="40"/>
  <c r="KL503" i="40"/>
  <c r="AS13" i="69" s="1"/>
  <c r="KS256" i="40"/>
  <c r="KR256" i="40"/>
  <c r="KR553" i="40"/>
  <c r="KS553" i="40"/>
  <c r="KS545" i="40"/>
  <c r="KR545" i="40"/>
  <c r="KR537" i="40"/>
  <c r="KS537" i="40"/>
  <c r="KO653" i="40"/>
  <c r="JS653" i="40"/>
  <c r="JU653" i="40"/>
  <c r="JV653" i="40" s="1"/>
  <c r="JW653" i="40" s="1"/>
  <c r="JT653" i="40"/>
  <c r="JX653" i="40" s="1"/>
  <c r="AV67" i="70"/>
  <c r="KS345" i="40"/>
  <c r="KR345" i="40"/>
  <c r="KS329" i="40"/>
  <c r="KR329" i="40"/>
  <c r="JM625" i="40"/>
  <c r="KO636" i="40"/>
  <c r="KR414" i="40"/>
  <c r="AT16" i="68" s="1"/>
  <c r="KS414" i="40"/>
  <c r="AV16" i="70"/>
  <c r="BR16" i="70" s="1"/>
  <c r="JU618" i="40"/>
  <c r="JV618" i="40" s="1"/>
  <c r="JW618" i="40" s="1"/>
  <c r="KS404" i="40"/>
  <c r="KR404" i="40"/>
  <c r="F10" i="61" s="1"/>
  <c r="KO605" i="40"/>
  <c r="JT605" i="40"/>
  <c r="JX605" i="40" s="1"/>
  <c r="JU605" i="40"/>
  <c r="JV605" i="40" s="1"/>
  <c r="JW605" i="40" s="1"/>
  <c r="JS605" i="40"/>
  <c r="AD44" i="69"/>
  <c r="AC45" i="69"/>
  <c r="AD42" i="69"/>
  <c r="AC43" i="69"/>
  <c r="AD40" i="69"/>
  <c r="AC41" i="69"/>
  <c r="AC39" i="69"/>
  <c r="AC37" i="69"/>
  <c r="AD48" i="68"/>
  <c r="AC49" i="68"/>
  <c r="AD46" i="68"/>
  <c r="AC47" i="68"/>
  <c r="AC39" i="68"/>
  <c r="AD48" i="67"/>
  <c r="AD40" i="67"/>
  <c r="AD38" i="67"/>
  <c r="AD36" i="66"/>
  <c r="AD46" i="58"/>
  <c r="AD47" i="58" s="1"/>
  <c r="AC47" i="58"/>
  <c r="C47" i="58" s="1"/>
  <c r="AD34" i="58"/>
  <c r="AD35" i="58" s="1"/>
  <c r="AC35" i="58"/>
  <c r="C35" i="58" s="1"/>
  <c r="AC45" i="58"/>
  <c r="C45" i="58" s="1"/>
  <c r="AD44" i="58"/>
  <c r="AD45" i="58" s="1"/>
  <c r="AD46" i="69" l="1"/>
  <c r="KT601" i="40"/>
  <c r="KT602" i="40" s="1"/>
  <c r="KT603" i="40" s="1"/>
  <c r="KT604" i="40" s="1"/>
  <c r="JU701" i="40"/>
  <c r="JV701" i="40" s="1"/>
  <c r="KO601" i="40"/>
  <c r="AV31" i="70"/>
  <c r="A43" i="62"/>
  <c r="Z36" i="62"/>
  <c r="Z37" i="62" s="1"/>
  <c r="AA42" i="62"/>
  <c r="AA43" i="62" s="1"/>
  <c r="AC37" i="67"/>
  <c r="C37" i="67" s="1"/>
  <c r="JU673" i="40"/>
  <c r="JV673" i="40" s="1"/>
  <c r="JW673" i="40" s="1"/>
  <c r="KR276" i="40"/>
  <c r="KS267" i="40"/>
  <c r="KO616" i="40"/>
  <c r="JS642" i="40"/>
  <c r="KS208" i="40"/>
  <c r="KS259" i="40"/>
  <c r="KO642" i="40"/>
  <c r="KR270" i="40"/>
  <c r="KS373" i="40"/>
  <c r="AV26" i="70"/>
  <c r="KR257" i="40"/>
  <c r="A47" i="69"/>
  <c r="AL59" i="66"/>
  <c r="AM35" i="66"/>
  <c r="AL55" i="66"/>
  <c r="AE49" i="66"/>
  <c r="AI49" i="66" s="1"/>
  <c r="A43" i="69"/>
  <c r="AM53" i="66"/>
  <c r="AN67" i="66"/>
  <c r="AM63" i="66"/>
  <c r="AE57" i="66"/>
  <c r="AI57" i="66" s="1"/>
  <c r="A57" i="66" s="1"/>
  <c r="A45" i="69"/>
  <c r="A41" i="69"/>
  <c r="AE45" i="66"/>
  <c r="AI45" i="66" s="1"/>
  <c r="AL61" i="66"/>
  <c r="AL51" i="66"/>
  <c r="AM37" i="66"/>
  <c r="AE51" i="66"/>
  <c r="AI51" i="66" s="1"/>
  <c r="KR207" i="40"/>
  <c r="KS268" i="40"/>
  <c r="JV567" i="40"/>
  <c r="JW567" i="40" s="1"/>
  <c r="AF42" i="69"/>
  <c r="AF43" i="69" s="1"/>
  <c r="AG43" i="69" s="1"/>
  <c r="KR251" i="40"/>
  <c r="JV529" i="40"/>
  <c r="JW529" i="40" s="1"/>
  <c r="AF44" i="69"/>
  <c r="AC39" i="67"/>
  <c r="C39" i="67" s="1"/>
  <c r="AV56" i="70"/>
  <c r="JS673" i="40"/>
  <c r="KS217" i="40"/>
  <c r="KS264" i="40"/>
  <c r="KS243" i="40"/>
  <c r="JT642" i="40"/>
  <c r="JX642" i="40" s="1"/>
  <c r="KO673" i="40"/>
  <c r="KS501" i="40"/>
  <c r="KS279" i="40"/>
  <c r="KR223" i="40"/>
  <c r="JT663" i="40"/>
  <c r="JX663" i="40" s="1"/>
  <c r="A49" i="67"/>
  <c r="A39" i="67"/>
  <c r="A61" i="67"/>
  <c r="A71" i="67"/>
  <c r="A41" i="67"/>
  <c r="JV220" i="40"/>
  <c r="JW220" i="40" s="1"/>
  <c r="AF44" i="66"/>
  <c r="AF45" i="66" s="1"/>
  <c r="AG45" i="66" s="1"/>
  <c r="AC51" i="69"/>
  <c r="AC57" i="69"/>
  <c r="AC55" i="69"/>
  <c r="C55" i="69" s="1"/>
  <c r="AC53" i="69"/>
  <c r="C53" i="69" s="1"/>
  <c r="AC67" i="69"/>
  <c r="AC59" i="69"/>
  <c r="AC49" i="69"/>
  <c r="C49" i="69" s="1"/>
  <c r="AC71" i="69"/>
  <c r="C71" i="69" s="1"/>
  <c r="AC69" i="69"/>
  <c r="AC35" i="69"/>
  <c r="AC63" i="69"/>
  <c r="C63" i="69" s="1"/>
  <c r="AC61" i="69"/>
  <c r="C61" i="69" s="1"/>
  <c r="AC65" i="69"/>
  <c r="AE41" i="66"/>
  <c r="AI41" i="66" s="1"/>
  <c r="A41" i="66" s="1"/>
  <c r="AL71" i="66"/>
  <c r="AN57" i="66"/>
  <c r="AL65" i="66"/>
  <c r="AL57" i="66"/>
  <c r="AL53" i="66"/>
  <c r="AL49" i="66"/>
  <c r="AL63" i="66"/>
  <c r="AN53" i="66"/>
  <c r="AN35" i="66"/>
  <c r="AN69" i="66"/>
  <c r="AM61" i="66"/>
  <c r="AN39" i="66"/>
  <c r="AM45" i="66"/>
  <c r="AL45" i="66"/>
  <c r="AE61" i="66"/>
  <c r="AI61" i="66" s="1"/>
  <c r="A61" i="66" s="1"/>
  <c r="AE65" i="66"/>
  <c r="AI65" i="66" s="1"/>
  <c r="AE37" i="66"/>
  <c r="AI37" i="66" s="1"/>
  <c r="A37" i="66" s="1"/>
  <c r="AE55" i="66"/>
  <c r="AI55" i="66" s="1"/>
  <c r="A55" i="66" s="1"/>
  <c r="AM41" i="66"/>
  <c r="AE35" i="66"/>
  <c r="AI35" i="66" s="1"/>
  <c r="AM71" i="66"/>
  <c r="AN63" i="66"/>
  <c r="AM39" i="66"/>
  <c r="AN61" i="66"/>
  <c r="AM69" i="66"/>
  <c r="AM65" i="66"/>
  <c r="AN65" i="66"/>
  <c r="AN49" i="66"/>
  <c r="AN59" i="66"/>
  <c r="AM51" i="66"/>
  <c r="AL35" i="66"/>
  <c r="AL37" i="66"/>
  <c r="AE69" i="66"/>
  <c r="AI69" i="66" s="1"/>
  <c r="A69" i="66" s="1"/>
  <c r="AE53" i="66"/>
  <c r="AI53" i="66" s="1"/>
  <c r="A53" i="66" s="1"/>
  <c r="AM57" i="66"/>
  <c r="AN51" i="66"/>
  <c r="AM67" i="66"/>
  <c r="AM59" i="66"/>
  <c r="AN41" i="66"/>
  <c r="AL69" i="66"/>
  <c r="AN71" i="66"/>
  <c r="AL41" i="66"/>
  <c r="AM55" i="66"/>
  <c r="AL67" i="66"/>
  <c r="AM49" i="66"/>
  <c r="AN37" i="66"/>
  <c r="AN45" i="66"/>
  <c r="AE59" i="66"/>
  <c r="AI59" i="66" s="1"/>
  <c r="AE67" i="66"/>
  <c r="AI67" i="66" s="1"/>
  <c r="A67" i="66" s="1"/>
  <c r="H36" i="58"/>
  <c r="L40" i="58"/>
  <c r="L41" i="58" s="1"/>
  <c r="K40" i="58"/>
  <c r="KS463" i="40"/>
  <c r="JU659" i="40"/>
  <c r="JV659" i="40" s="1"/>
  <c r="JW659" i="40" s="1"/>
  <c r="AD49" i="68"/>
  <c r="KO659" i="40"/>
  <c r="KR659" i="40" s="1"/>
  <c r="C45" i="69"/>
  <c r="AC71" i="67"/>
  <c r="C71" i="67" s="1"/>
  <c r="KS508" i="40"/>
  <c r="C41" i="69"/>
  <c r="AC51" i="67"/>
  <c r="C51" i="67" s="1"/>
  <c r="JS663" i="40"/>
  <c r="KO663" i="40"/>
  <c r="KR663" i="40" s="1"/>
  <c r="AD47" i="68"/>
  <c r="A43" i="67"/>
  <c r="AC63" i="67"/>
  <c r="C63" i="67" s="1"/>
  <c r="JS616" i="40"/>
  <c r="JT617" i="40"/>
  <c r="JX617" i="40" s="1"/>
  <c r="JT701" i="40"/>
  <c r="JS601" i="40"/>
  <c r="JT601" i="40"/>
  <c r="KU602" i="40"/>
  <c r="KS430" i="40"/>
  <c r="KU601" i="40"/>
  <c r="JS617" i="40"/>
  <c r="AV15" i="70"/>
  <c r="BR15" i="70" s="1"/>
  <c r="KR228" i="40"/>
  <c r="JS701" i="40"/>
  <c r="JU601" i="40"/>
  <c r="JV601" i="40" s="1"/>
  <c r="JW601" i="40" s="1"/>
  <c r="JU617" i="40"/>
  <c r="JV617" i="40" s="1"/>
  <c r="JW617" i="40" s="1"/>
  <c r="KU603" i="40"/>
  <c r="AV50" i="70"/>
  <c r="JT630" i="40"/>
  <c r="JX630" i="40" s="1"/>
  <c r="AD43" i="68"/>
  <c r="AC37" i="66"/>
  <c r="AC49" i="67"/>
  <c r="C49" i="67" s="1"/>
  <c r="AV24" i="70"/>
  <c r="E32" i="59"/>
  <c r="M45" i="59" s="1"/>
  <c r="A45" i="67"/>
  <c r="AC65" i="67"/>
  <c r="C65" i="67" s="1"/>
  <c r="AC57" i="67"/>
  <c r="C57" i="67" s="1"/>
  <c r="AC69" i="67"/>
  <c r="C69" i="67" s="1"/>
  <c r="AV30" i="70"/>
  <c r="A37" i="67"/>
  <c r="A63" i="67"/>
  <c r="A57" i="67"/>
  <c r="A67" i="67"/>
  <c r="AC41" i="67"/>
  <c r="C41" i="67" s="1"/>
  <c r="A69" i="67"/>
  <c r="AC61" i="67"/>
  <c r="C61" i="67" s="1"/>
  <c r="AC53" i="67"/>
  <c r="C53" i="67" s="1"/>
  <c r="AC59" i="67"/>
  <c r="C59" i="67" s="1"/>
  <c r="JT616" i="40"/>
  <c r="JX616" i="40" s="1"/>
  <c r="AC45" i="67"/>
  <c r="C45" i="67" s="1"/>
  <c r="AC35" i="67"/>
  <c r="C43" i="67"/>
  <c r="A55" i="67"/>
  <c r="AC47" i="67"/>
  <c r="C47" i="67" s="1"/>
  <c r="AC55" i="67"/>
  <c r="C55" i="67" s="1"/>
  <c r="AC67" i="67"/>
  <c r="C67" i="67" s="1"/>
  <c r="AD33" i="67"/>
  <c r="AD49" i="67" s="1"/>
  <c r="A47" i="67"/>
  <c r="A53" i="67"/>
  <c r="A65" i="67"/>
  <c r="A59" i="67"/>
  <c r="A51" i="67"/>
  <c r="KO612" i="40"/>
  <c r="KR612" i="40" s="1"/>
  <c r="JS636" i="40"/>
  <c r="AV44" i="70"/>
  <c r="JT636" i="40"/>
  <c r="JX636" i="40" s="1"/>
  <c r="AV16" i="69"/>
  <c r="JU630" i="40"/>
  <c r="JV630" i="40" s="1"/>
  <c r="JW630" i="40" s="1"/>
  <c r="KO630" i="40"/>
  <c r="KS630" i="40" s="1"/>
  <c r="N45" i="59"/>
  <c r="X45" i="59"/>
  <c r="KU501" i="40"/>
  <c r="AD43" i="69"/>
  <c r="Z45" i="59"/>
  <c r="O45" i="59"/>
  <c r="P45" i="59"/>
  <c r="AB45" i="59"/>
  <c r="C43" i="69"/>
  <c r="C47" i="69"/>
  <c r="AL8" i="61"/>
  <c r="AD49" i="69"/>
  <c r="A49" i="62"/>
  <c r="KU502" i="40"/>
  <c r="A41" i="62"/>
  <c r="JT614" i="40"/>
  <c r="JX614" i="40" s="1"/>
  <c r="KO614" i="40"/>
  <c r="JU614" i="40"/>
  <c r="JV614" i="40" s="1"/>
  <c r="JW614" i="40" s="1"/>
  <c r="AV28" i="70"/>
  <c r="JS614" i="40"/>
  <c r="KT504" i="40"/>
  <c r="KU503" i="40"/>
  <c r="JG582" i="40"/>
  <c r="JG482" i="40"/>
  <c r="JG282" i="40"/>
  <c r="JG483" i="40"/>
  <c r="JG583" i="40"/>
  <c r="JG382" i="40"/>
  <c r="JG383" i="40"/>
  <c r="JG484" i="40"/>
  <c r="JG283" i="40"/>
  <c r="JG584" i="40"/>
  <c r="JG284" i="40"/>
  <c r="JG384" i="40"/>
  <c r="JG485" i="40"/>
  <c r="JG585" i="40"/>
  <c r="JG486" i="40"/>
  <c r="JG586" i="40"/>
  <c r="JG285" i="40"/>
  <c r="JG385" i="40"/>
  <c r="JG287" i="40"/>
  <c r="JG286" i="40"/>
  <c r="JG587" i="40"/>
  <c r="JG386" i="40"/>
  <c r="JG487" i="40"/>
  <c r="JG387" i="40"/>
  <c r="Y39" i="62"/>
  <c r="AC38" i="62"/>
  <c r="AC40" i="62"/>
  <c r="Y41" i="62"/>
  <c r="A45" i="62"/>
  <c r="Y45" i="62"/>
  <c r="AC44" i="62"/>
  <c r="Y47" i="62"/>
  <c r="AC46" i="62"/>
  <c r="A37" i="62"/>
  <c r="A47" i="62"/>
  <c r="AC36" i="62"/>
  <c r="Y37" i="62"/>
  <c r="AC42" i="62"/>
  <c r="Y43" i="62"/>
  <c r="A35" i="62"/>
  <c r="AT19" i="62"/>
  <c r="Y35" i="62"/>
  <c r="AC34" i="62"/>
  <c r="JW701" i="40"/>
  <c r="M36" i="58"/>
  <c r="M37" i="58" s="1"/>
  <c r="I36" i="58"/>
  <c r="I37" i="58" s="1"/>
  <c r="O36" i="58"/>
  <c r="O37" i="58" s="1"/>
  <c r="F36" i="58"/>
  <c r="L36" i="58"/>
  <c r="L37" i="58" s="1"/>
  <c r="G36" i="58"/>
  <c r="K36" i="58"/>
  <c r="K37" i="58" s="1"/>
  <c r="L38" i="58"/>
  <c r="L39" i="58" s="1"/>
  <c r="G38" i="58"/>
  <c r="J38" i="58"/>
  <c r="J39" i="58" s="1"/>
  <c r="AU19" i="62"/>
  <c r="AC48" i="62"/>
  <c r="Y49" i="62"/>
  <c r="AS19" i="62"/>
  <c r="AM9" i="61"/>
  <c r="C47" i="68"/>
  <c r="AD41" i="68"/>
  <c r="C35" i="69"/>
  <c r="AD41" i="69"/>
  <c r="AD45" i="69"/>
  <c r="AD47" i="69"/>
  <c r="AV16" i="67"/>
  <c r="AM10" i="61"/>
  <c r="C49" i="68"/>
  <c r="KT408" i="40"/>
  <c r="KU407" i="40"/>
  <c r="AG21" i="70" s="1"/>
  <c r="AF71" i="69"/>
  <c r="AG71" i="69" s="1"/>
  <c r="AF63" i="69"/>
  <c r="AG63" i="69" s="1"/>
  <c r="AF57" i="69"/>
  <c r="AG57" i="69" s="1"/>
  <c r="AF51" i="69"/>
  <c r="AG51" i="69" s="1"/>
  <c r="AF61" i="69"/>
  <c r="AG61" i="69" s="1"/>
  <c r="AF55" i="69"/>
  <c r="AG55" i="69" s="1"/>
  <c r="AF65" i="69"/>
  <c r="AG65" i="69" s="1"/>
  <c r="AF69" i="69"/>
  <c r="AG69" i="69" s="1"/>
  <c r="AF53" i="69"/>
  <c r="AG53" i="69" s="1"/>
  <c r="AF59" i="69"/>
  <c r="AG59" i="69" s="1"/>
  <c r="AF67" i="69"/>
  <c r="AG67" i="69" s="1"/>
  <c r="AF49" i="69"/>
  <c r="AG49" i="69" s="1"/>
  <c r="AF47" i="69"/>
  <c r="AG47" i="69" s="1"/>
  <c r="AF45" i="69"/>
  <c r="AG45" i="69" s="1"/>
  <c r="AF41" i="69"/>
  <c r="AG41" i="69" s="1"/>
  <c r="AF35" i="69"/>
  <c r="AG35" i="69" s="1"/>
  <c r="KT305" i="40"/>
  <c r="KU304" i="40"/>
  <c r="AM8" i="61"/>
  <c r="A51" i="69"/>
  <c r="C51" i="69"/>
  <c r="A53" i="69"/>
  <c r="A45" i="66"/>
  <c r="A39" i="66"/>
  <c r="A71" i="66"/>
  <c r="A49" i="66"/>
  <c r="A51" i="66"/>
  <c r="KR511" i="40"/>
  <c r="KS511" i="40"/>
  <c r="AD65" i="69"/>
  <c r="AD71" i="69"/>
  <c r="AD55" i="69"/>
  <c r="AD61" i="69"/>
  <c r="AD59" i="69"/>
  <c r="AD69" i="69"/>
  <c r="AD51" i="69"/>
  <c r="AD53" i="69"/>
  <c r="AD67" i="69"/>
  <c r="AD63" i="69"/>
  <c r="AD57" i="69"/>
  <c r="C57" i="69"/>
  <c r="A57" i="69"/>
  <c r="A61" i="69"/>
  <c r="A55" i="69"/>
  <c r="A69" i="69"/>
  <c r="C69" i="69"/>
  <c r="JU657" i="40"/>
  <c r="JV657" i="40" s="1"/>
  <c r="JW657" i="40" s="1"/>
  <c r="JS657" i="40"/>
  <c r="JT657" i="40"/>
  <c r="JX657" i="40" s="1"/>
  <c r="JU612" i="40"/>
  <c r="JV612" i="40" s="1"/>
  <c r="JW612" i="40" s="1"/>
  <c r="JT612" i="40"/>
  <c r="JX612" i="40" s="1"/>
  <c r="JS612" i="40"/>
  <c r="AL9" i="61"/>
  <c r="KR210" i="40"/>
  <c r="AS16" i="66" s="1"/>
  <c r="AV16" i="66" s="1"/>
  <c r="KS210" i="40"/>
  <c r="A65" i="66"/>
  <c r="AF41" i="67"/>
  <c r="AG41" i="67" s="1"/>
  <c r="AF39" i="67"/>
  <c r="AG39" i="67" s="1"/>
  <c r="AF55" i="67"/>
  <c r="AG55" i="67" s="1"/>
  <c r="AF51" i="67"/>
  <c r="AG51" i="67" s="1"/>
  <c r="AF59" i="67"/>
  <c r="AG59" i="67" s="1"/>
  <c r="AF47" i="67"/>
  <c r="AG47" i="67" s="1"/>
  <c r="AF43" i="67"/>
  <c r="AG43" i="67" s="1"/>
  <c r="AF67" i="67"/>
  <c r="AG67" i="67" s="1"/>
  <c r="AF61" i="67"/>
  <c r="AG61" i="67" s="1"/>
  <c r="AF37" i="67"/>
  <c r="AG37" i="67" s="1"/>
  <c r="AF49" i="67"/>
  <c r="AG49" i="67" s="1"/>
  <c r="AF65" i="67"/>
  <c r="AG65" i="67" s="1"/>
  <c r="AF53" i="67"/>
  <c r="AG53" i="67" s="1"/>
  <c r="AF57" i="67"/>
  <c r="AG57" i="67" s="1"/>
  <c r="AF69" i="67"/>
  <c r="AG69" i="67" s="1"/>
  <c r="AF71" i="67"/>
  <c r="AG71" i="67" s="1"/>
  <c r="AF63" i="67"/>
  <c r="AG63" i="67" s="1"/>
  <c r="AF45" i="67"/>
  <c r="AG45" i="67" s="1"/>
  <c r="KR226" i="40"/>
  <c r="KS226" i="40"/>
  <c r="A71" i="69"/>
  <c r="C65" i="69"/>
  <c r="A65" i="69"/>
  <c r="A35" i="66"/>
  <c r="JS610" i="40"/>
  <c r="JT610" i="40"/>
  <c r="JX610" i="40" s="1"/>
  <c r="JU610" i="40"/>
  <c r="JV610" i="40" s="1"/>
  <c r="JW610" i="40" s="1"/>
  <c r="AF61" i="66"/>
  <c r="AG61" i="66" s="1"/>
  <c r="AF57" i="66"/>
  <c r="AG57" i="66" s="1"/>
  <c r="AF65" i="66"/>
  <c r="AG65" i="66" s="1"/>
  <c r="AF55" i="66"/>
  <c r="AG55" i="66" s="1"/>
  <c r="AF69" i="66"/>
  <c r="AG69" i="66" s="1"/>
  <c r="AF71" i="66"/>
  <c r="AG71" i="66" s="1"/>
  <c r="AF63" i="66"/>
  <c r="AG63" i="66" s="1"/>
  <c r="AF67" i="66"/>
  <c r="AG67" i="66" s="1"/>
  <c r="AF59" i="66"/>
  <c r="AG59" i="66" s="1"/>
  <c r="AF53" i="66"/>
  <c r="AG53" i="66" s="1"/>
  <c r="AF51" i="66"/>
  <c r="AG51" i="66" s="1"/>
  <c r="AF49" i="66"/>
  <c r="AG49" i="66" s="1"/>
  <c r="AF41" i="66"/>
  <c r="AG41" i="66" s="1"/>
  <c r="AF39" i="66"/>
  <c r="AG39" i="66" s="1"/>
  <c r="AF37" i="66"/>
  <c r="AG37" i="66" s="1"/>
  <c r="AF35" i="66"/>
  <c r="AG35" i="66" s="1"/>
  <c r="KR515" i="40"/>
  <c r="KS515" i="40"/>
  <c r="A67" i="69"/>
  <c r="C67" i="69"/>
  <c r="A63" i="69"/>
  <c r="A59" i="69"/>
  <c r="C59" i="69"/>
  <c r="AD33" i="66"/>
  <c r="AC61" i="66"/>
  <c r="AC51" i="66"/>
  <c r="C51" i="66" s="1"/>
  <c r="AC63" i="66"/>
  <c r="C63" i="66" s="1"/>
  <c r="AC55" i="66"/>
  <c r="C55" i="66" s="1"/>
  <c r="AC57" i="66"/>
  <c r="AC71" i="66"/>
  <c r="C71" i="66" s="1"/>
  <c r="AC65" i="66"/>
  <c r="C65" i="66" s="1"/>
  <c r="AC59" i="66"/>
  <c r="C59" i="66" s="1"/>
  <c r="AC67" i="66"/>
  <c r="AC69" i="66"/>
  <c r="AC35" i="66"/>
  <c r="C35" i="66" s="1"/>
  <c r="AC53" i="66"/>
  <c r="C53" i="66" s="1"/>
  <c r="AC49" i="66"/>
  <c r="C49" i="66" s="1"/>
  <c r="AC45" i="66"/>
  <c r="C45" i="66" s="1"/>
  <c r="AC43" i="66"/>
  <c r="AC41" i="66"/>
  <c r="C41" i="66" s="1"/>
  <c r="AC39" i="66"/>
  <c r="C39" i="66" s="1"/>
  <c r="KR312" i="40"/>
  <c r="KS312" i="40"/>
  <c r="A59" i="66"/>
  <c r="A63" i="66"/>
  <c r="JU667" i="40"/>
  <c r="JV667" i="40" s="1"/>
  <c r="JW667" i="40" s="1"/>
  <c r="JT667" i="40"/>
  <c r="JX667" i="40" s="1"/>
  <c r="KO667" i="40"/>
  <c r="JS667" i="40"/>
  <c r="KR654" i="40"/>
  <c r="KS654" i="40"/>
  <c r="KR631" i="40"/>
  <c r="KS631" i="40"/>
  <c r="KS681" i="40"/>
  <c r="KR681" i="40"/>
  <c r="KS615" i="40"/>
  <c r="KR615" i="40"/>
  <c r="KO624" i="40"/>
  <c r="JU624" i="40"/>
  <c r="JV624" i="40" s="1"/>
  <c r="JW624" i="40" s="1"/>
  <c r="JT624" i="40"/>
  <c r="JX624" i="40" s="1"/>
  <c r="JS624" i="40"/>
  <c r="AV38" i="70"/>
  <c r="KR610" i="40"/>
  <c r="AS16" i="71" s="1"/>
  <c r="KS610" i="40"/>
  <c r="KS626" i="40"/>
  <c r="KR626" i="40"/>
  <c r="KR668" i="40"/>
  <c r="KS668" i="40"/>
  <c r="KS680" i="40"/>
  <c r="KR680" i="40"/>
  <c r="KR664" i="40"/>
  <c r="KS664" i="40"/>
  <c r="KS658" i="40"/>
  <c r="KR658" i="40"/>
  <c r="KR697" i="40"/>
  <c r="KS697" i="40"/>
  <c r="KR700" i="40"/>
  <c r="KS700" i="40"/>
  <c r="AF33" i="71"/>
  <c r="JV602" i="40"/>
  <c r="JW602" i="40" s="1"/>
  <c r="KS695" i="40"/>
  <c r="KR695" i="40"/>
  <c r="C67" i="68"/>
  <c r="A67" i="68"/>
  <c r="C37" i="68"/>
  <c r="KR371" i="40"/>
  <c r="KS371" i="40"/>
  <c r="KR701" i="40"/>
  <c r="KS701" i="40"/>
  <c r="KO644" i="40"/>
  <c r="JU644" i="40"/>
  <c r="JV644" i="40" s="1"/>
  <c r="JW644" i="40" s="1"/>
  <c r="AV58" i="70"/>
  <c r="JS644" i="40"/>
  <c r="JT644" i="40"/>
  <c r="JX644" i="40" s="1"/>
  <c r="C45" i="68"/>
  <c r="KS444" i="40"/>
  <c r="KR444" i="40"/>
  <c r="C43" i="68"/>
  <c r="KR648" i="40"/>
  <c r="KS648" i="40"/>
  <c r="KS605" i="40"/>
  <c r="KR605" i="40"/>
  <c r="G12" i="61" s="1"/>
  <c r="AN12" i="61" s="1"/>
  <c r="KR617" i="40"/>
  <c r="KS617" i="40"/>
  <c r="KS634" i="40"/>
  <c r="KR634" i="40"/>
  <c r="KR645" i="40"/>
  <c r="KS645" i="40"/>
  <c r="KR676" i="40"/>
  <c r="KS676" i="40"/>
  <c r="KS679" i="40"/>
  <c r="KR679" i="40"/>
  <c r="KS677" i="40"/>
  <c r="KR677" i="40"/>
  <c r="KR670" i="40"/>
  <c r="KS670" i="40"/>
  <c r="KS699" i="40"/>
  <c r="KR699" i="40"/>
  <c r="KR691" i="40"/>
  <c r="KS691" i="40"/>
  <c r="AE57" i="71"/>
  <c r="AI57" i="71" s="1"/>
  <c r="AE41" i="71"/>
  <c r="AI41" i="71" s="1"/>
  <c r="AE37" i="71"/>
  <c r="AI37" i="71" s="1"/>
  <c r="AE71" i="71"/>
  <c r="AI71" i="71" s="1"/>
  <c r="AE63" i="71"/>
  <c r="AI63" i="71" s="1"/>
  <c r="AE51" i="71"/>
  <c r="AI51" i="71" s="1"/>
  <c r="AE61" i="71"/>
  <c r="AI61" i="71" s="1"/>
  <c r="AE43" i="71"/>
  <c r="AI43" i="71" s="1"/>
  <c r="AE65" i="71"/>
  <c r="AI65" i="71" s="1"/>
  <c r="AE49" i="71"/>
  <c r="AI49" i="71" s="1"/>
  <c r="AE59" i="71"/>
  <c r="AI59" i="71" s="1"/>
  <c r="AE39" i="71"/>
  <c r="AI39" i="71" s="1"/>
  <c r="AE55" i="71"/>
  <c r="AI55" i="71" s="1"/>
  <c r="AE67" i="71"/>
  <c r="AI67" i="71" s="1"/>
  <c r="AE47" i="71"/>
  <c r="AI47" i="71" s="1"/>
  <c r="AE35" i="71"/>
  <c r="AI35" i="71" s="1"/>
  <c r="AE45" i="71"/>
  <c r="AI45" i="71" s="1"/>
  <c r="AM47" i="71"/>
  <c r="AM37" i="71"/>
  <c r="AN49" i="71"/>
  <c r="AL67" i="71"/>
  <c r="AM61" i="71"/>
  <c r="AM67" i="71"/>
  <c r="AN61" i="71"/>
  <c r="AN47" i="71"/>
  <c r="AN39" i="71"/>
  <c r="AL35" i="71"/>
  <c r="AM45" i="71"/>
  <c r="AM71" i="71"/>
  <c r="AL39" i="71"/>
  <c r="AM35" i="71"/>
  <c r="AL71" i="71"/>
  <c r="AM63" i="71"/>
  <c r="AN53" i="71"/>
  <c r="AM55" i="71"/>
  <c r="AL43" i="71"/>
  <c r="AM53" i="71"/>
  <c r="AL53" i="71"/>
  <c r="AN41" i="71"/>
  <c r="AN51" i="71"/>
  <c r="AL69" i="71"/>
  <c r="AM59" i="71"/>
  <c r="AN59" i="71"/>
  <c r="AM39" i="71"/>
  <c r="AL59" i="71"/>
  <c r="AL51" i="71"/>
  <c r="AE69" i="71"/>
  <c r="AI69" i="71" s="1"/>
  <c r="AL63" i="71"/>
  <c r="AL57" i="71"/>
  <c r="AL45" i="71"/>
  <c r="AN37" i="71"/>
  <c r="AM43" i="71"/>
  <c r="AN57" i="71"/>
  <c r="AN67" i="71"/>
  <c r="AN69" i="71"/>
  <c r="AN45" i="71"/>
  <c r="AN55" i="71"/>
  <c r="AL41" i="71"/>
  <c r="AM51" i="71"/>
  <c r="AL47" i="71"/>
  <c r="AL61" i="71"/>
  <c r="AE53" i="71"/>
  <c r="AI53" i="71" s="1"/>
  <c r="AM41" i="71"/>
  <c r="AM49" i="71"/>
  <c r="AN35" i="71"/>
  <c r="AL55" i="71"/>
  <c r="AN71" i="71"/>
  <c r="AN43" i="71"/>
  <c r="AL49" i="71"/>
  <c r="AM69" i="71"/>
  <c r="AL65" i="71"/>
  <c r="AN65" i="71"/>
  <c r="AL37" i="71"/>
  <c r="AM57" i="71"/>
  <c r="AN63" i="71"/>
  <c r="AM65" i="71"/>
  <c r="KS693" i="40"/>
  <c r="KR693" i="40"/>
  <c r="C55" i="68"/>
  <c r="A55" i="68"/>
  <c r="C51" i="68"/>
  <c r="A51" i="68"/>
  <c r="C63" i="68"/>
  <c r="A63" i="68"/>
  <c r="AV16" i="68"/>
  <c r="KR616" i="40"/>
  <c r="KS616" i="40"/>
  <c r="KR619" i="40"/>
  <c r="KS619" i="40"/>
  <c r="AL10" i="61"/>
  <c r="KS409" i="40"/>
  <c r="KR409" i="40"/>
  <c r="KR650" i="40"/>
  <c r="KS650" i="40"/>
  <c r="KR643" i="40"/>
  <c r="KS643" i="40"/>
  <c r="KO671" i="40"/>
  <c r="JU671" i="40"/>
  <c r="JV671" i="40" s="1"/>
  <c r="JW671" i="40" s="1"/>
  <c r="JS671" i="40"/>
  <c r="JT671" i="40"/>
  <c r="JX671" i="40" s="1"/>
  <c r="KO675" i="40"/>
  <c r="JT675" i="40"/>
  <c r="JX675" i="40" s="1"/>
  <c r="JU675" i="40"/>
  <c r="JV675" i="40" s="1"/>
  <c r="JW675" i="40" s="1"/>
  <c r="JS675" i="40"/>
  <c r="KS375" i="40"/>
  <c r="KR375" i="40"/>
  <c r="KS611" i="40"/>
  <c r="KR611" i="40"/>
  <c r="KO623" i="40"/>
  <c r="AV37" i="70"/>
  <c r="JU623" i="40"/>
  <c r="JV623" i="40" s="1"/>
  <c r="JW623" i="40" s="1"/>
  <c r="JT623" i="40"/>
  <c r="JX623" i="40" s="1"/>
  <c r="JS623" i="40"/>
  <c r="KR673" i="40"/>
  <c r="KS673" i="40"/>
  <c r="AD33" i="71"/>
  <c r="KS529" i="40"/>
  <c r="KR529" i="40"/>
  <c r="KS656" i="40"/>
  <c r="KR656" i="40"/>
  <c r="AF51" i="68"/>
  <c r="AG51" i="68" s="1"/>
  <c r="AF57" i="68"/>
  <c r="AG57" i="68" s="1"/>
  <c r="AF61" i="68"/>
  <c r="AG61" i="68" s="1"/>
  <c r="AF59" i="68"/>
  <c r="AG59" i="68" s="1"/>
  <c r="AF65" i="68"/>
  <c r="AG65" i="68" s="1"/>
  <c r="AF69" i="68"/>
  <c r="AG69" i="68" s="1"/>
  <c r="AF55" i="68"/>
  <c r="AG55" i="68" s="1"/>
  <c r="AF67" i="68"/>
  <c r="AG67" i="68" s="1"/>
  <c r="AF71" i="68"/>
  <c r="AG71" i="68" s="1"/>
  <c r="AF53" i="68"/>
  <c r="AG53" i="68" s="1"/>
  <c r="AF63" i="68"/>
  <c r="AG63" i="68" s="1"/>
  <c r="AF43" i="68"/>
  <c r="AG43" i="68" s="1"/>
  <c r="AF41" i="68"/>
  <c r="AG41" i="68" s="1"/>
  <c r="AF47" i="68"/>
  <c r="AG47" i="68" s="1"/>
  <c r="AF37" i="68"/>
  <c r="AG37" i="68" s="1"/>
  <c r="AF49" i="68"/>
  <c r="AG49" i="68" s="1"/>
  <c r="AF45" i="68"/>
  <c r="AG45" i="68" s="1"/>
  <c r="KR567" i="40"/>
  <c r="KS567" i="40"/>
  <c r="KR620" i="40"/>
  <c r="KS620" i="40"/>
  <c r="KR640" i="40"/>
  <c r="KS640" i="40"/>
  <c r="KS636" i="40"/>
  <c r="KR636" i="40"/>
  <c r="AV23" i="70"/>
  <c r="KO609" i="40"/>
  <c r="JS609" i="40"/>
  <c r="JT609" i="40"/>
  <c r="JX609" i="40" s="1"/>
  <c r="JU609" i="40"/>
  <c r="JV609" i="40" s="1"/>
  <c r="JW609" i="40" s="1"/>
  <c r="KR601" i="40"/>
  <c r="KS601" i="40"/>
  <c r="KR613" i="40"/>
  <c r="KS613" i="40"/>
  <c r="KS448" i="40"/>
  <c r="KR448" i="40"/>
  <c r="KR665" i="40"/>
  <c r="KS665" i="40"/>
  <c r="KR646" i="40"/>
  <c r="KS646" i="40"/>
  <c r="KS674" i="40"/>
  <c r="KR674" i="40"/>
  <c r="KR661" i="40"/>
  <c r="KS661" i="40"/>
  <c r="KS660" i="40"/>
  <c r="KR660" i="40"/>
  <c r="KR692" i="40"/>
  <c r="KS692" i="40"/>
  <c r="KS663" i="40"/>
  <c r="KR688" i="40"/>
  <c r="KS688" i="40"/>
  <c r="KS602" i="40"/>
  <c r="KR602" i="40"/>
  <c r="KR690" i="40"/>
  <c r="KS690" i="40"/>
  <c r="C65" i="68"/>
  <c r="A65" i="68"/>
  <c r="C59" i="68"/>
  <c r="A59" i="68"/>
  <c r="C53" i="68"/>
  <c r="A53" i="68"/>
  <c r="A61" i="68"/>
  <c r="C61" i="68"/>
  <c r="KR525" i="40"/>
  <c r="KS525" i="40"/>
  <c r="AL11" i="61"/>
  <c r="KR632" i="40"/>
  <c r="KS632" i="40"/>
  <c r="KS523" i="40"/>
  <c r="KR523" i="40"/>
  <c r="KO669" i="40"/>
  <c r="JS669" i="40"/>
  <c r="JT669" i="40"/>
  <c r="JX669" i="40" s="1"/>
  <c r="JU669" i="40"/>
  <c r="JV669" i="40" s="1"/>
  <c r="JW669" i="40" s="1"/>
  <c r="KR569" i="40"/>
  <c r="KS569" i="40"/>
  <c r="KR635" i="40"/>
  <c r="KS635" i="40"/>
  <c r="KS604" i="40"/>
  <c r="KR604" i="40"/>
  <c r="F12" i="61" s="1"/>
  <c r="AD55" i="68"/>
  <c r="AD61" i="68"/>
  <c r="AD59" i="68"/>
  <c r="AD65" i="68"/>
  <c r="AD53" i="68"/>
  <c r="AD67" i="68"/>
  <c r="AD69" i="68"/>
  <c r="AD51" i="68"/>
  <c r="AD57" i="68"/>
  <c r="AD71" i="68"/>
  <c r="AD63" i="68"/>
  <c r="AD45" i="68"/>
  <c r="KS622" i="40"/>
  <c r="KR622" i="40"/>
  <c r="KR627" i="40"/>
  <c r="KS627" i="40"/>
  <c r="AM11" i="61"/>
  <c r="AD37" i="68"/>
  <c r="KO625" i="40"/>
  <c r="AV39" i="70"/>
  <c r="JS625" i="40"/>
  <c r="JT625" i="40"/>
  <c r="JX625" i="40" s="1"/>
  <c r="JU625" i="40"/>
  <c r="JV625" i="40" s="1"/>
  <c r="JW625" i="40" s="1"/>
  <c r="KS653" i="40"/>
  <c r="KR653" i="40"/>
  <c r="KR633" i="40"/>
  <c r="KS633" i="40"/>
  <c r="KR224" i="40"/>
  <c r="KS224" i="40"/>
  <c r="KR651" i="40"/>
  <c r="KS651" i="40"/>
  <c r="KT204" i="40"/>
  <c r="KU203" i="40"/>
  <c r="KR621" i="40"/>
  <c r="KS621" i="40"/>
  <c r="KS608" i="40"/>
  <c r="KR608" i="40"/>
  <c r="KS655" i="40"/>
  <c r="KR655" i="40"/>
  <c r="KR672" i="40"/>
  <c r="KS672" i="40"/>
  <c r="KR662" i="40"/>
  <c r="KS662" i="40"/>
  <c r="KS657" i="40"/>
  <c r="KR657" i="40"/>
  <c r="KS694" i="40"/>
  <c r="KR694" i="40"/>
  <c r="KS696" i="40"/>
  <c r="KR696" i="40"/>
  <c r="KR698" i="40"/>
  <c r="KS698" i="40"/>
  <c r="KR689" i="40"/>
  <c r="KS689" i="40"/>
  <c r="KS606" i="40"/>
  <c r="KR606" i="40"/>
  <c r="A69" i="68"/>
  <c r="C69" i="68"/>
  <c r="KS607" i="40"/>
  <c r="KR607" i="40"/>
  <c r="KR642" i="40"/>
  <c r="KS642" i="40"/>
  <c r="KR452" i="40"/>
  <c r="KS452" i="40"/>
  <c r="KS527" i="40"/>
  <c r="KR527" i="40"/>
  <c r="C41" i="68"/>
  <c r="KR637" i="40"/>
  <c r="KS637" i="40"/>
  <c r="KS666" i="40"/>
  <c r="KR666" i="40"/>
  <c r="KS647" i="40"/>
  <c r="KR647" i="40"/>
  <c r="KS649" i="40"/>
  <c r="KR649" i="40"/>
  <c r="KR618" i="40"/>
  <c r="AU16" i="71" s="1"/>
  <c r="KS618" i="40"/>
  <c r="KS628" i="40"/>
  <c r="KR628" i="40"/>
  <c r="KO629" i="40"/>
  <c r="JT629" i="40"/>
  <c r="JX629" i="40" s="1"/>
  <c r="JS629" i="40"/>
  <c r="JU629" i="40"/>
  <c r="JV629" i="40" s="1"/>
  <c r="JW629" i="40" s="1"/>
  <c r="AV43" i="70"/>
  <c r="C71" i="68"/>
  <c r="C57" i="68"/>
  <c r="KS638" i="40"/>
  <c r="KR638" i="40"/>
  <c r="KR639" i="40"/>
  <c r="KS639" i="40"/>
  <c r="KR678" i="40"/>
  <c r="KS678" i="40"/>
  <c r="KR641" i="40"/>
  <c r="KS641" i="40"/>
  <c r="KS603" i="40"/>
  <c r="KR603" i="40"/>
  <c r="E12" i="61" s="1"/>
  <c r="KS652" i="40"/>
  <c r="KR652" i="40"/>
  <c r="KT605" i="40" l="1"/>
  <c r="KU604" i="40"/>
  <c r="AD37" i="67"/>
  <c r="AD71" i="67"/>
  <c r="AD65" i="67"/>
  <c r="C57" i="66"/>
  <c r="V45" i="59"/>
  <c r="I32" i="59"/>
  <c r="KR630" i="40"/>
  <c r="AD43" i="67"/>
  <c r="AD45" i="67"/>
  <c r="AD61" i="67"/>
  <c r="AD59" i="67"/>
  <c r="AD67" i="67"/>
  <c r="AD55" i="67"/>
  <c r="AD51" i="67"/>
  <c r="AD63" i="67"/>
  <c r="AD47" i="67"/>
  <c r="AD57" i="67"/>
  <c r="AD53" i="67"/>
  <c r="AD69" i="67"/>
  <c r="AD39" i="67"/>
  <c r="C37" i="66"/>
  <c r="KS659" i="40"/>
  <c r="C69" i="66"/>
  <c r="C67" i="66"/>
  <c r="C61" i="66"/>
  <c r="K41" i="58"/>
  <c r="AK40" i="58"/>
  <c r="KS612" i="40"/>
  <c r="AD41" i="67"/>
  <c r="AL12" i="61"/>
  <c r="Y57" i="59"/>
  <c r="X57" i="59"/>
  <c r="Z57" i="59"/>
  <c r="AA57" i="59"/>
  <c r="AB57" i="59"/>
  <c r="AC57" i="59"/>
  <c r="KT505" i="40"/>
  <c r="KU504" i="40"/>
  <c r="KS614" i="40"/>
  <c r="KR614" i="40"/>
  <c r="AT16" i="71" s="1"/>
  <c r="AV16" i="71" s="1"/>
  <c r="AC49" i="62"/>
  <c r="C49" i="62" s="1"/>
  <c r="AD48" i="62"/>
  <c r="AD49" i="62" s="1"/>
  <c r="F37" i="58"/>
  <c r="AK36" i="58" s="1"/>
  <c r="AD36" i="62"/>
  <c r="AD37" i="62" s="1"/>
  <c r="AC37" i="62"/>
  <c r="C37" i="62" s="1"/>
  <c r="JL387" i="40"/>
  <c r="JL286" i="40"/>
  <c r="JM286" i="40" s="1"/>
  <c r="JG686" i="40"/>
  <c r="JF686" i="40" s="1"/>
  <c r="JL586" i="40"/>
  <c r="JL384" i="40"/>
  <c r="JM384" i="40" s="1"/>
  <c r="JL484" i="40"/>
  <c r="JL483" i="40"/>
  <c r="JM483" i="40" s="1"/>
  <c r="AE34" i="68" s="1"/>
  <c r="AU20" i="62"/>
  <c r="AU21" i="62"/>
  <c r="AD34" i="62"/>
  <c r="AD35" i="62" s="1"/>
  <c r="AC35" i="62"/>
  <c r="C35" i="62" s="1"/>
  <c r="AC45" i="62"/>
  <c r="C45" i="62" s="1"/>
  <c r="AD44" i="62"/>
  <c r="AD45" i="62" s="1"/>
  <c r="AD40" i="62"/>
  <c r="AD41" i="62" s="1"/>
  <c r="AC41" i="62"/>
  <c r="C41" i="62" s="1"/>
  <c r="JL487" i="40"/>
  <c r="JM487" i="40" s="1"/>
  <c r="JL287" i="40"/>
  <c r="JM287" i="40" s="1"/>
  <c r="AE46" i="66" s="1"/>
  <c r="JG687" i="40"/>
  <c r="JF687" i="40" s="1"/>
  <c r="JL486" i="40"/>
  <c r="JL284" i="40"/>
  <c r="JG684" i="40"/>
  <c r="JF684" i="40" s="1"/>
  <c r="JL383" i="40"/>
  <c r="JL282" i="40"/>
  <c r="JM282" i="40" s="1"/>
  <c r="JG682" i="40"/>
  <c r="JF682" i="40" s="1"/>
  <c r="AS20" i="62"/>
  <c r="AS21" i="62"/>
  <c r="AV19" i="62"/>
  <c r="AD42" i="62"/>
  <c r="AD43" i="62" s="1"/>
  <c r="AC43" i="62"/>
  <c r="C43" i="62" s="1"/>
  <c r="AD38" i="62"/>
  <c r="AD39" i="62" s="1"/>
  <c r="AC39" i="62"/>
  <c r="C39" i="62" s="1"/>
  <c r="JL386" i="40"/>
  <c r="JM386" i="40" s="1"/>
  <c r="JL385" i="40"/>
  <c r="JM385" i="40" s="1"/>
  <c r="JL585" i="40"/>
  <c r="JM585" i="40" s="1"/>
  <c r="JL584" i="40"/>
  <c r="JM584" i="40" s="1"/>
  <c r="JL382" i="40"/>
  <c r="JL482" i="40"/>
  <c r="JM482" i="40" s="1"/>
  <c r="AK38" i="58"/>
  <c r="AT20" i="62"/>
  <c r="AT21" i="62"/>
  <c r="AD46" i="62"/>
  <c r="AD47" i="62" s="1"/>
  <c r="AC47" i="62"/>
  <c r="C47" i="62" s="1"/>
  <c r="JL587" i="40"/>
  <c r="JL285" i="40"/>
  <c r="JG685" i="40"/>
  <c r="JF685" i="40" s="1"/>
  <c r="JL485" i="40"/>
  <c r="JL283" i="40"/>
  <c r="JG683" i="40"/>
  <c r="JF683" i="40" s="1"/>
  <c r="JL583" i="40"/>
  <c r="JM583" i="40" s="1"/>
  <c r="AE36" i="69" s="1"/>
  <c r="JL582" i="40"/>
  <c r="JM582" i="40" s="1"/>
  <c r="AD35" i="66"/>
  <c r="AD67" i="66"/>
  <c r="AD65" i="66"/>
  <c r="AD69" i="66"/>
  <c r="AD63" i="66"/>
  <c r="AD57" i="66"/>
  <c r="AD59" i="66"/>
  <c r="AD71" i="66"/>
  <c r="AD53" i="66"/>
  <c r="AD51" i="66"/>
  <c r="AD61" i="66"/>
  <c r="AD55" i="66"/>
  <c r="AD45" i="66"/>
  <c r="AD49" i="66"/>
  <c r="AD39" i="66"/>
  <c r="AD41" i="66"/>
  <c r="KT306" i="40"/>
  <c r="KU305" i="40"/>
  <c r="KT409" i="40"/>
  <c r="KU408" i="40"/>
  <c r="AG22" i="70" s="1"/>
  <c r="AD37" i="66"/>
  <c r="V57" i="59"/>
  <c r="W57" i="59"/>
  <c r="KS625" i="40"/>
  <c r="KR625" i="40"/>
  <c r="KR675" i="40"/>
  <c r="KS675" i="40"/>
  <c r="C53" i="71"/>
  <c r="A53" i="71"/>
  <c r="C67" i="71"/>
  <c r="A67" i="71"/>
  <c r="A49" i="71"/>
  <c r="C49" i="71"/>
  <c r="C51" i="71"/>
  <c r="A51" i="71"/>
  <c r="C41" i="71"/>
  <c r="A41" i="71"/>
  <c r="KR644" i="40"/>
  <c r="KS644" i="40"/>
  <c r="KS624" i="40"/>
  <c r="KR624" i="40"/>
  <c r="KR669" i="40"/>
  <c r="KS669" i="40"/>
  <c r="AD43" i="71"/>
  <c r="AD67" i="71"/>
  <c r="AD61" i="71"/>
  <c r="AD55" i="71"/>
  <c r="AD39" i="71"/>
  <c r="AD41" i="71"/>
  <c r="AD71" i="71"/>
  <c r="AD37" i="71"/>
  <c r="AD45" i="71"/>
  <c r="AD35" i="71"/>
  <c r="AD65" i="71"/>
  <c r="AD57" i="71"/>
  <c r="AD51" i="71"/>
  <c r="AD63" i="71"/>
  <c r="AD69" i="71"/>
  <c r="AD47" i="71"/>
  <c r="AD59" i="71"/>
  <c r="AD49" i="71"/>
  <c r="AD53" i="71"/>
  <c r="KS671" i="40"/>
  <c r="KR671" i="40"/>
  <c r="C45" i="71"/>
  <c r="A45" i="71"/>
  <c r="A55" i="71"/>
  <c r="C55" i="71"/>
  <c r="A65" i="71"/>
  <c r="C65" i="71"/>
  <c r="A63" i="71"/>
  <c r="C63" i="71"/>
  <c r="C57" i="71"/>
  <c r="A57" i="71"/>
  <c r="KR667" i="40"/>
  <c r="KS667" i="40"/>
  <c r="KT205" i="40"/>
  <c r="KU204" i="40"/>
  <c r="AM12" i="61"/>
  <c r="KR623" i="40"/>
  <c r="KS623" i="40"/>
  <c r="C35" i="71"/>
  <c r="A35" i="71"/>
  <c r="A39" i="71"/>
  <c r="C39" i="71"/>
  <c r="C43" i="71"/>
  <c r="A43" i="71"/>
  <c r="A71" i="71"/>
  <c r="C71" i="71"/>
  <c r="KS629" i="40"/>
  <c r="KR629" i="40"/>
  <c r="KS609" i="40"/>
  <c r="KR609" i="40"/>
  <c r="C69" i="71"/>
  <c r="A69" i="71"/>
  <c r="A47" i="71"/>
  <c r="C47" i="71"/>
  <c r="A59" i="71"/>
  <c r="C59" i="71"/>
  <c r="C61" i="71"/>
  <c r="A61" i="71"/>
  <c r="C37" i="71"/>
  <c r="A37" i="71"/>
  <c r="AF41" i="71"/>
  <c r="AG41" i="71" s="1"/>
  <c r="AF57" i="71"/>
  <c r="AG57" i="71" s="1"/>
  <c r="AF53" i="71"/>
  <c r="AG53" i="71" s="1"/>
  <c r="AF51" i="71"/>
  <c r="AG51" i="71" s="1"/>
  <c r="AF71" i="71"/>
  <c r="AG71" i="71" s="1"/>
  <c r="AF55" i="71"/>
  <c r="AG55" i="71" s="1"/>
  <c r="AF45" i="71"/>
  <c r="AG45" i="71" s="1"/>
  <c r="AF47" i="71"/>
  <c r="AG47" i="71" s="1"/>
  <c r="AF35" i="71"/>
  <c r="AG35" i="71" s="1"/>
  <c r="AF49" i="71"/>
  <c r="AG49" i="71" s="1"/>
  <c r="AF61" i="71"/>
  <c r="AG61" i="71" s="1"/>
  <c r="AF59" i="71"/>
  <c r="AG59" i="71" s="1"/>
  <c r="AF69" i="71"/>
  <c r="AG69" i="71" s="1"/>
  <c r="AF39" i="71"/>
  <c r="AG39" i="71" s="1"/>
  <c r="AF43" i="71"/>
  <c r="AG43" i="71" s="1"/>
  <c r="AF65" i="71"/>
  <c r="AG65" i="71" s="1"/>
  <c r="AF37" i="71"/>
  <c r="AG37" i="71" s="1"/>
  <c r="AF63" i="71"/>
  <c r="AG63" i="71" s="1"/>
  <c r="AF67" i="71"/>
  <c r="AG67" i="71" s="1"/>
  <c r="KT606" i="40" l="1"/>
  <c r="KU605" i="40"/>
  <c r="AD34" i="68"/>
  <c r="AD35" i="68" s="1"/>
  <c r="AN35" i="68"/>
  <c r="AM35" i="68"/>
  <c r="AL35" i="68"/>
  <c r="AE35" i="68"/>
  <c r="AI35" i="68" s="1"/>
  <c r="AE37" i="69"/>
  <c r="AI37" i="69" s="1"/>
  <c r="AL37" i="69"/>
  <c r="AN37" i="69"/>
  <c r="AM37" i="69"/>
  <c r="AD36" i="69"/>
  <c r="AD37" i="69" s="1"/>
  <c r="AD46" i="66"/>
  <c r="AD47" i="66" s="1"/>
  <c r="AM47" i="66"/>
  <c r="AN47" i="66"/>
  <c r="AE47" i="66"/>
  <c r="AI47" i="66" s="1"/>
  <c r="A47" i="66" s="1"/>
  <c r="AL47" i="66"/>
  <c r="KT506" i="40"/>
  <c r="KU505" i="40"/>
  <c r="KI384" i="40"/>
  <c r="KJ384" i="40"/>
  <c r="KK384" i="40"/>
  <c r="JS384" i="40"/>
  <c r="KO384" i="40"/>
  <c r="JT384" i="40"/>
  <c r="JX384" i="40" s="1"/>
  <c r="JU384" i="40"/>
  <c r="JV384" i="40" s="1"/>
  <c r="JW384" i="40" s="1"/>
  <c r="KK385" i="40"/>
  <c r="KI385" i="40"/>
  <c r="KJ385" i="40"/>
  <c r="JS385" i="40"/>
  <c r="KO385" i="40"/>
  <c r="JT385" i="40"/>
  <c r="JX385" i="40" s="1"/>
  <c r="JU385" i="40"/>
  <c r="JV385" i="40" s="1"/>
  <c r="JW385" i="40" s="1"/>
  <c r="JS482" i="40"/>
  <c r="KJ482" i="40"/>
  <c r="KI482" i="40"/>
  <c r="KK482" i="40"/>
  <c r="KO482" i="40"/>
  <c r="JT482" i="40"/>
  <c r="JX482" i="40" s="1"/>
  <c r="JU482" i="40"/>
  <c r="JV482" i="40" s="1"/>
  <c r="JW482" i="40" s="1"/>
  <c r="KJ282" i="40"/>
  <c r="KK282" i="40"/>
  <c r="JS282" i="40"/>
  <c r="KO282" i="40"/>
  <c r="KI282" i="40"/>
  <c r="JT282" i="40"/>
  <c r="JX282" i="40" s="1"/>
  <c r="JU282" i="40"/>
  <c r="JV282" i="40" s="1"/>
  <c r="JW282" i="40" s="1"/>
  <c r="JS583" i="40"/>
  <c r="KJ583" i="40"/>
  <c r="KK583" i="40"/>
  <c r="KI583" i="40"/>
  <c r="KO583" i="40"/>
  <c r="JT583" i="40"/>
  <c r="JX583" i="40" s="1"/>
  <c r="JU583" i="40"/>
  <c r="JL683" i="40"/>
  <c r="KK585" i="40"/>
  <c r="JS585" i="40"/>
  <c r="KI585" i="40"/>
  <c r="KO585" i="40"/>
  <c r="KJ585" i="40"/>
  <c r="JT585" i="40"/>
  <c r="JX585" i="40" s="1"/>
  <c r="JU585" i="40"/>
  <c r="JV585" i="40" s="1"/>
  <c r="JW585" i="40" s="1"/>
  <c r="JS386" i="40"/>
  <c r="KJ386" i="40"/>
  <c r="KI386" i="40"/>
  <c r="KK386" i="40"/>
  <c r="KO386" i="40"/>
  <c r="JT386" i="40"/>
  <c r="JX386" i="40" s="1"/>
  <c r="JU386" i="40"/>
  <c r="JV386" i="40" s="1"/>
  <c r="JW386" i="40" s="1"/>
  <c r="JL684" i="40"/>
  <c r="KK487" i="40"/>
  <c r="JS487" i="40"/>
  <c r="KO487" i="40"/>
  <c r="KI487" i="40"/>
  <c r="KJ487" i="40"/>
  <c r="JT487" i="40"/>
  <c r="JX487" i="40" s="1"/>
  <c r="JU487" i="40"/>
  <c r="JV487" i="40" s="1"/>
  <c r="JW487" i="40" s="1"/>
  <c r="KK582" i="40"/>
  <c r="KJ582" i="40"/>
  <c r="JS582" i="40"/>
  <c r="KI582" i="40"/>
  <c r="KO582" i="40"/>
  <c r="JT582" i="40"/>
  <c r="JX582" i="40" s="1"/>
  <c r="JU582" i="40"/>
  <c r="JV582" i="40" s="1"/>
  <c r="JW582" i="40" s="1"/>
  <c r="JL685" i="40"/>
  <c r="JM382" i="40"/>
  <c r="JM383" i="40"/>
  <c r="AE34" i="67" s="1"/>
  <c r="KI287" i="40"/>
  <c r="KO287" i="40"/>
  <c r="JS287" i="40"/>
  <c r="KJ287" i="40"/>
  <c r="KK287" i="40"/>
  <c r="JT287" i="40"/>
  <c r="JX287" i="40" s="1"/>
  <c r="JU287" i="40"/>
  <c r="JM387" i="40"/>
  <c r="JM485" i="40"/>
  <c r="JM285" i="40"/>
  <c r="JM486" i="40"/>
  <c r="AE38" i="68" s="1"/>
  <c r="JL687" i="40"/>
  <c r="KI483" i="40"/>
  <c r="KO483" i="40"/>
  <c r="JS483" i="40"/>
  <c r="KJ483" i="40"/>
  <c r="KK483" i="40"/>
  <c r="JT483" i="40"/>
  <c r="JX483" i="40" s="1"/>
  <c r="JU483" i="40"/>
  <c r="KK286" i="40"/>
  <c r="JS286" i="40"/>
  <c r="KO286" i="40"/>
  <c r="KI286" i="40"/>
  <c r="KJ286" i="40"/>
  <c r="JT286" i="40"/>
  <c r="JX286" i="40" s="1"/>
  <c r="JU286" i="40"/>
  <c r="JV286" i="40" s="1"/>
  <c r="JW286" i="40" s="1"/>
  <c r="JM283" i="40"/>
  <c r="JM587" i="40"/>
  <c r="KI584" i="40"/>
  <c r="KO584" i="40"/>
  <c r="KK584" i="40"/>
  <c r="KJ584" i="40"/>
  <c r="JS584" i="40"/>
  <c r="JT584" i="40"/>
  <c r="JX584" i="40" s="1"/>
  <c r="JU584" i="40"/>
  <c r="JV584" i="40" s="1"/>
  <c r="JW584" i="40" s="1"/>
  <c r="JL682" i="40"/>
  <c r="JM284" i="40"/>
  <c r="AE42" i="66" s="1"/>
  <c r="JM484" i="40"/>
  <c r="JM586" i="40"/>
  <c r="AE38" i="69" s="1"/>
  <c r="JL686" i="40"/>
  <c r="KT307" i="40"/>
  <c r="KU306" i="40"/>
  <c r="Y20" i="70" s="1"/>
  <c r="KT410" i="40"/>
  <c r="KU409" i="40"/>
  <c r="KT206" i="40"/>
  <c r="KU205" i="40"/>
  <c r="KT607" i="40" l="1"/>
  <c r="KU606" i="40"/>
  <c r="JV483" i="40"/>
  <c r="JW483" i="40" s="1"/>
  <c r="AF34" i="68"/>
  <c r="AF35" i="68" s="1"/>
  <c r="AG35" i="68" s="1"/>
  <c r="AN39" i="68"/>
  <c r="AE39" i="68"/>
  <c r="AI39" i="68" s="1"/>
  <c r="AL39" i="68"/>
  <c r="AD38" i="68"/>
  <c r="AD39" i="68" s="1"/>
  <c r="AM39" i="68"/>
  <c r="JV583" i="40"/>
  <c r="JW583" i="40" s="1"/>
  <c r="AF36" i="69"/>
  <c r="AF37" i="69" s="1"/>
  <c r="AG37" i="69" s="1"/>
  <c r="AM39" i="69"/>
  <c r="AE39" i="69"/>
  <c r="AI39" i="69" s="1"/>
  <c r="AD38" i="69"/>
  <c r="AD39" i="69" s="1"/>
  <c r="AN39" i="69"/>
  <c r="AL39" i="69"/>
  <c r="A37" i="69"/>
  <c r="C37" i="69"/>
  <c r="AN35" i="67"/>
  <c r="AE35" i="67"/>
  <c r="AI35" i="67" s="1"/>
  <c r="AM35" i="67"/>
  <c r="AL35" i="67"/>
  <c r="AD34" i="67"/>
  <c r="AD35" i="67" s="1"/>
  <c r="A35" i="68"/>
  <c r="C35" i="68"/>
  <c r="JV287" i="40"/>
  <c r="JW287" i="40" s="1"/>
  <c r="AF46" i="66"/>
  <c r="AF47" i="66" s="1"/>
  <c r="AG47" i="66" s="1"/>
  <c r="AD42" i="66"/>
  <c r="AD43" i="66" s="1"/>
  <c r="AN43" i="66"/>
  <c r="AM43" i="66"/>
  <c r="AE43" i="66"/>
  <c r="AI43" i="66" s="1"/>
  <c r="AL43" i="66"/>
  <c r="JM686" i="40"/>
  <c r="JT686" i="40" s="1"/>
  <c r="JX686" i="40" s="1"/>
  <c r="KU506" i="40"/>
  <c r="AO20" i="70" s="1"/>
  <c r="KT507" i="40"/>
  <c r="JK684" i="40"/>
  <c r="KR282" i="40"/>
  <c r="KS282" i="40"/>
  <c r="JS284" i="40"/>
  <c r="KJ284" i="40"/>
  <c r="KK284" i="40"/>
  <c r="KO284" i="40"/>
  <c r="KI284" i="40"/>
  <c r="JM684" i="40"/>
  <c r="JT284" i="40"/>
  <c r="JX284" i="40" s="1"/>
  <c r="JU284" i="40"/>
  <c r="KS483" i="40"/>
  <c r="KR483" i="40"/>
  <c r="JS486" i="40"/>
  <c r="KJ486" i="40"/>
  <c r="KO486" i="40"/>
  <c r="KI486" i="40"/>
  <c r="KK486" i="40"/>
  <c r="JT486" i="40"/>
  <c r="JX486" i="40" s="1"/>
  <c r="JU486" i="40"/>
  <c r="JS382" i="40"/>
  <c r="KJ382" i="40"/>
  <c r="KO382" i="40"/>
  <c r="KI382" i="40"/>
  <c r="KK382" i="40"/>
  <c r="JT382" i="40"/>
  <c r="JX382" i="40" s="1"/>
  <c r="JU382" i="40"/>
  <c r="JV382" i="40" s="1"/>
  <c r="JW382" i="40" s="1"/>
  <c r="KR487" i="40"/>
  <c r="KS487" i="40"/>
  <c r="JK683" i="40"/>
  <c r="KK485" i="40"/>
  <c r="JS485" i="40"/>
  <c r="KO485" i="40"/>
  <c r="KI485" i="40"/>
  <c r="KJ485" i="40"/>
  <c r="JT485" i="40"/>
  <c r="JX485" i="40" s="1"/>
  <c r="JU485" i="40"/>
  <c r="JV485" i="40" s="1"/>
  <c r="JW485" i="40" s="1"/>
  <c r="KK586" i="40"/>
  <c r="KJ586" i="40"/>
  <c r="KI586" i="40"/>
  <c r="JS586" i="40"/>
  <c r="KO586" i="40"/>
  <c r="JT586" i="40"/>
  <c r="JX586" i="40" s="1"/>
  <c r="JU586" i="40"/>
  <c r="JK682" i="40"/>
  <c r="KK587" i="40"/>
  <c r="KO587" i="40"/>
  <c r="KI587" i="40"/>
  <c r="KJ587" i="40"/>
  <c r="JS587" i="40"/>
  <c r="JT587" i="40"/>
  <c r="JX587" i="40" s="1"/>
  <c r="JU587" i="40"/>
  <c r="JV587" i="40" s="1"/>
  <c r="JW587" i="40" s="1"/>
  <c r="KI387" i="40"/>
  <c r="KO387" i="40"/>
  <c r="KJ387" i="40"/>
  <c r="KK387" i="40"/>
  <c r="JS387" i="40"/>
  <c r="JT387" i="40"/>
  <c r="JX387" i="40" s="1"/>
  <c r="JU387" i="40"/>
  <c r="JV387" i="40" s="1"/>
  <c r="JW387" i="40" s="1"/>
  <c r="KI383" i="40"/>
  <c r="KO383" i="40"/>
  <c r="KJ383" i="40"/>
  <c r="KK383" i="40"/>
  <c r="JS383" i="40"/>
  <c r="JT383" i="40"/>
  <c r="JX383" i="40" s="1"/>
  <c r="JU383" i="40"/>
  <c r="JK685" i="40"/>
  <c r="KR386" i="40"/>
  <c r="KS386" i="40"/>
  <c r="KR583" i="40"/>
  <c r="KS583" i="40"/>
  <c r="JM682" i="40"/>
  <c r="JK686" i="40"/>
  <c r="KR582" i="40"/>
  <c r="KS582" i="40"/>
  <c r="JS484" i="40"/>
  <c r="KO484" i="40"/>
  <c r="KK484" i="40"/>
  <c r="KI484" i="40"/>
  <c r="KJ484" i="40"/>
  <c r="JT484" i="40"/>
  <c r="JX484" i="40" s="1"/>
  <c r="JU484" i="40"/>
  <c r="JV484" i="40" s="1"/>
  <c r="JW484" i="40" s="1"/>
  <c r="KS584" i="40"/>
  <c r="KR584" i="40"/>
  <c r="KK283" i="40"/>
  <c r="KJ283" i="40"/>
  <c r="KI283" i="40"/>
  <c r="JS283" i="40"/>
  <c r="KO283" i="40"/>
  <c r="JM683" i="40"/>
  <c r="JT283" i="40"/>
  <c r="JX283" i="40" s="1"/>
  <c r="JU283" i="40"/>
  <c r="JV283" i="40" s="1"/>
  <c r="JW283" i="40" s="1"/>
  <c r="KR286" i="40"/>
  <c r="KS286" i="40"/>
  <c r="JK687" i="40"/>
  <c r="KI285" i="40"/>
  <c r="KO285" i="40"/>
  <c r="KK285" i="40"/>
  <c r="JS285" i="40"/>
  <c r="KJ285" i="40"/>
  <c r="JM685" i="40"/>
  <c r="JT285" i="40"/>
  <c r="JX285" i="40" s="1"/>
  <c r="JU285" i="40"/>
  <c r="JV285" i="40" s="1"/>
  <c r="JW285" i="40" s="1"/>
  <c r="JM687" i="40"/>
  <c r="KR287" i="40"/>
  <c r="KS287" i="40"/>
  <c r="KR585" i="40"/>
  <c r="KS585" i="40"/>
  <c r="KS482" i="40"/>
  <c r="KR482" i="40"/>
  <c r="KR385" i="40"/>
  <c r="KS385" i="40"/>
  <c r="KR384" i="40"/>
  <c r="KS384" i="40"/>
  <c r="KV409" i="40"/>
  <c r="AG23" i="70"/>
  <c r="KT411" i="40"/>
  <c r="KU410" i="40"/>
  <c r="KT308" i="40"/>
  <c r="KU307" i="40"/>
  <c r="Y21" i="70" s="1"/>
  <c r="KT207" i="40"/>
  <c r="KU206" i="40"/>
  <c r="Q20" i="70" s="1"/>
  <c r="KT608" i="40" l="1"/>
  <c r="KU607" i="40"/>
  <c r="A39" i="68"/>
  <c r="C39" i="68"/>
  <c r="JV383" i="40"/>
  <c r="JW383" i="40" s="1"/>
  <c r="AF34" i="67"/>
  <c r="AF35" i="67" s="1"/>
  <c r="AG35" i="67" s="1"/>
  <c r="A39" i="69"/>
  <c r="C39" i="69"/>
  <c r="A35" i="67"/>
  <c r="C35" i="67"/>
  <c r="JV586" i="40"/>
  <c r="JW586" i="40" s="1"/>
  <c r="AF38" i="69"/>
  <c r="AF39" i="69" s="1"/>
  <c r="AG39" i="69" s="1"/>
  <c r="JV486" i="40"/>
  <c r="JW486" i="40" s="1"/>
  <c r="AF38" i="68"/>
  <c r="AF39" i="68" s="1"/>
  <c r="AG39" i="68" s="1"/>
  <c r="JS686" i="40"/>
  <c r="A43" i="66"/>
  <c r="C43" i="66"/>
  <c r="JV284" i="40"/>
  <c r="JW284" i="40" s="1"/>
  <c r="AF42" i="66"/>
  <c r="AF43" i="66" s="1"/>
  <c r="AG43" i="66" s="1"/>
  <c r="KO686" i="40"/>
  <c r="KR686" i="40" s="1"/>
  <c r="JU686" i="40"/>
  <c r="JV686" i="40" s="1"/>
  <c r="JW686" i="40" s="1"/>
  <c r="KT508" i="40"/>
  <c r="KU507" i="40"/>
  <c r="AO21" i="70" s="1"/>
  <c r="JS683" i="40"/>
  <c r="JT683" i="40"/>
  <c r="JX683" i="40" s="1"/>
  <c r="JU683" i="40"/>
  <c r="JV683" i="40" s="1"/>
  <c r="JW683" i="40" s="1"/>
  <c r="KO683" i="40"/>
  <c r="JS682" i="40"/>
  <c r="JT682" i="40"/>
  <c r="JX682" i="40" s="1"/>
  <c r="JU682" i="40"/>
  <c r="JV682" i="40" s="1"/>
  <c r="JW682" i="40" s="1"/>
  <c r="KO682" i="40"/>
  <c r="KR586" i="40"/>
  <c r="KS586" i="40"/>
  <c r="KR284" i="40"/>
  <c r="KS284" i="40"/>
  <c r="KR283" i="40"/>
  <c r="KS283" i="40"/>
  <c r="KS383" i="40"/>
  <c r="KR383" i="40"/>
  <c r="KS387" i="40"/>
  <c r="KR387" i="40"/>
  <c r="KS587" i="40"/>
  <c r="KR587" i="40"/>
  <c r="KS686" i="40"/>
  <c r="KR484" i="40"/>
  <c r="KS484" i="40"/>
  <c r="KR485" i="40"/>
  <c r="KS485" i="40"/>
  <c r="KR382" i="40"/>
  <c r="KS382" i="40"/>
  <c r="KR486" i="40"/>
  <c r="KS486" i="40"/>
  <c r="JS684" i="40"/>
  <c r="JT684" i="40"/>
  <c r="JX684" i="40" s="1"/>
  <c r="JU684" i="40"/>
  <c r="JV684" i="40" s="1"/>
  <c r="JW684" i="40" s="1"/>
  <c r="KO684" i="40"/>
  <c r="JS687" i="40"/>
  <c r="JT687" i="40"/>
  <c r="JX687" i="40" s="1"/>
  <c r="JU687" i="40"/>
  <c r="JV687" i="40" s="1"/>
  <c r="JW687" i="40" s="1"/>
  <c r="KO687" i="40"/>
  <c r="JS685" i="40"/>
  <c r="JT685" i="40"/>
  <c r="JX685" i="40" s="1"/>
  <c r="JU685" i="40"/>
  <c r="JV685" i="40" s="1"/>
  <c r="JW685" i="40" s="1"/>
  <c r="KO685" i="40"/>
  <c r="KS285" i="40"/>
  <c r="KR285" i="40"/>
  <c r="KV410" i="40"/>
  <c r="AG24" i="70"/>
  <c r="KT309" i="40"/>
  <c r="KU308" i="40"/>
  <c r="Y22" i="70" s="1"/>
  <c r="KT412" i="40"/>
  <c r="KU411" i="40"/>
  <c r="KT208" i="40"/>
  <c r="KU207" i="40"/>
  <c r="Q21" i="70" s="1"/>
  <c r="KT609" i="40" l="1"/>
  <c r="KU608" i="40"/>
  <c r="KT509" i="40"/>
  <c r="KU508" i="40"/>
  <c r="AO22" i="70" s="1"/>
  <c r="KS682" i="40"/>
  <c r="KR682" i="40"/>
  <c r="KR683" i="40"/>
  <c r="KS683" i="40"/>
  <c r="KS685" i="40"/>
  <c r="KR685" i="40"/>
  <c r="KS687" i="40"/>
  <c r="KR687" i="40"/>
  <c r="KS684" i="40"/>
  <c r="KR684" i="40"/>
  <c r="KV411" i="40"/>
  <c r="AG25" i="70"/>
  <c r="AG11" i="70"/>
  <c r="KT413" i="40"/>
  <c r="KU412" i="40"/>
  <c r="KT310" i="40"/>
  <c r="KU309" i="40"/>
  <c r="KT209" i="40"/>
  <c r="KU208" i="40"/>
  <c r="Q22" i="70" s="1"/>
  <c r="KT610" i="40" l="1"/>
  <c r="KU609" i="40"/>
  <c r="KV609" i="40" s="1"/>
  <c r="KT510" i="40"/>
  <c r="KU509" i="40"/>
  <c r="KV309" i="40"/>
  <c r="Y23" i="70"/>
  <c r="KT414" i="40"/>
  <c r="KU413" i="40"/>
  <c r="KT311" i="40"/>
  <c r="KU310" i="40"/>
  <c r="KV412" i="40"/>
  <c r="AG26" i="70"/>
  <c r="AG12" i="70"/>
  <c r="KT210" i="40"/>
  <c r="KU209" i="40"/>
  <c r="KT611" i="40" l="1"/>
  <c r="KU610" i="40"/>
  <c r="KV610" i="40" s="1"/>
  <c r="KV509" i="40"/>
  <c r="AO23" i="70"/>
  <c r="KT511" i="40"/>
  <c r="KU510" i="40"/>
  <c r="KV310" i="40"/>
  <c r="Y24" i="70"/>
  <c r="KV413" i="40"/>
  <c r="AG27" i="70"/>
  <c r="KT312" i="40"/>
  <c r="KU311" i="40"/>
  <c r="KT415" i="40"/>
  <c r="KU414" i="40"/>
  <c r="KT211" i="40"/>
  <c r="KU210" i="40"/>
  <c r="KV209" i="40"/>
  <c r="Q23" i="70"/>
  <c r="KU611" i="40" l="1"/>
  <c r="KV611" i="40" s="1"/>
  <c r="KT612" i="40"/>
  <c r="KV510" i="40"/>
  <c r="AO24" i="70"/>
  <c r="KT512" i="40"/>
  <c r="KU511" i="40"/>
  <c r="KV414" i="40"/>
  <c r="AG28" i="70"/>
  <c r="KT416" i="40"/>
  <c r="KU415" i="40"/>
  <c r="KV311" i="40"/>
  <c r="Y25" i="70"/>
  <c r="Y11" i="70"/>
  <c r="KT313" i="40"/>
  <c r="KU312" i="40"/>
  <c r="KV210" i="40"/>
  <c r="Q24" i="70"/>
  <c r="KT212" i="40"/>
  <c r="KU211" i="40"/>
  <c r="KU612" i="40" l="1"/>
  <c r="KV612" i="40" s="1"/>
  <c r="KT613" i="40"/>
  <c r="AO25" i="70"/>
  <c r="AO11" i="70"/>
  <c r="KV511" i="40"/>
  <c r="KT513" i="40"/>
  <c r="KU512" i="40"/>
  <c r="KT417" i="40"/>
  <c r="KU416" i="40"/>
  <c r="Y12" i="70"/>
  <c r="KV312" i="40"/>
  <c r="Y26" i="70"/>
  <c r="KT314" i="40"/>
  <c r="KU313" i="40"/>
  <c r="KV415" i="40"/>
  <c r="AG29" i="70"/>
  <c r="AG13" i="70"/>
  <c r="KV211" i="40"/>
  <c r="Q25" i="70"/>
  <c r="Q11" i="70"/>
  <c r="KT213" i="40"/>
  <c r="KU212" i="40"/>
  <c r="KT614" i="40" l="1"/>
  <c r="KU613" i="40"/>
  <c r="KV613" i="40" s="1"/>
  <c r="KT514" i="40"/>
  <c r="KU513" i="40"/>
  <c r="AO12" i="70"/>
  <c r="AO26" i="70"/>
  <c r="KV512" i="40"/>
  <c r="KV416" i="40"/>
  <c r="AG30" i="70"/>
  <c r="KT315" i="40"/>
  <c r="KU314" i="40"/>
  <c r="KT418" i="40"/>
  <c r="KU417" i="40"/>
  <c r="KV313" i="40"/>
  <c r="Y27" i="70"/>
  <c r="KV212" i="40"/>
  <c r="Q26" i="70"/>
  <c r="Q12" i="70"/>
  <c r="KT214" i="40"/>
  <c r="KU213" i="40"/>
  <c r="KU614" i="40" l="1"/>
  <c r="KV614" i="40" s="1"/>
  <c r="KT615" i="40"/>
  <c r="KT515" i="40"/>
  <c r="KU514" i="40"/>
  <c r="KV513" i="40"/>
  <c r="AO27" i="70"/>
  <c r="KT316" i="40"/>
  <c r="KU315" i="40"/>
  <c r="KV417" i="40"/>
  <c r="AG31" i="70"/>
  <c r="AG15" i="70"/>
  <c r="KT419" i="40"/>
  <c r="KU418" i="40"/>
  <c r="Y28" i="70"/>
  <c r="KV314" i="40"/>
  <c r="KV213" i="40"/>
  <c r="Q27" i="70"/>
  <c r="KT215" i="40"/>
  <c r="KU214" i="40"/>
  <c r="KT616" i="40" l="1"/>
  <c r="KU615" i="40"/>
  <c r="KV615" i="40" s="1"/>
  <c r="KV514" i="40"/>
  <c r="AO28" i="70"/>
  <c r="KT516" i="40"/>
  <c r="KU515" i="40"/>
  <c r="AG32" i="70"/>
  <c r="AG16" i="70"/>
  <c r="AJ15" i="70" s="1"/>
  <c r="KV418" i="40"/>
  <c r="KV315" i="40"/>
  <c r="Y29" i="70"/>
  <c r="Y13" i="70"/>
  <c r="KT420" i="40"/>
  <c r="KU419" i="40"/>
  <c r="AR11" i="70"/>
  <c r="KT317" i="40"/>
  <c r="KU316" i="40"/>
  <c r="Q28" i="70"/>
  <c r="KV214" i="40"/>
  <c r="KT216" i="40"/>
  <c r="KU215" i="40"/>
  <c r="KT617" i="40" l="1"/>
  <c r="KU616" i="40"/>
  <c r="KV616" i="40" s="1"/>
  <c r="AJ13" i="70"/>
  <c r="AO29" i="70"/>
  <c r="KV515" i="40"/>
  <c r="AO13" i="70"/>
  <c r="KT517" i="40"/>
  <c r="KU516" i="40"/>
  <c r="KV316" i="40"/>
  <c r="Y30" i="70"/>
  <c r="KT421" i="40"/>
  <c r="KU420" i="40"/>
  <c r="AG34" i="70" s="1"/>
  <c r="AB13" i="70"/>
  <c r="AB11" i="70"/>
  <c r="AB12" i="70"/>
  <c r="AG33" i="70"/>
  <c r="AG17" i="70"/>
  <c r="KT318" i="40"/>
  <c r="KU317" i="40"/>
  <c r="AJ16" i="70"/>
  <c r="KT217" i="40"/>
  <c r="KU216" i="40"/>
  <c r="KV215" i="40"/>
  <c r="Q29" i="70"/>
  <c r="Q13" i="70"/>
  <c r="KT618" i="40" l="1"/>
  <c r="KU617" i="40"/>
  <c r="KV617" i="40" s="1"/>
  <c r="KU517" i="40"/>
  <c r="KT518" i="40"/>
  <c r="KV516" i="40"/>
  <c r="AO30" i="70"/>
  <c r="KT319" i="40"/>
  <c r="KU318" i="40"/>
  <c r="AJ17" i="70"/>
  <c r="KT422" i="40"/>
  <c r="KU421" i="40"/>
  <c r="AG35" i="70" s="1"/>
  <c r="KV317" i="40"/>
  <c r="Y31" i="70"/>
  <c r="Y15" i="70"/>
  <c r="KV216" i="40"/>
  <c r="Q30" i="70"/>
  <c r="T13" i="70"/>
  <c r="T12" i="70"/>
  <c r="T11" i="70"/>
  <c r="KT218" i="40"/>
  <c r="KU217" i="40"/>
  <c r="KT619" i="40" l="1"/>
  <c r="KU618" i="40"/>
  <c r="KV618" i="40" s="1"/>
  <c r="KT519" i="40"/>
  <c r="KU518" i="40"/>
  <c r="KV517" i="40"/>
  <c r="AO31" i="70"/>
  <c r="AO15" i="70"/>
  <c r="KT320" i="40"/>
  <c r="KU319" i="40"/>
  <c r="KT423" i="40"/>
  <c r="KU422" i="40"/>
  <c r="AG36" i="70" s="1"/>
  <c r="KV318" i="40"/>
  <c r="Y32" i="70"/>
  <c r="Y16" i="70"/>
  <c r="KV217" i="40"/>
  <c r="Q31" i="70"/>
  <c r="Q15" i="70"/>
  <c r="KT219" i="40"/>
  <c r="KU218" i="40"/>
  <c r="KT620" i="40" l="1"/>
  <c r="KU619" i="40"/>
  <c r="AO32" i="70"/>
  <c r="AO16" i="70"/>
  <c r="AR16" i="70" s="1"/>
  <c r="KV518" i="40"/>
  <c r="KU519" i="40"/>
  <c r="KT520" i="40"/>
  <c r="KT424" i="40"/>
  <c r="KU423" i="40"/>
  <c r="AG37" i="70" s="1"/>
  <c r="Y33" i="70"/>
  <c r="Y17" i="70"/>
  <c r="KT321" i="40"/>
  <c r="KU320" i="40"/>
  <c r="Y34" i="70" s="1"/>
  <c r="KT220" i="40"/>
  <c r="KU219" i="40"/>
  <c r="Q32" i="70"/>
  <c r="KV218" i="40"/>
  <c r="AM19" i="69" s="1"/>
  <c r="Q16" i="70"/>
  <c r="KT621" i="40" l="1"/>
  <c r="KU620" i="40"/>
  <c r="AR15" i="70"/>
  <c r="AR13" i="70"/>
  <c r="KT521" i="40"/>
  <c r="KU520" i="40"/>
  <c r="AO34" i="70" s="1"/>
  <c r="AO33" i="70"/>
  <c r="AO17" i="70"/>
  <c r="AR17" i="70" s="1"/>
  <c r="AB17" i="70"/>
  <c r="KT322" i="40"/>
  <c r="KU321" i="40"/>
  <c r="Y35" i="70" s="1"/>
  <c r="KT425" i="40"/>
  <c r="KU424" i="40"/>
  <c r="AG38" i="70" s="1"/>
  <c r="AM19" i="71"/>
  <c r="AM19" i="62"/>
  <c r="AM19" i="58"/>
  <c r="AM19" i="66"/>
  <c r="AM19" i="67"/>
  <c r="Q33" i="70"/>
  <c r="Q17" i="70"/>
  <c r="AM19" i="68"/>
  <c r="KT221" i="40"/>
  <c r="KU220" i="40"/>
  <c r="Q34" i="70" s="1"/>
  <c r="KT622" i="40" l="1"/>
  <c r="KU621" i="40"/>
  <c r="KU521" i="40"/>
  <c r="AO35" i="70" s="1"/>
  <c r="KT522" i="40"/>
  <c r="KT323" i="40"/>
  <c r="KU322" i="40"/>
  <c r="Y36" i="70" s="1"/>
  <c r="KT426" i="40"/>
  <c r="KU425" i="40"/>
  <c r="AG39" i="70" s="1"/>
  <c r="KT222" i="40"/>
  <c r="KU221" i="40"/>
  <c r="Q35" i="70" s="1"/>
  <c r="T17" i="70"/>
  <c r="KT623" i="40" l="1"/>
  <c r="KU622" i="40"/>
  <c r="KT523" i="40"/>
  <c r="KU522" i="40"/>
  <c r="AO36" i="70" s="1"/>
  <c r="KT427" i="40"/>
  <c r="KU426" i="40"/>
  <c r="AG40" i="70" s="1"/>
  <c r="KT324" i="40"/>
  <c r="KU323" i="40"/>
  <c r="Y37" i="70" s="1"/>
  <c r="KT223" i="40"/>
  <c r="KU222" i="40"/>
  <c r="Q36" i="70" s="1"/>
  <c r="KT624" i="40" l="1"/>
  <c r="KU623" i="40"/>
  <c r="KU523" i="40"/>
  <c r="AO37" i="70" s="1"/>
  <c r="KT524" i="40"/>
  <c r="KT428" i="40"/>
  <c r="KU427" i="40"/>
  <c r="AG41" i="70" s="1"/>
  <c r="KT325" i="40"/>
  <c r="KU324" i="40"/>
  <c r="Y38" i="70" s="1"/>
  <c r="KT224" i="40"/>
  <c r="KU223" i="40"/>
  <c r="Q37" i="70" s="1"/>
  <c r="KU624" i="40" l="1"/>
  <c r="KT625" i="40"/>
  <c r="KU524" i="40"/>
  <c r="AO38" i="70" s="1"/>
  <c r="KT525" i="40"/>
  <c r="KT429" i="40"/>
  <c r="KU428" i="40"/>
  <c r="KT326" i="40"/>
  <c r="KU325" i="40"/>
  <c r="Y39" i="70" s="1"/>
  <c r="KT225" i="40"/>
  <c r="KU224" i="40"/>
  <c r="Q38" i="70" s="1"/>
  <c r="KT626" i="40" l="1"/>
  <c r="KU625" i="40"/>
  <c r="KU525" i="40"/>
  <c r="AO39" i="70" s="1"/>
  <c r="KT526" i="40"/>
  <c r="KT327" i="40"/>
  <c r="KU326" i="40"/>
  <c r="Y40" i="70" s="1"/>
  <c r="AG42" i="70"/>
  <c r="AG14" i="70"/>
  <c r="KT430" i="40"/>
  <c r="KU429" i="40"/>
  <c r="AG43" i="70" s="1"/>
  <c r="KT226" i="40"/>
  <c r="KU225" i="40"/>
  <c r="Q39" i="70" s="1"/>
  <c r="KU626" i="40" l="1"/>
  <c r="KT627" i="40"/>
  <c r="KT527" i="40"/>
  <c r="KU526" i="40"/>
  <c r="AO40" i="70" s="1"/>
  <c r="KT431" i="40"/>
  <c r="KU430" i="40"/>
  <c r="AG44" i="70" s="1"/>
  <c r="KT328" i="40"/>
  <c r="KU327" i="40"/>
  <c r="Y41" i="70" s="1"/>
  <c r="KT227" i="40"/>
  <c r="KU226" i="40"/>
  <c r="Q40" i="70" s="1"/>
  <c r="KT628" i="40" l="1"/>
  <c r="KU627" i="40"/>
  <c r="KT528" i="40"/>
  <c r="KU527" i="40"/>
  <c r="AO41" i="70" s="1"/>
  <c r="KT329" i="40"/>
  <c r="KU328" i="40"/>
  <c r="KT432" i="40"/>
  <c r="KU431" i="40"/>
  <c r="AG45" i="70" s="1"/>
  <c r="KT228" i="40"/>
  <c r="KU227" i="40"/>
  <c r="Q41" i="70" s="1"/>
  <c r="KT629" i="40" l="1"/>
  <c r="KU628" i="40"/>
  <c r="KT529" i="40"/>
  <c r="KU528" i="40"/>
  <c r="KT433" i="40"/>
  <c r="KU432" i="40"/>
  <c r="Y42" i="70"/>
  <c r="Y14" i="70"/>
  <c r="KT330" i="40"/>
  <c r="KU329" i="40"/>
  <c r="Y43" i="70" s="1"/>
  <c r="KT229" i="40"/>
  <c r="KU228" i="40"/>
  <c r="KT630" i="40" l="1"/>
  <c r="KU629" i="40"/>
  <c r="AO42" i="70"/>
  <c r="AO14" i="70"/>
  <c r="KT530" i="40"/>
  <c r="KU529" i="40"/>
  <c r="AO43" i="70" s="1"/>
  <c r="KT434" i="40"/>
  <c r="KU433" i="40"/>
  <c r="AG47" i="70" s="1"/>
  <c r="KT331" i="40"/>
  <c r="KU330" i="40"/>
  <c r="Y44" i="70" s="1"/>
  <c r="AG46" i="70"/>
  <c r="AG9" i="70"/>
  <c r="Q42" i="70"/>
  <c r="Q14" i="70"/>
  <c r="KT230" i="40"/>
  <c r="KU229" i="40"/>
  <c r="Q43" i="70" s="1"/>
  <c r="KT631" i="40" l="1"/>
  <c r="KU630" i="40"/>
  <c r="KT531" i="40"/>
  <c r="KU530" i="40"/>
  <c r="AO44" i="70" s="1"/>
  <c r="KT332" i="40"/>
  <c r="KU331" i="40"/>
  <c r="Y45" i="70" s="1"/>
  <c r="KT435" i="40"/>
  <c r="KU434" i="40"/>
  <c r="KT231" i="40"/>
  <c r="KU230" i="40"/>
  <c r="Q44" i="70" s="1"/>
  <c r="KT632" i="40" l="1"/>
  <c r="KU631" i="40"/>
  <c r="KT532" i="40"/>
  <c r="KU531" i="40"/>
  <c r="AO45" i="70" s="1"/>
  <c r="AG10" i="70"/>
  <c r="AG48" i="70"/>
  <c r="KT436" i="40"/>
  <c r="KU435" i="40"/>
  <c r="AG49" i="70" s="1"/>
  <c r="KT333" i="40"/>
  <c r="KU332" i="40"/>
  <c r="KT232" i="40"/>
  <c r="KU231" i="40"/>
  <c r="Q45" i="70" s="1"/>
  <c r="KT633" i="40" l="1"/>
  <c r="KU632" i="40"/>
  <c r="KT533" i="40"/>
  <c r="KU532" i="40"/>
  <c r="KT437" i="40"/>
  <c r="KU436" i="40"/>
  <c r="AG50" i="70" s="1"/>
  <c r="KT334" i="40"/>
  <c r="KU333" i="40"/>
  <c r="Y47" i="70" s="1"/>
  <c r="Y46" i="70"/>
  <c r="Y9" i="70"/>
  <c r="KT233" i="40"/>
  <c r="KU232" i="40"/>
  <c r="KT634" i="40" l="1"/>
  <c r="KU633" i="40"/>
  <c r="AO46" i="70"/>
  <c r="AO9" i="70"/>
  <c r="KT534" i="40"/>
  <c r="KU533" i="40"/>
  <c r="AO47" i="70" s="1"/>
  <c r="KT335" i="40"/>
  <c r="KU334" i="40"/>
  <c r="KT438" i="40"/>
  <c r="KU437" i="40"/>
  <c r="AG51" i="70" s="1"/>
  <c r="KT234" i="40"/>
  <c r="KU233" i="40"/>
  <c r="Q47" i="70" s="1"/>
  <c r="Q46" i="70"/>
  <c r="Q9" i="70"/>
  <c r="KT635" i="40" l="1"/>
  <c r="KU634" i="40"/>
  <c r="KT535" i="40"/>
  <c r="KU534" i="40"/>
  <c r="KT439" i="40"/>
  <c r="KU438" i="40"/>
  <c r="AG52" i="70" s="1"/>
  <c r="Y10" i="70"/>
  <c r="Y48" i="70"/>
  <c r="KT336" i="40"/>
  <c r="KU335" i="40"/>
  <c r="Y49" i="70" s="1"/>
  <c r="KT235" i="40"/>
  <c r="KU234" i="40"/>
  <c r="KT636" i="40" l="1"/>
  <c r="KU635" i="40"/>
  <c r="AO48" i="70"/>
  <c r="AO10" i="70"/>
  <c r="KT536" i="40"/>
  <c r="KU535" i="40"/>
  <c r="AO49" i="70" s="1"/>
  <c r="KT337" i="40"/>
  <c r="KU336" i="40"/>
  <c r="Y50" i="70" s="1"/>
  <c r="KT440" i="40"/>
  <c r="KU439" i="40"/>
  <c r="AG53" i="70" s="1"/>
  <c r="KT236" i="40"/>
  <c r="KU235" i="40"/>
  <c r="Q49" i="70" s="1"/>
  <c r="Q48" i="70"/>
  <c r="Q10" i="70"/>
  <c r="KT637" i="40" l="1"/>
  <c r="KU636" i="40"/>
  <c r="KT537" i="40"/>
  <c r="KU536" i="40"/>
  <c r="AO50" i="70" s="1"/>
  <c r="KT338" i="40"/>
  <c r="KU337" i="40"/>
  <c r="Y51" i="70" s="1"/>
  <c r="KT441" i="40"/>
  <c r="KU440" i="40"/>
  <c r="AG54" i="70" s="1"/>
  <c r="KT237" i="40"/>
  <c r="KU236" i="40"/>
  <c r="Q50" i="70" s="1"/>
  <c r="KT638" i="40" l="1"/>
  <c r="KU637" i="40"/>
  <c r="KT538" i="40"/>
  <c r="KU537" i="40"/>
  <c r="AO51" i="70" s="1"/>
  <c r="KT442" i="40"/>
  <c r="KU441" i="40"/>
  <c r="AG55" i="70" s="1"/>
  <c r="KT339" i="40"/>
  <c r="KU338" i="40"/>
  <c r="Y52" i="70" s="1"/>
  <c r="KT238" i="40"/>
  <c r="KU237" i="40"/>
  <c r="Q51" i="70" s="1"/>
  <c r="KT639" i="40" l="1"/>
  <c r="KU638" i="40"/>
  <c r="KT539" i="40"/>
  <c r="KU538" i="40"/>
  <c r="AO52" i="70" s="1"/>
  <c r="KT340" i="40"/>
  <c r="KU339" i="40"/>
  <c r="Y53" i="70" s="1"/>
  <c r="KT443" i="40"/>
  <c r="KU442" i="40"/>
  <c r="AG56" i="70" s="1"/>
  <c r="KT239" i="40"/>
  <c r="KU238" i="40"/>
  <c r="Q52" i="70" s="1"/>
  <c r="KT640" i="40" l="1"/>
  <c r="KU639" i="40"/>
  <c r="KT540" i="40"/>
  <c r="KU539" i="40"/>
  <c r="AO53" i="70" s="1"/>
  <c r="KT444" i="40"/>
  <c r="KU443" i="40"/>
  <c r="AG57" i="70" s="1"/>
  <c r="KT341" i="40"/>
  <c r="KU340" i="40"/>
  <c r="Y54" i="70" s="1"/>
  <c r="KT240" i="40"/>
  <c r="KU239" i="40"/>
  <c r="Q53" i="70" s="1"/>
  <c r="KT641" i="40" l="1"/>
  <c r="KU640" i="40"/>
  <c r="KT541" i="40"/>
  <c r="KU540" i="40"/>
  <c r="AO54" i="70" s="1"/>
  <c r="KT342" i="40"/>
  <c r="KU341" i="40"/>
  <c r="Y55" i="70" s="1"/>
  <c r="KT445" i="40"/>
  <c r="KU444" i="40"/>
  <c r="AG58" i="70" s="1"/>
  <c r="KT241" i="40"/>
  <c r="KU240" i="40"/>
  <c r="Q54" i="70" s="1"/>
  <c r="KT642" i="40" l="1"/>
  <c r="KU641" i="40"/>
  <c r="KT542" i="40"/>
  <c r="KU541" i="40"/>
  <c r="AO55" i="70" s="1"/>
  <c r="KT446" i="40"/>
  <c r="KU445" i="40"/>
  <c r="AG59" i="70" s="1"/>
  <c r="KT343" i="40"/>
  <c r="KU342" i="40"/>
  <c r="Y56" i="70" s="1"/>
  <c r="KT242" i="40"/>
  <c r="KU241" i="40"/>
  <c r="Q55" i="70" s="1"/>
  <c r="KT643" i="40" l="1"/>
  <c r="KU642" i="40"/>
  <c r="KT543" i="40"/>
  <c r="KU542" i="40"/>
  <c r="AO56" i="70" s="1"/>
  <c r="KT344" i="40"/>
  <c r="KU343" i="40"/>
  <c r="Y57" i="70" s="1"/>
  <c r="KT447" i="40"/>
  <c r="KU446" i="40"/>
  <c r="AG60" i="70" s="1"/>
  <c r="KT243" i="40"/>
  <c r="KU242" i="40"/>
  <c r="Q56" i="70" s="1"/>
  <c r="KT644" i="40" l="1"/>
  <c r="KU643" i="40"/>
  <c r="KT544" i="40"/>
  <c r="KU543" i="40"/>
  <c r="AO57" i="70" s="1"/>
  <c r="KT345" i="40"/>
  <c r="KU344" i="40"/>
  <c r="Y58" i="70" s="1"/>
  <c r="KT448" i="40"/>
  <c r="KU447" i="40"/>
  <c r="AG61" i="70" s="1"/>
  <c r="KT244" i="40"/>
  <c r="KU243" i="40"/>
  <c r="Q57" i="70" s="1"/>
  <c r="KU644" i="40" l="1"/>
  <c r="KT645" i="40"/>
  <c r="KT545" i="40"/>
  <c r="KU544" i="40"/>
  <c r="AO58" i="70" s="1"/>
  <c r="KT449" i="40"/>
  <c r="KU448" i="40"/>
  <c r="AG62" i="70" s="1"/>
  <c r="KT346" i="40"/>
  <c r="KU345" i="40"/>
  <c r="Y59" i="70" s="1"/>
  <c r="KT245" i="40"/>
  <c r="KU244" i="40"/>
  <c r="Q58" i="70" s="1"/>
  <c r="KT646" i="40" l="1"/>
  <c r="KU645" i="40"/>
  <c r="KT546" i="40"/>
  <c r="KU545" i="40"/>
  <c r="AO59" i="70" s="1"/>
  <c r="KT450" i="40"/>
  <c r="KU449" i="40"/>
  <c r="AG63" i="70" s="1"/>
  <c r="KT347" i="40"/>
  <c r="KU346" i="40"/>
  <c r="Y60" i="70" s="1"/>
  <c r="KT246" i="40"/>
  <c r="KU245" i="40"/>
  <c r="Q59" i="70" s="1"/>
  <c r="KU646" i="40" l="1"/>
  <c r="KT647" i="40"/>
  <c r="KT547" i="40"/>
  <c r="KU546" i="40"/>
  <c r="AO60" i="70" s="1"/>
  <c r="KT348" i="40"/>
  <c r="KU347" i="40"/>
  <c r="Y61" i="70" s="1"/>
  <c r="KT451" i="40"/>
  <c r="KU450" i="40"/>
  <c r="AG64" i="70" s="1"/>
  <c r="KT247" i="40"/>
  <c r="KU246" i="40"/>
  <c r="Q60" i="70" s="1"/>
  <c r="KT648" i="40" l="1"/>
  <c r="KU647" i="40"/>
  <c r="KT548" i="40"/>
  <c r="KU547" i="40"/>
  <c r="AO61" i="70" s="1"/>
  <c r="KT349" i="40"/>
  <c r="KU348" i="40"/>
  <c r="Y62" i="70" s="1"/>
  <c r="KT452" i="40"/>
  <c r="KU451" i="40"/>
  <c r="AG65" i="70" s="1"/>
  <c r="AJ57" i="70" s="1"/>
  <c r="KT248" i="40"/>
  <c r="KU247" i="40"/>
  <c r="Q61" i="70" s="1"/>
  <c r="KU648" i="40" l="1"/>
  <c r="KT649" i="40"/>
  <c r="KT549" i="40"/>
  <c r="KU548" i="40"/>
  <c r="AO62" i="70" s="1"/>
  <c r="AJ65" i="70"/>
  <c r="AJ54" i="70"/>
  <c r="AJ62" i="70"/>
  <c r="AJ61" i="70"/>
  <c r="AJ63" i="70"/>
  <c r="AJ53" i="70"/>
  <c r="KT453" i="40"/>
  <c r="KU452" i="40"/>
  <c r="AG66" i="70" s="1"/>
  <c r="KT350" i="40"/>
  <c r="KU349" i="40"/>
  <c r="Y63" i="70" s="1"/>
  <c r="KT249" i="40"/>
  <c r="KU248" i="40"/>
  <c r="Q62" i="70" s="1"/>
  <c r="KT650" i="40" l="1"/>
  <c r="KU649" i="40"/>
  <c r="KT550" i="40"/>
  <c r="KU549" i="40"/>
  <c r="AO63" i="70" s="1"/>
  <c r="KT454" i="40"/>
  <c r="KU453" i="40"/>
  <c r="AG67" i="70" s="1"/>
  <c r="KT351" i="40"/>
  <c r="KU350" i="40"/>
  <c r="Y64" i="70" s="1"/>
  <c r="KT250" i="40"/>
  <c r="KU249" i="40"/>
  <c r="Q63" i="70" s="1"/>
  <c r="KT651" i="40" l="1"/>
  <c r="KU650" i="40"/>
  <c r="KT551" i="40"/>
  <c r="KU550" i="40"/>
  <c r="AO64" i="70" s="1"/>
  <c r="KT352" i="40"/>
  <c r="KU351" i="40"/>
  <c r="Y65" i="70" s="1"/>
  <c r="KT455" i="40"/>
  <c r="KU454" i="40"/>
  <c r="AG68" i="70" s="1"/>
  <c r="KT251" i="40"/>
  <c r="KU250" i="40"/>
  <c r="Q64" i="70" s="1"/>
  <c r="KT652" i="40" l="1"/>
  <c r="KU651" i="40"/>
  <c r="KT552" i="40"/>
  <c r="KU551" i="40"/>
  <c r="AO65" i="70" s="1"/>
  <c r="KT456" i="40"/>
  <c r="KU455" i="40"/>
  <c r="KT353" i="40"/>
  <c r="KU352" i="40"/>
  <c r="Y66" i="70" s="1"/>
  <c r="KT252" i="40"/>
  <c r="KU251" i="40"/>
  <c r="Q65" i="70" s="1"/>
  <c r="KU652" i="40" l="1"/>
  <c r="KT653" i="40"/>
  <c r="AR65" i="70"/>
  <c r="AR62" i="70"/>
  <c r="AR63" i="70"/>
  <c r="AR49" i="70"/>
  <c r="AR53" i="70"/>
  <c r="AR54" i="70"/>
  <c r="AR61" i="70"/>
  <c r="KT553" i="40"/>
  <c r="KU552" i="40"/>
  <c r="AO66" i="70" s="1"/>
  <c r="KT354" i="40"/>
  <c r="KU353" i="40"/>
  <c r="Y67" i="70" s="1"/>
  <c r="AG69" i="70"/>
  <c r="AI29" i="70" s="1"/>
  <c r="AG7" i="70"/>
  <c r="KT457" i="40"/>
  <c r="KU456" i="40"/>
  <c r="AG8" i="70" s="1"/>
  <c r="KT253" i="40"/>
  <c r="KU252" i="40"/>
  <c r="Q66" i="70" s="1"/>
  <c r="KT654" i="40" l="1"/>
  <c r="KU653" i="40"/>
  <c r="AI7" i="70"/>
  <c r="KT554" i="40"/>
  <c r="KU553" i="40"/>
  <c r="AO67" i="70" s="1"/>
  <c r="AJ20" i="70"/>
  <c r="AI49" i="70"/>
  <c r="AJ44" i="70"/>
  <c r="AI54" i="70"/>
  <c r="AI63" i="70"/>
  <c r="AR20" i="70"/>
  <c r="KT458" i="40"/>
  <c r="KU457" i="40"/>
  <c r="AH7" i="70"/>
  <c r="AH11" i="70"/>
  <c r="AH12" i="70"/>
  <c r="AH13" i="70"/>
  <c r="AH15" i="70"/>
  <c r="AH16" i="70"/>
  <c r="AH17" i="70"/>
  <c r="AH14" i="70"/>
  <c r="AH9" i="70"/>
  <c r="AH10" i="70"/>
  <c r="AI69" i="70"/>
  <c r="AH69" i="70"/>
  <c r="AH24" i="70"/>
  <c r="AH21" i="70"/>
  <c r="AH22" i="70"/>
  <c r="AH25" i="70"/>
  <c r="AH23" i="70"/>
  <c r="AH20" i="70"/>
  <c r="AH26" i="70"/>
  <c r="AJ24" i="70"/>
  <c r="AJ23" i="70"/>
  <c r="AJ21" i="70"/>
  <c r="AH28" i="70"/>
  <c r="AJ22" i="70"/>
  <c r="AH30" i="70"/>
  <c r="AJ27" i="70"/>
  <c r="AJ31" i="70"/>
  <c r="AH29" i="70"/>
  <c r="AJ30" i="70"/>
  <c r="AH27" i="70"/>
  <c r="AJ29" i="70"/>
  <c r="AH31" i="70"/>
  <c r="AH37" i="70"/>
  <c r="AH32" i="70"/>
  <c r="AH34" i="70"/>
  <c r="AH35" i="70"/>
  <c r="AH33" i="70"/>
  <c r="AI25" i="70"/>
  <c r="AI26" i="70"/>
  <c r="AH36" i="70"/>
  <c r="AJ32" i="70"/>
  <c r="AI20" i="70"/>
  <c r="AH38" i="70"/>
  <c r="AH39" i="70"/>
  <c r="AH40" i="70"/>
  <c r="AJ33" i="70"/>
  <c r="AJ34" i="70"/>
  <c r="AJ35" i="70"/>
  <c r="AI28" i="70"/>
  <c r="AH42" i="70"/>
  <c r="AJ36" i="70"/>
  <c r="AH41" i="70"/>
  <c r="AJ37" i="70"/>
  <c r="AI42" i="70"/>
  <c r="AI38" i="70"/>
  <c r="AI41" i="70"/>
  <c r="AH44" i="70"/>
  <c r="AH43" i="70"/>
  <c r="AH45" i="70"/>
  <c r="AI46" i="70"/>
  <c r="AI44" i="70"/>
  <c r="AJ40" i="70"/>
  <c r="AH46" i="70"/>
  <c r="AJ39" i="70"/>
  <c r="AH47" i="70"/>
  <c r="AH48" i="70"/>
  <c r="AH49" i="70"/>
  <c r="AJ43" i="70"/>
  <c r="AI47" i="70"/>
  <c r="AH50" i="70"/>
  <c r="AH51" i="70"/>
  <c r="AH52" i="70"/>
  <c r="AI48" i="70"/>
  <c r="AH53" i="70"/>
  <c r="AI51" i="70"/>
  <c r="AI50" i="70"/>
  <c r="AH55" i="70"/>
  <c r="AI52" i="70"/>
  <c r="AJ45" i="70"/>
  <c r="AH54" i="70"/>
  <c r="AH57" i="70"/>
  <c r="AH56" i="70"/>
  <c r="AJ49" i="70"/>
  <c r="AI55" i="70"/>
  <c r="AH58" i="70"/>
  <c r="AH59" i="70"/>
  <c r="AI56" i="70"/>
  <c r="AH60" i="70"/>
  <c r="AH61" i="70"/>
  <c r="AI57" i="70"/>
  <c r="AI64" i="70"/>
  <c r="AI60" i="70"/>
  <c r="AH66" i="70"/>
  <c r="AI67" i="70"/>
  <c r="AH62" i="70"/>
  <c r="AI68" i="70"/>
  <c r="AH64" i="70"/>
  <c r="AH63" i="70"/>
  <c r="AH68" i="70"/>
  <c r="AH65" i="70"/>
  <c r="AH67" i="70"/>
  <c r="AI66" i="70"/>
  <c r="AI59" i="70"/>
  <c r="AI58" i="70"/>
  <c r="KT355" i="40"/>
  <c r="KU354" i="40"/>
  <c r="Y68" i="70" s="1"/>
  <c r="AB64" i="70" s="1"/>
  <c r="AR22" i="70"/>
  <c r="AR21" i="70"/>
  <c r="AR23" i="70"/>
  <c r="AR27" i="70"/>
  <c r="AR30" i="70"/>
  <c r="AR24" i="70"/>
  <c r="AR31" i="70"/>
  <c r="AR25" i="70"/>
  <c r="AR33" i="70"/>
  <c r="AQ20" i="70"/>
  <c r="AR34" i="70"/>
  <c r="AR32" i="70"/>
  <c r="AR35" i="70"/>
  <c r="AR36" i="70"/>
  <c r="AR39" i="70"/>
  <c r="AR37" i="70"/>
  <c r="AR40" i="70"/>
  <c r="AR43" i="70"/>
  <c r="AR45" i="70"/>
  <c r="AH8" i="70"/>
  <c r="AI8" i="70"/>
  <c r="AI14" i="70"/>
  <c r="AI10" i="70"/>
  <c r="AB66" i="70"/>
  <c r="KT254" i="40"/>
  <c r="KU253" i="40"/>
  <c r="Q67" i="70" s="1"/>
  <c r="KU654" i="40" l="1"/>
  <c r="KT655" i="40"/>
  <c r="AB65" i="70"/>
  <c r="KT555" i="40"/>
  <c r="KU554" i="40"/>
  <c r="AO68" i="70" s="1"/>
  <c r="AB68" i="70"/>
  <c r="AB63" i="70"/>
  <c r="AB61" i="70"/>
  <c r="AB62" i="70"/>
  <c r="N27" i="73"/>
  <c r="T27" i="73"/>
  <c r="P27" i="73"/>
  <c r="Q27" i="73"/>
  <c r="R27" i="73"/>
  <c r="X27" i="73"/>
  <c r="V27" i="73"/>
  <c r="W27" i="73"/>
  <c r="L27" i="73"/>
  <c r="H27" i="73"/>
  <c r="K27" i="73"/>
  <c r="J27" i="73"/>
  <c r="AB67" i="70"/>
  <c r="KT459" i="40"/>
  <c r="KU458" i="40"/>
  <c r="KT356" i="40"/>
  <c r="KU355" i="40"/>
  <c r="KT255" i="40"/>
  <c r="KU254" i="40"/>
  <c r="Q68" i="70" s="1"/>
  <c r="T61" i="70" s="1"/>
  <c r="KT656" i="40" l="1"/>
  <c r="KU655" i="40"/>
  <c r="T67" i="70"/>
  <c r="KT556" i="40"/>
  <c r="KU555" i="40"/>
  <c r="Y69" i="70"/>
  <c r="Y7" i="70"/>
  <c r="KT460" i="40"/>
  <c r="KU459" i="40"/>
  <c r="KU356" i="40"/>
  <c r="Y8" i="70" s="1"/>
  <c r="AA10" i="70" s="1"/>
  <c r="KT357" i="40"/>
  <c r="T68" i="70"/>
  <c r="T63" i="70"/>
  <c r="T62" i="70"/>
  <c r="T66" i="70"/>
  <c r="T65" i="70"/>
  <c r="T64" i="70"/>
  <c r="KT256" i="40"/>
  <c r="KU255" i="40"/>
  <c r="KT657" i="40" l="1"/>
  <c r="KU656" i="40"/>
  <c r="AO69" i="70"/>
  <c r="AO7" i="70"/>
  <c r="KT557" i="40"/>
  <c r="KU556" i="40"/>
  <c r="AO8" i="70" s="1"/>
  <c r="AA26" i="70"/>
  <c r="AB49" i="70"/>
  <c r="KT358" i="40"/>
  <c r="KU357" i="40"/>
  <c r="Z10" i="70"/>
  <c r="Z7" i="70"/>
  <c r="Z11" i="70"/>
  <c r="Z12" i="70"/>
  <c r="Z13" i="70"/>
  <c r="Z15" i="70"/>
  <c r="Z16" i="70"/>
  <c r="Z17" i="70"/>
  <c r="Z14" i="70"/>
  <c r="Z9" i="70"/>
  <c r="AA8" i="70"/>
  <c r="Z8" i="70"/>
  <c r="AA16" i="70"/>
  <c r="AA14" i="70"/>
  <c r="Z69" i="70"/>
  <c r="AA69" i="70"/>
  <c r="Z21" i="70"/>
  <c r="Z20" i="70"/>
  <c r="Z22" i="70"/>
  <c r="AB21" i="70"/>
  <c r="Z24" i="70"/>
  <c r="AB22" i="70"/>
  <c r="Z23" i="70"/>
  <c r="Z27" i="70"/>
  <c r="Z25" i="70"/>
  <c r="AA28" i="70"/>
  <c r="Z26" i="70"/>
  <c r="Z30" i="70"/>
  <c r="AB23" i="70"/>
  <c r="AB24" i="70"/>
  <c r="AB26" i="70"/>
  <c r="Z28" i="70"/>
  <c r="AB25" i="70"/>
  <c r="Z29" i="70"/>
  <c r="Z34" i="70"/>
  <c r="AB27" i="70"/>
  <c r="AA20" i="70"/>
  <c r="AB34" i="70"/>
  <c r="Z32" i="70"/>
  <c r="Z31" i="70"/>
  <c r="Z33" i="70"/>
  <c r="AA29" i="70"/>
  <c r="Z35" i="70"/>
  <c r="AA31" i="70"/>
  <c r="AB30" i="70"/>
  <c r="Z38" i="70"/>
  <c r="Z36" i="70"/>
  <c r="Z37" i="70"/>
  <c r="AB35" i="70"/>
  <c r="Z40" i="70"/>
  <c r="AB33" i="70"/>
  <c r="AA32" i="70"/>
  <c r="Z39" i="70"/>
  <c r="AA38" i="70"/>
  <c r="Z42" i="70"/>
  <c r="Z41" i="70"/>
  <c r="Z43" i="70"/>
  <c r="AA41" i="70"/>
  <c r="Z45" i="70"/>
  <c r="Z44" i="70"/>
  <c r="AA42" i="70"/>
  <c r="AA44" i="70"/>
  <c r="Z47" i="70"/>
  <c r="AA49" i="70"/>
  <c r="AA46" i="70"/>
  <c r="AA47" i="70"/>
  <c r="AA50" i="70"/>
  <c r="Z48" i="70"/>
  <c r="Z46" i="70"/>
  <c r="Z51" i="70"/>
  <c r="AA48" i="70"/>
  <c r="Z49" i="70"/>
  <c r="Z50" i="70"/>
  <c r="Z52" i="70"/>
  <c r="Z53" i="70"/>
  <c r="AA52" i="70"/>
  <c r="AA51" i="70"/>
  <c r="AA57" i="70"/>
  <c r="Z54" i="70"/>
  <c r="AA59" i="70"/>
  <c r="AA54" i="70"/>
  <c r="AA53" i="70"/>
  <c r="AA55" i="70"/>
  <c r="Z55" i="70"/>
  <c r="AA58" i="70"/>
  <c r="AA56" i="70"/>
  <c r="AA60" i="70"/>
  <c r="Z57" i="70"/>
  <c r="AB37" i="70"/>
  <c r="Z56" i="70"/>
  <c r="AB36" i="70"/>
  <c r="Z59" i="70"/>
  <c r="AB39" i="70"/>
  <c r="AB40" i="70"/>
  <c r="Z58" i="70"/>
  <c r="Z60" i="70"/>
  <c r="AB43" i="70"/>
  <c r="AB45" i="70"/>
  <c r="Z63" i="70"/>
  <c r="Z62" i="70"/>
  <c r="Z66" i="70"/>
  <c r="Z61" i="70"/>
  <c r="Z67" i="70"/>
  <c r="Z68" i="70"/>
  <c r="Z65" i="70"/>
  <c r="Z64" i="70"/>
  <c r="KT461" i="40"/>
  <c r="KU460" i="40"/>
  <c r="Q69" i="70"/>
  <c r="Q7" i="70"/>
  <c r="KT257" i="40"/>
  <c r="KU256" i="40"/>
  <c r="Q8" i="70" s="1"/>
  <c r="S10" i="70" s="1"/>
  <c r="KU657" i="40" l="1"/>
  <c r="KT658" i="40"/>
  <c r="S25" i="70"/>
  <c r="T29" i="70"/>
  <c r="AR29" i="70"/>
  <c r="AQ54" i="70"/>
  <c r="AQ10" i="70"/>
  <c r="AQ8" i="70"/>
  <c r="AP8" i="70"/>
  <c r="AQ14" i="70"/>
  <c r="KU557" i="40"/>
  <c r="KT558" i="40"/>
  <c r="AP13" i="70"/>
  <c r="AP14" i="70"/>
  <c r="AP7" i="70"/>
  <c r="AP15" i="70"/>
  <c r="AP9" i="70"/>
  <c r="AP11" i="70"/>
  <c r="AP16" i="70"/>
  <c r="AP10" i="70"/>
  <c r="AP12" i="70"/>
  <c r="AP17" i="70"/>
  <c r="AQ69" i="70"/>
  <c r="AP69" i="70"/>
  <c r="AQ25" i="70"/>
  <c r="AP33" i="70"/>
  <c r="AP38" i="70"/>
  <c r="AQ46" i="70"/>
  <c r="AP65" i="70"/>
  <c r="AP31" i="70"/>
  <c r="AQ38" i="70"/>
  <c r="AQ48" i="70"/>
  <c r="AP62" i="70"/>
  <c r="AQ67" i="70"/>
  <c r="AQ57" i="70"/>
  <c r="AP40" i="70"/>
  <c r="AP48" i="70"/>
  <c r="AP61" i="70"/>
  <c r="AP55" i="70"/>
  <c r="AQ68" i="70"/>
  <c r="AP49" i="70"/>
  <c r="AP20" i="70"/>
  <c r="AP30" i="70"/>
  <c r="AP39" i="70"/>
  <c r="AP51" i="70"/>
  <c r="AQ60" i="70"/>
  <c r="AP32" i="70"/>
  <c r="AP42" i="70"/>
  <c r="AP54" i="70"/>
  <c r="AP67" i="70"/>
  <c r="AQ64" i="70"/>
  <c r="AQ52" i="70"/>
  <c r="AP43" i="70"/>
  <c r="AP52" i="70"/>
  <c r="AQ56" i="70"/>
  <c r="AP58" i="70"/>
  <c r="AP22" i="70"/>
  <c r="AP34" i="70"/>
  <c r="AQ51" i="70"/>
  <c r="AP23" i="70"/>
  <c r="AP35" i="70"/>
  <c r="AP44" i="70"/>
  <c r="AQ50" i="70"/>
  <c r="AP21" i="70"/>
  <c r="AQ26" i="70"/>
  <c r="AQ44" i="70"/>
  <c r="AP53" i="70"/>
  <c r="AP68" i="70"/>
  <c r="AP41" i="70"/>
  <c r="AP29" i="70"/>
  <c r="AQ42" i="70"/>
  <c r="AP56" i="70"/>
  <c r="AQ66" i="70"/>
  <c r="AQ55" i="70"/>
  <c r="AP25" i="70"/>
  <c r="AP45" i="70"/>
  <c r="AQ59" i="70"/>
  <c r="AP27" i="70"/>
  <c r="AQ28" i="70"/>
  <c r="AP50" i="70"/>
  <c r="AP60" i="70"/>
  <c r="AP26" i="70"/>
  <c r="AP37" i="70"/>
  <c r="AQ47" i="70"/>
  <c r="AP59" i="70"/>
  <c r="AP64" i="70"/>
  <c r="AQ41" i="70"/>
  <c r="AP36" i="70"/>
  <c r="AP46" i="70"/>
  <c r="AP57" i="70"/>
  <c r="AQ29" i="70"/>
  <c r="AP63" i="70"/>
  <c r="AP24" i="70"/>
  <c r="AP47" i="70"/>
  <c r="AP66" i="70"/>
  <c r="AP28" i="70"/>
  <c r="AQ58" i="70"/>
  <c r="S26" i="70"/>
  <c r="T49" i="70"/>
  <c r="K26" i="73"/>
  <c r="L26" i="73"/>
  <c r="H26" i="73"/>
  <c r="J26" i="73"/>
  <c r="P26" i="73"/>
  <c r="T26" i="73"/>
  <c r="R26" i="73"/>
  <c r="N26" i="73"/>
  <c r="Q26" i="73"/>
  <c r="W26" i="73"/>
  <c r="V26" i="73"/>
  <c r="X26" i="73"/>
  <c r="KT462" i="40"/>
  <c r="KU461" i="40"/>
  <c r="KT359" i="40"/>
  <c r="KU358" i="40"/>
  <c r="S69" i="70"/>
  <c r="R69" i="70"/>
  <c r="R20" i="70"/>
  <c r="R21" i="70"/>
  <c r="R22" i="70"/>
  <c r="R24" i="70"/>
  <c r="R23" i="70"/>
  <c r="T22" i="70"/>
  <c r="T21" i="70"/>
  <c r="R25" i="70"/>
  <c r="R27" i="70"/>
  <c r="S20" i="70"/>
  <c r="R26" i="70"/>
  <c r="T23" i="70"/>
  <c r="R28" i="70"/>
  <c r="R29" i="70"/>
  <c r="T24" i="70"/>
  <c r="R30" i="70"/>
  <c r="T25" i="70"/>
  <c r="R33" i="70"/>
  <c r="R31" i="70"/>
  <c r="R32" i="70"/>
  <c r="T26" i="70"/>
  <c r="T27" i="70"/>
  <c r="R35" i="70"/>
  <c r="R36" i="70"/>
  <c r="S29" i="70"/>
  <c r="R34" i="70"/>
  <c r="S28" i="70"/>
  <c r="S31" i="70"/>
  <c r="R37" i="70"/>
  <c r="R38" i="70"/>
  <c r="T30" i="70"/>
  <c r="T35" i="70"/>
  <c r="T33" i="70"/>
  <c r="T34" i="70"/>
  <c r="R43" i="70"/>
  <c r="R40" i="70"/>
  <c r="S32" i="70"/>
  <c r="R39" i="70"/>
  <c r="R41" i="70"/>
  <c r="R44" i="70"/>
  <c r="S38" i="70"/>
  <c r="S41" i="70"/>
  <c r="S47" i="70"/>
  <c r="S42" i="70"/>
  <c r="R42" i="70"/>
  <c r="R45" i="70"/>
  <c r="R46" i="70"/>
  <c r="R47" i="70"/>
  <c r="R48" i="70"/>
  <c r="S44" i="70"/>
  <c r="R49" i="70"/>
  <c r="S46" i="70"/>
  <c r="R50" i="70"/>
  <c r="S49" i="70"/>
  <c r="R51" i="70"/>
  <c r="S48" i="70"/>
  <c r="R52" i="70"/>
  <c r="R54" i="70"/>
  <c r="S50" i="70"/>
  <c r="R53" i="70"/>
  <c r="S51" i="70"/>
  <c r="S59" i="70"/>
  <c r="S52" i="70"/>
  <c r="R55" i="70"/>
  <c r="S55" i="70"/>
  <c r="S58" i="70"/>
  <c r="R57" i="70"/>
  <c r="S57" i="70"/>
  <c r="S53" i="70"/>
  <c r="S60" i="70"/>
  <c r="S54" i="70"/>
  <c r="S56" i="70"/>
  <c r="T36" i="70"/>
  <c r="R56" i="70"/>
  <c r="T37" i="70"/>
  <c r="T39" i="70"/>
  <c r="T40" i="70"/>
  <c r="T43" i="70"/>
  <c r="R59" i="70"/>
  <c r="R58" i="70"/>
  <c r="T45" i="70"/>
  <c r="R62" i="70"/>
  <c r="R60" i="70"/>
  <c r="R68" i="70"/>
  <c r="R66" i="70"/>
  <c r="R63" i="70"/>
  <c r="R65" i="70"/>
  <c r="R61" i="70"/>
  <c r="R64" i="70"/>
  <c r="R67" i="70"/>
  <c r="S7" i="70"/>
  <c r="R7" i="70"/>
  <c r="R11" i="70"/>
  <c r="R12" i="70"/>
  <c r="R13" i="70"/>
  <c r="R15" i="70"/>
  <c r="R16" i="70"/>
  <c r="S16" i="70"/>
  <c r="R17" i="70"/>
  <c r="R14" i="70"/>
  <c r="R9" i="70"/>
  <c r="R10" i="70"/>
  <c r="R8" i="70"/>
  <c r="S8" i="70"/>
  <c r="KT258" i="40"/>
  <c r="KU257" i="40"/>
  <c r="KT659" i="40" l="1"/>
  <c r="KU658" i="40"/>
  <c r="V28" i="73"/>
  <c r="W28" i="73"/>
  <c r="X28" i="73"/>
  <c r="L28" i="73"/>
  <c r="J28" i="73"/>
  <c r="K28" i="73"/>
  <c r="H28" i="73"/>
  <c r="Q28" i="73"/>
  <c r="R28" i="73"/>
  <c r="N28" i="73"/>
  <c r="T28" i="73"/>
  <c r="P28" i="73"/>
  <c r="KT559" i="40"/>
  <c r="KU558" i="40"/>
  <c r="KT463" i="40"/>
  <c r="KU462" i="40"/>
  <c r="KT360" i="40"/>
  <c r="KU359" i="40"/>
  <c r="P25" i="73"/>
  <c r="R25" i="73"/>
  <c r="Q25" i="73"/>
  <c r="N25" i="73"/>
  <c r="L25" i="73"/>
  <c r="K25" i="73"/>
  <c r="J25" i="73"/>
  <c r="H25" i="73"/>
  <c r="KT259" i="40"/>
  <c r="KU258" i="40"/>
  <c r="W25" i="73"/>
  <c r="T25" i="73"/>
  <c r="X25" i="73"/>
  <c r="V25" i="73"/>
  <c r="KT660" i="40" l="1"/>
  <c r="KU659" i="40"/>
  <c r="X30" i="73"/>
  <c r="R30" i="73"/>
  <c r="L30" i="73"/>
  <c r="KU559" i="40"/>
  <c r="KT560" i="40"/>
  <c r="K30" i="73"/>
  <c r="K34" i="73" s="1"/>
  <c r="V30" i="73"/>
  <c r="J36" i="73" s="1"/>
  <c r="KT361" i="40"/>
  <c r="KU360" i="40"/>
  <c r="J30" i="73"/>
  <c r="J34" i="73" s="1"/>
  <c r="KT464" i="40"/>
  <c r="KU463" i="40"/>
  <c r="Q30" i="73"/>
  <c r="K35" i="73" s="1"/>
  <c r="W30" i="73"/>
  <c r="K36" i="73" s="1"/>
  <c r="KT260" i="40"/>
  <c r="KU259" i="40"/>
  <c r="P30" i="73"/>
  <c r="J35" i="73" s="1"/>
  <c r="KT661" i="40" l="1"/>
  <c r="KU660" i="40"/>
  <c r="KU560" i="40"/>
  <c r="KT561" i="40"/>
  <c r="KT465" i="40"/>
  <c r="KU464" i="40"/>
  <c r="KT362" i="40"/>
  <c r="KU361" i="40"/>
  <c r="KT261" i="40"/>
  <c r="KU260" i="40"/>
  <c r="KU661" i="40" l="1"/>
  <c r="KT662" i="40"/>
  <c r="KT562" i="40"/>
  <c r="KU561" i="40"/>
  <c r="KT466" i="40"/>
  <c r="KU465" i="40"/>
  <c r="KT363" i="40"/>
  <c r="KU362" i="40"/>
  <c r="KT262" i="40"/>
  <c r="KU261" i="40"/>
  <c r="KU662" i="40" l="1"/>
  <c r="KT663" i="40"/>
  <c r="KU562" i="40"/>
  <c r="KT563" i="40"/>
  <c r="KT364" i="40"/>
  <c r="KU363" i="40"/>
  <c r="KT467" i="40"/>
  <c r="KU466" i="40"/>
  <c r="KT263" i="40"/>
  <c r="KU262" i="40"/>
  <c r="KU663" i="40" l="1"/>
  <c r="KT664" i="40"/>
  <c r="KU563" i="40"/>
  <c r="KT564" i="40"/>
  <c r="KT468" i="40"/>
  <c r="KU467" i="40"/>
  <c r="KT365" i="40"/>
  <c r="KU364" i="40"/>
  <c r="KT264" i="40"/>
  <c r="KU263" i="40"/>
  <c r="KU664" i="40" l="1"/>
  <c r="KT665" i="40"/>
  <c r="KU564" i="40"/>
  <c r="KT565" i="40"/>
  <c r="KT469" i="40"/>
  <c r="KU468" i="40"/>
  <c r="KT366" i="40"/>
  <c r="KU365" i="40"/>
  <c r="KT265" i="40"/>
  <c r="KU264" i="40"/>
  <c r="KU665" i="40" l="1"/>
  <c r="KT666" i="40"/>
  <c r="KU565" i="40"/>
  <c r="KT566" i="40"/>
  <c r="KT470" i="40"/>
  <c r="KU469" i="40"/>
  <c r="KT367" i="40"/>
  <c r="KU366" i="40"/>
  <c r="KT266" i="40"/>
  <c r="KU265" i="40"/>
  <c r="KT667" i="40" l="1"/>
  <c r="KU666" i="40"/>
  <c r="KT567" i="40"/>
  <c r="KU566" i="40"/>
  <c r="KT368" i="40"/>
  <c r="KU367" i="40"/>
  <c r="KT471" i="40"/>
  <c r="KU470" i="40"/>
  <c r="KT267" i="40"/>
  <c r="KU266" i="40"/>
  <c r="KU667" i="40" l="1"/>
  <c r="KT668" i="40"/>
  <c r="KT568" i="40"/>
  <c r="KU567" i="40"/>
  <c r="KT472" i="40"/>
  <c r="KU471" i="40"/>
  <c r="KT369" i="40"/>
  <c r="KU368" i="40"/>
  <c r="KT268" i="40"/>
  <c r="KU267" i="40"/>
  <c r="KT669" i="40" l="1"/>
  <c r="KU668" i="40"/>
  <c r="KT569" i="40"/>
  <c r="KU568" i="40"/>
  <c r="KT473" i="40"/>
  <c r="KU472" i="40"/>
  <c r="KT370" i="40"/>
  <c r="KU369" i="40"/>
  <c r="KT269" i="40"/>
  <c r="KU268" i="40"/>
  <c r="KT670" i="40" l="1"/>
  <c r="KU669" i="40"/>
  <c r="KU569" i="40"/>
  <c r="KT570" i="40"/>
  <c r="KT371" i="40"/>
  <c r="KU370" i="40"/>
  <c r="KT474" i="40"/>
  <c r="KU473" i="40"/>
  <c r="KT270" i="40"/>
  <c r="KU269" i="40"/>
  <c r="KT671" i="40" l="1"/>
  <c r="KU670" i="40"/>
  <c r="KT571" i="40"/>
  <c r="KU570" i="40"/>
  <c r="KT475" i="40"/>
  <c r="KU474" i="40"/>
  <c r="KT372" i="40"/>
  <c r="KU371" i="40"/>
  <c r="KT271" i="40"/>
  <c r="KU270" i="40"/>
  <c r="KU671" i="40" l="1"/>
  <c r="KT672" i="40"/>
  <c r="KT572" i="40"/>
  <c r="KU571" i="40"/>
  <c r="KT476" i="40"/>
  <c r="KU475" i="40"/>
  <c r="KT373" i="40"/>
  <c r="KU372" i="40"/>
  <c r="KT272" i="40"/>
  <c r="KU271" i="40"/>
  <c r="KT673" i="40" l="1"/>
  <c r="KU672" i="40"/>
  <c r="KT573" i="40"/>
  <c r="KU572" i="40"/>
  <c r="KT374" i="40"/>
  <c r="KU373" i="40"/>
  <c r="KT477" i="40"/>
  <c r="KU476" i="40"/>
  <c r="KT273" i="40"/>
  <c r="KU272" i="40"/>
  <c r="KT674" i="40" l="1"/>
  <c r="KU673" i="40"/>
  <c r="KT574" i="40"/>
  <c r="KU573" i="40"/>
  <c r="KT478" i="40"/>
  <c r="KU477" i="40"/>
  <c r="KT375" i="40"/>
  <c r="KU374" i="40"/>
  <c r="KT274" i="40"/>
  <c r="KU273" i="40"/>
  <c r="KT675" i="40" l="1"/>
  <c r="KU674" i="40"/>
  <c r="KT575" i="40"/>
  <c r="KU574" i="40"/>
  <c r="KT479" i="40"/>
  <c r="KU478" i="40"/>
  <c r="KT376" i="40"/>
  <c r="KU375" i="40"/>
  <c r="KT275" i="40"/>
  <c r="KU274" i="40"/>
  <c r="KT676" i="40" l="1"/>
  <c r="KU675" i="40"/>
  <c r="KT576" i="40"/>
  <c r="KU575" i="40"/>
  <c r="KT377" i="40"/>
  <c r="KU376" i="40"/>
  <c r="KT480" i="40"/>
  <c r="KU479" i="40"/>
  <c r="KT276" i="40"/>
  <c r="KU275" i="40"/>
  <c r="KT677" i="40" l="1"/>
  <c r="KU676" i="40"/>
  <c r="KT577" i="40"/>
  <c r="KU576" i="40"/>
  <c r="KT481" i="40"/>
  <c r="KU480" i="40"/>
  <c r="KT378" i="40"/>
  <c r="KU377" i="40"/>
  <c r="KT277" i="40"/>
  <c r="KU276" i="40"/>
  <c r="KT678" i="40" l="1"/>
  <c r="KU677" i="40"/>
  <c r="KU577" i="40"/>
  <c r="KT578" i="40"/>
  <c r="KU481" i="40"/>
  <c r="AG18" i="70" s="1"/>
  <c r="KT482" i="40"/>
  <c r="KT379" i="40"/>
  <c r="KU378" i="40"/>
  <c r="KT278" i="40"/>
  <c r="KU277" i="40"/>
  <c r="KT679" i="40" l="1"/>
  <c r="KU678" i="40"/>
  <c r="AH18" i="70"/>
  <c r="AJ18" i="70"/>
  <c r="AI18" i="70"/>
  <c r="KU578" i="40"/>
  <c r="KT579" i="40"/>
  <c r="KT483" i="40"/>
  <c r="KU482" i="40"/>
  <c r="KT380" i="40"/>
  <c r="KU379" i="40"/>
  <c r="KT279" i="40"/>
  <c r="KU278" i="40"/>
  <c r="KT680" i="40" l="1"/>
  <c r="KU679" i="40"/>
  <c r="KT580" i="40"/>
  <c r="KU579" i="40"/>
  <c r="KT484" i="40"/>
  <c r="KU483" i="40"/>
  <c r="KT381" i="40"/>
  <c r="KU380" i="40"/>
  <c r="KT280" i="40"/>
  <c r="KU279" i="40"/>
  <c r="KT681" i="40" l="1"/>
  <c r="KU680" i="40"/>
  <c r="KT581" i="40"/>
  <c r="KU580" i="40"/>
  <c r="KU381" i="40"/>
  <c r="Y18" i="70" s="1"/>
  <c r="KT382" i="40"/>
  <c r="KT485" i="40"/>
  <c r="KU484" i="40"/>
  <c r="KT281" i="40"/>
  <c r="KU280" i="40"/>
  <c r="KT682" i="40" l="1"/>
  <c r="KU681" i="40"/>
  <c r="Z18" i="70"/>
  <c r="AB18" i="70"/>
  <c r="KT582" i="40"/>
  <c r="KT583" i="40" s="1"/>
  <c r="KU581" i="40"/>
  <c r="AO18" i="70" s="1"/>
  <c r="AA18" i="70"/>
  <c r="KT383" i="40"/>
  <c r="KU382" i="40"/>
  <c r="KU281" i="40"/>
  <c r="Q18" i="70" s="1"/>
  <c r="KT282" i="40"/>
  <c r="KT486" i="40"/>
  <c r="KU485" i="40"/>
  <c r="KU682" i="40" l="1"/>
  <c r="KT683" i="40"/>
  <c r="KU582" i="40"/>
  <c r="AP18" i="70"/>
  <c r="AR18" i="70"/>
  <c r="S18" i="70"/>
  <c r="T18" i="70"/>
  <c r="KT584" i="40"/>
  <c r="KU583" i="40"/>
  <c r="KT283" i="40"/>
  <c r="KU282" i="40"/>
  <c r="R18" i="70"/>
  <c r="KT487" i="40"/>
  <c r="KU487" i="40" s="1"/>
  <c r="KU486" i="40"/>
  <c r="KT384" i="40"/>
  <c r="KU383" i="40"/>
  <c r="KT684" i="40" l="1"/>
  <c r="KU683" i="40"/>
  <c r="KT585" i="40"/>
  <c r="KU584" i="40"/>
  <c r="KT385" i="40"/>
  <c r="KU384" i="40"/>
  <c r="KT284" i="40"/>
  <c r="KU283" i="40"/>
  <c r="KT685" i="40" l="1"/>
  <c r="KU684" i="40"/>
  <c r="KU585" i="40"/>
  <c r="KT586" i="40"/>
  <c r="KT285" i="40"/>
  <c r="KU284" i="40"/>
  <c r="KT386" i="40"/>
  <c r="KU385" i="40"/>
  <c r="KT686" i="40" l="1"/>
  <c r="KU685" i="40"/>
  <c r="KT587" i="40"/>
  <c r="KU587" i="40" s="1"/>
  <c r="KU586" i="40"/>
  <c r="KT387" i="40"/>
  <c r="KU387" i="40" s="1"/>
  <c r="KU386" i="40"/>
  <c r="KT286" i="40"/>
  <c r="KU285" i="40"/>
  <c r="KT687" i="40" l="1"/>
  <c r="KU686" i="40"/>
  <c r="KT287" i="40"/>
  <c r="KU287" i="40" s="1"/>
  <c r="KU286" i="40"/>
  <c r="KU687" i="40" l="1"/>
  <c r="KT688" i="40"/>
  <c r="KT689" i="40" s="1"/>
  <c r="KT690" i="40" s="1"/>
  <c r="KT691" i="40" s="1"/>
  <c r="KT692" i="40" s="1"/>
  <c r="KT693" i="40" s="1"/>
  <c r="KT694" i="40" s="1"/>
  <c r="KT695" i="40" s="1"/>
  <c r="KT696" i="40" s="1"/>
  <c r="KT697" i="40" s="1"/>
  <c r="KT698" i="40" s="1"/>
  <c r="KT699" i="40" s="1"/>
  <c r="KT700" i="40" s="1"/>
  <c r="KT701"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<sst xmlns="http://schemas.openxmlformats.org/spreadsheetml/2006/main" count="10921" uniqueCount="1162">
  <si>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</si>
  <si>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</si>
  <si>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</si>
  <si>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</si>
  <si>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</si>
  <si>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</si>
  <si>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</si>
  <si>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</si>
  <si>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</si>
  <si>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</si>
  <si>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</si>
  <si>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</si>
  <si>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</si>
  <si>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</si>
  <si>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</si>
  <si>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</si>
  <si>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</si>
  <si>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</si>
  <si>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</si>
  <si>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</si>
  <si>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</si>
  <si>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</si>
  <si>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</si>
  <si>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</si>
  <si>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</si>
  <si>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</si>
  <si>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</si>
  <si>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</si>
  <si>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</si>
  <si>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</si>
  <si>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</si>
  <si>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</si>
  <si>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</si>
  <si>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</si>
  <si>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</si>
  <si>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</si>
  <si>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</si>
  <si>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</si>
  <si>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</si>
  <si>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</si>
  <si>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</si>
  <si>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</si>
  <si>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</si>
  <si>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</si>
  <si>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</si>
  <si>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</si>
  <si>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</si>
  <si>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</si>
  <si>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</si>
  <si>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</si>
  <si>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</si>
  <si>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</si>
  <si>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</si>
  <si>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</si>
  <si>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</si>
  <si>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</si>
  <si>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</si>
  <si>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</si>
  <si>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</si>
  <si>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</si>
  <si>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</si>
  <si>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</si>
  <si>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</si>
  <si>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</si>
  <si>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</si>
  <si>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</si>
  <si>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</si>
  <si>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</si>
  <si>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</si>
  <si>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</si>
  <si>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</si>
  <si>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</si>
  <si>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</si>
  <si>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</si>
  <si>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</si>
  <si>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</si>
  <si>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</si>
  <si>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</si>
  <si>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</si>
  <si>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</si>
  <si>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</si>
  <si>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</si>
  <si>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</si>
  <si>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</si>
  <si>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</si>
  <si>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</si>
  <si>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</si>
  <si>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</si>
  <si>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</si>
  <si>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</si>
  <si>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</si>
  <si>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</si>
  <si>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</si>
  <si>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</si>
  <si>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</si>
  <si>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</si>
  <si>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</si>
  <si>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</si>
  <si>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</si>
  <si>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</si>
  <si>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</si>
  <si>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</si>
  <si>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</si>
  <si>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</si>
  <si>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</si>
  <si>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</si>
  <si>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</si>
  <si>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</si>
  <si>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</si>
  <si>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</si>
  <si>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</si>
  <si>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</si>
  <si>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</si>
  <si>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</si>
  <si>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</si>
  <si>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</si>
  <si>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</si>
  <si>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</si>
  <si>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</si>
  <si>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</si>
  <si>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</si>
  <si>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</si>
  <si>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</si>
  <si>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</si>
  <si>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</si>
  <si>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</si>
  <si>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</si>
  <si>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</si>
  <si>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</si>
  <si>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</si>
  <si>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</si>
  <si>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</si>
  <si>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</si>
  <si>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</si>
  <si>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</si>
  <si>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</si>
  <si>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</si>
  <si>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</si>
  <si>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</si>
  <si>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</si>
  <si>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</si>
  <si>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</si>
  <si>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</si>
  <si>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</si>
  <si>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</si>
  <si>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</si>
  <si>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</si>
  <si>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</si>
  <si>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</si>
  <si>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</si>
  <si>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</si>
  <si>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</si>
  <si>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</si>
  <si>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</si>
  <si>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</si>
  <si>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</si>
  <si>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</si>
  <si>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</si>
  <si>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</si>
  <si>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</si>
  <si>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</si>
  <si>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</si>
  <si>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</si>
  <si>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</si>
  <si>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</si>
  <si>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</si>
  <si>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</si>
  <si>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</si>
  <si>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</si>
  <si>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</si>
  <si>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</si>
  <si>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</si>
  <si>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</si>
  <si>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</si>
  <si>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</si>
  <si>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</si>
  <si>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</si>
  <si>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</si>
  <si>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</si>
  <si>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</si>
  <si>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</si>
  <si>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</si>
  <si>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</si>
  <si>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</si>
  <si>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</si>
  <si>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</si>
  <si>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</si>
  <si>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</si>
  <si>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</si>
  <si>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</si>
  <si>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</si>
  <si>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</si>
  <si>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</si>
  <si>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</si>
  <si>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</si>
  <si>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</si>
  <si>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</si>
  <si>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</si>
  <si>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</si>
  <si>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</si>
  <si>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</si>
  <si>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</si>
  <si>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</si>
  <si>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</si>
  <si>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</si>
  <si>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</si>
  <si>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</si>
  <si>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</si>
  <si>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</si>
  <si>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</si>
  <si>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</si>
  <si>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</si>
  <si>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</si>
  <si>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</si>
  <si>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</si>
  <si>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</si>
  <si>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</si>
  <si>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</si>
  <si>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</si>
  <si>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</si>
  <si>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</si>
  <si>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</si>
  <si>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</si>
  <si>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</si>
  <si>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</si>
  <si>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</si>
  <si>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</si>
  <si>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</si>
  <si>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</si>
  <si>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</si>
  <si>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</si>
  <si>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</si>
  <si>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</si>
  <si>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</si>
  <si>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</si>
  <si>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</si>
  <si>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</si>
  <si>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</si>
  <si>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</si>
  <si>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</si>
  <si>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</si>
  <si>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</si>
  <si>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</si>
  <si>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</si>
  <si>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</si>
  <si>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</si>
  <si>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</si>
  <si>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</si>
  <si>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</si>
  <si>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</si>
  <si>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</si>
  <si>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</si>
  <si>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</si>
  <si>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</si>
  <si>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</si>
  <si>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</si>
  <si>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</si>
  <si>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</si>
  <si>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</si>
  <si>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</si>
  <si>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</si>
  <si>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</si>
  <si>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</si>
  <si>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</si>
  <si>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</si>
  <si>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</si>
  <si>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</si>
  <si>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</si>
  <si>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</si>
  <si>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</si>
  <si>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</si>
  <si>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</si>
  <si>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</si>
  <si>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</si>
  <si>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</si>
  <si>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</si>
  <si>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</si>
  <si>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</si>
  <si>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</si>
  <si>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</si>
  <si>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</si>
  <si>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</si>
  <si>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</si>
  <si>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</si>
  <si>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</si>
  <si>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</si>
  <si>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</si>
  <si>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</si>
  <si>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</si>
  <si>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</si>
  <si>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</si>
  <si>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</si>
  <si>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</si>
  <si>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</si>
  <si>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</si>
  <si>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</si>
  <si>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</si>
  <si>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</si>
  <si>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</si>
  <si>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</si>
  <si>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</si>
  <si>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</si>
  <si>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</si>
  <si>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</si>
  <si>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</si>
  <si>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</si>
  <si>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</si>
  <si>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</si>
  <si>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</si>
  <si>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</si>
  <si>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</si>
  <si>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</si>
  <si>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</si>
  <si>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</si>
  <si>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</si>
  <si>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</si>
  <si>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</si>
  <si>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</si>
  <si>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</si>
  <si>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</si>
  <si>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</si>
  <si>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</si>
  <si>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</si>
  <si>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</si>
  <si>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</si>
  <si>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</si>
  <si>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</si>
  <si>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</si>
  <si>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</si>
  <si>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</si>
  <si>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</si>
  <si>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</si>
  <si>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</si>
  <si>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</si>
  <si>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</si>
  <si>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</si>
  <si>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</si>
  <si>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</si>
  <si>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</si>
  <si>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</si>
  <si>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</si>
  <si>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</si>
  <si>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</si>
  <si>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</si>
  <si>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</si>
  <si>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</si>
  <si>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</si>
  <si>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</si>
  <si>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</si>
  <si>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</si>
  <si>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</si>
  <si>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</si>
  <si>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</si>
  <si>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</si>
  <si>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</si>
  <si>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</si>
  <si>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</si>
  <si>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</si>
  <si>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</si>
  <si>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</si>
  <si>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</si>
  <si>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</si>
  <si>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</si>
  <si>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</si>
  <si>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</si>
  <si>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</si>
  <si>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</si>
  <si>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</si>
  <si>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</si>
  <si>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</si>
  <si>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</si>
  <si>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</si>
  <si>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</si>
  <si>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</si>
  <si>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</si>
  <si>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</si>
  <si>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</si>
  <si>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</si>
  <si>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</si>
  <si>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</si>
  <si>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</si>
  <si>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</si>
  <si>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</si>
  <si>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</si>
  <si>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</si>
  <si>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</si>
  <si>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</si>
  <si>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</si>
  <si>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</si>
  <si>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</si>
  <si>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</si>
  <si>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</si>
  <si>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</si>
  <si>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</si>
  <si>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</si>
  <si>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</si>
  <si>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</si>
  <si>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</si>
  <si>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</si>
  <si>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</si>
  <si>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</si>
  <si>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</si>
  <si>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</si>
  <si>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</si>
  <si>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</si>
  <si>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</si>
  <si>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</si>
  <si>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</si>
  <si>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</si>
  <si>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</si>
  <si>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</si>
  <si>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</si>
  <si>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</si>
  <si>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</si>
  <si>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</si>
  <si>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</si>
  <si>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</si>
  <si>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</si>
  <si>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</si>
  <si>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</si>
  <si>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</si>
  <si>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</si>
  <si>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</si>
  <si>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</si>
  <si>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</si>
  <si>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</si>
  <si>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</si>
  <si>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</si>
  <si>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</si>
  <si>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</si>
  <si>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</si>
  <si>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</si>
  <si>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</si>
  <si>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</si>
  <si>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</si>
  <si>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</si>
  <si>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</si>
  <si>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</si>
  <si>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</si>
  <si>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</si>
  <si>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</si>
  <si>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</si>
  <si>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</si>
  <si>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</si>
  <si>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</si>
  <si>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</si>
  <si>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</si>
  <si>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</si>
  <si>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</si>
  <si>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</si>
  <si>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</si>
  <si>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</si>
  <si>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</si>
  <si>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</si>
  <si>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</si>
  <si>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</si>
  <si>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</si>
  <si>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</si>
  <si>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</si>
  <si>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</si>
  <si>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</si>
  <si>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</si>
  <si>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</si>
  <si>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</si>
  <si>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</si>
  <si>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</si>
  <si>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</si>
  <si>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</si>
  <si>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</si>
  <si>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</si>
  <si>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</si>
  <si>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</si>
  <si>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</si>
  <si>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</si>
  <si>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</si>
  <si>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</si>
  <si>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</si>
  <si>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</si>
  <si>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</si>
  <si>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</si>
  <si>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</si>
  <si>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</si>
  <si>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</si>
  <si>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</si>
  <si>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</si>
  <si>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</si>
  <si>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</si>
  <si>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</si>
  <si>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</si>
  <si>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</si>
  <si>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</si>
  <si>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</si>
  <si>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</si>
  <si>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</si>
  <si>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</si>
  <si>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</si>
  <si>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</si>
  <si>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</si>
  <si>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</si>
  <si>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</si>
  <si>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</si>
  <si>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</si>
  <si>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</si>
  <si>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</si>
  <si>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</si>
  <si>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</si>
  <si>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</si>
  <si>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</si>
  <si>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</si>
  <si>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</si>
  <si>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</si>
  <si>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</si>
  <si>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</si>
  <si>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</si>
  <si>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</si>
  <si>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</si>
  <si>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</si>
  <si>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</si>
  <si>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</si>
  <si>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</si>
  <si>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</si>
  <si>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</si>
  <si>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</si>
  <si>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</si>
  <si>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</si>
  <si>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</si>
  <si>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</si>
  <si>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</si>
  <si>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</si>
  <si>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</si>
  <si>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</si>
  <si>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</si>
  <si>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</si>
  <si>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</si>
  <si>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</si>
  <si>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</si>
  <si>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</si>
  <si>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</si>
  <si>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</si>
  <si>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</si>
  <si>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</si>
  <si>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</si>
  <si>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</si>
  <si>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</si>
  <si>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</si>
  <si>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</si>
  <si>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</si>
  <si>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</si>
  <si>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</si>
  <si>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</si>
  <si>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</si>
  <si>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</si>
  <si>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</si>
  <si>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</si>
  <si>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</si>
  <si>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</si>
  <si>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</si>
  <si>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</si>
  <si>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</si>
  <si>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</si>
  <si>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</si>
  <si>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</si>
  <si>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</si>
  <si>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</si>
  <si>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</si>
  <si>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</si>
  <si>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</si>
  <si>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</si>
  <si>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</si>
  <si>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</si>
  <si>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</si>
  <si>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</si>
  <si>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</si>
  <si>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</si>
  <si>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</si>
  <si>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</si>
  <si>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</si>
  <si>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</si>
  <si>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</si>
  <si>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</si>
  <si>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</si>
  <si>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</si>
  <si>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</si>
  <si>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</si>
  <si>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</si>
  <si>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</si>
  <si>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</si>
  <si>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</si>
  <si>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</si>
  <si>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</si>
  <si>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</si>
  <si>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</si>
  <si>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</si>
  <si>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</si>
  <si>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</si>
  <si>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</si>
  <si>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</si>
  <si>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</si>
  <si>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</si>
  <si>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</si>
  <si>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</si>
  <si>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</si>
  <si>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</si>
  <si>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</si>
  <si>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</si>
  <si>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</si>
  <si>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</si>
  <si>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</si>
  <si>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</si>
  <si>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</si>
  <si>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</si>
  <si>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</si>
  <si>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</si>
  <si>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</si>
  <si>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</si>
  <si>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</si>
  <si>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</si>
  <si>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</si>
  <si>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</si>
  <si>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</si>
  <si>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</si>
  <si>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</si>
  <si>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</si>
  <si>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</si>
  <si>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</si>
  <si>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</si>
  <si>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</si>
  <si>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</si>
  <si>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</si>
  <si>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</si>
  <si>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</si>
  <si>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</si>
  <si>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</si>
  <si>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</si>
  <si>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</si>
  <si>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</si>
  <si>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</si>
  <si>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</si>
  <si>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</si>
  <si>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</si>
  <si>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</si>
  <si>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</si>
  <si>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</si>
  <si>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</si>
  <si>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</si>
  <si>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</si>
  <si>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</si>
  <si>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</si>
  <si>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</si>
  <si>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</si>
  <si>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</si>
  <si>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</si>
  <si>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</si>
  <si>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</si>
  <si>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</si>
  <si>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</si>
  <si>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</si>
  <si>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</si>
  <si>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</si>
  <si>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</si>
  <si>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</si>
  <si>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</si>
  <si>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</si>
  <si>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</si>
  <si>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</si>
  <si>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</si>
  <si>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</si>
  <si>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</si>
  <si>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</si>
  <si>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</si>
  <si>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</si>
  <si>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</si>
  <si>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</si>
  <si>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</si>
  <si>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</si>
  <si>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</si>
  <si>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</si>
  <si>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</si>
  <si>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</si>
  <si>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</si>
  <si>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</si>
  <si>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</si>
  <si>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</si>
  <si>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</si>
  <si>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</si>
  <si>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</si>
  <si>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</si>
  <si>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</si>
  <si>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</si>
  <si>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</si>
  <si>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</si>
  <si>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</si>
  <si>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</si>
  <si>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</si>
  <si>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</si>
  <si>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</si>
  <si>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</si>
  <si>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</si>
  <si>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</si>
  <si>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</si>
  <si>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</si>
  <si>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</si>
  <si>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</si>
  <si>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</si>
  <si>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</si>
  <si>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</si>
  <si>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</si>
  <si>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</si>
  <si>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</si>
  <si>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</si>
  <si>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</si>
  <si>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</si>
  <si>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</si>
  <si>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</si>
  <si>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</si>
  <si>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</si>
  <si>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</si>
  <si>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</si>
  <si>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</si>
  <si>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</si>
  <si>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</si>
  <si>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</si>
  <si>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</si>
  <si>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</si>
  <si>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</si>
  <si>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</si>
  <si>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</si>
  <si>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</si>
  <si>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</si>
  <si>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</si>
  <si>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</si>
  <si>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</si>
  <si>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</si>
  <si>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</si>
  <si>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</si>
  <si>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</si>
  <si>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</si>
  <si>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</si>
  <si>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</si>
  <si>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</si>
  <si>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</si>
  <si>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</si>
  <si>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</si>
  <si>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</si>
  <si>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</si>
  <si>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</si>
  <si>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</si>
  <si>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</si>
  <si>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</si>
  <si>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</si>
  <si>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</si>
  <si>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</si>
  <si>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</si>
  <si>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</si>
  <si>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</si>
  <si>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</si>
  <si>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</si>
  <si>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</si>
  <si>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</si>
  <si>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</si>
  <si>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</si>
  <si>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</si>
  <si>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</si>
  <si>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</si>
  <si>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</si>
  <si>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</si>
  <si>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</si>
  <si>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</si>
  <si>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</si>
  <si>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</si>
  <si>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</si>
  <si>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</si>
  <si>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</si>
  <si>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</si>
  <si>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</si>
  <si>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</si>
  <si>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</si>
  <si>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</si>
  <si>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</si>
  <si>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</si>
  <si>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</si>
  <si>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</si>
  <si>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</si>
  <si>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</si>
  <si>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</si>
  <si>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</si>
  <si>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</si>
  <si>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</si>
  <si>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</si>
  <si>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</si>
  <si>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</si>
  <si>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</si>
  <si>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</si>
  <si>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</si>
  <si>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</si>
  <si>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</si>
  <si>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</si>
  <si>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</si>
  <si>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</si>
  <si>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</si>
  <si>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</si>
  <si>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</si>
  <si>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</si>
  <si>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</si>
  <si>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</si>
  <si>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</si>
  <si>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</si>
  <si>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</si>
  <si>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</si>
  <si>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</si>
  <si>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</si>
  <si>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</si>
  <si>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</si>
  <si>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</si>
  <si>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</si>
  <si>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</si>
  <si>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</si>
  <si>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</si>
  <si>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</si>
  <si>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</si>
  <si>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</si>
  <si>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</si>
  <si>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</si>
  <si>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</si>
  <si>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</si>
  <si>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</si>
  <si>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</si>
  <si>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</si>
  <si>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</si>
  <si>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</si>
  <si>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</si>
  <si>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</si>
  <si>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</si>
  <si>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</si>
  <si>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</si>
  <si>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</si>
  <si>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</si>
  <si>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</si>
  <si>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</si>
  <si>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</si>
  <si>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</si>
  <si>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</si>
  <si>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</si>
  <si>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</si>
  <si>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</si>
  <si>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</si>
  <si>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</si>
  <si>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</si>
  <si>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</si>
  <si>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</si>
  <si>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</si>
  <si>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</si>
  <si>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</si>
  <si>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</si>
  <si>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</si>
  <si>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</si>
  <si>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</si>
  <si>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</si>
  <si>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</si>
  <si>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</si>
  <si>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</si>
  <si>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</si>
  <si>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</si>
  <si>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</si>
  <si>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</si>
  <si>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</si>
  <si>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</si>
  <si>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</si>
  <si>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</si>
  <si>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</si>
  <si>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</si>
  <si>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</si>
  <si>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</si>
  <si>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</si>
  <si>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</si>
  <si>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</si>
  <si>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</si>
  <si>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</si>
  <si>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</si>
  <si>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</si>
  <si>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</si>
  <si>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</si>
  <si>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</si>
  <si>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</si>
  <si>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</si>
  <si>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</si>
  <si>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</si>
  <si>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</si>
  <si>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</si>
  <si>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</si>
  <si>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</si>
  <si>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</si>
  <si>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</si>
  <si>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</si>
  <si>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</si>
  <si>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</si>
  <si>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</si>
  <si>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</si>
  <si>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</si>
  <si>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</si>
  <si>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</si>
  <si>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</si>
  <si>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</si>
  <si>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</si>
  <si>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</si>
  <si>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</si>
  <si>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</si>
  <si>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</si>
  <si>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</si>
  <si>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</si>
  <si>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</si>
  <si>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</si>
  <si>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</si>
  <si>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</si>
  <si>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</si>
  <si>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</si>
  <si>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</si>
  <si>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</si>
  <si>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</si>
  <si>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</si>
  <si>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</si>
  <si>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</si>
  <si>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</si>
  <si>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</si>
  <si>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</si>
  <si>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</si>
  <si>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</si>
  <si>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</si>
  <si>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</si>
  <si>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</si>
  <si>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</si>
  <si>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</si>
  <si>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</si>
  <si>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</si>
  <si>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</si>
  <si>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</si>
  <si>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</si>
  <si>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</si>
  <si>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</si>
  <si>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</si>
  <si>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</si>
  <si>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</si>
  <si>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</si>
  <si>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</si>
  <si>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</si>
  <si>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</si>
  <si>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</si>
  <si>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</si>
  <si>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</si>
  <si>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</si>
  <si>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</si>
  <si>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</si>
  <si>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</si>
  <si>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</si>
  <si>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</si>
  <si>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</si>
  <si>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</si>
  <si>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</si>
  <si>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</si>
  <si>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</si>
  <si>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</si>
  <si>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</si>
  <si>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</si>
  <si>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</si>
  <si>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</si>
  <si>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</si>
  <si>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</si>
  <si>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</si>
  <si>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</si>
  <si>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</si>
  <si>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</si>
  <si>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</si>
  <si>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</si>
  <si>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</si>
  <si>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</si>
  <si>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</si>
  <si>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</si>
  <si>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</si>
  <si>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</si>
  <si>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</si>
  <si>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</si>
  <si>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</si>
  <si>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</si>
  <si>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</si>
  <si>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</si>
  <si>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</si>
  <si>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</si>
  <si>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</si>
  <si>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</si>
  <si>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</si>
  <si>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</si>
  <si>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</si>
  <si>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</si>
  <si>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</si>
  <si>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</si>
  <si>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</si>
  <si>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</si>
  <si>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</si>
  <si>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</si>
  <si>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</si>
  <si>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</si>
  <si>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</si>
  <si>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</si>
  <si>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</si>
  <si>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</si>
  <si>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</si>
  <si>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</si>
  <si>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</si>
  <si>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</si>
  <si>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</si>
  <si>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</si>
  <si>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</si>
  <si>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</si>
  <si>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</si>
  <si>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</si>
  <si>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</si>
  <si>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</si>
  <si>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</si>
  <si>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</si>
  <si>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</si>
  <si>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</si>
  <si>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</si>
  <si>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</si>
  <si>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</si>
  <si>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</si>
  <si>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</si>
  <si>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</si>
  <si>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</si>
  <si>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</si>
  <si>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</si>
  <si>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</si>
  <si>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</si>
  <si>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</si>
  <si>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</si>
  <si>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</si>
  <si>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</si>
  <si>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</si>
  <si>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</si>
  <si>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</si>
  <si>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</si>
  <si>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</si>
  <si>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</si>
  <si>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</si>
  <si>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</si>
  <si>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</si>
  <si>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</si>
  <si>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</si>
  <si>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</si>
  <si>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</si>
  <si>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</si>
  <si>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</si>
  <si>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</si>
  <si>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</si>
  <si>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</si>
  <si>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</si>
  <si>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</si>
  <si>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</si>
  <si>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</si>
  <si>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</si>
  <si>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</si>
  <si>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</si>
  <si>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</si>
  <si>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</si>
  <si>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</si>
  <si>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</si>
  <si>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</si>
  <si>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</si>
  <si>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</si>
  <si>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</si>
  <si>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</si>
  <si>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</si>
  <si>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</si>
  <si>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</si>
  <si>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</si>
  <si>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</si>
  <si>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</si>
  <si>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Misc 2:  Event Retail Bonus Cash (C, F)</t>
  </si>
  <si>
    <t xml:space="preserve"> Event (L)</t>
  </si>
  <si>
    <t xml:space="preserve"> Event (RBC)</t>
  </si>
  <si>
    <t>PPT Slide Width:</t>
  </si>
  <si>
    <t>Ending Column:</t>
  </si>
  <si>
    <t>AH</t>
  </si>
  <si>
    <t>Title:</t>
  </si>
  <si>
    <t>Region L1 (Eastern) Incentive Scenarios</t>
  </si>
  <si>
    <t>AI</t>
  </si>
  <si>
    <t>AN</t>
  </si>
  <si>
    <t>Footer:</t>
  </si>
  <si>
    <t>Notes: Profitability based on a contribution margin before incentives of 30% vehicle price</t>
  </si>
  <si>
    <t>Source:</t>
  </si>
  <si>
    <t>Source: PIN Incentive Planning &amp; Consulting</t>
  </si>
  <si>
    <t>Region L2 (Eastern, Central, SW) Incentive Scenarios</t>
  </si>
  <si>
    <t>Region L3 (Southern, Western) Incentive Scenarios</t>
  </si>
  <si>
    <t>Region R1 (Southern, Southwest) Incentive Scenarios</t>
  </si>
  <si>
    <t>Region R2 (Central, Western) Incentive Scenarios</t>
  </si>
  <si>
    <t>Ending Row:</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</si>
  <si>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</si>
  <si>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</si>
  <si>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</si>
  <si>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</si>
  <si>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</si>
  <si>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</si>
  <si>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</si>
  <si>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</si>
  <si>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</si>
  <si>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</si>
  <si>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</si>
  <si>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</si>
  <si>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</si>
  <si>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</si>
  <si>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</si>
  <si>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</si>
  <si>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</si>
  <si>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</si>
  <si>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</si>
  <si>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</si>
  <si>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</si>
  <si>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</si>
  <si>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Date/Time of calculation: 2019-07-09 21:03 (UTC-04:00)</t>
  </si>
  <si>
    <t>Alfa Romeo Stelvio Quadrifoglio</t>
  </si>
  <si>
    <t>Cadillac XT4</t>
  </si>
  <si>
    <t>Jaguar I-Pace</t>
  </si>
  <si>
    <t>Lexus UX</t>
  </si>
  <si>
    <t>Fiat 500C</t>
  </si>
  <si>
    <t>Fiat 500e</t>
  </si>
  <si>
    <t>smart fortwo electric drive</t>
  </si>
  <si>
    <t>Forte2020L1</t>
  </si>
  <si>
    <t>Forte2020L2</t>
  </si>
  <si>
    <t>Forte2020L3</t>
  </si>
  <si>
    <t>Forte2020R1</t>
  </si>
  <si>
    <t>Forte2020R2</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</si>
  <si>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</si>
  <si>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</si>
  <si>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</si>
  <si>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</si>
  <si>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</si>
  <si>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</si>
  <si>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</si>
  <si>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</si>
  <si>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</si>
  <si>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</si>
  <si>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</si>
  <si>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</si>
  <si>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</si>
  <si>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</si>
  <si>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</si>
  <si>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 xml:space="preserve"> Trim BC</t>
  </si>
  <si>
    <t>APR
(60/66/72/84)</t>
  </si>
  <si>
    <t>Misc 5: Event Lease Bonus Cash (L)</t>
  </si>
  <si>
    <t xml:space="preserve"> RBC</t>
  </si>
  <si>
    <t xml:space="preserve"> Lease Bonus</t>
  </si>
  <si>
    <t>Event
Lease</t>
  </si>
  <si>
    <t>Event
RBC</t>
  </si>
  <si>
    <t>December</t>
  </si>
  <si>
    <t>Misc 4: Stackable Bonus Cash</t>
  </si>
  <si>
    <t>Bonus</t>
  </si>
  <si>
    <t>Event Lease</t>
  </si>
  <si>
    <t xml:space="preserve"> Bonus</t>
  </si>
  <si>
    <t>CA Lease Bonus</t>
  </si>
  <si>
    <t xml:space="preserve"> CA Lease Bonus</t>
  </si>
  <si>
    <t>January</t>
  </si>
  <si>
    <t>Misc 1: State Retail Bonus Cash (C, F)</t>
  </si>
  <si>
    <t>Misc 3: State Lease Bonus Cash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</si>
</sst>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67">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44" fontId="14" fillId="0" borderId="0" xfId="0" applyNumberFormat="1" applyFont="1"/>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0" fontId="26" fillId="43" borderId="0" xfId="0" applyFont="1" applyFill="1"/>
    <xf numFmtId="9" fontId="13" fillId="39" borderId="107" xfId="7" applyNumberFormat="1" applyBorder="1"/>
    <xf numFmtId="9" fontId="13" fillId="39" borderId="144" xfId="7" applyNumberFormat="1" applyBorder="1"/>
    <xf numFmtId="0" fontId="42" fillId="66" borderId="0" xfId="0" applyFont="1" applyFill="1" applyAlignment="1">
      <alignment horizontal="center" vertical="center"/>
    </xf>
    <xf numFmtId="0" fontId="92" fillId="0" borderId="0" xfId="0" quotePrefix="1" applyFont="1" applyAlignment="1">
      <alignment vertical="center"/>
    </xf>
    <xf numFmtId="164" fontId="92" fillId="0" borderId="0" xfId="0" applyNumberFormat="1" applyFont="1" applyAlignment="1">
      <alignment vertical="center"/>
    </xf>
    <xf numFmtId="0" fontId="92" fillId="62" borderId="0" xfId="0" quotePrefix="1" applyFont="1" applyFill="1" applyAlignment="1">
      <alignment vertical="center"/>
    </xf>
    <xf numFmtId="167" fontId="92" fillId="62" borderId="0" xfId="0" applyNumberFormat="1" applyFont="1" applyFill="1" applyAlignment="1">
      <alignment vertical="center"/>
    </xf>
    <xf numFmtId="164" fontId="92" fillId="62" borderId="0" xfId="0" applyNumberFormat="1" applyFont="1" applyFill="1" applyAlignment="1">
      <alignment vertical="center"/>
    </xf>
    <xf numFmtId="0" fontId="65" fillId="0" borderId="14" xfId="0" applyFont="1" applyFill="1" applyBorder="1"/>
    <xf numFmtId="0" fontId="65" fillId="0" borderId="15" xfId="0" applyFont="1" applyFill="1" applyBorder="1"/>
    <xf numFmtId="0" fontId="80" fillId="0" borderId="14" xfId="12" applyFont="1" applyBorder="1"/>
    <xf numFmtId="0" fontId="65" fillId="0" borderId="0" xfId="2" applyNumberFormat="1" applyFont="1" applyFill="1" applyBorder="1"/>
    <xf numFmtId="0" fontId="80" fillId="0" borderId="0" xfId="12" applyFont="1" applyBorder="1"/>
    <xf numFmtId="10" fontId="14" fillId="0" borderId="0" xfId="2" applyNumberFormat="1" applyFont="1" applyAlignment="1">
      <alignment horizontal="right"/>
    </xf>
    <xf numFmtId="1" fontId="14" fillId="0" borderId="0" xfId="2" applyNumberFormat="1" applyFont="1" applyAlignment="1">
      <alignment horizontal="right"/>
    </xf>
    <xf numFmtId="0" fontId="14" fillId="0" borderId="0" xfId="2" applyNumberFormat="1" applyFont="1" applyAlignment="1">
      <alignment horizontal="right"/>
    </xf>
    <xf numFmtId="9" fontId="14" fillId="0" borderId="0" xfId="2" applyFont="1" applyAlignment="1">
      <alignment horizontal="right"/>
    </xf>
    <xf numFmtId="164" fontId="65" fillId="0" borderId="0" xfId="2" applyNumberFormat="1" applyFont="1"/>
    <xf numFmtId="166" fontId="65" fillId="0" borderId="0" xfId="1" applyNumberFormat="1" applyFont="1"/>
    <xf numFmtId="171" fontId="65" fillId="0" borderId="0" xfId="0" applyNumberFormat="1" applyFont="1"/>
    <xf numFmtId="168" fontId="65" fillId="0" borderId="0" xfId="0" applyNumberFormat="1" applyFont="1"/>
    <xf numFmtId="0" fontId="98" fillId="0" borderId="0" xfId="0" applyFont="1" applyAlignment="1">
      <alignment horizontal="right" vertical="top"/>
    </xf>
    <xf numFmtId="0" fontId="98" fillId="0" borderId="0" xfId="0" applyFont="1" applyAlignment="1">
      <alignment horizontal="left" vertical="top"/>
    </xf>
    <xf numFmtId="0" fontId="98" fillId="0" borderId="3" xfId="0" applyFont="1" applyBorder="1" applyAlignment="1">
      <alignment horizontal="left" wrapText="1"/>
    </xf>
    <xf numFmtId="0" fontId="98" fillId="0" borderId="3" xfId="0" applyFont="1" applyBorder="1" applyAlignment="1">
      <alignment horizontal="right" wrapText="1"/>
    </xf>
    <xf numFmtId="0" fontId="98" fillId="0" borderId="3" xfId="0" quotePrefix="1" applyFont="1" applyBorder="1" applyAlignment="1">
      <alignment horizontal="right" wrapText="1"/>
    </xf>
    <xf numFmtId="0" fontId="98" fillId="41" borderId="0" xfId="0" applyFont="1" applyFill="1" applyAlignment="1">
      <alignment horizontal="left" vertical="top"/>
    </xf>
    <xf numFmtId="1" fontId="98" fillId="0" borderId="0" xfId="0" applyNumberFormat="1" applyFont="1" applyAlignment="1">
      <alignment horizontal="right" vertical="top"/>
    </xf>
    <xf numFmtId="9" fontId="98" fillId="0" borderId="0" xfId="2" applyFont="1" applyAlignment="1">
      <alignment horizontal="right" vertical="top"/>
    </xf>
    <xf numFmtId="164" fontId="98" fillId="0" borderId="0" xfId="2" applyNumberFormat="1" applyFont="1" applyAlignment="1">
      <alignment horizontal="right" vertical="top"/>
    </xf>
    <xf numFmtId="10" fontId="98" fillId="0" borderId="0" xfId="0" applyNumberFormat="1" applyFont="1" applyAlignment="1">
      <alignment horizontal="right" vertical="top"/>
    </xf>
    <xf numFmtId="0" fontId="98" fillId="62" borderId="0" xfId="0" applyFont="1" applyFill="1" applyAlignment="1">
      <alignment horizontal="left" vertical="top"/>
    </xf>
    <xf numFmtId="1" fontId="98" fillId="62" borderId="0" xfId="0" applyNumberFormat="1" applyFont="1" applyFill="1" applyAlignment="1">
      <alignment horizontal="right" vertical="top"/>
    </xf>
    <xf numFmtId="9" fontId="98" fillId="62" borderId="0" xfId="2" applyFont="1" applyFill="1" applyAlignment="1">
      <alignment horizontal="right" vertical="top"/>
    </xf>
    <xf numFmtId="164" fontId="98" fillId="62" borderId="0" xfId="2" applyNumberFormat="1" applyFont="1" applyFill="1" applyAlignment="1">
      <alignment horizontal="right" vertical="top"/>
    </xf>
    <xf numFmtId="10" fontId="98" fillId="62" borderId="0" xfId="0" applyNumberFormat="1" applyFont="1" applyFill="1" applyAlignment="1">
      <alignment horizontal="right" vertical="top"/>
    </xf>
    <xf numFmtId="1" fontId="98" fillId="0" borderId="0" xfId="0" applyNumberFormat="1" applyFont="1" applyAlignment="1">
      <alignment horizontal="left" vertical="top"/>
    </xf>
    <xf numFmtId="9" fontId="98" fillId="0" borderId="0" xfId="2" applyFont="1" applyAlignment="1">
      <alignment horizontal="left" vertical="top"/>
    </xf>
    <xf numFmtId="10" fontId="98" fillId="0" borderId="0" xfId="0" applyNumberFormat="1" applyFont="1" applyAlignment="1">
      <alignment horizontal="left" vertical="top"/>
    </xf>
    <xf numFmtId="0" fontId="98" fillId="62" borderId="0" xfId="0" applyFont="1" applyFill="1" applyAlignment="1">
      <alignment horizontal="right" vertical="top"/>
    </xf>
    <xf numFmtId="167" fontId="32" fillId="0" borderId="78" xfId="47" applyNumberFormat="1" applyFill="1" applyBorder="1" applyAlignment="1">
      <alignment horizontal="right"/>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49" fontId="20" fillId="48" borderId="14" xfId="30" applyNumberFormat="1" applyFont="1" applyFill="1" applyBorder="1" applyAlignment="1">
      <alignment horizontal="center" vertical="center"/>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6" borderId="54"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49" xfId="30" applyNumberFormat="1" applyFill="1" applyBorder="1" applyAlignment="1">
      <alignment horizontal="center"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0" fontId="20" fillId="0" borderId="0" xfId="0" applyFont="1" applyBorder="1" applyAlignment="1">
      <alignment horizontal="left"/>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66" borderId="0" xfId="0" applyFont="1" applyFill="1" applyAlignment="1">
      <alignment horizontal="center" vertical="center"/>
    </xf>
    <xf numFmtId="0" fontId="17" fillId="7" borderId="0" xfId="0" applyFont="1" applyFill="1" applyAlignment="1">
      <alignment horizontal="center" vertical="center"/>
    </xf>
    <xf numFmtId="0" fontId="17" fillId="64" borderId="0" xfId="0" applyFont="1" applyFill="1" applyAlignment="1">
      <alignment horizontal="center" vertical="center"/>
    </xf>
    <xf numFmtId="0" fontId="17" fillId="65" borderId="0" xfId="0" applyFont="1" applyFill="1" applyAlignment="1">
      <alignment horizontal="center" vertical="center"/>
    </xf>
    <xf numFmtId="0" fontId="17" fillId="40"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632523"/>
      <color rgb="FFFFFF99"/>
      <color rgb="FFDBE5F1"/>
      <color rgb="FFDBE5E0"/>
      <color rgb="FFB8CCE4"/>
      <color rgb="FFB8CC9E"/>
      <color rgb="FFFFC000"/>
      <color rgb="FFFFCC99"/>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calcChain" Target="calcChain.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CC, +1000 APR Cash</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'L1'!$AK$34</c:f>
                  <c:strCache>
                    <c:ptCount val="1"/>
                    <c:pt idx="0">
                      <c:v>A: +1000 CC, +1000 APR Cash</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{15E0E545-9A9A-48EC-B9B6-13C9A91AF6B5}</c15:txfldGUID>
                      <c15:f>'L1'!$AK$34</c15:f>
                      <c15:dlblFieldTableCache>
                        <c:ptCount val="1"/>
                        <c:pt idx="0">
                          <c:v>A: +1000 CC, +1000 APR Cash</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66.950127790327315</c:v>
                </c:pt>
              </c:numCache>
              <c:extLst xmlns:c15="http://schemas.microsoft.com/office/drawing/2012/chart"/>
            </c:numRef>
          </c:xVal>
          <c:yVal>
            <c:numRef>
              <c:f>'L1'!$AI$35</c:f>
              <c:numCache>
                <c:formatCode>0.0%</c:formatCode>
                <c:ptCount val="1"/>
                <c:pt idx="0">
                  <c:v>6.158573527906127E-2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+1000 CC, 0/0/0.9/3.9</c:v>
                </c:pt>
              </c:strCache>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+1000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{E9925481-A101-419A-B11B-FAAFA936B319}</c15:txfldGUID>
                      <c15:f>'L1'!$AK$36</c15:f>
                      <c15:dlblFieldTableCache>
                        <c:ptCount val="1"/>
                        <c:pt idx="0">
                          <c:v>B: +1000 CC, 0/0/0.9/3.9</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'L1'!$AC$37</c:f>
              <c:numCache>
                <c:formatCode>_("$"* #,##0_);_("$"* \(#,##0\);_("$"* "-"??_);_(@_)</c:formatCode>
                <c:ptCount val="1"/>
                <c:pt idx="0">
                  <c:v>-4.19706909011893</c:v>
                </c:pt>
              </c:numCache>
            </c:numRef>
          </c:xVal>
          <c:yVal>
            <c:numRef>
              <c:f>'L1'!$AI$37</c:f>
              <c:numCache>
                <c:formatCode>0.0%</c:formatCode>
                <c:ptCount val="1"/>
                <c:pt idx="0">
                  <c:v>4.4278599663542091E-2</c:v>
                </c:pt>
              </c:numCache>
            </c:numRef>
          </c:yVal>
          <c:smooth val="0"/>
          <c:extLst>
            <c:ext xmlns:c16="http://schemas.microsoft.com/office/drawing/2014/chart" uri="{C3380CC4-5D6E-409C-BE32-E72D297353CC}">
              <c16:uniqueId val="{00000003-629C-4594-8CFA-F6E78B950076}"/>
            </c:ext>
          </c:extLst>
        </c:ser>
        <c:ser>
          <c:idx val="2"/>
          <c:order val="2"/>
          <c:tx>
            <c:strRef>
              <c:f>'L1'!$AK$38</c:f>
              <c:strCache>
                <c:ptCount val="1"/>
                <c:pt idx="0">
                  <c:v>C: +750 CC, +750 APR Cash</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+750 CC, +750 APR Cash</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{5E68EA1A-2703-4165-BC44-08E303B8015C}</c15:txfldGUID>
                      <c15:f>'L1'!$AK$38</c15:f>
                      <c15:dlblFieldTableCache>
                        <c:ptCount val="1"/>
                        <c:pt idx="0">
                          <c:v>C: +750 CC, +750 APR Cash</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38.983141356638953</c:v>
                </c:pt>
              </c:numCache>
            </c:numRef>
          </c:xVal>
          <c:yVal>
            <c:numRef>
              <c:f>'L1'!$AI$39</c:f>
              <c:numCache>
                <c:formatCode>0.0%</c:formatCode>
                <c:ptCount val="1"/>
                <c:pt idx="0">
                  <c:v>4.5332707267047134E-2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+750 CC, 0/0/0.9/3.9</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+750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{1308F0F5-DC30-4E8B-A544-11FC6F025AF9}</c15:txfldGUID>
                      <c15:f>'L1'!$AK$40</c15:f>
                      <c15:dlblFieldTableCache>
                        <c:ptCount val="1"/>
                        <c:pt idx="0">
                          <c:v>D: +750 CC, 0/0/0.9/3.9</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-6.8908617897695876</c:v>
                </c:pt>
              </c:numCache>
            </c:numRef>
          </c:xVal>
          <c:yVal>
            <c:numRef>
              <c:f>'L1'!$AI$41</c:f>
              <c:numCache>
                <c:formatCode>0.0%</c:formatCode>
                <c:ptCount val="1"/>
                <c:pt idx="0">
                  <c:v>3.5089525598029539E-2</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+500 CC, 0.9/1.9/2.9/3.9</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+500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{C314C282-2CCB-4A93-BFC8-44AA6932B74D}</c15:txfldGUID>
                      <c15:f>'L1'!$AK$42</c15:f>
                      <c15:dlblFieldTableCache>
                        <c:ptCount val="1"/>
                        <c:pt idx="0">
                          <c:v>E: +500 CC, 0.9/1.9/2.9/3.9</c:v>
                        </c:pt>
                      </c15:dlblFieldTableCache>
                    </c15:dlblFTEntry>
                  </c15:dlblFieldTable>
                  <c15:showDataLabelsRange val="0"/>
                </c:ext>
                <c:ext xmlns:c16="http://schemas.microsoft.com/office/drawing/2014/chart" uri="{C3380CC4-5D6E-409C-BE32-E72D297353CC}">
                  <c16:uniqueId val="{00000008-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-34.315327758135027</c:v>
                </c:pt>
              </c:numCache>
            </c:numRef>
          </c:xVal>
          <c:yVal>
            <c:numRef>
              <c:f>'L1'!$AI$43</c:f>
              <c:numCache>
                <c:formatCode>0.0%</c:formatCode>
                <c:ptCount val="1"/>
                <c:pt idx="0">
                  <c:v>2.9612110225102758E-3</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F: +1000 CC, 0/1.8/2.8/3.9, +2000 APR Cash</c:v>
                </c:pt>
              </c:strCache>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F: +1000 CC, 0/1.8/2.8/3.9, +2000 APR Cash</c:v>
                    </c:pt>
                  </c:strCache>
                </c:strRef>
              </c:tx>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extLst>
                <c:ext xmlns:c15="http://schemas.microsoft.com/office/drawing/2012/chart" uri="{CE6537A1-D6FC-4f65-9D91-7224C49458BB}">
                  <c15:dlblFieldTable>
                    <c15:dlblFTEntry>
                      <c15:txfldGUID>{7FC8CF37-48F4-4AC3-AF11-7755EC8D8AF4}</c15:txfldGUID>
                      <c15:f>'L1'!$AK$44</c15:f>
                      <c15:dlblFieldTableCache>
                        <c:ptCount val="1"/>
                        <c:pt idx="0">
                          <c:v>F: +1000 CC, 0/1.8/2.8/3.9, +2000 APR Cash</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'L1'!$AC$45</c:f>
              <c:numCache>
                <c:formatCode>_("$"* #,##0_);_("$"* \(#,##0\);_("$"* "-"??_);_(@_)</c:formatCode>
                <c:ptCount val="1"/>
                <c:pt idx="0">
                  <c:v>161.80131883568629</c:v>
                </c:pt>
              </c:numCache>
            </c:numRef>
          </c:xVal>
          <c:yVal>
            <c:numRef>
              <c:f>'L1'!$AI$45</c:f>
              <c:numCache>
                <c:formatCode>0.0%</c:formatCode>
                <c:ptCount val="1"/>
                <c:pt idx="0">
                  <c:v>8.3783341105846107E-2</c:v>
                </c:pt>
              </c:numCache>
            </c:numRef>
          </c:yVal>
          <c:smooth val="0"/>
          <c:extLst>
            <c:ext xmlns:c16="http://schemas.microsoft.com/office/drawing/2014/chart" uri="{C3380CC4-5D6E-409C-BE32-E72D297353CC}">
              <c16:uniqueId val="{0000000B-629C-4594-8CFA-F6E78B950076}"/>
            </c:ext>
          </c:extLst>
        </c:ser>
        <c:ser>
          <c:idx val="6"/>
          <c:order val="6"/>
          <c:tx>
            <c:strRef>
              <c:f>'L1'!$AK$46</c:f>
              <c:strCache>
                <c:ptCount val="1"/>
                <c:pt idx="0">
                  <c:v>G: +1000 CC, 0/2.8/3.8/3.9, +2000 APR Cash</c:v>
                </c:pt>
              </c:strCache>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G: +1000 CC, 0/2.8/3.8/3.9, +2000 APR Cash</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{E3F99EA8-DFF2-4B6E-80AE-05C3449596FB}</c15:txfldGUID>
                      <c15:f>'L1'!$AK$46</c15:f>
                      <c15:dlblFieldTableCache>
                        <c:ptCount val="1"/>
                        <c:pt idx="0">
                          <c:v>G: +1000 CC, 0/2.8/3.8/3.9, +2000 APR Cash</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'L1'!$AC$47</c:f>
              <c:numCache>
                <c:formatCode>_("$"* #,##0_);_("$"* \(#,##0\);_("$"* "-"??_);_(@_)</c:formatCode>
                <c:ptCount val="1"/>
                <c:pt idx="0">
                  <c:v>134.38714233988139</c:v>
                </c:pt>
              </c:numCache>
            </c:numRef>
          </c:xVal>
          <c:yVal>
            <c:numRef>
              <c:f>'L1'!$AI$47</c:f>
              <c:numCache>
                <c:formatCode>0.0%</c:formatCode>
                <c:ptCount val="1"/>
                <c:pt idx="0">
                  <c:v>7.6823293557817654E-2</c:v>
                </c:pt>
              </c:numCache>
            </c:numRef>
          </c:yVal>
          <c:smooth val="0"/>
          <c:extLst>
            <c:ext xmlns:c16="http://schemas.microsoft.com/office/drawing/2014/chart" uri="{C3380CC4-5D6E-409C-BE32-E72D297353CC}">
              <c16:uniqueId val="{0000000D-629C-4594-8CFA-F6E78B950076}"/>
            </c:ext>
          </c:extLst>
        </c:ser>
        <c:ser>
          <c:idx val="7"/>
          <c:order val="7"/>
          <c:tx>
            <c:strRef>
              <c:f>'L1'!$AK$48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{822E60F5-60FB-4D97-8408-CA0AFA56123D}</c15:txfldGUID>
                      <c15:f>'L1'!$AK$48</c15:f>
                      <c15:dlblFieldTableCache>
                        <c:ptCount val="1"/>
                        <c:pt idx="0">
                          <c:v>#VALUE!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#N/A</c:v>
                </c:pt>
              </c:numCache>
            </c:numRef>
          </c:xVal>
          <c:yVal>
            <c:numRef>
              <c:f>'L1'!$AI$49</c:f>
              <c:numCache>
                <c:formatCode>0.0%</c:formatCode>
                <c:ptCount val="1"/>
                <c:pt idx="0">
                  <c:v>#N/A</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{10519845-3C9E-4749-8A86-0AF0656E3ECA}</c15:txfldGUID>
                      <c15:f>'L1'!$AK$50</c15:f>
                      <c15:dlblFieldTableCache>
                        <c:ptCount val="1"/>
                        <c:pt idx="0">
                          <c:v>#VALUE!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#N/A</c:v>
                </c:pt>
              </c:numCache>
            </c:numRef>
          </c:xVal>
          <c:yVal>
            <c:numRef>
              <c:f>'L1'!$AI$51</c:f>
              <c:numCache>
                <c:formatCode>0.0%</c:formatCode>
                <c:ptCount val="1"/>
                <c:pt idx="0">
                  <c:v>#N/A</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{49B3FAE6-B3F0-43F6-BFB7-FFCBC9CA5228}</c15:txfldGUID>
                      <c15:f>'L1'!$AK$52</c15:f>
                      <c15:dlblFieldTableCache>
                        <c:ptCount val="1"/>
                        <c:pt idx="0">
                          <c:v>#VALUE!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#N/A</c:v>
                </c:pt>
              </c:numCache>
            </c:numRef>
          </c:xVal>
          <c:yVal>
            <c:numRef>
              <c:f>'L1'!$AI$53</c:f>
              <c:numCache>
                <c:formatCode>0.0%</c:formatCode>
                <c:ptCount val="1"/>
                <c:pt idx="0">
                  <c:v>#N/A</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{79DC23AA-DC8F-4EA4-A40C-B89E5E3747D6}</c15:txfldGUID>
                      <c15:f>'L1'!$AK$54</c15:f>
                      <c15:dlblFieldTableCache>
                        <c:ptCount val="1"/>
                        <c:pt idx="0">
                          <c:v>#VALUE!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#N/A</c:v>
                </c:pt>
              </c:numCache>
            </c:numRef>
          </c:xVal>
          <c:yVal>
            <c:numRef>
              <c:f>'L1'!$AI$55</c:f>
              <c:numCache>
                <c:formatCode>0.0%</c:formatCode>
                <c:ptCount val="1"/>
                <c:pt idx="0">
                  <c:v>#N/A</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{91813970-637F-4648-A453-3604185D281D}</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{8C430283-7ED6-4FD6-AF58-9AB426530676}</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{D8E4D413-92BE-41FA-BCE9-B10C0C38FE34}</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{F1DA9A5C-2420-470D-A739-25686FB7F2FE}</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{F7E5B067-4BC8-4165-AF81-DD21E71ADD81}</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{5603159A-B7D7-4687-B655-AB694C34E754}</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elete val="1"/>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+1000 CC,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{D4586692-304C-43D2-A366-8822365D2961}</c15:txfldGUID>
                      <c15:f>'L2'!$AK$34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60B6-425A-B1FF-A5B1D8CFC8DF}"/>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1.4024503894734153</c:v>
                </c:pt>
              </c:numCache>
              <c:extLst xmlns:c15="http://schemas.microsoft.com/office/drawing/2012/chart"/>
            </c:numRef>
          </c:xVal>
          <c:yVal>
            <c:numRef>
              <c:f>'L2'!$AI$35</c:f>
              <c:numCache>
                <c:formatCode>0.0%</c:formatCode>
                <c:ptCount val="1"/>
                <c:pt idx="0">
                  <c:v>3.6911437961851347E-2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+1000 CC, 0/0/0.9/3.9</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+1000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{EA71A984-BABF-4838-819D-AF40E473970F}</c15:txfldGUID>
                      <c15:f>'L2'!$AK$36</c15:f>
                      <c15:dlblFieldTableCache>
                        <c:ptCount val="1"/>
                        <c:pt idx="0">
                          <c:v>B: +1000 CC, 0/0/0.9/3.9</c:v>
                        </c:pt>
                      </c15:dlblFieldTableCache>
                    </c15:dlblFTEntry>
                  </c15:dlblFieldTable>
                  <c15:showDataLabelsRange val="0"/>
                </c:ext>
                <c:ext xmlns:c16="http://schemas.microsoft.com/office/drawing/2014/chart" uri="{C3380CC4-5D6E-409C-BE32-E72D297353CC}">
                  <c16:uniqueId val="{00000002-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270.71199010879491</c:v>
                </c:pt>
              </c:numCache>
            </c:numRef>
          </c:xVal>
          <c:yVal>
            <c:numRef>
              <c:f>'L2'!$AI$37</c:f>
              <c:numCache>
                <c:formatCode>0.0%</c:formatCode>
                <c:ptCount val="1"/>
                <c:pt idx="0">
                  <c:v>8.8968777990001566E-2</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+750 CC, -360 Lease</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+750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{DCBE810C-F12F-4CEA-99E6-60BA30C113D3}</c15:txfldGUID>
                      <c15:f>'L2'!$AK$38</c15:f>
                      <c15:dlblFieldTableCache>
                        <c:ptCount val="1"/>
                        <c:pt idx="0">
                          <c:v>C: +750 CC, -360 Lease</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-74.952447374331769</c:v>
                </c:pt>
              </c:numCache>
            </c:numRef>
          </c:xVal>
          <c:yVal>
            <c:numRef>
              <c:f>'L2'!$AI$39</c:f>
              <c:numCache>
                <c:formatCode>0.0%</c:formatCode>
                <c:ptCount val="1"/>
                <c:pt idx="0">
                  <c:v>1.8810369096935071E-2</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+750 CC, 0/0/0.9/3.9</c:v>
                </c:pt>
              </c:strCache>
            </c:strRef>
          </c:tx>
          <c:spPr>
            <a:ln w="28575">
              <a:noFill/>
            </a:ln>
          </c:spPr>
          <c:marker>
            <c:symbol val="diamond"/>
            <c:size val="8"/>
            <c:spPr>
              <a:solidFill>
                <a:schemeClr val="tx1"/>
              </a:solidFill>
              <a:ln w="15875">
                <a:solidFill>
                  <a:schemeClr val="tx1"/>
                </a:solidFill>
              </a:ln>
            </c:spPr>
          </c:marker>
          <c:dLbls>
            <c:dLbl>
              <c:idx val="0"/>
              <c:tx>
                <c:strRef>
                  <c:f>'L2'!$AK$40</c:f>
                  <c:strCache>
                    <c:ptCount val="1"/>
                    <c:pt idx="0">
                      <c:v>D: +750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{A9639600-CF3E-4FCC-B3C4-32D08A6D5B1F}</c15:txfldGUID>
                      <c15:f>'L2'!$AK$40</c15:f>
                      <c15:dlblFieldTableCache>
                        <c:ptCount val="1"/>
                        <c:pt idx="0">
                          <c:v>D: +750 CC, 0/0/0.9/3.9</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210.1841934952422</c:v>
                </c:pt>
              </c:numCache>
            </c:numRef>
          </c:xVal>
          <c:yVal>
            <c:numRef>
              <c:f>'L2'!$AI$41</c:f>
              <c:numCache>
                <c:formatCode>0.0%</c:formatCode>
                <c:ptCount val="1"/>
                <c:pt idx="0">
                  <c:v>7.1427474518120204E-2</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+500 CC, -360 Lease</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+500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{AF177867-897F-4825-839D-7D0E739ADB2A}</c15:txfldGUID>
                      <c15:f>'L2'!$AK$42</c15:f>
                      <c15:dlblFieldTableCache>
                        <c:ptCount val="1"/>
                        <c:pt idx="0">
                          <c:v>E: +500 CC, -360 Lease</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-141.21894454038693</c:v>
                </c:pt>
              </c:numCache>
            </c:numRef>
          </c:xVal>
          <c:yVal>
            <c:numRef>
              <c:f>'L2'!$AI$43</c:f>
              <c:numCache>
                <c:formatCode>0.0%</c:formatCode>
                <c:ptCount val="1"/>
                <c:pt idx="0">
                  <c:v>1.5605042770333482E-3</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{578173FE-E174-4089-8B32-052CECF8565F}</c15:txfldGUID>
                      <c15:f>'L2'!$AK$44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-197.35659861430804</c:v>
                </c:pt>
              </c:numCache>
            </c:numRef>
          </c:xVal>
          <c:yVal>
            <c:numRef>
              <c:f>'L2'!$AI$45</c:f>
              <c:numCache>
                <c:formatCode>0.0%</c:formatCode>
                <c:ptCount val="1"/>
                <c:pt idx="0">
                  <c:v>-1.485744575502264E-2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0/0/0.9/3.9, -360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0/0/0.9/3.9,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{C4F2DB85-A3A1-4D7D-8066-95DC91099D7D}</c15:txfldGUID>
                      <c15:f>'L2'!$AK$46</c15:f>
                      <c15:dlblFieldTableCache>
                        <c:ptCount val="1"/>
                        <c:pt idx="0">
                          <c:v>G: 0/0/0.9/3.9, -360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-145.43197853111587</c:v>
                </c:pt>
              </c:numCache>
            </c:numRef>
          </c:xVal>
          <c:yVal>
            <c:numRef>
              <c:f>'L2'!$AI$47</c:f>
              <c:numCache>
                <c:formatCode>0.0%</c:formatCode>
                <c:ptCount val="1"/>
                <c:pt idx="0">
                  <c:v>-6.5008878467518174E-3</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H: +1000 CC, 0/0/0.9/3.9, -360 Lease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H: +1000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{A1B1CAEC-08E8-47D8-9EFE-CAB1261D135B}</c15:txfldGUID>
                      <c15:f>'L2'!$AK$48</c15:f>
                      <c15:dlblFieldTableCache>
                        <c:ptCount val="1"/>
                        <c:pt idx="0">
                          <c:v>H: +1000 CC, 0/0/0.9/3.9, -360 Lease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80.843194416846927</c:v>
                </c:pt>
              </c:numCache>
            </c:numRef>
          </c:xVal>
          <c:yVal>
            <c:numRef>
              <c:f>'L2'!$AI$49</c:f>
              <c:numCache>
                <c:formatCode>0.0%</c:formatCode>
                <c:ptCount val="1"/>
                <c:pt idx="0">
                  <c:v>6.0174036756397341E-2</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I: +750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I: +750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{4DF45413-488A-49A8-8CAE-99065FDE6511}</c15:txfldGUID>
                      <c15:f>'L2'!$AK$50</c15:f>
                      <c15:dlblFieldTableCache>
                        <c:ptCount val="1"/>
                        <c:pt idx="0">
                          <c:v>I: +750 CC, 0/0/0.9/3.9, -360 Lease</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9.3234533501649821</c:v>
                </c:pt>
              </c:numCache>
            </c:numRef>
          </c:xVal>
          <c:yVal>
            <c:numRef>
              <c:f>'L2'!$AI$51</c:f>
              <c:numCache>
                <c:formatCode>0.0%</c:formatCode>
                <c:ptCount val="1"/>
                <c:pt idx="0">
                  <c:v>4.2246466058980463E-2</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J: +500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J: +500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{D8083859-BC0D-44FA-A4B6-4077E919A7A6}</c15:txfldGUID>
                      <c15:f>'L2'!$AK$52</c15:f>
                      <c15:dlblFieldTableCache>
                        <c:ptCount val="1"/>
                        <c:pt idx="0">
                          <c:v>J: +500 CC, 0/0/0.9/3.9, -360 Lease</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-52.227777043585775</c:v>
                </c:pt>
              </c:numCache>
            </c:numRef>
          </c:xVal>
          <c:yVal>
            <c:numRef>
              <c:f>'L2'!$AI$53</c:f>
              <c:numCache>
                <c:formatCode>0.0%</c:formatCode>
                <c:ptCount val="1"/>
                <c:pt idx="0">
                  <c:v>2.5171237693994767E-2</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K: +250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K: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{3BE0C904-875A-4ACE-9975-A955369EF773}</c15:txfldGUID>
                      <c15:f>'L2'!$AK$54</c15:f>
                      <c15:dlblFieldTableCache>
                        <c:ptCount val="1"/>
                        <c:pt idx="0">
                          <c:v>K: +250 CC, 0/0/0.9/3.9, -360 Lease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-103.79939603585763</c:v>
                </c:pt>
              </c:numCache>
            </c:numRef>
          </c:xVal>
          <c:yVal>
            <c:numRef>
              <c:f>'L2'!$AI$55</c:f>
              <c:numCache>
                <c:formatCode>0.0%</c:formatCode>
                <c:ptCount val="1"/>
                <c:pt idx="0">
                  <c:v>8.9287680676632154E-3</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L: +500 CC, 0.9/1.9/2.9/3.9, -360 Lease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L: +500 CC,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{CA0B97EE-DEE1-476E-B4D4-2261D645CF9C}</c15:txfldGUID>
                      <c15:f>'L2'!$AK$56</c15:f>
                      <c15:dlblFieldTableCache>
                        <c:ptCount val="1"/>
                        <c:pt idx="0">
                          <c:v>L: +500 CC, 0.9/1.9/2.9/3.9, -360 Lease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-230.20451298281478</c:v>
                </c:pt>
              </c:numCache>
            </c:numRef>
          </c:xVal>
          <c:yVal>
            <c:numRef>
              <c:f>'L2'!$AI$57</c:f>
              <c:numCache>
                <c:formatCode>0.0%</c:formatCode>
                <c:ptCount val="1"/>
                <c:pt idx="0">
                  <c:v>-2.5206952936138286E-2</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M: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M: +250 CC, 0.9/1.9/2.9/3.9,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{EFC5D13A-1992-409B-8367-99C9A4A4355C}</c15:txfldGUID>
                      <c15:f>'L2'!$AK$58</c15:f>
                      <c15:dlblFieldTableCache>
                        <c:ptCount val="1"/>
                        <c:pt idx="0">
                          <c:v>M: +250 CC, 0.9/1.9/2.9/3.9, -360 Lease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-291.1184427689027</c:v>
                </c:pt>
              </c:numCache>
            </c:numRef>
          </c:xVal>
          <c:yVal>
            <c:numRef>
              <c:f>'L2'!$AI$59</c:f>
              <c:numCache>
                <c:formatCode>0.0%</c:formatCode>
                <c:ptCount val="1"/>
                <c:pt idx="0">
                  <c:v>-4.1777533989723524E-2</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{0362D809-30C2-47EA-B660-ABB28E187D11}</c15:txfldGUID>
                      <c15:f>'L2'!$AK$60</c15:f>
                      <c15:dlblFieldTableCache>
                        <c:ptCount val="1"/>
                        <c:pt idx="0">
                          <c:v>#VALUE!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#N/A</c:v>
                </c:pt>
              </c:numCache>
            </c:numRef>
          </c:xVal>
          <c:yVal>
            <c:numRef>
              <c:f>'L2'!$AI$61</c:f>
              <c:numCache>
                <c:formatCode>0.0%</c:formatCode>
                <c:ptCount val="1"/>
                <c:pt idx="0">
                  <c:v>#N/A</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{6BB7AE47-257E-4602-AEC9-55C2A7E3A30B}</c15:txfldGUID>
                      <c15:f>'L2'!$AK$62</c15:f>
                      <c15:dlblFieldTableCache>
                        <c:ptCount val="1"/>
                        <c:pt idx="0">
                          <c:v>#VALUE!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#N/A</c:v>
                </c:pt>
              </c:numCache>
            </c:numRef>
          </c:xVal>
          <c:yVal>
            <c:numRef>
              <c:f>'L2'!$AI$63</c:f>
              <c:numCache>
                <c:formatCode>0.0%</c:formatCode>
                <c:ptCount val="1"/>
                <c:pt idx="0">
                  <c:v>#N/A</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{DAC15D28-E95E-4E7B-AF14-4B732A0FA01A}</c15:txfldGUID>
                      <c15:f>'L2'!$AK$64</c15:f>
                      <c15:dlblFieldTableCache>
                        <c:ptCount val="1"/>
                        <c:pt idx="0">
                          <c:v>#VALUE!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#N/A</c:v>
                </c:pt>
              </c:numCache>
            </c:numRef>
          </c:xVal>
          <c:yVal>
            <c:numRef>
              <c:f>'L2'!$AI$65</c:f>
              <c:numCache>
                <c:formatCode>0.0%</c:formatCode>
                <c:ptCount val="1"/>
                <c:pt idx="0">
                  <c:v>#N/A</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#N/A</c:v>
                </c:pt>
              </c:numCache>
            </c:numRef>
          </c:xVal>
          <c:yVal>
            <c:numRef>
              <c:f>'L2'!$AI$67</c:f>
              <c:numCache>
                <c:formatCode>0.0%</c:formatCode>
                <c:ptCount val="1"/>
                <c:pt idx="0">
                  <c:v>#N/A</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#N/A</c:v>
                </c:pt>
              </c:numCache>
            </c:numRef>
          </c:xVal>
          <c:yVal>
            <c:numRef>
              <c:f>'L2'!$AI$69</c:f>
              <c:numCache>
                <c:formatCode>0.0%</c:formatCode>
                <c:ptCount val="1"/>
                <c:pt idx="0">
                  <c:v>#N/A</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{F5CF0A0C-7780-448E-9DC8-47329F2CEFDD}</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elete val="1"/>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{A5BF2D35-CA32-4C25-8C90-46F5D964A5D7}</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B: +720 Lease, 0 Other</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B: +720 Lease, 0 Other</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{36EF6529-EFDB-42F1-9FE0-AE8F493C6B96}</c15:txfldGUID>
                      <c15:f>'Output (LFC)'!$AK$36</c15:f>
                      <c15:dlblFieldTableCache>
                        <c:ptCount val="1"/>
                        <c:pt idx="0">
                          <c:v>B: +720 Lease, 0 Other</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819.80679949814748</c:v>
                </c:pt>
              </c:numCache>
            </c:numRef>
          </c:xVal>
          <c:yVal>
            <c:numRef>
              <c:f>'Output (LFC)'!$AI$37</c:f>
              <c:numCache>
                <c:formatCode>0.0%</c:formatCode>
                <c:ptCount val="1"/>
                <c:pt idx="0">
                  <c:v>0.13297802379576035</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{2F6F7981-5A87-4BB0-BAE3-5E748DAE8D63}</c15:txfldGUID>
                      <c15:f>'Output (LFC)'!$AK$38</c15:f>
                      <c15:dlblFieldTableCache>
                        <c:ptCount val="1"/>
                        <c:pt idx="0">
                          <c:v>#N/A</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#N/A</c:v>
                </c:pt>
              </c:numCache>
            </c:numRef>
          </c:xVal>
          <c:yVal>
            <c:numRef>
              <c:f>'Output (LFC)'!$AI$39</c:f>
              <c:numCache>
                <c:formatCode>0.0%</c:formatCode>
                <c:ptCount val="1"/>
                <c:pt idx="0">
                  <c:v>#N/A</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{F4234EA2-DA0A-4E16-8D88-86B89668535E}</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E: +360 Lease, 0 Other</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E: +360 Lease, 0 Other</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{2E166630-5D5E-4ED1-B889-AABCC1E9EC5C}</c15:txfldGUID>
                      <c15:f>'Output (LFC)'!$AK$42</c15:f>
                      <c15:dlblFieldTableCache>
                        <c:ptCount val="1"/>
                        <c:pt idx="0">
                          <c:v>E: +360 Lease, 0 Other</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404.00401182793212</c:v>
                </c:pt>
              </c:numCache>
            </c:numRef>
          </c:xVal>
          <c:yVal>
            <c:numRef>
              <c:f>'Output (LFC)'!$AI$43</c:f>
              <c:numCache>
                <c:formatCode>0.0%</c:formatCode>
                <c:ptCount val="1"/>
                <c:pt idx="0">
                  <c:v>6.3448534145597396E-2</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{5FFDAAA7-772A-4FF0-9955-81F119D44A65}</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{3D469CC3-C83A-47B2-B1DA-19E035D0E17B}</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{2A498112-C72E-4127-84BF-A3F674D0B9C5}</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{CB48A8C2-2F24-42A7-BDF6-879E5C951170}</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{D41AEA34-FFE2-4C7E-BF5B-0FDDD4EF35F5}</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{5351E3FF-4CBE-49E3-9488-0EC15E94B63A}</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{D3622BEC-B64E-40B7-BA1C-AB008CA6B5A6}</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{88FE2D83-6892-453D-B8E5-AA106A58D55B}</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{2621D687-7831-470E-8787-000B0C420828}</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{44C21B4D-D69D-4197-85E1-A0A88F06A545}</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{5564E36D-38B3-45AC-B937-A4A128F541A7}</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{E4544A7C-60D9-4F29-8261-061236F786DB}</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+1000 CC, 0/0/0.9/3.9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+1000 CC, 0/0/0.9/3.9</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{E22C23AB-78A2-4D3E-BEF3-F837ED247758}</c15:txfldGUID>
                      <c15:f>'L3'!$AK$34</c15:f>
                      <c15:dlblFieldTableCache>
                        <c:ptCount val="1"/>
                        <c:pt idx="0">
                          <c:v>A: +1000 CC, 0/0/0.9/3.9</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266.92181291642009</c:v>
                </c:pt>
              </c:numCache>
              <c:extLst xmlns:c15="http://schemas.microsoft.com/office/drawing/2012/chart"/>
            </c:numRef>
          </c:xVal>
          <c:yVal>
            <c:numRef>
              <c:f>'L3'!$AI$35</c:f>
              <c:numCache>
                <c:formatCode>0.0%</c:formatCode>
                <c:ptCount val="1"/>
                <c:pt idx="0">
                  <c:v>8.6724136598317264E-2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+1000 CC, -360 Lease</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+1000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{1BF5FB5B-E092-4E05-B90C-8BCE2BF8AE35}</c15:txfldGUID>
                      <c15:f>'L3'!$AK$36</c15:f>
                      <c15:dlblFieldTableCache>
                        <c:ptCount val="1"/>
                        <c:pt idx="0">
                          <c:v>B: +1000 CC, -360 Lease</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-27.489856023075845</c:v>
                </c:pt>
              </c:numCache>
            </c:numRef>
          </c:xVal>
          <c:yVal>
            <c:numRef>
              <c:f>'L3'!$AI$37</c:f>
              <c:numCache>
                <c:formatCode>0.0%</c:formatCode>
                <c:ptCount val="1"/>
                <c:pt idx="0">
                  <c:v>2.4476547728623881E-2</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+750 CC, -360 Lease</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{DABCDDCC-A357-4EA6-BD53-750C6083C3E4}</c15:txfldGUID>
                      <c15:f>'L3'!$AK$38</c15:f>
                      <c15:dlblFieldTableCache>
                        <c:ptCount val="1"/>
                        <c:pt idx="0">
                          <c:v>C: +750 CC, -360 Lease</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-86.348567963319965</c:v>
                </c:pt>
              </c:numCache>
            </c:numRef>
          </c:xVal>
          <c:yVal>
            <c:numRef>
              <c:f>'L3'!$AI$39</c:f>
              <c:numCache>
                <c:formatCode>0.0%</c:formatCode>
                <c:ptCount val="1"/>
                <c:pt idx="0">
                  <c:v>8.8840334651791291E-3</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+750 CC, 0/0/0.9/3.9</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+750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{9CFFE5A3-15A6-4AE1-97BD-46B5E06BA527}</c15:txfldGUID>
                      <c15:f>'L3'!$AK$40</c15:f>
                      <c15:dlblFieldTableCache>
                        <c:ptCount val="1"/>
                        <c:pt idx="0">
                          <c:v>D: +750 CC, 0/0/0.9/3.9</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223.00688703527339</c:v>
                </c:pt>
              </c:numCache>
            </c:numRef>
          </c:xVal>
          <c:yVal>
            <c:numRef>
              <c:f>'L3'!$AI$41</c:f>
              <c:numCache>
                <c:formatCode>0.0%</c:formatCode>
                <c:ptCount val="1"/>
                <c:pt idx="0">
                  <c:v>7.1743313020743799E-2</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+500 CC, -360 Lease</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{702E063B-D41E-42D8-93D9-65D1473E4D0A}</c15:txfldGUID>
                      <c15:f>'L3'!$AK$42</c15:f>
                      <c15:dlblFieldTableCache>
                        <c:ptCount val="1"/>
                        <c:pt idx="0">
                          <c:v>E: +500 CC, -360 Lease</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-136.08457561526393</c:v>
                </c:pt>
              </c:numCache>
            </c:numRef>
          </c:xVal>
          <c:yVal>
            <c:numRef>
              <c:f>'L3'!$AI$43</c:f>
              <c:numCache>
                <c:formatCode>0.0%</c:formatCode>
                <c:ptCount val="1"/>
                <c:pt idx="0">
                  <c:v>-5.7131446299143714E-3</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+500 CC, 0/0/0.9/3.9</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+500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{763000D5-D416-460D-9D4A-6AEDBEC32594}</c15:txfldGUID>
                      <c15:f>'L3'!$AK$44</c15:f>
                      <c15:dlblFieldTableCache>
                        <c:ptCount val="1"/>
                        <c:pt idx="0">
                          <c:v>F: +500 CC, 0/0/0.9/3.9</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187.79702867512424</c:v>
                </c:pt>
              </c:numCache>
            </c:numRef>
          </c:xVal>
          <c:yVal>
            <c:numRef>
              <c:f>'L3'!$AI$45</c:f>
              <c:numCache>
                <c:formatCode>0.0%</c:formatCode>
                <c:ptCount val="1"/>
                <c:pt idx="0">
                  <c:v>5.775899781994439E-2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+250 CC, -360 Lease</c:v>
                </c:pt>
              </c:strCache>
            </c:strRef>
          </c:tx>
          <c:spPr>
            <a:ln w="15875">
              <a:noFill/>
            </a:ln>
          </c:spPr>
          <c:marker>
            <c:symbol val="diamond"/>
            <c:size val="8"/>
            <c:spPr>
              <a:solidFill>
                <a:schemeClr val="tx1"/>
              </a:solidFill>
              <a:ln w="15875">
                <a:solidFill>
                  <a:schemeClr val="tx1"/>
                </a:solidFill>
              </a:ln>
            </c:spPr>
          </c:marker>
          <c:dLbls>
            <c:dLbl>
              <c:idx val="0"/>
              <c:layout>
                <c:manualLayout>
                  <c:x val="-2.5557279024212919E-2"/>
                  <c:y val="-5.0979984951835158E-2"/>
                </c:manualLayout>
              </c:layout>
              <c:tx>
                <c:strRef>
                  <c:f>'L3'!$AK$46</c:f>
                  <c:strCache>
                    <c:ptCount val="1"/>
                    <c:pt idx="0">
                      <c:v>G: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{C1382B5B-8D35-4B9C-80FF-B64F1DEC1D1E}</c15:txfldGUID>
                      <c15:f>'L3'!$AK$46</c15:f>
                      <c15:dlblFieldTableCache>
                        <c:ptCount val="1"/>
                        <c:pt idx="0">
                          <c:v>G: +250 CC, -360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-176.88570904265362</c:v>
                </c:pt>
              </c:numCache>
            </c:numRef>
          </c:xVal>
          <c:yVal>
            <c:numRef>
              <c:f>'L3'!$AI$47</c:f>
              <c:numCache>
                <c:formatCode>0.0%</c:formatCode>
                <c:ptCount val="1"/>
                <c:pt idx="0">
                  <c:v>-1.9342457964728502E-2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H: +1000 CC, 0/0/0.9/3.9, -360 Lease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H: +1000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{85A517CE-24D3-417A-909D-AE7F33402F2D}</c15:txfldGUID>
                      <c15:f>'L3'!$AK$48</c15:f>
                      <c15:dlblFieldTableCache>
                        <c:ptCount val="1"/>
                        <c:pt idx="0">
                          <c:v>H: +1000 CC, 0/0/0.9/3.9, -360 Lease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79.207788806284043</c:v>
                </c:pt>
              </c:numCache>
            </c:numRef>
          </c:xVal>
          <c:yVal>
            <c:numRef>
              <c:f>'L3'!$AI$49</c:f>
              <c:numCache>
                <c:formatCode>0.0%</c:formatCode>
                <c:ptCount val="1"/>
                <c:pt idx="0">
                  <c:v>5.6422545851258513E-2</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I: +750 CC, 0/0/0.9/3.9, -360 Lease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I: +750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{1303AFD1-F729-451F-AA97-FCC9DC4561D6}</c15:txfldGUID>
                      <c15:f>'L3'!$AK$50</c15:f>
                      <c15:dlblFieldTableCache>
                        <c:ptCount val="1"/>
                        <c:pt idx="0">
                          <c:v>I: +750 CC, 0/0/0.9/3.9, -360 Lease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25.706531488315704</c:v>
                </c:pt>
              </c:numCache>
            </c:numRef>
          </c:xVal>
          <c:yVal>
            <c:numRef>
              <c:f>'L3'!$AI$51</c:f>
              <c:numCache>
                <c:formatCode>0.0%</c:formatCode>
                <c:ptCount val="1"/>
                <c:pt idx="0">
                  <c:v>4.1053546509285513E-2</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J: +500 CC, 0/0/0.9/3.9, -360 Lease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J: +500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{3421483B-8D7C-439A-8ECF-B068E7C2D396}</c15:txfldGUID>
                      <c15:f>'L3'!$AK$52</c15:f>
                      <c15:dlblFieldTableCache>
                        <c:ptCount val="1"/>
                        <c:pt idx="0">
                          <c:v>J: +500 CC, 0/0/0.9/3.9, -360 Lease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-18.901116171030935</c:v>
                </c:pt>
              </c:numCache>
            </c:numRef>
          </c:xVal>
          <c:yVal>
            <c:numRef>
              <c:f>'L3'!$AI$53</c:f>
              <c:numCache>
                <c:formatCode>0.0%</c:formatCode>
                <c:ptCount val="1"/>
                <c:pt idx="0">
                  <c:v>2.6680845324401566E-2</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K: +250 CC, 0/0/0.9/3.9, -360 Lease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K: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{EFA084F9-6BC9-43B5-8202-C2AED254BDF1}</c15:txfldGUID>
                      <c15:f>'L3'!$AK$54</c15:f>
                      <c15:dlblFieldTableCache>
                        <c:ptCount val="1"/>
                        <c:pt idx="0">
                          <c:v>K: +250 CC, 0/0/0.9/3.9, -360 Lease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-54.831913453263041</c:v>
                </c:pt>
              </c:numCache>
            </c:numRef>
          </c:xVal>
          <c:yVal>
            <c:numRef>
              <c:f>'L3'!$AI$55</c:f>
              <c:numCache>
                <c:formatCode>0.0%</c:formatCode>
                <c:ptCount val="1"/>
                <c:pt idx="0">
                  <c:v>1.3276630905042231E-2</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L: +500 CC, 0.9/1.9/2.9/3.9, -360 Lease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L: +500 CC,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{F513DC02-48F3-4E52-B724-3BC674226AE7}</c15:txfldGUID>
                      <c15:f>'L3'!$AK$56</c15:f>
                      <c15:dlblFieldTableCache>
                        <c:ptCount val="1"/>
                        <c:pt idx="0">
                          <c:v>L: +500 CC, 0.9/1.9/2.9/3.9, -360 Lease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-253.00200058062183</c:v>
                </c:pt>
              </c:numCache>
            </c:numRef>
          </c:xVal>
          <c:yVal>
            <c:numRef>
              <c:f>'L3'!$AI$57</c:f>
              <c:numCache>
                <c:formatCode>0.0%</c:formatCode>
                <c:ptCount val="1"/>
                <c:pt idx="0">
                  <c:v>-4.2034523006798434E-2</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M: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M: +250 CC, 0.9/1.9/2.9/3.9,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{1EB96B26-A170-4682-B883-212FF1C2D118}</c15:txfldGUID>
                      <c15:f>'L3'!$AK$58</c15:f>
                      <c15:dlblFieldTableCache>
                        <c:ptCount val="1"/>
                        <c:pt idx="0">
                          <c:v>M: +250 CC, 0.9/1.9/2.9/3.9, -360 Lease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-298.83432556007483</c:v>
                </c:pt>
              </c:numCache>
            </c:numRef>
          </c:xVal>
          <c:yVal>
            <c:numRef>
              <c:f>'L3'!$AI$59</c:f>
              <c:numCache>
                <c:formatCode>0.0%</c:formatCode>
                <c:ptCount val="1"/>
                <c:pt idx="0">
                  <c:v>-5.5854083335001331E-2</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{6954AB32-F847-4B3D-8E91-1BE9F2C9E79F}</c15:txfldGUID>
                      <c15:f>'L3'!$AK$60</c15:f>
                      <c15:dlblFieldTableCache>
                        <c:ptCount val="1"/>
                        <c:pt idx="0">
                          <c:v>#VALUE!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#N/A</c:v>
                </c:pt>
              </c:numCache>
            </c:numRef>
          </c:xVal>
          <c:yVal>
            <c:numRef>
              <c:f>'L3'!$AI$61</c:f>
              <c:numCache>
                <c:formatCode>0.0%</c:formatCode>
                <c:ptCount val="1"/>
                <c:pt idx="0">
                  <c:v>#N/A</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{09B3C62B-C946-49FB-825E-88668086C8CD}</c15:txfldGUID>
                      <c15:f>'L3'!$AK$62</c15:f>
                      <c15:dlblFieldTableCache>
                        <c:ptCount val="1"/>
                        <c:pt idx="0">
                          <c:v>#VALUE!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#N/A</c:v>
                </c:pt>
              </c:numCache>
            </c:numRef>
          </c:xVal>
          <c:yVal>
            <c:numRef>
              <c:f>'L3'!$AI$63</c:f>
              <c:numCache>
                <c:formatCode>0.0%</c:formatCode>
                <c:ptCount val="1"/>
                <c:pt idx="0">
                  <c:v>#N/A</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{6F99255E-0390-43B7-8B1A-C1BA1D0DF633}</c15:txfldGUID>
                      <c15:f>'L3'!$AK$64</c15:f>
                      <c15:dlblFieldTableCache>
                        <c:ptCount val="1"/>
                        <c:pt idx="0">
                          <c:v>#VALUE!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#N/A</c:v>
                </c:pt>
              </c:numCache>
            </c:numRef>
          </c:xVal>
          <c:yVal>
            <c:numRef>
              <c:f>'L3'!$AI$65</c:f>
              <c:numCache>
                <c:formatCode>0.0%</c:formatCode>
                <c:ptCount val="1"/>
                <c:pt idx="0">
                  <c:v>#N/A</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{A30AE86B-3805-43CB-8FB4-3BD6909894E5}</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614454158074681E-2"/>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+750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+750 CC, -360 Lease</c:v>
                    </c:pt>
                  </c:strCache>
                </c:strRef>
              </c:tx>
              <c:dLblPos val="l"/>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{30D100EC-1EB5-4324-A950-E41D9258AB48}</c15:txfldGUID>
                      <c15:f>'R1'!$AK$34</c15:f>
                      <c15:dlblFieldTableCache>
                        <c:ptCount val="1"/>
                        <c:pt idx="0">
                          <c:v>A: +750 CC, -360 Lease</c:v>
                        </c:pt>
                      </c15:dlblFieldTableCache>
                    </c15:dlblFTEntry>
                  </c15:dlblFieldTable>
                  <c15:showDataLabelsRange val="0"/>
                </c:ext>
                <c:ext xmlns:c16="http://schemas.microsoft.com/office/drawing/2014/chart" uri="{C3380CC4-5D6E-409C-BE32-E72D297353CC}">
                  <c16:uniqueId val="{00000000-B8B7-4A0A-B6CE-6EC59DE0E144}"/>
                </c:ext>
              </c:extLst>
            </c:dLbl>
            <c:spPr>
              <a:solidFill>
                <a:sysClr val="window" lastClr="FFFFFF"/>
              </a:solidFill>
            </c:spPr>
            <c:txPr>
              <a:bodyPr vertOverflow="overflow" horzOverflow="overflow">
                <a:spAutoFit/>
              </a:bodyPr>
              <a:lstStyle/>
              <a:p>
                <a:pPr>
                  <a:defRPr sz="1400" b="0">
                    <a:latin typeface="+mn-lt"/>
                  </a:defRPr>
                </a:pPr>
                <a:endParaRPr lang="en-US"/>
              </a:p>
            </c:txPr>
            <c:dLblPos val="l"/>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250.76786596534475</c:v>
                </c:pt>
              </c:numCache>
              <c:extLst xmlns:c15="http://schemas.microsoft.com/office/drawing/2012/chart"/>
            </c:numRef>
          </c:xVal>
          <c:yVal>
            <c:numRef>
              <c:f>'R1'!$AI$35</c:f>
              <c:numCache>
                <c:formatCode>0.0%</c:formatCode>
                <c:ptCount val="1"/>
                <c:pt idx="0">
                  <c:v>5.1989680833872988E-2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+500 CC, -360 Lease</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{26F47682-B573-4773-8A41-A0E510E4D901}</c15:txfldGUID>
                      <c15:f>'R1'!$AK$36</c15:f>
                      <c15:dlblFieldTableCache>
                        <c:ptCount val="1"/>
                        <c:pt idx="0">
                          <c:v>B: +500 CC, -360 Lease</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139.31322116451611</c:v>
                </c:pt>
              </c:numCache>
            </c:numRef>
          </c:xVal>
          <c:yVal>
            <c:numRef>
              <c:f>'R1'!$AI$37</c:f>
              <c:numCache>
                <c:formatCode>0.0%</c:formatCode>
                <c:ptCount val="1"/>
                <c:pt idx="0">
                  <c:v>3.1467990025624518E-2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+250 CC, 0/0/0.9/3.9</c:v>
                </c:pt>
              </c:strCache>
            </c:strRef>
          </c:tx>
          <c:spPr>
            <a:ln w="28575">
              <a:noFill/>
            </a:ln>
          </c:spPr>
          <c:marker>
            <c:symbol val="diamond"/>
            <c:size val="8"/>
            <c:spPr>
              <a:solidFill>
                <a:schemeClr val="tx1"/>
              </a:solidFill>
              <a:ln w="15875">
                <a:solidFill>
                  <a:schemeClr val="tx1"/>
                </a:solidFill>
              </a:ln>
            </c:spPr>
          </c:marker>
          <c:dLbls>
            <c:dLbl>
              <c:idx val="0"/>
              <c:layout>
                <c:manualLayout>
                  <c:x val="-1.8534798946164787E-2"/>
                  <c:y val="8.9197873478392364E-2"/>
                </c:manualLayout>
              </c:layout>
              <c:tx>
                <c:strRef>
                  <c:f>'R1'!$AK$38</c:f>
                  <c:strCache>
                    <c:ptCount val="1"/>
                    <c:pt idx="0">
                      <c:v>C: +250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{B1418D71-DF80-4599-BA89-CE39C0F86C92}</c15:txfldGUID>
                      <c15:f>'R1'!$AK$38</c15:f>
                      <c15:dlblFieldTableCache>
                        <c:ptCount val="1"/>
                        <c:pt idx="0">
                          <c:v>C: +250 CC, 0/0/0.9/3.9</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282.46617491390953</c:v>
                </c:pt>
              </c:numCache>
            </c:numRef>
          </c:xVal>
          <c:yVal>
            <c:numRef>
              <c:f>'R1'!$AI$39</c:f>
              <c:numCache>
                <c:formatCode>0.0%</c:formatCode>
                <c:ptCount val="1"/>
                <c:pt idx="0">
                  <c:v>5.5639541086105339E-2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+250 CC, -360 Lease</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+250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{8A886B1A-C92B-4886-88AA-EC10F9636424}</c15:txfldGUID>
                      <c15:f>'R1'!$AK$40</c15:f>
                      <c15:dlblFieldTableCache>
                        <c:ptCount val="1"/>
                        <c:pt idx="0">
                          <c:v>D: +250 CC, -360 Lease</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35.280948168382565</c:v>
                </c:pt>
              </c:numCache>
            </c:numRef>
          </c:xVal>
          <c:yVal>
            <c:numRef>
              <c:f>'R1'!$AI$41</c:f>
              <c:numCache>
                <c:formatCode>0.0%</c:formatCode>
                <c:ptCount val="1"/>
                <c:pt idx="0">
                  <c:v>1.1771374718311261E-2</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+250 CC, -180 Lease</c:v>
                </c:pt>
              </c:strCache>
            </c:strRef>
          </c:tx>
          <c:spPr>
            <a:ln w="15875">
              <a:noFill/>
            </a:ln>
          </c:spPr>
          <c:marker>
            <c:symbol val="diamond"/>
            <c:size val="8"/>
            <c:spPr>
              <a:solidFill>
                <a:schemeClr val="tx1"/>
              </a:solidFill>
              <a:ln w="15875">
                <a:solidFill>
                  <a:schemeClr val="tx1"/>
                </a:solidFill>
              </a:ln>
            </c:spPr>
          </c:marker>
          <c:dLbls>
            <c:dLbl>
              <c:idx val="0"/>
              <c:layout>
                <c:manualLayout>
                  <c:x val="-2.6293245197575275E-2"/>
                  <c:y val="8.9197873478392364E-2"/>
                </c:manualLayout>
              </c:layout>
              <c:tx>
                <c:strRef>
                  <c:f>'R1'!$AK$42</c:f>
                  <c:strCache>
                    <c:ptCount val="1"/>
                    <c:pt idx="0">
                      <c:v>E: +250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{E3219830-EAD9-4A32-A8B7-2E69FDC40CEF}</c15:txfldGUID>
                      <c15:f>'R1'!$AK$42</c15:f>
                      <c15:dlblFieldTableCache>
                        <c:ptCount val="1"/>
                        <c:pt idx="0">
                          <c:v>E: +250 CC, -180 Lease</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62.669187598507961</c:v>
                </c:pt>
              </c:numCache>
            </c:numRef>
          </c:xVal>
          <c:yVal>
            <c:numRef>
              <c:f>'R1'!$AI$43</c:f>
              <c:numCache>
                <c:formatCode>0.0%</c:formatCode>
                <c:ptCount val="1"/>
                <c:pt idx="0">
                  <c:v>1.5229487210714258E-2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+250 CC, +250 APR Cash</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+250 CC, +250 APR Cash</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{D02CF18B-EA32-42F9-ADAB-2046C62624B8}</c15:txfldGUID>
                      <c15:f>'R1'!$AK$44</c15:f>
                      <c15:dlblFieldTableCache>
                        <c:ptCount val="1"/>
                        <c:pt idx="0">
                          <c:v>F: +250 CC, +250 APR Cash</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211.87073672054385</c:v>
                </c:pt>
              </c:numCache>
            </c:numRef>
          </c:xVal>
          <c:yVal>
            <c:numRef>
              <c:f>'R1'!$AI$45</c:f>
              <c:numCache>
                <c:formatCode>0.0%</c:formatCode>
                <c:ptCount val="1"/>
                <c:pt idx="0">
                  <c:v>4.0262779470029951E-2</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+500 CC, +180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+500 CC, +180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{AD861BDD-80B7-47E4-A789-3025A2485896}</c15:txfldGUID>
                      <c15:f>'R1'!$AK$46</c15:f>
                      <c15:dlblFieldTableCache>
                        <c:ptCount val="1"/>
                        <c:pt idx="0">
                          <c:v>G: +500 CC, +180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221.96289662401659</c:v>
                </c:pt>
              </c:numCache>
            </c:numRef>
          </c:xVal>
          <c:yVal>
            <c:numRef>
              <c:f>'R1'!$AI$47</c:f>
              <c:numCache>
                <c:formatCode>0.0%</c:formatCode>
                <c:ptCount val="1"/>
                <c:pt idx="0">
                  <c:v>4.1917185179123281E-2</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H: -250 CC, 0/0/0.9/3.9</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H: -250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{EF4AAAA9-64E4-43CA-AC99-C14E1A358859}</c15:txfldGUID>
                      <c15:f>'R1'!$AK$48</c15:f>
                      <c15:dlblFieldTableCache>
                        <c:ptCount val="1"/>
                        <c:pt idx="0">
                          <c:v>H: -250 CC, 0/0/0.9/3.9</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124.42975779717517</c:v>
                </c:pt>
              </c:numCache>
            </c:numRef>
          </c:xVal>
          <c:yVal>
            <c:numRef>
              <c:f>'R1'!$AI$49</c:f>
              <c:numCache>
                <c:formatCode>0.0%</c:formatCode>
                <c:ptCount val="1"/>
                <c:pt idx="0">
                  <c:v>1.9362018446364298E-2</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I: +500 CC, 0.9/1.9/2.9/3.9</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I: +500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{3F54C4FC-2A46-4F94-ABF3-AD3AD21EF7B4}</c15:txfldGUID>
                      <c15:f>'R1'!$AK$50</c15:f>
                      <c15:dlblFieldTableCache>
                        <c:ptCount val="1"/>
                        <c:pt idx="0">
                          <c:v>I: +500 CC, 0.9/1.9/2.9/3.9</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12.810568869299914</c:v>
                </c:pt>
              </c:numCache>
            </c:numRef>
          </c:xVal>
          <c:yVal>
            <c:numRef>
              <c:f>'R1'!$AI$51</c:f>
              <c:numCache>
                <c:formatCode>0.0%</c:formatCode>
                <c:ptCount val="1"/>
                <c:pt idx="0">
                  <c:v>-1.0319458258267928E-3</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J: -250 CC, 0.9/1.9/2.9/3.9</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J: -250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{04C2CBD1-9D5A-4179-9AB9-A82CD7DB31E6}</c15:txfldGUID>
                      <c15:f>'R1'!$AK$52</c15:f>
                      <c15:dlblFieldTableCache>
                        <c:ptCount val="1"/>
                        <c:pt idx="0">
                          <c:v>J: -250 CC, 0.9/1.9/2.9/3.9</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-287.35852213597309</c:v>
                </c:pt>
              </c:numCache>
            </c:numRef>
          </c:xVal>
          <c:yVal>
            <c:numRef>
              <c:f>'R1'!$AI$53</c:f>
              <c:numCache>
                <c:formatCode>0.0%</c:formatCode>
                <c:ptCount val="1"/>
                <c:pt idx="0">
                  <c:v>-5.6862949569621228E-2</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K: +250 CC, 0/0/0.9/3.9, -360 Lease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K: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{08866C32-5291-4E26-A10D-F204F8C3D25C}</c15:txfldGUID>
                      <c15:f>'R1'!$AK$54</c15:f>
                      <c15:dlblFieldTableCache>
                        <c:ptCount val="1"/>
                        <c:pt idx="0">
                          <c:v>K: +250 CC, 0/0/0.9/3.9, -360 Lease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229.15830910551358</c:v>
                </c:pt>
              </c:numCache>
            </c:numRef>
          </c:xVal>
          <c:yVal>
            <c:numRef>
              <c:f>'R1'!$AI$55</c:f>
              <c:numCache>
                <c:formatCode>0.0%</c:formatCode>
                <c:ptCount val="1"/>
                <c:pt idx="0">
                  <c:v>4.8659131726784238E-2</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L: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L: +250 CC,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{28DC9C3E-1CBA-472A-AB90-D99157286482}</c15:txfldGUID>
                      <c15:f>'R1'!$AK$56</c15:f>
                      <c15:dlblFieldTableCache>
                        <c:ptCount val="1"/>
                        <c:pt idx="0">
                          <c:v>L: +250 CC, 0.9/1.9/2.9/3.9, -360 Lease</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-157.73253457173314</c:v>
                </c:pt>
              </c:numCache>
            </c:numRef>
          </c:xVal>
          <c:yVal>
            <c:numRef>
              <c:f>'R1'!$AI$57</c:f>
              <c:numCache>
                <c:formatCode>0.0%</c:formatCode>
                <c:ptCount val="1"/>
                <c:pt idx="0">
                  <c:v>-2.7800869246708802E-2</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{538B58C0-5506-4F63-A4FE-7485C79B9FC3}</c15:txfldGUID>
                      <c15:f>'R1'!$AK$58</c15:f>
                      <c15:dlblFieldTableCache>
                        <c:ptCount val="1"/>
                        <c:pt idx="0">
                          <c:v>#VALUE!</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#N/A</c:v>
                </c:pt>
              </c:numCache>
            </c:numRef>
          </c:xVal>
          <c:yVal>
            <c:numRef>
              <c:f>'R1'!$AI$59</c:f>
              <c:numCache>
                <c:formatCode>0.0%</c:formatCode>
                <c:ptCount val="1"/>
                <c:pt idx="0">
                  <c:v>#N/A</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{2C851A0B-0B34-4B87-950A-48ADD092B092}</c15:txfldGUID>
                      <c15:f>'R1'!$AK$60</c15:f>
                      <c15:dlblFieldTableCache>
                        <c:ptCount val="1"/>
                        <c:pt idx="0">
                          <c:v>#VALUE!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#N/A</c:v>
                </c:pt>
              </c:numCache>
            </c:numRef>
          </c:xVal>
          <c:yVal>
            <c:numRef>
              <c:f>'R1'!$AI$61</c:f>
              <c:numCache>
                <c:formatCode>0.0%</c:formatCode>
                <c:ptCount val="1"/>
                <c:pt idx="0">
                  <c:v>#N/A</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{28AA8A8F-31E4-4844-ABC9-1659DFC0FA21}</c15:txfldGUID>
                      <c15:f>'R1'!$AK$62</c15:f>
                      <c15:dlblFieldTableCache>
                        <c:ptCount val="1"/>
                        <c:pt idx="0">
                          <c:v>#VALUE!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#N/A</c:v>
                </c:pt>
              </c:numCache>
            </c:numRef>
          </c:xVal>
          <c:yVal>
            <c:numRef>
              <c:f>'R1'!$AI$63</c:f>
              <c:numCache>
                <c:formatCode>0.0%</c:formatCode>
                <c:ptCount val="1"/>
                <c:pt idx="0">
                  <c:v>#N/A</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{4515167C-C85E-4F7A-9B2C-152D05590FB2}</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{CAD61D37-527A-4F1F-B952-CFB6719E392E}</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4590933940870033E-2"/>
                  <c:y val="4.170797495049186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0/0/0/3.9,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'R2'!$AK$34</c:f>
                  <c:strCache>
                    <c:ptCount val="1"/>
                    <c:pt idx="0">
                      <c:v>A: 0/0/0/3.9, -360 Lease</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{7D9DA7F9-6155-4076-B380-91F3D008716C}</c15:txfldGUID>
                      <c15:f>'R2'!$AK$34</c15:f>
                      <c15:dlblFieldTableCache>
                        <c:ptCount val="1"/>
                        <c:pt idx="0">
                          <c:v>A: 0/0/0/3.9, -360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275.78388770235142</c:v>
                </c:pt>
              </c:numCache>
              <c:extLst xmlns:c15="http://schemas.microsoft.com/office/drawing/2012/chart"/>
            </c:numRef>
          </c:xVal>
          <c:yVal>
            <c:numRef>
              <c:f>'R2'!$AI$35</c:f>
              <c:numCache>
                <c:formatCode>0.0%</c:formatCode>
                <c:ptCount val="1"/>
                <c:pt idx="0">
                  <c:v>6.3669552673186761E-2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0/0/0/3.9, -360 Lease</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0/0/0/3.9,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{A944296C-B026-4C28-BCB3-ADFD8A562CF9}</c15:txfldGUID>
                      <c15:f>'R2'!$AK$36</c15:f>
                      <c15:dlblFieldTableCache>
                        <c:ptCount val="1"/>
                        <c:pt idx="0">
                          <c:v>B: 0/0/0/3.9, -360 Lease</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275.78388770235142</c:v>
                </c:pt>
              </c:numCache>
            </c:numRef>
          </c:xVal>
          <c:yVal>
            <c:numRef>
              <c:f>'R2'!$AI$37</c:f>
              <c:numCache>
                <c:formatCode>0.0%</c:formatCode>
                <c:ptCount val="1"/>
                <c:pt idx="0">
                  <c:v>6.3669552673186761E-2</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0/0/0/3.9,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0/0/0/3.9,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{A775B87A-E70A-4B5E-8EB8-08A061642BD1}</c15:txfldGUID>
                      <c15:f>'R2'!$AK$38</c15:f>
                      <c15:dlblFieldTableCache>
                        <c:ptCount val="1"/>
                        <c:pt idx="0">
                          <c:v>C: 0/0/0/3.9,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275.78388770235142</c:v>
                </c:pt>
              </c:numCache>
            </c:numRef>
          </c:xVal>
          <c:yVal>
            <c:numRef>
              <c:f>'R2'!$AI$39</c:f>
              <c:numCache>
                <c:formatCode>0.0%</c:formatCode>
                <c:ptCount val="1"/>
                <c:pt idx="0">
                  <c:v>6.3669552673186761E-2</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+250 CC, 0/0/0.9/3.9</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+250 CC, 0/0/0.9/3.9</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{7450357C-1FE1-4119-B2ED-E54FF22F3216}</c15:txfldGUID>
                      <c15:f>'R2'!$AK$40</c15:f>
                      <c15:dlblFieldTableCache>
                        <c:ptCount val="1"/>
                        <c:pt idx="0">
                          <c:v>D: +250 CC, 0/0/0.9/3.9</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238.1819108758018</c:v>
                </c:pt>
              </c:numCache>
            </c:numRef>
          </c:xVal>
          <c:yVal>
            <c:numRef>
              <c:f>'R2'!$AI$41</c:f>
              <c:numCache>
                <c:formatCode>0.0%</c:formatCode>
                <c:ptCount val="1"/>
                <c:pt idx="0">
                  <c:v>5.4099040191478452E-2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+750 CC, -360 Lease</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{B7B02B9B-34C4-4009-BA70-D2E6BA21FA8C}</c15:txfldGUID>
                      <c15:f>'R2'!$AK$42</c15:f>
                      <c15:dlblFieldTableCache>
                        <c:ptCount val="1"/>
                        <c:pt idx="0">
                          <c:v>E: +750 CC, -360 Lease</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220.62831601871858</c:v>
                </c:pt>
              </c:numCache>
            </c:numRef>
          </c:xVal>
          <c:yVal>
            <c:numRef>
              <c:f>'R2'!$AI$43</c:f>
              <c:numCache>
                <c:formatCode>0.0%</c:formatCode>
                <c:ptCount val="1"/>
                <c:pt idx="0">
                  <c:v>5.0644264799443145E-2</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0/0/0.9/3.9, -360 Lease</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0/0/0.9/3.9,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{B524841A-1B4F-44A7-B45E-2A57B28AD0DA}</c15:txfldGUID>
                      <c15:f>'R2'!$AK$44</c15:f>
                      <c15:dlblFieldTableCache>
                        <c:ptCount val="1"/>
                        <c:pt idx="0">
                          <c:v>F: 0/0/0.9/3.9, -360 Lease</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72.473069109771131</c:v>
                </c:pt>
              </c:numCache>
            </c:numRef>
          </c:xVal>
          <c:yVal>
            <c:numRef>
              <c:f>'R2'!$AI$45</c:f>
              <c:numCache>
                <c:formatCode>0.0%</c:formatCode>
                <c:ptCount val="1"/>
                <c:pt idx="0">
                  <c:v>2.3211966766381025E-2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+500 CC, -360 Lease</c:v>
                </c:pt>
              </c:strCache>
            </c:strRef>
          </c:tx>
          <c:spPr>
            <a:ln w="15875">
              <a:noFill/>
            </a:ln>
          </c:spPr>
          <c:marker>
            <c:symbol val="diamond"/>
            <c:size val="8"/>
            <c:spPr>
              <a:solidFill>
                <a:schemeClr val="tx1"/>
              </a:solidFill>
              <a:ln w="15875">
                <a:solidFill>
                  <a:schemeClr val="tx1"/>
                </a:solidFill>
              </a:ln>
            </c:spPr>
          </c:marker>
          <c:dLbls>
            <c:dLbl>
              <c:idx val="0"/>
              <c:tx>
                <c:strRef>
                  <c:f>'R2'!$AK$46</c:f>
                  <c:strCache>
                    <c:ptCount val="1"/>
                    <c:pt idx="0">
                      <c:v>G: +500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{11BF8C0A-8087-45DE-811A-8B96C552E455}</c15:txfldGUID>
                      <c15:f>'R2'!$AK$46</c15:f>
                      <c15:dlblFieldTableCache>
                        <c:ptCount val="1"/>
                        <c:pt idx="0">
                          <c:v>G: +500 CC, -360 Lease</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108.37867422292356</c:v>
                </c:pt>
              </c:numCache>
            </c:numRef>
          </c:xVal>
          <c:yVal>
            <c:numRef>
              <c:f>'R2'!$AI$47</c:f>
              <c:numCache>
                <c:formatCode>0.0%</c:formatCode>
                <c:ptCount val="1"/>
                <c:pt idx="0">
                  <c:v>2.8957125240796095E-2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H: +250 CC, -360 Lease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H: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{0C346ECA-D144-442C-889F-84FFC0D78A76}</c15:txfldGUID>
                      <c15:f>'R2'!$AK$48</c15:f>
                      <c15:dlblFieldTableCache>
                        <c:ptCount val="1"/>
                        <c:pt idx="0">
                          <c:v>H: +250 CC, -360 Lease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4.4022956479439017</c:v>
                </c:pt>
              </c:numCache>
            </c:numRef>
          </c:xVal>
          <c:yVal>
            <c:numRef>
              <c:f>'R2'!$AI$49</c:f>
              <c:numCache>
                <c:formatCode>0.0%</c:formatCode>
                <c:ptCount val="1"/>
                <c:pt idx="0">
                  <c:v>8.2060439496062423E-3</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I: +250 CC, -180 Lease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I: +250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{84CC8D0F-6EE1-4E47-B6CD-CD4804311900}</c15:txfldGUID>
                      <c15:f>'R2'!$AK$50</c15:f>
                      <c15:dlblFieldTableCache>
                        <c:ptCount val="1"/>
                        <c:pt idx="0">
                          <c:v>I: +250 CC, -180 Lease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45.917458747494038</c:v>
                </c:pt>
              </c:numCache>
            </c:numRef>
          </c:xVal>
          <c:yVal>
            <c:numRef>
              <c:f>'R2'!$AI$51</c:f>
              <c:numCache>
                <c:formatCode>0.0%</c:formatCode>
                <c:ptCount val="1"/>
                <c:pt idx="0">
                  <c:v>1.3917903999757576E-2</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J: -250 CC, 0.9/1.9/2.9/3.9</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J: -250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{87E4526F-6E59-4B83-97E4-4077BEE24E2B}</c15:txfldGUID>
                      <c15:f>'R2'!$AK$52</c15:f>
                      <c15:dlblFieldTableCache>
                        <c:ptCount val="1"/>
                        <c:pt idx="0">
                          <c:v>J: -250 CC, 0.9/1.9/2.9/3.9</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-248.38243008461586</c:v>
                </c:pt>
              </c:numCache>
            </c:numRef>
          </c:xVal>
          <c:yVal>
            <c:numRef>
              <c:f>'R2'!$AI$53</c:f>
              <c:numCache>
                <c:formatCode>0.0%</c:formatCode>
                <c:ptCount val="1"/>
                <c:pt idx="0">
                  <c:v>-5.6764258444174827E-2</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K: +500 CC, 0/0/0.9/3.9, -360 Lease</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K: +500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{039742F3-92C6-4619-97E0-A59133D1EE51}</c15:txfldGUID>
                      <c15:f>'R2'!$AK$54</c15:f>
                      <c15:dlblFieldTableCache>
                        <c:ptCount val="1"/>
                        <c:pt idx="0">
                          <c:v>K: +500 CC, 0/0/0.9/3.9, -360 Lease</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251.86629785656487</c:v>
                </c:pt>
              </c:numCache>
            </c:numRef>
          </c:xVal>
          <c:yVal>
            <c:numRef>
              <c:f>'R2'!$AI$55</c:f>
              <c:numCache>
                <c:formatCode>0.0%</c:formatCode>
                <c:ptCount val="1"/>
                <c:pt idx="0">
                  <c:v>6.3012808443443549E-2</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L: +250 CC, 0/0/0.9/3.9, -360 Lease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L: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{8607C51F-43FF-4079-A4AE-093E7EA86909}</c15:txfldGUID>
                      <c15:f>'R2'!$AK$56</c15:f>
                      <c15:dlblFieldTableCache>
                        <c:ptCount val="1"/>
                        <c:pt idx="0">
                          <c:v>L: +250 CC, 0/0/0.9/3.9, -360 Lease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157.86918146639391</c:v>
                </c:pt>
              </c:numCache>
            </c:numRef>
          </c:xVal>
          <c:yVal>
            <c:numRef>
              <c:f>'R2'!$AI$57</c:f>
              <c:numCache>
                <c:formatCode>0.0%</c:formatCode>
                <c:ptCount val="1"/>
                <c:pt idx="0">
                  <c:v>4.2649880119593593E-2</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{3F693622-138E-4CFB-81D5-F7B9C2CBE826}</c15:txfldGUID>
                      <c15:f>'R2'!$AK$58</c15:f>
                      <c15:dlblFieldTableCache>
                        <c:ptCount val="1"/>
                        <c:pt idx="0">
                          <c:v>#VALUE!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#N/A</c:v>
                </c:pt>
              </c:numCache>
            </c:numRef>
          </c:xVal>
          <c:yVal>
            <c:numRef>
              <c:f>'R2'!$AI$59</c:f>
              <c:numCache>
                <c:formatCode>0.0%</c:formatCode>
                <c:ptCount val="1"/>
                <c:pt idx="0">
                  <c:v>#N/A</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{385B4D0F-4362-434E-9302-325E8D61BA40}</c15:txfldGUID>
                      <c15:f>'R2'!$AK$60</c15:f>
                      <c15:dlblFieldTableCache>
                        <c:ptCount val="1"/>
                        <c:pt idx="0">
                          <c:v>#VALUE!</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#N/A</c:v>
                </c:pt>
              </c:numCache>
            </c:numRef>
          </c:xVal>
          <c:yVal>
            <c:numRef>
              <c:f>'R2'!$AI$61</c:f>
              <c:numCache>
                <c:formatCode>0.0%</c:formatCode>
                <c:ptCount val="1"/>
                <c:pt idx="0">
                  <c:v>#N/A</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{AA601BDB-FF3F-4CD2-AC49-5F30098A8133}</c15:txfldGUID>
                      <c15:f>'R2'!$AK$62</c15:f>
                      <c15:dlblFieldTableCache>
                        <c:ptCount val="1"/>
                        <c:pt idx="0">
                          <c:v>#VALUE!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#N/A</c:v>
                </c:pt>
              </c:numCache>
            </c:numRef>
          </c:xVal>
          <c:yVal>
            <c:numRef>
              <c:f>'R2'!$AI$63</c:f>
              <c:numCache>
                <c:formatCode>0.0%</c:formatCode>
                <c:ptCount val="1"/>
                <c:pt idx="0">
                  <c:v>#N/A</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{65AE0CEF-0D3F-4217-9C6B-7737150A8793}</c15:txfldGUID>
                      <c15:f>'R2'!$AK$64</c15:f>
                      <c15:dlblFieldTableCache>
                        <c:ptCount val="1"/>
                        <c:pt idx="0">
                          <c:v>#VALUE!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#N/A</c:v>
                </c:pt>
              </c:numCache>
            </c:numRef>
          </c:xVal>
          <c:yVal>
            <c:numRef>
              <c:f>'R2'!$AI$65</c:f>
              <c:numCache>
                <c:formatCode>0.0%</c:formatCode>
                <c:ptCount val="1"/>
                <c:pt idx="0">
                  <c:v>#N/A</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#N/A</c:v>
                </c:pt>
              </c:numCache>
            </c:numRef>
          </c:xVal>
          <c:yVal>
            <c:numRef>
              <c:f>'R2'!$AI$67</c:f>
              <c:numCache>
                <c:formatCode>0.0%</c:formatCode>
                <c:ptCount val="1"/>
                <c:pt idx="0">
                  <c:v>#N/A</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#N/A</c:v>
                </c:pt>
              </c:numCache>
            </c:numRef>
          </c:xVal>
          <c:yVal>
            <c:numRef>
              <c:f>'R2'!$AI$69</c:f>
              <c:numCache>
                <c:formatCode>0.0%</c:formatCode>
                <c:ptCount val="1"/>
                <c:pt idx="0">
                  <c:v>#N/A</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{72A02795-6166-435A-A385-0F61487CDE70}</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{E95EC430-8F64-4E5B-ADAB-C7837B84CE4D}</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{AEAB641A-1891-42D2-A839-1E477A4AB09C}</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{19BABB77-A41A-473F-93B8-805B1C3AD654}</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{832D4495-7F14-4978-8217-C8E1CB4B42D7}</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{8E961EB4-EABC-4C09-BFB7-021F8832D99A}</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{7B0990C9-CE46-4D17-A6A4-413BC2BFDC0C}</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{58B86193-F151-457C-84C2-508231653D68}</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{72DF7FEA-5712-4FEE-B668-D37C81ADC4D1}</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{95DA0776-A4A3-44FF-B287-FF3058B334B4}</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{4A7EDB53-2E41-4ED7-A105-D8037EC0E0C7}</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{DB89F244-8024-4FA3-8887-7D9E6432357A}</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{F6689187-5A95-4711-9DE8-A9ADB6BC7D6A}</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{89321E5D-7F65-4914-8EE9-2281C49771D6}</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{2AB43952-B9A9-4F45-99C1-5F07015A5085}</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{C80EF1F1-042A-4865-B2A9-2DE4FAEC7DBA}</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{F3DEDE77-68C5-4195-A78D-5F62DEE85DB2}</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{30F3CB15-E833-4B23-84D8-C69F0958DD48}</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National!$J$34:$J$36</c:f>
              <c:numCache>
                <c:formatCode>_("$"* #,##0_);_("$"* \(#,##0\);_("$"* "-"??_);_(@_)</c:formatCode>
                <c:ptCount val="3"/>
                <c:pt idx="0">
                  <c:v>240.70465768062317</c:v>
                </c:pt>
                <c:pt idx="1">
                  <c:v>351.94718885747142</c:v>
                </c:pt>
                <c:pt idx="2">
                  <c:v>35.575913107605679</c:v>
                </c:pt>
              </c:numCache>
            </c:numRef>
          </c:xVal>
          <c:yVal>
            <c:numRef>
              <c:f>National!$K$34:$K$36</c:f>
              <c:numCache>
                <c:formatCode>0.0%</c:formatCode>
                <c:ptCount val="3"/>
                <c:pt idx="0">
                  <c:v>7.3454244252619025E-2</c:v>
                </c:pt>
                <c:pt idx="1">
                  <c:v>9.5024896689432661E-2</c:v>
                </c:pt>
                <c:pt idx="2">
                  <c:v>3.1655024649777992E-2</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0.90354929163975228</c:v>
                </c:pt>
                <c:pt idx="1">
                  <c:v>0.90354929163975206</c:v>
                </c:pt>
                <c:pt idx="2">
                  <c:v>0.40354929163975228</c:v>
                </c:pt>
                <c:pt idx="3">
                  <c:v>1.4035492916397523</c:v>
                </c:pt>
                <c:pt idx="4">
                  <c:v>0.90354929163975228</c:v>
                </c:pt>
                <c:pt idx="5">
                  <c:v>0.90354929163975273</c:v>
                </c:pt>
                <c:pt idx="6">
                  <c:v>0.90354929163975228</c:v>
                </c:pt>
                <c:pt idx="7">
                  <c:v>0.90354929163975206</c:v>
                </c:pt>
                <c:pt idx="8">
                  <c:v>0.65354929163975228</c:v>
                </c:pt>
                <c:pt idx="9">
                  <c:v>0.40354929163975184</c:v>
                </c:pt>
                <c:pt idx="10">
                  <c:v>0.15354929163975228</c:v>
                </c:pt>
                <c:pt idx="11">
                  <c:v>-9.6450708360248161E-2</c:v>
                </c:pt>
                <c:pt idx="12">
                  <c:v>1.2352568656145406</c:v>
                </c:pt>
                <c:pt idx="13">
                  <c:v>1.5972986957288549</c:v>
                </c:pt>
                <c:pt idx="14">
                  <c:v>1.4035492916397529</c:v>
                </c:pt>
                <c:pt idx="15">
                  <c:v>0.90354929163975251</c:v>
                </c:pt>
                <c:pt idx="16">
                  <c:v>0.90354929163975228</c:v>
                </c:pt>
                <c:pt idx="17">
                  <c:v>0.90354929163975273</c:v>
                </c:pt>
                <c:pt idx="18">
                  <c:v>0.90354929163975295</c:v>
                </c:pt>
                <c:pt idx="19">
                  <c:v>0.50729770848413347</c:v>
                </c:pt>
                <c:pt idx="20">
                  <c:v>1.2352568656145406</c:v>
                </c:pt>
                <c:pt idx="21">
                  <c:v>0.67345783391605352</c:v>
                </c:pt>
                <c:pt idx="22">
                  <c:v>1.2352568656145406</c:v>
                </c:pt>
                <c:pt idx="23">
                  <c:v>1.5972986957288549</c:v>
                </c:pt>
                <c:pt idx="24">
                  <c:v>0.48894620956520773</c:v>
                </c:pt>
                <c:pt idx="25">
                  <c:v>8.3252013062890429E-2</c:v>
                </c:pt>
                <c:pt idx="26">
                  <c:v>1.6535492916397527</c:v>
                </c:pt>
                <c:pt idx="27">
                  <c:v>1.7880082146587055</c:v>
                </c:pt>
                <c:pt idx="28">
                  <c:v>0.90354929163975317</c:v>
                </c:pt>
                <c:pt idx="29">
                  <c:v>0.90354929163975228</c:v>
                </c:pt>
                <c:pt idx="30">
                  <c:v>0.90354929163975273</c:v>
                </c:pt>
                <c:pt idx="31">
                  <c:v>0.90354929163975273</c:v>
                </c:pt>
                <c:pt idx="32">
                  <c:v>0.90354929163975184</c:v>
                </c:pt>
                <c:pt idx="33">
                  <c:v>0.90354929163975184</c:v>
                </c:pt>
                <c:pt idx="34">
                  <c:v>0.98525686561454062</c:v>
                </c:pt>
                <c:pt idx="35">
                  <c:v>0.73525686561454018</c:v>
                </c:pt>
                <c:pt idx="36">
                  <c:v>0.48525686561454018</c:v>
                </c:pt>
                <c:pt idx="37">
                  <c:v>0.23525686561454107</c:v>
                </c:pt>
                <c:pt idx="38">
                  <c:v>0.65354929163975228</c:v>
                </c:pt>
                <c:pt idx="39">
                  <c:v>0.40354929163975228</c:v>
                </c:pt>
                <c:pt idx="40">
                  <c:v>0.15354929163975184</c:v>
                </c:pt>
                <c:pt idx="41">
                  <c:v>-9.6450708360247273E-2</c:v>
                </c:pt>
                <c:pt idx="42">
                  <c:v>1.2352568656145411</c:v>
                </c:pt>
                <c:pt idx="43">
                  <c:v>1.5972986957288549</c:v>
                </c:pt>
                <c:pt idx="44">
                  <c:v>1.5972986957288549</c:v>
                </c:pt>
                <c:pt idx="45">
                  <c:v>1.5972986957288549</c:v>
                </c:pt>
                <c:pt idx="46">
                  <c:v>0.65354929163975228</c:v>
                </c:pt>
                <c:pt idx="47">
                  <c:v>0.40354929163975273</c:v>
                </c:pt>
                <c:pt idx="48">
                  <c:v>0.15354929163975228</c:v>
                </c:pt>
                <c:pt idx="49">
                  <c:v>#N/A</c:v>
                </c:pt>
              </c:numCache>
            </c:numRef>
          </c:xVal>
          <c:yVal>
            <c:numRef>
              <c:f>QC!$N$6:$N$55</c:f>
              <c:numCache>
                <c:formatCode>0%</c:formatCode>
                <c:ptCount val="50"/>
                <c:pt idx="0">
                  <c:v>0.47457627118644075</c:v>
                </c:pt>
                <c:pt idx="1">
                  <c:v>0.47284297730441488</c:v>
                </c:pt>
                <c:pt idx="2">
                  <c:v>0.42155944915895716</c:v>
                </c:pt>
                <c:pt idx="3">
                  <c:v>0.50291249375222058</c:v>
                </c:pt>
                <c:pt idx="4">
                  <c:v>0.50601323441470791</c:v>
                </c:pt>
                <c:pt idx="5">
                  <c:v>0.47810101961342516</c:v>
                </c:pt>
                <c:pt idx="6">
                  <c:v>0.47457627118644075</c:v>
                </c:pt>
                <c:pt idx="7">
                  <c:v>0.47284297730441488</c:v>
                </c:pt>
                <c:pt idx="8">
                  <c:v>0.44644089448369456</c:v>
                </c:pt>
                <c:pt idx="9">
                  <c:v>0.42111747817299505</c:v>
                </c:pt>
                <c:pt idx="10">
                  <c:v>0.39689385281963796</c:v>
                </c:pt>
                <c:pt idx="11">
                  <c:v>0.3737804507429684</c:v>
                </c:pt>
                <c:pt idx="12">
                  <c:v>0.49718087106429265</c:v>
                </c:pt>
                <c:pt idx="13">
                  <c:v>0.52407657695933474</c:v>
                </c:pt>
                <c:pt idx="14">
                  <c:v>0.49970242708180723</c:v>
                </c:pt>
                <c:pt idx="15">
                  <c:v>0.45278727718998779</c:v>
                </c:pt>
                <c:pt idx="16">
                  <c:v>0.49542221770598366</c:v>
                </c:pt>
                <c:pt idx="17">
                  <c:v>0.52087954550203575</c:v>
                </c:pt>
                <c:pt idx="18">
                  <c:v>0.48081173074103606</c:v>
                </c:pt>
                <c:pt idx="19">
                  <c:v>0.44467400388321315</c:v>
                </c:pt>
                <c:pt idx="20">
                  <c:v>0.49718087106429265</c:v>
                </c:pt>
                <c:pt idx="21">
                  <c:v>0.45532560700386515</c:v>
                </c:pt>
                <c:pt idx="22">
                  <c:v>0.49718087106429265</c:v>
                </c:pt>
                <c:pt idx="23">
                  <c:v>0.52407657695933474</c:v>
                </c:pt>
                <c:pt idx="24">
                  <c:v>0.44339206820465316</c:v>
                </c:pt>
                <c:pt idx="25">
                  <c:v>0.41425645349343282</c:v>
                </c:pt>
                <c:pt idx="26">
                  <c:v>0.51245529416474978</c:v>
                </c:pt>
                <c:pt idx="27">
                  <c:v>0.5589751602256513</c:v>
                </c:pt>
                <c:pt idx="28">
                  <c:v>0.43494728703585922</c:v>
                </c:pt>
                <c:pt idx="29">
                  <c:v>0.54962358356392427</c:v>
                </c:pt>
                <c:pt idx="30">
                  <c:v>0.46010618472202525</c:v>
                </c:pt>
                <c:pt idx="31">
                  <c:v>0.44789443189778871</c:v>
                </c:pt>
                <c:pt idx="32">
                  <c:v>0.43617241050741673</c:v>
                </c:pt>
                <c:pt idx="33">
                  <c:v>0.42491075132641437</c:v>
                </c:pt>
                <c:pt idx="34">
                  <c:v>0.47074596058177509</c:v>
                </c:pt>
                <c:pt idx="35">
                  <c:v>0.44527143697088123</c:v>
                </c:pt>
                <c:pt idx="36">
                  <c:v>0.42079132247906625</c:v>
                </c:pt>
                <c:pt idx="37">
                  <c:v>0.39732900508795294</c:v>
                </c:pt>
                <c:pt idx="38">
                  <c:v>0.46781873076756564</c:v>
                </c:pt>
                <c:pt idx="39">
                  <c:v>0.44129106090855663</c:v>
                </c:pt>
                <c:pt idx="40">
                  <c:v>0.41587045996961097</c:v>
                </c:pt>
                <c:pt idx="41">
                  <c:v>0.39157644217110887</c:v>
                </c:pt>
                <c:pt idx="42">
                  <c:v>0.5193435906862427</c:v>
                </c:pt>
                <c:pt idx="43">
                  <c:v>0.54560603237559768</c:v>
                </c:pt>
                <c:pt idx="44">
                  <c:v>0.54560603237559768</c:v>
                </c:pt>
                <c:pt idx="45">
                  <c:v>0.54560603237559768</c:v>
                </c:pt>
                <c:pt idx="46">
                  <c:v>0.42750920381292656</c:v>
                </c:pt>
                <c:pt idx="47">
                  <c:v>0.40330398064681644</c:v>
                </c:pt>
                <c:pt idx="48">
                  <c:v>0.38018416669480926</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4.2449078728868592</c:v>
                </c:pt>
                <c:pt idx="1">
                  <c:v>4.1714739893461665</c:v>
                </c:pt>
                <c:pt idx="2">
                  <c:v>4.0035909094542612</c:v>
                </c:pt>
                <c:pt idx="3">
                  <c:v>3.9678484521836923</c:v>
                </c:pt>
                <c:pt idx="4">
                  <c:v>4.7165030270306527</c:v>
                </c:pt>
                <c:pt idx="5">
                  <c:v>4.2417230889424484</c:v>
                </c:pt>
                <c:pt idx="6">
                  <c:v>4.2449078728868592</c:v>
                </c:pt>
                <c:pt idx="7">
                  <c:v>4.1714739893461665</c:v>
                </c:pt>
                <c:pt idx="8">
                  <c:v>4.0569397961975646</c:v>
                </c:pt>
                <c:pt idx="9">
                  <c:v>3.9287692665325697</c:v>
                </c:pt>
                <c:pt idx="10">
                  <c:v>3.7877681565897734</c:v>
                </c:pt>
                <c:pt idx="11">
                  <c:v>3.6347623157917734</c:v>
                </c:pt>
                <c:pt idx="12">
                  <c:v>3.9845648421120154</c:v>
                </c:pt>
                <c:pt idx="13">
                  <c:v>3.7616040937072128</c:v>
                </c:pt>
                <c:pt idx="14">
                  <c:v>3.8973539389850655</c:v>
                </c:pt>
                <c:pt idx="15">
                  <c:v>3.829595302977896</c:v>
                </c:pt>
                <c:pt idx="16">
                  <c:v>4.5110725326755645</c:v>
                </c:pt>
                <c:pt idx="17">
                  <c:v>4.8480705821784005</c:v>
                </c:pt>
                <c:pt idx="18">
                  <c:v>4.3392738278232548</c:v>
                </c:pt>
                <c:pt idx="19">
                  <c:v>4.3731288233539818</c:v>
                </c:pt>
                <c:pt idx="20">
                  <c:v>3.9845648421120154</c:v>
                </c:pt>
                <c:pt idx="21">
                  <c:v>4.2920683295270656</c:v>
                </c:pt>
                <c:pt idx="22">
                  <c:v>3.9845648421120154</c:v>
                </c:pt>
                <c:pt idx="23">
                  <c:v>3.7616040937072128</c:v>
                </c:pt>
                <c:pt idx="24">
                  <c:v>4.3819160554464585</c:v>
                </c:pt>
                <c:pt idx="25">
                  <c:v>4.5642232428687795</c:v>
                </c:pt>
                <c:pt idx="26">
                  <c:v>3.7513408378832378</c:v>
                </c:pt>
                <c:pt idx="27">
                  <c:v>3.5992587482727703</c:v>
                </c:pt>
                <c:pt idx="28">
                  <c:v>3.4857146134445185</c:v>
                </c:pt>
                <c:pt idx="29">
                  <c:v>5.182098926948715</c:v>
                </c:pt>
                <c:pt idx="30">
                  <c:v>3.9329823092617455</c:v>
                </c:pt>
                <c:pt idx="31">
                  <c:v>3.6940162298757651</c:v>
                </c:pt>
                <c:pt idx="32">
                  <c:v>3.4546076539996209</c:v>
                </c:pt>
                <c:pt idx="33">
                  <c:v>3.2147831181753044</c:v>
                </c:pt>
                <c:pt idx="34">
                  <c:v>3.8849052369228949</c:v>
                </c:pt>
                <c:pt idx="35">
                  <c:v>3.7713220454515084</c:v>
                </c:pt>
                <c:pt idx="36">
                  <c:v>3.6445190483224117</c:v>
                </c:pt>
                <c:pt idx="37">
                  <c:v>3.5052365501916656</c:v>
                </c:pt>
                <c:pt idx="38">
                  <c:v>4.4029683264374508</c:v>
                </c:pt>
                <c:pt idx="39">
                  <c:v>4.280628231509799</c:v>
                </c:pt>
                <c:pt idx="40">
                  <c:v>4.1448543120041688</c:v>
                </c:pt>
                <c:pt idx="41">
                  <c:v>3.9964787517709901</c:v>
                </c:pt>
                <c:pt idx="42">
                  <c:v>4.317188190538312</c:v>
                </c:pt>
                <c:pt idx="43">
                  <c:v>4.0872151226510631</c:v>
                </c:pt>
                <c:pt idx="44">
                  <c:v>4.0872151226510631</c:v>
                </c:pt>
                <c:pt idx="45">
                  <c:v>4.0872151226510631</c:v>
                </c:pt>
                <c:pt idx="46">
                  <c:v>3.7093125892249885</c:v>
                </c:pt>
                <c:pt idx="47">
                  <c:v>3.5759578908408867</c:v>
                </c:pt>
                <c:pt idx="48">
                  <c:v>3.430333917057764</c:v>
                </c:pt>
                <c:pt idx="49">
                  <c:v>#N/A</c:v>
                </c:pt>
              </c:numCache>
            </c:numRef>
          </c:xVal>
          <c:yVal>
            <c:numRef>
              <c:f>QC!$P$6:$P$55</c:f>
              <c:numCache>
                <c:formatCode>0%</c:formatCode>
                <c:ptCount val="50"/>
                <c:pt idx="0">
                  <c:v>0.69836400817995914</c:v>
                </c:pt>
                <c:pt idx="1">
                  <c:v>0.70172245356227558</c:v>
                </c:pt>
                <c:pt idx="2">
                  <c:v>0.67424281513694351</c:v>
                </c:pt>
                <c:pt idx="3">
                  <c:v>0.68728124272267588</c:v>
                </c:pt>
                <c:pt idx="4">
                  <c:v>0.74280436158880714</c:v>
                </c:pt>
                <c:pt idx="5">
                  <c:v>0.7112518297160656</c:v>
                </c:pt>
                <c:pt idx="6">
                  <c:v>0.69836400817995914</c:v>
                </c:pt>
                <c:pt idx="7">
                  <c:v>0.70172245356227558</c:v>
                </c:pt>
                <c:pt idx="8">
                  <c:v>0.6901602494155773</c:v>
                </c:pt>
                <c:pt idx="9">
                  <c:v>0.6780534006290323</c:v>
                </c:pt>
                <c:pt idx="10">
                  <c:v>0.6654111151103953</c:v>
                </c:pt>
                <c:pt idx="11">
                  <c:v>0.65224655143312027</c:v>
                </c:pt>
                <c:pt idx="12">
                  <c:v>0.69218291490376105</c:v>
                </c:pt>
                <c:pt idx="13">
                  <c:v>0.68100516020976465</c:v>
                </c:pt>
                <c:pt idx="14">
                  <c:v>0.69135144175504892</c:v>
                </c:pt>
                <c:pt idx="15">
                  <c:v>0.66730079132048081</c:v>
                </c:pt>
                <c:pt idx="16">
                  <c:v>0.73393178539048098</c:v>
                </c:pt>
                <c:pt idx="17">
                  <c:v>0.76393697086840395</c:v>
                </c:pt>
                <c:pt idx="18">
                  <c:v>0.70884194187751048</c:v>
                </c:pt>
                <c:pt idx="19">
                  <c:v>0.71220197382710426</c:v>
                </c:pt>
                <c:pt idx="20">
                  <c:v>0.69218291490376105</c:v>
                </c:pt>
                <c:pt idx="21">
                  <c:v>0.70833969108335182</c:v>
                </c:pt>
                <c:pt idx="22">
                  <c:v>0.69218291490376105</c:v>
                </c:pt>
                <c:pt idx="23">
                  <c:v>0.68100516020976465</c:v>
                </c:pt>
                <c:pt idx="24">
                  <c:v>0.71266964883981343</c:v>
                </c:pt>
                <c:pt idx="25">
                  <c:v>0.72290767401593947</c:v>
                </c:pt>
                <c:pt idx="26">
                  <c:v>0.68618836859531585</c:v>
                </c:pt>
                <c:pt idx="27">
                  <c:v>0.67701873692123848</c:v>
                </c:pt>
                <c:pt idx="28">
                  <c:v>0.63065801288525725</c:v>
                </c:pt>
                <c:pt idx="29">
                  <c:v>0.79174981044896442</c:v>
                </c:pt>
                <c:pt idx="30">
                  <c:v>0.68509907336728249</c:v>
                </c:pt>
                <c:pt idx="31">
                  <c:v>0.66822304229332419</c:v>
                </c:pt>
                <c:pt idx="32">
                  <c:v>0.65111120974363079</c:v>
                </c:pt>
                <c:pt idx="33">
                  <c:v>0.63378341384072345</c:v>
                </c:pt>
                <c:pt idx="34">
                  <c:v>0.68089032987573572</c:v>
                </c:pt>
                <c:pt idx="35">
                  <c:v>0.66906126040849745</c:v>
                </c:pt>
                <c:pt idx="36">
                  <c:v>0.65670425321644565</c:v>
                </c:pt>
                <c:pt idx="37">
                  <c:v>0.64383171355644619</c:v>
                </c:pt>
                <c:pt idx="38">
                  <c:v>0.72336882194532071</c:v>
                </c:pt>
                <c:pt idx="39">
                  <c:v>0.71225563695748484</c:v>
                </c:pt>
                <c:pt idx="40">
                  <c:v>0.70059418768368298</c:v>
                </c:pt>
                <c:pt idx="41">
                  <c:v>0.68838993922066161</c:v>
                </c:pt>
                <c:pt idx="42">
                  <c:v>0.7247834555509628</c:v>
                </c:pt>
                <c:pt idx="43">
                  <c:v>0.71408642321359805</c:v>
                </c:pt>
                <c:pt idx="44">
                  <c:v>0.71408642321359805</c:v>
                </c:pt>
                <c:pt idx="45">
                  <c:v>0.71408642321359805</c:v>
                </c:pt>
                <c:pt idx="46">
                  <c:v>0.6547920297890969</c:v>
                </c:pt>
                <c:pt idx="47">
                  <c:v>0.64175799803766909</c:v>
                </c:pt>
                <c:pt idx="48">
                  <c:v>0.62821575728046952</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A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A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A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A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A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A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A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A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B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B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B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B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B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B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B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B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dpower-my.sharepoint.com/personal/jimmy_gov_jdpa_com/Documents/Backup/Documents/Documents/Documents/Reports/Kia/201912/18.05.07-DSS-Template-v3.3%20-%20MY20%20Soul%2019%2010%20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sheetName val="Lookup"/>
      <sheetName val="LM Offers"/>
      <sheetName val="Offers"/>
      <sheetName val="Input"/>
      <sheetName val="LC Calib"/>
      <sheetName val="Scenarios"/>
      <sheetName val="Input(+)"/>
      <sheetName val="DSS_Calc"/>
      <sheetName val="L1"/>
      <sheetName val="Output (LFC)"/>
      <sheetName val="L2"/>
      <sheetName val="L3"/>
      <sheetName val="R1"/>
      <sheetName val="R2"/>
      <sheetName val="Dum"/>
      <sheetName val="National"/>
      <sheetName val="Summary"/>
      <sheetName val="QC"/>
      <sheetName val="Scenario Rec"/>
      <sheetName val="Nissan Regional Table"/>
    </sheetNames>
    <sheetDataSet>
      <sheetData sheetId="0"/>
      <sheetData sheetId="1"/>
      <sheetData sheetId="2"/>
      <sheetData sheetId="3"/>
      <sheetData sheetId="4">
        <row r="1">
          <cell r="A1">
            <v>1</v>
          </cell>
          <cell r="G1" t="str">
            <v>DSS Input Creation</v>
          </cell>
        </row>
        <row r="2">
          <cell r="A2">
            <v>2</v>
          </cell>
          <cell r="H2" t="str">
            <v>MY20 Kia Soul</v>
          </cell>
          <cell r="J2" t="str">
            <v>MY20 Kia Soul</v>
          </cell>
          <cell r="L2" t="str">
            <v>MY20 Kia Soul</v>
          </cell>
          <cell r="N2" t="str">
            <v>MY20 Kia Soul</v>
          </cell>
          <cell r="P2" t="str">
            <v>MY20 Kia Soul</v>
          </cell>
          <cell r="R2" t="str">
            <v>MY20 Kia Soul</v>
          </cell>
        </row>
        <row r="3">
          <cell r="A3">
            <v>3</v>
          </cell>
          <cell r="G3">
            <v>0</v>
          </cell>
          <cell r="H3" t="str">
            <v>Soul</v>
          </cell>
          <cell r="I3" t="str">
            <v>Soul</v>
          </cell>
          <cell r="J3" t="str">
            <v>Soul</v>
          </cell>
          <cell r="K3" t="str">
            <v>Soul</v>
          </cell>
          <cell r="L3" t="str">
            <v>Soul</v>
          </cell>
          <cell r="M3" t="str">
            <v>Soul</v>
          </cell>
          <cell r="N3" t="str">
            <v>Soul</v>
          </cell>
          <cell r="O3" t="str">
            <v>Soul</v>
          </cell>
          <cell r="P3" t="str">
            <v>Soul</v>
          </cell>
          <cell r="Q3" t="str">
            <v>Soul</v>
          </cell>
        </row>
        <row r="4">
          <cell r="A4">
            <v>4</v>
          </cell>
          <cell r="H4">
            <v>2020</v>
          </cell>
          <cell r="I4">
            <v>2020</v>
          </cell>
          <cell r="J4">
            <v>2020</v>
          </cell>
          <cell r="K4">
            <v>2020</v>
          </cell>
          <cell r="L4">
            <v>2020</v>
          </cell>
          <cell r="M4">
            <v>2020</v>
          </cell>
          <cell r="N4">
            <v>2020</v>
          </cell>
          <cell r="O4">
            <v>2020</v>
          </cell>
          <cell r="P4">
            <v>2020</v>
          </cell>
          <cell r="Q4">
            <v>2020</v>
          </cell>
        </row>
        <row r="5">
          <cell r="A5">
            <v>5</v>
          </cell>
          <cell r="H5" t="str">
            <v>L1</v>
          </cell>
          <cell r="I5" t="str">
            <v>L1</v>
          </cell>
          <cell r="J5" t="str">
            <v>L2</v>
          </cell>
          <cell r="K5" t="str">
            <v>L2</v>
          </cell>
          <cell r="L5" t="str">
            <v>L3</v>
          </cell>
          <cell r="M5" t="str">
            <v>L3</v>
          </cell>
          <cell r="N5" t="str">
            <v>R1</v>
          </cell>
          <cell r="O5" t="str">
            <v>R1</v>
          </cell>
          <cell r="P5" t="str">
            <v>R2</v>
          </cell>
          <cell r="Q5" t="str">
            <v>R2</v>
          </cell>
        </row>
        <row r="6">
          <cell r="A6">
            <v>6</v>
          </cell>
          <cell r="H6" t="str">
            <v>Scenario 1</v>
          </cell>
          <cell r="I6" t="str">
            <v>Scenario 2</v>
          </cell>
          <cell r="J6" t="str">
            <v>Scenario 1</v>
          </cell>
          <cell r="K6" t="str">
            <v>Scenario 2</v>
          </cell>
          <cell r="L6" t="str">
            <v>Scenario 1</v>
          </cell>
          <cell r="M6" t="str">
            <v>Scenario 2</v>
          </cell>
          <cell r="N6" t="str">
            <v>Scenario 1</v>
          </cell>
          <cell r="O6" t="str">
            <v>Scenario 2</v>
          </cell>
          <cell r="P6" t="str">
            <v>Scenario 1</v>
          </cell>
          <cell r="Q6" t="str">
            <v>Scenario 2</v>
          </cell>
          <cell r="R6" t="str">
            <v>Scenario 1</v>
          </cell>
          <cell r="S6" t="str">
            <v>Scenario 2</v>
          </cell>
        </row>
        <row r="7">
          <cell r="A7">
            <v>7</v>
          </cell>
          <cell r="G7" t="str">
            <v>OEM</v>
          </cell>
          <cell r="H7" t="str">
            <v>Kia</v>
          </cell>
          <cell r="J7" t="str">
            <v>Kia</v>
          </cell>
          <cell r="L7" t="str">
            <v>Kia</v>
          </cell>
          <cell r="N7" t="str">
            <v>Kia</v>
          </cell>
          <cell r="P7" t="str">
            <v>Kia</v>
          </cell>
          <cell r="R7" t="str">
            <v>Kia</v>
          </cell>
        </row>
        <row r="8">
          <cell r="A8">
            <v>8</v>
          </cell>
          <cell r="G8" t="str">
            <v>Segment</v>
          </cell>
          <cell r="H8" t="str">
            <v>Compact SUV (52)</v>
          </cell>
          <cell r="J8" t="str">
            <v>Compact SUV (52)</v>
          </cell>
          <cell r="L8" t="str">
            <v>Compact SUV (52)</v>
          </cell>
          <cell r="N8" t="str">
            <v>Compact SUV (52)</v>
          </cell>
          <cell r="P8" t="str">
            <v>Compact SUV (52)</v>
          </cell>
          <cell r="R8" t="str">
            <v>Compact SUV (52)</v>
          </cell>
        </row>
        <row r="9">
          <cell r="A9">
            <v>9</v>
          </cell>
          <cell r="G9" t="str">
            <v>Model year</v>
          </cell>
          <cell r="H9">
            <v>2020</v>
          </cell>
          <cell r="J9">
            <v>2020</v>
          </cell>
          <cell r="L9">
            <v>2020</v>
          </cell>
          <cell r="N9">
            <v>2020</v>
          </cell>
          <cell r="P9">
            <v>2020</v>
          </cell>
          <cell r="R9">
            <v>2020</v>
          </cell>
        </row>
        <row r="10">
          <cell r="A10">
            <v>10</v>
          </cell>
          <cell r="G10" t="str">
            <v>Model year weight</v>
          </cell>
          <cell r="H10">
            <v>1</v>
          </cell>
          <cell r="J10">
            <v>1</v>
          </cell>
          <cell r="L10">
            <v>1</v>
          </cell>
          <cell r="N10">
            <v>1</v>
          </cell>
          <cell r="P10">
            <v>1</v>
          </cell>
          <cell r="R10">
            <v>1</v>
          </cell>
        </row>
        <row r="11">
          <cell r="A11">
            <v>11</v>
          </cell>
          <cell r="G11" t="str">
            <v>Region</v>
          </cell>
          <cell r="H11" t="str">
            <v>Kia-LR - L1</v>
          </cell>
          <cell r="J11" t="str">
            <v>Kia-LR - L2</v>
          </cell>
          <cell r="L11" t="str">
            <v>Kia-LR - L3</v>
          </cell>
          <cell r="N11" t="str">
            <v>Kia-LR - R1</v>
          </cell>
          <cell r="P11" t="str">
            <v>Kia-LR - R2</v>
          </cell>
          <cell r="R11" t="str">
            <v>National</v>
          </cell>
        </row>
        <row r="12">
          <cell r="A12">
            <v>12</v>
          </cell>
          <cell r="G12" t="str">
            <v>Model in DSS</v>
          </cell>
          <cell r="H12" t="str">
            <v>Kia Soul</v>
          </cell>
          <cell r="J12" t="str">
            <v>Kia Soul</v>
          </cell>
          <cell r="L12" t="str">
            <v>Kia Soul</v>
          </cell>
          <cell r="N12" t="str">
            <v>Kia Soul</v>
          </cell>
          <cell r="P12" t="str">
            <v>Kia Soul</v>
          </cell>
          <cell r="R12" t="str">
            <v>Kia Soul</v>
          </cell>
        </row>
        <row r="13">
          <cell r="A13">
            <v>13</v>
          </cell>
          <cell r="G13" t="str">
            <v>Section 1: Summary of Baseline Assumptions</v>
          </cell>
        </row>
        <row r="14">
          <cell r="A14">
            <v>14</v>
          </cell>
          <cell r="G14" t="str">
            <v>Reference:</v>
          </cell>
        </row>
        <row r="15">
          <cell r="A15">
            <v>15</v>
          </cell>
          <cell r="G15" t="str">
            <v>Vehicle Price</v>
          </cell>
          <cell r="H15">
            <v>19985</v>
          </cell>
          <cell r="J15">
            <v>19985</v>
          </cell>
          <cell r="L15">
            <v>19985</v>
          </cell>
          <cell r="N15">
            <v>19985</v>
          </cell>
          <cell r="P15">
            <v>19985</v>
          </cell>
          <cell r="R15">
            <v>19985</v>
          </cell>
        </row>
        <row r="16">
          <cell r="A16">
            <v>16</v>
          </cell>
          <cell r="G16" t="str">
            <v>MSRP</v>
          </cell>
          <cell r="H16">
            <v>21036.84210526316</v>
          </cell>
          <cell r="J16">
            <v>21036.84210526316</v>
          </cell>
          <cell r="L16">
            <v>21036.84210526316</v>
          </cell>
          <cell r="N16">
            <v>21036.84210526316</v>
          </cell>
          <cell r="P16">
            <v>21036.84210526316</v>
          </cell>
          <cell r="R16">
            <v>21036.84210526316</v>
          </cell>
        </row>
        <row r="17">
          <cell r="A17">
            <v>17</v>
          </cell>
          <cell r="G17" t="str">
            <v>Vehicle contribution margin prior to incentives (default 30% of VP)</v>
          </cell>
          <cell r="H17">
            <v>5995.5</v>
          </cell>
          <cell r="J17">
            <v>5995.5</v>
          </cell>
          <cell r="L17">
            <v>5995.5</v>
          </cell>
          <cell r="N17">
            <v>5995.5</v>
          </cell>
          <cell r="P17">
            <v>5995.5</v>
          </cell>
          <cell r="R17">
            <v>5995.5</v>
          </cell>
        </row>
        <row r="18">
          <cell r="A18">
            <v>18</v>
          </cell>
          <cell r="G18" t="str">
            <v>Average CM of canabilized units (for ACM calc)</v>
          </cell>
          <cell r="H18">
            <v>5995.5</v>
          </cell>
          <cell r="J18">
            <v>5995.5</v>
          </cell>
          <cell r="L18">
            <v>5995.5</v>
          </cell>
          <cell r="N18">
            <v>5995.5</v>
          </cell>
          <cell r="P18">
            <v>5995.5</v>
          </cell>
          <cell r="R18">
            <v>5995.5</v>
          </cell>
        </row>
        <row r="19">
          <cell r="A19">
            <v>19</v>
          </cell>
          <cell r="G19" t="str">
            <v>Diversion from rest of portfolio for ACM calc</v>
          </cell>
          <cell r="H19">
            <v>0</v>
          </cell>
          <cell r="J19">
            <v>0</v>
          </cell>
          <cell r="L19">
            <v>0</v>
          </cell>
          <cell r="N19">
            <v>0</v>
          </cell>
          <cell r="P19">
            <v>0</v>
          </cell>
          <cell r="R19">
            <v>0</v>
          </cell>
        </row>
        <row r="20">
          <cell r="A20">
            <v>20</v>
          </cell>
          <cell r="G20" t="str">
            <v>Baseline incentive cost per affected unit</v>
          </cell>
          <cell r="H20">
            <v>2203.6047473617718</v>
          </cell>
          <cell r="J20">
            <v>1728.5845657816647</v>
          </cell>
          <cell r="L20">
            <v>1777.1846945072923</v>
          </cell>
          <cell r="N20">
            <v>1600.3132575138197</v>
          </cell>
          <cell r="P20">
            <v>1591.4066236845038</v>
          </cell>
          <cell r="R20">
            <v>1716.3055838443925</v>
          </cell>
        </row>
        <row r="21">
          <cell r="A21">
            <v>21</v>
          </cell>
          <cell r="G21" t="str">
            <v>Cash</v>
          </cell>
          <cell r="H21">
            <v>1000</v>
          </cell>
          <cell r="J21">
            <v>1000</v>
          </cell>
          <cell r="L21">
            <v>1000</v>
          </cell>
          <cell r="N21">
            <v>1000</v>
          </cell>
          <cell r="P21">
            <v>1000</v>
          </cell>
          <cell r="R21">
            <v>1000.0000000000002</v>
          </cell>
        </row>
        <row r="22">
          <cell r="A22">
            <v>22</v>
          </cell>
          <cell r="G22" t="str">
            <v>Finance</v>
          </cell>
          <cell r="H22">
            <v>1970.8288390305656</v>
          </cell>
          <cell r="J22">
            <v>1970.8288390305656</v>
          </cell>
          <cell r="L22">
            <v>1970.8288390305656</v>
          </cell>
          <cell r="N22">
            <v>1970.8288390305656</v>
          </cell>
          <cell r="P22">
            <v>1970.8288390305656</v>
          </cell>
          <cell r="R22">
            <v>1970.8288390305654</v>
          </cell>
        </row>
        <row r="23">
          <cell r="A23">
            <v>98</v>
          </cell>
          <cell r="G23" t="str">
            <v>Lease (incl. residual decline)</v>
          </cell>
          <cell r="H23">
            <v>3292.1535573855117</v>
          </cell>
          <cell r="J23">
            <v>2572.1535573855117</v>
          </cell>
          <cell r="L23">
            <v>2572.1535573855117</v>
          </cell>
          <cell r="N23">
            <v>2212.1535573855117</v>
          </cell>
          <cell r="P23">
            <v>2212.1535573855117</v>
          </cell>
          <cell r="R23">
            <v>2671.1535573855117</v>
          </cell>
        </row>
        <row r="24">
          <cell r="A24">
            <v>24</v>
          </cell>
          <cell r="G24" t="str">
            <v>Other/misc. (100% applicable to all sale types)</v>
          </cell>
          <cell r="H24">
            <v>0</v>
          </cell>
          <cell r="J24">
            <v>0</v>
          </cell>
          <cell r="L24">
            <v>0</v>
          </cell>
          <cell r="N24">
            <v>0</v>
          </cell>
          <cell r="P24">
            <v>0</v>
          </cell>
          <cell r="R24">
            <v>0</v>
          </cell>
        </row>
        <row r="25">
          <cell r="A25">
            <v>25</v>
          </cell>
          <cell r="G25" t="str">
            <v>Accepted mix assumptions for this analysis (best available)</v>
          </cell>
          <cell r="H25" t="str">
            <v/>
          </cell>
          <cell r="J25" t="str">
            <v/>
          </cell>
          <cell r="L25" t="str">
            <v/>
          </cell>
          <cell r="N25" t="str">
            <v/>
          </cell>
          <cell r="P25" t="str">
            <v/>
          </cell>
          <cell r="R25" t="str">
            <v/>
          </cell>
        </row>
        <row r="26">
          <cell r="A26">
            <v>26</v>
          </cell>
          <cell r="G26" t="str">
            <v>Cash</v>
          </cell>
          <cell r="H26">
            <v>0.25701943844492442</v>
          </cell>
          <cell r="J26">
            <v>0.35496183206106868</v>
          </cell>
          <cell r="L26">
            <v>0.29472329472329473</v>
          </cell>
          <cell r="N26">
            <v>0.39154228855721396</v>
          </cell>
          <cell r="P26">
            <v>0.40556900726392253</v>
          </cell>
          <cell r="R26">
            <v>0.35112769754989448</v>
          </cell>
        </row>
        <row r="27">
          <cell r="A27">
            <v>27</v>
          </cell>
          <cell r="G27" t="str">
            <v>Finance</v>
          </cell>
          <cell r="H27">
            <v>0.37796976241900648</v>
          </cell>
          <cell r="J27">
            <v>0.47480916030534354</v>
          </cell>
          <cell r="L27">
            <v>0.55148005148005153</v>
          </cell>
          <cell r="N27">
            <v>0.56865671641791049</v>
          </cell>
          <cell r="P27">
            <v>0.53510895883777243</v>
          </cell>
          <cell r="R27">
            <v>0.52555573584293369</v>
          </cell>
        </row>
        <row r="28">
          <cell r="A28">
            <v>28</v>
          </cell>
          <cell r="G28" t="str">
            <v>Lease (identify as TOS instead if leasing w/o any support)</v>
          </cell>
          <cell r="H28">
            <v>0.3650107991360691</v>
          </cell>
          <cell r="I28" t="str">
            <v>TOI</v>
          </cell>
          <cell r="J28">
            <v>0.17022900763358778</v>
          </cell>
          <cell r="K28" t="str">
            <v>TOI</v>
          </cell>
          <cell r="L28">
            <v>0.1537966537966538</v>
          </cell>
          <cell r="M28" t="str">
            <v>TOI</v>
          </cell>
          <cell r="N28">
            <v>3.9800995024875621E-2</v>
          </cell>
          <cell r="O28" t="str">
            <v>TOI</v>
          </cell>
          <cell r="P28">
            <v>5.9322033898305086E-2</v>
          </cell>
          <cell r="Q28" t="str">
            <v>TOI</v>
          </cell>
          <cell r="R28">
            <v>0.12331656660717183</v>
          </cell>
          <cell r="S28" t="str">
            <v>TOI</v>
          </cell>
        </row>
        <row r="29">
          <cell r="A29">
            <v>29</v>
          </cell>
          <cell r="G29" t="str">
            <v>Sales Volume Assumption [units / month]</v>
          </cell>
          <cell r="H29">
            <v>463</v>
          </cell>
          <cell r="J29">
            <v>1310</v>
          </cell>
          <cell r="L29">
            <v>1554</v>
          </cell>
          <cell r="N29">
            <v>2010</v>
          </cell>
          <cell r="P29">
            <v>826</v>
          </cell>
          <cell r="R29">
            <v>6163</v>
          </cell>
        </row>
        <row r="30">
          <cell r="A30">
            <v>30</v>
          </cell>
          <cell r="G30" t="str">
            <v>Respective scenairio # for volume assumption</v>
          </cell>
          <cell r="H30">
            <v>1</v>
          </cell>
          <cell r="J30">
            <v>1</v>
          </cell>
          <cell r="L30">
            <v>1</v>
          </cell>
          <cell r="N30">
            <v>1</v>
          </cell>
          <cell r="P30">
            <v>1</v>
          </cell>
          <cell r="R30">
            <v>1</v>
          </cell>
        </row>
        <row r="31">
          <cell r="A31">
            <v>31</v>
          </cell>
          <cell r="G31" t="str">
            <v>Finance contracts - % of buyers qualified for supported APR</v>
          </cell>
          <cell r="H31">
            <v>0.7</v>
          </cell>
          <cell r="J31">
            <v>0.7</v>
          </cell>
          <cell r="L31">
            <v>0.7</v>
          </cell>
          <cell r="N31">
            <v>0.7</v>
          </cell>
          <cell r="P31">
            <v>0.7</v>
          </cell>
          <cell r="R31">
            <v>0.7</v>
          </cell>
        </row>
        <row r="32">
          <cell r="A32">
            <v>32</v>
          </cell>
          <cell r="G32" t="str">
            <v>Market Rate Assumptions - Finance</v>
          </cell>
        </row>
        <row r="33">
          <cell r="A33">
            <v>33</v>
          </cell>
          <cell r="G33" t="str">
            <v>Market rate captive available?</v>
          </cell>
          <cell r="H33" t="str">
            <v>N</v>
          </cell>
          <cell r="J33" t="str">
            <v>N</v>
          </cell>
          <cell r="L33" t="str">
            <v>N</v>
          </cell>
          <cell r="N33" t="str">
            <v>N</v>
          </cell>
          <cell r="P33" t="str">
            <v>N</v>
          </cell>
          <cell r="R33" t="str">
            <v>N</v>
          </cell>
        </row>
        <row r="34">
          <cell r="A34">
            <v>34</v>
          </cell>
          <cell r="G34" t="str">
            <v>36 Mo</v>
          </cell>
          <cell r="H34">
            <v>4.4999999999999998E-2</v>
          </cell>
          <cell r="J34">
            <v>4.4999999999999998E-2</v>
          </cell>
          <cell r="L34">
            <v>4.4999999999999998E-2</v>
          </cell>
          <cell r="N34">
            <v>4.4999999999999998E-2</v>
          </cell>
          <cell r="P34">
            <v>4.4999999999999998E-2</v>
          </cell>
          <cell r="R34">
            <v>4.4999999999999998E-2</v>
          </cell>
        </row>
        <row r="35">
          <cell r="A35">
            <v>35</v>
          </cell>
          <cell r="G35" t="str">
            <v>48 Mo</v>
          </cell>
          <cell r="H35">
            <v>4.4999999999999998E-2</v>
          </cell>
          <cell r="J35">
            <v>4.4999999999999998E-2</v>
          </cell>
          <cell r="L35">
            <v>4.4999999999999998E-2</v>
          </cell>
          <cell r="N35">
            <v>4.4999999999999998E-2</v>
          </cell>
          <cell r="P35">
            <v>4.4999999999999998E-2</v>
          </cell>
          <cell r="R35">
            <v>4.4999999999999998E-2</v>
          </cell>
        </row>
        <row r="36">
          <cell r="A36">
            <v>36</v>
          </cell>
          <cell r="G36" t="str">
            <v>60 Mo</v>
          </cell>
          <cell r="H36">
            <v>0.05</v>
          </cell>
          <cell r="J36">
            <v>0.05</v>
          </cell>
          <cell r="L36">
            <v>0.05</v>
          </cell>
          <cell r="N36">
            <v>0.05</v>
          </cell>
          <cell r="P36">
            <v>0.05</v>
          </cell>
          <cell r="R36">
            <v>0.05</v>
          </cell>
        </row>
        <row r="37">
          <cell r="A37">
            <v>37</v>
          </cell>
          <cell r="G37" t="str">
            <v>72 Mo</v>
          </cell>
          <cell r="H37">
            <v>5.45E-2</v>
          </cell>
          <cell r="J37">
            <v>5.45E-2</v>
          </cell>
          <cell r="L37">
            <v>5.45E-2</v>
          </cell>
          <cell r="N37">
            <v>5.45E-2</v>
          </cell>
          <cell r="P37">
            <v>5.45E-2</v>
          </cell>
          <cell r="R37">
            <v>5.45E-2</v>
          </cell>
        </row>
        <row r="38">
          <cell r="A38">
            <v>38</v>
          </cell>
          <cell r="G38" t="str">
            <v>84 Mo</v>
          </cell>
          <cell r="H38">
            <v>5.45E-2</v>
          </cell>
          <cell r="J38">
            <v>5.45E-2</v>
          </cell>
          <cell r="L38">
            <v>5.45E-2</v>
          </cell>
          <cell r="N38">
            <v>5.45E-2</v>
          </cell>
          <cell r="P38">
            <v>5.45E-2</v>
          </cell>
          <cell r="R38">
            <v>5.45E-2</v>
          </cell>
        </row>
        <row r="39">
          <cell r="A39">
            <v>39</v>
          </cell>
          <cell r="G39" t="str">
            <v>Market Rate Assumptions - Lease</v>
          </cell>
        </row>
        <row r="40">
          <cell r="A40">
            <v>40</v>
          </cell>
          <cell r="G40" t="str">
            <v>24 Mo</v>
          </cell>
          <cell r="H40">
            <v>0.05</v>
          </cell>
          <cell r="J40">
            <v>0.05</v>
          </cell>
          <cell r="L40">
            <v>0.05</v>
          </cell>
          <cell r="N40">
            <v>0.05</v>
          </cell>
          <cell r="P40">
            <v>0.05</v>
          </cell>
          <cell r="R40">
            <v>0.05</v>
          </cell>
        </row>
        <row r="41">
          <cell r="A41">
            <v>41</v>
          </cell>
          <cell r="G41" t="str">
            <v>36 Mo</v>
          </cell>
          <cell r="H41">
            <v>0.05</v>
          </cell>
          <cell r="J41">
            <v>0.05</v>
          </cell>
          <cell r="L41">
            <v>0.05</v>
          </cell>
          <cell r="N41">
            <v>0.05</v>
          </cell>
          <cell r="P41">
            <v>0.05</v>
          </cell>
          <cell r="R41">
            <v>0.05</v>
          </cell>
        </row>
        <row r="42">
          <cell r="A42">
            <v>42</v>
          </cell>
          <cell r="G42" t="str">
            <v>39 Mo</v>
          </cell>
          <cell r="H42">
            <v>0.05</v>
          </cell>
          <cell r="J42">
            <v>0.05</v>
          </cell>
          <cell r="L42">
            <v>0.05</v>
          </cell>
          <cell r="N42">
            <v>0.05</v>
          </cell>
          <cell r="P42">
            <v>0.05</v>
          </cell>
          <cell r="R42">
            <v>0.05</v>
          </cell>
        </row>
        <row r="43">
          <cell r="A43">
            <v>43</v>
          </cell>
          <cell r="G43" t="str">
            <v>48 Mo</v>
          </cell>
          <cell r="H43">
            <v>5.5E-2</v>
          </cell>
          <cell r="J43">
            <v>5.5E-2</v>
          </cell>
          <cell r="L43">
            <v>5.5E-2</v>
          </cell>
          <cell r="N43">
            <v>5.5E-2</v>
          </cell>
          <cell r="P43">
            <v>5.5E-2</v>
          </cell>
          <cell r="R43">
            <v>5.5E-2</v>
          </cell>
        </row>
        <row r="44">
          <cell r="A44">
            <v>44</v>
          </cell>
          <cell r="G44" t="str">
            <v>60 Mo</v>
          </cell>
          <cell r="H44">
            <v>0.06</v>
          </cell>
          <cell r="J44">
            <v>0.06</v>
          </cell>
          <cell r="L44">
            <v>0.06</v>
          </cell>
          <cell r="N44">
            <v>0.06</v>
          </cell>
          <cell r="P44">
            <v>0.06</v>
          </cell>
          <cell r="R44">
            <v>0.06</v>
          </cell>
        </row>
        <row r="45">
          <cell r="A45">
            <v>45</v>
          </cell>
          <cell r="G45" t="str">
            <v>OEM Cost of Funds Assumptions - Finance</v>
          </cell>
        </row>
        <row r="46">
          <cell r="A46">
            <v>46</v>
          </cell>
          <cell r="G46" t="str">
            <v>36 Mo</v>
          </cell>
          <cell r="H46">
            <v>4.4999999999999998E-2</v>
          </cell>
          <cell r="J46">
            <v>4.4999999999999998E-2</v>
          </cell>
          <cell r="L46">
            <v>4.4999999999999998E-2</v>
          </cell>
          <cell r="N46">
            <v>4.4999999999999998E-2</v>
          </cell>
          <cell r="P46">
            <v>4.4999999999999998E-2</v>
          </cell>
          <cell r="R46">
            <v>4.4999999999999998E-2</v>
          </cell>
        </row>
        <row r="47">
          <cell r="A47">
            <v>47</v>
          </cell>
          <cell r="G47" t="str">
            <v>48 Mo</v>
          </cell>
          <cell r="H47">
            <v>4.4999999999999998E-2</v>
          </cell>
          <cell r="J47">
            <v>4.4999999999999998E-2</v>
          </cell>
          <cell r="L47">
            <v>4.4999999999999998E-2</v>
          </cell>
          <cell r="N47">
            <v>4.4999999999999998E-2</v>
          </cell>
          <cell r="P47">
            <v>4.4999999999999998E-2</v>
          </cell>
          <cell r="R47">
            <v>4.4999999999999998E-2</v>
          </cell>
        </row>
        <row r="48">
          <cell r="A48">
            <v>48</v>
          </cell>
          <cell r="G48" t="str">
            <v>60 Mo</v>
          </cell>
          <cell r="H48">
            <v>0.05</v>
          </cell>
          <cell r="J48">
            <v>0.05</v>
          </cell>
          <cell r="L48">
            <v>0.05</v>
          </cell>
          <cell r="N48">
            <v>0.05</v>
          </cell>
          <cell r="P48">
            <v>0.05</v>
          </cell>
          <cell r="R48">
            <v>0.05</v>
          </cell>
        </row>
        <row r="49">
          <cell r="A49">
            <v>49</v>
          </cell>
          <cell r="G49" t="str">
            <v>72 Mo</v>
          </cell>
          <cell r="H49">
            <v>5.45E-2</v>
          </cell>
          <cell r="J49">
            <v>5.45E-2</v>
          </cell>
          <cell r="L49">
            <v>5.45E-2</v>
          </cell>
          <cell r="N49">
            <v>5.45E-2</v>
          </cell>
          <cell r="P49">
            <v>5.45E-2</v>
          </cell>
          <cell r="R49">
            <v>5.45E-2</v>
          </cell>
        </row>
        <row r="50">
          <cell r="A50">
            <v>50</v>
          </cell>
          <cell r="G50" t="str">
            <v>84 Mo</v>
          </cell>
          <cell r="H50">
            <v>5.45E-2</v>
          </cell>
          <cell r="J50">
            <v>5.45E-2</v>
          </cell>
          <cell r="L50">
            <v>5.45E-2</v>
          </cell>
          <cell r="N50">
            <v>5.45E-2</v>
          </cell>
          <cell r="P50">
            <v>5.45E-2</v>
          </cell>
          <cell r="R50">
            <v>5.45E-2</v>
          </cell>
        </row>
        <row r="51">
          <cell r="A51">
            <v>51</v>
          </cell>
          <cell r="G51" t="str">
            <v>OEM Cost of Funds Assumptions - Lease</v>
          </cell>
        </row>
        <row r="52">
          <cell r="A52">
            <v>52</v>
          </cell>
          <cell r="G52" t="str">
            <v>24 Mo</v>
          </cell>
          <cell r="H52">
            <v>0.05</v>
          </cell>
          <cell r="J52">
            <v>0.05</v>
          </cell>
          <cell r="L52">
            <v>0.05</v>
          </cell>
          <cell r="N52">
            <v>0.05</v>
          </cell>
          <cell r="P52">
            <v>0.05</v>
          </cell>
          <cell r="R52">
            <v>0.05</v>
          </cell>
        </row>
        <row r="53">
          <cell r="A53">
            <v>53</v>
          </cell>
          <cell r="G53" t="str">
            <v>36 Mo</v>
          </cell>
          <cell r="H53">
            <v>0.05</v>
          </cell>
          <cell r="J53">
            <v>0.05</v>
          </cell>
          <cell r="L53">
            <v>0.05</v>
          </cell>
          <cell r="N53">
            <v>0.05</v>
          </cell>
          <cell r="P53">
            <v>0.05</v>
          </cell>
          <cell r="R53">
            <v>0.05</v>
          </cell>
        </row>
        <row r="54">
          <cell r="A54">
            <v>54</v>
          </cell>
          <cell r="G54" t="str">
            <v>39 Mo</v>
          </cell>
          <cell r="H54">
            <v>0.05</v>
          </cell>
          <cell r="J54">
            <v>0.05</v>
          </cell>
          <cell r="L54">
            <v>0.05</v>
          </cell>
          <cell r="N54">
            <v>0.05</v>
          </cell>
          <cell r="P54">
            <v>0.05</v>
          </cell>
          <cell r="R54">
            <v>0.05</v>
          </cell>
        </row>
        <row r="55">
          <cell r="A55">
            <v>55</v>
          </cell>
          <cell r="G55" t="str">
            <v>48 Mo</v>
          </cell>
          <cell r="H55">
            <v>5.5E-2</v>
          </cell>
          <cell r="J55">
            <v>5.5E-2</v>
          </cell>
          <cell r="L55">
            <v>5.5E-2</v>
          </cell>
          <cell r="N55">
            <v>5.5E-2</v>
          </cell>
          <cell r="P55">
            <v>5.5E-2</v>
          </cell>
          <cell r="R55">
            <v>5.5E-2</v>
          </cell>
        </row>
        <row r="56">
          <cell r="A56">
            <v>56</v>
          </cell>
          <cell r="G56" t="str">
            <v>60 Mo</v>
          </cell>
          <cell r="H56">
            <v>0.06</v>
          </cell>
          <cell r="J56">
            <v>0.06</v>
          </cell>
          <cell r="L56">
            <v>0.06</v>
          </cell>
          <cell r="N56">
            <v>0.06</v>
          </cell>
          <cell r="P56">
            <v>0.06</v>
          </cell>
          <cell r="R56">
            <v>0.06</v>
          </cell>
        </row>
        <row r="57">
          <cell r="A57">
            <v>57</v>
          </cell>
          <cell r="G57" t="str">
            <v>Down Payment: Finance [$ or ppt]</v>
          </cell>
        </row>
        <row r="58">
          <cell r="A58">
            <v>58</v>
          </cell>
          <cell r="G58" t="str">
            <v>36 Mo</v>
          </cell>
          <cell r="H58">
            <v>0.1</v>
          </cell>
          <cell r="J58">
            <v>0.1</v>
          </cell>
          <cell r="L58">
            <v>0.1</v>
          </cell>
          <cell r="N58">
            <v>0.1</v>
          </cell>
          <cell r="P58">
            <v>0.1</v>
          </cell>
          <cell r="R58">
            <v>0.1</v>
          </cell>
        </row>
        <row r="59">
          <cell r="A59">
            <v>59</v>
          </cell>
          <cell r="G59" t="str">
            <v>48 Mo</v>
          </cell>
          <cell r="H59">
            <v>0.1</v>
          </cell>
          <cell r="J59">
            <v>0.1</v>
          </cell>
          <cell r="L59">
            <v>0.1</v>
          </cell>
          <cell r="N59">
            <v>0.1</v>
          </cell>
          <cell r="P59">
            <v>0.1</v>
          </cell>
          <cell r="R59">
            <v>0.1</v>
          </cell>
        </row>
        <row r="60">
          <cell r="A60">
            <v>60</v>
          </cell>
          <cell r="G60" t="str">
            <v>60 Mo</v>
          </cell>
          <cell r="H60">
            <v>0.1</v>
          </cell>
          <cell r="J60">
            <v>0.1</v>
          </cell>
          <cell r="L60">
            <v>0.1</v>
          </cell>
          <cell r="N60">
            <v>0.1</v>
          </cell>
          <cell r="P60">
            <v>0.1</v>
          </cell>
          <cell r="R60">
            <v>0.1</v>
          </cell>
        </row>
        <row r="61">
          <cell r="A61">
            <v>61</v>
          </cell>
          <cell r="G61" t="str">
            <v>72 Mo</v>
          </cell>
          <cell r="H61">
            <v>0.1</v>
          </cell>
          <cell r="J61">
            <v>0.1</v>
          </cell>
          <cell r="L61">
            <v>0.1</v>
          </cell>
          <cell r="N61">
            <v>0.1</v>
          </cell>
          <cell r="P61">
            <v>0.1</v>
          </cell>
          <cell r="R61">
            <v>0.1</v>
          </cell>
        </row>
        <row r="62">
          <cell r="A62">
            <v>62</v>
          </cell>
          <cell r="G62" t="str">
            <v>84 Mo</v>
          </cell>
          <cell r="H62">
            <v>0.1</v>
          </cell>
          <cell r="J62">
            <v>0.1</v>
          </cell>
          <cell r="L62">
            <v>0.1</v>
          </cell>
          <cell r="N62">
            <v>0.1</v>
          </cell>
          <cell r="P62">
            <v>0.1</v>
          </cell>
          <cell r="R62">
            <v>0.1</v>
          </cell>
        </row>
        <row r="63">
          <cell r="A63">
            <v>63</v>
          </cell>
          <cell r="G63" t="str">
            <v>Down Payment: Lease  [$ or ppt]</v>
          </cell>
        </row>
        <row r="64">
          <cell r="A64">
            <v>64</v>
          </cell>
          <cell r="G64" t="str">
            <v>24 Mo</v>
          </cell>
          <cell r="H64">
            <v>0.1</v>
          </cell>
          <cell r="J64">
            <v>0.1</v>
          </cell>
          <cell r="L64">
            <v>0.1</v>
          </cell>
          <cell r="N64">
            <v>0.1</v>
          </cell>
          <cell r="P64">
            <v>0.1</v>
          </cell>
          <cell r="R64">
            <v>0.1</v>
          </cell>
        </row>
        <row r="65">
          <cell r="A65">
            <v>65</v>
          </cell>
          <cell r="G65" t="str">
            <v>36 Mo</v>
          </cell>
          <cell r="H65">
            <v>0.1</v>
          </cell>
          <cell r="J65">
            <v>0.1</v>
          </cell>
          <cell r="L65">
            <v>0.1</v>
          </cell>
          <cell r="N65">
            <v>0.1</v>
          </cell>
          <cell r="P65">
            <v>0.1</v>
          </cell>
          <cell r="R65">
            <v>0.1</v>
          </cell>
        </row>
        <row r="66">
          <cell r="A66">
            <v>66</v>
          </cell>
          <cell r="G66" t="str">
            <v>39 Mo</v>
          </cell>
          <cell r="H66">
            <v>0.1</v>
          </cell>
          <cell r="J66">
            <v>0.1</v>
          </cell>
          <cell r="L66">
            <v>0.1</v>
          </cell>
          <cell r="N66">
            <v>0.1</v>
          </cell>
          <cell r="P66">
            <v>0.1</v>
          </cell>
          <cell r="R66">
            <v>0.1</v>
          </cell>
        </row>
        <row r="67">
          <cell r="A67">
            <v>67</v>
          </cell>
          <cell r="G67" t="str">
            <v>48 Mo</v>
          </cell>
          <cell r="H67">
            <v>0.1</v>
          </cell>
          <cell r="J67">
            <v>0.1</v>
          </cell>
          <cell r="L67">
            <v>0.1</v>
          </cell>
          <cell r="N67">
            <v>0.1</v>
          </cell>
          <cell r="P67">
            <v>0.1</v>
          </cell>
          <cell r="R67">
            <v>0.1</v>
          </cell>
        </row>
        <row r="68">
          <cell r="A68">
            <v>68</v>
          </cell>
          <cell r="G68" t="str">
            <v>60 Mo</v>
          </cell>
          <cell r="H68">
            <v>0.1</v>
          </cell>
          <cell r="J68">
            <v>0.1</v>
          </cell>
          <cell r="L68">
            <v>0.1</v>
          </cell>
          <cell r="N68">
            <v>0.1</v>
          </cell>
          <cell r="P68">
            <v>0.1</v>
          </cell>
          <cell r="R68">
            <v>0.1</v>
          </cell>
        </row>
        <row r="69">
          <cell r="A69">
            <v>69</v>
          </cell>
          <cell r="G69" t="str">
            <v>ALG residual  [$ or ppt]</v>
          </cell>
        </row>
        <row r="70">
          <cell r="A70">
            <v>70</v>
          </cell>
          <cell r="G70" t="str">
            <v>24 Mo</v>
          </cell>
          <cell r="H70">
            <v>0.6</v>
          </cell>
          <cell r="J70">
            <v>0.6</v>
          </cell>
          <cell r="L70">
            <v>0.6</v>
          </cell>
          <cell r="N70">
            <v>0.6</v>
          </cell>
          <cell r="P70">
            <v>0.6</v>
          </cell>
          <cell r="R70">
            <v>0.6</v>
          </cell>
        </row>
        <row r="71">
          <cell r="A71">
            <v>71</v>
          </cell>
          <cell r="G71" t="str">
            <v>36 Mo</v>
          </cell>
          <cell r="H71">
            <v>0.55000000000000004</v>
          </cell>
          <cell r="J71">
            <v>0.55000000000000004</v>
          </cell>
          <cell r="L71">
            <v>0.55000000000000004</v>
          </cell>
          <cell r="N71">
            <v>0.55000000000000004</v>
          </cell>
          <cell r="P71">
            <v>0.55000000000000004</v>
          </cell>
          <cell r="R71">
            <v>0.55000000000000004</v>
          </cell>
        </row>
        <row r="72">
          <cell r="A72">
            <v>72</v>
          </cell>
          <cell r="G72" t="str">
            <v>39 Mo</v>
          </cell>
          <cell r="H72">
            <v>0.52</v>
          </cell>
          <cell r="J72">
            <v>0.52</v>
          </cell>
          <cell r="L72">
            <v>0.52</v>
          </cell>
          <cell r="N72">
            <v>0.52</v>
          </cell>
          <cell r="P72">
            <v>0.52</v>
          </cell>
          <cell r="R72">
            <v>0.52</v>
          </cell>
        </row>
        <row r="73">
          <cell r="A73">
            <v>73</v>
          </cell>
          <cell r="G73" t="str">
            <v>48 Mo</v>
          </cell>
          <cell r="H73">
            <v>0.5</v>
          </cell>
          <cell r="J73">
            <v>0.5</v>
          </cell>
          <cell r="L73">
            <v>0.5</v>
          </cell>
          <cell r="N73">
            <v>0.5</v>
          </cell>
          <cell r="P73">
            <v>0.5</v>
          </cell>
          <cell r="R73">
            <v>0.5</v>
          </cell>
        </row>
        <row r="74">
          <cell r="A74">
            <v>74</v>
          </cell>
          <cell r="G74" t="str">
            <v>60 Mo</v>
          </cell>
          <cell r="H74">
            <v>0.45</v>
          </cell>
          <cell r="J74">
            <v>0.45</v>
          </cell>
          <cell r="L74">
            <v>0.45</v>
          </cell>
          <cell r="N74">
            <v>0.45</v>
          </cell>
          <cell r="P74">
            <v>0.45</v>
          </cell>
          <cell r="R74">
            <v>0.45</v>
          </cell>
        </row>
        <row r="75">
          <cell r="A75">
            <v>75</v>
          </cell>
          <cell r="G75" t="str">
            <v>Section 2: Incentive Tactics</v>
          </cell>
        </row>
        <row r="76">
          <cell r="A76">
            <v>76</v>
          </cell>
          <cell r="H76" t="str">
            <v>MY20 Kia Soul</v>
          </cell>
          <cell r="J76" t="str">
            <v>MY20 Kia Soul</v>
          </cell>
          <cell r="L76" t="str">
            <v>MY20 Kia Soul</v>
          </cell>
          <cell r="N76" t="str">
            <v>MY20 Kia Soul</v>
          </cell>
          <cell r="P76" t="str">
            <v>MY20 Kia Soul</v>
          </cell>
          <cell r="R76" t="str">
            <v>MY20 Kia Soul</v>
          </cell>
        </row>
        <row r="77">
          <cell r="A77">
            <v>77</v>
          </cell>
          <cell r="G77" t="str">
            <v>Cash rebate:</v>
          </cell>
          <cell r="H77">
            <v>1000</v>
          </cell>
          <cell r="I77">
            <v>1000</v>
          </cell>
          <cell r="J77">
            <v>1000</v>
          </cell>
          <cell r="K77">
            <v>1000</v>
          </cell>
          <cell r="L77">
            <v>1000</v>
          </cell>
          <cell r="M77">
            <v>1000</v>
          </cell>
          <cell r="N77">
            <v>1000</v>
          </cell>
          <cell r="O77">
            <v>1000</v>
          </cell>
          <cell r="P77">
            <v>1000</v>
          </cell>
          <cell r="Q77">
            <v>1000</v>
          </cell>
          <cell r="R77">
            <v>1000.0000000000002</v>
          </cell>
          <cell r="S77">
            <v>1000.0000000000002</v>
          </cell>
        </row>
        <row r="78">
          <cell r="A78">
            <v>78</v>
          </cell>
          <cell r="G78" t="str">
            <v>APR support:</v>
          </cell>
        </row>
        <row r="79">
          <cell r="A79">
            <v>79</v>
          </cell>
          <cell r="G79" t="str">
            <v>DSS Input Value: 36 mo</v>
          </cell>
          <cell r="H79" t="str">
            <v>Market</v>
          </cell>
          <cell r="I79" t="str">
            <v>Market</v>
          </cell>
          <cell r="J79" t="str">
            <v>Market</v>
          </cell>
          <cell r="K79" t="str">
            <v>Market</v>
          </cell>
          <cell r="L79" t="str">
            <v>Market</v>
          </cell>
          <cell r="M79" t="str">
            <v>Market</v>
          </cell>
          <cell r="N79" t="str">
            <v>Market</v>
          </cell>
          <cell r="O79" t="str">
            <v>Market</v>
          </cell>
          <cell r="P79" t="str">
            <v>Market</v>
          </cell>
          <cell r="Q79" t="str">
            <v>Market</v>
          </cell>
          <cell r="R79" t="str">
            <v>Market</v>
          </cell>
          <cell r="S79" t="str">
            <v>Market</v>
          </cell>
        </row>
        <row r="80">
          <cell r="A80">
            <v>80</v>
          </cell>
          <cell r="G80" t="str">
            <v>DSS Input Value: 48 mo</v>
          </cell>
          <cell r="H80" t="str">
            <v>Market</v>
          </cell>
          <cell r="I80" t="str">
            <v>Market</v>
          </cell>
          <cell r="J80" t="str">
            <v>Market</v>
          </cell>
          <cell r="K80" t="str">
            <v>Market</v>
          </cell>
          <cell r="L80" t="str">
            <v>Market</v>
          </cell>
          <cell r="M80" t="str">
            <v>Market</v>
          </cell>
          <cell r="N80" t="str">
            <v>Market</v>
          </cell>
          <cell r="O80" t="str">
            <v>Market</v>
          </cell>
          <cell r="P80" t="str">
            <v>Market</v>
          </cell>
          <cell r="Q80" t="str">
            <v>Market</v>
          </cell>
          <cell r="R80" t="str">
            <v>Market</v>
          </cell>
          <cell r="S80" t="str">
            <v>Market</v>
          </cell>
        </row>
        <row r="81">
          <cell r="A81">
            <v>81</v>
          </cell>
          <cell r="G81" t="str">
            <v>DSS Input Value: 60 mo</v>
          </cell>
          <cell r="H81" t="str">
            <v>Market</v>
          </cell>
          <cell r="I81" t="str">
            <v>Market</v>
          </cell>
          <cell r="J81" t="str">
            <v>Market</v>
          </cell>
          <cell r="K81" t="str">
            <v>Market</v>
          </cell>
          <cell r="L81" t="str">
            <v>Market</v>
          </cell>
          <cell r="M81" t="str">
            <v>Market</v>
          </cell>
          <cell r="N81" t="str">
            <v>Market</v>
          </cell>
          <cell r="O81" t="str">
            <v>Market</v>
          </cell>
          <cell r="P81" t="str">
            <v>Market</v>
          </cell>
          <cell r="Q81" t="str">
            <v>Market</v>
          </cell>
          <cell r="R81" t="str">
            <v>Market</v>
          </cell>
          <cell r="S81" t="str">
            <v>Market</v>
          </cell>
        </row>
        <row r="82">
          <cell r="A82">
            <v>82</v>
          </cell>
          <cell r="G82" t="str">
            <v>DSS Input Value: 72 mo</v>
          </cell>
          <cell r="H82" t="str">
            <v>Market</v>
          </cell>
          <cell r="I82" t="str">
            <v>Market</v>
          </cell>
          <cell r="J82" t="str">
            <v>Market</v>
          </cell>
          <cell r="K82" t="str">
            <v>Market</v>
          </cell>
          <cell r="L82" t="str">
            <v>Market</v>
          </cell>
          <cell r="M82" t="str">
            <v>Market</v>
          </cell>
          <cell r="N82" t="str">
            <v>Market</v>
          </cell>
          <cell r="O82" t="str">
            <v>Market</v>
          </cell>
          <cell r="P82" t="str">
            <v>Market</v>
          </cell>
          <cell r="Q82" t="str">
            <v>Market</v>
          </cell>
          <cell r="R82" t="str">
            <v>Market</v>
          </cell>
          <cell r="S82" t="str">
            <v>Market</v>
          </cell>
        </row>
        <row r="83">
          <cell r="A83">
            <v>83</v>
          </cell>
          <cell r="G83" t="str">
            <v>DSS Input Value: 72 mo</v>
          </cell>
          <cell r="H83" t="str">
            <v>Market</v>
          </cell>
          <cell r="I83" t="str">
            <v>Market</v>
          </cell>
          <cell r="J83" t="str">
            <v>Market</v>
          </cell>
          <cell r="K83" t="str">
            <v>Market</v>
          </cell>
          <cell r="L83" t="str">
            <v>Market</v>
          </cell>
          <cell r="M83" t="str">
            <v>Market</v>
          </cell>
          <cell r="N83" t="str">
            <v>Market</v>
          </cell>
          <cell r="O83" t="str">
            <v>Market</v>
          </cell>
          <cell r="P83" t="str">
            <v>Market</v>
          </cell>
          <cell r="Q83" t="str">
            <v>Market</v>
          </cell>
          <cell r="R83" t="str">
            <v>Market</v>
          </cell>
          <cell r="S83" t="str">
            <v>Market</v>
          </cell>
        </row>
        <row r="84">
          <cell r="A84">
            <v>84</v>
          </cell>
          <cell r="G84" t="str">
            <v>DSS Input Value: 84 mo</v>
          </cell>
          <cell r="H84" t="str">
            <v>Market</v>
          </cell>
          <cell r="I84" t="str">
            <v>Market</v>
          </cell>
          <cell r="J84" t="str">
            <v>Market</v>
          </cell>
          <cell r="K84" t="str">
            <v>Market</v>
          </cell>
          <cell r="L84" t="str">
            <v>Market</v>
          </cell>
          <cell r="M84" t="str">
            <v>Market</v>
          </cell>
          <cell r="N84" t="str">
            <v>Market</v>
          </cell>
          <cell r="O84" t="str">
            <v>Market</v>
          </cell>
          <cell r="P84" t="str">
            <v>Market</v>
          </cell>
          <cell r="Q84" t="str">
            <v>Market</v>
          </cell>
          <cell r="R84" t="str">
            <v>Market</v>
          </cell>
          <cell r="S84" t="str">
            <v>Market</v>
          </cell>
        </row>
        <row r="85">
          <cell r="A85">
            <v>85</v>
          </cell>
          <cell r="G85" t="str">
            <v xml:space="preserve"> - 75mo Term Available?</v>
          </cell>
          <cell r="H85" t="str">
            <v>N</v>
          </cell>
          <cell r="I85" t="str">
            <v>N</v>
          </cell>
          <cell r="J85" t="str">
            <v>N</v>
          </cell>
          <cell r="K85" t="str">
            <v>N</v>
          </cell>
          <cell r="L85" t="str">
            <v>N</v>
          </cell>
          <cell r="M85" t="str">
            <v>N</v>
          </cell>
          <cell r="N85" t="str">
            <v>N</v>
          </cell>
          <cell r="O85" t="str">
            <v>N</v>
          </cell>
          <cell r="P85" t="str">
            <v>N</v>
          </cell>
          <cell r="Q85" t="str">
            <v>N</v>
          </cell>
          <cell r="R85" t="str">
            <v>N</v>
          </cell>
          <cell r="S85" t="str">
            <v>N</v>
          </cell>
        </row>
        <row r="86">
          <cell r="A86">
            <v>86</v>
          </cell>
          <cell r="G86" t="str">
            <v>Optional: rate subvention cost</v>
          </cell>
        </row>
        <row r="87">
          <cell r="A87">
            <v>87</v>
          </cell>
          <cell r="G87" t="str">
            <v>Combo/APR support:</v>
          </cell>
        </row>
        <row r="88">
          <cell r="A88">
            <v>88</v>
          </cell>
          <cell r="G88" t="str">
            <v>Cash offer value</v>
          </cell>
          <cell r="H88">
            <v>0</v>
          </cell>
          <cell r="I88">
            <v>0</v>
          </cell>
          <cell r="J88">
            <v>0</v>
          </cell>
          <cell r="K88">
            <v>0</v>
          </cell>
          <cell r="L88">
            <v>0</v>
          </cell>
          <cell r="M88">
            <v>0</v>
          </cell>
          <cell r="N88">
            <v>0</v>
          </cell>
          <cell r="O88">
            <v>0</v>
          </cell>
          <cell r="P88">
            <v>0</v>
          </cell>
          <cell r="Q88">
            <v>0</v>
          </cell>
          <cell r="R88">
            <v>0</v>
          </cell>
          <cell r="S88">
            <v>0</v>
          </cell>
        </row>
        <row r="89">
          <cell r="A89">
            <v>89</v>
          </cell>
          <cell r="G89" t="str">
            <v>DSS Input Value: 24 mo</v>
          </cell>
          <cell r="H89">
            <v>0</v>
          </cell>
          <cell r="I89">
            <v>0</v>
          </cell>
          <cell r="J89">
            <v>0</v>
          </cell>
          <cell r="K89">
            <v>0</v>
          </cell>
          <cell r="L89">
            <v>0</v>
          </cell>
          <cell r="M89">
            <v>0</v>
          </cell>
          <cell r="N89">
            <v>0</v>
          </cell>
          <cell r="O89">
            <v>0</v>
          </cell>
          <cell r="P89">
            <v>0</v>
          </cell>
          <cell r="Q89">
            <v>0</v>
          </cell>
          <cell r="R89">
            <v>0</v>
          </cell>
          <cell r="S89">
            <v>0</v>
          </cell>
        </row>
        <row r="90">
          <cell r="A90">
            <v>90</v>
          </cell>
          <cell r="G90" t="str">
            <v>DSS Input Value: 36 mo</v>
          </cell>
          <cell r="H90">
            <v>0</v>
          </cell>
          <cell r="I90">
            <v>0</v>
          </cell>
          <cell r="J90">
            <v>0</v>
          </cell>
          <cell r="K90">
            <v>0</v>
          </cell>
          <cell r="L90">
            <v>0</v>
          </cell>
          <cell r="M90">
            <v>0</v>
          </cell>
          <cell r="N90">
            <v>0</v>
          </cell>
          <cell r="O90">
            <v>0</v>
          </cell>
          <cell r="P90">
            <v>0</v>
          </cell>
          <cell r="Q90">
            <v>0</v>
          </cell>
          <cell r="R90">
            <v>0</v>
          </cell>
          <cell r="S90">
            <v>0</v>
          </cell>
        </row>
        <row r="91">
          <cell r="A91">
            <v>91</v>
          </cell>
          <cell r="G91" t="str">
            <v>DSS Input Value: 48 mo</v>
          </cell>
          <cell r="H91">
            <v>0</v>
          </cell>
          <cell r="I91">
            <v>0</v>
          </cell>
          <cell r="J91">
            <v>0</v>
          </cell>
          <cell r="K91">
            <v>0</v>
          </cell>
          <cell r="L91">
            <v>0</v>
          </cell>
          <cell r="M91">
            <v>0</v>
          </cell>
          <cell r="N91">
            <v>0</v>
          </cell>
          <cell r="O91">
            <v>0</v>
          </cell>
          <cell r="P91">
            <v>0</v>
          </cell>
          <cell r="Q91">
            <v>0</v>
          </cell>
          <cell r="R91">
            <v>0</v>
          </cell>
          <cell r="S91">
            <v>0</v>
          </cell>
        </row>
        <row r="92">
          <cell r="A92">
            <v>92</v>
          </cell>
          <cell r="G92" t="str">
            <v>DSS Input Value: 60 mo</v>
          </cell>
          <cell r="H92">
            <v>0</v>
          </cell>
          <cell r="I92">
            <v>0</v>
          </cell>
          <cell r="J92">
            <v>0</v>
          </cell>
          <cell r="K92">
            <v>0</v>
          </cell>
          <cell r="L92">
            <v>0</v>
          </cell>
          <cell r="M92">
            <v>0</v>
          </cell>
          <cell r="N92">
            <v>0</v>
          </cell>
          <cell r="O92">
            <v>0</v>
          </cell>
          <cell r="P92">
            <v>0</v>
          </cell>
          <cell r="Q92">
            <v>0</v>
          </cell>
          <cell r="R92">
            <v>0</v>
          </cell>
          <cell r="S92">
            <v>0</v>
          </cell>
        </row>
        <row r="93">
          <cell r="A93">
            <v>93</v>
          </cell>
          <cell r="G93" t="str">
            <v>DSS Input Value: 72 mo</v>
          </cell>
          <cell r="H93">
            <v>1.9E-2</v>
          </cell>
          <cell r="I93">
            <v>1.9E-2</v>
          </cell>
          <cell r="J93">
            <v>1.9E-2</v>
          </cell>
          <cell r="K93">
            <v>1.9E-2</v>
          </cell>
          <cell r="L93">
            <v>1.9E-2</v>
          </cell>
          <cell r="M93">
            <v>1.9E-2</v>
          </cell>
          <cell r="N93">
            <v>1.9E-2</v>
          </cell>
          <cell r="O93">
            <v>1.9E-2</v>
          </cell>
          <cell r="P93">
            <v>1.9E-2</v>
          </cell>
          <cell r="Q93">
            <v>1.9E-2</v>
          </cell>
          <cell r="R93">
            <v>1.8999999999999996E-2</v>
          </cell>
          <cell r="S93">
            <v>1.8999999999999996E-2</v>
          </cell>
        </row>
        <row r="94">
          <cell r="A94">
            <v>94</v>
          </cell>
          <cell r="G94" t="str">
            <v>DSS Input Value: 84 mo</v>
          </cell>
          <cell r="H94">
            <v>3.9E-2</v>
          </cell>
          <cell r="I94">
            <v>3.9E-2</v>
          </cell>
          <cell r="J94">
            <v>3.9E-2</v>
          </cell>
          <cell r="K94">
            <v>3.9E-2</v>
          </cell>
          <cell r="L94">
            <v>3.9E-2</v>
          </cell>
          <cell r="M94">
            <v>3.9E-2</v>
          </cell>
          <cell r="N94">
            <v>3.9E-2</v>
          </cell>
          <cell r="O94">
            <v>3.9E-2</v>
          </cell>
          <cell r="P94">
            <v>3.9E-2</v>
          </cell>
          <cell r="Q94">
            <v>3.9E-2</v>
          </cell>
          <cell r="R94">
            <v>3.9E-2</v>
          </cell>
          <cell r="S94">
            <v>3.9E-2</v>
          </cell>
        </row>
        <row r="95">
          <cell r="A95">
            <v>95</v>
          </cell>
          <cell r="G95" t="str">
            <v xml:space="preserve"> - 75mo Term Available?</v>
          </cell>
          <cell r="H95" t="str">
            <v>Y</v>
          </cell>
          <cell r="I95" t="str">
            <v>Y</v>
          </cell>
          <cell r="J95" t="str">
            <v>Y</v>
          </cell>
          <cell r="K95" t="str">
            <v>Y</v>
          </cell>
          <cell r="L95" t="str">
            <v>Y</v>
          </cell>
          <cell r="M95" t="str">
            <v>Y</v>
          </cell>
          <cell r="N95" t="str">
            <v>Y</v>
          </cell>
          <cell r="O95" t="str">
            <v>Y</v>
          </cell>
          <cell r="P95" t="str">
            <v>Y</v>
          </cell>
          <cell r="Q95" t="str">
            <v>Y</v>
          </cell>
          <cell r="R95" t="str">
            <v>Y</v>
          </cell>
          <cell r="S95" t="str">
            <v>Y</v>
          </cell>
        </row>
        <row r="96">
          <cell r="A96">
            <v>96</v>
          </cell>
          <cell r="G96" t="str">
            <v>Optional: rate subvention cost</v>
          </cell>
          <cell r="W96">
            <v>0.45334101382488479</v>
          </cell>
          <cell r="X96">
            <v>0.54665898617511521</v>
          </cell>
        </row>
        <row r="97">
          <cell r="A97">
            <v>97</v>
          </cell>
          <cell r="G97" t="str">
            <v>Lease support:</v>
          </cell>
          <cell r="W97">
            <v>3935</v>
          </cell>
          <cell r="X97">
            <v>4745</v>
          </cell>
          <cell r="Y97">
            <v>8680</v>
          </cell>
        </row>
        <row r="98">
          <cell r="A98">
            <v>98</v>
          </cell>
          <cell r="G98" t="str">
            <v>Lease Offer/Pmt to Display in Presnetaiton Output</v>
          </cell>
          <cell r="H98">
            <v>3292.1535573855117</v>
          </cell>
          <cell r="I98">
            <v>3292.1535573855117</v>
          </cell>
          <cell r="J98">
            <v>2572.1535573855117</v>
          </cell>
          <cell r="K98">
            <v>2572.1535573855117</v>
          </cell>
          <cell r="L98">
            <v>2572.1535573855117</v>
          </cell>
          <cell r="M98">
            <v>2572.1535573855117</v>
          </cell>
          <cell r="N98">
            <v>2212.1535573855117</v>
          </cell>
          <cell r="O98">
            <v>2572.1535573855117</v>
          </cell>
          <cell r="P98">
            <v>2212.1535573855117</v>
          </cell>
          <cell r="Q98">
            <v>2572.1535573855117</v>
          </cell>
          <cell r="R98">
            <v>2671.1535573855117</v>
          </cell>
          <cell r="S98">
            <v>2732.2588205434067</v>
          </cell>
        </row>
        <row r="99">
          <cell r="A99">
            <v>99</v>
          </cell>
          <cell r="G99" t="str">
            <v>Lease offer value req'd to match base penetration</v>
          </cell>
          <cell r="H99">
            <v>1781</v>
          </cell>
          <cell r="I99">
            <v>1781</v>
          </cell>
          <cell r="J99">
            <v>402</v>
          </cell>
          <cell r="K99">
            <v>402</v>
          </cell>
          <cell r="L99">
            <v>1739</v>
          </cell>
          <cell r="M99">
            <v>1739</v>
          </cell>
          <cell r="N99">
            <v>-719</v>
          </cell>
          <cell r="O99">
            <v>-359</v>
          </cell>
          <cell r="P99">
            <v>-469.04952726548299</v>
          </cell>
          <cell r="Q99">
            <v>-109.04952726548299</v>
          </cell>
          <cell r="R99">
            <v>954.93759626840961</v>
          </cell>
          <cell r="S99">
            <v>1016.0428594263049</v>
          </cell>
          <cell r="W99" t="str">
            <v>Pen</v>
          </cell>
          <cell r="X99" t="str">
            <v>Mix</v>
          </cell>
        </row>
        <row r="100">
          <cell r="A100">
            <v>100</v>
          </cell>
          <cell r="G100" t="str">
            <v>Dealer cash (define as type of sale/type of incentive by mapping on DSS_calc)</v>
          </cell>
          <cell r="W100">
            <v>0.84</v>
          </cell>
          <cell r="X100">
            <v>0.45</v>
          </cell>
          <cell r="Y100">
            <v>0.378</v>
          </cell>
        </row>
        <row r="101">
          <cell r="A101">
            <v>101</v>
          </cell>
          <cell r="G101" t="str">
            <v>Dealer cash offer value - cash</v>
          </cell>
          <cell r="H101">
            <v>0</v>
          </cell>
          <cell r="I101">
            <v>0</v>
          </cell>
          <cell r="J101">
            <v>0</v>
          </cell>
          <cell r="K101">
            <v>0</v>
          </cell>
          <cell r="L101">
            <v>0</v>
          </cell>
          <cell r="M101">
            <v>0</v>
          </cell>
          <cell r="N101">
            <v>0</v>
          </cell>
          <cell r="O101">
            <v>0</v>
          </cell>
          <cell r="P101">
            <v>0</v>
          </cell>
          <cell r="Q101">
            <v>0</v>
          </cell>
          <cell r="R101">
            <v>0</v>
          </cell>
          <cell r="S101">
            <v>0</v>
          </cell>
          <cell r="W101">
            <v>0.99</v>
          </cell>
          <cell r="X101">
            <v>0.45</v>
          </cell>
          <cell r="Y101">
            <v>0.44550000000000001</v>
          </cell>
        </row>
        <row r="102">
          <cell r="A102">
            <v>102</v>
          </cell>
          <cell r="G102" t="str">
            <v>Dealer cash offer value - finance</v>
          </cell>
          <cell r="H102">
            <v>0</v>
          </cell>
          <cell r="I102">
            <v>0</v>
          </cell>
          <cell r="J102">
            <v>0</v>
          </cell>
          <cell r="K102">
            <v>0</v>
          </cell>
          <cell r="L102">
            <v>0</v>
          </cell>
          <cell r="M102">
            <v>0</v>
          </cell>
          <cell r="N102">
            <v>0</v>
          </cell>
          <cell r="O102">
            <v>0</v>
          </cell>
          <cell r="P102">
            <v>0</v>
          </cell>
          <cell r="Q102">
            <v>0</v>
          </cell>
          <cell r="R102">
            <v>0</v>
          </cell>
          <cell r="S102">
            <v>0</v>
          </cell>
          <cell r="W102">
            <v>0.42</v>
          </cell>
          <cell r="X102">
            <v>0.45</v>
          </cell>
          <cell r="Y102">
            <v>0.189</v>
          </cell>
        </row>
        <row r="103">
          <cell r="A103">
            <v>103</v>
          </cell>
          <cell r="G103" t="str">
            <v>Dealer cash offer value - lease</v>
          </cell>
          <cell r="H103">
            <v>0</v>
          </cell>
          <cell r="I103">
            <v>0</v>
          </cell>
          <cell r="J103">
            <v>0</v>
          </cell>
          <cell r="K103">
            <v>0</v>
          </cell>
          <cell r="L103">
            <v>0</v>
          </cell>
          <cell r="M103">
            <v>0</v>
          </cell>
          <cell r="N103">
            <v>0</v>
          </cell>
          <cell r="O103">
            <v>0</v>
          </cell>
          <cell r="P103">
            <v>0</v>
          </cell>
          <cell r="Q103">
            <v>0</v>
          </cell>
          <cell r="R103">
            <v>0</v>
          </cell>
          <cell r="S103">
            <v>0</v>
          </cell>
          <cell r="W103">
            <v>0.16</v>
          </cell>
          <cell r="X103">
            <v>0.45</v>
          </cell>
          <cell r="Y103">
            <v>7.2000000000000008E-2</v>
          </cell>
        </row>
        <row r="104">
          <cell r="A104">
            <v>104</v>
          </cell>
          <cell r="G104" t="str">
            <v>Dealer cash lift adjustment factor</v>
          </cell>
          <cell r="H104">
            <v>0.7</v>
          </cell>
          <cell r="I104">
            <v>0.7</v>
          </cell>
          <cell r="J104">
            <v>0.7</v>
          </cell>
          <cell r="K104">
            <v>0.7</v>
          </cell>
          <cell r="L104">
            <v>0.7</v>
          </cell>
          <cell r="M104">
            <v>0.7</v>
          </cell>
          <cell r="N104">
            <v>0.7</v>
          </cell>
          <cell r="O104">
            <v>0.7</v>
          </cell>
          <cell r="P104">
            <v>0.7</v>
          </cell>
          <cell r="Q104">
            <v>0.7</v>
          </cell>
          <cell r="R104">
            <v>0.7</v>
          </cell>
          <cell r="S104">
            <v>0.7</v>
          </cell>
          <cell r="W104">
            <v>0.44</v>
          </cell>
          <cell r="X104">
            <v>0.45</v>
          </cell>
          <cell r="Y104">
            <v>0.19800000000000001</v>
          </cell>
        </row>
        <row r="105">
          <cell r="A105">
            <v>105</v>
          </cell>
          <cell r="G105" t="str">
            <v>Bonus cash:  STACKABILITY HERE (Default is all types of sales)</v>
          </cell>
        </row>
        <row r="106">
          <cell r="A106">
            <v>106</v>
          </cell>
          <cell r="G106" t="str">
            <v>Raw offer value</v>
          </cell>
          <cell r="H106">
            <v>0</v>
          </cell>
          <cell r="I106">
            <v>0</v>
          </cell>
          <cell r="J106">
            <v>0</v>
          </cell>
          <cell r="K106">
            <v>0</v>
          </cell>
          <cell r="L106">
            <v>0</v>
          </cell>
          <cell r="M106">
            <v>0</v>
          </cell>
          <cell r="N106">
            <v>0</v>
          </cell>
          <cell r="O106">
            <v>0</v>
          </cell>
          <cell r="P106">
            <v>0</v>
          </cell>
          <cell r="Q106">
            <v>0</v>
          </cell>
          <cell r="R106">
            <v>0</v>
          </cell>
          <cell r="S106">
            <v>0</v>
          </cell>
        </row>
        <row r="107">
          <cell r="A107">
            <v>107</v>
          </cell>
          <cell r="G107" t="str">
            <v>Misc 1: Event Purchase RBV (C, F)</v>
          </cell>
        </row>
        <row r="108">
          <cell r="A108">
            <v>108</v>
          </cell>
          <cell r="G108" t="str">
            <v>Raw offer value</v>
          </cell>
          <cell r="H108">
            <v>0</v>
          </cell>
          <cell r="I108">
            <v>1000</v>
          </cell>
          <cell r="J108">
            <v>0</v>
          </cell>
          <cell r="K108">
            <v>1000</v>
          </cell>
          <cell r="L108">
            <v>0</v>
          </cell>
          <cell r="M108">
            <v>1000</v>
          </cell>
          <cell r="N108">
            <v>0</v>
          </cell>
          <cell r="O108">
            <v>1000</v>
          </cell>
          <cell r="P108">
            <v>0</v>
          </cell>
          <cell r="Q108">
            <v>1000</v>
          </cell>
          <cell r="R108">
            <v>0</v>
          </cell>
          <cell r="S108">
            <v>1000</v>
          </cell>
        </row>
        <row r="109">
          <cell r="A109">
            <v>109</v>
          </cell>
          <cell r="G109" t="str">
            <v>Percent of sales affected/pass thru</v>
          </cell>
          <cell r="H109">
            <v>0.24</v>
          </cell>
          <cell r="I109">
            <v>0.24</v>
          </cell>
          <cell r="J109">
            <v>0.24</v>
          </cell>
          <cell r="K109">
            <v>0.24</v>
          </cell>
          <cell r="L109">
            <v>0.24</v>
          </cell>
          <cell r="M109">
            <v>0.24</v>
          </cell>
          <cell r="N109">
            <v>0.24</v>
          </cell>
          <cell r="O109">
            <v>0.24</v>
          </cell>
          <cell r="P109">
            <v>0.24</v>
          </cell>
          <cell r="Q109">
            <v>0.24</v>
          </cell>
          <cell r="R109">
            <v>0.24</v>
          </cell>
          <cell r="S109">
            <v>0.24</v>
          </cell>
        </row>
        <row r="110">
          <cell r="A110">
            <v>110</v>
          </cell>
          <cell r="G110" t="str">
            <v>Misc 2: Event Lease Bonus (L)</v>
          </cell>
        </row>
        <row r="111">
          <cell r="A111">
            <v>111</v>
          </cell>
          <cell r="G111" t="str">
            <v>Raw offer value</v>
          </cell>
          <cell r="H111">
            <v>0</v>
          </cell>
          <cell r="I111">
            <v>500</v>
          </cell>
          <cell r="J111">
            <v>0</v>
          </cell>
          <cell r="K111">
            <v>500</v>
          </cell>
          <cell r="L111">
            <v>0</v>
          </cell>
          <cell r="M111">
            <v>500</v>
          </cell>
          <cell r="N111">
            <v>0</v>
          </cell>
          <cell r="O111">
            <v>500</v>
          </cell>
          <cell r="P111">
            <v>0</v>
          </cell>
          <cell r="Q111">
            <v>500</v>
          </cell>
          <cell r="R111">
            <v>0</v>
          </cell>
          <cell r="S111">
            <v>500</v>
          </cell>
        </row>
        <row r="112">
          <cell r="A112">
            <v>112</v>
          </cell>
          <cell r="G112" t="str">
            <v>Percent of sales affected/pass thru</v>
          </cell>
          <cell r="H112">
            <v>0.24</v>
          </cell>
          <cell r="I112">
            <v>0.24</v>
          </cell>
          <cell r="J112">
            <v>0.24</v>
          </cell>
          <cell r="K112">
            <v>0.24</v>
          </cell>
          <cell r="L112">
            <v>0.24</v>
          </cell>
          <cell r="M112">
            <v>0.24</v>
          </cell>
          <cell r="N112">
            <v>0.24</v>
          </cell>
          <cell r="O112">
            <v>0.24</v>
          </cell>
          <cell r="P112">
            <v>0.24</v>
          </cell>
          <cell r="Q112">
            <v>0.24</v>
          </cell>
          <cell r="R112">
            <v>0.24</v>
          </cell>
          <cell r="S112">
            <v>0.24</v>
          </cell>
        </row>
        <row r="113">
          <cell r="A113">
            <v>113</v>
          </cell>
          <cell r="G113" t="str">
            <v>Misc 3: OLP/CBP - Cash, Finance only</v>
          </cell>
        </row>
        <row r="114">
          <cell r="A114">
            <v>114</v>
          </cell>
          <cell r="G114" t="str">
            <v>Raw offer value</v>
          </cell>
          <cell r="H114">
            <v>0</v>
          </cell>
          <cell r="I114">
            <v>0</v>
          </cell>
          <cell r="J114">
            <v>0</v>
          </cell>
          <cell r="K114">
            <v>0</v>
          </cell>
          <cell r="L114">
            <v>0</v>
          </cell>
          <cell r="M114">
            <v>0</v>
          </cell>
          <cell r="N114">
            <v>0</v>
          </cell>
          <cell r="O114">
            <v>0</v>
          </cell>
          <cell r="P114">
            <v>0</v>
          </cell>
          <cell r="Q114">
            <v>0</v>
          </cell>
          <cell r="R114">
            <v>0</v>
          </cell>
          <cell r="S114">
            <v>0</v>
          </cell>
        </row>
        <row r="115">
          <cell r="A115">
            <v>115</v>
          </cell>
          <cell r="G115" t="str">
            <v>Percent of sales affected/pass thru</v>
          </cell>
          <cell r="H115">
            <v>0.38</v>
          </cell>
          <cell r="I115">
            <v>0.38</v>
          </cell>
          <cell r="J115">
            <v>0.45</v>
          </cell>
          <cell r="K115">
            <v>0.45</v>
          </cell>
          <cell r="L115">
            <v>0.19</v>
          </cell>
          <cell r="M115">
            <v>0.19</v>
          </cell>
          <cell r="N115">
            <v>7.0000000000000007E-2</v>
          </cell>
          <cell r="O115">
            <v>7.0000000000000007E-2</v>
          </cell>
          <cell r="P115">
            <v>0.2</v>
          </cell>
          <cell r="Q115">
            <v>0.2</v>
          </cell>
          <cell r="R115">
            <v>1</v>
          </cell>
          <cell r="S115">
            <v>1</v>
          </cell>
        </row>
        <row r="116">
          <cell r="A116">
            <v>116</v>
          </cell>
          <cell r="G116" t="str">
            <v>Misc 4: KMF BC (Captive Finance and Lease)</v>
          </cell>
        </row>
        <row r="117">
          <cell r="A117">
            <v>117</v>
          </cell>
          <cell r="G117" t="str">
            <v>Raw offer value</v>
          </cell>
          <cell r="H117">
            <v>0</v>
          </cell>
          <cell r="I117">
            <v>0</v>
          </cell>
          <cell r="J117">
            <v>0</v>
          </cell>
          <cell r="K117">
            <v>0</v>
          </cell>
          <cell r="L117">
            <v>0</v>
          </cell>
          <cell r="M117">
            <v>0</v>
          </cell>
          <cell r="N117">
            <v>0</v>
          </cell>
          <cell r="O117">
            <v>0</v>
          </cell>
          <cell r="P117">
            <v>0</v>
          </cell>
          <cell r="Q117">
            <v>0</v>
          </cell>
          <cell r="R117">
            <v>0</v>
          </cell>
          <cell r="S117">
            <v>0</v>
          </cell>
        </row>
        <row r="118">
          <cell r="A118">
            <v>118</v>
          </cell>
          <cell r="G118" t="str">
            <v>Percent of sales affected/pass thru</v>
          </cell>
          <cell r="H118">
            <v>0.72</v>
          </cell>
          <cell r="I118">
            <v>0.72</v>
          </cell>
          <cell r="J118">
            <v>0.72</v>
          </cell>
          <cell r="K118">
            <v>0.72</v>
          </cell>
          <cell r="L118">
            <v>0.72</v>
          </cell>
          <cell r="M118">
            <v>0.72</v>
          </cell>
          <cell r="N118">
            <v>0.72</v>
          </cell>
          <cell r="O118">
            <v>0.72</v>
          </cell>
          <cell r="P118">
            <v>0.72</v>
          </cell>
          <cell r="Q118">
            <v>0.72</v>
          </cell>
          <cell r="R118">
            <v>0.72</v>
          </cell>
          <cell r="S118">
            <v>0.72</v>
          </cell>
        </row>
        <row r="119">
          <cell r="A119">
            <v>119</v>
          </cell>
          <cell r="G119" t="str">
            <v>Misc 5: KMF BC (Captive, Unsupported Finance)</v>
          </cell>
        </row>
        <row r="120">
          <cell r="A120">
            <v>120</v>
          </cell>
          <cell r="G120" t="str">
            <v>Raw offer value</v>
          </cell>
          <cell r="H120">
            <v>0</v>
          </cell>
          <cell r="I120">
            <v>0</v>
          </cell>
          <cell r="J120">
            <v>0</v>
          </cell>
          <cell r="K120">
            <v>0</v>
          </cell>
          <cell r="L120">
            <v>0</v>
          </cell>
          <cell r="M120">
            <v>0</v>
          </cell>
          <cell r="N120">
            <v>0</v>
          </cell>
          <cell r="O120">
            <v>0</v>
          </cell>
          <cell r="P120">
            <v>0</v>
          </cell>
          <cell r="Q120">
            <v>0</v>
          </cell>
          <cell r="R120">
            <v>0</v>
          </cell>
          <cell r="S120">
            <v>0</v>
          </cell>
        </row>
        <row r="121">
          <cell r="A121">
            <v>121</v>
          </cell>
          <cell r="G121" t="str">
            <v>Percent of sales affected/pass thru</v>
          </cell>
          <cell r="H121">
            <v>0.11</v>
          </cell>
          <cell r="I121">
            <v>0.11</v>
          </cell>
          <cell r="J121">
            <v>0.11</v>
          </cell>
          <cell r="K121">
            <v>0.11</v>
          </cell>
          <cell r="L121">
            <v>0.11</v>
          </cell>
          <cell r="M121">
            <v>0.11</v>
          </cell>
          <cell r="N121">
            <v>0.11</v>
          </cell>
          <cell r="O121">
            <v>0.11</v>
          </cell>
          <cell r="P121">
            <v>0.11</v>
          </cell>
          <cell r="Q121">
            <v>0.11</v>
          </cell>
          <cell r="R121">
            <v>0.11</v>
          </cell>
          <cell r="S121">
            <v>0.11</v>
          </cell>
        </row>
        <row r="122">
          <cell r="A122">
            <v>122</v>
          </cell>
        </row>
        <row r="123">
          <cell r="A123">
            <v>123</v>
          </cell>
        </row>
        <row r="124">
          <cell r="A124">
            <v>124</v>
          </cell>
        </row>
        <row r="125">
          <cell r="A125">
            <v>125</v>
          </cell>
        </row>
        <row r="126">
          <cell r="A126">
            <v>126</v>
          </cell>
        </row>
        <row r="127">
          <cell r="A127">
            <v>127</v>
          </cell>
        </row>
        <row r="128">
          <cell r="A128">
            <v>128</v>
          </cell>
        </row>
        <row r="129">
          <cell r="A129">
            <v>129</v>
          </cell>
        </row>
        <row r="130">
          <cell r="A130">
            <v>130</v>
          </cell>
        </row>
        <row r="131">
          <cell r="A131">
            <v>131</v>
          </cell>
        </row>
        <row r="132">
          <cell r="A132">
            <v>132</v>
          </cell>
        </row>
        <row r="133">
          <cell r="A133">
            <v>133</v>
          </cell>
        </row>
        <row r="134">
          <cell r="A134">
            <v>134</v>
          </cell>
        </row>
        <row r="135">
          <cell r="A135">
            <v>135</v>
          </cell>
        </row>
        <row r="136">
          <cell r="A136">
            <v>136</v>
          </cell>
        </row>
        <row r="137">
          <cell r="A137">
            <v>137</v>
          </cell>
        </row>
        <row r="138">
          <cell r="A138">
            <v>138</v>
          </cell>
        </row>
        <row r="139">
          <cell r="A139">
            <v>139</v>
          </cell>
        </row>
        <row r="140">
          <cell r="A140">
            <v>140</v>
          </cell>
        </row>
        <row r="141">
          <cell r="A141">
            <v>141</v>
          </cell>
        </row>
        <row r="142">
          <cell r="A142">
            <v>142</v>
          </cell>
        </row>
        <row r="143">
          <cell r="A143">
            <v>143</v>
          </cell>
        </row>
        <row r="144">
          <cell r="A144">
            <v>144</v>
          </cell>
        </row>
        <row r="145">
          <cell r="A145">
            <v>145</v>
          </cell>
        </row>
        <row r="146">
          <cell r="A146">
            <v>146</v>
          </cell>
        </row>
        <row r="147">
          <cell r="A147">
            <v>147</v>
          </cell>
        </row>
        <row r="148">
          <cell r="A148">
            <v>148</v>
          </cell>
        </row>
        <row r="149">
          <cell r="A149">
            <v>149</v>
          </cell>
        </row>
        <row r="150">
          <cell r="A150">
            <v>150</v>
          </cell>
          <cell r="G150" t="str">
            <v>Reference: Lease Ad Pmt Calculator</v>
          </cell>
        </row>
        <row r="151">
          <cell r="A151">
            <v>151</v>
          </cell>
          <cell r="G151" t="str">
            <v>Monthly Payment</v>
          </cell>
          <cell r="H151">
            <v>199</v>
          </cell>
          <cell r="I151">
            <v>199</v>
          </cell>
          <cell r="J151">
            <v>199</v>
          </cell>
          <cell r="K151">
            <v>199</v>
          </cell>
          <cell r="L151">
            <v>199</v>
          </cell>
          <cell r="M151">
            <v>199</v>
          </cell>
          <cell r="N151">
            <v>199</v>
          </cell>
          <cell r="O151">
            <v>199</v>
          </cell>
          <cell r="P151">
            <v>199</v>
          </cell>
          <cell r="Q151">
            <v>199</v>
          </cell>
          <cell r="R151">
            <v>199</v>
          </cell>
          <cell r="S151">
            <v>199</v>
          </cell>
        </row>
        <row r="152">
          <cell r="A152">
            <v>152</v>
          </cell>
          <cell r="G152" t="str">
            <v>Due at Signing</v>
          </cell>
          <cell r="H152">
            <v>1999</v>
          </cell>
          <cell r="I152">
            <v>1999</v>
          </cell>
          <cell r="J152">
            <v>1999</v>
          </cell>
          <cell r="K152">
            <v>1999</v>
          </cell>
          <cell r="L152">
            <v>1999</v>
          </cell>
          <cell r="M152">
            <v>1999</v>
          </cell>
          <cell r="N152">
            <v>1999</v>
          </cell>
          <cell r="O152">
            <v>1999</v>
          </cell>
          <cell r="P152">
            <v>1999</v>
          </cell>
          <cell r="Q152">
            <v>1999</v>
          </cell>
          <cell r="R152">
            <v>1999</v>
          </cell>
          <cell r="S152">
            <v>1999</v>
          </cell>
        </row>
        <row r="153">
          <cell r="A153">
            <v>153</v>
          </cell>
          <cell r="G153" t="str">
            <v>Term</v>
          </cell>
          <cell r="H153">
            <v>36</v>
          </cell>
          <cell r="I153">
            <v>36</v>
          </cell>
          <cell r="J153">
            <v>36</v>
          </cell>
          <cell r="K153">
            <v>36</v>
          </cell>
          <cell r="L153">
            <v>36</v>
          </cell>
          <cell r="M153">
            <v>36</v>
          </cell>
          <cell r="N153">
            <v>36</v>
          </cell>
          <cell r="O153">
            <v>36</v>
          </cell>
          <cell r="P153">
            <v>36</v>
          </cell>
          <cell r="Q153">
            <v>36</v>
          </cell>
          <cell r="R153">
            <v>36</v>
          </cell>
          <cell r="S153">
            <v>36</v>
          </cell>
        </row>
        <row r="154">
          <cell r="A154">
            <v>154</v>
          </cell>
          <cell r="G154" t="str">
            <v>Equivalent Payment @ $0 Down</v>
          </cell>
          <cell r="H154">
            <v>249</v>
          </cell>
          <cell r="I154">
            <v>249</v>
          </cell>
          <cell r="J154">
            <v>249</v>
          </cell>
          <cell r="K154">
            <v>249</v>
          </cell>
          <cell r="L154">
            <v>249</v>
          </cell>
          <cell r="M154">
            <v>249</v>
          </cell>
          <cell r="N154">
            <v>249</v>
          </cell>
          <cell r="O154">
            <v>249</v>
          </cell>
          <cell r="P154">
            <v>249</v>
          </cell>
          <cell r="Q154">
            <v>249</v>
          </cell>
          <cell r="R154">
            <v>249</v>
          </cell>
          <cell r="S154">
            <v>249</v>
          </cell>
        </row>
        <row r="155">
          <cell r="A155">
            <v>155</v>
          </cell>
          <cell r="G155" t="str">
            <v>Change OEM Spend</v>
          </cell>
          <cell r="I155">
            <v>0</v>
          </cell>
          <cell r="K155">
            <v>0</v>
          </cell>
          <cell r="M155">
            <v>0</v>
          </cell>
          <cell r="O155">
            <v>0</v>
          </cell>
          <cell r="Q155">
            <v>0</v>
          </cell>
          <cell r="S155">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890</v>
      </c>
      <c r="D4" s="148"/>
      <c r="E4" s="120"/>
      <c r="F4" s="133"/>
      <c r="G4" s="143"/>
    </row>
    <row r="5" spans="2:7" ht="36">
      <c r="B5" s="138"/>
      <c r="C5" s="149" t="s">
        <v>891</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889</v>
      </c>
      <c r="E13" s="490"/>
    </row>
    <row r="14" spans="2:7" ht="15.75">
      <c r="C14" s="489"/>
      <c r="D14" s="756" t="s">
        <v>938</v>
      </c>
      <c r="E14" s="492" t="s">
        <v>939</v>
      </c>
    </row>
    <row r="15" spans="2:7" ht="15.75">
      <c r="C15" s="489"/>
      <c r="D15" s="492"/>
      <c r="E15" s="492" t="s">
        <v>940</v>
      </c>
    </row>
    <row r="16" spans="2:7" ht="15.75">
      <c r="C16" s="489"/>
      <c r="D16" s="492"/>
      <c r="E16" s="492" t="s">
        <v>941</v>
      </c>
    </row>
    <row r="17" spans="3:5">
      <c r="C17" s="491"/>
      <c r="D17" s="757" t="s">
        <v>635</v>
      </c>
      <c r="E17" s="497" t="s">
        <v>314</v>
      </c>
    </row>
    <row r="18" spans="3:5">
      <c r="C18" s="491"/>
      <c r="D18" s="491">
        <v>2</v>
      </c>
      <c r="E18" s="492" t="s">
        <v>892</v>
      </c>
    </row>
    <row r="19" spans="3:5">
      <c r="C19" s="491"/>
      <c r="D19" s="491">
        <v>7</v>
      </c>
      <c r="E19" s="492" t="s">
        <v>893</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894</v>
      </c>
    </row>
    <row r="31" spans="3:5">
      <c r="C31" s="491"/>
      <c r="D31" s="493"/>
      <c r="E31" s="494" t="s">
        <v>903</v>
      </c>
    </row>
    <row r="32" spans="3:5">
      <c r="C32" s="491"/>
      <c r="D32" s="493" t="s">
        <v>641</v>
      </c>
      <c r="E32" s="492" t="s">
        <v>642</v>
      </c>
    </row>
    <row r="33" spans="3:5">
      <c r="C33" s="491"/>
      <c r="D33" s="493"/>
      <c r="E33" s="494" t="s">
        <v>895</v>
      </c>
    </row>
    <row r="34" spans="3:5">
      <c r="C34" s="491"/>
      <c r="D34" s="493"/>
      <c r="E34" s="494" t="s">
        <v>643</v>
      </c>
    </row>
    <row r="35" spans="3:5" ht="25.5">
      <c r="C35" s="491"/>
      <c r="D35" s="493"/>
      <c r="E35" s="494" t="s">
        <v>896</v>
      </c>
    </row>
    <row r="36" spans="3:5">
      <c r="C36" s="491"/>
      <c r="D36" s="493">
        <v>29</v>
      </c>
      <c r="E36" s="492" t="s">
        <v>898</v>
      </c>
    </row>
    <row r="37" spans="3:5">
      <c r="C37" s="491"/>
      <c r="D37" s="493">
        <v>30</v>
      </c>
      <c r="E37" s="492" t="s">
        <v>668</v>
      </c>
    </row>
    <row r="38" spans="3:5">
      <c r="C38" s="491"/>
      <c r="D38" s="493">
        <v>31</v>
      </c>
      <c r="E38" s="492" t="s">
        <v>897</v>
      </c>
    </row>
    <row r="39" spans="3:5" ht="25.5">
      <c r="C39" s="491"/>
      <c r="D39" s="493">
        <v>33</v>
      </c>
      <c r="E39" s="492" t="s">
        <v>899</v>
      </c>
    </row>
    <row r="40" spans="3:5" ht="25.5">
      <c r="C40" s="491"/>
      <c r="D40" s="493" t="s">
        <v>669</v>
      </c>
      <c r="E40" s="492" t="s">
        <v>900</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901</v>
      </c>
    </row>
    <row r="45" spans="3:5">
      <c r="C45" s="491"/>
      <c r="D45" s="493" t="s">
        <v>674</v>
      </c>
      <c r="E45" s="492" t="s">
        <v>675</v>
      </c>
    </row>
    <row r="46" spans="3:5">
      <c r="C46" s="491"/>
      <c r="D46" s="493">
        <v>77</v>
      </c>
      <c r="E46" s="492" t="s">
        <v>648</v>
      </c>
    </row>
    <row r="47" spans="3:5" ht="68.45" customHeight="1">
      <c r="C47" s="491"/>
      <c r="D47" s="493" t="s">
        <v>676</v>
      </c>
      <c r="E47" s="492" t="s">
        <v>902</v>
      </c>
    </row>
    <row r="48" spans="3:5" ht="30.6" customHeight="1">
      <c r="C48" s="491"/>
      <c r="D48" s="493">
        <v>98</v>
      </c>
      <c r="E48" s="492" t="s">
        <v>907</v>
      </c>
    </row>
    <row r="49" spans="3:5" ht="25.5">
      <c r="C49" s="491"/>
      <c r="D49" s="493">
        <v>99</v>
      </c>
      <c r="E49" s="755" t="s">
        <v>909</v>
      </c>
    </row>
    <row r="50" spans="3:5" ht="25.5">
      <c r="C50" s="491"/>
      <c r="D50" s="493" t="s">
        <v>904</v>
      </c>
      <c r="E50" s="492" t="s">
        <v>905</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906</v>
      </c>
      <c r="E56" s="490"/>
    </row>
    <row r="57" spans="3:5">
      <c r="C57" s="491"/>
      <c r="D57" s="493" t="s">
        <v>649</v>
      </c>
      <c r="E57" s="492" t="s">
        <v>680</v>
      </c>
    </row>
    <row r="58" spans="3:5" ht="25.5">
      <c r="C58" s="491"/>
      <c r="D58" s="493" t="s">
        <v>650</v>
      </c>
      <c r="E58" s="492" t="s">
        <v>697</v>
      </c>
    </row>
    <row r="59" spans="3:5">
      <c r="C59" s="491"/>
      <c r="D59" s="493" t="s">
        <v>651</v>
      </c>
      <c r="E59" s="492" t="s">
        <v>908</v>
      </c>
    </row>
    <row r="60" spans="3:5" ht="15.75">
      <c r="C60" s="489"/>
      <c r="D60" s="489"/>
      <c r="E60" s="490"/>
    </row>
    <row r="61" spans="3:5" ht="15.75">
      <c r="C61" s="489">
        <v>4</v>
      </c>
      <c r="D61" s="489" t="s">
        <v>910</v>
      </c>
      <c r="E61" s="490"/>
    </row>
    <row r="62" spans="3:5" ht="25.5">
      <c r="C62" s="489"/>
      <c r="D62" s="756" t="s">
        <v>938</v>
      </c>
      <c r="E62" s="492" t="s">
        <v>911</v>
      </c>
    </row>
    <row r="63" spans="3:5" ht="25.5">
      <c r="C63" s="491"/>
      <c r="D63" s="493" t="s">
        <v>649</v>
      </c>
      <c r="E63" s="492" t="s">
        <v>912</v>
      </c>
    </row>
    <row r="64" spans="3:5" ht="25.5">
      <c r="C64" s="491"/>
      <c r="D64" s="493" t="s">
        <v>650</v>
      </c>
      <c r="E64" s="492" t="s">
        <v>913</v>
      </c>
    </row>
    <row r="65" spans="3:5">
      <c r="C65" s="491"/>
      <c r="D65" s="493" t="s">
        <v>651</v>
      </c>
      <c r="E65" s="492" t="s">
        <v>914</v>
      </c>
    </row>
    <row r="66" spans="3:5">
      <c r="C66" s="491"/>
      <c r="D66" s="493" t="s">
        <v>652</v>
      </c>
      <c r="E66" s="492" t="s">
        <v>915</v>
      </c>
    </row>
    <row r="67" spans="3:5" ht="38.25">
      <c r="C67" s="491"/>
      <c r="D67" s="493" t="s">
        <v>653</v>
      </c>
      <c r="E67" s="492" t="s">
        <v>916</v>
      </c>
    </row>
    <row r="68" spans="3:5">
      <c r="C68" s="491"/>
      <c r="D68" s="491"/>
      <c r="E68" s="492"/>
    </row>
    <row r="69" spans="3:5" ht="15.75">
      <c r="C69" s="489">
        <v>5</v>
      </c>
      <c r="D69" s="489" t="s">
        <v>681</v>
      </c>
      <c r="E69" s="490"/>
    </row>
    <row r="70" spans="3:5" ht="51">
      <c r="C70" s="489"/>
      <c r="D70" s="489"/>
      <c r="E70" s="492" t="s">
        <v>917</v>
      </c>
    </row>
    <row r="71" spans="3:5" ht="51">
      <c r="C71" s="489"/>
      <c r="D71" s="493" t="s">
        <v>649</v>
      </c>
      <c r="E71" s="492" t="s">
        <v>918</v>
      </c>
    </row>
    <row r="72" spans="3:5" ht="38.25">
      <c r="C72" s="489"/>
      <c r="D72" s="493" t="s">
        <v>650</v>
      </c>
      <c r="E72" s="492" t="s">
        <v>682</v>
      </c>
    </row>
    <row r="73" spans="3:5" ht="38.25">
      <c r="C73" s="489"/>
      <c r="D73" s="493" t="s">
        <v>651</v>
      </c>
      <c r="E73" s="492" t="s">
        <v>919</v>
      </c>
    </row>
    <row r="74" spans="3:5" ht="25.5">
      <c r="C74" s="489"/>
      <c r="D74" s="493" t="s">
        <v>651</v>
      </c>
      <c r="E74" s="492" t="s">
        <v>920</v>
      </c>
    </row>
    <row r="75" spans="3:5" ht="38.25">
      <c r="C75" s="489"/>
      <c r="D75" s="493" t="s">
        <v>652</v>
      </c>
      <c r="E75" s="492" t="s">
        <v>921</v>
      </c>
    </row>
    <row r="76" spans="3:5" ht="114.75">
      <c r="C76" s="489"/>
      <c r="D76" s="493" t="s">
        <v>653</v>
      </c>
      <c r="E76" s="492" t="s">
        <v>929</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922</v>
      </c>
    </row>
    <row r="90" spans="3:5" ht="25.5">
      <c r="C90" s="491"/>
      <c r="D90" s="493" t="s">
        <v>651</v>
      </c>
      <c r="E90" s="492" t="s">
        <v>923</v>
      </c>
    </row>
    <row r="91" spans="3:5" ht="25.5">
      <c r="C91" s="491"/>
      <c r="D91" s="493" t="s">
        <v>652</v>
      </c>
      <c r="E91" s="492" t="s">
        <v>687</v>
      </c>
    </row>
    <row r="92" spans="3:5" ht="25.5">
      <c r="C92" s="491"/>
      <c r="D92" s="493" t="s">
        <v>653</v>
      </c>
      <c r="E92" s="492" t="s">
        <v>924</v>
      </c>
    </row>
    <row r="93" spans="3:5" ht="76.5">
      <c r="C93" s="491"/>
      <c r="D93" s="493" t="s">
        <v>654</v>
      </c>
      <c r="E93" s="492" t="s">
        <v>926</v>
      </c>
    </row>
    <row r="94" spans="3:5">
      <c r="C94" s="491"/>
      <c r="D94" s="493" t="s">
        <v>655</v>
      </c>
      <c r="E94" s="492" t="s">
        <v>700</v>
      </c>
    </row>
    <row r="95" spans="3:5">
      <c r="C95" s="491"/>
      <c r="D95" s="493" t="s">
        <v>925</v>
      </c>
      <c r="E95" s="492" t="s">
        <v>927</v>
      </c>
    </row>
    <row r="96" spans="3:5">
      <c r="C96" s="491"/>
      <c r="D96" s="491"/>
      <c r="E96" s="492"/>
    </row>
    <row r="97" spans="3:5" ht="15.75">
      <c r="C97" s="489">
        <v>8</v>
      </c>
      <c r="D97" s="489" t="s">
        <v>689</v>
      </c>
      <c r="E97" s="490"/>
    </row>
    <row r="98" spans="3:5" ht="25.5">
      <c r="C98" s="491"/>
      <c r="D98" s="493" t="s">
        <v>649</v>
      </c>
      <c r="E98" s="492" t="s">
        <v>937</v>
      </c>
    </row>
    <row r="99" spans="3:5">
      <c r="C99" s="491"/>
      <c r="D99" s="493" t="s">
        <v>650</v>
      </c>
      <c r="E99" s="492" t="s">
        <v>928</v>
      </c>
    </row>
    <row r="100" spans="3:5" ht="25.5">
      <c r="C100" s="491"/>
      <c r="D100" s="493"/>
      <c r="E100" s="492" t="s">
        <v>945</v>
      </c>
    </row>
    <row r="101" spans="3:5" ht="25.5">
      <c r="C101" s="491"/>
      <c r="D101" s="493"/>
      <c r="E101" s="492" t="s">
        <v>944</v>
      </c>
    </row>
    <row r="102" spans="3:5">
      <c r="C102" s="491"/>
      <c r="D102" s="493"/>
      <c r="E102" s="492" t="s">
        <v>930</v>
      </c>
    </row>
    <row r="103" spans="3:5" ht="25.5">
      <c r="C103" s="491"/>
      <c r="D103" s="493" t="s">
        <v>651</v>
      </c>
      <c r="E103" s="492" t="s">
        <v>943</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932</v>
      </c>
    </row>
    <row r="110" spans="3:5" ht="25.5">
      <c r="E110" s="754" t="s">
        <v>933</v>
      </c>
    </row>
    <row r="111" spans="3:5" ht="25.5">
      <c r="E111" s="754" t="s">
        <v>934</v>
      </c>
    </row>
    <row r="112" spans="3:5">
      <c r="E112" s="754" t="s">
        <v>935</v>
      </c>
    </row>
    <row r="113" spans="3:5" ht="25.5">
      <c r="E113" s="754" t="s">
        <v>936</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942</v>
      </c>
    </row>
    <row r="118" spans="3:5" ht="25.5">
      <c r="C118" s="491"/>
      <c r="D118" s="493">
        <v>2</v>
      </c>
      <c r="E118" s="492" t="s">
        <v>931</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topLeftCell="A299" zoomScale="80" zoomScaleNormal="80" workbookViewId="0">
      <selection activeCell="A7" sqref="A7:E338"/>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8.8554687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8.8554687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8.8554687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8.8554687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8.8554687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8.8554687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8.8554687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8.8554687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8.8554687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8.8554687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8.8554687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8.8554687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8.8554687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8.8554687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8.8554687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8.8554687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8.8554687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8.8554687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8.8554687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8.8554687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8.8554687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8.8554687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8.8554687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8.8554687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8.8554687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8.8554687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8.8554687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8.8554687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8.8554687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8.8554687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8.8554687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8.8554687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8.8554687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8.8554687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8.8554687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8.8554687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8.8554687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8.8554687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8.8554687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8.8554687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8.8554687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8.8554687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8.8554687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8.8554687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8.8554687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8.8554687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8.8554687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8.8554687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8.8554687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8.8554687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8.8554687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8.8554687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8.8554687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8.8554687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8.8554687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8.8554687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8.8554687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8.8554687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8.8554687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8.8554687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8.8554687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8.8554687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8.8554687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8.8554687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1117</v>
      </c>
    </row>
    <row r="9" spans="1:5">
      <c r="A9" s="303" t="s">
        <v>412</v>
      </c>
    </row>
    <row r="10" spans="1:5">
      <c r="A10" s="303" t="s">
        <v>413</v>
      </c>
    </row>
    <row r="11" spans="1:5" s="303" customFormat="1"/>
    <row r="12" spans="1:5">
      <c r="A12" s="303" t="s">
        <v>414</v>
      </c>
      <c r="B12" s="303" t="s">
        <v>415</v>
      </c>
      <c r="C12" s="303" t="s">
        <v>416</v>
      </c>
      <c r="D12" s="303" t="s">
        <v>974</v>
      </c>
      <c r="E12" s="308" t="s">
        <v>822</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1095</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1096</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1097</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818</v>
      </c>
      <c r="C55" s="303">
        <v>2.59</v>
      </c>
      <c r="D55" s="303">
        <v>2.79</v>
      </c>
      <c r="E55" s="309">
        <f t="shared" si="0"/>
        <v>2.69</v>
      </c>
    </row>
    <row r="56" spans="1:5">
      <c r="A56" s="303" t="s">
        <v>424</v>
      </c>
      <c r="B56" s="303" t="s">
        <v>819</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1098</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1099</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820</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821</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1118</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986</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1119</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987</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1120</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1121</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988</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975</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976</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1100</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1101</v>
      </c>
      <c r="C133" s="303">
        <v>2.71</v>
      </c>
      <c r="D133" s="303">
        <v>2.92</v>
      </c>
      <c r="E133" s="309">
        <f t="shared" si="1"/>
        <v>2.8149999999999999</v>
      </c>
    </row>
    <row r="134" spans="1:5">
      <c r="A134" s="303" t="s">
        <v>450</v>
      </c>
      <c r="B134" s="303" t="s">
        <v>977</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978</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1102</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1103</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979</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1104</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1105</v>
      </c>
      <c r="B256" s="303" t="s">
        <v>473</v>
      </c>
      <c r="C256" s="303">
        <v>2.94</v>
      </c>
      <c r="D256" s="303">
        <v>3.67</v>
      </c>
      <c r="E256" s="309">
        <f t="shared" si="3"/>
        <v>3.3049999999999997</v>
      </c>
    </row>
    <row r="257" spans="1:5">
      <c r="A257" s="303" t="s">
        <v>1105</v>
      </c>
      <c r="B257" s="303" t="s">
        <v>301</v>
      </c>
      <c r="C257" s="303">
        <v>5.07</v>
      </c>
      <c r="D257" s="303">
        <v>5.13</v>
      </c>
      <c r="E257" s="309">
        <f t="shared" si="3"/>
        <v>5.0999999999999996</v>
      </c>
    </row>
    <row r="258" spans="1:5">
      <c r="A258" s="303" t="s">
        <v>1105</v>
      </c>
      <c r="B258" s="303" t="s">
        <v>302</v>
      </c>
      <c r="C258" s="303">
        <v>2.4900000000000002</v>
      </c>
      <c r="D258" s="303">
        <v>2.74</v>
      </c>
      <c r="E258" s="309">
        <f t="shared" si="3"/>
        <v>2.6150000000000002</v>
      </c>
    </row>
    <row r="259" spans="1:5">
      <c r="A259" s="303" t="s">
        <v>1105</v>
      </c>
      <c r="B259" s="303" t="s">
        <v>303</v>
      </c>
      <c r="C259" s="303">
        <v>4.5999999999999996</v>
      </c>
      <c r="D259" s="303">
        <v>5.41</v>
      </c>
      <c r="E259" s="309">
        <f t="shared" si="3"/>
        <v>5.0049999999999999</v>
      </c>
    </row>
    <row r="260" spans="1:5">
      <c r="A260" s="303" t="s">
        <v>1105</v>
      </c>
      <c r="B260" s="303" t="s">
        <v>304</v>
      </c>
      <c r="C260" s="303">
        <v>3.43</v>
      </c>
      <c r="D260" s="303">
        <v>3.71</v>
      </c>
      <c r="E260" s="309">
        <f t="shared" si="3"/>
        <v>3.5700000000000003</v>
      </c>
    </row>
    <row r="261" spans="1:5">
      <c r="A261" s="303" t="s">
        <v>1106</v>
      </c>
      <c r="B261" s="303" t="s">
        <v>402</v>
      </c>
      <c r="C261" s="303">
        <v>3.6</v>
      </c>
      <c r="D261" s="303">
        <v>3.51</v>
      </c>
      <c r="E261" s="309">
        <f t="shared" si="3"/>
        <v>3.5549999999999997</v>
      </c>
    </row>
    <row r="262" spans="1:5">
      <c r="A262" s="303" t="s">
        <v>1106</v>
      </c>
      <c r="B262" s="303" t="s">
        <v>1107</v>
      </c>
      <c r="C262" s="303">
        <v>4.38</v>
      </c>
      <c r="D262" s="303">
        <v>4.29</v>
      </c>
      <c r="E262" s="309">
        <f t="shared" si="3"/>
        <v>4.335</v>
      </c>
    </row>
    <row r="263" spans="1:5">
      <c r="A263" s="303" t="s">
        <v>1106</v>
      </c>
      <c r="B263" s="303" t="s">
        <v>167</v>
      </c>
      <c r="C263" s="303">
        <v>3.26</v>
      </c>
      <c r="D263" s="303">
        <v>3.47</v>
      </c>
      <c r="E263" s="309">
        <f t="shared" si="3"/>
        <v>3.3650000000000002</v>
      </c>
    </row>
    <row r="264" spans="1:5">
      <c r="A264" s="303" t="s">
        <v>1106</v>
      </c>
      <c r="B264" s="303" t="s">
        <v>381</v>
      </c>
      <c r="C264" s="303">
        <v>3.67</v>
      </c>
      <c r="D264" s="303">
        <v>3.69</v>
      </c>
      <c r="E264" s="309">
        <f t="shared" si="3"/>
        <v>3.6799999999999997</v>
      </c>
    </row>
    <row r="265" spans="1:5">
      <c r="A265" s="303" t="s">
        <v>1106</v>
      </c>
      <c r="B265" s="303" t="s">
        <v>227</v>
      </c>
      <c r="C265" s="303">
        <v>4</v>
      </c>
      <c r="D265" s="303">
        <v>4.1900000000000004</v>
      </c>
      <c r="E265" s="309">
        <f t="shared" si="3"/>
        <v>4.0950000000000006</v>
      </c>
    </row>
    <row r="266" spans="1:5">
      <c r="A266" s="303" t="s">
        <v>1106</v>
      </c>
      <c r="B266" s="303" t="s">
        <v>399</v>
      </c>
      <c r="C266" s="303">
        <v>4.1900000000000004</v>
      </c>
      <c r="D266" s="303">
        <v>4.1900000000000004</v>
      </c>
      <c r="E266" s="309">
        <f t="shared" si="3"/>
        <v>4.1900000000000004</v>
      </c>
    </row>
    <row r="267" spans="1:5">
      <c r="A267" s="303" t="s">
        <v>1106</v>
      </c>
      <c r="B267" s="303" t="s">
        <v>168</v>
      </c>
      <c r="C267" s="303">
        <v>2.33</v>
      </c>
      <c r="D267" s="303">
        <v>2.46</v>
      </c>
      <c r="E267" s="309">
        <f t="shared" si="3"/>
        <v>2.395</v>
      </c>
    </row>
    <row r="268" spans="1:5">
      <c r="A268" s="303" t="s">
        <v>1106</v>
      </c>
      <c r="B268" s="303" t="s">
        <v>250</v>
      </c>
      <c r="C268" s="303">
        <v>3.29</v>
      </c>
      <c r="D268" s="303">
        <v>3.3</v>
      </c>
      <c r="E268" s="309">
        <f t="shared" si="3"/>
        <v>3.2949999999999999</v>
      </c>
    </row>
    <row r="269" spans="1:5">
      <c r="A269" s="303" t="s">
        <v>1106</v>
      </c>
      <c r="B269" s="303" t="s">
        <v>228</v>
      </c>
      <c r="C269" s="303">
        <v>3.31</v>
      </c>
      <c r="D269" s="303">
        <v>3.33</v>
      </c>
      <c r="E269" s="309">
        <f t="shared" si="3"/>
        <v>3.3200000000000003</v>
      </c>
    </row>
    <row r="270" spans="1:5">
      <c r="A270" s="303" t="s">
        <v>1106</v>
      </c>
      <c r="B270" s="303" t="s">
        <v>1108</v>
      </c>
      <c r="C270" s="303">
        <v>4.17</v>
      </c>
      <c r="D270" s="303">
        <v>4.2</v>
      </c>
      <c r="E270" s="309">
        <f t="shared" ref="E270:E333" si="4">AVERAGE(MAX(MIN(C270,10),1.5),MAX(MIN(D270,10),1.5))</f>
        <v>4.1850000000000005</v>
      </c>
    </row>
    <row r="271" spans="1:5">
      <c r="A271" s="303" t="s">
        <v>1106</v>
      </c>
      <c r="B271" s="303" t="s">
        <v>1109</v>
      </c>
      <c r="C271" s="303">
        <v>3.66</v>
      </c>
      <c r="D271" s="303">
        <v>3.83</v>
      </c>
      <c r="E271" s="309">
        <f t="shared" si="4"/>
        <v>3.7450000000000001</v>
      </c>
    </row>
    <row r="272" spans="1:5">
      <c r="A272" s="303" t="s">
        <v>1106</v>
      </c>
      <c r="B272" s="303" t="s">
        <v>465</v>
      </c>
      <c r="C272" s="303">
        <v>3.6</v>
      </c>
      <c r="D272" s="303">
        <v>3.99</v>
      </c>
      <c r="E272" s="309">
        <f t="shared" si="4"/>
        <v>3.7949999999999999</v>
      </c>
    </row>
    <row r="273" spans="1:5">
      <c r="A273" s="303" t="s">
        <v>1106</v>
      </c>
      <c r="B273" s="303" t="s">
        <v>205</v>
      </c>
      <c r="C273" s="303">
        <v>3.14</v>
      </c>
      <c r="D273" s="303">
        <v>3.43</v>
      </c>
      <c r="E273" s="309">
        <f t="shared" si="4"/>
        <v>3.2850000000000001</v>
      </c>
    </row>
    <row r="274" spans="1:5">
      <c r="A274" s="303" t="s">
        <v>1106</v>
      </c>
      <c r="B274" s="303" t="s">
        <v>384</v>
      </c>
      <c r="C274" s="303">
        <v>3.19</v>
      </c>
      <c r="D274" s="303">
        <v>3.26</v>
      </c>
      <c r="E274" s="309">
        <f t="shared" si="4"/>
        <v>3.2249999999999996</v>
      </c>
    </row>
    <row r="275" spans="1:5">
      <c r="A275" s="303" t="s">
        <v>1106</v>
      </c>
      <c r="B275" s="303" t="s">
        <v>482</v>
      </c>
      <c r="C275" s="303">
        <v>3.78</v>
      </c>
      <c r="D275" s="303">
        <v>4.0199999999999996</v>
      </c>
      <c r="E275" s="309">
        <f t="shared" si="4"/>
        <v>3.8999999999999995</v>
      </c>
    </row>
    <row r="276" spans="1:5">
      <c r="A276" s="303" t="s">
        <v>1106</v>
      </c>
      <c r="B276" s="303" t="s">
        <v>466</v>
      </c>
      <c r="C276" s="303">
        <v>4.0199999999999996</v>
      </c>
      <c r="D276" s="303">
        <v>4.3099999999999996</v>
      </c>
      <c r="E276" s="309">
        <f t="shared" si="4"/>
        <v>4.1649999999999991</v>
      </c>
    </row>
    <row r="277" spans="1:5">
      <c r="A277" s="303" t="s">
        <v>1106</v>
      </c>
      <c r="B277" s="303" t="s">
        <v>483</v>
      </c>
      <c r="C277" s="303">
        <v>4.1100000000000003</v>
      </c>
      <c r="D277" s="303">
        <v>4.1399999999999997</v>
      </c>
      <c r="E277" s="309">
        <f t="shared" si="4"/>
        <v>4.125</v>
      </c>
    </row>
    <row r="278" spans="1:5">
      <c r="A278" s="303" t="s">
        <v>1106</v>
      </c>
      <c r="B278" s="303" t="s">
        <v>169</v>
      </c>
      <c r="C278" s="303">
        <v>4.05</v>
      </c>
      <c r="D278" s="303">
        <v>4.13</v>
      </c>
      <c r="E278" s="309">
        <f t="shared" si="4"/>
        <v>4.09</v>
      </c>
    </row>
    <row r="279" spans="1:5">
      <c r="A279" s="303" t="s">
        <v>1106</v>
      </c>
      <c r="B279" s="303" t="s">
        <v>229</v>
      </c>
      <c r="C279" s="303">
        <v>3.68</v>
      </c>
      <c r="D279" s="303">
        <v>3.84</v>
      </c>
      <c r="E279" s="309">
        <f t="shared" si="4"/>
        <v>3.76</v>
      </c>
    </row>
    <row r="280" spans="1:5">
      <c r="A280" s="303" t="s">
        <v>1106</v>
      </c>
      <c r="B280" s="303" t="s">
        <v>171</v>
      </c>
      <c r="C280" s="303">
        <v>3.83</v>
      </c>
      <c r="D280" s="303">
        <v>4.05</v>
      </c>
      <c r="E280" s="309">
        <f t="shared" si="4"/>
        <v>3.94</v>
      </c>
    </row>
    <row r="281" spans="1:5">
      <c r="A281" s="303" t="s">
        <v>1106</v>
      </c>
      <c r="B281" s="303" t="s">
        <v>230</v>
      </c>
      <c r="C281" s="303">
        <v>2.93</v>
      </c>
      <c r="D281" s="303">
        <v>3.01</v>
      </c>
      <c r="E281" s="309">
        <f t="shared" si="4"/>
        <v>2.9699999999999998</v>
      </c>
    </row>
    <row r="282" spans="1:5">
      <c r="A282" s="303" t="s">
        <v>1106</v>
      </c>
      <c r="B282" s="303" t="s">
        <v>484</v>
      </c>
      <c r="C282" s="303">
        <v>3.25</v>
      </c>
      <c r="D282" s="303">
        <v>3.18</v>
      </c>
      <c r="E282" s="309">
        <f t="shared" si="4"/>
        <v>3.2149999999999999</v>
      </c>
    </row>
    <row r="283" spans="1:5">
      <c r="A283" s="303" t="s">
        <v>1106</v>
      </c>
      <c r="B283" s="303" t="s">
        <v>485</v>
      </c>
      <c r="C283" s="303">
        <v>3.39</v>
      </c>
      <c r="D283" s="303">
        <v>3.71</v>
      </c>
      <c r="E283" s="309">
        <f t="shared" si="4"/>
        <v>3.55</v>
      </c>
    </row>
    <row r="284" spans="1:5">
      <c r="A284" s="303" t="s">
        <v>1106</v>
      </c>
      <c r="B284" s="303" t="s">
        <v>467</v>
      </c>
      <c r="C284" s="303">
        <v>3.67</v>
      </c>
      <c r="D284" s="303">
        <v>3.94</v>
      </c>
      <c r="E284" s="309">
        <f t="shared" si="4"/>
        <v>3.8049999999999997</v>
      </c>
    </row>
    <row r="285" spans="1:5">
      <c r="A285" s="303" t="s">
        <v>1106</v>
      </c>
      <c r="B285" s="303" t="s">
        <v>888</v>
      </c>
      <c r="C285" s="303">
        <v>4</v>
      </c>
      <c r="D285" s="303">
        <v>4.16</v>
      </c>
      <c r="E285" s="309">
        <f t="shared" si="4"/>
        <v>4.08</v>
      </c>
    </row>
    <row r="286" spans="1:5">
      <c r="A286" s="303" t="s">
        <v>1106</v>
      </c>
      <c r="B286" s="303" t="s">
        <v>172</v>
      </c>
      <c r="C286" s="303">
        <v>2.65</v>
      </c>
      <c r="D286" s="303">
        <v>2.65</v>
      </c>
      <c r="E286" s="309">
        <f t="shared" si="4"/>
        <v>2.65</v>
      </c>
    </row>
    <row r="287" spans="1:5">
      <c r="A287" s="303" t="s">
        <v>1106</v>
      </c>
      <c r="B287" s="303" t="s">
        <v>231</v>
      </c>
      <c r="C287" s="303">
        <v>3.64</v>
      </c>
      <c r="D287" s="303">
        <v>3.68</v>
      </c>
      <c r="E287" s="309">
        <f t="shared" si="4"/>
        <v>3.66</v>
      </c>
    </row>
    <row r="288" spans="1:5">
      <c r="A288" s="303" t="s">
        <v>1106</v>
      </c>
      <c r="B288" s="303" t="s">
        <v>361</v>
      </c>
      <c r="C288" s="303">
        <v>4.08</v>
      </c>
      <c r="D288" s="303">
        <v>4.08</v>
      </c>
      <c r="E288" s="309">
        <f t="shared" si="4"/>
        <v>4.08</v>
      </c>
    </row>
    <row r="289" spans="1:5">
      <c r="A289" s="303" t="s">
        <v>1106</v>
      </c>
      <c r="B289" s="303" t="s">
        <v>1110</v>
      </c>
      <c r="C289" s="303">
        <v>3.74</v>
      </c>
      <c r="D289" s="303">
        <v>3.74</v>
      </c>
      <c r="E289" s="309">
        <f t="shared" si="4"/>
        <v>3.74</v>
      </c>
    </row>
    <row r="290" spans="1:5">
      <c r="A290" s="303" t="s">
        <v>1106</v>
      </c>
      <c r="B290" s="303" t="s">
        <v>486</v>
      </c>
      <c r="C290" s="303">
        <v>4.0599999999999996</v>
      </c>
      <c r="D290" s="303">
        <v>4.0999999999999996</v>
      </c>
      <c r="E290" s="309">
        <f t="shared" si="4"/>
        <v>4.08</v>
      </c>
    </row>
    <row r="291" spans="1:5">
      <c r="A291" s="303" t="s">
        <v>1106</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1111</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1112</v>
      </c>
      <c r="C304" s="303">
        <v>3.71</v>
      </c>
      <c r="D304" s="303">
        <v>3.71</v>
      </c>
      <c r="E304" s="309">
        <f t="shared" si="4"/>
        <v>3.71</v>
      </c>
    </row>
    <row r="305" spans="1:5">
      <c r="A305" s="303" t="s">
        <v>498</v>
      </c>
      <c r="B305" s="303" t="s">
        <v>1113</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1122</v>
      </c>
      <c r="C315" s="303">
        <v>5.96</v>
      </c>
      <c r="D315" s="303">
        <v>5.96</v>
      </c>
      <c r="E315" s="309">
        <f t="shared" si="4"/>
        <v>5.96</v>
      </c>
    </row>
    <row r="316" spans="1:5">
      <c r="A316" s="303" t="s">
        <v>508</v>
      </c>
      <c r="B316" s="303" t="s">
        <v>1123</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1124</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1114</v>
      </c>
      <c r="B329" s="303" t="s">
        <v>248</v>
      </c>
      <c r="C329" s="303">
        <v>3.44</v>
      </c>
      <c r="D329" s="303">
        <v>3.49</v>
      </c>
      <c r="E329" s="309">
        <f t="shared" si="4"/>
        <v>3.4649999999999999</v>
      </c>
    </row>
    <row r="330" spans="1:5">
      <c r="A330" s="303" t="s">
        <v>1114</v>
      </c>
      <c r="B330" s="303" t="s">
        <v>474</v>
      </c>
      <c r="C330" s="303">
        <v>2.97</v>
      </c>
      <c r="D330" s="303">
        <v>2.79</v>
      </c>
      <c r="E330" s="309">
        <f t="shared" si="4"/>
        <v>2.88</v>
      </c>
    </row>
    <row r="331" spans="1:5">
      <c r="A331" s="303" t="s">
        <v>1114</v>
      </c>
      <c r="B331" s="303" t="s">
        <v>370</v>
      </c>
      <c r="C331" s="303">
        <v>3.2</v>
      </c>
      <c r="D331" s="303">
        <v>3.1</v>
      </c>
      <c r="E331" s="309">
        <f t="shared" si="4"/>
        <v>3.1500000000000004</v>
      </c>
    </row>
    <row r="332" spans="1:5">
      <c r="A332" s="303" t="s">
        <v>1114</v>
      </c>
      <c r="B332" s="303" t="s">
        <v>249</v>
      </c>
      <c r="C332" s="303">
        <v>4.38</v>
      </c>
      <c r="D332" s="303">
        <v>4.38</v>
      </c>
      <c r="E332" s="309">
        <f t="shared" si="4"/>
        <v>4.38</v>
      </c>
    </row>
    <row r="333" spans="1:5">
      <c r="A333" s="303" t="s">
        <v>1114</v>
      </c>
      <c r="B333" s="303" t="s">
        <v>1115</v>
      </c>
      <c r="C333" s="303">
        <v>3.66</v>
      </c>
      <c r="D333" s="303">
        <v>3.67</v>
      </c>
      <c r="E333" s="309">
        <f t="shared" si="4"/>
        <v>3.665</v>
      </c>
    </row>
    <row r="334" spans="1:5">
      <c r="A334" s="303" t="s">
        <v>1114</v>
      </c>
      <c r="B334" s="303" t="s">
        <v>1116</v>
      </c>
      <c r="C334" s="303">
        <v>3.75</v>
      </c>
      <c r="D334" s="303">
        <v>3.78</v>
      </c>
      <c r="E334" s="309">
        <f t="shared" ref="E334:E377" si="5">AVERAGE(MAX(MIN(C334,10),1.5),MAX(MIN(D334,10),1.5))</f>
        <v>3.7649999999999997</v>
      </c>
    </row>
    <row r="335" spans="1:5">
      <c r="A335" s="303" t="s">
        <v>1114</v>
      </c>
      <c r="B335" s="303" t="s">
        <v>400</v>
      </c>
      <c r="C335" s="303">
        <v>3.96</v>
      </c>
      <c r="D335" s="303">
        <v>4</v>
      </c>
      <c r="E335" s="309">
        <f t="shared" si="5"/>
        <v>3.98</v>
      </c>
    </row>
    <row r="336" spans="1:5">
      <c r="A336" s="303" t="s">
        <v>1114</v>
      </c>
      <c r="B336" s="303" t="s">
        <v>475</v>
      </c>
      <c r="C336" s="303">
        <v>3.46</v>
      </c>
      <c r="D336" s="303">
        <v>3.45</v>
      </c>
      <c r="E336" s="309">
        <f t="shared" si="5"/>
        <v>3.4550000000000001</v>
      </c>
    </row>
    <row r="337" spans="1:5">
      <c r="A337" s="303" t="s">
        <v>1114</v>
      </c>
      <c r="B337" s="303" t="s">
        <v>476</v>
      </c>
      <c r="C337" s="303">
        <v>3.55</v>
      </c>
      <c r="D337" s="303">
        <v>3.59</v>
      </c>
      <c r="E337" s="309">
        <f t="shared" si="5"/>
        <v>3.57</v>
      </c>
    </row>
    <row r="338" spans="1:5">
      <c r="A338" s="303" t="s">
        <v>1114</v>
      </c>
      <c r="B338" s="303" t="s">
        <v>477</v>
      </c>
      <c r="C338" s="303">
        <v>3.67</v>
      </c>
      <c r="D338" s="303">
        <v>3.74</v>
      </c>
      <c r="E338" s="309">
        <f t="shared" si="5"/>
        <v>3.7050000000000001</v>
      </c>
    </row>
    <row r="339" spans="1:5">
      <c r="E339" s="309">
        <f t="shared" si="5"/>
        <v>10</v>
      </c>
    </row>
    <row r="340" spans="1:5">
      <c r="E340" s="309">
        <f t="shared" si="5"/>
        <v>10</v>
      </c>
    </row>
    <row r="341" spans="1:5">
      <c r="E341" s="309">
        <f t="shared" si="5"/>
        <v>10</v>
      </c>
    </row>
    <row r="342" spans="1:5">
      <c r="E342" s="309">
        <f t="shared" si="5"/>
        <v>10</v>
      </c>
    </row>
    <row r="343" spans="1:5">
      <c r="E343" s="309">
        <f t="shared" si="5"/>
        <v>10</v>
      </c>
    </row>
    <row r="344" spans="1:5">
      <c r="E344" s="309">
        <f t="shared" si="5"/>
        <v>10</v>
      </c>
    </row>
    <row r="345" spans="1:5">
      <c r="E345" s="309">
        <f t="shared" si="5"/>
        <v>10</v>
      </c>
    </row>
    <row r="346" spans="1:5">
      <c r="E346" s="309">
        <f t="shared" si="5"/>
        <v>10</v>
      </c>
    </row>
    <row r="347" spans="1:5">
      <c r="E347" s="309">
        <f t="shared" si="5"/>
        <v>10</v>
      </c>
    </row>
    <row r="348" spans="1:5">
      <c r="E348" s="309">
        <f t="shared" si="5"/>
        <v>10</v>
      </c>
    </row>
    <row r="349" spans="1:5">
      <c r="E349" s="309">
        <f t="shared" si="5"/>
        <v>10</v>
      </c>
    </row>
    <row r="350" spans="1:5">
      <c r="E350" s="309">
        <f t="shared" si="5"/>
        <v>10</v>
      </c>
    </row>
    <row r="351" spans="1:5">
      <c r="E351" s="309">
        <f t="shared" si="5"/>
        <v>10</v>
      </c>
    </row>
    <row r="352" spans="1:5">
      <c r="E352" s="309">
        <f t="shared" si="5"/>
        <v>10</v>
      </c>
    </row>
    <row r="353" spans="5:5">
      <c r="E353" s="309">
        <f t="shared" si="5"/>
        <v>10</v>
      </c>
    </row>
    <row r="354" spans="5:5">
      <c r="E354" s="309">
        <f t="shared" si="5"/>
        <v>10</v>
      </c>
    </row>
    <row r="355" spans="5:5">
      <c r="E355" s="309">
        <f t="shared" si="5"/>
        <v>10</v>
      </c>
    </row>
    <row r="356" spans="5:5">
      <c r="E356" s="309">
        <f t="shared" si="5"/>
        <v>10</v>
      </c>
    </row>
    <row r="357" spans="5:5">
      <c r="E357" s="309">
        <f t="shared" si="5"/>
        <v>10</v>
      </c>
    </row>
    <row r="358" spans="5:5">
      <c r="E358" s="309">
        <f t="shared" si="5"/>
        <v>10</v>
      </c>
    </row>
    <row r="359" spans="5:5">
      <c r="E359" s="309">
        <f t="shared" si="5"/>
        <v>10</v>
      </c>
    </row>
    <row r="360" spans="5:5">
      <c r="E360" s="309">
        <f t="shared" si="5"/>
        <v>10</v>
      </c>
    </row>
    <row r="361" spans="5:5">
      <c r="E361" s="309">
        <f t="shared" si="5"/>
        <v>10</v>
      </c>
    </row>
    <row r="362" spans="5:5">
      <c r="E362" s="309">
        <f t="shared" si="5"/>
        <v>10</v>
      </c>
    </row>
    <row r="363" spans="5:5">
      <c r="E363" s="309">
        <f t="shared" si="5"/>
        <v>10</v>
      </c>
    </row>
    <row r="364" spans="5:5">
      <c r="E364" s="309">
        <f t="shared" si="5"/>
        <v>10</v>
      </c>
    </row>
    <row r="365" spans="5:5">
      <c r="E365" s="309">
        <f t="shared" si="5"/>
        <v>10</v>
      </c>
    </row>
    <row r="366" spans="5:5">
      <c r="E366" s="309">
        <f t="shared" si="5"/>
        <v>10</v>
      </c>
    </row>
    <row r="367" spans="5:5">
      <c r="E367" s="309">
        <f t="shared" si="5"/>
        <v>10</v>
      </c>
    </row>
    <row r="368" spans="5:5">
      <c r="E368" s="309">
        <f t="shared" si="5"/>
        <v>10</v>
      </c>
    </row>
    <row r="369" spans="5:5">
      <c r="E369" s="309">
        <f t="shared" si="5"/>
        <v>10</v>
      </c>
    </row>
    <row r="370" spans="5:5">
      <c r="E370" s="309">
        <f t="shared" si="5"/>
        <v>10</v>
      </c>
    </row>
    <row r="371" spans="5:5">
      <c r="E371" s="309">
        <f t="shared" si="5"/>
        <v>10</v>
      </c>
    </row>
    <row r="372" spans="5:5">
      <c r="E372" s="309">
        <f t="shared" si="5"/>
        <v>10</v>
      </c>
    </row>
    <row r="373" spans="5:5">
      <c r="E373" s="309">
        <f t="shared" si="5"/>
        <v>10</v>
      </c>
    </row>
    <row r="374" spans="5:5">
      <c r="E374" s="309">
        <f t="shared" si="5"/>
        <v>10</v>
      </c>
    </row>
    <row r="375" spans="5:5">
      <c r="E375" s="309">
        <f t="shared" si="5"/>
        <v>10</v>
      </c>
    </row>
    <row r="376" spans="5:5">
      <c r="E376" s="309">
        <f t="shared" si="5"/>
        <v>10</v>
      </c>
    </row>
    <row r="377" spans="5:5">
      <c r="E377" s="309">
        <f t="shared" si="5"/>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zoomScale="70" zoomScaleNormal="70" workbookViewId="0">
      <selection activeCell="W15" sqref="W15"/>
    </sheetView>
  </sheetViews>
  <sheetFormatPr defaultRowHeight="12.75"/>
  <cols>
    <col min="1" max="1" width="9.140625" style="857"/>
    <col min="2" max="5" width="13.5703125" style="857" customWidth="1"/>
    <col min="6" max="6" width="2.42578125" style="857" customWidth="1"/>
    <col min="7" max="9" width="9.28515625" style="857" customWidth="1"/>
    <col min="10" max="10" width="2.42578125" style="857" customWidth="1"/>
    <col min="11" max="13" width="9.28515625" style="857" customWidth="1"/>
    <col min="14" max="14" width="2.42578125" style="857" customWidth="1"/>
    <col min="15" max="18" width="9.28515625" style="857" customWidth="1"/>
    <col min="19" max="19" width="2.42578125" style="857" customWidth="1"/>
    <col min="20" max="21" width="9.28515625" style="857" customWidth="1"/>
    <col min="22" max="22" width="2.42578125" style="857" customWidth="1"/>
    <col min="23" max="31" width="9.140625" style="857"/>
    <col min="32" max="32" width="2.42578125" style="857" customWidth="1"/>
    <col min="33" max="16384" width="9.140625" style="857"/>
  </cols>
  <sheetData>
    <row r="3" spans="1:34" s="858" customFormat="1">
      <c r="A3" s="897"/>
      <c r="B3" s="897"/>
      <c r="C3" s="897"/>
      <c r="D3" s="897"/>
      <c r="E3" s="897"/>
      <c r="F3" s="897"/>
      <c r="G3" s="897">
        <v>21</v>
      </c>
      <c r="H3" s="897">
        <v>22</v>
      </c>
      <c r="I3" s="897">
        <v>98</v>
      </c>
      <c r="J3" s="897"/>
      <c r="K3" s="897"/>
      <c r="L3" s="897"/>
      <c r="M3" s="897"/>
      <c r="N3" s="897"/>
      <c r="O3" s="897">
        <v>29</v>
      </c>
      <c r="P3" s="897">
        <v>26</v>
      </c>
      <c r="Q3" s="897">
        <v>27</v>
      </c>
      <c r="R3" s="897">
        <v>28</v>
      </c>
      <c r="S3" s="897"/>
      <c r="T3" s="897">
        <v>77</v>
      </c>
      <c r="U3" s="897"/>
      <c r="V3" s="897"/>
      <c r="W3" s="897">
        <v>88</v>
      </c>
      <c r="X3" s="897">
        <v>89</v>
      </c>
      <c r="Y3" s="897">
        <v>90</v>
      </c>
      <c r="Z3" s="897">
        <v>91</v>
      </c>
      <c r="AA3" s="897">
        <v>92</v>
      </c>
      <c r="AB3" s="897"/>
      <c r="AC3" s="897">
        <v>93</v>
      </c>
      <c r="AD3" s="897">
        <v>94</v>
      </c>
      <c r="AE3" s="897"/>
      <c r="AF3" s="897"/>
      <c r="AG3" s="897">
        <v>101</v>
      </c>
      <c r="AH3" s="897">
        <v>106</v>
      </c>
    </row>
    <row r="4" spans="1:34" s="858" customFormat="1">
      <c r="A4" s="897"/>
      <c r="B4" s="897"/>
      <c r="C4" s="897"/>
      <c r="D4" s="897"/>
      <c r="E4" s="897"/>
      <c r="F4" s="897"/>
      <c r="G4" s="897" t="s">
        <v>856</v>
      </c>
      <c r="H4" s="897" t="s">
        <v>856</v>
      </c>
      <c r="I4" s="897" t="s">
        <v>856</v>
      </c>
      <c r="J4" s="897"/>
      <c r="K4" s="897" t="s">
        <v>856</v>
      </c>
      <c r="L4" s="897" t="s">
        <v>856</v>
      </c>
      <c r="M4" s="897" t="s">
        <v>856</v>
      </c>
      <c r="N4" s="897"/>
      <c r="O4" s="897" t="s">
        <v>1011</v>
      </c>
      <c r="P4" s="897" t="s">
        <v>1012</v>
      </c>
      <c r="Q4" s="897" t="s">
        <v>1012</v>
      </c>
      <c r="R4" s="897" t="s">
        <v>1012</v>
      </c>
      <c r="S4" s="897"/>
      <c r="T4" s="897" t="s">
        <v>1013</v>
      </c>
      <c r="U4" s="897" t="s">
        <v>1013</v>
      </c>
      <c r="V4" s="897"/>
      <c r="W4" s="897" t="s">
        <v>1013</v>
      </c>
      <c r="X4" s="897" t="s">
        <v>1013</v>
      </c>
      <c r="Y4" s="897" t="s">
        <v>1013</v>
      </c>
      <c r="Z4" s="897" t="s">
        <v>1013</v>
      </c>
      <c r="AA4" s="897" t="s">
        <v>1013</v>
      </c>
      <c r="AB4" s="897" t="s">
        <v>1013</v>
      </c>
      <c r="AC4" s="897" t="s">
        <v>1013</v>
      </c>
      <c r="AD4" s="897" t="s">
        <v>1013</v>
      </c>
      <c r="AE4" s="897" t="s">
        <v>1013</v>
      </c>
      <c r="AF4" s="897"/>
      <c r="AG4" s="897" t="s">
        <v>1013</v>
      </c>
      <c r="AH4" s="897" t="s">
        <v>1013</v>
      </c>
    </row>
    <row r="5" spans="1:34" ht="25.5">
      <c r="A5" s="898"/>
      <c r="B5" s="899" t="s">
        <v>982</v>
      </c>
      <c r="C5" s="899" t="s">
        <v>95</v>
      </c>
      <c r="D5" s="899" t="s">
        <v>1014</v>
      </c>
      <c r="E5" s="899" t="s">
        <v>1015</v>
      </c>
      <c r="F5" s="898"/>
      <c r="G5" s="900" t="s">
        <v>328</v>
      </c>
      <c r="H5" s="900" t="s">
        <v>329</v>
      </c>
      <c r="I5" s="900" t="s">
        <v>330</v>
      </c>
      <c r="J5" s="897"/>
      <c r="K5" s="900" t="s">
        <v>1016</v>
      </c>
      <c r="L5" s="900" t="s">
        <v>1017</v>
      </c>
      <c r="M5" s="900" t="s">
        <v>1018</v>
      </c>
      <c r="N5" s="897"/>
      <c r="O5" s="900" t="s">
        <v>1019</v>
      </c>
      <c r="P5" s="900" t="s">
        <v>328</v>
      </c>
      <c r="Q5" s="900" t="s">
        <v>329</v>
      </c>
      <c r="R5" s="900" t="s">
        <v>330</v>
      </c>
      <c r="S5" s="898"/>
      <c r="T5" s="900" t="s">
        <v>1020</v>
      </c>
      <c r="U5" s="900" t="s">
        <v>1021</v>
      </c>
      <c r="V5" s="897"/>
      <c r="W5" s="900" t="s">
        <v>715</v>
      </c>
      <c r="X5" s="901" t="s">
        <v>1022</v>
      </c>
      <c r="Y5" s="901" t="s">
        <v>1023</v>
      </c>
      <c r="Z5" s="901" t="s">
        <v>1024</v>
      </c>
      <c r="AA5" s="901" t="s">
        <v>967</v>
      </c>
      <c r="AB5" s="901" t="s">
        <v>968</v>
      </c>
      <c r="AC5" s="901" t="s">
        <v>969</v>
      </c>
      <c r="AD5" s="901" t="s">
        <v>970</v>
      </c>
      <c r="AE5" s="901" t="s">
        <v>1025</v>
      </c>
      <c r="AF5" s="897"/>
      <c r="AG5" s="900" t="s">
        <v>0</v>
      </c>
      <c r="AH5" s="900" t="s">
        <v>7</v>
      </c>
    </row>
    <row r="6" spans="1:34">
      <c r="A6" s="898" t="s">
        <v>1026</v>
      </c>
      <c r="B6" s="902" t="s">
        <v>960</v>
      </c>
      <c r="C6" s="902">
        <v>2019</v>
      </c>
      <c r="D6" s="902" t="s">
        <v>1152</v>
      </c>
      <c r="E6" s="898" t="s">
        <v>953</v>
      </c>
      <c r="F6" s="898"/>
      <c r="G6" s="903">
        <v>0</v>
      </c>
      <c r="H6" s="903">
        <v>0</v>
      </c>
      <c r="I6" s="903">
        <v>0</v>
      </c>
      <c r="J6" s="903"/>
      <c r="K6" s="903">
        <v>0</v>
      </c>
      <c r="L6" s="903">
        <v>0</v>
      </c>
      <c r="M6" s="903">
        <v>0</v>
      </c>
      <c r="N6" s="903"/>
      <c r="O6" s="903" t="e">
        <v>#N/A</v>
      </c>
      <c r="P6" s="904" t="e">
        <v>#N/A</v>
      </c>
      <c r="Q6" s="904" t="e">
        <v>#N/A</v>
      </c>
      <c r="R6" s="904" t="e">
        <v>#N/A</v>
      </c>
      <c r="S6" s="898"/>
      <c r="T6" s="903">
        <v>0</v>
      </c>
      <c r="U6" s="903">
        <v>0</v>
      </c>
      <c r="V6" s="897"/>
      <c r="W6" s="903">
        <v>0</v>
      </c>
      <c r="X6" s="905">
        <v>0</v>
      </c>
      <c r="Y6" s="905">
        <v>0</v>
      </c>
      <c r="Z6" s="905">
        <v>0</v>
      </c>
      <c r="AA6" s="905">
        <v>0</v>
      </c>
      <c r="AB6" s="905">
        <v>0</v>
      </c>
      <c r="AC6" s="905">
        <v>0</v>
      </c>
      <c r="AD6" s="897">
        <v>0</v>
      </c>
      <c r="AE6" s="897">
        <v>0</v>
      </c>
      <c r="AF6" s="897"/>
      <c r="AG6" s="903">
        <v>0</v>
      </c>
      <c r="AH6" s="903">
        <v>0</v>
      </c>
    </row>
    <row r="7" spans="1:34">
      <c r="A7" s="898" t="s">
        <v>1027</v>
      </c>
      <c r="B7" s="907" t="s">
        <v>960</v>
      </c>
      <c r="C7" s="907">
        <v>2019</v>
      </c>
      <c r="D7" s="907" t="s">
        <v>1152</v>
      </c>
      <c r="E7" s="907" t="s">
        <v>954</v>
      </c>
      <c r="F7" s="898"/>
      <c r="G7" s="908">
        <v>0</v>
      </c>
      <c r="H7" s="908">
        <v>0</v>
      </c>
      <c r="I7" s="908">
        <v>0</v>
      </c>
      <c r="J7" s="903"/>
      <c r="K7" s="908">
        <v>0</v>
      </c>
      <c r="L7" s="908">
        <v>0</v>
      </c>
      <c r="M7" s="908">
        <v>0</v>
      </c>
      <c r="N7" s="903"/>
      <c r="O7" s="908" t="e">
        <v>#N/A</v>
      </c>
      <c r="P7" s="909" t="e">
        <v>#N/A</v>
      </c>
      <c r="Q7" s="909" t="e">
        <v>#N/A</v>
      </c>
      <c r="R7" s="909" t="e">
        <v>#N/A</v>
      </c>
      <c r="S7" s="898"/>
      <c r="T7" s="908">
        <v>0</v>
      </c>
      <c r="U7" s="908">
        <v>0</v>
      </c>
      <c r="V7" s="897"/>
      <c r="W7" s="908">
        <v>0</v>
      </c>
      <c r="X7" s="910">
        <v>0</v>
      </c>
      <c r="Y7" s="910">
        <v>0</v>
      </c>
      <c r="Z7" s="910">
        <v>0</v>
      </c>
      <c r="AA7" s="910">
        <v>0</v>
      </c>
      <c r="AB7" s="910">
        <v>0</v>
      </c>
      <c r="AC7" s="910">
        <v>0</v>
      </c>
      <c r="AD7" s="915">
        <v>0</v>
      </c>
      <c r="AE7" s="915">
        <v>0</v>
      </c>
      <c r="AF7" s="897"/>
      <c r="AG7" s="908">
        <v>0</v>
      </c>
      <c r="AH7" s="908">
        <v>0</v>
      </c>
    </row>
    <row r="8" spans="1:34">
      <c r="A8" s="898" t="s">
        <v>1028</v>
      </c>
      <c r="B8" s="898" t="s">
        <v>960</v>
      </c>
      <c r="C8" s="898">
        <v>2019</v>
      </c>
      <c r="D8" s="898" t="s">
        <v>1152</v>
      </c>
      <c r="E8" s="898" t="s">
        <v>955</v>
      </c>
      <c r="F8" s="898"/>
      <c r="G8" s="903">
        <v>0</v>
      </c>
      <c r="H8" s="903">
        <v>0</v>
      </c>
      <c r="I8" s="903">
        <v>0</v>
      </c>
      <c r="J8" s="903"/>
      <c r="K8" s="903">
        <v>0</v>
      </c>
      <c r="L8" s="903">
        <v>0</v>
      </c>
      <c r="M8" s="903">
        <v>0</v>
      </c>
      <c r="N8" s="903"/>
      <c r="O8" s="903" t="e">
        <v>#N/A</v>
      </c>
      <c r="P8" s="904" t="e">
        <v>#N/A</v>
      </c>
      <c r="Q8" s="904" t="e">
        <v>#N/A</v>
      </c>
      <c r="R8" s="904" t="e">
        <v>#N/A</v>
      </c>
      <c r="S8" s="898"/>
      <c r="T8" s="903">
        <v>0</v>
      </c>
      <c r="U8" s="903">
        <v>0</v>
      </c>
      <c r="V8" s="897"/>
      <c r="W8" s="903">
        <v>0</v>
      </c>
      <c r="X8" s="905">
        <v>0</v>
      </c>
      <c r="Y8" s="905">
        <v>0</v>
      </c>
      <c r="Z8" s="905">
        <v>0</v>
      </c>
      <c r="AA8" s="905">
        <v>0</v>
      </c>
      <c r="AB8" s="905">
        <v>0</v>
      </c>
      <c r="AC8" s="905">
        <v>0</v>
      </c>
      <c r="AD8" s="897">
        <v>0</v>
      </c>
      <c r="AE8" s="897">
        <v>0</v>
      </c>
      <c r="AF8" s="897"/>
      <c r="AG8" s="903">
        <v>0</v>
      </c>
      <c r="AH8" s="903">
        <v>0</v>
      </c>
    </row>
    <row r="9" spans="1:34">
      <c r="A9" s="898" t="s">
        <v>1029</v>
      </c>
      <c r="B9" s="907" t="s">
        <v>960</v>
      </c>
      <c r="C9" s="907">
        <v>2019</v>
      </c>
      <c r="D9" s="907" t="s">
        <v>1152</v>
      </c>
      <c r="E9" s="907" t="s">
        <v>956</v>
      </c>
      <c r="F9" s="898"/>
      <c r="G9" s="908">
        <v>0</v>
      </c>
      <c r="H9" s="908">
        <v>0</v>
      </c>
      <c r="I9" s="908">
        <v>0</v>
      </c>
      <c r="J9" s="903"/>
      <c r="K9" s="908">
        <v>0</v>
      </c>
      <c r="L9" s="908">
        <v>0</v>
      </c>
      <c r="M9" s="908">
        <v>0</v>
      </c>
      <c r="N9" s="903"/>
      <c r="O9" s="908" t="e">
        <v>#N/A</v>
      </c>
      <c r="P9" s="909" t="e">
        <v>#N/A</v>
      </c>
      <c r="Q9" s="909" t="e">
        <v>#N/A</v>
      </c>
      <c r="R9" s="909" t="e">
        <v>#N/A</v>
      </c>
      <c r="S9" s="898"/>
      <c r="T9" s="908">
        <v>0</v>
      </c>
      <c r="U9" s="908">
        <v>0</v>
      </c>
      <c r="V9" s="897"/>
      <c r="W9" s="908">
        <v>0</v>
      </c>
      <c r="X9" s="910">
        <v>0</v>
      </c>
      <c r="Y9" s="910">
        <v>0</v>
      </c>
      <c r="Z9" s="910">
        <v>0</v>
      </c>
      <c r="AA9" s="910">
        <v>0</v>
      </c>
      <c r="AB9" s="910">
        <v>0</v>
      </c>
      <c r="AC9" s="910">
        <v>0</v>
      </c>
      <c r="AD9" s="915">
        <v>0</v>
      </c>
      <c r="AE9" s="915">
        <v>0</v>
      </c>
      <c r="AF9" s="897"/>
      <c r="AG9" s="908">
        <v>0</v>
      </c>
      <c r="AH9" s="908">
        <v>0</v>
      </c>
    </row>
    <row r="10" spans="1:34">
      <c r="A10" s="898" t="s">
        <v>1030</v>
      </c>
      <c r="B10" s="898" t="s">
        <v>960</v>
      </c>
      <c r="C10" s="898">
        <v>2019</v>
      </c>
      <c r="D10" s="898" t="s">
        <v>1152</v>
      </c>
      <c r="E10" s="898" t="s">
        <v>957</v>
      </c>
      <c r="F10" s="898"/>
      <c r="G10" s="903">
        <v>0</v>
      </c>
      <c r="H10" s="903">
        <v>0</v>
      </c>
      <c r="I10" s="903">
        <v>0</v>
      </c>
      <c r="J10" s="903"/>
      <c r="K10" s="903">
        <v>0</v>
      </c>
      <c r="L10" s="903">
        <v>0</v>
      </c>
      <c r="M10" s="903">
        <v>0</v>
      </c>
      <c r="N10" s="903"/>
      <c r="O10" s="903" t="e">
        <v>#N/A</v>
      </c>
      <c r="P10" s="904" t="e">
        <v>#N/A</v>
      </c>
      <c r="Q10" s="904" t="e">
        <v>#N/A</v>
      </c>
      <c r="R10" s="904" t="e">
        <v>#N/A</v>
      </c>
      <c r="S10" s="898"/>
      <c r="T10" s="903">
        <v>0</v>
      </c>
      <c r="U10" s="903">
        <v>0</v>
      </c>
      <c r="V10" s="897"/>
      <c r="W10" s="903">
        <v>0</v>
      </c>
      <c r="X10" s="905">
        <v>0</v>
      </c>
      <c r="Y10" s="905">
        <v>0</v>
      </c>
      <c r="Z10" s="905">
        <v>0</v>
      </c>
      <c r="AA10" s="905">
        <v>0</v>
      </c>
      <c r="AB10" s="905">
        <v>0</v>
      </c>
      <c r="AC10" s="905">
        <v>0</v>
      </c>
      <c r="AD10" s="897">
        <v>0</v>
      </c>
      <c r="AE10" s="897">
        <v>0</v>
      </c>
      <c r="AF10" s="897"/>
      <c r="AG10" s="903">
        <v>0</v>
      </c>
      <c r="AH10" s="903">
        <v>0</v>
      </c>
    </row>
    <row r="11" spans="1:34">
      <c r="A11" s="898"/>
      <c r="B11" s="898"/>
      <c r="C11" s="898"/>
      <c r="D11" s="898"/>
      <c r="E11" s="898"/>
      <c r="F11" s="898"/>
      <c r="G11" s="912"/>
      <c r="H11" s="912"/>
      <c r="I11" s="912"/>
      <c r="J11" s="912"/>
      <c r="K11" s="912"/>
      <c r="L11" s="912"/>
      <c r="M11" s="912"/>
      <c r="N11" s="912"/>
      <c r="O11" s="912"/>
      <c r="P11" s="913"/>
      <c r="Q11" s="913"/>
      <c r="R11" s="913"/>
      <c r="S11" s="898"/>
      <c r="T11" s="912"/>
      <c r="U11" s="912"/>
      <c r="V11" s="898"/>
      <c r="W11" s="912"/>
      <c r="X11" s="898"/>
      <c r="Y11" s="898"/>
      <c r="Z11" s="898"/>
      <c r="AA11" s="898"/>
      <c r="AB11" s="898"/>
      <c r="AC11" s="898"/>
      <c r="AD11" s="898"/>
      <c r="AE11" s="898"/>
      <c r="AF11" s="898"/>
      <c r="AG11" s="912"/>
      <c r="AH11" s="912"/>
    </row>
    <row r="12" spans="1:34">
      <c r="A12" s="898" t="s">
        <v>1125</v>
      </c>
      <c r="B12" s="902" t="s">
        <v>960</v>
      </c>
      <c r="C12" s="902">
        <v>2020</v>
      </c>
      <c r="D12" s="902" t="s">
        <v>1152</v>
      </c>
      <c r="E12" s="898" t="s">
        <v>953</v>
      </c>
      <c r="F12" s="898"/>
      <c r="G12" s="903">
        <v>750</v>
      </c>
      <c r="H12" s="903">
        <v>1653.5492916397523</v>
      </c>
      <c r="I12" s="903">
        <v>5598.7109265464023</v>
      </c>
      <c r="J12" s="903"/>
      <c r="K12" s="903">
        <v>0</v>
      </c>
      <c r="L12" s="903">
        <v>0</v>
      </c>
      <c r="M12" s="903">
        <v>0</v>
      </c>
      <c r="N12" s="903"/>
      <c r="O12" s="903">
        <v>978</v>
      </c>
      <c r="P12" s="904">
        <v>0.15848670756646213</v>
      </c>
      <c r="Q12" s="904">
        <v>0.14314928425357873</v>
      </c>
      <c r="R12" s="904">
        <v>0.69836400817995914</v>
      </c>
      <c r="S12" s="898"/>
      <c r="T12" s="903">
        <v>750</v>
      </c>
      <c r="U12" s="903">
        <v>0</v>
      </c>
      <c r="V12" s="897"/>
      <c r="W12" s="903">
        <v>0</v>
      </c>
      <c r="X12" s="905">
        <v>0</v>
      </c>
      <c r="Y12" s="905">
        <v>0</v>
      </c>
      <c r="Z12" s="905">
        <v>0</v>
      </c>
      <c r="AA12" s="905">
        <v>0</v>
      </c>
      <c r="AB12" s="905">
        <v>8.9999999999999993E-3</v>
      </c>
      <c r="AC12" s="905">
        <v>1.9E-2</v>
      </c>
      <c r="AD12" s="897">
        <v>3.9E-2</v>
      </c>
      <c r="AE12" s="897">
        <v>3.9E-2</v>
      </c>
      <c r="AF12" s="897"/>
      <c r="AG12" s="903">
        <v>0</v>
      </c>
      <c r="AH12" s="903">
        <v>0</v>
      </c>
    </row>
    <row r="13" spans="1:34">
      <c r="A13" s="898" t="s">
        <v>1126</v>
      </c>
      <c r="B13" s="907" t="s">
        <v>960</v>
      </c>
      <c r="C13" s="907">
        <v>2020</v>
      </c>
      <c r="D13" s="907" t="s">
        <v>1152</v>
      </c>
      <c r="E13" s="907" t="s">
        <v>954</v>
      </c>
      <c r="F13" s="898"/>
      <c r="G13" s="908">
        <v>750</v>
      </c>
      <c r="H13" s="908">
        <v>1653.5492916397525</v>
      </c>
      <c r="I13" s="908">
        <v>5098.7109265464023</v>
      </c>
      <c r="J13" s="903"/>
      <c r="K13" s="908">
        <v>0</v>
      </c>
      <c r="L13" s="908">
        <v>0</v>
      </c>
      <c r="M13" s="908">
        <v>0</v>
      </c>
      <c r="N13" s="903"/>
      <c r="O13" s="908">
        <v>1601</v>
      </c>
      <c r="P13" s="909">
        <v>0.34665833853841349</v>
      </c>
      <c r="Q13" s="909">
        <v>0.29981261711430357</v>
      </c>
      <c r="R13" s="909">
        <v>0.35352904434728294</v>
      </c>
      <c r="S13" s="898"/>
      <c r="T13" s="908">
        <v>750</v>
      </c>
      <c r="U13" s="908">
        <v>0</v>
      </c>
      <c r="V13" s="897"/>
      <c r="W13" s="908">
        <v>0</v>
      </c>
      <c r="X13" s="910">
        <v>0</v>
      </c>
      <c r="Y13" s="910">
        <v>0</v>
      </c>
      <c r="Z13" s="910">
        <v>0</v>
      </c>
      <c r="AA13" s="910">
        <v>0</v>
      </c>
      <c r="AB13" s="910">
        <v>8.9999999999999993E-3</v>
      </c>
      <c r="AC13" s="910">
        <v>1.9E-2</v>
      </c>
      <c r="AD13" s="915">
        <v>3.9E-2</v>
      </c>
      <c r="AE13" s="915">
        <v>3.9E-2</v>
      </c>
      <c r="AF13" s="897"/>
      <c r="AG13" s="908">
        <v>0</v>
      </c>
      <c r="AH13" s="908">
        <v>0</v>
      </c>
    </row>
    <row r="14" spans="1:34">
      <c r="A14" s="898" t="s">
        <v>1127</v>
      </c>
      <c r="B14" s="898" t="s">
        <v>960</v>
      </c>
      <c r="C14" s="898">
        <v>2020</v>
      </c>
      <c r="D14" s="898" t="s">
        <v>1152</v>
      </c>
      <c r="E14" s="898" t="s">
        <v>955</v>
      </c>
      <c r="F14" s="898"/>
      <c r="G14" s="903">
        <v>750</v>
      </c>
      <c r="H14" s="903">
        <v>1653.5492916397525</v>
      </c>
      <c r="I14" s="903">
        <v>5098.7109265464023</v>
      </c>
      <c r="J14" s="903"/>
      <c r="K14" s="903">
        <v>0</v>
      </c>
      <c r="L14" s="903">
        <v>0</v>
      </c>
      <c r="M14" s="903">
        <v>0</v>
      </c>
      <c r="N14" s="903"/>
      <c r="O14" s="903">
        <v>1926</v>
      </c>
      <c r="P14" s="904">
        <v>0.25389408099688471</v>
      </c>
      <c r="Q14" s="904">
        <v>0.38110072689511942</v>
      </c>
      <c r="R14" s="904">
        <v>0.36500519210799587</v>
      </c>
      <c r="S14" s="898"/>
      <c r="T14" s="903">
        <v>750</v>
      </c>
      <c r="U14" s="903">
        <v>0</v>
      </c>
      <c r="V14" s="897"/>
      <c r="W14" s="903">
        <v>0</v>
      </c>
      <c r="X14" s="905">
        <v>0</v>
      </c>
      <c r="Y14" s="905">
        <v>0</v>
      </c>
      <c r="Z14" s="905">
        <v>0</v>
      </c>
      <c r="AA14" s="905">
        <v>0</v>
      </c>
      <c r="AB14" s="905">
        <v>9.0000000000000011E-3</v>
      </c>
      <c r="AC14" s="905">
        <v>1.9E-2</v>
      </c>
      <c r="AD14" s="897">
        <v>3.9000000000000007E-2</v>
      </c>
      <c r="AE14" s="897">
        <v>3.9000000000000007E-2</v>
      </c>
      <c r="AF14" s="897"/>
      <c r="AG14" s="903">
        <v>0</v>
      </c>
      <c r="AH14" s="903">
        <v>0</v>
      </c>
    </row>
    <row r="15" spans="1:34">
      <c r="A15" s="898" t="s">
        <v>1128</v>
      </c>
      <c r="B15" s="907" t="s">
        <v>960</v>
      </c>
      <c r="C15" s="907">
        <v>2020</v>
      </c>
      <c r="D15" s="907" t="s">
        <v>1152</v>
      </c>
      <c r="E15" s="907" t="s">
        <v>956</v>
      </c>
      <c r="F15" s="898"/>
      <c r="G15" s="908">
        <v>750</v>
      </c>
      <c r="H15" s="908">
        <v>1653.549291639752</v>
      </c>
      <c r="I15" s="908">
        <v>4738.7109265464023</v>
      </c>
      <c r="J15" s="903"/>
      <c r="K15" s="908">
        <v>0</v>
      </c>
      <c r="L15" s="908">
        <v>0</v>
      </c>
      <c r="M15" s="908">
        <v>0</v>
      </c>
      <c r="N15" s="903"/>
      <c r="O15" s="908">
        <v>1859</v>
      </c>
      <c r="P15" s="909">
        <v>0.45400753093060786</v>
      </c>
      <c r="Q15" s="909">
        <v>0.46530392684238836</v>
      </c>
      <c r="R15" s="909">
        <v>8.0688542227003765E-2</v>
      </c>
      <c r="S15" s="898"/>
      <c r="T15" s="908">
        <v>750</v>
      </c>
      <c r="U15" s="908">
        <v>0</v>
      </c>
      <c r="V15" s="897"/>
      <c r="W15" s="908">
        <v>0</v>
      </c>
      <c r="X15" s="910">
        <v>0</v>
      </c>
      <c r="Y15" s="910">
        <v>0</v>
      </c>
      <c r="Z15" s="910">
        <v>0</v>
      </c>
      <c r="AA15" s="910">
        <v>0</v>
      </c>
      <c r="AB15" s="910">
        <v>8.9999999999999993E-3</v>
      </c>
      <c r="AC15" s="910">
        <v>1.8999999999999996E-2</v>
      </c>
      <c r="AD15" s="915">
        <v>3.9E-2</v>
      </c>
      <c r="AE15" s="915">
        <v>3.9E-2</v>
      </c>
      <c r="AF15" s="897"/>
      <c r="AG15" s="908">
        <v>0</v>
      </c>
      <c r="AH15" s="908">
        <v>0</v>
      </c>
    </row>
    <row r="16" spans="1:34">
      <c r="A16" s="898" t="s">
        <v>1129</v>
      </c>
      <c r="B16" s="898" t="s">
        <v>960</v>
      </c>
      <c r="C16" s="898">
        <v>2020</v>
      </c>
      <c r="D16" s="898" t="s">
        <v>1152</v>
      </c>
      <c r="E16" s="898" t="s">
        <v>957</v>
      </c>
      <c r="F16" s="898"/>
      <c r="G16" s="903">
        <v>750</v>
      </c>
      <c r="H16" s="903">
        <v>1653.5492916397523</v>
      </c>
      <c r="I16" s="903">
        <v>4738.7109265464023</v>
      </c>
      <c r="J16" s="903"/>
      <c r="K16" s="903">
        <v>0</v>
      </c>
      <c r="L16" s="903">
        <v>0</v>
      </c>
      <c r="M16" s="903">
        <v>0</v>
      </c>
      <c r="N16" s="903"/>
      <c r="O16" s="903">
        <v>742</v>
      </c>
      <c r="P16" s="904">
        <v>0.46495956873315364</v>
      </c>
      <c r="Q16" s="904">
        <v>0.40296495956873313</v>
      </c>
      <c r="R16" s="904">
        <v>0.13207547169811321</v>
      </c>
      <c r="S16" s="898"/>
      <c r="T16" s="903">
        <v>750</v>
      </c>
      <c r="U16" s="903">
        <v>0</v>
      </c>
      <c r="V16" s="897"/>
      <c r="W16" s="903">
        <v>0</v>
      </c>
      <c r="X16" s="905">
        <v>0</v>
      </c>
      <c r="Y16" s="905">
        <v>0</v>
      </c>
      <c r="Z16" s="905">
        <v>0</v>
      </c>
      <c r="AA16" s="905">
        <v>0</v>
      </c>
      <c r="AB16" s="905">
        <v>8.9999999999999993E-3</v>
      </c>
      <c r="AC16" s="905">
        <v>1.9E-2</v>
      </c>
      <c r="AD16" s="897">
        <v>3.9E-2</v>
      </c>
      <c r="AE16" s="897">
        <v>3.9E-2</v>
      </c>
      <c r="AF16" s="897"/>
      <c r="AG16" s="903">
        <v>0</v>
      </c>
      <c r="AH16" s="903">
        <v>0</v>
      </c>
    </row>
    <row r="17" spans="1:34">
      <c r="A17" s="898"/>
      <c r="B17" s="898"/>
      <c r="C17" s="898"/>
      <c r="D17" s="898"/>
      <c r="E17" s="898"/>
      <c r="F17" s="898"/>
      <c r="G17" s="912"/>
      <c r="H17" s="912"/>
      <c r="I17" s="912"/>
      <c r="J17" s="912"/>
      <c r="K17" s="912"/>
      <c r="L17" s="912"/>
      <c r="M17" s="912"/>
      <c r="N17" s="912"/>
      <c r="O17" s="912"/>
      <c r="P17" s="913"/>
      <c r="Q17" s="913"/>
      <c r="R17" s="913"/>
      <c r="S17" s="898"/>
      <c r="T17" s="912"/>
      <c r="U17" s="912"/>
      <c r="V17" s="898"/>
      <c r="W17" s="912"/>
      <c r="X17" s="898"/>
      <c r="Y17" s="898"/>
      <c r="Z17" s="898"/>
      <c r="AA17" s="898"/>
      <c r="AB17" s="898"/>
      <c r="AC17" s="898"/>
      <c r="AD17" s="898"/>
      <c r="AE17" s="898"/>
      <c r="AF17" s="898"/>
      <c r="AG17" s="912"/>
      <c r="AH17" s="912"/>
    </row>
    <row r="18" spans="1:34">
      <c r="A18" s="898" t="s">
        <v>1031</v>
      </c>
      <c r="B18" s="902" t="s">
        <v>962</v>
      </c>
      <c r="C18" s="902">
        <v>2019</v>
      </c>
      <c r="D18" s="902" t="s">
        <v>1152</v>
      </c>
      <c r="E18" s="898" t="s">
        <v>953</v>
      </c>
      <c r="F18" s="898"/>
      <c r="G18" s="903">
        <v>0</v>
      </c>
      <c r="H18" s="903">
        <v>0</v>
      </c>
      <c r="I18" s="903">
        <v>0</v>
      </c>
      <c r="J18" s="903"/>
      <c r="K18" s="903">
        <v>0</v>
      </c>
      <c r="L18" s="903">
        <v>0</v>
      </c>
      <c r="M18" s="903">
        <v>0</v>
      </c>
      <c r="N18" s="903"/>
      <c r="O18" s="903" t="e">
        <v>#N/A</v>
      </c>
      <c r="P18" s="904" t="e">
        <v>#N/A</v>
      </c>
      <c r="Q18" s="904" t="e">
        <v>#N/A</v>
      </c>
      <c r="R18" s="904" t="e">
        <v>#N/A</v>
      </c>
      <c r="S18" s="898"/>
      <c r="T18" s="903">
        <v>0</v>
      </c>
      <c r="U18" s="903">
        <v>0</v>
      </c>
      <c r="V18" s="897"/>
      <c r="W18" s="903">
        <v>0</v>
      </c>
      <c r="X18" s="905">
        <v>0</v>
      </c>
      <c r="Y18" s="905">
        <v>0</v>
      </c>
      <c r="Z18" s="905">
        <v>0</v>
      </c>
      <c r="AA18" s="905">
        <v>0</v>
      </c>
      <c r="AB18" s="905">
        <v>0</v>
      </c>
      <c r="AC18" s="905">
        <v>0</v>
      </c>
      <c r="AD18" s="897">
        <v>0</v>
      </c>
      <c r="AE18" s="897">
        <v>0</v>
      </c>
      <c r="AF18" s="897"/>
      <c r="AG18" s="903">
        <v>0</v>
      </c>
      <c r="AH18" s="903">
        <v>0</v>
      </c>
    </row>
    <row r="19" spans="1:34">
      <c r="A19" s="898" t="s">
        <v>1032</v>
      </c>
      <c r="B19" s="907" t="s">
        <v>962</v>
      </c>
      <c r="C19" s="907">
        <v>2019</v>
      </c>
      <c r="D19" s="907" t="s">
        <v>1152</v>
      </c>
      <c r="E19" s="907" t="s">
        <v>954</v>
      </c>
      <c r="F19" s="898"/>
      <c r="G19" s="908">
        <v>0</v>
      </c>
      <c r="H19" s="908">
        <v>0</v>
      </c>
      <c r="I19" s="908">
        <v>0</v>
      </c>
      <c r="J19" s="903"/>
      <c r="K19" s="908">
        <v>0</v>
      </c>
      <c r="L19" s="908">
        <v>0</v>
      </c>
      <c r="M19" s="908">
        <v>0</v>
      </c>
      <c r="N19" s="903"/>
      <c r="O19" s="908" t="e">
        <v>#N/A</v>
      </c>
      <c r="P19" s="909" t="e">
        <v>#N/A</v>
      </c>
      <c r="Q19" s="909" t="e">
        <v>#N/A</v>
      </c>
      <c r="R19" s="909" t="e">
        <v>#N/A</v>
      </c>
      <c r="S19" s="898"/>
      <c r="T19" s="908">
        <v>0</v>
      </c>
      <c r="U19" s="908">
        <v>0</v>
      </c>
      <c r="V19" s="897"/>
      <c r="W19" s="908">
        <v>0</v>
      </c>
      <c r="X19" s="910">
        <v>0</v>
      </c>
      <c r="Y19" s="910">
        <v>0</v>
      </c>
      <c r="Z19" s="910">
        <v>0</v>
      </c>
      <c r="AA19" s="910">
        <v>0</v>
      </c>
      <c r="AB19" s="910">
        <v>0</v>
      </c>
      <c r="AC19" s="910">
        <v>0</v>
      </c>
      <c r="AD19" s="915">
        <v>0</v>
      </c>
      <c r="AE19" s="915">
        <v>0</v>
      </c>
      <c r="AF19" s="897"/>
      <c r="AG19" s="908">
        <v>0</v>
      </c>
      <c r="AH19" s="908">
        <v>0</v>
      </c>
    </row>
    <row r="20" spans="1:34">
      <c r="A20" s="898" t="s">
        <v>1033</v>
      </c>
      <c r="B20" s="898" t="s">
        <v>962</v>
      </c>
      <c r="C20" s="898">
        <v>2019</v>
      </c>
      <c r="D20" s="898" t="s">
        <v>1152</v>
      </c>
      <c r="E20" s="898" t="s">
        <v>955</v>
      </c>
      <c r="F20" s="898"/>
      <c r="G20" s="903">
        <v>0</v>
      </c>
      <c r="H20" s="903">
        <v>0</v>
      </c>
      <c r="I20" s="903">
        <v>0</v>
      </c>
      <c r="J20" s="903"/>
      <c r="K20" s="903">
        <v>0</v>
      </c>
      <c r="L20" s="903">
        <v>0</v>
      </c>
      <c r="M20" s="903">
        <v>0</v>
      </c>
      <c r="N20" s="903"/>
      <c r="O20" s="903" t="e">
        <v>#N/A</v>
      </c>
      <c r="P20" s="904" t="e">
        <v>#N/A</v>
      </c>
      <c r="Q20" s="904" t="e">
        <v>#N/A</v>
      </c>
      <c r="R20" s="904" t="e">
        <v>#N/A</v>
      </c>
      <c r="S20" s="898"/>
      <c r="T20" s="903">
        <v>0</v>
      </c>
      <c r="U20" s="903">
        <v>0</v>
      </c>
      <c r="V20" s="897"/>
      <c r="W20" s="903">
        <v>0</v>
      </c>
      <c r="X20" s="905">
        <v>0</v>
      </c>
      <c r="Y20" s="905">
        <v>0</v>
      </c>
      <c r="Z20" s="905">
        <v>0</v>
      </c>
      <c r="AA20" s="905">
        <v>0</v>
      </c>
      <c r="AB20" s="905">
        <v>0</v>
      </c>
      <c r="AC20" s="905">
        <v>0</v>
      </c>
      <c r="AD20" s="897">
        <v>0</v>
      </c>
      <c r="AE20" s="897">
        <v>0</v>
      </c>
      <c r="AF20" s="897"/>
      <c r="AG20" s="903">
        <v>0</v>
      </c>
      <c r="AH20" s="903">
        <v>0</v>
      </c>
    </row>
    <row r="21" spans="1:34">
      <c r="A21" s="898" t="s">
        <v>1034</v>
      </c>
      <c r="B21" s="907" t="s">
        <v>962</v>
      </c>
      <c r="C21" s="907">
        <v>2019</v>
      </c>
      <c r="D21" s="907" t="s">
        <v>1152</v>
      </c>
      <c r="E21" s="907" t="s">
        <v>956</v>
      </c>
      <c r="F21" s="898"/>
      <c r="G21" s="908">
        <v>0</v>
      </c>
      <c r="H21" s="908">
        <v>0</v>
      </c>
      <c r="I21" s="908">
        <v>0</v>
      </c>
      <c r="J21" s="903"/>
      <c r="K21" s="908">
        <v>0</v>
      </c>
      <c r="L21" s="908">
        <v>0</v>
      </c>
      <c r="M21" s="908">
        <v>0</v>
      </c>
      <c r="N21" s="903"/>
      <c r="O21" s="908" t="e">
        <v>#N/A</v>
      </c>
      <c r="P21" s="909" t="e">
        <v>#N/A</v>
      </c>
      <c r="Q21" s="909" t="e">
        <v>#N/A</v>
      </c>
      <c r="R21" s="909" t="e">
        <v>#N/A</v>
      </c>
      <c r="S21" s="898"/>
      <c r="T21" s="908">
        <v>0</v>
      </c>
      <c r="U21" s="908">
        <v>0</v>
      </c>
      <c r="V21" s="897"/>
      <c r="W21" s="908">
        <v>0</v>
      </c>
      <c r="X21" s="910">
        <v>0</v>
      </c>
      <c r="Y21" s="910">
        <v>0</v>
      </c>
      <c r="Z21" s="910">
        <v>0</v>
      </c>
      <c r="AA21" s="910">
        <v>0</v>
      </c>
      <c r="AB21" s="910">
        <v>0</v>
      </c>
      <c r="AC21" s="910">
        <v>0</v>
      </c>
      <c r="AD21" s="915">
        <v>0</v>
      </c>
      <c r="AE21" s="915">
        <v>0</v>
      </c>
      <c r="AF21" s="897"/>
      <c r="AG21" s="908">
        <v>0</v>
      </c>
      <c r="AH21" s="908">
        <v>0</v>
      </c>
    </row>
    <row r="22" spans="1:34">
      <c r="A22" s="898" t="s">
        <v>1035</v>
      </c>
      <c r="B22" s="898" t="s">
        <v>962</v>
      </c>
      <c r="C22" s="898">
        <v>2019</v>
      </c>
      <c r="D22" s="898" t="s">
        <v>1152</v>
      </c>
      <c r="E22" s="898" t="s">
        <v>957</v>
      </c>
      <c r="F22" s="898"/>
      <c r="G22" s="903">
        <v>0</v>
      </c>
      <c r="H22" s="903">
        <v>0</v>
      </c>
      <c r="I22" s="903">
        <v>0</v>
      </c>
      <c r="J22" s="903"/>
      <c r="K22" s="903">
        <v>0</v>
      </c>
      <c r="L22" s="903">
        <v>0</v>
      </c>
      <c r="M22" s="903">
        <v>0</v>
      </c>
      <c r="N22" s="903"/>
      <c r="O22" s="903" t="e">
        <v>#N/A</v>
      </c>
      <c r="P22" s="904" t="e">
        <v>#N/A</v>
      </c>
      <c r="Q22" s="904" t="e">
        <v>#N/A</v>
      </c>
      <c r="R22" s="904" t="e">
        <v>#N/A</v>
      </c>
      <c r="S22" s="898"/>
      <c r="T22" s="903">
        <v>0</v>
      </c>
      <c r="U22" s="903">
        <v>0</v>
      </c>
      <c r="V22" s="897"/>
      <c r="W22" s="903">
        <v>0</v>
      </c>
      <c r="X22" s="905">
        <v>0</v>
      </c>
      <c r="Y22" s="905">
        <v>0</v>
      </c>
      <c r="Z22" s="905">
        <v>0</v>
      </c>
      <c r="AA22" s="905">
        <v>0</v>
      </c>
      <c r="AB22" s="905">
        <v>0</v>
      </c>
      <c r="AC22" s="905">
        <v>0</v>
      </c>
      <c r="AD22" s="897">
        <v>0</v>
      </c>
      <c r="AE22" s="897">
        <v>0</v>
      </c>
      <c r="AF22" s="897"/>
      <c r="AG22" s="903">
        <v>0</v>
      </c>
      <c r="AH22" s="903">
        <v>0</v>
      </c>
    </row>
    <row r="23" spans="1:34">
      <c r="A23" s="898"/>
      <c r="B23" s="898"/>
      <c r="C23" s="898"/>
      <c r="D23" s="898"/>
      <c r="E23" s="898"/>
      <c r="F23" s="898"/>
      <c r="G23" s="912"/>
      <c r="H23" s="912"/>
      <c r="I23" s="912"/>
      <c r="J23" s="912"/>
      <c r="K23" s="912"/>
      <c r="L23" s="912"/>
      <c r="M23" s="912"/>
      <c r="N23" s="912"/>
      <c r="O23" s="912"/>
      <c r="P23" s="913"/>
      <c r="Q23" s="913"/>
      <c r="R23" s="913"/>
      <c r="S23" s="898"/>
      <c r="T23" s="912"/>
      <c r="U23" s="912"/>
      <c r="V23" s="898"/>
      <c r="W23" s="912"/>
      <c r="X23" s="898"/>
      <c r="Y23" s="898"/>
      <c r="Z23" s="898"/>
      <c r="AA23" s="898"/>
      <c r="AB23" s="898"/>
      <c r="AC23" s="898"/>
      <c r="AD23" s="898"/>
      <c r="AE23" s="898"/>
      <c r="AF23" s="898"/>
      <c r="AG23" s="912"/>
      <c r="AH23" s="912"/>
    </row>
    <row r="24" spans="1:34">
      <c r="A24" s="898" t="s">
        <v>1130</v>
      </c>
      <c r="B24" s="902" t="s">
        <v>962</v>
      </c>
      <c r="C24" s="902">
        <v>2020</v>
      </c>
      <c r="D24" s="902" t="s">
        <v>1152</v>
      </c>
      <c r="E24" s="898" t="s">
        <v>953</v>
      </c>
      <c r="F24" s="898"/>
      <c r="G24" s="903">
        <v>2417.0000000000005</v>
      </c>
      <c r="H24" s="903">
        <v>2359.1088198709899</v>
      </c>
      <c r="I24" s="903">
        <v>6972.6129022020941</v>
      </c>
      <c r="J24" s="903"/>
      <c r="K24" s="903">
        <v>0</v>
      </c>
      <c r="L24" s="903">
        <v>0</v>
      </c>
      <c r="M24" s="903">
        <v>0</v>
      </c>
      <c r="N24" s="903"/>
      <c r="O24" s="903">
        <v>410</v>
      </c>
      <c r="P24" s="904">
        <v>0.24146341463414639</v>
      </c>
      <c r="Q24" s="904">
        <v>3.4146341463414637E-2</v>
      </c>
      <c r="R24" s="904">
        <v>0.724390243902439</v>
      </c>
      <c r="S24" s="898"/>
      <c r="T24" s="903">
        <v>2417.0000000000005</v>
      </c>
      <c r="U24" s="903">
        <v>0</v>
      </c>
      <c r="V24" s="897"/>
      <c r="W24" s="903">
        <v>0</v>
      </c>
      <c r="X24" s="905">
        <v>0</v>
      </c>
      <c r="Y24" s="905">
        <v>0</v>
      </c>
      <c r="Z24" s="905">
        <v>0</v>
      </c>
      <c r="AA24" s="905">
        <v>0</v>
      </c>
      <c r="AB24" s="905">
        <v>9.0000000000000011E-3</v>
      </c>
      <c r="AC24" s="905">
        <v>1.9000000000000003E-2</v>
      </c>
      <c r="AD24" s="897">
        <v>3.9000000000000007E-2</v>
      </c>
      <c r="AE24" s="897">
        <v>3.9000000000000007E-2</v>
      </c>
      <c r="AF24" s="897"/>
      <c r="AG24" s="903">
        <v>0</v>
      </c>
      <c r="AH24" s="903">
        <v>0</v>
      </c>
    </row>
    <row r="25" spans="1:34">
      <c r="A25" s="898" t="s">
        <v>1131</v>
      </c>
      <c r="B25" s="907" t="s">
        <v>962</v>
      </c>
      <c r="C25" s="907">
        <v>2020</v>
      </c>
      <c r="D25" s="907" t="s">
        <v>1152</v>
      </c>
      <c r="E25" s="907" t="s">
        <v>954</v>
      </c>
      <c r="F25" s="898"/>
      <c r="G25" s="908">
        <v>2635.462121212121</v>
      </c>
      <c r="H25" s="908">
        <v>2359.108819870989</v>
      </c>
      <c r="I25" s="908">
        <v>6252.6129022020923</v>
      </c>
      <c r="J25" s="903"/>
      <c r="K25" s="908">
        <v>0</v>
      </c>
      <c r="L25" s="908">
        <v>0</v>
      </c>
      <c r="M25" s="908">
        <v>0</v>
      </c>
      <c r="N25" s="903"/>
      <c r="O25" s="908">
        <v>528</v>
      </c>
      <c r="P25" s="909">
        <v>0.62689393939393945</v>
      </c>
      <c r="Q25" s="909">
        <v>0.10795454545454546</v>
      </c>
      <c r="R25" s="909">
        <v>0.26515151515151514</v>
      </c>
      <c r="S25" s="898"/>
      <c r="T25" s="908">
        <v>2635.462121212121</v>
      </c>
      <c r="U25" s="908">
        <v>0</v>
      </c>
      <c r="V25" s="897"/>
      <c r="W25" s="908">
        <v>0</v>
      </c>
      <c r="X25" s="910">
        <v>0</v>
      </c>
      <c r="Y25" s="910">
        <v>0</v>
      </c>
      <c r="Z25" s="910">
        <v>0</v>
      </c>
      <c r="AA25" s="910">
        <v>0</v>
      </c>
      <c r="AB25" s="910">
        <v>8.9999999999999993E-3</v>
      </c>
      <c r="AC25" s="910">
        <v>1.8999999999999996E-2</v>
      </c>
      <c r="AD25" s="915">
        <v>3.9E-2</v>
      </c>
      <c r="AE25" s="915">
        <v>3.9E-2</v>
      </c>
      <c r="AF25" s="897"/>
      <c r="AG25" s="908">
        <v>0</v>
      </c>
      <c r="AH25" s="908">
        <v>0</v>
      </c>
    </row>
    <row r="26" spans="1:34">
      <c r="A26" s="898" t="s">
        <v>1132</v>
      </c>
      <c r="B26" s="898" t="s">
        <v>962</v>
      </c>
      <c r="C26" s="898">
        <v>2020</v>
      </c>
      <c r="D26" s="898" t="s">
        <v>1152</v>
      </c>
      <c r="E26" s="898" t="s">
        <v>955</v>
      </c>
      <c r="F26" s="898"/>
      <c r="G26" s="903">
        <v>2585.3477651480302</v>
      </c>
      <c r="H26" s="903">
        <v>2359.1088198709895</v>
      </c>
      <c r="I26" s="903">
        <v>6252.6129022020923</v>
      </c>
      <c r="J26" s="903"/>
      <c r="K26" s="903">
        <v>0</v>
      </c>
      <c r="L26" s="903">
        <v>0</v>
      </c>
      <c r="M26" s="903">
        <v>0</v>
      </c>
      <c r="N26" s="903"/>
      <c r="O26" s="903">
        <v>1019.3695134888609</v>
      </c>
      <c r="P26" s="904">
        <v>0.41770889149300389</v>
      </c>
      <c r="Q26" s="904">
        <v>0.18246046573032165</v>
      </c>
      <c r="R26" s="904">
        <v>0.39983064277667452</v>
      </c>
      <c r="S26" s="898"/>
      <c r="T26" s="903">
        <v>2585.3477651480302</v>
      </c>
      <c r="U26" s="903">
        <v>0</v>
      </c>
      <c r="V26" s="897"/>
      <c r="W26" s="903">
        <v>0</v>
      </c>
      <c r="X26" s="905">
        <v>0</v>
      </c>
      <c r="Y26" s="905">
        <v>0</v>
      </c>
      <c r="Z26" s="905">
        <v>0</v>
      </c>
      <c r="AA26" s="905">
        <v>0</v>
      </c>
      <c r="AB26" s="905">
        <v>8.9999999999999993E-3</v>
      </c>
      <c r="AC26" s="905">
        <v>1.9E-2</v>
      </c>
      <c r="AD26" s="897">
        <v>3.9E-2</v>
      </c>
      <c r="AE26" s="897">
        <v>3.9E-2</v>
      </c>
      <c r="AF26" s="897"/>
      <c r="AG26" s="903">
        <v>0</v>
      </c>
      <c r="AH26" s="903">
        <v>0</v>
      </c>
    </row>
    <row r="27" spans="1:34">
      <c r="A27" s="898" t="s">
        <v>1133</v>
      </c>
      <c r="B27" s="907" t="s">
        <v>962</v>
      </c>
      <c r="C27" s="907">
        <v>2020</v>
      </c>
      <c r="D27" s="907" t="s">
        <v>1152</v>
      </c>
      <c r="E27" s="907" t="s">
        <v>956</v>
      </c>
      <c r="F27" s="898"/>
      <c r="G27" s="908">
        <v>2675.7747881920031</v>
      </c>
      <c r="H27" s="908">
        <v>2359.108819870989</v>
      </c>
      <c r="I27" s="908">
        <v>5892.6129022020914</v>
      </c>
      <c r="J27" s="903"/>
      <c r="K27" s="908">
        <v>0</v>
      </c>
      <c r="L27" s="908">
        <v>0</v>
      </c>
      <c r="M27" s="908">
        <v>0</v>
      </c>
      <c r="N27" s="903"/>
      <c r="O27" s="908">
        <v>792.90403483268437</v>
      </c>
      <c r="P27" s="909">
        <v>0.76915971045367781</v>
      </c>
      <c r="Q27" s="909">
        <v>0.14940593245498454</v>
      </c>
      <c r="R27" s="909">
        <v>8.14343570913377E-2</v>
      </c>
      <c r="S27" s="898"/>
      <c r="T27" s="908">
        <v>2675.7747881920031</v>
      </c>
      <c r="U27" s="908">
        <v>0</v>
      </c>
      <c r="V27" s="897"/>
      <c r="W27" s="908">
        <v>0</v>
      </c>
      <c r="X27" s="910">
        <v>0</v>
      </c>
      <c r="Y27" s="910">
        <v>0</v>
      </c>
      <c r="Z27" s="910">
        <v>0</v>
      </c>
      <c r="AA27" s="910">
        <v>0</v>
      </c>
      <c r="AB27" s="910">
        <v>8.9999999999999976E-3</v>
      </c>
      <c r="AC27" s="910">
        <v>1.8999999999999996E-2</v>
      </c>
      <c r="AD27" s="915">
        <v>3.8999999999999993E-2</v>
      </c>
      <c r="AE27" s="915">
        <v>3.8999999999999993E-2</v>
      </c>
      <c r="AF27" s="897"/>
      <c r="AG27" s="908">
        <v>0</v>
      </c>
      <c r="AH27" s="908">
        <v>0</v>
      </c>
    </row>
    <row r="28" spans="1:34">
      <c r="A28" s="898" t="s">
        <v>1134</v>
      </c>
      <c r="B28" s="898" t="s">
        <v>962</v>
      </c>
      <c r="C28" s="898">
        <v>2020</v>
      </c>
      <c r="D28" s="898" t="s">
        <v>1152</v>
      </c>
      <c r="E28" s="898" t="s">
        <v>957</v>
      </c>
      <c r="F28" s="898"/>
      <c r="G28" s="903">
        <v>2529.3139099742634</v>
      </c>
      <c r="H28" s="903">
        <v>2359.108819870989</v>
      </c>
      <c r="I28" s="903">
        <v>5892.6129022020914</v>
      </c>
      <c r="J28" s="903"/>
      <c r="K28" s="903">
        <v>0</v>
      </c>
      <c r="L28" s="903">
        <v>0</v>
      </c>
      <c r="M28" s="903">
        <v>0</v>
      </c>
      <c r="N28" s="903"/>
      <c r="O28" s="903">
        <v>499.72645167845474</v>
      </c>
      <c r="P28" s="904">
        <v>0.74306743499796712</v>
      </c>
      <c r="Q28" s="904">
        <v>0.16717305410878672</v>
      </c>
      <c r="R28" s="904">
        <v>8.9759510893246075E-2</v>
      </c>
      <c r="S28" s="898"/>
      <c r="T28" s="903">
        <v>2529.3139099742634</v>
      </c>
      <c r="U28" s="903">
        <v>0</v>
      </c>
      <c r="V28" s="897"/>
      <c r="W28" s="903">
        <v>0</v>
      </c>
      <c r="X28" s="905">
        <v>0</v>
      </c>
      <c r="Y28" s="905">
        <v>0</v>
      </c>
      <c r="Z28" s="905">
        <v>0</v>
      </c>
      <c r="AA28" s="905">
        <v>0</v>
      </c>
      <c r="AB28" s="905">
        <v>8.9999999999999976E-3</v>
      </c>
      <c r="AC28" s="905">
        <v>1.8999999999999996E-2</v>
      </c>
      <c r="AD28" s="897">
        <v>3.8999999999999993E-2</v>
      </c>
      <c r="AE28" s="897">
        <v>3.8999999999999993E-2</v>
      </c>
      <c r="AF28" s="897"/>
      <c r="AG28" s="903">
        <v>0</v>
      </c>
      <c r="AH28" s="903">
        <v>0</v>
      </c>
    </row>
    <row r="29" spans="1:34">
      <c r="A29" s="898"/>
      <c r="B29" s="898"/>
      <c r="C29" s="898"/>
      <c r="D29" s="898"/>
      <c r="E29" s="898"/>
      <c r="F29" s="898"/>
      <c r="G29" s="912"/>
      <c r="H29" s="912"/>
      <c r="I29" s="912"/>
      <c r="J29" s="912"/>
      <c r="K29" s="912"/>
      <c r="L29" s="912"/>
      <c r="M29" s="912"/>
      <c r="N29" s="912"/>
      <c r="O29" s="912"/>
      <c r="P29" s="913"/>
      <c r="Q29" s="913"/>
      <c r="R29" s="913"/>
      <c r="S29" s="898"/>
      <c r="T29" s="912"/>
      <c r="U29" s="912"/>
      <c r="V29" s="898"/>
      <c r="W29" s="912"/>
      <c r="X29" s="898"/>
      <c r="Y29" s="898"/>
      <c r="Z29" s="898"/>
      <c r="AA29" s="898"/>
      <c r="AB29" s="898"/>
      <c r="AC29" s="898"/>
      <c r="AD29" s="898"/>
      <c r="AE29" s="898"/>
      <c r="AF29" s="898"/>
      <c r="AG29" s="912"/>
      <c r="AH29" s="912"/>
    </row>
    <row r="30" spans="1:34">
      <c r="A30" s="898" t="s">
        <v>1036</v>
      </c>
      <c r="B30" s="902" t="s">
        <v>963</v>
      </c>
      <c r="C30" s="902">
        <v>2019</v>
      </c>
      <c r="D30" s="902" t="s">
        <v>1152</v>
      </c>
      <c r="E30" s="898" t="s">
        <v>953</v>
      </c>
      <c r="F30" s="898"/>
      <c r="G30" s="903">
        <v>0</v>
      </c>
      <c r="H30" s="903">
        <v>0</v>
      </c>
      <c r="I30" s="903">
        <v>0</v>
      </c>
      <c r="J30" s="903"/>
      <c r="K30" s="903">
        <v>0</v>
      </c>
      <c r="L30" s="903">
        <v>0</v>
      </c>
      <c r="M30" s="903">
        <v>0</v>
      </c>
      <c r="N30" s="903"/>
      <c r="O30" s="903">
        <v>0</v>
      </c>
      <c r="P30" s="904" t="e">
        <v>#DIV/0!</v>
      </c>
      <c r="Q30" s="904" t="e">
        <v>#DIV/0!</v>
      </c>
      <c r="R30" s="904" t="e">
        <v>#DIV/0!</v>
      </c>
      <c r="S30" s="898"/>
      <c r="T30" s="903">
        <v>0</v>
      </c>
      <c r="U30" s="903">
        <v>0</v>
      </c>
      <c r="V30" s="897"/>
      <c r="W30" s="903">
        <v>0</v>
      </c>
      <c r="X30" s="905">
        <v>0</v>
      </c>
      <c r="Y30" s="905">
        <v>0</v>
      </c>
      <c r="Z30" s="905">
        <v>0</v>
      </c>
      <c r="AA30" s="905">
        <v>0</v>
      </c>
      <c r="AB30" s="905">
        <v>0</v>
      </c>
      <c r="AC30" s="905">
        <v>0</v>
      </c>
      <c r="AD30" s="897">
        <v>0</v>
      </c>
      <c r="AE30" s="897">
        <v>0</v>
      </c>
      <c r="AF30" s="897"/>
      <c r="AG30" s="903">
        <v>0</v>
      </c>
      <c r="AH30" s="903">
        <v>0</v>
      </c>
    </row>
    <row r="31" spans="1:34">
      <c r="A31" s="898" t="s">
        <v>1037</v>
      </c>
      <c r="B31" s="907" t="s">
        <v>963</v>
      </c>
      <c r="C31" s="907">
        <v>2019</v>
      </c>
      <c r="D31" s="907" t="s">
        <v>1152</v>
      </c>
      <c r="E31" s="907" t="s">
        <v>954</v>
      </c>
      <c r="F31" s="898"/>
      <c r="G31" s="908">
        <v>0</v>
      </c>
      <c r="H31" s="908">
        <v>0</v>
      </c>
      <c r="I31" s="908">
        <v>0</v>
      </c>
      <c r="J31" s="903"/>
      <c r="K31" s="908">
        <v>0</v>
      </c>
      <c r="L31" s="908">
        <v>0</v>
      </c>
      <c r="M31" s="908">
        <v>0</v>
      </c>
      <c r="N31" s="903"/>
      <c r="O31" s="908">
        <v>0</v>
      </c>
      <c r="P31" s="909" t="e">
        <v>#DIV/0!</v>
      </c>
      <c r="Q31" s="909" t="e">
        <v>#DIV/0!</v>
      </c>
      <c r="R31" s="909" t="e">
        <v>#DIV/0!</v>
      </c>
      <c r="S31" s="898"/>
      <c r="T31" s="908">
        <v>0</v>
      </c>
      <c r="U31" s="908">
        <v>0</v>
      </c>
      <c r="V31" s="897"/>
      <c r="W31" s="908">
        <v>0</v>
      </c>
      <c r="X31" s="910">
        <v>0</v>
      </c>
      <c r="Y31" s="910">
        <v>0</v>
      </c>
      <c r="Z31" s="910">
        <v>0</v>
      </c>
      <c r="AA31" s="910">
        <v>0</v>
      </c>
      <c r="AB31" s="910">
        <v>0</v>
      </c>
      <c r="AC31" s="910">
        <v>0</v>
      </c>
      <c r="AD31" s="915">
        <v>0</v>
      </c>
      <c r="AE31" s="915">
        <v>0</v>
      </c>
      <c r="AF31" s="897"/>
      <c r="AG31" s="908">
        <v>0</v>
      </c>
      <c r="AH31" s="908">
        <v>0</v>
      </c>
    </row>
    <row r="32" spans="1:34">
      <c r="A32" s="898" t="s">
        <v>1038</v>
      </c>
      <c r="B32" s="898" t="s">
        <v>963</v>
      </c>
      <c r="C32" s="898">
        <v>2019</v>
      </c>
      <c r="D32" s="898" t="s">
        <v>1152</v>
      </c>
      <c r="E32" s="898" t="s">
        <v>955</v>
      </c>
      <c r="F32" s="898"/>
      <c r="G32" s="903">
        <v>0</v>
      </c>
      <c r="H32" s="903">
        <v>0</v>
      </c>
      <c r="I32" s="903">
        <v>0</v>
      </c>
      <c r="J32" s="903"/>
      <c r="K32" s="903">
        <v>0</v>
      </c>
      <c r="L32" s="903">
        <v>0</v>
      </c>
      <c r="M32" s="903">
        <v>0</v>
      </c>
      <c r="N32" s="903"/>
      <c r="O32" s="903">
        <v>0</v>
      </c>
      <c r="P32" s="904" t="e">
        <v>#DIV/0!</v>
      </c>
      <c r="Q32" s="904" t="e">
        <v>#DIV/0!</v>
      </c>
      <c r="R32" s="904" t="e">
        <v>#DIV/0!</v>
      </c>
      <c r="S32" s="898"/>
      <c r="T32" s="903">
        <v>0</v>
      </c>
      <c r="U32" s="903">
        <v>0</v>
      </c>
      <c r="V32" s="897"/>
      <c r="W32" s="903">
        <v>0</v>
      </c>
      <c r="X32" s="905">
        <v>0</v>
      </c>
      <c r="Y32" s="905">
        <v>0</v>
      </c>
      <c r="Z32" s="905">
        <v>0</v>
      </c>
      <c r="AA32" s="905">
        <v>0</v>
      </c>
      <c r="AB32" s="905">
        <v>0</v>
      </c>
      <c r="AC32" s="905">
        <v>0</v>
      </c>
      <c r="AD32" s="897">
        <v>0</v>
      </c>
      <c r="AE32" s="897">
        <v>0</v>
      </c>
      <c r="AF32" s="897"/>
      <c r="AG32" s="903">
        <v>0</v>
      </c>
      <c r="AH32" s="903">
        <v>0</v>
      </c>
    </row>
    <row r="33" spans="1:34">
      <c r="A33" s="898" t="s">
        <v>1039</v>
      </c>
      <c r="B33" s="907" t="s">
        <v>963</v>
      </c>
      <c r="C33" s="907">
        <v>2019</v>
      </c>
      <c r="D33" s="907" t="s">
        <v>1152</v>
      </c>
      <c r="E33" s="907" t="s">
        <v>956</v>
      </c>
      <c r="F33" s="898"/>
      <c r="G33" s="908">
        <v>0</v>
      </c>
      <c r="H33" s="908">
        <v>0</v>
      </c>
      <c r="I33" s="908">
        <v>0</v>
      </c>
      <c r="J33" s="903"/>
      <c r="K33" s="908">
        <v>0</v>
      </c>
      <c r="L33" s="908">
        <v>0</v>
      </c>
      <c r="M33" s="908">
        <v>0</v>
      </c>
      <c r="N33" s="903"/>
      <c r="O33" s="908">
        <v>0</v>
      </c>
      <c r="P33" s="909" t="e">
        <v>#DIV/0!</v>
      </c>
      <c r="Q33" s="909" t="e">
        <v>#DIV/0!</v>
      </c>
      <c r="R33" s="909" t="e">
        <v>#DIV/0!</v>
      </c>
      <c r="S33" s="898"/>
      <c r="T33" s="908">
        <v>0</v>
      </c>
      <c r="U33" s="908">
        <v>0</v>
      </c>
      <c r="V33" s="897"/>
      <c r="W33" s="908">
        <v>0</v>
      </c>
      <c r="X33" s="910">
        <v>0</v>
      </c>
      <c r="Y33" s="910">
        <v>0</v>
      </c>
      <c r="Z33" s="910">
        <v>0</v>
      </c>
      <c r="AA33" s="910">
        <v>0</v>
      </c>
      <c r="AB33" s="910">
        <v>0</v>
      </c>
      <c r="AC33" s="910">
        <v>0</v>
      </c>
      <c r="AD33" s="915">
        <v>0</v>
      </c>
      <c r="AE33" s="915">
        <v>0</v>
      </c>
      <c r="AF33" s="897"/>
      <c r="AG33" s="908">
        <v>0</v>
      </c>
      <c r="AH33" s="908">
        <v>0</v>
      </c>
    </row>
    <row r="34" spans="1:34">
      <c r="A34" s="898" t="s">
        <v>1040</v>
      </c>
      <c r="B34" s="898" t="s">
        <v>963</v>
      </c>
      <c r="C34" s="898">
        <v>2019</v>
      </c>
      <c r="D34" s="898" t="s">
        <v>1152</v>
      </c>
      <c r="E34" s="898" t="s">
        <v>957</v>
      </c>
      <c r="F34" s="898"/>
      <c r="G34" s="903">
        <v>0</v>
      </c>
      <c r="H34" s="903">
        <v>0</v>
      </c>
      <c r="I34" s="903">
        <v>0</v>
      </c>
      <c r="J34" s="903"/>
      <c r="K34" s="903">
        <v>0</v>
      </c>
      <c r="L34" s="903">
        <v>0</v>
      </c>
      <c r="M34" s="903">
        <v>0</v>
      </c>
      <c r="N34" s="903"/>
      <c r="O34" s="903">
        <v>0</v>
      </c>
      <c r="P34" s="904" t="e">
        <v>#DIV/0!</v>
      </c>
      <c r="Q34" s="904" t="e">
        <v>#DIV/0!</v>
      </c>
      <c r="R34" s="904" t="e">
        <v>#DIV/0!</v>
      </c>
      <c r="S34" s="898"/>
      <c r="T34" s="903">
        <v>0</v>
      </c>
      <c r="U34" s="903">
        <v>0</v>
      </c>
      <c r="V34" s="897"/>
      <c r="W34" s="903">
        <v>0</v>
      </c>
      <c r="X34" s="905">
        <v>0</v>
      </c>
      <c r="Y34" s="905">
        <v>0</v>
      </c>
      <c r="Z34" s="905">
        <v>0</v>
      </c>
      <c r="AA34" s="905">
        <v>0</v>
      </c>
      <c r="AB34" s="905">
        <v>0</v>
      </c>
      <c r="AC34" s="905">
        <v>0</v>
      </c>
      <c r="AD34" s="897">
        <v>0</v>
      </c>
      <c r="AE34" s="897">
        <v>0</v>
      </c>
      <c r="AF34" s="897"/>
      <c r="AG34" s="903">
        <v>0</v>
      </c>
      <c r="AH34" s="903">
        <v>0</v>
      </c>
    </row>
    <row r="35" spans="1:34">
      <c r="A35" s="898"/>
      <c r="B35" s="898"/>
      <c r="C35" s="898"/>
      <c r="D35" s="898"/>
      <c r="E35" s="898"/>
      <c r="F35" s="898"/>
      <c r="G35" s="912"/>
      <c r="H35" s="912"/>
      <c r="I35" s="912"/>
      <c r="J35" s="912"/>
      <c r="K35" s="912"/>
      <c r="L35" s="912"/>
      <c r="M35" s="912"/>
      <c r="N35" s="912"/>
      <c r="O35" s="912"/>
      <c r="P35" s="913"/>
      <c r="Q35" s="913"/>
      <c r="R35" s="913"/>
      <c r="S35" s="898"/>
      <c r="T35" s="912"/>
      <c r="U35" s="912"/>
      <c r="V35" s="898"/>
      <c r="W35" s="912"/>
      <c r="X35" s="898"/>
      <c r="Y35" s="898"/>
      <c r="Z35" s="898"/>
      <c r="AA35" s="898"/>
      <c r="AB35" s="898"/>
      <c r="AC35" s="898"/>
      <c r="AD35" s="898"/>
      <c r="AE35" s="898"/>
      <c r="AF35" s="898"/>
      <c r="AG35" s="912"/>
      <c r="AH35" s="912"/>
    </row>
    <row r="36" spans="1:34">
      <c r="A36" s="898" t="s">
        <v>1065</v>
      </c>
      <c r="B36" s="902" t="s">
        <v>963</v>
      </c>
      <c r="C36" s="902">
        <v>2020</v>
      </c>
      <c r="D36" s="902" t="s">
        <v>1152</v>
      </c>
      <c r="E36" s="898" t="s">
        <v>953</v>
      </c>
      <c r="F36" s="898"/>
      <c r="G36" s="903">
        <v>2000</v>
      </c>
      <c r="H36" s="903">
        <v>2474.301807122165</v>
      </c>
      <c r="I36" s="903">
        <v>5701.2999514071935</v>
      </c>
      <c r="J36" s="903"/>
      <c r="K36" s="903">
        <v>0</v>
      </c>
      <c r="L36" s="903">
        <v>0</v>
      </c>
      <c r="M36" s="903">
        <v>0</v>
      </c>
      <c r="N36" s="903"/>
      <c r="O36" s="903">
        <v>1751</v>
      </c>
      <c r="P36" s="904">
        <v>0.13192461450599657</v>
      </c>
      <c r="Q36" s="904">
        <v>9.5374071958880646E-2</v>
      </c>
      <c r="R36" s="904">
        <v>0.77270131353512284</v>
      </c>
      <c r="S36" s="898"/>
      <c r="T36" s="903">
        <v>2000</v>
      </c>
      <c r="U36" s="903">
        <v>0</v>
      </c>
      <c r="V36" s="897"/>
      <c r="W36" s="903">
        <v>0</v>
      </c>
      <c r="X36" s="905">
        <v>0</v>
      </c>
      <c r="Y36" s="905">
        <v>0</v>
      </c>
      <c r="Z36" s="905">
        <v>0</v>
      </c>
      <c r="AA36" s="905">
        <v>0</v>
      </c>
      <c r="AB36" s="905">
        <v>0</v>
      </c>
      <c r="AC36" s="905">
        <v>8.9999999999999993E-3</v>
      </c>
      <c r="AD36" s="897">
        <v>2.9000000000000001E-2</v>
      </c>
      <c r="AE36" s="897">
        <v>2.9000000000000001E-2</v>
      </c>
      <c r="AF36" s="897"/>
      <c r="AG36" s="903">
        <v>0</v>
      </c>
      <c r="AH36" s="903">
        <v>0</v>
      </c>
    </row>
    <row r="37" spans="1:34">
      <c r="A37" s="898" t="s">
        <v>1066</v>
      </c>
      <c r="B37" s="907" t="s">
        <v>963</v>
      </c>
      <c r="C37" s="907">
        <v>2020</v>
      </c>
      <c r="D37" s="907" t="s">
        <v>1152</v>
      </c>
      <c r="E37" s="907" t="s">
        <v>954</v>
      </c>
      <c r="F37" s="898"/>
      <c r="G37" s="908">
        <v>2000</v>
      </c>
      <c r="H37" s="908">
        <v>2474.301807122165</v>
      </c>
      <c r="I37" s="908">
        <v>4981.2999514071935</v>
      </c>
      <c r="J37" s="903"/>
      <c r="K37" s="908">
        <v>0</v>
      </c>
      <c r="L37" s="908">
        <v>0</v>
      </c>
      <c r="M37" s="908">
        <v>0</v>
      </c>
      <c r="N37" s="903"/>
      <c r="O37" s="908">
        <v>1965</v>
      </c>
      <c r="P37" s="909">
        <v>0.33842239185750639</v>
      </c>
      <c r="Q37" s="909">
        <v>0.24325699745547075</v>
      </c>
      <c r="R37" s="909">
        <v>0.41832061068702292</v>
      </c>
      <c r="S37" s="898"/>
      <c r="T37" s="908">
        <v>2000</v>
      </c>
      <c r="U37" s="908">
        <v>0</v>
      </c>
      <c r="V37" s="897"/>
      <c r="W37" s="908">
        <v>0</v>
      </c>
      <c r="X37" s="910">
        <v>0</v>
      </c>
      <c r="Y37" s="910">
        <v>0</v>
      </c>
      <c r="Z37" s="910">
        <v>0</v>
      </c>
      <c r="AA37" s="910">
        <v>0</v>
      </c>
      <c r="AB37" s="910">
        <v>0</v>
      </c>
      <c r="AC37" s="910">
        <v>8.9999999999999993E-3</v>
      </c>
      <c r="AD37" s="915">
        <v>2.9000000000000005E-2</v>
      </c>
      <c r="AE37" s="915">
        <v>2.9000000000000005E-2</v>
      </c>
      <c r="AF37" s="897"/>
      <c r="AG37" s="908">
        <v>0</v>
      </c>
      <c r="AH37" s="908">
        <v>0</v>
      </c>
    </row>
    <row r="38" spans="1:34">
      <c r="A38" s="898" t="s">
        <v>1067</v>
      </c>
      <c r="B38" s="898" t="s">
        <v>963</v>
      </c>
      <c r="C38" s="898">
        <v>2020</v>
      </c>
      <c r="D38" s="898" t="s">
        <v>1152</v>
      </c>
      <c r="E38" s="898" t="s">
        <v>955</v>
      </c>
      <c r="F38" s="898"/>
      <c r="G38" s="903">
        <v>2000</v>
      </c>
      <c r="H38" s="903">
        <v>2474.301807122165</v>
      </c>
      <c r="I38" s="903">
        <v>4981.2999514071935</v>
      </c>
      <c r="J38" s="903"/>
      <c r="K38" s="903">
        <v>0</v>
      </c>
      <c r="L38" s="903">
        <v>0</v>
      </c>
      <c r="M38" s="903">
        <v>0</v>
      </c>
      <c r="N38" s="903"/>
      <c r="O38" s="903">
        <v>1344</v>
      </c>
      <c r="P38" s="904">
        <v>0.29017857142857145</v>
      </c>
      <c r="Q38" s="904">
        <v>0.30059523809523808</v>
      </c>
      <c r="R38" s="904">
        <v>0.40922619047619047</v>
      </c>
      <c r="S38" s="898"/>
      <c r="T38" s="903">
        <v>2000</v>
      </c>
      <c r="U38" s="903">
        <v>0</v>
      </c>
      <c r="V38" s="897"/>
      <c r="W38" s="903">
        <v>0</v>
      </c>
      <c r="X38" s="905">
        <v>0</v>
      </c>
      <c r="Y38" s="905">
        <v>0</v>
      </c>
      <c r="Z38" s="905">
        <v>0</v>
      </c>
      <c r="AA38" s="905">
        <v>0</v>
      </c>
      <c r="AB38" s="905">
        <v>0</v>
      </c>
      <c r="AC38" s="905">
        <v>8.9999999999999993E-3</v>
      </c>
      <c r="AD38" s="897">
        <v>2.9000000000000001E-2</v>
      </c>
      <c r="AE38" s="897">
        <v>2.9000000000000001E-2</v>
      </c>
      <c r="AF38" s="897"/>
      <c r="AG38" s="903">
        <v>0</v>
      </c>
      <c r="AH38" s="903">
        <v>0</v>
      </c>
    </row>
    <row r="39" spans="1:34">
      <c r="A39" s="898" t="s">
        <v>1068</v>
      </c>
      <c r="B39" s="907" t="s">
        <v>963</v>
      </c>
      <c r="C39" s="907">
        <v>2020</v>
      </c>
      <c r="D39" s="907" t="s">
        <v>1152</v>
      </c>
      <c r="E39" s="907" t="s">
        <v>956</v>
      </c>
      <c r="F39" s="898"/>
      <c r="G39" s="908">
        <v>1999.9999999999998</v>
      </c>
      <c r="H39" s="908">
        <v>2474.301807122165</v>
      </c>
      <c r="I39" s="908">
        <v>4981.2999514071935</v>
      </c>
      <c r="J39" s="903"/>
      <c r="K39" s="908">
        <v>0</v>
      </c>
      <c r="L39" s="908">
        <v>0</v>
      </c>
      <c r="M39" s="908">
        <v>0</v>
      </c>
      <c r="N39" s="903"/>
      <c r="O39" s="908">
        <v>1775</v>
      </c>
      <c r="P39" s="909">
        <v>0.50309859154929581</v>
      </c>
      <c r="Q39" s="909">
        <v>0.36732394366197185</v>
      </c>
      <c r="R39" s="909">
        <v>0.12957746478873239</v>
      </c>
      <c r="S39" s="898"/>
      <c r="T39" s="908">
        <v>1999.9999999999998</v>
      </c>
      <c r="U39" s="908">
        <v>0</v>
      </c>
      <c r="V39" s="897"/>
      <c r="W39" s="908">
        <v>0</v>
      </c>
      <c r="X39" s="910">
        <v>0</v>
      </c>
      <c r="Y39" s="910">
        <v>0</v>
      </c>
      <c r="Z39" s="910">
        <v>0</v>
      </c>
      <c r="AA39" s="910">
        <v>0</v>
      </c>
      <c r="AB39" s="910">
        <v>0</v>
      </c>
      <c r="AC39" s="910">
        <v>8.9999999999999976E-3</v>
      </c>
      <c r="AD39" s="915">
        <v>2.9000000000000001E-2</v>
      </c>
      <c r="AE39" s="915">
        <v>2.9000000000000001E-2</v>
      </c>
      <c r="AF39" s="897"/>
      <c r="AG39" s="908">
        <v>0</v>
      </c>
      <c r="AH39" s="908">
        <v>0</v>
      </c>
    </row>
    <row r="40" spans="1:34">
      <c r="A40" s="898" t="s">
        <v>1069</v>
      </c>
      <c r="B40" s="898" t="s">
        <v>963</v>
      </c>
      <c r="C40" s="898">
        <v>2020</v>
      </c>
      <c r="D40" s="898" t="s">
        <v>1152</v>
      </c>
      <c r="E40" s="898" t="s">
        <v>957</v>
      </c>
      <c r="F40" s="898"/>
      <c r="G40" s="903">
        <v>2000</v>
      </c>
      <c r="H40" s="903">
        <v>2474.301807122165</v>
      </c>
      <c r="I40" s="903">
        <v>4981.2999514071935</v>
      </c>
      <c r="J40" s="903"/>
      <c r="K40" s="903">
        <v>0</v>
      </c>
      <c r="L40" s="903">
        <v>0</v>
      </c>
      <c r="M40" s="903">
        <v>0</v>
      </c>
      <c r="N40" s="903"/>
      <c r="O40" s="903">
        <v>780</v>
      </c>
      <c r="P40" s="904">
        <v>0.4653846153846154</v>
      </c>
      <c r="Q40" s="904">
        <v>0.34102564102564104</v>
      </c>
      <c r="R40" s="904">
        <v>0.1935897435897436</v>
      </c>
      <c r="S40" s="898"/>
      <c r="T40" s="903">
        <v>2000</v>
      </c>
      <c r="U40" s="903">
        <v>0</v>
      </c>
      <c r="V40" s="897"/>
      <c r="W40" s="903">
        <v>0</v>
      </c>
      <c r="X40" s="905">
        <v>0</v>
      </c>
      <c r="Y40" s="905">
        <v>0</v>
      </c>
      <c r="Z40" s="905">
        <v>0</v>
      </c>
      <c r="AA40" s="905">
        <v>0</v>
      </c>
      <c r="AB40" s="905">
        <v>0</v>
      </c>
      <c r="AC40" s="905">
        <v>8.9999999999999993E-3</v>
      </c>
      <c r="AD40" s="897">
        <v>2.8999999999999998E-2</v>
      </c>
      <c r="AE40" s="897">
        <v>2.8999999999999998E-2</v>
      </c>
      <c r="AF40" s="897"/>
      <c r="AG40" s="903">
        <v>0</v>
      </c>
      <c r="AH40" s="903">
        <v>0</v>
      </c>
    </row>
    <row r="41" spans="1:34">
      <c r="A41" s="898"/>
      <c r="B41" s="898"/>
      <c r="C41" s="898"/>
      <c r="D41" s="898"/>
      <c r="E41" s="898"/>
      <c r="F41" s="898"/>
      <c r="G41" s="912"/>
      <c r="H41" s="912"/>
      <c r="I41" s="912"/>
      <c r="J41" s="912"/>
      <c r="K41" s="912"/>
      <c r="L41" s="912"/>
      <c r="M41" s="912"/>
      <c r="N41" s="912"/>
      <c r="O41" s="912"/>
      <c r="P41" s="913"/>
      <c r="Q41" s="913"/>
      <c r="R41" s="913"/>
      <c r="S41" s="898"/>
      <c r="T41" s="912"/>
      <c r="U41" s="912"/>
      <c r="V41" s="898"/>
      <c r="W41" s="912"/>
      <c r="X41" s="898"/>
      <c r="Y41" s="898"/>
      <c r="Z41" s="898"/>
      <c r="AA41" s="898"/>
      <c r="AB41" s="898"/>
      <c r="AC41" s="898"/>
      <c r="AD41" s="898"/>
      <c r="AE41" s="898"/>
      <c r="AF41" s="898"/>
      <c r="AG41" s="912"/>
      <c r="AH41" s="912"/>
    </row>
    <row r="42" spans="1:34">
      <c r="A42" s="898" t="s">
        <v>1041</v>
      </c>
      <c r="B42" s="902" t="s">
        <v>964</v>
      </c>
      <c r="C42" s="902">
        <v>2019</v>
      </c>
      <c r="D42" s="902" t="s">
        <v>1152</v>
      </c>
      <c r="E42" s="898" t="s">
        <v>953</v>
      </c>
      <c r="F42" s="898"/>
      <c r="G42" s="903">
        <v>0</v>
      </c>
      <c r="H42" s="903">
        <v>0</v>
      </c>
      <c r="I42" s="903">
        <v>0</v>
      </c>
      <c r="J42" s="903"/>
      <c r="K42" s="903">
        <v>0</v>
      </c>
      <c r="L42" s="903">
        <v>0</v>
      </c>
      <c r="M42" s="903">
        <v>0</v>
      </c>
      <c r="N42" s="903"/>
      <c r="O42" s="903" t="e">
        <v>#N/A</v>
      </c>
      <c r="P42" s="904" t="e">
        <v>#N/A</v>
      </c>
      <c r="Q42" s="904" t="e">
        <v>#N/A</v>
      </c>
      <c r="R42" s="904" t="e">
        <v>#N/A</v>
      </c>
      <c r="S42" s="898"/>
      <c r="T42" s="903">
        <v>0</v>
      </c>
      <c r="U42" s="903">
        <v>0</v>
      </c>
      <c r="V42" s="897"/>
      <c r="W42" s="903">
        <v>0</v>
      </c>
      <c r="X42" s="905">
        <v>0</v>
      </c>
      <c r="Y42" s="905">
        <v>0</v>
      </c>
      <c r="Z42" s="905">
        <v>0</v>
      </c>
      <c r="AA42" s="905">
        <v>0</v>
      </c>
      <c r="AB42" s="905">
        <v>0</v>
      </c>
      <c r="AC42" s="905">
        <v>0</v>
      </c>
      <c r="AD42" s="897">
        <v>0</v>
      </c>
      <c r="AE42" s="897">
        <v>0</v>
      </c>
      <c r="AF42" s="897"/>
      <c r="AG42" s="903">
        <v>0</v>
      </c>
      <c r="AH42" s="903">
        <v>0</v>
      </c>
    </row>
    <row r="43" spans="1:34">
      <c r="A43" s="898" t="s">
        <v>1042</v>
      </c>
      <c r="B43" s="907" t="s">
        <v>964</v>
      </c>
      <c r="C43" s="907">
        <v>2019</v>
      </c>
      <c r="D43" s="907" t="s">
        <v>1152</v>
      </c>
      <c r="E43" s="907" t="s">
        <v>954</v>
      </c>
      <c r="F43" s="898"/>
      <c r="G43" s="908">
        <v>0</v>
      </c>
      <c r="H43" s="908">
        <v>0</v>
      </c>
      <c r="I43" s="908">
        <v>0</v>
      </c>
      <c r="J43" s="903"/>
      <c r="K43" s="908">
        <v>0</v>
      </c>
      <c r="L43" s="908">
        <v>0</v>
      </c>
      <c r="M43" s="908">
        <v>0</v>
      </c>
      <c r="N43" s="903"/>
      <c r="O43" s="908" t="e">
        <v>#N/A</v>
      </c>
      <c r="P43" s="909" t="e">
        <v>#N/A</v>
      </c>
      <c r="Q43" s="909" t="e">
        <v>#N/A</v>
      </c>
      <c r="R43" s="909" t="e">
        <v>#N/A</v>
      </c>
      <c r="S43" s="898"/>
      <c r="T43" s="908">
        <v>0</v>
      </c>
      <c r="U43" s="908">
        <v>0</v>
      </c>
      <c r="V43" s="897"/>
      <c r="W43" s="908">
        <v>0</v>
      </c>
      <c r="X43" s="910">
        <v>0</v>
      </c>
      <c r="Y43" s="910">
        <v>0</v>
      </c>
      <c r="Z43" s="910">
        <v>0</v>
      </c>
      <c r="AA43" s="910">
        <v>0</v>
      </c>
      <c r="AB43" s="910">
        <v>0</v>
      </c>
      <c r="AC43" s="910">
        <v>0</v>
      </c>
      <c r="AD43" s="915">
        <v>0</v>
      </c>
      <c r="AE43" s="915">
        <v>0</v>
      </c>
      <c r="AF43" s="897"/>
      <c r="AG43" s="908">
        <v>0</v>
      </c>
      <c r="AH43" s="908">
        <v>0</v>
      </c>
    </row>
    <row r="44" spans="1:34">
      <c r="A44" s="898" t="s">
        <v>1043</v>
      </c>
      <c r="B44" s="898" t="s">
        <v>964</v>
      </c>
      <c r="C44" s="898">
        <v>2019</v>
      </c>
      <c r="D44" s="898" t="s">
        <v>1152</v>
      </c>
      <c r="E44" s="898" t="s">
        <v>955</v>
      </c>
      <c r="F44" s="898"/>
      <c r="G44" s="903">
        <v>0</v>
      </c>
      <c r="H44" s="903">
        <v>0</v>
      </c>
      <c r="I44" s="903">
        <v>0</v>
      </c>
      <c r="J44" s="903"/>
      <c r="K44" s="903">
        <v>0</v>
      </c>
      <c r="L44" s="903">
        <v>0</v>
      </c>
      <c r="M44" s="903">
        <v>0</v>
      </c>
      <c r="N44" s="903"/>
      <c r="O44" s="903" t="e">
        <v>#N/A</v>
      </c>
      <c r="P44" s="904" t="e">
        <v>#N/A</v>
      </c>
      <c r="Q44" s="904" t="e">
        <v>#N/A</v>
      </c>
      <c r="R44" s="904" t="e">
        <v>#N/A</v>
      </c>
      <c r="S44" s="898"/>
      <c r="T44" s="903">
        <v>0</v>
      </c>
      <c r="U44" s="903">
        <v>0</v>
      </c>
      <c r="V44" s="897"/>
      <c r="W44" s="903">
        <v>0</v>
      </c>
      <c r="X44" s="905">
        <v>0</v>
      </c>
      <c r="Y44" s="905">
        <v>0</v>
      </c>
      <c r="Z44" s="905">
        <v>0</v>
      </c>
      <c r="AA44" s="905">
        <v>0</v>
      </c>
      <c r="AB44" s="905">
        <v>0</v>
      </c>
      <c r="AC44" s="905">
        <v>0</v>
      </c>
      <c r="AD44" s="897">
        <v>0</v>
      </c>
      <c r="AE44" s="897">
        <v>0</v>
      </c>
      <c r="AF44" s="897"/>
      <c r="AG44" s="903">
        <v>0</v>
      </c>
      <c r="AH44" s="903">
        <v>0</v>
      </c>
    </row>
    <row r="45" spans="1:34">
      <c r="A45" s="898" t="s">
        <v>1044</v>
      </c>
      <c r="B45" s="907" t="s">
        <v>964</v>
      </c>
      <c r="C45" s="907">
        <v>2019</v>
      </c>
      <c r="D45" s="907" t="s">
        <v>1152</v>
      </c>
      <c r="E45" s="907" t="s">
        <v>956</v>
      </c>
      <c r="F45" s="898"/>
      <c r="G45" s="908">
        <v>0</v>
      </c>
      <c r="H45" s="908">
        <v>0</v>
      </c>
      <c r="I45" s="908">
        <v>0</v>
      </c>
      <c r="J45" s="903"/>
      <c r="K45" s="908">
        <v>0</v>
      </c>
      <c r="L45" s="908">
        <v>0</v>
      </c>
      <c r="M45" s="908">
        <v>0</v>
      </c>
      <c r="N45" s="903"/>
      <c r="O45" s="908" t="e">
        <v>#N/A</v>
      </c>
      <c r="P45" s="909" t="e">
        <v>#N/A</v>
      </c>
      <c r="Q45" s="909" t="e">
        <v>#N/A</v>
      </c>
      <c r="R45" s="909" t="e">
        <v>#N/A</v>
      </c>
      <c r="S45" s="898"/>
      <c r="T45" s="908">
        <v>0</v>
      </c>
      <c r="U45" s="908">
        <v>0</v>
      </c>
      <c r="V45" s="897"/>
      <c r="W45" s="908">
        <v>0</v>
      </c>
      <c r="X45" s="910">
        <v>0</v>
      </c>
      <c r="Y45" s="910">
        <v>0</v>
      </c>
      <c r="Z45" s="910">
        <v>0</v>
      </c>
      <c r="AA45" s="910">
        <v>0</v>
      </c>
      <c r="AB45" s="910">
        <v>0</v>
      </c>
      <c r="AC45" s="910">
        <v>0</v>
      </c>
      <c r="AD45" s="915">
        <v>0</v>
      </c>
      <c r="AE45" s="915">
        <v>0</v>
      </c>
      <c r="AF45" s="897"/>
      <c r="AG45" s="908">
        <v>0</v>
      </c>
      <c r="AH45" s="908">
        <v>0</v>
      </c>
    </row>
    <row r="46" spans="1:34">
      <c r="A46" s="898" t="s">
        <v>1045</v>
      </c>
      <c r="B46" s="898" t="s">
        <v>964</v>
      </c>
      <c r="C46" s="898">
        <v>2019</v>
      </c>
      <c r="D46" s="898" t="s">
        <v>1152</v>
      </c>
      <c r="E46" s="898" t="s">
        <v>957</v>
      </c>
      <c r="F46" s="898"/>
      <c r="G46" s="903">
        <v>0</v>
      </c>
      <c r="H46" s="903">
        <v>0</v>
      </c>
      <c r="I46" s="903">
        <v>0</v>
      </c>
      <c r="J46" s="903"/>
      <c r="K46" s="903">
        <v>0</v>
      </c>
      <c r="L46" s="903">
        <v>0</v>
      </c>
      <c r="M46" s="903">
        <v>0</v>
      </c>
      <c r="N46" s="903"/>
      <c r="O46" s="903" t="e">
        <v>#N/A</v>
      </c>
      <c r="P46" s="904" t="e">
        <v>#N/A</v>
      </c>
      <c r="Q46" s="904" t="e">
        <v>#N/A</v>
      </c>
      <c r="R46" s="904" t="e">
        <v>#N/A</v>
      </c>
      <c r="S46" s="898"/>
      <c r="T46" s="903">
        <v>0</v>
      </c>
      <c r="U46" s="903">
        <v>0</v>
      </c>
      <c r="V46" s="897"/>
      <c r="W46" s="903">
        <v>0</v>
      </c>
      <c r="X46" s="905">
        <v>0</v>
      </c>
      <c r="Y46" s="905">
        <v>0</v>
      </c>
      <c r="Z46" s="905">
        <v>0</v>
      </c>
      <c r="AA46" s="905">
        <v>0</v>
      </c>
      <c r="AB46" s="905">
        <v>0</v>
      </c>
      <c r="AC46" s="905">
        <v>0</v>
      </c>
      <c r="AD46" s="897">
        <v>0</v>
      </c>
      <c r="AE46" s="897">
        <v>0</v>
      </c>
      <c r="AF46" s="897"/>
      <c r="AG46" s="903">
        <v>0</v>
      </c>
      <c r="AH46" s="903">
        <v>0</v>
      </c>
    </row>
    <row r="47" spans="1:34">
      <c r="A47" s="898"/>
      <c r="B47" s="898"/>
      <c r="C47" s="898"/>
      <c r="D47" s="898"/>
      <c r="E47" s="898"/>
      <c r="F47" s="898"/>
      <c r="G47" s="912"/>
      <c r="H47" s="912"/>
      <c r="I47" s="912"/>
      <c r="J47" s="912"/>
      <c r="K47" s="912"/>
      <c r="L47" s="912"/>
      <c r="M47" s="912"/>
      <c r="N47" s="912"/>
      <c r="O47" s="912"/>
      <c r="P47" s="913"/>
      <c r="Q47" s="913"/>
      <c r="R47" s="913"/>
      <c r="S47" s="898"/>
      <c r="T47" s="912"/>
      <c r="U47" s="912"/>
      <c r="V47" s="898"/>
      <c r="W47" s="912"/>
      <c r="X47" s="898"/>
      <c r="Y47" s="898"/>
      <c r="Z47" s="898"/>
      <c r="AA47" s="898"/>
      <c r="AB47" s="898"/>
      <c r="AC47" s="898"/>
      <c r="AD47" s="898"/>
      <c r="AE47" s="898"/>
      <c r="AF47" s="898"/>
      <c r="AG47" s="912"/>
      <c r="AH47" s="912"/>
    </row>
    <row r="48" spans="1:34">
      <c r="A48" s="898" t="s">
        <v>1135</v>
      </c>
      <c r="B48" s="902" t="s">
        <v>964</v>
      </c>
      <c r="C48" s="902">
        <v>2020</v>
      </c>
      <c r="D48" s="902" t="s">
        <v>1152</v>
      </c>
      <c r="E48" s="898" t="s">
        <v>953</v>
      </c>
      <c r="F48" s="898"/>
      <c r="G48" s="903">
        <v>1999.9999999999998</v>
      </c>
      <c r="H48" s="903">
        <v>3094.237568256598</v>
      </c>
      <c r="I48" s="903">
        <v>7976.5786767453665</v>
      </c>
      <c r="J48" s="903"/>
      <c r="K48" s="903">
        <v>0</v>
      </c>
      <c r="L48" s="903">
        <v>0</v>
      </c>
      <c r="M48" s="903">
        <v>0</v>
      </c>
      <c r="N48" s="903"/>
      <c r="O48" s="903">
        <v>401.99999999999994</v>
      </c>
      <c r="P48" s="904">
        <v>0.17910447761194037</v>
      </c>
      <c r="Q48" s="904">
        <v>0.10447761194029852</v>
      </c>
      <c r="R48" s="904">
        <v>0.71641791044776115</v>
      </c>
      <c r="S48" s="898"/>
      <c r="T48" s="903">
        <v>1999.9999999999998</v>
      </c>
      <c r="U48" s="903">
        <v>0</v>
      </c>
      <c r="V48" s="897"/>
      <c r="W48" s="903">
        <v>0</v>
      </c>
      <c r="X48" s="905">
        <v>0</v>
      </c>
      <c r="Y48" s="905">
        <v>0</v>
      </c>
      <c r="Z48" s="905">
        <v>0</v>
      </c>
      <c r="AA48" s="905">
        <v>0</v>
      </c>
      <c r="AB48" s="905">
        <v>8.9999999999999976E-3</v>
      </c>
      <c r="AC48" s="905">
        <v>1.8999999999999996E-2</v>
      </c>
      <c r="AD48" s="897">
        <v>3.8999999999999993E-2</v>
      </c>
      <c r="AE48" s="897">
        <v>3.8999999999999993E-2</v>
      </c>
      <c r="AF48" s="897"/>
      <c r="AG48" s="903">
        <v>0</v>
      </c>
      <c r="AH48" s="903">
        <v>0</v>
      </c>
    </row>
    <row r="49" spans="1:34">
      <c r="A49" s="898" t="s">
        <v>1136</v>
      </c>
      <c r="B49" s="907" t="s">
        <v>964</v>
      </c>
      <c r="C49" s="907">
        <v>2020</v>
      </c>
      <c r="D49" s="907" t="s">
        <v>1152</v>
      </c>
      <c r="E49" s="907" t="s">
        <v>954</v>
      </c>
      <c r="F49" s="898"/>
      <c r="G49" s="908">
        <v>1999.9999999999998</v>
      </c>
      <c r="H49" s="908">
        <v>3094.237568256598</v>
      </c>
      <c r="I49" s="908">
        <v>7486.1015193849607</v>
      </c>
      <c r="J49" s="903"/>
      <c r="K49" s="908">
        <v>0</v>
      </c>
      <c r="L49" s="908">
        <v>0</v>
      </c>
      <c r="M49" s="908">
        <v>0</v>
      </c>
      <c r="N49" s="903"/>
      <c r="O49" s="908">
        <v>591</v>
      </c>
      <c r="P49" s="909">
        <v>0.45516074450084604</v>
      </c>
      <c r="Q49" s="909">
        <v>0.16582064297800339</v>
      </c>
      <c r="R49" s="909">
        <v>0.3790186125211506</v>
      </c>
      <c r="S49" s="898"/>
      <c r="T49" s="908">
        <v>1999.9999999999998</v>
      </c>
      <c r="U49" s="908">
        <v>0</v>
      </c>
      <c r="V49" s="897"/>
      <c r="W49" s="908">
        <v>0</v>
      </c>
      <c r="X49" s="910">
        <v>0</v>
      </c>
      <c r="Y49" s="910">
        <v>0</v>
      </c>
      <c r="Z49" s="910">
        <v>0</v>
      </c>
      <c r="AA49" s="910">
        <v>0</v>
      </c>
      <c r="AB49" s="910">
        <v>8.9999999999999976E-3</v>
      </c>
      <c r="AC49" s="910">
        <v>1.9E-2</v>
      </c>
      <c r="AD49" s="915">
        <v>3.9E-2</v>
      </c>
      <c r="AE49" s="915">
        <v>3.9E-2</v>
      </c>
      <c r="AF49" s="897"/>
      <c r="AG49" s="908">
        <v>0</v>
      </c>
      <c r="AH49" s="908">
        <v>0</v>
      </c>
    </row>
    <row r="50" spans="1:34">
      <c r="A50" s="898" t="s">
        <v>1137</v>
      </c>
      <c r="B50" s="898" t="s">
        <v>964</v>
      </c>
      <c r="C50" s="898">
        <v>2020</v>
      </c>
      <c r="D50" s="898" t="s">
        <v>1152</v>
      </c>
      <c r="E50" s="898" t="s">
        <v>955</v>
      </c>
      <c r="F50" s="898"/>
      <c r="G50" s="903">
        <v>2000</v>
      </c>
      <c r="H50" s="903">
        <v>3094.237568256598</v>
      </c>
      <c r="I50" s="903">
        <v>7034.7549676277904</v>
      </c>
      <c r="J50" s="903"/>
      <c r="K50" s="903">
        <v>0</v>
      </c>
      <c r="L50" s="903">
        <v>0</v>
      </c>
      <c r="M50" s="903">
        <v>0</v>
      </c>
      <c r="N50" s="903"/>
      <c r="O50" s="903">
        <v>784.12100250626554</v>
      </c>
      <c r="P50" s="904">
        <v>0.39001307531815393</v>
      </c>
      <c r="Q50" s="904">
        <v>0.27840864415714062</v>
      </c>
      <c r="R50" s="904">
        <v>0.3315782805247055</v>
      </c>
      <c r="S50" s="898"/>
      <c r="T50" s="903">
        <v>2000</v>
      </c>
      <c r="U50" s="903">
        <v>0</v>
      </c>
      <c r="V50" s="897"/>
      <c r="W50" s="903">
        <v>0</v>
      </c>
      <c r="X50" s="905">
        <v>0</v>
      </c>
      <c r="Y50" s="905">
        <v>0</v>
      </c>
      <c r="Z50" s="905">
        <v>0</v>
      </c>
      <c r="AA50" s="905">
        <v>0</v>
      </c>
      <c r="AB50" s="905">
        <v>8.9999999999999976E-3</v>
      </c>
      <c r="AC50" s="905">
        <v>1.8999999999999996E-2</v>
      </c>
      <c r="AD50" s="897">
        <v>3.8999999999999993E-2</v>
      </c>
      <c r="AE50" s="897">
        <v>3.8999999999999993E-2</v>
      </c>
      <c r="AF50" s="897"/>
      <c r="AG50" s="903">
        <v>0</v>
      </c>
      <c r="AH50" s="903">
        <v>0</v>
      </c>
    </row>
    <row r="51" spans="1:34">
      <c r="A51" s="898" t="s">
        <v>1138</v>
      </c>
      <c r="B51" s="907" t="s">
        <v>964</v>
      </c>
      <c r="C51" s="907">
        <v>2020</v>
      </c>
      <c r="D51" s="907" t="s">
        <v>1152</v>
      </c>
      <c r="E51" s="907" t="s">
        <v>956</v>
      </c>
      <c r="F51" s="898"/>
      <c r="G51" s="908">
        <v>1999.9999999999998</v>
      </c>
      <c r="H51" s="908">
        <v>3094.237568256598</v>
      </c>
      <c r="I51" s="908">
        <v>6688.1928959432862</v>
      </c>
      <c r="J51" s="903"/>
      <c r="K51" s="908">
        <v>0</v>
      </c>
      <c r="L51" s="908">
        <v>0</v>
      </c>
      <c r="M51" s="908">
        <v>0</v>
      </c>
      <c r="N51" s="903"/>
      <c r="O51" s="908">
        <v>614.03770114942529</v>
      </c>
      <c r="P51" s="909">
        <v>0.64305963038378289</v>
      </c>
      <c r="Q51" s="909">
        <v>0.25456329655255627</v>
      </c>
      <c r="R51" s="909">
        <v>0.10237707306366088</v>
      </c>
      <c r="S51" s="898"/>
      <c r="T51" s="908">
        <v>1999.9999999999998</v>
      </c>
      <c r="U51" s="908">
        <v>0</v>
      </c>
      <c r="V51" s="897"/>
      <c r="W51" s="908">
        <v>0</v>
      </c>
      <c r="X51" s="910">
        <v>0</v>
      </c>
      <c r="Y51" s="910">
        <v>0</v>
      </c>
      <c r="Z51" s="910">
        <v>0</v>
      </c>
      <c r="AA51" s="910">
        <v>0</v>
      </c>
      <c r="AB51" s="910">
        <v>8.9999999999999993E-3</v>
      </c>
      <c r="AC51" s="910">
        <v>1.9E-2</v>
      </c>
      <c r="AD51" s="915">
        <v>3.9E-2</v>
      </c>
      <c r="AE51" s="915">
        <v>3.9E-2</v>
      </c>
      <c r="AF51" s="897"/>
      <c r="AG51" s="908">
        <v>0</v>
      </c>
      <c r="AH51" s="908">
        <v>0</v>
      </c>
    </row>
    <row r="52" spans="1:34">
      <c r="A52" s="898" t="s">
        <v>1139</v>
      </c>
      <c r="B52" s="898" t="s">
        <v>964</v>
      </c>
      <c r="C52" s="898">
        <v>2020</v>
      </c>
      <c r="D52" s="898" t="s">
        <v>1152</v>
      </c>
      <c r="E52" s="898" t="s">
        <v>957</v>
      </c>
      <c r="F52" s="898"/>
      <c r="G52" s="903">
        <v>2000.0000000000002</v>
      </c>
      <c r="H52" s="903">
        <v>3094.2375682565989</v>
      </c>
      <c r="I52" s="903">
        <v>7010.4189323589571</v>
      </c>
      <c r="J52" s="903"/>
      <c r="K52" s="903">
        <v>0</v>
      </c>
      <c r="L52" s="903">
        <v>0</v>
      </c>
      <c r="M52" s="903">
        <v>0</v>
      </c>
      <c r="N52" s="903"/>
      <c r="O52" s="903">
        <v>478.84129634430906</v>
      </c>
      <c r="P52" s="904">
        <v>0.55408692039239482</v>
      </c>
      <c r="Q52" s="904">
        <v>0.29525956617426152</v>
      </c>
      <c r="R52" s="904">
        <v>0.15065351343334371</v>
      </c>
      <c r="S52" s="898"/>
      <c r="T52" s="903">
        <v>2000.0000000000002</v>
      </c>
      <c r="U52" s="903">
        <v>0</v>
      </c>
      <c r="V52" s="897"/>
      <c r="W52" s="903">
        <v>0</v>
      </c>
      <c r="X52" s="905">
        <v>0</v>
      </c>
      <c r="Y52" s="905">
        <v>0</v>
      </c>
      <c r="Z52" s="905">
        <v>0</v>
      </c>
      <c r="AA52" s="905">
        <v>0</v>
      </c>
      <c r="AB52" s="905">
        <v>9.0000000000000011E-3</v>
      </c>
      <c r="AC52" s="905">
        <v>1.9000000000000003E-2</v>
      </c>
      <c r="AD52" s="897">
        <v>3.9000000000000007E-2</v>
      </c>
      <c r="AE52" s="897">
        <v>3.9000000000000007E-2</v>
      </c>
      <c r="AF52" s="897"/>
      <c r="AG52" s="903">
        <v>0</v>
      </c>
      <c r="AH52" s="903">
        <v>0</v>
      </c>
    </row>
    <row r="53" spans="1:34">
      <c r="A53" s="898"/>
      <c r="B53" s="898"/>
      <c r="C53" s="898"/>
      <c r="D53" s="898"/>
      <c r="E53" s="898"/>
      <c r="F53" s="898"/>
      <c r="G53" s="912"/>
      <c r="H53" s="912"/>
      <c r="I53" s="912"/>
      <c r="J53" s="912"/>
      <c r="K53" s="912"/>
      <c r="L53" s="912"/>
      <c r="M53" s="912"/>
      <c r="N53" s="912"/>
      <c r="O53" s="912"/>
      <c r="P53" s="913"/>
      <c r="Q53" s="913"/>
      <c r="R53" s="913"/>
      <c r="S53" s="898"/>
      <c r="T53" s="912"/>
      <c r="U53" s="912"/>
      <c r="V53" s="898"/>
      <c r="W53" s="912"/>
      <c r="X53" s="898"/>
      <c r="Y53" s="898"/>
      <c r="Z53" s="898"/>
      <c r="AA53" s="898"/>
      <c r="AB53" s="898"/>
      <c r="AC53" s="898"/>
      <c r="AD53" s="898"/>
      <c r="AE53" s="898"/>
      <c r="AF53" s="898"/>
      <c r="AG53" s="912"/>
      <c r="AH53" s="912"/>
    </row>
    <row r="54" spans="1:34">
      <c r="A54" s="898" t="s">
        <v>1046</v>
      </c>
      <c r="B54" s="902" t="s">
        <v>965</v>
      </c>
      <c r="C54" s="902">
        <v>2019</v>
      </c>
      <c r="D54" s="902" t="s">
        <v>1152</v>
      </c>
      <c r="E54" s="898" t="s">
        <v>953</v>
      </c>
      <c r="F54" s="898"/>
      <c r="G54" s="903">
        <v>0</v>
      </c>
      <c r="H54" s="903">
        <v>0</v>
      </c>
      <c r="I54" s="903">
        <v>0</v>
      </c>
      <c r="J54" s="903"/>
      <c r="K54" s="903">
        <v>0</v>
      </c>
      <c r="L54" s="903">
        <v>0</v>
      </c>
      <c r="M54" s="903">
        <v>0</v>
      </c>
      <c r="N54" s="903"/>
      <c r="O54" s="903">
        <v>0</v>
      </c>
      <c r="P54" s="904" t="e">
        <v>#DIV/0!</v>
      </c>
      <c r="Q54" s="904" t="e">
        <v>#DIV/0!</v>
      </c>
      <c r="R54" s="904" t="e">
        <v>#DIV/0!</v>
      </c>
      <c r="S54" s="898"/>
      <c r="T54" s="903">
        <v>0</v>
      </c>
      <c r="U54" s="903">
        <v>0</v>
      </c>
      <c r="V54" s="897"/>
      <c r="W54" s="903">
        <v>0</v>
      </c>
      <c r="X54" s="905">
        <v>0</v>
      </c>
      <c r="Y54" s="905">
        <v>0</v>
      </c>
      <c r="Z54" s="905">
        <v>0</v>
      </c>
      <c r="AA54" s="905">
        <v>0</v>
      </c>
      <c r="AB54" s="905">
        <v>0</v>
      </c>
      <c r="AC54" s="905">
        <v>0</v>
      </c>
      <c r="AD54" s="897">
        <v>0</v>
      </c>
      <c r="AE54" s="897">
        <v>0</v>
      </c>
      <c r="AF54" s="897"/>
      <c r="AG54" s="903">
        <v>0</v>
      </c>
      <c r="AH54" s="903">
        <v>0</v>
      </c>
    </row>
    <row r="55" spans="1:34">
      <c r="A55" s="898" t="s">
        <v>1047</v>
      </c>
      <c r="B55" s="907" t="s">
        <v>965</v>
      </c>
      <c r="C55" s="907">
        <v>2019</v>
      </c>
      <c r="D55" s="907" t="s">
        <v>1152</v>
      </c>
      <c r="E55" s="907" t="s">
        <v>954</v>
      </c>
      <c r="F55" s="898"/>
      <c r="G55" s="908">
        <v>0</v>
      </c>
      <c r="H55" s="908">
        <v>0</v>
      </c>
      <c r="I55" s="908">
        <v>0</v>
      </c>
      <c r="J55" s="903"/>
      <c r="K55" s="908">
        <v>0</v>
      </c>
      <c r="L55" s="908">
        <v>0</v>
      </c>
      <c r="M55" s="908">
        <v>0</v>
      </c>
      <c r="N55" s="903"/>
      <c r="O55" s="908">
        <v>0</v>
      </c>
      <c r="P55" s="909" t="e">
        <v>#DIV/0!</v>
      </c>
      <c r="Q55" s="909" t="e">
        <v>#DIV/0!</v>
      </c>
      <c r="R55" s="909" t="e">
        <v>#DIV/0!</v>
      </c>
      <c r="S55" s="898"/>
      <c r="T55" s="908">
        <v>0</v>
      </c>
      <c r="U55" s="908">
        <v>0</v>
      </c>
      <c r="V55" s="897"/>
      <c r="W55" s="908">
        <v>0</v>
      </c>
      <c r="X55" s="910">
        <v>0</v>
      </c>
      <c r="Y55" s="910">
        <v>0</v>
      </c>
      <c r="Z55" s="910">
        <v>0</v>
      </c>
      <c r="AA55" s="910">
        <v>0</v>
      </c>
      <c r="AB55" s="910">
        <v>0</v>
      </c>
      <c r="AC55" s="910">
        <v>0</v>
      </c>
      <c r="AD55" s="915">
        <v>0</v>
      </c>
      <c r="AE55" s="915">
        <v>0</v>
      </c>
      <c r="AF55" s="897"/>
      <c r="AG55" s="908">
        <v>0</v>
      </c>
      <c r="AH55" s="908">
        <v>0</v>
      </c>
    </row>
    <row r="56" spans="1:34">
      <c r="A56" s="898" t="s">
        <v>1048</v>
      </c>
      <c r="B56" s="898" t="s">
        <v>965</v>
      </c>
      <c r="C56" s="898">
        <v>2019</v>
      </c>
      <c r="D56" s="898" t="s">
        <v>1152</v>
      </c>
      <c r="E56" s="898" t="s">
        <v>955</v>
      </c>
      <c r="F56" s="898"/>
      <c r="G56" s="903">
        <v>0</v>
      </c>
      <c r="H56" s="903">
        <v>0</v>
      </c>
      <c r="I56" s="903">
        <v>0</v>
      </c>
      <c r="J56" s="903"/>
      <c r="K56" s="903">
        <v>0</v>
      </c>
      <c r="L56" s="903">
        <v>0</v>
      </c>
      <c r="M56" s="903">
        <v>0</v>
      </c>
      <c r="N56" s="903"/>
      <c r="O56" s="903">
        <v>0</v>
      </c>
      <c r="P56" s="904" t="e">
        <v>#DIV/0!</v>
      </c>
      <c r="Q56" s="904" t="e">
        <v>#DIV/0!</v>
      </c>
      <c r="R56" s="904" t="e">
        <v>#DIV/0!</v>
      </c>
      <c r="S56" s="898"/>
      <c r="T56" s="903">
        <v>0</v>
      </c>
      <c r="U56" s="903">
        <v>0</v>
      </c>
      <c r="V56" s="897"/>
      <c r="W56" s="903">
        <v>0</v>
      </c>
      <c r="X56" s="905">
        <v>0</v>
      </c>
      <c r="Y56" s="905">
        <v>0</v>
      </c>
      <c r="Z56" s="905">
        <v>0</v>
      </c>
      <c r="AA56" s="905">
        <v>0</v>
      </c>
      <c r="AB56" s="905">
        <v>0</v>
      </c>
      <c r="AC56" s="905">
        <v>0</v>
      </c>
      <c r="AD56" s="897">
        <v>0</v>
      </c>
      <c r="AE56" s="897">
        <v>0</v>
      </c>
      <c r="AF56" s="897"/>
      <c r="AG56" s="903">
        <v>0</v>
      </c>
      <c r="AH56" s="903">
        <v>0</v>
      </c>
    </row>
    <row r="57" spans="1:34">
      <c r="A57" s="898" t="s">
        <v>1049</v>
      </c>
      <c r="B57" s="907" t="s">
        <v>965</v>
      </c>
      <c r="C57" s="907">
        <v>2019</v>
      </c>
      <c r="D57" s="907" t="s">
        <v>1152</v>
      </c>
      <c r="E57" s="907" t="s">
        <v>956</v>
      </c>
      <c r="F57" s="898"/>
      <c r="G57" s="908">
        <v>0</v>
      </c>
      <c r="H57" s="908">
        <v>0</v>
      </c>
      <c r="I57" s="908">
        <v>0</v>
      </c>
      <c r="J57" s="903"/>
      <c r="K57" s="908">
        <v>0</v>
      </c>
      <c r="L57" s="908">
        <v>0</v>
      </c>
      <c r="M57" s="908">
        <v>0</v>
      </c>
      <c r="N57" s="903"/>
      <c r="O57" s="908">
        <v>0</v>
      </c>
      <c r="P57" s="909" t="e">
        <v>#DIV/0!</v>
      </c>
      <c r="Q57" s="909" t="e">
        <v>#DIV/0!</v>
      </c>
      <c r="R57" s="909" t="e">
        <v>#DIV/0!</v>
      </c>
      <c r="S57" s="898"/>
      <c r="T57" s="908">
        <v>0</v>
      </c>
      <c r="U57" s="908">
        <v>0</v>
      </c>
      <c r="V57" s="897"/>
      <c r="W57" s="908">
        <v>0</v>
      </c>
      <c r="X57" s="910">
        <v>0</v>
      </c>
      <c r="Y57" s="910">
        <v>0</v>
      </c>
      <c r="Z57" s="910">
        <v>0</v>
      </c>
      <c r="AA57" s="910">
        <v>0</v>
      </c>
      <c r="AB57" s="910">
        <v>0</v>
      </c>
      <c r="AC57" s="910">
        <v>0</v>
      </c>
      <c r="AD57" s="915">
        <v>0</v>
      </c>
      <c r="AE57" s="915">
        <v>0</v>
      </c>
      <c r="AF57" s="897"/>
      <c r="AG57" s="908">
        <v>0</v>
      </c>
      <c r="AH57" s="908">
        <v>0</v>
      </c>
    </row>
    <row r="58" spans="1:34">
      <c r="A58" s="898" t="s">
        <v>1050</v>
      </c>
      <c r="B58" s="898" t="s">
        <v>965</v>
      </c>
      <c r="C58" s="898">
        <v>2019</v>
      </c>
      <c r="D58" s="898" t="s">
        <v>1152</v>
      </c>
      <c r="E58" s="898" t="s">
        <v>957</v>
      </c>
      <c r="F58" s="898"/>
      <c r="G58" s="903">
        <v>0</v>
      </c>
      <c r="H58" s="903">
        <v>0</v>
      </c>
      <c r="I58" s="903">
        <v>0</v>
      </c>
      <c r="J58" s="903"/>
      <c r="K58" s="903">
        <v>0</v>
      </c>
      <c r="L58" s="903">
        <v>0</v>
      </c>
      <c r="M58" s="903">
        <v>0</v>
      </c>
      <c r="N58" s="903"/>
      <c r="O58" s="903">
        <v>0</v>
      </c>
      <c r="P58" s="904" t="e">
        <v>#DIV/0!</v>
      </c>
      <c r="Q58" s="904" t="e">
        <v>#DIV/0!</v>
      </c>
      <c r="R58" s="904" t="e">
        <v>#DIV/0!</v>
      </c>
      <c r="S58" s="898"/>
      <c r="T58" s="903">
        <v>0</v>
      </c>
      <c r="U58" s="903">
        <v>0</v>
      </c>
      <c r="V58" s="897"/>
      <c r="W58" s="903">
        <v>0</v>
      </c>
      <c r="X58" s="905">
        <v>0</v>
      </c>
      <c r="Y58" s="905">
        <v>0</v>
      </c>
      <c r="Z58" s="905">
        <v>0</v>
      </c>
      <c r="AA58" s="905">
        <v>0</v>
      </c>
      <c r="AB58" s="905">
        <v>0</v>
      </c>
      <c r="AC58" s="905">
        <v>0</v>
      </c>
      <c r="AD58" s="897">
        <v>0</v>
      </c>
      <c r="AE58" s="897">
        <v>0</v>
      </c>
      <c r="AF58" s="897"/>
      <c r="AG58" s="903">
        <v>0</v>
      </c>
      <c r="AH58" s="903">
        <v>0</v>
      </c>
    </row>
    <row r="59" spans="1:34">
      <c r="A59" s="898"/>
      <c r="B59" s="898"/>
      <c r="C59" s="898"/>
      <c r="D59" s="898"/>
      <c r="E59" s="898"/>
      <c r="F59" s="898"/>
      <c r="G59" s="912"/>
      <c r="H59" s="912"/>
      <c r="I59" s="912"/>
      <c r="J59" s="912"/>
      <c r="K59" s="912"/>
      <c r="L59" s="912"/>
      <c r="M59" s="912"/>
      <c r="N59" s="912"/>
      <c r="O59" s="912"/>
      <c r="P59" s="913"/>
      <c r="Q59" s="913"/>
      <c r="R59" s="913"/>
      <c r="S59" s="898"/>
      <c r="T59" s="912"/>
      <c r="U59" s="912"/>
      <c r="V59" s="898"/>
      <c r="W59" s="912"/>
      <c r="X59" s="898"/>
      <c r="Y59" s="898"/>
      <c r="Z59" s="898"/>
      <c r="AA59" s="898"/>
      <c r="AB59" s="898"/>
      <c r="AC59" s="898"/>
      <c r="AD59" s="898"/>
      <c r="AE59" s="898"/>
      <c r="AF59" s="898"/>
      <c r="AG59" s="912"/>
      <c r="AH59" s="912"/>
    </row>
    <row r="60" spans="1:34">
      <c r="A60" s="898" t="s">
        <v>1057</v>
      </c>
      <c r="B60" s="902" t="s">
        <v>965</v>
      </c>
      <c r="C60" s="902">
        <v>2020</v>
      </c>
      <c r="D60" s="902" t="s">
        <v>1152</v>
      </c>
      <c r="E60" s="898" t="s">
        <v>953</v>
      </c>
      <c r="F60" s="898"/>
      <c r="G60" s="903">
        <v>1000</v>
      </c>
      <c r="H60" s="903">
        <v>1860.0624533823611</v>
      </c>
      <c r="I60" s="903">
        <v>4103.7164157747848</v>
      </c>
      <c r="J60" s="903"/>
      <c r="K60" s="903">
        <v>0</v>
      </c>
      <c r="L60" s="903">
        <v>0</v>
      </c>
      <c r="M60" s="903">
        <v>0</v>
      </c>
      <c r="N60" s="903"/>
      <c r="O60" s="903">
        <v>446</v>
      </c>
      <c r="P60" s="904">
        <v>0.24663677130044845</v>
      </c>
      <c r="Q60" s="904">
        <v>0.35201793721973096</v>
      </c>
      <c r="R60" s="904">
        <v>0.40134529147982062</v>
      </c>
      <c r="S60" s="898"/>
      <c r="T60" s="903">
        <v>1000</v>
      </c>
      <c r="U60" s="903">
        <v>0</v>
      </c>
      <c r="V60" s="897"/>
      <c r="W60" s="903">
        <v>0</v>
      </c>
      <c r="X60" s="905">
        <v>0</v>
      </c>
      <c r="Y60" s="905">
        <v>0</v>
      </c>
      <c r="Z60" s="905">
        <v>0</v>
      </c>
      <c r="AA60" s="905">
        <v>0</v>
      </c>
      <c r="AB60" s="905">
        <v>8.9999999999999993E-3</v>
      </c>
      <c r="AC60" s="905">
        <v>1.9E-2</v>
      </c>
      <c r="AD60" s="897">
        <v>3.9E-2</v>
      </c>
      <c r="AE60" s="897">
        <v>3.9E-2</v>
      </c>
      <c r="AF60" s="897"/>
      <c r="AG60" s="903">
        <v>0</v>
      </c>
      <c r="AH60" s="903">
        <v>0</v>
      </c>
    </row>
    <row r="61" spans="1:34">
      <c r="A61" s="898" t="s">
        <v>1058</v>
      </c>
      <c r="B61" s="907" t="s">
        <v>965</v>
      </c>
      <c r="C61" s="907">
        <v>2020</v>
      </c>
      <c r="D61" s="907" t="s">
        <v>1152</v>
      </c>
      <c r="E61" s="907" t="s">
        <v>954</v>
      </c>
      <c r="F61" s="898"/>
      <c r="G61" s="908">
        <v>1000</v>
      </c>
      <c r="H61" s="908">
        <v>1860.0624533823614</v>
      </c>
      <c r="I61" s="908">
        <v>3383.7164157747848</v>
      </c>
      <c r="J61" s="903"/>
      <c r="K61" s="908">
        <v>0</v>
      </c>
      <c r="L61" s="908">
        <v>0</v>
      </c>
      <c r="M61" s="908">
        <v>0</v>
      </c>
      <c r="N61" s="903"/>
      <c r="O61" s="908">
        <v>1243</v>
      </c>
      <c r="P61" s="909">
        <v>0.36283185840707965</v>
      </c>
      <c r="Q61" s="909">
        <v>0.46419951729686243</v>
      </c>
      <c r="R61" s="909">
        <v>0.17296862429605792</v>
      </c>
      <c r="S61" s="898"/>
      <c r="T61" s="908">
        <v>1000</v>
      </c>
      <c r="U61" s="908">
        <v>0</v>
      </c>
      <c r="V61" s="897"/>
      <c r="W61" s="908">
        <v>0</v>
      </c>
      <c r="X61" s="910">
        <v>0</v>
      </c>
      <c r="Y61" s="910">
        <v>0</v>
      </c>
      <c r="Z61" s="910">
        <v>0</v>
      </c>
      <c r="AA61" s="910">
        <v>0</v>
      </c>
      <c r="AB61" s="910">
        <v>8.9999999999999976E-3</v>
      </c>
      <c r="AC61" s="910">
        <v>1.9E-2</v>
      </c>
      <c r="AD61" s="915">
        <v>3.9E-2</v>
      </c>
      <c r="AE61" s="915">
        <v>3.9E-2</v>
      </c>
      <c r="AF61" s="897"/>
      <c r="AG61" s="908">
        <v>0</v>
      </c>
      <c r="AH61" s="908">
        <v>0</v>
      </c>
    </row>
    <row r="62" spans="1:34">
      <c r="A62" s="898" t="s">
        <v>1059</v>
      </c>
      <c r="B62" s="898" t="s">
        <v>965</v>
      </c>
      <c r="C62" s="898">
        <v>2020</v>
      </c>
      <c r="D62" s="898" t="s">
        <v>1152</v>
      </c>
      <c r="E62" s="898" t="s">
        <v>955</v>
      </c>
      <c r="F62" s="898"/>
      <c r="G62" s="903">
        <v>1000</v>
      </c>
      <c r="H62" s="903">
        <v>1860.0624533823611</v>
      </c>
      <c r="I62" s="903">
        <v>3383.7164157747857</v>
      </c>
      <c r="J62" s="903"/>
      <c r="K62" s="903">
        <v>0</v>
      </c>
      <c r="L62" s="903">
        <v>0</v>
      </c>
      <c r="M62" s="903">
        <v>0</v>
      </c>
      <c r="N62" s="903"/>
      <c r="O62" s="903">
        <v>1610</v>
      </c>
      <c r="P62" s="904">
        <v>0.3161490683229814</v>
      </c>
      <c r="Q62" s="904">
        <v>0.52422360248447208</v>
      </c>
      <c r="R62" s="904">
        <v>0.15962732919254657</v>
      </c>
      <c r="S62" s="898"/>
      <c r="T62" s="903">
        <v>1000</v>
      </c>
      <c r="U62" s="903">
        <v>0</v>
      </c>
      <c r="V62" s="897"/>
      <c r="W62" s="903">
        <v>0</v>
      </c>
      <c r="X62" s="905">
        <v>0</v>
      </c>
      <c r="Y62" s="905">
        <v>0</v>
      </c>
      <c r="Z62" s="905">
        <v>0</v>
      </c>
      <c r="AA62" s="905">
        <v>0</v>
      </c>
      <c r="AB62" s="905">
        <v>8.9999999999999993E-3</v>
      </c>
      <c r="AC62" s="905">
        <v>1.9E-2</v>
      </c>
      <c r="AD62" s="897">
        <v>3.9E-2</v>
      </c>
      <c r="AE62" s="897">
        <v>3.9E-2</v>
      </c>
      <c r="AF62" s="897"/>
      <c r="AG62" s="903">
        <v>0</v>
      </c>
      <c r="AH62" s="903">
        <v>0</v>
      </c>
    </row>
    <row r="63" spans="1:34">
      <c r="A63" s="898" t="s">
        <v>1060</v>
      </c>
      <c r="B63" s="907" t="s">
        <v>965</v>
      </c>
      <c r="C63" s="907">
        <v>2020</v>
      </c>
      <c r="D63" s="907" t="s">
        <v>1152</v>
      </c>
      <c r="E63" s="907" t="s">
        <v>956</v>
      </c>
      <c r="F63" s="898"/>
      <c r="G63" s="908">
        <v>1000</v>
      </c>
      <c r="H63" s="908">
        <v>1860.0624533823611</v>
      </c>
      <c r="I63" s="908">
        <v>3383.7164157747852</v>
      </c>
      <c r="J63" s="903"/>
      <c r="K63" s="908">
        <v>0</v>
      </c>
      <c r="L63" s="908">
        <v>0</v>
      </c>
      <c r="M63" s="908">
        <v>0</v>
      </c>
      <c r="N63" s="903"/>
      <c r="O63" s="908">
        <v>2329</v>
      </c>
      <c r="P63" s="909">
        <v>0.42636324602833836</v>
      </c>
      <c r="Q63" s="909">
        <v>0.52211249463288967</v>
      </c>
      <c r="R63" s="909">
        <v>5.1524259338772006E-2</v>
      </c>
      <c r="S63" s="898"/>
      <c r="T63" s="908">
        <v>1000</v>
      </c>
      <c r="U63" s="908">
        <v>0</v>
      </c>
      <c r="V63" s="897"/>
      <c r="W63" s="908">
        <v>0</v>
      </c>
      <c r="X63" s="910">
        <v>0</v>
      </c>
      <c r="Y63" s="910">
        <v>0</v>
      </c>
      <c r="Z63" s="910">
        <v>0</v>
      </c>
      <c r="AA63" s="910">
        <v>0</v>
      </c>
      <c r="AB63" s="910">
        <v>8.9999999999999993E-3</v>
      </c>
      <c r="AC63" s="910">
        <v>1.9E-2</v>
      </c>
      <c r="AD63" s="915">
        <v>3.9E-2</v>
      </c>
      <c r="AE63" s="915">
        <v>3.9E-2</v>
      </c>
      <c r="AF63" s="897"/>
      <c r="AG63" s="908">
        <v>0</v>
      </c>
      <c r="AH63" s="908">
        <v>0</v>
      </c>
    </row>
    <row r="64" spans="1:34">
      <c r="A64" s="898" t="s">
        <v>1061</v>
      </c>
      <c r="B64" s="898" t="s">
        <v>965</v>
      </c>
      <c r="C64" s="898">
        <v>2020</v>
      </c>
      <c r="D64" s="898" t="s">
        <v>1152</v>
      </c>
      <c r="E64" s="898" t="s">
        <v>957</v>
      </c>
      <c r="F64" s="898"/>
      <c r="G64" s="903">
        <v>1000</v>
      </c>
      <c r="H64" s="903">
        <v>1860.0624533823611</v>
      </c>
      <c r="I64" s="903">
        <v>3383.7164157747857</v>
      </c>
      <c r="J64" s="903"/>
      <c r="K64" s="903">
        <v>0</v>
      </c>
      <c r="L64" s="903">
        <v>0</v>
      </c>
      <c r="M64" s="903">
        <v>0</v>
      </c>
      <c r="N64" s="903"/>
      <c r="O64" s="903">
        <v>821</v>
      </c>
      <c r="P64" s="904">
        <v>0.40560292326431191</v>
      </c>
      <c r="Q64" s="904">
        <v>0.52253349573690622</v>
      </c>
      <c r="R64" s="904">
        <v>7.186358099878197E-2</v>
      </c>
      <c r="S64" s="898"/>
      <c r="T64" s="903">
        <v>1000</v>
      </c>
      <c r="U64" s="903">
        <v>0</v>
      </c>
      <c r="V64" s="897"/>
      <c r="W64" s="903">
        <v>0</v>
      </c>
      <c r="X64" s="905">
        <v>0</v>
      </c>
      <c r="Y64" s="905">
        <v>0</v>
      </c>
      <c r="Z64" s="905">
        <v>0</v>
      </c>
      <c r="AA64" s="905">
        <v>0</v>
      </c>
      <c r="AB64" s="905">
        <v>8.9999999999999993E-3</v>
      </c>
      <c r="AC64" s="905">
        <v>1.9E-2</v>
      </c>
      <c r="AD64" s="897">
        <v>3.9E-2</v>
      </c>
      <c r="AE64" s="897">
        <v>3.9E-2</v>
      </c>
      <c r="AF64" s="897"/>
      <c r="AG64" s="903">
        <v>0</v>
      </c>
      <c r="AH64" s="903">
        <v>0</v>
      </c>
    </row>
    <row r="65" spans="1:34">
      <c r="A65" s="898"/>
      <c r="B65" s="898"/>
      <c r="C65" s="898"/>
      <c r="D65" s="898"/>
      <c r="E65" s="898"/>
      <c r="F65" s="898"/>
      <c r="G65" s="898"/>
      <c r="H65" s="898"/>
      <c r="I65" s="898"/>
      <c r="J65" s="898"/>
      <c r="K65" s="898"/>
      <c r="L65" s="898"/>
      <c r="M65" s="898"/>
      <c r="N65" s="898"/>
      <c r="O65" s="898"/>
      <c r="P65" s="898"/>
      <c r="Q65" s="898"/>
      <c r="R65" s="898"/>
      <c r="S65" s="898"/>
      <c r="T65" s="912"/>
      <c r="U65" s="912"/>
      <c r="V65" s="898"/>
      <c r="W65" s="912"/>
      <c r="X65" s="898"/>
      <c r="Y65" s="898"/>
      <c r="Z65" s="898"/>
      <c r="AA65" s="898"/>
      <c r="AB65" s="898"/>
      <c r="AC65" s="898"/>
      <c r="AD65" s="898"/>
      <c r="AE65" s="898"/>
      <c r="AF65" s="898"/>
      <c r="AG65" s="912"/>
      <c r="AH65" s="912"/>
    </row>
    <row r="66" spans="1:34">
      <c r="A66" s="898" t="s">
        <v>1051</v>
      </c>
      <c r="B66" s="902" t="s">
        <v>966</v>
      </c>
      <c r="C66" s="902">
        <v>2019</v>
      </c>
      <c r="D66" s="902" t="s">
        <v>1152</v>
      </c>
      <c r="E66" s="898" t="s">
        <v>953</v>
      </c>
      <c r="F66" s="898"/>
      <c r="G66" s="903">
        <v>1052</v>
      </c>
      <c r="H66" s="903">
        <v>1959.5237978014661</v>
      </c>
      <c r="I66" s="903">
        <v>5966.1036758427017</v>
      </c>
      <c r="J66" s="903"/>
      <c r="K66" s="903">
        <v>0</v>
      </c>
      <c r="L66" s="903">
        <v>0</v>
      </c>
      <c r="M66" s="903">
        <v>0</v>
      </c>
      <c r="N66" s="903"/>
      <c r="O66" s="903">
        <v>76</v>
      </c>
      <c r="P66" s="904">
        <v>0.19736842105263153</v>
      </c>
      <c r="Q66" s="904">
        <v>0.42105263157894735</v>
      </c>
      <c r="R66" s="904">
        <v>0.38157894736842107</v>
      </c>
      <c r="S66" s="898"/>
      <c r="T66" s="903">
        <v>1052</v>
      </c>
      <c r="U66" s="903">
        <v>0</v>
      </c>
      <c r="V66" s="897"/>
      <c r="W66" s="903">
        <v>0</v>
      </c>
      <c r="X66" s="905">
        <v>0</v>
      </c>
      <c r="Y66" s="905">
        <v>0</v>
      </c>
      <c r="Z66" s="905">
        <v>0</v>
      </c>
      <c r="AA66" s="905">
        <v>0</v>
      </c>
      <c r="AB66" s="905">
        <v>8.9999999999999993E-3</v>
      </c>
      <c r="AC66" s="905">
        <v>1.9E-2</v>
      </c>
      <c r="AD66" s="897">
        <v>3.9E-2</v>
      </c>
      <c r="AE66" s="897">
        <v>3.9E-2</v>
      </c>
      <c r="AF66" s="897"/>
      <c r="AG66" s="903">
        <v>0</v>
      </c>
      <c r="AH66" s="903">
        <v>0</v>
      </c>
    </row>
    <row r="67" spans="1:34">
      <c r="A67" s="898" t="s">
        <v>1052</v>
      </c>
      <c r="B67" s="907" t="s">
        <v>966</v>
      </c>
      <c r="C67" s="907">
        <v>2019</v>
      </c>
      <c r="D67" s="907" t="s">
        <v>1152</v>
      </c>
      <c r="E67" s="907" t="s">
        <v>954</v>
      </c>
      <c r="F67" s="898"/>
      <c r="G67" s="908">
        <v>1049.3828828828828</v>
      </c>
      <c r="H67" s="908">
        <v>1959.5237978014661</v>
      </c>
      <c r="I67" s="908">
        <v>5606.1036758427017</v>
      </c>
      <c r="J67" s="903"/>
      <c r="K67" s="908">
        <v>0</v>
      </c>
      <c r="L67" s="908">
        <v>0</v>
      </c>
      <c r="M67" s="908">
        <v>0</v>
      </c>
      <c r="N67" s="903"/>
      <c r="O67" s="908">
        <v>222</v>
      </c>
      <c r="P67" s="909">
        <v>0.23423423423423423</v>
      </c>
      <c r="Q67" s="909">
        <v>0.50900900900900903</v>
      </c>
      <c r="R67" s="909">
        <v>0.25675675675675674</v>
      </c>
      <c r="S67" s="898"/>
      <c r="T67" s="908">
        <v>1049.3828828828828</v>
      </c>
      <c r="U67" s="908">
        <v>0</v>
      </c>
      <c r="V67" s="897"/>
      <c r="W67" s="908">
        <v>0</v>
      </c>
      <c r="X67" s="910">
        <v>0</v>
      </c>
      <c r="Y67" s="910">
        <v>0</v>
      </c>
      <c r="Z67" s="910">
        <v>0</v>
      </c>
      <c r="AA67" s="910">
        <v>0</v>
      </c>
      <c r="AB67" s="910">
        <v>8.9999999999999993E-3</v>
      </c>
      <c r="AC67" s="910">
        <v>1.9E-2</v>
      </c>
      <c r="AD67" s="915">
        <v>3.8999999999999993E-2</v>
      </c>
      <c r="AE67" s="915">
        <v>3.8999999999999993E-2</v>
      </c>
      <c r="AF67" s="897"/>
      <c r="AG67" s="908">
        <v>0</v>
      </c>
      <c r="AH67" s="908">
        <v>0</v>
      </c>
    </row>
    <row r="68" spans="1:34">
      <c r="A68" s="898" t="s">
        <v>1053</v>
      </c>
      <c r="B68" s="898" t="s">
        <v>966</v>
      </c>
      <c r="C68" s="898">
        <v>2019</v>
      </c>
      <c r="D68" s="898" t="s">
        <v>1152</v>
      </c>
      <c r="E68" s="898" t="s">
        <v>955</v>
      </c>
      <c r="F68" s="898"/>
      <c r="G68" s="903">
        <v>1041.961145194274</v>
      </c>
      <c r="H68" s="903">
        <v>1959.5237978014661</v>
      </c>
      <c r="I68" s="903">
        <v>5606.1036758427026</v>
      </c>
      <c r="J68" s="903"/>
      <c r="K68" s="903">
        <v>0</v>
      </c>
      <c r="L68" s="903">
        <v>0</v>
      </c>
      <c r="M68" s="903">
        <v>0</v>
      </c>
      <c r="N68" s="903"/>
      <c r="O68" s="903">
        <v>489</v>
      </c>
      <c r="P68" s="904">
        <v>0.17382413087934567</v>
      </c>
      <c r="Q68" s="904">
        <v>0.41104294478527609</v>
      </c>
      <c r="R68" s="904">
        <v>0.41513292433537835</v>
      </c>
      <c r="S68" s="898"/>
      <c r="T68" s="903">
        <v>1041.961145194274</v>
      </c>
      <c r="U68" s="903">
        <v>0</v>
      </c>
      <c r="V68" s="897"/>
      <c r="W68" s="903">
        <v>0</v>
      </c>
      <c r="X68" s="905">
        <v>0</v>
      </c>
      <c r="Y68" s="905">
        <v>0</v>
      </c>
      <c r="Z68" s="905">
        <v>0</v>
      </c>
      <c r="AA68" s="905">
        <v>0</v>
      </c>
      <c r="AB68" s="905">
        <v>8.9999999999999993E-3</v>
      </c>
      <c r="AC68" s="905">
        <v>1.9E-2</v>
      </c>
      <c r="AD68" s="897">
        <v>3.9E-2</v>
      </c>
      <c r="AE68" s="897">
        <v>3.9E-2</v>
      </c>
      <c r="AF68" s="897"/>
      <c r="AG68" s="903">
        <v>0</v>
      </c>
      <c r="AH68" s="903">
        <v>0</v>
      </c>
    </row>
    <row r="69" spans="1:34">
      <c r="A69" s="898" t="s">
        <v>1054</v>
      </c>
      <c r="B69" s="907" t="s">
        <v>966</v>
      </c>
      <c r="C69" s="907">
        <v>2019</v>
      </c>
      <c r="D69" s="907" t="s">
        <v>1152</v>
      </c>
      <c r="E69" s="907" t="s">
        <v>956</v>
      </c>
      <c r="F69" s="898"/>
      <c r="G69" s="908">
        <v>1052.3106382978724</v>
      </c>
      <c r="H69" s="908">
        <v>1959.5237978014659</v>
      </c>
      <c r="I69" s="908">
        <v>5246.1036758427017</v>
      </c>
      <c r="J69" s="903"/>
      <c r="K69" s="908">
        <v>0</v>
      </c>
      <c r="L69" s="908">
        <v>0</v>
      </c>
      <c r="M69" s="908">
        <v>0</v>
      </c>
      <c r="N69" s="903"/>
      <c r="O69" s="908">
        <v>235</v>
      </c>
      <c r="P69" s="909">
        <v>0.37872340425531914</v>
      </c>
      <c r="Q69" s="909">
        <v>0.53617021276595744</v>
      </c>
      <c r="R69" s="909">
        <v>8.5106382978723402E-2</v>
      </c>
      <c r="S69" s="898"/>
      <c r="T69" s="908">
        <v>1052.3106382978724</v>
      </c>
      <c r="U69" s="908">
        <v>0</v>
      </c>
      <c r="V69" s="897"/>
      <c r="W69" s="908">
        <v>0</v>
      </c>
      <c r="X69" s="910">
        <v>0</v>
      </c>
      <c r="Y69" s="910">
        <v>0</v>
      </c>
      <c r="Z69" s="910">
        <v>0</v>
      </c>
      <c r="AA69" s="910">
        <v>0</v>
      </c>
      <c r="AB69" s="910">
        <v>8.9999999999999993E-3</v>
      </c>
      <c r="AC69" s="910">
        <v>1.9E-2</v>
      </c>
      <c r="AD69" s="915">
        <v>3.9E-2</v>
      </c>
      <c r="AE69" s="915">
        <v>3.9E-2</v>
      </c>
      <c r="AF69" s="897"/>
      <c r="AG69" s="908">
        <v>0</v>
      </c>
      <c r="AH69" s="908">
        <v>0</v>
      </c>
    </row>
    <row r="70" spans="1:34">
      <c r="A70" s="898" t="s">
        <v>1055</v>
      </c>
      <c r="B70" s="898" t="s">
        <v>966</v>
      </c>
      <c r="C70" s="898">
        <v>2019</v>
      </c>
      <c r="D70" s="898" t="s">
        <v>1152</v>
      </c>
      <c r="E70" s="898" t="s">
        <v>957</v>
      </c>
      <c r="F70" s="898"/>
      <c r="G70" s="903">
        <v>1049.3005780346821</v>
      </c>
      <c r="H70" s="903">
        <v>1959.5237978014661</v>
      </c>
      <c r="I70" s="903">
        <v>5246.1036758427017</v>
      </c>
      <c r="J70" s="903"/>
      <c r="K70" s="903">
        <v>0</v>
      </c>
      <c r="L70" s="903">
        <v>0</v>
      </c>
      <c r="M70" s="903">
        <v>0</v>
      </c>
      <c r="N70" s="903"/>
      <c r="O70" s="903">
        <v>173</v>
      </c>
      <c r="P70" s="904">
        <v>0.3641618497109827</v>
      </c>
      <c r="Q70" s="904">
        <v>0.45664739884393063</v>
      </c>
      <c r="R70" s="904">
        <v>0.1791907514450867</v>
      </c>
      <c r="S70" s="898"/>
      <c r="T70" s="903">
        <v>1049.3005780346821</v>
      </c>
      <c r="U70" s="903">
        <v>0</v>
      </c>
      <c r="V70" s="897"/>
      <c r="W70" s="903">
        <v>0</v>
      </c>
      <c r="X70" s="905">
        <v>0</v>
      </c>
      <c r="Y70" s="905">
        <v>0</v>
      </c>
      <c r="Z70" s="905">
        <v>0</v>
      </c>
      <c r="AA70" s="905">
        <v>0</v>
      </c>
      <c r="AB70" s="905">
        <v>8.9999999999999976E-3</v>
      </c>
      <c r="AC70" s="905">
        <v>1.9E-2</v>
      </c>
      <c r="AD70" s="897">
        <v>3.8999999999999993E-2</v>
      </c>
      <c r="AE70" s="897">
        <v>3.8999999999999993E-2</v>
      </c>
      <c r="AF70" s="897"/>
      <c r="AG70" s="903">
        <v>0</v>
      </c>
      <c r="AH70" s="903">
        <v>0</v>
      </c>
    </row>
    <row r="71" spans="1:34">
      <c r="A71" s="898"/>
      <c r="B71" s="898"/>
      <c r="C71" s="898"/>
      <c r="D71" s="898"/>
      <c r="E71" s="898"/>
      <c r="F71" s="898"/>
      <c r="G71" s="898"/>
      <c r="H71" s="898"/>
      <c r="I71" s="898"/>
      <c r="J71" s="898"/>
      <c r="K71" s="898"/>
      <c r="L71" s="898"/>
      <c r="M71" s="898"/>
      <c r="N71" s="898"/>
      <c r="O71" s="898"/>
      <c r="P71" s="898"/>
      <c r="Q71" s="898"/>
      <c r="R71" s="898"/>
      <c r="S71" s="898"/>
      <c r="T71" s="912"/>
      <c r="U71" s="912"/>
      <c r="V71" s="898"/>
      <c r="W71" s="912"/>
      <c r="X71" s="898"/>
      <c r="Y71" s="898"/>
      <c r="Z71" s="898"/>
      <c r="AA71" s="898"/>
      <c r="AB71" s="898"/>
      <c r="AC71" s="898"/>
      <c r="AD71" s="898"/>
      <c r="AE71" s="898"/>
      <c r="AF71" s="898"/>
      <c r="AG71" s="912"/>
      <c r="AH71" s="912"/>
    </row>
    <row r="72" spans="1:34">
      <c r="A72" s="898" t="s">
        <v>1140</v>
      </c>
      <c r="B72" s="902" t="s">
        <v>966</v>
      </c>
      <c r="C72" s="902">
        <v>2020</v>
      </c>
      <c r="D72" s="902" t="s">
        <v>1152</v>
      </c>
      <c r="E72" s="898" t="s">
        <v>953</v>
      </c>
      <c r="F72" s="898"/>
      <c r="G72" s="903">
        <v>0</v>
      </c>
      <c r="H72" s="903">
        <v>0</v>
      </c>
      <c r="I72" s="903">
        <v>0</v>
      </c>
      <c r="J72" s="903"/>
      <c r="K72" s="903">
        <v>0</v>
      </c>
      <c r="L72" s="903">
        <v>0</v>
      </c>
      <c r="M72" s="903">
        <v>0</v>
      </c>
      <c r="N72" s="903"/>
      <c r="O72" s="903">
        <v>0</v>
      </c>
      <c r="P72" s="904" t="e">
        <v>#DIV/0!</v>
      </c>
      <c r="Q72" s="904" t="e">
        <v>#DIV/0!</v>
      </c>
      <c r="R72" s="904" t="e">
        <v>#DIV/0!</v>
      </c>
      <c r="S72" s="898"/>
      <c r="T72" s="903">
        <v>0</v>
      </c>
      <c r="U72" s="903">
        <v>0</v>
      </c>
      <c r="V72" s="897"/>
      <c r="W72" s="903">
        <v>0</v>
      </c>
      <c r="X72" s="905">
        <v>0</v>
      </c>
      <c r="Y72" s="905">
        <v>0</v>
      </c>
      <c r="Z72" s="905">
        <v>0</v>
      </c>
      <c r="AA72" s="905">
        <v>0</v>
      </c>
      <c r="AB72" s="905">
        <v>0</v>
      </c>
      <c r="AC72" s="905">
        <v>0</v>
      </c>
      <c r="AD72" s="897">
        <v>0</v>
      </c>
      <c r="AE72" s="897">
        <v>0</v>
      </c>
      <c r="AF72" s="897"/>
      <c r="AG72" s="903">
        <v>0</v>
      </c>
      <c r="AH72" s="903">
        <v>0</v>
      </c>
    </row>
    <row r="73" spans="1:34">
      <c r="A73" s="898" t="s">
        <v>1141</v>
      </c>
      <c r="B73" s="907" t="s">
        <v>966</v>
      </c>
      <c r="C73" s="907">
        <v>2020</v>
      </c>
      <c r="D73" s="907" t="s">
        <v>1152</v>
      </c>
      <c r="E73" s="907" t="s">
        <v>954</v>
      </c>
      <c r="F73" s="898"/>
      <c r="G73" s="908">
        <v>0</v>
      </c>
      <c r="H73" s="908">
        <v>0</v>
      </c>
      <c r="I73" s="908">
        <v>0</v>
      </c>
      <c r="J73" s="903"/>
      <c r="K73" s="908">
        <v>0</v>
      </c>
      <c r="L73" s="908">
        <v>0</v>
      </c>
      <c r="M73" s="908">
        <v>0</v>
      </c>
      <c r="N73" s="903"/>
      <c r="O73" s="908">
        <v>0</v>
      </c>
      <c r="P73" s="909" t="e">
        <v>#DIV/0!</v>
      </c>
      <c r="Q73" s="909" t="e">
        <v>#DIV/0!</v>
      </c>
      <c r="R73" s="909" t="e">
        <v>#DIV/0!</v>
      </c>
      <c r="S73" s="898"/>
      <c r="T73" s="908">
        <v>0</v>
      </c>
      <c r="U73" s="908">
        <v>0</v>
      </c>
      <c r="V73" s="897"/>
      <c r="W73" s="908">
        <v>0</v>
      </c>
      <c r="X73" s="910">
        <v>0</v>
      </c>
      <c r="Y73" s="910">
        <v>0</v>
      </c>
      <c r="Z73" s="910">
        <v>0</v>
      </c>
      <c r="AA73" s="910">
        <v>0</v>
      </c>
      <c r="AB73" s="910">
        <v>0</v>
      </c>
      <c r="AC73" s="910">
        <v>0</v>
      </c>
      <c r="AD73" s="915">
        <v>0</v>
      </c>
      <c r="AE73" s="915">
        <v>0</v>
      </c>
      <c r="AF73" s="897"/>
      <c r="AG73" s="908">
        <v>0</v>
      </c>
      <c r="AH73" s="908">
        <v>0</v>
      </c>
    </row>
    <row r="74" spans="1:34">
      <c r="A74" s="898" t="s">
        <v>1142</v>
      </c>
      <c r="B74" s="898" t="s">
        <v>966</v>
      </c>
      <c r="C74" s="898">
        <v>2020</v>
      </c>
      <c r="D74" s="898" t="s">
        <v>1152</v>
      </c>
      <c r="E74" s="898" t="s">
        <v>955</v>
      </c>
      <c r="F74" s="898"/>
      <c r="G74" s="903">
        <v>0</v>
      </c>
      <c r="H74" s="903">
        <v>0</v>
      </c>
      <c r="I74" s="903">
        <v>0</v>
      </c>
      <c r="J74" s="903"/>
      <c r="K74" s="903">
        <v>0</v>
      </c>
      <c r="L74" s="903">
        <v>0</v>
      </c>
      <c r="M74" s="903">
        <v>0</v>
      </c>
      <c r="N74" s="903"/>
      <c r="O74" s="903">
        <v>0</v>
      </c>
      <c r="P74" s="904" t="e">
        <v>#DIV/0!</v>
      </c>
      <c r="Q74" s="904" t="e">
        <v>#DIV/0!</v>
      </c>
      <c r="R74" s="904" t="e">
        <v>#DIV/0!</v>
      </c>
      <c r="S74" s="898"/>
      <c r="T74" s="903">
        <v>0</v>
      </c>
      <c r="U74" s="903">
        <v>0</v>
      </c>
      <c r="V74" s="897"/>
      <c r="W74" s="903">
        <v>0</v>
      </c>
      <c r="X74" s="905">
        <v>0</v>
      </c>
      <c r="Y74" s="905">
        <v>0</v>
      </c>
      <c r="Z74" s="905">
        <v>0</v>
      </c>
      <c r="AA74" s="905">
        <v>0</v>
      </c>
      <c r="AB74" s="905">
        <v>0</v>
      </c>
      <c r="AC74" s="905">
        <v>0</v>
      </c>
      <c r="AD74" s="897">
        <v>0</v>
      </c>
      <c r="AE74" s="897">
        <v>0</v>
      </c>
      <c r="AF74" s="897"/>
      <c r="AG74" s="903">
        <v>0</v>
      </c>
      <c r="AH74" s="903">
        <v>0</v>
      </c>
    </row>
    <row r="75" spans="1:34">
      <c r="A75" s="898" t="s">
        <v>1143</v>
      </c>
      <c r="B75" s="907" t="s">
        <v>966</v>
      </c>
      <c r="C75" s="907">
        <v>2020</v>
      </c>
      <c r="D75" s="907" t="s">
        <v>1152</v>
      </c>
      <c r="E75" s="907" t="s">
        <v>956</v>
      </c>
      <c r="F75" s="898"/>
      <c r="G75" s="908">
        <v>0</v>
      </c>
      <c r="H75" s="908">
        <v>0</v>
      </c>
      <c r="I75" s="908">
        <v>0</v>
      </c>
      <c r="J75" s="903"/>
      <c r="K75" s="908">
        <v>0</v>
      </c>
      <c r="L75" s="908">
        <v>0</v>
      </c>
      <c r="M75" s="908">
        <v>0</v>
      </c>
      <c r="N75" s="903"/>
      <c r="O75" s="908">
        <v>0</v>
      </c>
      <c r="P75" s="909" t="e">
        <v>#DIV/0!</v>
      </c>
      <c r="Q75" s="909" t="e">
        <v>#DIV/0!</v>
      </c>
      <c r="R75" s="909" t="e">
        <v>#DIV/0!</v>
      </c>
      <c r="S75" s="898"/>
      <c r="T75" s="908">
        <v>0</v>
      </c>
      <c r="U75" s="908">
        <v>0</v>
      </c>
      <c r="V75" s="897"/>
      <c r="W75" s="908">
        <v>0</v>
      </c>
      <c r="X75" s="910">
        <v>0</v>
      </c>
      <c r="Y75" s="910">
        <v>0</v>
      </c>
      <c r="Z75" s="910">
        <v>0</v>
      </c>
      <c r="AA75" s="910">
        <v>0</v>
      </c>
      <c r="AB75" s="910">
        <v>0</v>
      </c>
      <c r="AC75" s="910">
        <v>0</v>
      </c>
      <c r="AD75" s="915">
        <v>0</v>
      </c>
      <c r="AE75" s="915">
        <v>0</v>
      </c>
      <c r="AF75" s="897"/>
      <c r="AG75" s="908">
        <v>0</v>
      </c>
      <c r="AH75" s="908">
        <v>0</v>
      </c>
    </row>
    <row r="76" spans="1:34">
      <c r="A76" s="898" t="s">
        <v>1144</v>
      </c>
      <c r="B76" s="898" t="s">
        <v>966</v>
      </c>
      <c r="C76" s="898">
        <v>2020</v>
      </c>
      <c r="D76" s="898" t="s">
        <v>1152</v>
      </c>
      <c r="E76" s="898" t="s">
        <v>957</v>
      </c>
      <c r="F76" s="898"/>
      <c r="G76" s="903">
        <v>0</v>
      </c>
      <c r="H76" s="903">
        <v>0</v>
      </c>
      <c r="I76" s="903">
        <v>0</v>
      </c>
      <c r="J76" s="903"/>
      <c r="K76" s="903">
        <v>0</v>
      </c>
      <c r="L76" s="903">
        <v>0</v>
      </c>
      <c r="M76" s="903">
        <v>0</v>
      </c>
      <c r="N76" s="903"/>
      <c r="O76" s="903">
        <v>0</v>
      </c>
      <c r="P76" s="904" t="e">
        <v>#DIV/0!</v>
      </c>
      <c r="Q76" s="904" t="e">
        <v>#DIV/0!</v>
      </c>
      <c r="R76" s="904" t="e">
        <v>#DIV/0!</v>
      </c>
      <c r="S76" s="898"/>
      <c r="T76" s="903">
        <v>0</v>
      </c>
      <c r="U76" s="903">
        <v>0</v>
      </c>
      <c r="V76" s="897"/>
      <c r="W76" s="903">
        <v>0</v>
      </c>
      <c r="X76" s="905">
        <v>0</v>
      </c>
      <c r="Y76" s="905">
        <v>0</v>
      </c>
      <c r="Z76" s="905">
        <v>0</v>
      </c>
      <c r="AA76" s="905">
        <v>0</v>
      </c>
      <c r="AB76" s="905">
        <v>0</v>
      </c>
      <c r="AC76" s="905">
        <v>0</v>
      </c>
      <c r="AD76" s="897">
        <v>0</v>
      </c>
      <c r="AE76" s="897">
        <v>0</v>
      </c>
      <c r="AF76" s="897"/>
      <c r="AG76" s="903">
        <v>0</v>
      </c>
      <c r="AH76" s="903">
        <v>0</v>
      </c>
    </row>
    <row r="78" spans="1:34">
      <c r="A78" s="898" t="s">
        <v>1070</v>
      </c>
      <c r="B78" s="902" t="s">
        <v>1071</v>
      </c>
      <c r="C78" s="902">
        <v>2020</v>
      </c>
      <c r="D78" s="902" t="s">
        <v>1152</v>
      </c>
      <c r="E78" s="898" t="s">
        <v>953</v>
      </c>
      <c r="F78" s="898"/>
      <c r="G78" s="903">
        <v>0</v>
      </c>
      <c r="H78" s="903">
        <v>1341.6351241756129</v>
      </c>
      <c r="I78" s="903">
        <v>4886.1063510559115</v>
      </c>
      <c r="J78" s="903"/>
      <c r="K78" s="903">
        <v>0</v>
      </c>
      <c r="L78" s="903">
        <v>0</v>
      </c>
      <c r="M78" s="903">
        <v>0</v>
      </c>
      <c r="N78" s="903"/>
      <c r="O78" s="903">
        <v>905</v>
      </c>
      <c r="P78" s="904">
        <v>0.12375690607734803</v>
      </c>
      <c r="Q78" s="904">
        <v>0.44640883977900553</v>
      </c>
      <c r="R78" s="904">
        <v>0.4298342541436464</v>
      </c>
      <c r="S78" s="898"/>
      <c r="T78" s="903">
        <v>0</v>
      </c>
      <c r="U78" s="903">
        <v>0</v>
      </c>
      <c r="V78" s="897"/>
      <c r="W78" s="903">
        <v>0</v>
      </c>
      <c r="X78" s="905">
        <v>8.9999999999999993E-3</v>
      </c>
      <c r="Y78" s="905">
        <v>8.9999999999999993E-3</v>
      </c>
      <c r="Z78" s="905">
        <v>8.9999999999999993E-3</v>
      </c>
      <c r="AA78" s="905">
        <v>1.9E-2</v>
      </c>
      <c r="AB78" s="905">
        <v>2.9000000000000001E-2</v>
      </c>
      <c r="AC78" s="905">
        <v>3.9E-2</v>
      </c>
      <c r="AD78" s="897" t="s">
        <v>122</v>
      </c>
      <c r="AE78" s="897" t="s">
        <v>122</v>
      </c>
      <c r="AF78" s="897"/>
      <c r="AG78" s="903">
        <v>0</v>
      </c>
      <c r="AH78" s="903">
        <v>0</v>
      </c>
    </row>
    <row r="79" spans="1:34">
      <c r="A79" s="898" t="s">
        <v>1072</v>
      </c>
      <c r="B79" s="907" t="s">
        <v>1071</v>
      </c>
      <c r="C79" s="907">
        <v>2020</v>
      </c>
      <c r="D79" s="907" t="s">
        <v>1152</v>
      </c>
      <c r="E79" s="907" t="s">
        <v>954</v>
      </c>
      <c r="F79" s="898"/>
      <c r="G79" s="908">
        <v>0</v>
      </c>
      <c r="H79" s="908">
        <v>1341.6351241756129</v>
      </c>
      <c r="I79" s="908">
        <v>4526.1063510559115</v>
      </c>
      <c r="J79" s="903"/>
      <c r="K79" s="908">
        <v>0</v>
      </c>
      <c r="L79" s="908">
        <v>0</v>
      </c>
      <c r="M79" s="908">
        <v>0</v>
      </c>
      <c r="N79" s="903"/>
      <c r="O79" s="908">
        <v>1663</v>
      </c>
      <c r="P79" s="909">
        <v>0.18641010222489479</v>
      </c>
      <c r="Q79" s="909">
        <v>0.5748647023451593</v>
      </c>
      <c r="R79" s="909">
        <v>0.23872519542994589</v>
      </c>
      <c r="S79" s="898"/>
      <c r="T79" s="908">
        <v>0</v>
      </c>
      <c r="U79" s="908">
        <v>0</v>
      </c>
      <c r="V79" s="897"/>
      <c r="W79" s="908">
        <v>0</v>
      </c>
      <c r="X79" s="910">
        <v>9.0000000000000011E-3</v>
      </c>
      <c r="Y79" s="910">
        <v>9.0000000000000011E-3</v>
      </c>
      <c r="Z79" s="910">
        <v>9.0000000000000011E-3</v>
      </c>
      <c r="AA79" s="910">
        <v>1.9000000000000003E-2</v>
      </c>
      <c r="AB79" s="910">
        <v>2.9000000000000005E-2</v>
      </c>
      <c r="AC79" s="910">
        <v>3.9E-2</v>
      </c>
      <c r="AD79" s="915" t="s">
        <v>122</v>
      </c>
      <c r="AE79" s="915" t="s">
        <v>122</v>
      </c>
      <c r="AF79" s="897"/>
      <c r="AG79" s="908">
        <v>0</v>
      </c>
      <c r="AH79" s="908">
        <v>0</v>
      </c>
    </row>
    <row r="80" spans="1:34">
      <c r="A80" s="898" t="s">
        <v>1073</v>
      </c>
      <c r="B80" s="898" t="s">
        <v>1071</v>
      </c>
      <c r="C80" s="898">
        <v>2020</v>
      </c>
      <c r="D80" s="898" t="s">
        <v>1152</v>
      </c>
      <c r="E80" s="898" t="s">
        <v>955</v>
      </c>
      <c r="F80" s="898"/>
      <c r="G80" s="903">
        <v>0</v>
      </c>
      <c r="H80" s="903">
        <v>1341.6351241756129</v>
      </c>
      <c r="I80" s="903">
        <v>4526.1063510559115</v>
      </c>
      <c r="J80" s="903"/>
      <c r="K80" s="903">
        <v>0</v>
      </c>
      <c r="L80" s="903">
        <v>0</v>
      </c>
      <c r="M80" s="903">
        <v>0</v>
      </c>
      <c r="N80" s="903"/>
      <c r="O80" s="903">
        <v>1161</v>
      </c>
      <c r="P80" s="904">
        <v>0.23944875107665806</v>
      </c>
      <c r="Q80" s="904">
        <v>0.5400516795865633</v>
      </c>
      <c r="R80" s="904">
        <v>0.22049956933677864</v>
      </c>
      <c r="S80" s="898"/>
      <c r="T80" s="903">
        <v>0</v>
      </c>
      <c r="U80" s="903">
        <v>0</v>
      </c>
      <c r="V80" s="897"/>
      <c r="W80" s="903">
        <v>0</v>
      </c>
      <c r="X80" s="905">
        <v>8.9999999999999993E-3</v>
      </c>
      <c r="Y80" s="905">
        <v>8.9999999999999993E-3</v>
      </c>
      <c r="Z80" s="905">
        <v>8.9999999999999993E-3</v>
      </c>
      <c r="AA80" s="905">
        <v>1.9E-2</v>
      </c>
      <c r="AB80" s="905">
        <v>2.9000000000000001E-2</v>
      </c>
      <c r="AC80" s="905">
        <v>3.9E-2</v>
      </c>
      <c r="AD80" s="897" t="s">
        <v>122</v>
      </c>
      <c r="AE80" s="897" t="s">
        <v>122</v>
      </c>
      <c r="AF80" s="897"/>
      <c r="AG80" s="903">
        <v>0</v>
      </c>
      <c r="AH80" s="903">
        <v>0</v>
      </c>
    </row>
    <row r="81" spans="1:34">
      <c r="A81" s="898" t="s">
        <v>1074</v>
      </c>
      <c r="B81" s="907" t="s">
        <v>1071</v>
      </c>
      <c r="C81" s="907">
        <v>2020</v>
      </c>
      <c r="D81" s="907" t="s">
        <v>1152</v>
      </c>
      <c r="E81" s="907" t="s">
        <v>956</v>
      </c>
      <c r="F81" s="898"/>
      <c r="G81" s="908">
        <v>0</v>
      </c>
      <c r="H81" s="908">
        <v>1341.6351241756129</v>
      </c>
      <c r="I81" s="908">
        <v>4166.1063510559115</v>
      </c>
      <c r="J81" s="903"/>
      <c r="K81" s="908">
        <v>0</v>
      </c>
      <c r="L81" s="908">
        <v>0</v>
      </c>
      <c r="M81" s="908">
        <v>0</v>
      </c>
      <c r="N81" s="903"/>
      <c r="O81" s="908">
        <v>2093</v>
      </c>
      <c r="P81" s="909">
        <v>0.27042522694696608</v>
      </c>
      <c r="Q81" s="909">
        <v>0.63497372193024371</v>
      </c>
      <c r="R81" s="909">
        <v>9.4601051122790256E-2</v>
      </c>
      <c r="S81" s="898"/>
      <c r="T81" s="908">
        <v>0</v>
      </c>
      <c r="U81" s="908">
        <v>0</v>
      </c>
      <c r="V81" s="897"/>
      <c r="W81" s="908">
        <v>0</v>
      </c>
      <c r="X81" s="910">
        <v>8.9999999999999976E-3</v>
      </c>
      <c r="Y81" s="910">
        <v>8.9999999999999976E-3</v>
      </c>
      <c r="Z81" s="910">
        <v>8.9999999999999976E-3</v>
      </c>
      <c r="AA81" s="910">
        <v>1.8999999999999996E-2</v>
      </c>
      <c r="AB81" s="910">
        <v>2.9000000000000001E-2</v>
      </c>
      <c r="AC81" s="910">
        <v>3.9E-2</v>
      </c>
      <c r="AD81" s="915" t="s">
        <v>122</v>
      </c>
      <c r="AE81" s="915" t="s">
        <v>122</v>
      </c>
      <c r="AF81" s="897"/>
      <c r="AG81" s="908">
        <v>0</v>
      </c>
      <c r="AH81" s="908">
        <v>0</v>
      </c>
    </row>
    <row r="82" spans="1:34">
      <c r="A82" s="898" t="s">
        <v>1075</v>
      </c>
      <c r="B82" s="898" t="s">
        <v>1071</v>
      </c>
      <c r="C82" s="898">
        <v>2020</v>
      </c>
      <c r="D82" s="898" t="s">
        <v>1152</v>
      </c>
      <c r="E82" s="898" t="s">
        <v>957</v>
      </c>
      <c r="F82" s="898"/>
      <c r="G82" s="903">
        <v>0</v>
      </c>
      <c r="H82" s="903">
        <v>1341.6351241756129</v>
      </c>
      <c r="I82" s="903">
        <v>4166.1063510559115</v>
      </c>
      <c r="J82" s="903"/>
      <c r="K82" s="903">
        <v>0</v>
      </c>
      <c r="L82" s="903">
        <v>0</v>
      </c>
      <c r="M82" s="903">
        <v>0</v>
      </c>
      <c r="N82" s="903"/>
      <c r="O82" s="903">
        <v>675</v>
      </c>
      <c r="P82" s="904">
        <v>0.28740740740740739</v>
      </c>
      <c r="Q82" s="904">
        <v>0.5881481481481482</v>
      </c>
      <c r="R82" s="904">
        <v>0.12444444444444444</v>
      </c>
      <c r="S82" s="898"/>
      <c r="T82" s="903">
        <v>0</v>
      </c>
      <c r="U82" s="903">
        <v>0</v>
      </c>
      <c r="V82" s="897"/>
      <c r="W82" s="903">
        <v>0</v>
      </c>
      <c r="X82" s="905">
        <v>8.9999999999999993E-3</v>
      </c>
      <c r="Y82" s="905">
        <v>8.9999999999999993E-3</v>
      </c>
      <c r="Z82" s="905">
        <v>8.9999999999999993E-3</v>
      </c>
      <c r="AA82" s="905">
        <v>1.9E-2</v>
      </c>
      <c r="AB82" s="905">
        <v>2.9000000000000001E-2</v>
      </c>
      <c r="AC82" s="905">
        <v>3.9E-2</v>
      </c>
      <c r="AD82" s="897" t="s">
        <v>122</v>
      </c>
      <c r="AE82" s="897" t="s">
        <v>122</v>
      </c>
      <c r="AF82" s="897"/>
      <c r="AG82" s="903">
        <v>0</v>
      </c>
      <c r="AH82" s="90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topLeftCell="A19" zoomScale="70" zoomScaleNormal="70" workbookViewId="0">
      <selection activeCell="K36" sqref="A1:XFD1048576"/>
    </sheetView>
  </sheetViews>
  <sheetFormatPr defaultRowHeight="12.75"/>
  <cols>
    <col min="1" max="1" width="9.140625" style="857"/>
    <col min="2" max="5" width="13.5703125" style="857" customWidth="1"/>
    <col min="6" max="6" width="2.42578125" style="857" customWidth="1"/>
    <col min="7" max="9" width="9.28515625" style="857" customWidth="1"/>
    <col min="10" max="10" width="2.42578125" style="857" customWidth="1"/>
    <col min="11" max="13" width="9.28515625" style="857" customWidth="1"/>
    <col min="14" max="14" width="2.42578125" style="857" customWidth="1"/>
    <col min="15" max="18" width="9.28515625" style="857" customWidth="1"/>
    <col min="19" max="19" width="2.42578125" style="857" customWidth="1"/>
    <col min="20" max="21" width="9.28515625" style="857" customWidth="1"/>
    <col min="22" max="22" width="2.42578125" style="857" customWidth="1"/>
    <col min="23" max="31" width="9.140625" style="857"/>
    <col min="32" max="32" width="2.42578125" style="857" customWidth="1"/>
    <col min="33" max="16384" width="9.140625" style="857"/>
  </cols>
  <sheetData>
    <row r="3" spans="1:34" s="858" customFormat="1">
      <c r="A3" s="897"/>
      <c r="B3" s="897"/>
      <c r="C3" s="897"/>
      <c r="D3" s="897"/>
      <c r="E3" s="897"/>
      <c r="F3" s="897"/>
      <c r="G3" s="897">
        <v>21</v>
      </c>
      <c r="H3" s="897">
        <v>22</v>
      </c>
      <c r="I3" s="897">
        <v>98</v>
      </c>
      <c r="J3" s="897"/>
      <c r="K3" s="897"/>
      <c r="L3" s="897"/>
      <c r="M3" s="897"/>
      <c r="N3" s="897"/>
      <c r="O3" s="897">
        <v>29</v>
      </c>
      <c r="P3" s="897">
        <v>26</v>
      </c>
      <c r="Q3" s="897">
        <v>27</v>
      </c>
      <c r="R3" s="897">
        <v>28</v>
      </c>
      <c r="S3" s="897"/>
      <c r="T3" s="897">
        <v>77</v>
      </c>
      <c r="U3" s="897"/>
      <c r="V3" s="897"/>
      <c r="W3" s="897">
        <v>88</v>
      </c>
      <c r="X3" s="897">
        <v>89</v>
      </c>
      <c r="Y3" s="897">
        <v>90</v>
      </c>
      <c r="Z3" s="897">
        <v>91</v>
      </c>
      <c r="AA3" s="897">
        <v>92</v>
      </c>
      <c r="AB3" s="897"/>
      <c r="AC3" s="897">
        <v>93</v>
      </c>
      <c r="AD3" s="897">
        <v>94</v>
      </c>
      <c r="AE3" s="897"/>
      <c r="AF3" s="897"/>
      <c r="AG3" s="897">
        <v>101</v>
      </c>
      <c r="AH3" s="897">
        <v>106</v>
      </c>
    </row>
    <row r="4" spans="1:34" s="858" customFormat="1">
      <c r="A4" s="897"/>
      <c r="B4" s="897"/>
      <c r="C4" s="897"/>
      <c r="D4" s="897"/>
      <c r="E4" s="897"/>
      <c r="F4" s="897"/>
      <c r="G4" s="897" t="s">
        <v>856</v>
      </c>
      <c r="H4" s="897" t="s">
        <v>856</v>
      </c>
      <c r="I4" s="897" t="s">
        <v>856</v>
      </c>
      <c r="J4" s="897"/>
      <c r="K4" s="897" t="s">
        <v>856</v>
      </c>
      <c r="L4" s="897" t="s">
        <v>856</v>
      </c>
      <c r="M4" s="897" t="s">
        <v>856</v>
      </c>
      <c r="N4" s="897"/>
      <c r="O4" s="897" t="s">
        <v>1011</v>
      </c>
      <c r="P4" s="897" t="s">
        <v>1012</v>
      </c>
      <c r="Q4" s="897" t="s">
        <v>1012</v>
      </c>
      <c r="R4" s="897" t="s">
        <v>1012</v>
      </c>
      <c r="S4" s="897"/>
      <c r="T4" s="897" t="s">
        <v>1013</v>
      </c>
      <c r="U4" s="897" t="s">
        <v>1013</v>
      </c>
      <c r="V4" s="897"/>
      <c r="W4" s="897" t="s">
        <v>1013</v>
      </c>
      <c r="X4" s="897" t="s">
        <v>1013</v>
      </c>
      <c r="Y4" s="897" t="s">
        <v>1013</v>
      </c>
      <c r="Z4" s="897" t="s">
        <v>1013</v>
      </c>
      <c r="AA4" s="897" t="s">
        <v>1013</v>
      </c>
      <c r="AB4" s="897" t="s">
        <v>1013</v>
      </c>
      <c r="AC4" s="897" t="s">
        <v>1013</v>
      </c>
      <c r="AD4" s="897" t="s">
        <v>1013</v>
      </c>
      <c r="AE4" s="897" t="s">
        <v>1013</v>
      </c>
      <c r="AF4" s="897"/>
      <c r="AG4" s="897" t="s">
        <v>1013</v>
      </c>
      <c r="AH4" s="897" t="s">
        <v>1013</v>
      </c>
    </row>
    <row r="5" spans="1:34" ht="25.5">
      <c r="A5" s="898"/>
      <c r="B5" s="899" t="s">
        <v>982</v>
      </c>
      <c r="C5" s="899" t="s">
        <v>95</v>
      </c>
      <c r="D5" s="899" t="s">
        <v>1014</v>
      </c>
      <c r="E5" s="899" t="s">
        <v>1015</v>
      </c>
      <c r="F5" s="898"/>
      <c r="G5" s="900" t="s">
        <v>328</v>
      </c>
      <c r="H5" s="900" t="s">
        <v>329</v>
      </c>
      <c r="I5" s="900" t="s">
        <v>330</v>
      </c>
      <c r="J5" s="897"/>
      <c r="K5" s="900" t="s">
        <v>1016</v>
      </c>
      <c r="L5" s="900" t="s">
        <v>1017</v>
      </c>
      <c r="M5" s="900" t="s">
        <v>1018</v>
      </c>
      <c r="N5" s="897"/>
      <c r="O5" s="900" t="s">
        <v>1019</v>
      </c>
      <c r="P5" s="900" t="s">
        <v>328</v>
      </c>
      <c r="Q5" s="900" t="s">
        <v>329</v>
      </c>
      <c r="R5" s="900" t="s">
        <v>330</v>
      </c>
      <c r="S5" s="898"/>
      <c r="T5" s="900" t="s">
        <v>1020</v>
      </c>
      <c r="U5" s="900" t="s">
        <v>1021</v>
      </c>
      <c r="V5" s="897"/>
      <c r="W5" s="900" t="s">
        <v>715</v>
      </c>
      <c r="X5" s="901" t="s">
        <v>1022</v>
      </c>
      <c r="Y5" s="901" t="s">
        <v>1023</v>
      </c>
      <c r="Z5" s="901" t="s">
        <v>1024</v>
      </c>
      <c r="AA5" s="901" t="s">
        <v>967</v>
      </c>
      <c r="AB5" s="901" t="s">
        <v>968</v>
      </c>
      <c r="AC5" s="901" t="s">
        <v>969</v>
      </c>
      <c r="AD5" s="901" t="s">
        <v>970</v>
      </c>
      <c r="AE5" s="901" t="s">
        <v>1025</v>
      </c>
      <c r="AF5" s="897"/>
      <c r="AG5" s="900" t="s">
        <v>0</v>
      </c>
      <c r="AH5" s="900" t="s">
        <v>7</v>
      </c>
    </row>
    <row r="6" spans="1:34">
      <c r="A6" s="898" t="s">
        <v>1026</v>
      </c>
      <c r="B6" s="902" t="s">
        <v>960</v>
      </c>
      <c r="C6" s="902">
        <v>2019</v>
      </c>
      <c r="D6" s="902" t="s">
        <v>1159</v>
      </c>
      <c r="E6" s="898" t="s">
        <v>953</v>
      </c>
      <c r="F6" s="898"/>
      <c r="G6" s="903">
        <v>0</v>
      </c>
      <c r="H6" s="903">
        <v>0</v>
      </c>
      <c r="I6" s="903">
        <v>0</v>
      </c>
      <c r="J6" s="903"/>
      <c r="K6" s="903">
        <v>0</v>
      </c>
      <c r="L6" s="903">
        <v>0</v>
      </c>
      <c r="M6" s="903">
        <v>0</v>
      </c>
      <c r="N6" s="903"/>
      <c r="O6" s="903" t="e">
        <v>#N/A</v>
      </c>
      <c r="P6" s="904" t="e">
        <v>#N/A</v>
      </c>
      <c r="Q6" s="904" t="e">
        <v>#N/A</v>
      </c>
      <c r="R6" s="904" t="e">
        <v>#N/A</v>
      </c>
      <c r="S6" s="898"/>
      <c r="T6" s="903">
        <v>0</v>
      </c>
      <c r="U6" s="903">
        <v>0</v>
      </c>
      <c r="V6" s="897"/>
      <c r="W6" s="903">
        <v>0</v>
      </c>
      <c r="X6" s="905">
        <v>0</v>
      </c>
      <c r="Y6" s="905">
        <v>0</v>
      </c>
      <c r="Z6" s="905">
        <v>0</v>
      </c>
      <c r="AA6" s="905">
        <v>0</v>
      </c>
      <c r="AB6" s="905">
        <v>0</v>
      </c>
      <c r="AC6" s="905">
        <v>0</v>
      </c>
      <c r="AD6" s="906">
        <v>0</v>
      </c>
      <c r="AE6" s="906">
        <v>0</v>
      </c>
      <c r="AF6" s="897"/>
      <c r="AG6" s="903">
        <v>0</v>
      </c>
      <c r="AH6" s="903">
        <v>0</v>
      </c>
    </row>
    <row r="7" spans="1:34">
      <c r="A7" s="898" t="s">
        <v>1027</v>
      </c>
      <c r="B7" s="907" t="s">
        <v>960</v>
      </c>
      <c r="C7" s="907">
        <v>2019</v>
      </c>
      <c r="D7" s="907" t="s">
        <v>1159</v>
      </c>
      <c r="E7" s="907" t="s">
        <v>954</v>
      </c>
      <c r="F7" s="898"/>
      <c r="G7" s="908">
        <v>0</v>
      </c>
      <c r="H7" s="908">
        <v>0</v>
      </c>
      <c r="I7" s="908">
        <v>0</v>
      </c>
      <c r="J7" s="903"/>
      <c r="K7" s="908">
        <v>0</v>
      </c>
      <c r="L7" s="908">
        <v>0</v>
      </c>
      <c r="M7" s="908">
        <v>0</v>
      </c>
      <c r="N7" s="903"/>
      <c r="O7" s="908" t="e">
        <v>#N/A</v>
      </c>
      <c r="P7" s="909" t="e">
        <v>#N/A</v>
      </c>
      <c r="Q7" s="909" t="e">
        <v>#N/A</v>
      </c>
      <c r="R7" s="909" t="e">
        <v>#N/A</v>
      </c>
      <c r="S7" s="898"/>
      <c r="T7" s="908">
        <v>0</v>
      </c>
      <c r="U7" s="908">
        <v>0</v>
      </c>
      <c r="V7" s="897"/>
      <c r="W7" s="908">
        <v>0</v>
      </c>
      <c r="X7" s="910">
        <v>0</v>
      </c>
      <c r="Y7" s="910">
        <v>0</v>
      </c>
      <c r="Z7" s="910">
        <v>0</v>
      </c>
      <c r="AA7" s="910">
        <v>0</v>
      </c>
      <c r="AB7" s="910">
        <v>0</v>
      </c>
      <c r="AC7" s="910">
        <v>0</v>
      </c>
      <c r="AD7" s="911">
        <v>0</v>
      </c>
      <c r="AE7" s="911">
        <v>0</v>
      </c>
      <c r="AF7" s="897"/>
      <c r="AG7" s="908">
        <v>0</v>
      </c>
      <c r="AH7" s="908">
        <v>0</v>
      </c>
    </row>
    <row r="8" spans="1:34">
      <c r="A8" s="898" t="s">
        <v>1028</v>
      </c>
      <c r="B8" s="898" t="s">
        <v>960</v>
      </c>
      <c r="C8" s="898">
        <v>2019</v>
      </c>
      <c r="D8" s="898" t="s">
        <v>1159</v>
      </c>
      <c r="E8" s="898" t="s">
        <v>955</v>
      </c>
      <c r="F8" s="898"/>
      <c r="G8" s="903">
        <v>0</v>
      </c>
      <c r="H8" s="903">
        <v>0</v>
      </c>
      <c r="I8" s="903">
        <v>0</v>
      </c>
      <c r="J8" s="903"/>
      <c r="K8" s="903">
        <v>0</v>
      </c>
      <c r="L8" s="903">
        <v>0</v>
      </c>
      <c r="M8" s="903">
        <v>0</v>
      </c>
      <c r="N8" s="903"/>
      <c r="O8" s="903" t="e">
        <v>#N/A</v>
      </c>
      <c r="P8" s="904" t="e">
        <v>#N/A</v>
      </c>
      <c r="Q8" s="904" t="e">
        <v>#N/A</v>
      </c>
      <c r="R8" s="904" t="e">
        <v>#N/A</v>
      </c>
      <c r="S8" s="898"/>
      <c r="T8" s="903">
        <v>0</v>
      </c>
      <c r="U8" s="903">
        <v>0</v>
      </c>
      <c r="V8" s="897"/>
      <c r="W8" s="903">
        <v>0</v>
      </c>
      <c r="X8" s="905">
        <v>0</v>
      </c>
      <c r="Y8" s="905">
        <v>0</v>
      </c>
      <c r="Z8" s="905">
        <v>0</v>
      </c>
      <c r="AA8" s="905">
        <v>0</v>
      </c>
      <c r="AB8" s="905">
        <v>0</v>
      </c>
      <c r="AC8" s="905">
        <v>0</v>
      </c>
      <c r="AD8" s="906">
        <v>0</v>
      </c>
      <c r="AE8" s="906">
        <v>0</v>
      </c>
      <c r="AF8" s="897"/>
      <c r="AG8" s="903">
        <v>0</v>
      </c>
      <c r="AH8" s="903">
        <v>0</v>
      </c>
    </row>
    <row r="9" spans="1:34">
      <c r="A9" s="898" t="s">
        <v>1029</v>
      </c>
      <c r="B9" s="907" t="s">
        <v>960</v>
      </c>
      <c r="C9" s="907">
        <v>2019</v>
      </c>
      <c r="D9" s="907" t="s">
        <v>1159</v>
      </c>
      <c r="E9" s="907" t="s">
        <v>956</v>
      </c>
      <c r="F9" s="898"/>
      <c r="G9" s="908">
        <v>0</v>
      </c>
      <c r="H9" s="908">
        <v>0</v>
      </c>
      <c r="I9" s="908">
        <v>0</v>
      </c>
      <c r="J9" s="903"/>
      <c r="K9" s="908">
        <v>0</v>
      </c>
      <c r="L9" s="908">
        <v>0</v>
      </c>
      <c r="M9" s="908">
        <v>0</v>
      </c>
      <c r="N9" s="903"/>
      <c r="O9" s="908" t="e">
        <v>#N/A</v>
      </c>
      <c r="P9" s="909" t="e">
        <v>#N/A</v>
      </c>
      <c r="Q9" s="909" t="e">
        <v>#N/A</v>
      </c>
      <c r="R9" s="909" t="e">
        <v>#N/A</v>
      </c>
      <c r="S9" s="898"/>
      <c r="T9" s="908">
        <v>0</v>
      </c>
      <c r="U9" s="908">
        <v>0</v>
      </c>
      <c r="V9" s="897"/>
      <c r="W9" s="908">
        <v>0</v>
      </c>
      <c r="X9" s="910">
        <v>0</v>
      </c>
      <c r="Y9" s="910">
        <v>0</v>
      </c>
      <c r="Z9" s="910">
        <v>0</v>
      </c>
      <c r="AA9" s="910">
        <v>0</v>
      </c>
      <c r="AB9" s="910">
        <v>0</v>
      </c>
      <c r="AC9" s="910">
        <v>0</v>
      </c>
      <c r="AD9" s="911">
        <v>0</v>
      </c>
      <c r="AE9" s="911">
        <v>0</v>
      </c>
      <c r="AF9" s="897"/>
      <c r="AG9" s="908">
        <v>0</v>
      </c>
      <c r="AH9" s="908">
        <v>0</v>
      </c>
    </row>
    <row r="10" spans="1:34">
      <c r="A10" s="898" t="s">
        <v>1030</v>
      </c>
      <c r="B10" s="898" t="s">
        <v>960</v>
      </c>
      <c r="C10" s="898">
        <v>2019</v>
      </c>
      <c r="D10" s="898" t="s">
        <v>1159</v>
      </c>
      <c r="E10" s="898" t="s">
        <v>957</v>
      </c>
      <c r="F10" s="898"/>
      <c r="G10" s="903">
        <v>0</v>
      </c>
      <c r="H10" s="903">
        <v>0</v>
      </c>
      <c r="I10" s="903">
        <v>0</v>
      </c>
      <c r="J10" s="903"/>
      <c r="K10" s="903">
        <v>0</v>
      </c>
      <c r="L10" s="903">
        <v>0</v>
      </c>
      <c r="M10" s="903">
        <v>0</v>
      </c>
      <c r="N10" s="903"/>
      <c r="O10" s="903" t="e">
        <v>#N/A</v>
      </c>
      <c r="P10" s="904" t="e">
        <v>#N/A</v>
      </c>
      <c r="Q10" s="904" t="e">
        <v>#N/A</v>
      </c>
      <c r="R10" s="904" t="e">
        <v>#N/A</v>
      </c>
      <c r="S10" s="898"/>
      <c r="T10" s="903">
        <v>0</v>
      </c>
      <c r="U10" s="903">
        <v>0</v>
      </c>
      <c r="V10" s="897"/>
      <c r="W10" s="903">
        <v>0</v>
      </c>
      <c r="X10" s="905">
        <v>0</v>
      </c>
      <c r="Y10" s="905">
        <v>0</v>
      </c>
      <c r="Z10" s="905">
        <v>0</v>
      </c>
      <c r="AA10" s="905">
        <v>0</v>
      </c>
      <c r="AB10" s="905">
        <v>0</v>
      </c>
      <c r="AC10" s="905">
        <v>0</v>
      </c>
      <c r="AD10" s="906">
        <v>0</v>
      </c>
      <c r="AE10" s="906">
        <v>0</v>
      </c>
      <c r="AF10" s="897"/>
      <c r="AG10" s="903">
        <v>0</v>
      </c>
      <c r="AH10" s="903">
        <v>0</v>
      </c>
    </row>
    <row r="11" spans="1:34">
      <c r="A11" s="898"/>
      <c r="B11" s="898"/>
      <c r="C11" s="898"/>
      <c r="D11" s="898"/>
      <c r="E11" s="898"/>
      <c r="F11" s="898"/>
      <c r="G11" s="912"/>
      <c r="H11" s="912"/>
      <c r="I11" s="912"/>
      <c r="J11" s="912"/>
      <c r="K11" s="912"/>
      <c r="L11" s="912"/>
      <c r="M11" s="912"/>
      <c r="N11" s="912"/>
      <c r="O11" s="912"/>
      <c r="P11" s="913"/>
      <c r="Q11" s="913"/>
      <c r="R11" s="913"/>
      <c r="S11" s="898"/>
      <c r="T11" s="912"/>
      <c r="U11" s="912"/>
      <c r="V11" s="898"/>
      <c r="W11" s="912"/>
      <c r="X11" s="898"/>
      <c r="Y11" s="898"/>
      <c r="Z11" s="898"/>
      <c r="AA11" s="898"/>
      <c r="AB11" s="898"/>
      <c r="AC11" s="898"/>
      <c r="AD11" s="914"/>
      <c r="AE11" s="914"/>
      <c r="AF11" s="898"/>
      <c r="AG11" s="912"/>
      <c r="AH11" s="912"/>
    </row>
    <row r="12" spans="1:34">
      <c r="A12" s="898" t="s">
        <v>1125</v>
      </c>
      <c r="B12" s="902" t="s">
        <v>960</v>
      </c>
      <c r="C12" s="902">
        <v>2020</v>
      </c>
      <c r="D12" s="902" t="s">
        <v>1159</v>
      </c>
      <c r="E12" s="898" t="s">
        <v>953</v>
      </c>
      <c r="F12" s="898"/>
      <c r="G12" s="903">
        <v>1250</v>
      </c>
      <c r="H12" s="903">
        <v>1653.5492916397523</v>
      </c>
      <c r="I12" s="903">
        <v>5481.7109265464023</v>
      </c>
      <c r="J12" s="903"/>
      <c r="K12" s="903">
        <v>0</v>
      </c>
      <c r="L12" s="903">
        <v>0</v>
      </c>
      <c r="M12" s="903">
        <v>0</v>
      </c>
      <c r="N12" s="903"/>
      <c r="O12" s="903">
        <v>978</v>
      </c>
      <c r="P12" s="904">
        <v>0.15848670756646213</v>
      </c>
      <c r="Q12" s="904">
        <v>0.14314928425357873</v>
      </c>
      <c r="R12" s="904">
        <v>0.69836400817995914</v>
      </c>
      <c r="S12" s="898"/>
      <c r="T12" s="903">
        <v>1250</v>
      </c>
      <c r="U12" s="903">
        <v>0</v>
      </c>
      <c r="V12" s="897"/>
      <c r="W12" s="903">
        <v>0</v>
      </c>
      <c r="X12" s="905">
        <v>0</v>
      </c>
      <c r="Y12" s="905">
        <v>0</v>
      </c>
      <c r="Z12" s="905">
        <v>0</v>
      </c>
      <c r="AA12" s="905">
        <v>0</v>
      </c>
      <c r="AB12" s="905">
        <v>8.9999999999999993E-3</v>
      </c>
      <c r="AC12" s="905">
        <v>1.9E-2</v>
      </c>
      <c r="AD12" s="906">
        <v>3.9E-2</v>
      </c>
      <c r="AE12" s="906">
        <v>3.9E-2</v>
      </c>
      <c r="AF12" s="897"/>
      <c r="AG12" s="903">
        <v>0</v>
      </c>
      <c r="AH12" s="903">
        <v>0</v>
      </c>
    </row>
    <row r="13" spans="1:34">
      <c r="A13" s="898" t="s">
        <v>1126</v>
      </c>
      <c r="B13" s="907" t="s">
        <v>960</v>
      </c>
      <c r="C13" s="907">
        <v>2020</v>
      </c>
      <c r="D13" s="907" t="s">
        <v>1159</v>
      </c>
      <c r="E13" s="907" t="s">
        <v>954</v>
      </c>
      <c r="F13" s="898"/>
      <c r="G13" s="908">
        <v>1250</v>
      </c>
      <c r="H13" s="908">
        <v>1653.5492916397525</v>
      </c>
      <c r="I13" s="908">
        <v>4981.7109265464023</v>
      </c>
      <c r="J13" s="903"/>
      <c r="K13" s="908">
        <v>0</v>
      </c>
      <c r="L13" s="908">
        <v>0</v>
      </c>
      <c r="M13" s="908">
        <v>0</v>
      </c>
      <c r="N13" s="903"/>
      <c r="O13" s="908">
        <v>1601</v>
      </c>
      <c r="P13" s="909">
        <v>0.34665833853841349</v>
      </c>
      <c r="Q13" s="909">
        <v>0.29981261711430357</v>
      </c>
      <c r="R13" s="909">
        <v>0.35352904434728294</v>
      </c>
      <c r="S13" s="898"/>
      <c r="T13" s="908">
        <v>1250</v>
      </c>
      <c r="U13" s="908">
        <v>0</v>
      </c>
      <c r="V13" s="897"/>
      <c r="W13" s="908">
        <v>0</v>
      </c>
      <c r="X13" s="910">
        <v>0</v>
      </c>
      <c r="Y13" s="910">
        <v>0</v>
      </c>
      <c r="Z13" s="910">
        <v>0</v>
      </c>
      <c r="AA13" s="910">
        <v>0</v>
      </c>
      <c r="AB13" s="910">
        <v>8.9999999999999993E-3</v>
      </c>
      <c r="AC13" s="910">
        <v>1.9E-2</v>
      </c>
      <c r="AD13" s="911">
        <v>3.9E-2</v>
      </c>
      <c r="AE13" s="911">
        <v>3.9E-2</v>
      </c>
      <c r="AF13" s="897"/>
      <c r="AG13" s="908">
        <v>0</v>
      </c>
      <c r="AH13" s="908">
        <v>0</v>
      </c>
    </row>
    <row r="14" spans="1:34">
      <c r="A14" s="898" t="s">
        <v>1127</v>
      </c>
      <c r="B14" s="898" t="s">
        <v>960</v>
      </c>
      <c r="C14" s="898">
        <v>2020</v>
      </c>
      <c r="D14" s="898" t="s">
        <v>1159</v>
      </c>
      <c r="E14" s="898" t="s">
        <v>955</v>
      </c>
      <c r="F14" s="898"/>
      <c r="G14" s="903">
        <v>1250</v>
      </c>
      <c r="H14" s="903">
        <v>1653.5492916397525</v>
      </c>
      <c r="I14" s="903">
        <v>4981.7109265464023</v>
      </c>
      <c r="J14" s="903"/>
      <c r="K14" s="903">
        <v>0</v>
      </c>
      <c r="L14" s="903">
        <v>0</v>
      </c>
      <c r="M14" s="903">
        <v>0</v>
      </c>
      <c r="N14" s="903"/>
      <c r="O14" s="903">
        <v>1926</v>
      </c>
      <c r="P14" s="904">
        <v>0.25389408099688471</v>
      </c>
      <c r="Q14" s="904">
        <v>0.38110072689511942</v>
      </c>
      <c r="R14" s="904">
        <v>0.36500519210799587</v>
      </c>
      <c r="S14" s="898"/>
      <c r="T14" s="903">
        <v>1250</v>
      </c>
      <c r="U14" s="903">
        <v>0</v>
      </c>
      <c r="V14" s="897"/>
      <c r="W14" s="903">
        <v>0</v>
      </c>
      <c r="X14" s="905">
        <v>0</v>
      </c>
      <c r="Y14" s="905">
        <v>0</v>
      </c>
      <c r="Z14" s="905">
        <v>0</v>
      </c>
      <c r="AA14" s="905">
        <v>0</v>
      </c>
      <c r="AB14" s="905">
        <v>9.0000000000000011E-3</v>
      </c>
      <c r="AC14" s="905">
        <v>1.9E-2</v>
      </c>
      <c r="AD14" s="906">
        <v>3.9000000000000007E-2</v>
      </c>
      <c r="AE14" s="906">
        <v>3.9000000000000007E-2</v>
      </c>
      <c r="AF14" s="897"/>
      <c r="AG14" s="903">
        <v>0</v>
      </c>
      <c r="AH14" s="903">
        <v>0</v>
      </c>
    </row>
    <row r="15" spans="1:34">
      <c r="A15" s="898" t="s">
        <v>1128</v>
      </c>
      <c r="B15" s="907" t="s">
        <v>960</v>
      </c>
      <c r="C15" s="907">
        <v>2020</v>
      </c>
      <c r="D15" s="907" t="s">
        <v>1159</v>
      </c>
      <c r="E15" s="907" t="s">
        <v>956</v>
      </c>
      <c r="F15" s="898"/>
      <c r="G15" s="908">
        <v>1250</v>
      </c>
      <c r="H15" s="908">
        <v>1653.549291639752</v>
      </c>
      <c r="I15" s="908">
        <v>4591.7109265464023</v>
      </c>
      <c r="J15" s="903"/>
      <c r="K15" s="908">
        <v>0</v>
      </c>
      <c r="L15" s="908">
        <v>0</v>
      </c>
      <c r="M15" s="908">
        <v>0</v>
      </c>
      <c r="N15" s="903"/>
      <c r="O15" s="908">
        <v>1859</v>
      </c>
      <c r="P15" s="909">
        <v>0.45400753093060786</v>
      </c>
      <c r="Q15" s="909">
        <v>0.46530392684238836</v>
      </c>
      <c r="R15" s="909">
        <v>8.0688542227003765E-2</v>
      </c>
      <c r="S15" s="898"/>
      <c r="T15" s="908">
        <v>1250</v>
      </c>
      <c r="U15" s="908">
        <v>0</v>
      </c>
      <c r="V15" s="897"/>
      <c r="W15" s="908">
        <v>0</v>
      </c>
      <c r="X15" s="910">
        <v>0</v>
      </c>
      <c r="Y15" s="910">
        <v>0</v>
      </c>
      <c r="Z15" s="910">
        <v>0</v>
      </c>
      <c r="AA15" s="910">
        <v>0</v>
      </c>
      <c r="AB15" s="910">
        <v>8.9999999999999993E-3</v>
      </c>
      <c r="AC15" s="910">
        <v>1.8999999999999996E-2</v>
      </c>
      <c r="AD15" s="911">
        <v>3.9E-2</v>
      </c>
      <c r="AE15" s="911">
        <v>3.9E-2</v>
      </c>
      <c r="AF15" s="897"/>
      <c r="AG15" s="908">
        <v>0</v>
      </c>
      <c r="AH15" s="908">
        <v>0</v>
      </c>
    </row>
    <row r="16" spans="1:34">
      <c r="A16" s="898" t="s">
        <v>1129</v>
      </c>
      <c r="B16" s="898" t="s">
        <v>960</v>
      </c>
      <c r="C16" s="898">
        <v>2020</v>
      </c>
      <c r="D16" s="898" t="s">
        <v>1159</v>
      </c>
      <c r="E16" s="898" t="s">
        <v>957</v>
      </c>
      <c r="F16" s="898"/>
      <c r="G16" s="903">
        <v>1250</v>
      </c>
      <c r="H16" s="903">
        <v>1653.5492916397523</v>
      </c>
      <c r="I16" s="903">
        <v>4591.7109265464023</v>
      </c>
      <c r="J16" s="903"/>
      <c r="K16" s="903">
        <v>0</v>
      </c>
      <c r="L16" s="903">
        <v>0</v>
      </c>
      <c r="M16" s="903">
        <v>0</v>
      </c>
      <c r="N16" s="903"/>
      <c r="O16" s="903">
        <v>742</v>
      </c>
      <c r="P16" s="904">
        <v>0.46495956873315364</v>
      </c>
      <c r="Q16" s="904">
        <v>0.40296495956873313</v>
      </c>
      <c r="R16" s="904">
        <v>0.13207547169811321</v>
      </c>
      <c r="S16" s="898"/>
      <c r="T16" s="903">
        <v>1250</v>
      </c>
      <c r="U16" s="903">
        <v>0</v>
      </c>
      <c r="V16" s="897"/>
      <c r="W16" s="903">
        <v>0</v>
      </c>
      <c r="X16" s="905">
        <v>0</v>
      </c>
      <c r="Y16" s="905">
        <v>0</v>
      </c>
      <c r="Z16" s="905">
        <v>0</v>
      </c>
      <c r="AA16" s="905">
        <v>0</v>
      </c>
      <c r="AB16" s="905">
        <v>8.9999999999999993E-3</v>
      </c>
      <c r="AC16" s="905">
        <v>1.9E-2</v>
      </c>
      <c r="AD16" s="906">
        <v>3.9E-2</v>
      </c>
      <c r="AE16" s="906">
        <v>3.9E-2</v>
      </c>
      <c r="AF16" s="897"/>
      <c r="AG16" s="903">
        <v>0</v>
      </c>
      <c r="AH16" s="903">
        <v>0</v>
      </c>
    </row>
    <row r="17" spans="1:34">
      <c r="A17" s="898"/>
      <c r="B17" s="898"/>
      <c r="C17" s="898"/>
      <c r="D17" s="898"/>
      <c r="E17" s="898"/>
      <c r="F17" s="898"/>
      <c r="G17" s="912"/>
      <c r="H17" s="912"/>
      <c r="I17" s="912"/>
      <c r="J17" s="912"/>
      <c r="K17" s="912"/>
      <c r="L17" s="912"/>
      <c r="M17" s="912"/>
      <c r="N17" s="912"/>
      <c r="O17" s="912"/>
      <c r="P17" s="913"/>
      <c r="Q17" s="913"/>
      <c r="R17" s="913"/>
      <c r="S17" s="898"/>
      <c r="T17" s="912"/>
      <c r="U17" s="912"/>
      <c r="V17" s="898"/>
      <c r="W17" s="912"/>
      <c r="X17" s="898"/>
      <c r="Y17" s="898"/>
      <c r="Z17" s="898"/>
      <c r="AA17" s="898"/>
      <c r="AB17" s="898"/>
      <c r="AC17" s="898"/>
      <c r="AD17" s="914"/>
      <c r="AE17" s="914"/>
      <c r="AF17" s="898"/>
      <c r="AG17" s="912"/>
      <c r="AH17" s="912"/>
    </row>
    <row r="18" spans="1:34">
      <c r="A18" s="898" t="s">
        <v>1031</v>
      </c>
      <c r="B18" s="902" t="s">
        <v>962</v>
      </c>
      <c r="C18" s="902">
        <v>2019</v>
      </c>
      <c r="D18" s="902" t="s">
        <v>1159</v>
      </c>
      <c r="E18" s="898" t="s">
        <v>953</v>
      </c>
      <c r="F18" s="898"/>
      <c r="G18" s="903">
        <v>0</v>
      </c>
      <c r="H18" s="903">
        <v>0</v>
      </c>
      <c r="I18" s="903">
        <v>0</v>
      </c>
      <c r="J18" s="903"/>
      <c r="K18" s="903">
        <v>0</v>
      </c>
      <c r="L18" s="903">
        <v>0</v>
      </c>
      <c r="M18" s="903">
        <v>0</v>
      </c>
      <c r="N18" s="903"/>
      <c r="O18" s="903" t="e">
        <v>#N/A</v>
      </c>
      <c r="P18" s="904" t="e">
        <v>#N/A</v>
      </c>
      <c r="Q18" s="904" t="e">
        <v>#N/A</v>
      </c>
      <c r="R18" s="904" t="e">
        <v>#N/A</v>
      </c>
      <c r="S18" s="898"/>
      <c r="T18" s="903">
        <v>0</v>
      </c>
      <c r="U18" s="903">
        <v>0</v>
      </c>
      <c r="V18" s="897"/>
      <c r="W18" s="903">
        <v>0</v>
      </c>
      <c r="X18" s="905">
        <v>0</v>
      </c>
      <c r="Y18" s="905">
        <v>0</v>
      </c>
      <c r="Z18" s="905">
        <v>0</v>
      </c>
      <c r="AA18" s="905">
        <v>0</v>
      </c>
      <c r="AB18" s="905">
        <v>0</v>
      </c>
      <c r="AC18" s="905">
        <v>0</v>
      </c>
      <c r="AD18" s="906">
        <v>0</v>
      </c>
      <c r="AE18" s="906">
        <v>0</v>
      </c>
      <c r="AF18" s="897"/>
      <c r="AG18" s="903">
        <v>0</v>
      </c>
      <c r="AH18" s="903">
        <v>0</v>
      </c>
    </row>
    <row r="19" spans="1:34">
      <c r="A19" s="898" t="s">
        <v>1032</v>
      </c>
      <c r="B19" s="907" t="s">
        <v>962</v>
      </c>
      <c r="C19" s="907">
        <v>2019</v>
      </c>
      <c r="D19" s="907" t="s">
        <v>1159</v>
      </c>
      <c r="E19" s="907" t="s">
        <v>954</v>
      </c>
      <c r="F19" s="898"/>
      <c r="G19" s="908">
        <v>0</v>
      </c>
      <c r="H19" s="908">
        <v>0</v>
      </c>
      <c r="I19" s="908">
        <v>0</v>
      </c>
      <c r="J19" s="903"/>
      <c r="K19" s="908">
        <v>0</v>
      </c>
      <c r="L19" s="908">
        <v>0</v>
      </c>
      <c r="M19" s="908">
        <v>0</v>
      </c>
      <c r="N19" s="903"/>
      <c r="O19" s="908" t="e">
        <v>#N/A</v>
      </c>
      <c r="P19" s="909" t="e">
        <v>#N/A</v>
      </c>
      <c r="Q19" s="909" t="e">
        <v>#N/A</v>
      </c>
      <c r="R19" s="909" t="e">
        <v>#N/A</v>
      </c>
      <c r="S19" s="898"/>
      <c r="T19" s="908">
        <v>0</v>
      </c>
      <c r="U19" s="908">
        <v>0</v>
      </c>
      <c r="V19" s="897"/>
      <c r="W19" s="908">
        <v>0</v>
      </c>
      <c r="X19" s="910">
        <v>0</v>
      </c>
      <c r="Y19" s="910">
        <v>0</v>
      </c>
      <c r="Z19" s="910">
        <v>0</v>
      </c>
      <c r="AA19" s="910">
        <v>0</v>
      </c>
      <c r="AB19" s="910">
        <v>0</v>
      </c>
      <c r="AC19" s="910">
        <v>0</v>
      </c>
      <c r="AD19" s="911">
        <v>0</v>
      </c>
      <c r="AE19" s="911">
        <v>0</v>
      </c>
      <c r="AF19" s="897"/>
      <c r="AG19" s="908">
        <v>0</v>
      </c>
      <c r="AH19" s="908">
        <v>0</v>
      </c>
    </row>
    <row r="20" spans="1:34">
      <c r="A20" s="898" t="s">
        <v>1033</v>
      </c>
      <c r="B20" s="898" t="s">
        <v>962</v>
      </c>
      <c r="C20" s="898">
        <v>2019</v>
      </c>
      <c r="D20" s="898" t="s">
        <v>1159</v>
      </c>
      <c r="E20" s="898" t="s">
        <v>955</v>
      </c>
      <c r="F20" s="898"/>
      <c r="G20" s="903">
        <v>0</v>
      </c>
      <c r="H20" s="903">
        <v>0</v>
      </c>
      <c r="I20" s="903">
        <v>0</v>
      </c>
      <c r="J20" s="903"/>
      <c r="K20" s="903">
        <v>0</v>
      </c>
      <c r="L20" s="903">
        <v>0</v>
      </c>
      <c r="M20" s="903">
        <v>0</v>
      </c>
      <c r="N20" s="903"/>
      <c r="O20" s="903" t="e">
        <v>#N/A</v>
      </c>
      <c r="P20" s="904" t="e">
        <v>#N/A</v>
      </c>
      <c r="Q20" s="904" t="e">
        <v>#N/A</v>
      </c>
      <c r="R20" s="904" t="e">
        <v>#N/A</v>
      </c>
      <c r="S20" s="898"/>
      <c r="T20" s="903">
        <v>0</v>
      </c>
      <c r="U20" s="903">
        <v>0</v>
      </c>
      <c r="V20" s="897"/>
      <c r="W20" s="903">
        <v>0</v>
      </c>
      <c r="X20" s="905">
        <v>0</v>
      </c>
      <c r="Y20" s="905">
        <v>0</v>
      </c>
      <c r="Z20" s="905">
        <v>0</v>
      </c>
      <c r="AA20" s="905">
        <v>0</v>
      </c>
      <c r="AB20" s="905">
        <v>0</v>
      </c>
      <c r="AC20" s="905">
        <v>0</v>
      </c>
      <c r="AD20" s="906">
        <v>0</v>
      </c>
      <c r="AE20" s="906">
        <v>0</v>
      </c>
      <c r="AF20" s="897"/>
      <c r="AG20" s="903">
        <v>0</v>
      </c>
      <c r="AH20" s="903">
        <v>0</v>
      </c>
    </row>
    <row r="21" spans="1:34">
      <c r="A21" s="898" t="s">
        <v>1034</v>
      </c>
      <c r="B21" s="907" t="s">
        <v>962</v>
      </c>
      <c r="C21" s="907">
        <v>2019</v>
      </c>
      <c r="D21" s="907" t="s">
        <v>1159</v>
      </c>
      <c r="E21" s="907" t="s">
        <v>956</v>
      </c>
      <c r="F21" s="898"/>
      <c r="G21" s="908">
        <v>0</v>
      </c>
      <c r="H21" s="908">
        <v>0</v>
      </c>
      <c r="I21" s="908">
        <v>0</v>
      </c>
      <c r="J21" s="903"/>
      <c r="K21" s="908">
        <v>0</v>
      </c>
      <c r="L21" s="908">
        <v>0</v>
      </c>
      <c r="M21" s="908">
        <v>0</v>
      </c>
      <c r="N21" s="903"/>
      <c r="O21" s="908" t="e">
        <v>#N/A</v>
      </c>
      <c r="P21" s="909" t="e">
        <v>#N/A</v>
      </c>
      <c r="Q21" s="909" t="e">
        <v>#N/A</v>
      </c>
      <c r="R21" s="909" t="e">
        <v>#N/A</v>
      </c>
      <c r="S21" s="898"/>
      <c r="T21" s="908">
        <v>0</v>
      </c>
      <c r="U21" s="908">
        <v>0</v>
      </c>
      <c r="V21" s="897"/>
      <c r="W21" s="908">
        <v>0</v>
      </c>
      <c r="X21" s="910">
        <v>0</v>
      </c>
      <c r="Y21" s="910">
        <v>0</v>
      </c>
      <c r="Z21" s="910">
        <v>0</v>
      </c>
      <c r="AA21" s="910">
        <v>0</v>
      </c>
      <c r="AB21" s="910">
        <v>0</v>
      </c>
      <c r="AC21" s="910">
        <v>0</v>
      </c>
      <c r="AD21" s="911">
        <v>0</v>
      </c>
      <c r="AE21" s="911">
        <v>0</v>
      </c>
      <c r="AF21" s="897"/>
      <c r="AG21" s="908">
        <v>0</v>
      </c>
      <c r="AH21" s="908">
        <v>0</v>
      </c>
    </row>
    <row r="22" spans="1:34">
      <c r="A22" s="898" t="s">
        <v>1035</v>
      </c>
      <c r="B22" s="898" t="s">
        <v>962</v>
      </c>
      <c r="C22" s="898">
        <v>2019</v>
      </c>
      <c r="D22" s="898" t="s">
        <v>1159</v>
      </c>
      <c r="E22" s="898" t="s">
        <v>957</v>
      </c>
      <c r="F22" s="898"/>
      <c r="G22" s="903">
        <v>0</v>
      </c>
      <c r="H22" s="903">
        <v>0</v>
      </c>
      <c r="I22" s="903">
        <v>0</v>
      </c>
      <c r="J22" s="903"/>
      <c r="K22" s="903">
        <v>0</v>
      </c>
      <c r="L22" s="903">
        <v>0</v>
      </c>
      <c r="M22" s="903">
        <v>0</v>
      </c>
      <c r="N22" s="903"/>
      <c r="O22" s="903" t="e">
        <v>#N/A</v>
      </c>
      <c r="P22" s="904" t="e">
        <v>#N/A</v>
      </c>
      <c r="Q22" s="904" t="e">
        <v>#N/A</v>
      </c>
      <c r="R22" s="904" t="e">
        <v>#N/A</v>
      </c>
      <c r="S22" s="898"/>
      <c r="T22" s="903">
        <v>0</v>
      </c>
      <c r="U22" s="903">
        <v>0</v>
      </c>
      <c r="V22" s="897"/>
      <c r="W22" s="903">
        <v>0</v>
      </c>
      <c r="X22" s="905">
        <v>0</v>
      </c>
      <c r="Y22" s="905">
        <v>0</v>
      </c>
      <c r="Z22" s="905">
        <v>0</v>
      </c>
      <c r="AA22" s="905">
        <v>0</v>
      </c>
      <c r="AB22" s="905">
        <v>0</v>
      </c>
      <c r="AC22" s="905">
        <v>0</v>
      </c>
      <c r="AD22" s="906">
        <v>0</v>
      </c>
      <c r="AE22" s="906">
        <v>0</v>
      </c>
      <c r="AF22" s="897"/>
      <c r="AG22" s="903">
        <v>0</v>
      </c>
      <c r="AH22" s="903">
        <v>0</v>
      </c>
    </row>
    <row r="23" spans="1:34">
      <c r="A23" s="898"/>
      <c r="B23" s="898"/>
      <c r="C23" s="898"/>
      <c r="D23" s="898"/>
      <c r="E23" s="898"/>
      <c r="F23" s="898"/>
      <c r="G23" s="912"/>
      <c r="H23" s="912"/>
      <c r="I23" s="912"/>
      <c r="J23" s="912"/>
      <c r="K23" s="912"/>
      <c r="L23" s="912"/>
      <c r="M23" s="912"/>
      <c r="N23" s="912"/>
      <c r="O23" s="912"/>
      <c r="P23" s="913"/>
      <c r="Q23" s="913"/>
      <c r="R23" s="913"/>
      <c r="S23" s="898"/>
      <c r="T23" s="912"/>
      <c r="U23" s="912"/>
      <c r="V23" s="898"/>
      <c r="W23" s="912"/>
      <c r="X23" s="898"/>
      <c r="Y23" s="898"/>
      <c r="Z23" s="898"/>
      <c r="AA23" s="898"/>
      <c r="AB23" s="898"/>
      <c r="AC23" s="898"/>
      <c r="AD23" s="914"/>
      <c r="AE23" s="914"/>
      <c r="AF23" s="898"/>
      <c r="AG23" s="912"/>
      <c r="AH23" s="912"/>
    </row>
    <row r="24" spans="1:34">
      <c r="A24" s="898" t="s">
        <v>1130</v>
      </c>
      <c r="B24" s="902" t="s">
        <v>962</v>
      </c>
      <c r="C24" s="902">
        <v>2020</v>
      </c>
      <c r="D24" s="902" t="s">
        <v>1159</v>
      </c>
      <c r="E24" s="898" t="s">
        <v>953</v>
      </c>
      <c r="F24" s="898"/>
      <c r="G24" s="903">
        <v>2751.0000000000005</v>
      </c>
      <c r="H24" s="903">
        <v>2531.560604394273</v>
      </c>
      <c r="I24" s="903">
        <v>6825.6129022020941</v>
      </c>
      <c r="J24" s="903"/>
      <c r="K24" s="903">
        <v>0</v>
      </c>
      <c r="L24" s="903">
        <v>0</v>
      </c>
      <c r="M24" s="903">
        <v>0</v>
      </c>
      <c r="N24" s="903"/>
      <c r="O24" s="903">
        <v>410</v>
      </c>
      <c r="P24" s="904">
        <v>0.24146341463414639</v>
      </c>
      <c r="Q24" s="904">
        <v>3.4146341463414637E-2</v>
      </c>
      <c r="R24" s="904">
        <v>0.724390243902439</v>
      </c>
      <c r="S24" s="898"/>
      <c r="T24" s="903">
        <v>2751.0000000000005</v>
      </c>
      <c r="U24" s="903">
        <v>0</v>
      </c>
      <c r="V24" s="897"/>
      <c r="W24" s="903">
        <v>0</v>
      </c>
      <c r="X24" s="905">
        <v>0</v>
      </c>
      <c r="Y24" s="905">
        <v>0</v>
      </c>
      <c r="Z24" s="905">
        <v>0</v>
      </c>
      <c r="AA24" s="905">
        <v>0</v>
      </c>
      <c r="AB24" s="905">
        <v>0</v>
      </c>
      <c r="AC24" s="905">
        <v>9.0000000000000011E-3</v>
      </c>
      <c r="AD24" s="906">
        <v>2.9000000000000008E-2</v>
      </c>
      <c r="AE24" s="906">
        <v>2.9000000000000008E-2</v>
      </c>
      <c r="AF24" s="897"/>
      <c r="AG24" s="903">
        <v>0</v>
      </c>
      <c r="AH24" s="903">
        <v>0</v>
      </c>
    </row>
    <row r="25" spans="1:34">
      <c r="A25" s="898" t="s">
        <v>1131</v>
      </c>
      <c r="B25" s="907" t="s">
        <v>962</v>
      </c>
      <c r="C25" s="907">
        <v>2020</v>
      </c>
      <c r="D25" s="907" t="s">
        <v>1159</v>
      </c>
      <c r="E25" s="907" t="s">
        <v>954</v>
      </c>
      <c r="F25" s="898"/>
      <c r="G25" s="908">
        <v>2795.064393939394</v>
      </c>
      <c r="H25" s="908">
        <v>2531.5606043942721</v>
      </c>
      <c r="I25" s="908">
        <v>6045.6129022020923</v>
      </c>
      <c r="J25" s="903"/>
      <c r="K25" s="908">
        <v>0</v>
      </c>
      <c r="L25" s="908">
        <v>0</v>
      </c>
      <c r="M25" s="908">
        <v>0</v>
      </c>
      <c r="N25" s="903"/>
      <c r="O25" s="908">
        <v>528</v>
      </c>
      <c r="P25" s="909">
        <v>0.62689393939393945</v>
      </c>
      <c r="Q25" s="909">
        <v>0.10795454545454546</v>
      </c>
      <c r="R25" s="909">
        <v>0.26515151515151514</v>
      </c>
      <c r="S25" s="898"/>
      <c r="T25" s="908">
        <v>2795.064393939394</v>
      </c>
      <c r="U25" s="908">
        <v>0</v>
      </c>
      <c r="V25" s="897"/>
      <c r="W25" s="908">
        <v>0</v>
      </c>
      <c r="X25" s="910">
        <v>0</v>
      </c>
      <c r="Y25" s="910">
        <v>0</v>
      </c>
      <c r="Z25" s="910">
        <v>0</v>
      </c>
      <c r="AA25" s="910">
        <v>0</v>
      </c>
      <c r="AB25" s="910">
        <v>0</v>
      </c>
      <c r="AC25" s="910">
        <v>8.9999999999999993E-3</v>
      </c>
      <c r="AD25" s="911">
        <v>2.8999999999999998E-2</v>
      </c>
      <c r="AE25" s="911">
        <v>2.8999999999999998E-2</v>
      </c>
      <c r="AF25" s="897"/>
      <c r="AG25" s="908">
        <v>0</v>
      </c>
      <c r="AH25" s="908">
        <v>0</v>
      </c>
    </row>
    <row r="26" spans="1:34">
      <c r="A26" s="898" t="s">
        <v>1132</v>
      </c>
      <c r="B26" s="898" t="s">
        <v>962</v>
      </c>
      <c r="C26" s="898">
        <v>2020</v>
      </c>
      <c r="D26" s="898" t="s">
        <v>1159</v>
      </c>
      <c r="E26" s="898" t="s">
        <v>955</v>
      </c>
      <c r="F26" s="898"/>
      <c r="G26" s="903">
        <v>2739.9270866742468</v>
      </c>
      <c r="H26" s="903">
        <v>2531.5606043942726</v>
      </c>
      <c r="I26" s="903">
        <v>6045.6129022020923</v>
      </c>
      <c r="J26" s="903"/>
      <c r="K26" s="903">
        <v>0</v>
      </c>
      <c r="L26" s="903">
        <v>0</v>
      </c>
      <c r="M26" s="903">
        <v>0</v>
      </c>
      <c r="N26" s="903"/>
      <c r="O26" s="903">
        <v>1019.3695134888609</v>
      </c>
      <c r="P26" s="904">
        <v>0.41770889149300389</v>
      </c>
      <c r="Q26" s="904">
        <v>0.18246046573032165</v>
      </c>
      <c r="R26" s="904">
        <v>0.39983064277667452</v>
      </c>
      <c r="S26" s="898"/>
      <c r="T26" s="903">
        <v>2739.9270866742468</v>
      </c>
      <c r="U26" s="903">
        <v>0</v>
      </c>
      <c r="V26" s="897"/>
      <c r="W26" s="903">
        <v>0</v>
      </c>
      <c r="X26" s="905">
        <v>0</v>
      </c>
      <c r="Y26" s="905">
        <v>0</v>
      </c>
      <c r="Z26" s="905">
        <v>0</v>
      </c>
      <c r="AA26" s="905">
        <v>0</v>
      </c>
      <c r="AB26" s="905">
        <v>0</v>
      </c>
      <c r="AC26" s="905">
        <v>8.9999999999999993E-3</v>
      </c>
      <c r="AD26" s="906">
        <v>2.8999999999999998E-2</v>
      </c>
      <c r="AE26" s="906">
        <v>2.8999999999999998E-2</v>
      </c>
      <c r="AF26" s="897"/>
      <c r="AG26" s="903">
        <v>0</v>
      </c>
      <c r="AH26" s="903">
        <v>0</v>
      </c>
    </row>
    <row r="27" spans="1:34">
      <c r="A27" s="898" t="s">
        <v>1133</v>
      </c>
      <c r="B27" s="907" t="s">
        <v>962</v>
      </c>
      <c r="C27" s="907">
        <v>2020</v>
      </c>
      <c r="D27" s="907" t="s">
        <v>1159</v>
      </c>
      <c r="E27" s="907" t="s">
        <v>956</v>
      </c>
      <c r="F27" s="898"/>
      <c r="G27" s="908">
        <v>2796.037645986135</v>
      </c>
      <c r="H27" s="908">
        <v>2531.5606043942721</v>
      </c>
      <c r="I27" s="908">
        <v>5655.6129022020923</v>
      </c>
      <c r="J27" s="903"/>
      <c r="K27" s="908">
        <v>0</v>
      </c>
      <c r="L27" s="908">
        <v>0</v>
      </c>
      <c r="M27" s="908">
        <v>0</v>
      </c>
      <c r="N27" s="903"/>
      <c r="O27" s="908">
        <v>792.90403483268437</v>
      </c>
      <c r="P27" s="909">
        <v>0.76915971045367781</v>
      </c>
      <c r="Q27" s="909">
        <v>0.14940593245498454</v>
      </c>
      <c r="R27" s="909">
        <v>8.14343570913377E-2</v>
      </c>
      <c r="S27" s="898"/>
      <c r="T27" s="908">
        <v>2796.037645986135</v>
      </c>
      <c r="U27" s="908">
        <v>0</v>
      </c>
      <c r="V27" s="897"/>
      <c r="W27" s="908">
        <v>0</v>
      </c>
      <c r="X27" s="910">
        <v>0</v>
      </c>
      <c r="Y27" s="910">
        <v>0</v>
      </c>
      <c r="Z27" s="910">
        <v>0</v>
      </c>
      <c r="AA27" s="910">
        <v>0</v>
      </c>
      <c r="AB27" s="910">
        <v>0</v>
      </c>
      <c r="AC27" s="910">
        <v>8.9999999999999976E-3</v>
      </c>
      <c r="AD27" s="911">
        <v>2.8999999999999998E-2</v>
      </c>
      <c r="AE27" s="911">
        <v>2.8999999999999998E-2</v>
      </c>
      <c r="AF27" s="897"/>
      <c r="AG27" s="908">
        <v>0</v>
      </c>
      <c r="AH27" s="908">
        <v>0</v>
      </c>
    </row>
    <row r="28" spans="1:34">
      <c r="A28" s="898" t="s">
        <v>1134</v>
      </c>
      <c r="B28" s="898" t="s">
        <v>962</v>
      </c>
      <c r="C28" s="898">
        <v>2020</v>
      </c>
      <c r="D28" s="898" t="s">
        <v>1159</v>
      </c>
      <c r="E28" s="898" t="s">
        <v>957</v>
      </c>
      <c r="F28" s="898"/>
      <c r="G28" s="903">
        <v>2797.2047343506188</v>
      </c>
      <c r="H28" s="903">
        <v>2531.5606043942726</v>
      </c>
      <c r="I28" s="903">
        <v>5655.6129022020923</v>
      </c>
      <c r="J28" s="903"/>
      <c r="K28" s="903">
        <v>0</v>
      </c>
      <c r="L28" s="903">
        <v>0</v>
      </c>
      <c r="M28" s="903">
        <v>0</v>
      </c>
      <c r="N28" s="903"/>
      <c r="O28" s="903">
        <v>499.72645167845474</v>
      </c>
      <c r="P28" s="904">
        <v>0.74306743499796712</v>
      </c>
      <c r="Q28" s="904">
        <v>0.16717305410878672</v>
      </c>
      <c r="R28" s="904">
        <v>8.9759510893246075E-2</v>
      </c>
      <c r="S28" s="898"/>
      <c r="T28" s="903">
        <v>2797.2047343506188</v>
      </c>
      <c r="U28" s="903">
        <v>0</v>
      </c>
      <c r="V28" s="897"/>
      <c r="W28" s="903">
        <v>0</v>
      </c>
      <c r="X28" s="905">
        <v>0</v>
      </c>
      <c r="Y28" s="905">
        <v>0</v>
      </c>
      <c r="Z28" s="905">
        <v>0</v>
      </c>
      <c r="AA28" s="905">
        <v>0</v>
      </c>
      <c r="AB28" s="905">
        <v>0</v>
      </c>
      <c r="AC28" s="905">
        <v>8.9999999999999976E-3</v>
      </c>
      <c r="AD28" s="906">
        <v>2.8999999999999998E-2</v>
      </c>
      <c r="AE28" s="906">
        <v>2.8999999999999998E-2</v>
      </c>
      <c r="AF28" s="897"/>
      <c r="AG28" s="903">
        <v>0</v>
      </c>
      <c r="AH28" s="903">
        <v>0</v>
      </c>
    </row>
    <row r="29" spans="1:34">
      <c r="A29" s="898"/>
      <c r="B29" s="898"/>
      <c r="C29" s="898"/>
      <c r="D29" s="898"/>
      <c r="E29" s="898"/>
      <c r="F29" s="898"/>
      <c r="G29" s="912"/>
      <c r="H29" s="912"/>
      <c r="I29" s="912"/>
      <c r="J29" s="912"/>
      <c r="K29" s="912"/>
      <c r="L29" s="912"/>
      <c r="M29" s="912"/>
      <c r="N29" s="912"/>
      <c r="O29" s="912"/>
      <c r="P29" s="913"/>
      <c r="Q29" s="913"/>
      <c r="R29" s="913"/>
      <c r="S29" s="898"/>
      <c r="T29" s="912"/>
      <c r="U29" s="912"/>
      <c r="V29" s="898"/>
      <c r="W29" s="912"/>
      <c r="X29" s="898"/>
      <c r="Y29" s="898"/>
      <c r="Z29" s="898"/>
      <c r="AA29" s="898"/>
      <c r="AB29" s="898"/>
      <c r="AC29" s="898"/>
      <c r="AD29" s="914"/>
      <c r="AE29" s="914"/>
      <c r="AF29" s="898"/>
      <c r="AG29" s="912"/>
      <c r="AH29" s="912"/>
    </row>
    <row r="30" spans="1:34">
      <c r="A30" s="898" t="s">
        <v>1036</v>
      </c>
      <c r="B30" s="902" t="s">
        <v>963</v>
      </c>
      <c r="C30" s="902">
        <v>2019</v>
      </c>
      <c r="D30" s="902" t="s">
        <v>1159</v>
      </c>
      <c r="E30" s="898" t="s">
        <v>953</v>
      </c>
      <c r="F30" s="898"/>
      <c r="G30" s="903">
        <v>0</v>
      </c>
      <c r="H30" s="903">
        <v>0</v>
      </c>
      <c r="I30" s="903">
        <v>0</v>
      </c>
      <c r="J30" s="903"/>
      <c r="K30" s="903">
        <v>0</v>
      </c>
      <c r="L30" s="903">
        <v>0</v>
      </c>
      <c r="M30" s="903">
        <v>0</v>
      </c>
      <c r="N30" s="903"/>
      <c r="O30" s="903">
        <v>0</v>
      </c>
      <c r="P30" s="904" t="e">
        <v>#DIV/0!</v>
      </c>
      <c r="Q30" s="904" t="e">
        <v>#DIV/0!</v>
      </c>
      <c r="R30" s="904" t="e">
        <v>#DIV/0!</v>
      </c>
      <c r="S30" s="898"/>
      <c r="T30" s="903">
        <v>0</v>
      </c>
      <c r="U30" s="903">
        <v>0</v>
      </c>
      <c r="V30" s="897"/>
      <c r="W30" s="903">
        <v>0</v>
      </c>
      <c r="X30" s="905">
        <v>0</v>
      </c>
      <c r="Y30" s="905">
        <v>0</v>
      </c>
      <c r="Z30" s="905">
        <v>0</v>
      </c>
      <c r="AA30" s="905">
        <v>0</v>
      </c>
      <c r="AB30" s="905">
        <v>0</v>
      </c>
      <c r="AC30" s="905">
        <v>0</v>
      </c>
      <c r="AD30" s="906">
        <v>0</v>
      </c>
      <c r="AE30" s="906">
        <v>0</v>
      </c>
      <c r="AF30" s="897"/>
      <c r="AG30" s="903">
        <v>0</v>
      </c>
      <c r="AH30" s="903">
        <v>0</v>
      </c>
    </row>
    <row r="31" spans="1:34">
      <c r="A31" s="898" t="s">
        <v>1037</v>
      </c>
      <c r="B31" s="907" t="s">
        <v>963</v>
      </c>
      <c r="C31" s="907">
        <v>2019</v>
      </c>
      <c r="D31" s="907" t="s">
        <v>1159</v>
      </c>
      <c r="E31" s="907" t="s">
        <v>954</v>
      </c>
      <c r="F31" s="898"/>
      <c r="G31" s="908">
        <v>0</v>
      </c>
      <c r="H31" s="908">
        <v>0</v>
      </c>
      <c r="I31" s="908">
        <v>0</v>
      </c>
      <c r="J31" s="903"/>
      <c r="K31" s="908">
        <v>0</v>
      </c>
      <c r="L31" s="908">
        <v>0</v>
      </c>
      <c r="M31" s="908">
        <v>0</v>
      </c>
      <c r="N31" s="903"/>
      <c r="O31" s="908">
        <v>0</v>
      </c>
      <c r="P31" s="909" t="e">
        <v>#DIV/0!</v>
      </c>
      <c r="Q31" s="909" t="e">
        <v>#DIV/0!</v>
      </c>
      <c r="R31" s="909" t="e">
        <v>#DIV/0!</v>
      </c>
      <c r="S31" s="898"/>
      <c r="T31" s="908">
        <v>0</v>
      </c>
      <c r="U31" s="908">
        <v>0</v>
      </c>
      <c r="V31" s="897"/>
      <c r="W31" s="908">
        <v>0</v>
      </c>
      <c r="X31" s="910">
        <v>0</v>
      </c>
      <c r="Y31" s="910">
        <v>0</v>
      </c>
      <c r="Z31" s="910">
        <v>0</v>
      </c>
      <c r="AA31" s="910">
        <v>0</v>
      </c>
      <c r="AB31" s="910">
        <v>0</v>
      </c>
      <c r="AC31" s="910">
        <v>0</v>
      </c>
      <c r="AD31" s="911">
        <v>0</v>
      </c>
      <c r="AE31" s="911">
        <v>0</v>
      </c>
      <c r="AF31" s="897"/>
      <c r="AG31" s="908">
        <v>0</v>
      </c>
      <c r="AH31" s="908">
        <v>0</v>
      </c>
    </row>
    <row r="32" spans="1:34">
      <c r="A32" s="898" t="s">
        <v>1038</v>
      </c>
      <c r="B32" s="898" t="s">
        <v>963</v>
      </c>
      <c r="C32" s="898">
        <v>2019</v>
      </c>
      <c r="D32" s="898" t="s">
        <v>1159</v>
      </c>
      <c r="E32" s="898" t="s">
        <v>955</v>
      </c>
      <c r="F32" s="898"/>
      <c r="G32" s="903">
        <v>0</v>
      </c>
      <c r="H32" s="903">
        <v>0</v>
      </c>
      <c r="I32" s="903">
        <v>0</v>
      </c>
      <c r="J32" s="903"/>
      <c r="K32" s="903">
        <v>0</v>
      </c>
      <c r="L32" s="903">
        <v>0</v>
      </c>
      <c r="M32" s="903">
        <v>0</v>
      </c>
      <c r="N32" s="903"/>
      <c r="O32" s="903">
        <v>0</v>
      </c>
      <c r="P32" s="904" t="e">
        <v>#DIV/0!</v>
      </c>
      <c r="Q32" s="904" t="e">
        <v>#DIV/0!</v>
      </c>
      <c r="R32" s="904" t="e">
        <v>#DIV/0!</v>
      </c>
      <c r="S32" s="898"/>
      <c r="T32" s="903">
        <v>0</v>
      </c>
      <c r="U32" s="903">
        <v>0</v>
      </c>
      <c r="V32" s="897"/>
      <c r="W32" s="903">
        <v>0</v>
      </c>
      <c r="X32" s="905">
        <v>0</v>
      </c>
      <c r="Y32" s="905">
        <v>0</v>
      </c>
      <c r="Z32" s="905">
        <v>0</v>
      </c>
      <c r="AA32" s="905">
        <v>0</v>
      </c>
      <c r="AB32" s="905">
        <v>0</v>
      </c>
      <c r="AC32" s="905">
        <v>0</v>
      </c>
      <c r="AD32" s="906">
        <v>0</v>
      </c>
      <c r="AE32" s="906">
        <v>0</v>
      </c>
      <c r="AF32" s="897"/>
      <c r="AG32" s="903">
        <v>0</v>
      </c>
      <c r="AH32" s="903">
        <v>0</v>
      </c>
    </row>
    <row r="33" spans="1:34">
      <c r="A33" s="898" t="s">
        <v>1039</v>
      </c>
      <c r="B33" s="907" t="s">
        <v>963</v>
      </c>
      <c r="C33" s="907">
        <v>2019</v>
      </c>
      <c r="D33" s="907" t="s">
        <v>1159</v>
      </c>
      <c r="E33" s="907" t="s">
        <v>956</v>
      </c>
      <c r="F33" s="898"/>
      <c r="G33" s="908">
        <v>0</v>
      </c>
      <c r="H33" s="908">
        <v>0</v>
      </c>
      <c r="I33" s="908">
        <v>0</v>
      </c>
      <c r="J33" s="903"/>
      <c r="K33" s="908">
        <v>0</v>
      </c>
      <c r="L33" s="908">
        <v>0</v>
      </c>
      <c r="M33" s="908">
        <v>0</v>
      </c>
      <c r="N33" s="903"/>
      <c r="O33" s="908">
        <v>0</v>
      </c>
      <c r="P33" s="909" t="e">
        <v>#DIV/0!</v>
      </c>
      <c r="Q33" s="909" t="e">
        <v>#DIV/0!</v>
      </c>
      <c r="R33" s="909" t="e">
        <v>#DIV/0!</v>
      </c>
      <c r="S33" s="898"/>
      <c r="T33" s="908">
        <v>0</v>
      </c>
      <c r="U33" s="908">
        <v>0</v>
      </c>
      <c r="V33" s="897"/>
      <c r="W33" s="908">
        <v>0</v>
      </c>
      <c r="X33" s="910">
        <v>0</v>
      </c>
      <c r="Y33" s="910">
        <v>0</v>
      </c>
      <c r="Z33" s="910">
        <v>0</v>
      </c>
      <c r="AA33" s="910">
        <v>0</v>
      </c>
      <c r="AB33" s="910">
        <v>0</v>
      </c>
      <c r="AC33" s="910">
        <v>0</v>
      </c>
      <c r="AD33" s="911">
        <v>0</v>
      </c>
      <c r="AE33" s="911">
        <v>0</v>
      </c>
      <c r="AF33" s="897"/>
      <c r="AG33" s="908">
        <v>0</v>
      </c>
      <c r="AH33" s="908">
        <v>0</v>
      </c>
    </row>
    <row r="34" spans="1:34">
      <c r="A34" s="898" t="s">
        <v>1040</v>
      </c>
      <c r="B34" s="898" t="s">
        <v>963</v>
      </c>
      <c r="C34" s="898">
        <v>2019</v>
      </c>
      <c r="D34" s="898" t="s">
        <v>1159</v>
      </c>
      <c r="E34" s="898" t="s">
        <v>957</v>
      </c>
      <c r="F34" s="898"/>
      <c r="G34" s="903">
        <v>0</v>
      </c>
      <c r="H34" s="903">
        <v>0</v>
      </c>
      <c r="I34" s="903">
        <v>0</v>
      </c>
      <c r="J34" s="903"/>
      <c r="K34" s="903">
        <v>0</v>
      </c>
      <c r="L34" s="903">
        <v>0</v>
      </c>
      <c r="M34" s="903">
        <v>0</v>
      </c>
      <c r="N34" s="903"/>
      <c r="O34" s="903">
        <v>0</v>
      </c>
      <c r="P34" s="904" t="e">
        <v>#DIV/0!</v>
      </c>
      <c r="Q34" s="904" t="e">
        <v>#DIV/0!</v>
      </c>
      <c r="R34" s="904" t="e">
        <v>#DIV/0!</v>
      </c>
      <c r="S34" s="898"/>
      <c r="T34" s="903">
        <v>0</v>
      </c>
      <c r="U34" s="903">
        <v>0</v>
      </c>
      <c r="V34" s="897"/>
      <c r="W34" s="903">
        <v>0</v>
      </c>
      <c r="X34" s="905">
        <v>0</v>
      </c>
      <c r="Y34" s="905">
        <v>0</v>
      </c>
      <c r="Z34" s="905">
        <v>0</v>
      </c>
      <c r="AA34" s="905">
        <v>0</v>
      </c>
      <c r="AB34" s="905">
        <v>0</v>
      </c>
      <c r="AC34" s="905">
        <v>0</v>
      </c>
      <c r="AD34" s="906">
        <v>0</v>
      </c>
      <c r="AE34" s="906">
        <v>0</v>
      </c>
      <c r="AF34" s="897"/>
      <c r="AG34" s="903">
        <v>0</v>
      </c>
      <c r="AH34" s="903">
        <v>0</v>
      </c>
    </row>
    <row r="35" spans="1:34">
      <c r="A35" s="898"/>
      <c r="B35" s="898"/>
      <c r="C35" s="898"/>
      <c r="D35" s="898"/>
      <c r="E35" s="898"/>
      <c r="F35" s="898"/>
      <c r="G35" s="912"/>
      <c r="H35" s="912"/>
      <c r="I35" s="912"/>
      <c r="J35" s="912"/>
      <c r="K35" s="912"/>
      <c r="L35" s="912"/>
      <c r="M35" s="912"/>
      <c r="N35" s="912"/>
      <c r="O35" s="912"/>
      <c r="P35" s="913"/>
      <c r="Q35" s="913"/>
      <c r="R35" s="913"/>
      <c r="S35" s="898"/>
      <c r="T35" s="912"/>
      <c r="U35" s="912"/>
      <c r="V35" s="898"/>
      <c r="W35" s="912"/>
      <c r="X35" s="898"/>
      <c r="Y35" s="898"/>
      <c r="Z35" s="898"/>
      <c r="AA35" s="898"/>
      <c r="AB35" s="898"/>
      <c r="AC35" s="898"/>
      <c r="AD35" s="914"/>
      <c r="AE35" s="914"/>
      <c r="AF35" s="898"/>
      <c r="AG35" s="912"/>
      <c r="AH35" s="912"/>
    </row>
    <row r="36" spans="1:34">
      <c r="A36" s="898" t="s">
        <v>1065</v>
      </c>
      <c r="B36" s="902" t="s">
        <v>963</v>
      </c>
      <c r="C36" s="902">
        <v>2020</v>
      </c>
      <c r="D36" s="902" t="s">
        <v>1159</v>
      </c>
      <c r="E36" s="898" t="s">
        <v>953</v>
      </c>
      <c r="F36" s="898"/>
      <c r="G36" s="903">
        <v>2000</v>
      </c>
      <c r="H36" s="903">
        <v>2474.301807122165</v>
      </c>
      <c r="I36" s="903">
        <v>5164.2999514071935</v>
      </c>
      <c r="J36" s="903"/>
      <c r="K36" s="903">
        <v>0</v>
      </c>
      <c r="L36" s="903">
        <v>0</v>
      </c>
      <c r="M36" s="903">
        <v>0</v>
      </c>
      <c r="N36" s="903"/>
      <c r="O36" s="903">
        <v>1751</v>
      </c>
      <c r="P36" s="904">
        <v>0.13192461450599657</v>
      </c>
      <c r="Q36" s="904">
        <v>9.5374071958880646E-2</v>
      </c>
      <c r="R36" s="904">
        <v>0.77270131353512284</v>
      </c>
      <c r="S36" s="898"/>
      <c r="T36" s="903">
        <v>2000</v>
      </c>
      <c r="U36" s="903">
        <v>0</v>
      </c>
      <c r="V36" s="897"/>
      <c r="W36" s="903">
        <v>0</v>
      </c>
      <c r="X36" s="905">
        <v>0</v>
      </c>
      <c r="Y36" s="905">
        <v>0</v>
      </c>
      <c r="Z36" s="905">
        <v>0</v>
      </c>
      <c r="AA36" s="905">
        <v>0</v>
      </c>
      <c r="AB36" s="905">
        <v>0</v>
      </c>
      <c r="AC36" s="905">
        <v>8.9999999999999993E-3</v>
      </c>
      <c r="AD36" s="906">
        <v>2.9000000000000001E-2</v>
      </c>
      <c r="AE36" s="906">
        <v>2.9000000000000001E-2</v>
      </c>
      <c r="AF36" s="897"/>
      <c r="AG36" s="903">
        <v>0</v>
      </c>
      <c r="AH36" s="903">
        <v>0</v>
      </c>
    </row>
    <row r="37" spans="1:34">
      <c r="A37" s="898" t="s">
        <v>1066</v>
      </c>
      <c r="B37" s="907" t="s">
        <v>963</v>
      </c>
      <c r="C37" s="907">
        <v>2020</v>
      </c>
      <c r="D37" s="907" t="s">
        <v>1159</v>
      </c>
      <c r="E37" s="907" t="s">
        <v>954</v>
      </c>
      <c r="F37" s="898"/>
      <c r="G37" s="908">
        <v>2000</v>
      </c>
      <c r="H37" s="908">
        <v>2474.301807122165</v>
      </c>
      <c r="I37" s="908">
        <v>4384.2999514071935</v>
      </c>
      <c r="J37" s="903"/>
      <c r="K37" s="908">
        <v>0</v>
      </c>
      <c r="L37" s="908">
        <v>0</v>
      </c>
      <c r="M37" s="908">
        <v>0</v>
      </c>
      <c r="N37" s="903"/>
      <c r="O37" s="908">
        <v>1965</v>
      </c>
      <c r="P37" s="909">
        <v>0.33842239185750639</v>
      </c>
      <c r="Q37" s="909">
        <v>0.24325699745547075</v>
      </c>
      <c r="R37" s="909">
        <v>0.41832061068702292</v>
      </c>
      <c r="S37" s="898"/>
      <c r="T37" s="908">
        <v>2000</v>
      </c>
      <c r="U37" s="908">
        <v>0</v>
      </c>
      <c r="V37" s="897"/>
      <c r="W37" s="908">
        <v>0</v>
      </c>
      <c r="X37" s="910">
        <v>0</v>
      </c>
      <c r="Y37" s="910">
        <v>0</v>
      </c>
      <c r="Z37" s="910">
        <v>0</v>
      </c>
      <c r="AA37" s="910">
        <v>0</v>
      </c>
      <c r="AB37" s="910">
        <v>0</v>
      </c>
      <c r="AC37" s="910">
        <v>8.9999999999999993E-3</v>
      </c>
      <c r="AD37" s="911">
        <v>2.9000000000000005E-2</v>
      </c>
      <c r="AE37" s="911">
        <v>2.9000000000000005E-2</v>
      </c>
      <c r="AF37" s="897"/>
      <c r="AG37" s="908">
        <v>0</v>
      </c>
      <c r="AH37" s="908">
        <v>0</v>
      </c>
    </row>
    <row r="38" spans="1:34">
      <c r="A38" s="898" t="s">
        <v>1067</v>
      </c>
      <c r="B38" s="898" t="s">
        <v>963</v>
      </c>
      <c r="C38" s="898">
        <v>2020</v>
      </c>
      <c r="D38" s="898" t="s">
        <v>1159</v>
      </c>
      <c r="E38" s="898" t="s">
        <v>955</v>
      </c>
      <c r="F38" s="898"/>
      <c r="G38" s="903">
        <v>2000</v>
      </c>
      <c r="H38" s="903">
        <v>2474.301807122165</v>
      </c>
      <c r="I38" s="903">
        <v>4384.2999514071935</v>
      </c>
      <c r="J38" s="903"/>
      <c r="K38" s="903">
        <v>0</v>
      </c>
      <c r="L38" s="903">
        <v>0</v>
      </c>
      <c r="M38" s="903">
        <v>0</v>
      </c>
      <c r="N38" s="903"/>
      <c r="O38" s="903">
        <v>1344</v>
      </c>
      <c r="P38" s="904">
        <v>0.29017857142857145</v>
      </c>
      <c r="Q38" s="904">
        <v>0.30059523809523808</v>
      </c>
      <c r="R38" s="904">
        <v>0.40922619047619047</v>
      </c>
      <c r="S38" s="898"/>
      <c r="T38" s="903">
        <v>2000</v>
      </c>
      <c r="U38" s="903">
        <v>0</v>
      </c>
      <c r="V38" s="897"/>
      <c r="W38" s="903">
        <v>0</v>
      </c>
      <c r="X38" s="905">
        <v>0</v>
      </c>
      <c r="Y38" s="905">
        <v>0</v>
      </c>
      <c r="Z38" s="905">
        <v>0</v>
      </c>
      <c r="AA38" s="905">
        <v>0</v>
      </c>
      <c r="AB38" s="905">
        <v>0</v>
      </c>
      <c r="AC38" s="905">
        <v>8.9999999999999993E-3</v>
      </c>
      <c r="AD38" s="906">
        <v>2.9000000000000001E-2</v>
      </c>
      <c r="AE38" s="906">
        <v>2.9000000000000001E-2</v>
      </c>
      <c r="AF38" s="897"/>
      <c r="AG38" s="903">
        <v>0</v>
      </c>
      <c r="AH38" s="903">
        <v>0</v>
      </c>
    </row>
    <row r="39" spans="1:34">
      <c r="A39" s="898" t="s">
        <v>1068</v>
      </c>
      <c r="B39" s="907" t="s">
        <v>963</v>
      </c>
      <c r="C39" s="907">
        <v>2020</v>
      </c>
      <c r="D39" s="907" t="s">
        <v>1159</v>
      </c>
      <c r="E39" s="907" t="s">
        <v>956</v>
      </c>
      <c r="F39" s="898"/>
      <c r="G39" s="908">
        <v>1999.9999999999998</v>
      </c>
      <c r="H39" s="908">
        <v>2474.301807122165</v>
      </c>
      <c r="I39" s="908">
        <v>4384.2999514071935</v>
      </c>
      <c r="J39" s="903"/>
      <c r="K39" s="908">
        <v>0</v>
      </c>
      <c r="L39" s="908">
        <v>0</v>
      </c>
      <c r="M39" s="908">
        <v>0</v>
      </c>
      <c r="N39" s="903"/>
      <c r="O39" s="908">
        <v>1775</v>
      </c>
      <c r="P39" s="909">
        <v>0.50309859154929581</v>
      </c>
      <c r="Q39" s="909">
        <v>0.36732394366197185</v>
      </c>
      <c r="R39" s="909">
        <v>0.12957746478873239</v>
      </c>
      <c r="S39" s="898"/>
      <c r="T39" s="908">
        <v>1999.9999999999998</v>
      </c>
      <c r="U39" s="908">
        <v>0</v>
      </c>
      <c r="V39" s="897"/>
      <c r="W39" s="908">
        <v>0</v>
      </c>
      <c r="X39" s="910">
        <v>0</v>
      </c>
      <c r="Y39" s="910">
        <v>0</v>
      </c>
      <c r="Z39" s="910">
        <v>0</v>
      </c>
      <c r="AA39" s="910">
        <v>0</v>
      </c>
      <c r="AB39" s="910">
        <v>0</v>
      </c>
      <c r="AC39" s="910">
        <v>8.9999999999999976E-3</v>
      </c>
      <c r="AD39" s="911">
        <v>2.9000000000000001E-2</v>
      </c>
      <c r="AE39" s="911">
        <v>2.9000000000000001E-2</v>
      </c>
      <c r="AF39" s="897"/>
      <c r="AG39" s="908">
        <v>0</v>
      </c>
      <c r="AH39" s="908">
        <v>0</v>
      </c>
    </row>
    <row r="40" spans="1:34">
      <c r="A40" s="898" t="s">
        <v>1069</v>
      </c>
      <c r="B40" s="898" t="s">
        <v>963</v>
      </c>
      <c r="C40" s="898">
        <v>2020</v>
      </c>
      <c r="D40" s="898" t="s">
        <v>1159</v>
      </c>
      <c r="E40" s="898" t="s">
        <v>957</v>
      </c>
      <c r="F40" s="898"/>
      <c r="G40" s="903">
        <v>2000</v>
      </c>
      <c r="H40" s="903">
        <v>2474.301807122165</v>
      </c>
      <c r="I40" s="903">
        <v>4384.2999514071935</v>
      </c>
      <c r="J40" s="903"/>
      <c r="K40" s="903">
        <v>0</v>
      </c>
      <c r="L40" s="903">
        <v>0</v>
      </c>
      <c r="M40" s="903">
        <v>0</v>
      </c>
      <c r="N40" s="903"/>
      <c r="O40" s="903">
        <v>780</v>
      </c>
      <c r="P40" s="904">
        <v>0.4653846153846154</v>
      </c>
      <c r="Q40" s="904">
        <v>0.34102564102564104</v>
      </c>
      <c r="R40" s="904">
        <v>0.1935897435897436</v>
      </c>
      <c r="S40" s="898"/>
      <c r="T40" s="903">
        <v>2000</v>
      </c>
      <c r="U40" s="903">
        <v>0</v>
      </c>
      <c r="V40" s="897"/>
      <c r="W40" s="903">
        <v>0</v>
      </c>
      <c r="X40" s="905">
        <v>0</v>
      </c>
      <c r="Y40" s="905">
        <v>0</v>
      </c>
      <c r="Z40" s="905">
        <v>0</v>
      </c>
      <c r="AA40" s="905">
        <v>0</v>
      </c>
      <c r="AB40" s="905">
        <v>0</v>
      </c>
      <c r="AC40" s="905">
        <v>8.9999999999999993E-3</v>
      </c>
      <c r="AD40" s="906">
        <v>2.8999999999999998E-2</v>
      </c>
      <c r="AE40" s="906">
        <v>2.8999999999999998E-2</v>
      </c>
      <c r="AF40" s="897"/>
      <c r="AG40" s="903">
        <v>0</v>
      </c>
      <c r="AH40" s="903">
        <v>0</v>
      </c>
    </row>
    <row r="41" spans="1:34">
      <c r="A41" s="898"/>
      <c r="B41" s="898"/>
      <c r="C41" s="898"/>
      <c r="D41" s="898"/>
      <c r="E41" s="898"/>
      <c r="F41" s="898"/>
      <c r="G41" s="912"/>
      <c r="H41" s="912"/>
      <c r="I41" s="912"/>
      <c r="J41" s="912"/>
      <c r="K41" s="912"/>
      <c r="L41" s="912"/>
      <c r="M41" s="912"/>
      <c r="N41" s="912"/>
      <c r="O41" s="912"/>
      <c r="P41" s="913"/>
      <c r="Q41" s="913"/>
      <c r="R41" s="913"/>
      <c r="S41" s="898"/>
      <c r="T41" s="912"/>
      <c r="U41" s="912"/>
      <c r="V41" s="898"/>
      <c r="W41" s="912"/>
      <c r="X41" s="898"/>
      <c r="Y41" s="898"/>
      <c r="Z41" s="898"/>
      <c r="AA41" s="898"/>
      <c r="AB41" s="898"/>
      <c r="AC41" s="898"/>
      <c r="AD41" s="914"/>
      <c r="AE41" s="914"/>
      <c r="AF41" s="898"/>
      <c r="AG41" s="912"/>
      <c r="AH41" s="912"/>
    </row>
    <row r="42" spans="1:34">
      <c r="A42" s="898" t="s">
        <v>1041</v>
      </c>
      <c r="B42" s="902" t="s">
        <v>964</v>
      </c>
      <c r="C42" s="902">
        <v>2019</v>
      </c>
      <c r="D42" s="902" t="s">
        <v>1159</v>
      </c>
      <c r="E42" s="898" t="s">
        <v>953</v>
      </c>
      <c r="F42" s="898"/>
      <c r="G42" s="903">
        <v>0</v>
      </c>
      <c r="H42" s="903">
        <v>0</v>
      </c>
      <c r="I42" s="903">
        <v>0</v>
      </c>
      <c r="J42" s="903"/>
      <c r="K42" s="903">
        <v>0</v>
      </c>
      <c r="L42" s="903">
        <v>0</v>
      </c>
      <c r="M42" s="903">
        <v>0</v>
      </c>
      <c r="N42" s="903"/>
      <c r="O42" s="903" t="e">
        <v>#N/A</v>
      </c>
      <c r="P42" s="904" t="e">
        <v>#N/A</v>
      </c>
      <c r="Q42" s="904" t="e">
        <v>#N/A</v>
      </c>
      <c r="R42" s="904" t="e">
        <v>#N/A</v>
      </c>
      <c r="S42" s="898"/>
      <c r="T42" s="903">
        <v>0</v>
      </c>
      <c r="U42" s="903">
        <v>0</v>
      </c>
      <c r="V42" s="897"/>
      <c r="W42" s="903">
        <v>0</v>
      </c>
      <c r="X42" s="905">
        <v>0</v>
      </c>
      <c r="Y42" s="905">
        <v>0</v>
      </c>
      <c r="Z42" s="905">
        <v>0</v>
      </c>
      <c r="AA42" s="905">
        <v>0</v>
      </c>
      <c r="AB42" s="905">
        <v>0</v>
      </c>
      <c r="AC42" s="905">
        <v>0</v>
      </c>
      <c r="AD42" s="906">
        <v>0</v>
      </c>
      <c r="AE42" s="906">
        <v>0</v>
      </c>
      <c r="AF42" s="897"/>
      <c r="AG42" s="903">
        <v>0</v>
      </c>
      <c r="AH42" s="903">
        <v>0</v>
      </c>
    </row>
    <row r="43" spans="1:34">
      <c r="A43" s="898" t="s">
        <v>1042</v>
      </c>
      <c r="B43" s="907" t="s">
        <v>964</v>
      </c>
      <c r="C43" s="907">
        <v>2019</v>
      </c>
      <c r="D43" s="907" t="s">
        <v>1159</v>
      </c>
      <c r="E43" s="907" t="s">
        <v>954</v>
      </c>
      <c r="F43" s="898"/>
      <c r="G43" s="908">
        <v>0</v>
      </c>
      <c r="H43" s="908">
        <v>0</v>
      </c>
      <c r="I43" s="908">
        <v>0</v>
      </c>
      <c r="J43" s="903"/>
      <c r="K43" s="908">
        <v>0</v>
      </c>
      <c r="L43" s="908">
        <v>0</v>
      </c>
      <c r="M43" s="908">
        <v>0</v>
      </c>
      <c r="N43" s="903"/>
      <c r="O43" s="908" t="e">
        <v>#N/A</v>
      </c>
      <c r="P43" s="909" t="e">
        <v>#N/A</v>
      </c>
      <c r="Q43" s="909" t="e">
        <v>#N/A</v>
      </c>
      <c r="R43" s="909" t="e">
        <v>#N/A</v>
      </c>
      <c r="S43" s="898"/>
      <c r="T43" s="908">
        <v>0</v>
      </c>
      <c r="U43" s="908">
        <v>0</v>
      </c>
      <c r="V43" s="897"/>
      <c r="W43" s="908">
        <v>0</v>
      </c>
      <c r="X43" s="910">
        <v>0</v>
      </c>
      <c r="Y43" s="910">
        <v>0</v>
      </c>
      <c r="Z43" s="910">
        <v>0</v>
      </c>
      <c r="AA43" s="910">
        <v>0</v>
      </c>
      <c r="AB43" s="910">
        <v>0</v>
      </c>
      <c r="AC43" s="910">
        <v>0</v>
      </c>
      <c r="AD43" s="911">
        <v>0</v>
      </c>
      <c r="AE43" s="911">
        <v>0</v>
      </c>
      <c r="AF43" s="897"/>
      <c r="AG43" s="908">
        <v>0</v>
      </c>
      <c r="AH43" s="908">
        <v>0</v>
      </c>
    </row>
    <row r="44" spans="1:34">
      <c r="A44" s="898" t="s">
        <v>1043</v>
      </c>
      <c r="B44" s="898" t="s">
        <v>964</v>
      </c>
      <c r="C44" s="898">
        <v>2019</v>
      </c>
      <c r="D44" s="898" t="s">
        <v>1159</v>
      </c>
      <c r="E44" s="898" t="s">
        <v>955</v>
      </c>
      <c r="F44" s="898"/>
      <c r="G44" s="903">
        <v>0</v>
      </c>
      <c r="H44" s="903">
        <v>0</v>
      </c>
      <c r="I44" s="903">
        <v>0</v>
      </c>
      <c r="J44" s="903"/>
      <c r="K44" s="903">
        <v>0</v>
      </c>
      <c r="L44" s="903">
        <v>0</v>
      </c>
      <c r="M44" s="903">
        <v>0</v>
      </c>
      <c r="N44" s="903"/>
      <c r="O44" s="903" t="e">
        <v>#N/A</v>
      </c>
      <c r="P44" s="904" t="e">
        <v>#N/A</v>
      </c>
      <c r="Q44" s="904" t="e">
        <v>#N/A</v>
      </c>
      <c r="R44" s="904" t="e">
        <v>#N/A</v>
      </c>
      <c r="S44" s="898"/>
      <c r="T44" s="903">
        <v>0</v>
      </c>
      <c r="U44" s="903">
        <v>0</v>
      </c>
      <c r="V44" s="897"/>
      <c r="W44" s="903">
        <v>0</v>
      </c>
      <c r="X44" s="905">
        <v>0</v>
      </c>
      <c r="Y44" s="905">
        <v>0</v>
      </c>
      <c r="Z44" s="905">
        <v>0</v>
      </c>
      <c r="AA44" s="905">
        <v>0</v>
      </c>
      <c r="AB44" s="905">
        <v>0</v>
      </c>
      <c r="AC44" s="905">
        <v>0</v>
      </c>
      <c r="AD44" s="906">
        <v>0</v>
      </c>
      <c r="AE44" s="906">
        <v>0</v>
      </c>
      <c r="AF44" s="897"/>
      <c r="AG44" s="903">
        <v>0</v>
      </c>
      <c r="AH44" s="903">
        <v>0</v>
      </c>
    </row>
    <row r="45" spans="1:34">
      <c r="A45" s="898" t="s">
        <v>1044</v>
      </c>
      <c r="B45" s="907" t="s">
        <v>964</v>
      </c>
      <c r="C45" s="907">
        <v>2019</v>
      </c>
      <c r="D45" s="907" t="s">
        <v>1159</v>
      </c>
      <c r="E45" s="907" t="s">
        <v>956</v>
      </c>
      <c r="F45" s="898"/>
      <c r="G45" s="908">
        <v>0</v>
      </c>
      <c r="H45" s="908">
        <v>0</v>
      </c>
      <c r="I45" s="908">
        <v>0</v>
      </c>
      <c r="J45" s="903"/>
      <c r="K45" s="908">
        <v>0</v>
      </c>
      <c r="L45" s="908">
        <v>0</v>
      </c>
      <c r="M45" s="908">
        <v>0</v>
      </c>
      <c r="N45" s="903"/>
      <c r="O45" s="908" t="e">
        <v>#N/A</v>
      </c>
      <c r="P45" s="909" t="e">
        <v>#N/A</v>
      </c>
      <c r="Q45" s="909" t="e">
        <v>#N/A</v>
      </c>
      <c r="R45" s="909" t="e">
        <v>#N/A</v>
      </c>
      <c r="S45" s="898"/>
      <c r="T45" s="908">
        <v>0</v>
      </c>
      <c r="U45" s="908">
        <v>0</v>
      </c>
      <c r="V45" s="897"/>
      <c r="W45" s="908">
        <v>0</v>
      </c>
      <c r="X45" s="910">
        <v>0</v>
      </c>
      <c r="Y45" s="910">
        <v>0</v>
      </c>
      <c r="Z45" s="910">
        <v>0</v>
      </c>
      <c r="AA45" s="910">
        <v>0</v>
      </c>
      <c r="AB45" s="910">
        <v>0</v>
      </c>
      <c r="AC45" s="910">
        <v>0</v>
      </c>
      <c r="AD45" s="911">
        <v>0</v>
      </c>
      <c r="AE45" s="911">
        <v>0</v>
      </c>
      <c r="AF45" s="897"/>
      <c r="AG45" s="908">
        <v>0</v>
      </c>
      <c r="AH45" s="908">
        <v>0</v>
      </c>
    </row>
    <row r="46" spans="1:34">
      <c r="A46" s="898" t="s">
        <v>1045</v>
      </c>
      <c r="B46" s="898" t="s">
        <v>964</v>
      </c>
      <c r="C46" s="898">
        <v>2019</v>
      </c>
      <c r="D46" s="898" t="s">
        <v>1159</v>
      </c>
      <c r="E46" s="898" t="s">
        <v>957</v>
      </c>
      <c r="F46" s="898"/>
      <c r="G46" s="903">
        <v>0</v>
      </c>
      <c r="H46" s="903">
        <v>0</v>
      </c>
      <c r="I46" s="903">
        <v>0</v>
      </c>
      <c r="J46" s="903"/>
      <c r="K46" s="903">
        <v>0</v>
      </c>
      <c r="L46" s="903">
        <v>0</v>
      </c>
      <c r="M46" s="903">
        <v>0</v>
      </c>
      <c r="N46" s="903"/>
      <c r="O46" s="903" t="e">
        <v>#N/A</v>
      </c>
      <c r="P46" s="904" t="e">
        <v>#N/A</v>
      </c>
      <c r="Q46" s="904" t="e">
        <v>#N/A</v>
      </c>
      <c r="R46" s="904" t="e">
        <v>#N/A</v>
      </c>
      <c r="S46" s="898"/>
      <c r="T46" s="903">
        <v>0</v>
      </c>
      <c r="U46" s="903">
        <v>0</v>
      </c>
      <c r="V46" s="897"/>
      <c r="W46" s="903">
        <v>0</v>
      </c>
      <c r="X46" s="905">
        <v>0</v>
      </c>
      <c r="Y46" s="905">
        <v>0</v>
      </c>
      <c r="Z46" s="905">
        <v>0</v>
      </c>
      <c r="AA46" s="905">
        <v>0</v>
      </c>
      <c r="AB46" s="905">
        <v>0</v>
      </c>
      <c r="AC46" s="905">
        <v>0</v>
      </c>
      <c r="AD46" s="906">
        <v>0</v>
      </c>
      <c r="AE46" s="906">
        <v>0</v>
      </c>
      <c r="AF46" s="897"/>
      <c r="AG46" s="903">
        <v>0</v>
      </c>
      <c r="AH46" s="903">
        <v>0</v>
      </c>
    </row>
    <row r="47" spans="1:34">
      <c r="A47" s="898"/>
      <c r="B47" s="898"/>
      <c r="C47" s="898"/>
      <c r="D47" s="898"/>
      <c r="E47" s="898"/>
      <c r="F47" s="898"/>
      <c r="G47" s="912"/>
      <c r="H47" s="912"/>
      <c r="I47" s="912"/>
      <c r="J47" s="912"/>
      <c r="K47" s="912"/>
      <c r="L47" s="912"/>
      <c r="M47" s="912"/>
      <c r="N47" s="912"/>
      <c r="O47" s="912"/>
      <c r="P47" s="913"/>
      <c r="Q47" s="913"/>
      <c r="R47" s="913"/>
      <c r="S47" s="898"/>
      <c r="T47" s="912"/>
      <c r="U47" s="912"/>
      <c r="V47" s="898"/>
      <c r="W47" s="912"/>
      <c r="X47" s="898"/>
      <c r="Y47" s="898"/>
      <c r="Z47" s="898"/>
      <c r="AA47" s="898"/>
      <c r="AB47" s="898"/>
      <c r="AC47" s="898"/>
      <c r="AD47" s="914"/>
      <c r="AE47" s="914"/>
      <c r="AF47" s="898"/>
      <c r="AG47" s="912"/>
      <c r="AH47" s="912"/>
    </row>
    <row r="48" spans="1:34">
      <c r="A48" s="898" t="s">
        <v>1135</v>
      </c>
      <c r="B48" s="902" t="s">
        <v>964</v>
      </c>
      <c r="C48" s="902">
        <v>2020</v>
      </c>
      <c r="D48" s="902" t="s">
        <v>1159</v>
      </c>
      <c r="E48" s="898" t="s">
        <v>953</v>
      </c>
      <c r="F48" s="898"/>
      <c r="G48" s="903">
        <v>2293.9999999999995</v>
      </c>
      <c r="H48" s="903">
        <v>3073.5813915823287</v>
      </c>
      <c r="I48" s="903">
        <v>7265.5786767453665</v>
      </c>
      <c r="J48" s="903"/>
      <c r="K48" s="903">
        <v>0</v>
      </c>
      <c r="L48" s="903">
        <v>0</v>
      </c>
      <c r="M48" s="903">
        <v>0</v>
      </c>
      <c r="N48" s="903"/>
      <c r="O48" s="903">
        <v>401.99999999999994</v>
      </c>
      <c r="P48" s="904">
        <v>0.17910447761194037</v>
      </c>
      <c r="Q48" s="904">
        <v>0.10447761194029852</v>
      </c>
      <c r="R48" s="904">
        <v>0.71641791044776115</v>
      </c>
      <c r="S48" s="898"/>
      <c r="T48" s="903">
        <v>2293.9999999999995</v>
      </c>
      <c r="U48" s="903">
        <v>0</v>
      </c>
      <c r="V48" s="897"/>
      <c r="W48" s="903">
        <v>0</v>
      </c>
      <c r="X48" s="905">
        <v>0</v>
      </c>
      <c r="Y48" s="905">
        <v>0</v>
      </c>
      <c r="Z48" s="905">
        <v>0</v>
      </c>
      <c r="AA48" s="905">
        <v>0</v>
      </c>
      <c r="AB48" s="905">
        <v>0</v>
      </c>
      <c r="AC48" s="905">
        <v>8.9999999999999976E-3</v>
      </c>
      <c r="AD48" s="906">
        <v>2.8999999999999998E-2</v>
      </c>
      <c r="AE48" s="906">
        <v>2.8999999999999998E-2</v>
      </c>
      <c r="AF48" s="897"/>
      <c r="AG48" s="903">
        <v>0</v>
      </c>
      <c r="AH48" s="903">
        <v>0</v>
      </c>
    </row>
    <row r="49" spans="1:34">
      <c r="A49" s="898" t="s">
        <v>1136</v>
      </c>
      <c r="B49" s="907" t="s">
        <v>964</v>
      </c>
      <c r="C49" s="907">
        <v>2020</v>
      </c>
      <c r="D49" s="907" t="s">
        <v>1159</v>
      </c>
      <c r="E49" s="907" t="s">
        <v>954</v>
      </c>
      <c r="F49" s="898"/>
      <c r="G49" s="908">
        <v>2319.0846023688664</v>
      </c>
      <c r="H49" s="908">
        <v>3073.5813915823292</v>
      </c>
      <c r="I49" s="908">
        <v>6734.2284229382603</v>
      </c>
      <c r="J49" s="903"/>
      <c r="K49" s="908">
        <v>0</v>
      </c>
      <c r="L49" s="908">
        <v>0</v>
      </c>
      <c r="M49" s="908">
        <v>0</v>
      </c>
      <c r="N49" s="903"/>
      <c r="O49" s="908">
        <v>591</v>
      </c>
      <c r="P49" s="909">
        <v>0.45516074450084604</v>
      </c>
      <c r="Q49" s="909">
        <v>0.16582064297800339</v>
      </c>
      <c r="R49" s="909">
        <v>0.3790186125211506</v>
      </c>
      <c r="S49" s="898"/>
      <c r="T49" s="908">
        <v>2319.0846023688664</v>
      </c>
      <c r="U49" s="908">
        <v>0</v>
      </c>
      <c r="V49" s="897"/>
      <c r="W49" s="908">
        <v>0</v>
      </c>
      <c r="X49" s="910">
        <v>0</v>
      </c>
      <c r="Y49" s="910">
        <v>0</v>
      </c>
      <c r="Z49" s="910">
        <v>0</v>
      </c>
      <c r="AA49" s="910">
        <v>0</v>
      </c>
      <c r="AB49" s="910">
        <v>0</v>
      </c>
      <c r="AC49" s="910">
        <v>8.9999999999999976E-3</v>
      </c>
      <c r="AD49" s="911">
        <v>2.8999999999999998E-2</v>
      </c>
      <c r="AE49" s="911">
        <v>2.8999999999999998E-2</v>
      </c>
      <c r="AF49" s="897"/>
      <c r="AG49" s="908">
        <v>0</v>
      </c>
      <c r="AH49" s="908">
        <v>0</v>
      </c>
    </row>
    <row r="50" spans="1:34">
      <c r="A50" s="898" t="s">
        <v>1137</v>
      </c>
      <c r="B50" s="898" t="s">
        <v>964</v>
      </c>
      <c r="C50" s="898">
        <v>2020</v>
      </c>
      <c r="D50" s="898" t="s">
        <v>1159</v>
      </c>
      <c r="E50" s="898" t="s">
        <v>955</v>
      </c>
      <c r="F50" s="898"/>
      <c r="G50" s="903">
        <v>2499.110096940437</v>
      </c>
      <c r="H50" s="903">
        <v>3073.5813915823292</v>
      </c>
      <c r="I50" s="903">
        <v>6245.2696585346594</v>
      </c>
      <c r="J50" s="903"/>
      <c r="K50" s="903">
        <v>0</v>
      </c>
      <c r="L50" s="903">
        <v>0</v>
      </c>
      <c r="M50" s="903">
        <v>0</v>
      </c>
      <c r="N50" s="903"/>
      <c r="O50" s="903">
        <v>784.12100250626554</v>
      </c>
      <c r="P50" s="904">
        <v>0.39001307531815393</v>
      </c>
      <c r="Q50" s="904">
        <v>0.27840864415714062</v>
      </c>
      <c r="R50" s="904">
        <v>0.3315782805247055</v>
      </c>
      <c r="S50" s="898"/>
      <c r="T50" s="903">
        <v>2499.110096940437</v>
      </c>
      <c r="U50" s="903">
        <v>0</v>
      </c>
      <c r="V50" s="897"/>
      <c r="W50" s="903">
        <v>0</v>
      </c>
      <c r="X50" s="905">
        <v>0</v>
      </c>
      <c r="Y50" s="905">
        <v>0</v>
      </c>
      <c r="Z50" s="905">
        <v>0</v>
      </c>
      <c r="AA50" s="905">
        <v>0</v>
      </c>
      <c r="AB50" s="905">
        <v>0</v>
      </c>
      <c r="AC50" s="905">
        <v>8.9999999999999976E-3</v>
      </c>
      <c r="AD50" s="906">
        <v>2.8999999999999998E-2</v>
      </c>
      <c r="AE50" s="906">
        <v>2.8999999999999998E-2</v>
      </c>
      <c r="AF50" s="897"/>
      <c r="AG50" s="903">
        <v>0</v>
      </c>
      <c r="AH50" s="903">
        <v>0</v>
      </c>
    </row>
    <row r="51" spans="1:34">
      <c r="A51" s="898" t="s">
        <v>1138</v>
      </c>
      <c r="B51" s="907" t="s">
        <v>964</v>
      </c>
      <c r="C51" s="907">
        <v>2020</v>
      </c>
      <c r="D51" s="907" t="s">
        <v>1159</v>
      </c>
      <c r="E51" s="907" t="s">
        <v>956</v>
      </c>
      <c r="F51" s="898"/>
      <c r="G51" s="908">
        <v>2989.6581840966332</v>
      </c>
      <c r="H51" s="908">
        <v>3073.5813915823292</v>
      </c>
      <c r="I51" s="908">
        <v>5869.8274142097798</v>
      </c>
      <c r="J51" s="903"/>
      <c r="K51" s="908">
        <v>0</v>
      </c>
      <c r="L51" s="908">
        <v>0</v>
      </c>
      <c r="M51" s="908">
        <v>0</v>
      </c>
      <c r="N51" s="903"/>
      <c r="O51" s="908">
        <v>614.03770114942529</v>
      </c>
      <c r="P51" s="909">
        <v>0.64305963038378289</v>
      </c>
      <c r="Q51" s="909">
        <v>0.25456329655255627</v>
      </c>
      <c r="R51" s="909">
        <v>0.10237707306366088</v>
      </c>
      <c r="S51" s="898"/>
      <c r="T51" s="908">
        <v>2989.6581840966332</v>
      </c>
      <c r="U51" s="908">
        <v>0</v>
      </c>
      <c r="V51" s="897"/>
      <c r="W51" s="908">
        <v>0</v>
      </c>
      <c r="X51" s="910">
        <v>0</v>
      </c>
      <c r="Y51" s="910">
        <v>0</v>
      </c>
      <c r="Z51" s="910">
        <v>0</v>
      </c>
      <c r="AA51" s="910">
        <v>0</v>
      </c>
      <c r="AB51" s="910">
        <v>0</v>
      </c>
      <c r="AC51" s="910">
        <v>8.9999999999999993E-3</v>
      </c>
      <c r="AD51" s="911">
        <v>2.8999999999999998E-2</v>
      </c>
      <c r="AE51" s="911">
        <v>2.8999999999999998E-2</v>
      </c>
      <c r="AF51" s="897"/>
      <c r="AG51" s="908">
        <v>0</v>
      </c>
      <c r="AH51" s="908">
        <v>0</v>
      </c>
    </row>
    <row r="52" spans="1:34">
      <c r="A52" s="898" t="s">
        <v>1139</v>
      </c>
      <c r="B52" s="898" t="s">
        <v>964</v>
      </c>
      <c r="C52" s="898">
        <v>2020</v>
      </c>
      <c r="D52" s="898" t="s">
        <v>1159</v>
      </c>
      <c r="E52" s="898" t="s">
        <v>957</v>
      </c>
      <c r="F52" s="898"/>
      <c r="G52" s="903">
        <v>2199.6012306014782</v>
      </c>
      <c r="H52" s="903">
        <v>3073.5813915823296</v>
      </c>
      <c r="I52" s="903">
        <v>6218.9056203267573</v>
      </c>
      <c r="J52" s="903"/>
      <c r="K52" s="903">
        <v>0</v>
      </c>
      <c r="L52" s="903">
        <v>0</v>
      </c>
      <c r="M52" s="903">
        <v>0</v>
      </c>
      <c r="N52" s="903"/>
      <c r="O52" s="903">
        <v>478.84129634430906</v>
      </c>
      <c r="P52" s="904">
        <v>0.55408692039239482</v>
      </c>
      <c r="Q52" s="904">
        <v>0.29525956617426152</v>
      </c>
      <c r="R52" s="904">
        <v>0.15065351343334371</v>
      </c>
      <c r="S52" s="898"/>
      <c r="T52" s="903">
        <v>2199.6012306014782</v>
      </c>
      <c r="U52" s="903">
        <v>0</v>
      </c>
      <c r="V52" s="897"/>
      <c r="W52" s="903">
        <v>0</v>
      </c>
      <c r="X52" s="905">
        <v>0</v>
      </c>
      <c r="Y52" s="905">
        <v>0</v>
      </c>
      <c r="Z52" s="905">
        <v>0</v>
      </c>
      <c r="AA52" s="905">
        <v>0</v>
      </c>
      <c r="AB52" s="905">
        <v>0</v>
      </c>
      <c r="AC52" s="905">
        <v>9.0000000000000011E-3</v>
      </c>
      <c r="AD52" s="906">
        <v>2.9000000000000005E-2</v>
      </c>
      <c r="AE52" s="906">
        <v>2.9000000000000005E-2</v>
      </c>
      <c r="AF52" s="897"/>
      <c r="AG52" s="903">
        <v>0</v>
      </c>
      <c r="AH52" s="903">
        <v>0</v>
      </c>
    </row>
    <row r="53" spans="1:34">
      <c r="A53" s="898"/>
      <c r="B53" s="898"/>
      <c r="C53" s="898"/>
      <c r="D53" s="898"/>
      <c r="E53" s="898"/>
      <c r="F53" s="898"/>
      <c r="G53" s="912"/>
      <c r="H53" s="912"/>
      <c r="I53" s="912"/>
      <c r="J53" s="912"/>
      <c r="K53" s="912"/>
      <c r="L53" s="912"/>
      <c r="M53" s="912"/>
      <c r="N53" s="912"/>
      <c r="O53" s="912"/>
      <c r="P53" s="913"/>
      <c r="Q53" s="913"/>
      <c r="R53" s="913"/>
      <c r="S53" s="898"/>
      <c r="T53" s="912"/>
      <c r="U53" s="912"/>
      <c r="V53" s="898"/>
      <c r="W53" s="912"/>
      <c r="X53" s="898"/>
      <c r="Y53" s="898"/>
      <c r="Z53" s="898"/>
      <c r="AA53" s="898"/>
      <c r="AB53" s="898"/>
      <c r="AC53" s="898"/>
      <c r="AD53" s="914"/>
      <c r="AE53" s="914"/>
      <c r="AF53" s="898"/>
      <c r="AG53" s="912"/>
      <c r="AH53" s="912"/>
    </row>
    <row r="54" spans="1:34">
      <c r="A54" s="898" t="s">
        <v>1046</v>
      </c>
      <c r="B54" s="902" t="s">
        <v>965</v>
      </c>
      <c r="C54" s="902">
        <v>2019</v>
      </c>
      <c r="D54" s="902" t="s">
        <v>1159</v>
      </c>
      <c r="E54" s="898" t="s">
        <v>953</v>
      </c>
      <c r="F54" s="898"/>
      <c r="G54" s="903">
        <v>0</v>
      </c>
      <c r="H54" s="903">
        <v>0</v>
      </c>
      <c r="I54" s="903">
        <v>0</v>
      </c>
      <c r="J54" s="903"/>
      <c r="K54" s="903">
        <v>0</v>
      </c>
      <c r="L54" s="903">
        <v>0</v>
      </c>
      <c r="M54" s="903">
        <v>0</v>
      </c>
      <c r="N54" s="903"/>
      <c r="O54" s="903">
        <v>0</v>
      </c>
      <c r="P54" s="904" t="e">
        <v>#DIV/0!</v>
      </c>
      <c r="Q54" s="904" t="e">
        <v>#DIV/0!</v>
      </c>
      <c r="R54" s="904" t="e">
        <v>#DIV/0!</v>
      </c>
      <c r="S54" s="898"/>
      <c r="T54" s="903">
        <v>0</v>
      </c>
      <c r="U54" s="903">
        <v>0</v>
      </c>
      <c r="V54" s="897"/>
      <c r="W54" s="903">
        <v>0</v>
      </c>
      <c r="X54" s="905">
        <v>0</v>
      </c>
      <c r="Y54" s="905">
        <v>0</v>
      </c>
      <c r="Z54" s="905">
        <v>0</v>
      </c>
      <c r="AA54" s="905">
        <v>0</v>
      </c>
      <c r="AB54" s="905">
        <v>0</v>
      </c>
      <c r="AC54" s="905">
        <v>0</v>
      </c>
      <c r="AD54" s="906">
        <v>0</v>
      </c>
      <c r="AE54" s="906">
        <v>0</v>
      </c>
      <c r="AF54" s="897"/>
      <c r="AG54" s="903">
        <v>0</v>
      </c>
      <c r="AH54" s="903">
        <v>0</v>
      </c>
    </row>
    <row r="55" spans="1:34">
      <c r="A55" s="898" t="s">
        <v>1047</v>
      </c>
      <c r="B55" s="907" t="s">
        <v>965</v>
      </c>
      <c r="C55" s="907">
        <v>2019</v>
      </c>
      <c r="D55" s="907" t="s">
        <v>1159</v>
      </c>
      <c r="E55" s="907" t="s">
        <v>954</v>
      </c>
      <c r="F55" s="898"/>
      <c r="G55" s="908">
        <v>0</v>
      </c>
      <c r="H55" s="908">
        <v>0</v>
      </c>
      <c r="I55" s="908">
        <v>0</v>
      </c>
      <c r="J55" s="903"/>
      <c r="K55" s="908">
        <v>0</v>
      </c>
      <c r="L55" s="908">
        <v>0</v>
      </c>
      <c r="M55" s="908">
        <v>0</v>
      </c>
      <c r="N55" s="903"/>
      <c r="O55" s="908">
        <v>0</v>
      </c>
      <c r="P55" s="909" t="e">
        <v>#DIV/0!</v>
      </c>
      <c r="Q55" s="909" t="e">
        <v>#DIV/0!</v>
      </c>
      <c r="R55" s="909" t="e">
        <v>#DIV/0!</v>
      </c>
      <c r="S55" s="898"/>
      <c r="T55" s="908">
        <v>0</v>
      </c>
      <c r="U55" s="908">
        <v>0</v>
      </c>
      <c r="V55" s="897"/>
      <c r="W55" s="908">
        <v>0</v>
      </c>
      <c r="X55" s="910">
        <v>0</v>
      </c>
      <c r="Y55" s="910">
        <v>0</v>
      </c>
      <c r="Z55" s="910">
        <v>0</v>
      </c>
      <c r="AA55" s="910">
        <v>0</v>
      </c>
      <c r="AB55" s="910">
        <v>0</v>
      </c>
      <c r="AC55" s="910">
        <v>0</v>
      </c>
      <c r="AD55" s="911">
        <v>0</v>
      </c>
      <c r="AE55" s="911">
        <v>0</v>
      </c>
      <c r="AF55" s="897"/>
      <c r="AG55" s="908">
        <v>0</v>
      </c>
      <c r="AH55" s="908">
        <v>0</v>
      </c>
    </row>
    <row r="56" spans="1:34">
      <c r="A56" s="898" t="s">
        <v>1048</v>
      </c>
      <c r="B56" s="898" t="s">
        <v>965</v>
      </c>
      <c r="C56" s="898">
        <v>2019</v>
      </c>
      <c r="D56" s="898" t="s">
        <v>1159</v>
      </c>
      <c r="E56" s="898" t="s">
        <v>955</v>
      </c>
      <c r="F56" s="898"/>
      <c r="G56" s="903">
        <v>0</v>
      </c>
      <c r="H56" s="903">
        <v>0</v>
      </c>
      <c r="I56" s="903">
        <v>0</v>
      </c>
      <c r="J56" s="903"/>
      <c r="K56" s="903">
        <v>0</v>
      </c>
      <c r="L56" s="903">
        <v>0</v>
      </c>
      <c r="M56" s="903">
        <v>0</v>
      </c>
      <c r="N56" s="903"/>
      <c r="O56" s="903">
        <v>0</v>
      </c>
      <c r="P56" s="904" t="e">
        <v>#DIV/0!</v>
      </c>
      <c r="Q56" s="904" t="e">
        <v>#DIV/0!</v>
      </c>
      <c r="R56" s="904" t="e">
        <v>#DIV/0!</v>
      </c>
      <c r="S56" s="898"/>
      <c r="T56" s="903">
        <v>0</v>
      </c>
      <c r="U56" s="903">
        <v>0</v>
      </c>
      <c r="V56" s="897"/>
      <c r="W56" s="903">
        <v>0</v>
      </c>
      <c r="X56" s="905">
        <v>0</v>
      </c>
      <c r="Y56" s="905">
        <v>0</v>
      </c>
      <c r="Z56" s="905">
        <v>0</v>
      </c>
      <c r="AA56" s="905">
        <v>0</v>
      </c>
      <c r="AB56" s="905">
        <v>0</v>
      </c>
      <c r="AC56" s="905">
        <v>0</v>
      </c>
      <c r="AD56" s="906">
        <v>0</v>
      </c>
      <c r="AE56" s="906">
        <v>0</v>
      </c>
      <c r="AF56" s="897"/>
      <c r="AG56" s="903">
        <v>0</v>
      </c>
      <c r="AH56" s="903">
        <v>0</v>
      </c>
    </row>
    <row r="57" spans="1:34">
      <c r="A57" s="898" t="s">
        <v>1049</v>
      </c>
      <c r="B57" s="907" t="s">
        <v>965</v>
      </c>
      <c r="C57" s="907">
        <v>2019</v>
      </c>
      <c r="D57" s="907" t="s">
        <v>1159</v>
      </c>
      <c r="E57" s="907" t="s">
        <v>956</v>
      </c>
      <c r="F57" s="898"/>
      <c r="G57" s="908">
        <v>0</v>
      </c>
      <c r="H57" s="908">
        <v>0</v>
      </c>
      <c r="I57" s="908">
        <v>0</v>
      </c>
      <c r="J57" s="903"/>
      <c r="K57" s="908">
        <v>0</v>
      </c>
      <c r="L57" s="908">
        <v>0</v>
      </c>
      <c r="M57" s="908">
        <v>0</v>
      </c>
      <c r="N57" s="903"/>
      <c r="O57" s="908">
        <v>0</v>
      </c>
      <c r="P57" s="909" t="e">
        <v>#DIV/0!</v>
      </c>
      <c r="Q57" s="909" t="e">
        <v>#DIV/0!</v>
      </c>
      <c r="R57" s="909" t="e">
        <v>#DIV/0!</v>
      </c>
      <c r="S57" s="898"/>
      <c r="T57" s="908">
        <v>0</v>
      </c>
      <c r="U57" s="908">
        <v>0</v>
      </c>
      <c r="V57" s="897"/>
      <c r="W57" s="908">
        <v>0</v>
      </c>
      <c r="X57" s="910">
        <v>0</v>
      </c>
      <c r="Y57" s="910">
        <v>0</v>
      </c>
      <c r="Z57" s="910">
        <v>0</v>
      </c>
      <c r="AA57" s="910">
        <v>0</v>
      </c>
      <c r="AB57" s="910">
        <v>0</v>
      </c>
      <c r="AC57" s="910">
        <v>0</v>
      </c>
      <c r="AD57" s="911">
        <v>0</v>
      </c>
      <c r="AE57" s="911">
        <v>0</v>
      </c>
      <c r="AF57" s="897"/>
      <c r="AG57" s="908">
        <v>0</v>
      </c>
      <c r="AH57" s="908">
        <v>0</v>
      </c>
    </row>
    <row r="58" spans="1:34">
      <c r="A58" s="898" t="s">
        <v>1050</v>
      </c>
      <c r="B58" s="898" t="s">
        <v>965</v>
      </c>
      <c r="C58" s="898">
        <v>2019</v>
      </c>
      <c r="D58" s="898" t="s">
        <v>1159</v>
      </c>
      <c r="E58" s="898" t="s">
        <v>957</v>
      </c>
      <c r="F58" s="898"/>
      <c r="G58" s="903">
        <v>0</v>
      </c>
      <c r="H58" s="903">
        <v>0</v>
      </c>
      <c r="I58" s="903">
        <v>0</v>
      </c>
      <c r="J58" s="903"/>
      <c r="K58" s="903">
        <v>0</v>
      </c>
      <c r="L58" s="903">
        <v>0</v>
      </c>
      <c r="M58" s="903">
        <v>0</v>
      </c>
      <c r="N58" s="903"/>
      <c r="O58" s="903">
        <v>0</v>
      </c>
      <c r="P58" s="904" t="e">
        <v>#DIV/0!</v>
      </c>
      <c r="Q58" s="904" t="e">
        <v>#DIV/0!</v>
      </c>
      <c r="R58" s="904" t="e">
        <v>#DIV/0!</v>
      </c>
      <c r="S58" s="898"/>
      <c r="T58" s="903">
        <v>0</v>
      </c>
      <c r="U58" s="903">
        <v>0</v>
      </c>
      <c r="V58" s="897"/>
      <c r="W58" s="903">
        <v>0</v>
      </c>
      <c r="X58" s="905">
        <v>0</v>
      </c>
      <c r="Y58" s="905">
        <v>0</v>
      </c>
      <c r="Z58" s="905">
        <v>0</v>
      </c>
      <c r="AA58" s="905">
        <v>0</v>
      </c>
      <c r="AB58" s="905">
        <v>0</v>
      </c>
      <c r="AC58" s="905">
        <v>0</v>
      </c>
      <c r="AD58" s="906">
        <v>0</v>
      </c>
      <c r="AE58" s="906">
        <v>0</v>
      </c>
      <c r="AF58" s="897"/>
      <c r="AG58" s="903">
        <v>0</v>
      </c>
      <c r="AH58" s="903">
        <v>0</v>
      </c>
    </row>
    <row r="59" spans="1:34">
      <c r="A59" s="898"/>
      <c r="B59" s="898"/>
      <c r="C59" s="898"/>
      <c r="D59" s="898"/>
      <c r="E59" s="898"/>
      <c r="F59" s="898"/>
      <c r="G59" s="912"/>
      <c r="H59" s="912"/>
      <c r="I59" s="912"/>
      <c r="J59" s="912"/>
      <c r="K59" s="912"/>
      <c r="L59" s="912"/>
      <c r="M59" s="912"/>
      <c r="N59" s="912"/>
      <c r="O59" s="912"/>
      <c r="P59" s="913"/>
      <c r="Q59" s="913"/>
      <c r="R59" s="913"/>
      <c r="S59" s="898"/>
      <c r="T59" s="912"/>
      <c r="U59" s="912"/>
      <c r="V59" s="898"/>
      <c r="W59" s="912"/>
      <c r="X59" s="898"/>
      <c r="Y59" s="898"/>
      <c r="Z59" s="898"/>
      <c r="AA59" s="898"/>
      <c r="AB59" s="898"/>
      <c r="AC59" s="898"/>
      <c r="AD59" s="914"/>
      <c r="AE59" s="914"/>
      <c r="AF59" s="898"/>
      <c r="AG59" s="912"/>
      <c r="AH59" s="912"/>
    </row>
    <row r="60" spans="1:34">
      <c r="A60" s="898" t="s">
        <v>1057</v>
      </c>
      <c r="B60" s="902" t="s">
        <v>965</v>
      </c>
      <c r="C60" s="902">
        <v>2020</v>
      </c>
      <c r="D60" s="902" t="s">
        <v>1159</v>
      </c>
      <c r="E60" s="898" t="s">
        <v>953</v>
      </c>
      <c r="F60" s="898"/>
      <c r="G60" s="903">
        <v>1229</v>
      </c>
      <c r="H60" s="903">
        <v>1860.0624533823611</v>
      </c>
      <c r="I60" s="903">
        <v>3756.7164157747852</v>
      </c>
      <c r="J60" s="903"/>
      <c r="K60" s="903">
        <v>0</v>
      </c>
      <c r="L60" s="903">
        <v>0</v>
      </c>
      <c r="M60" s="903">
        <v>0</v>
      </c>
      <c r="N60" s="903"/>
      <c r="O60" s="903">
        <v>446</v>
      </c>
      <c r="P60" s="904">
        <v>0.24663677130044845</v>
      </c>
      <c r="Q60" s="904">
        <v>0.35201793721973096</v>
      </c>
      <c r="R60" s="904">
        <v>0.40134529147982062</v>
      </c>
      <c r="S60" s="898"/>
      <c r="T60" s="903">
        <v>1229</v>
      </c>
      <c r="U60" s="903">
        <v>0</v>
      </c>
      <c r="V60" s="897"/>
      <c r="W60" s="903">
        <v>0</v>
      </c>
      <c r="X60" s="905">
        <v>0</v>
      </c>
      <c r="Y60" s="905">
        <v>0</v>
      </c>
      <c r="Z60" s="905">
        <v>0</v>
      </c>
      <c r="AA60" s="905">
        <v>0</v>
      </c>
      <c r="AB60" s="905">
        <v>8.9999999999999993E-3</v>
      </c>
      <c r="AC60" s="905">
        <v>1.9E-2</v>
      </c>
      <c r="AD60" s="906">
        <v>3.9E-2</v>
      </c>
      <c r="AE60" s="906">
        <v>3.9E-2</v>
      </c>
      <c r="AF60" s="897"/>
      <c r="AG60" s="903">
        <v>0</v>
      </c>
      <c r="AH60" s="903">
        <v>0</v>
      </c>
    </row>
    <row r="61" spans="1:34">
      <c r="A61" s="898" t="s">
        <v>1058</v>
      </c>
      <c r="B61" s="907" t="s">
        <v>965</v>
      </c>
      <c r="C61" s="907">
        <v>2020</v>
      </c>
      <c r="D61" s="907" t="s">
        <v>1159</v>
      </c>
      <c r="E61" s="907" t="s">
        <v>954</v>
      </c>
      <c r="F61" s="898"/>
      <c r="G61" s="908">
        <v>1269.7618664521319</v>
      </c>
      <c r="H61" s="908">
        <v>1860.0624533823614</v>
      </c>
      <c r="I61" s="908">
        <v>2976.7164157747848</v>
      </c>
      <c r="J61" s="903"/>
      <c r="K61" s="908">
        <v>0</v>
      </c>
      <c r="L61" s="908">
        <v>0</v>
      </c>
      <c r="M61" s="908">
        <v>0</v>
      </c>
      <c r="N61" s="903"/>
      <c r="O61" s="908">
        <v>1243</v>
      </c>
      <c r="P61" s="909">
        <v>0.36283185840707965</v>
      </c>
      <c r="Q61" s="909">
        <v>0.46419951729686243</v>
      </c>
      <c r="R61" s="909">
        <v>0.17296862429605792</v>
      </c>
      <c r="S61" s="898"/>
      <c r="T61" s="908">
        <v>1269.7618664521319</v>
      </c>
      <c r="U61" s="908">
        <v>0</v>
      </c>
      <c r="V61" s="897"/>
      <c r="W61" s="908">
        <v>0</v>
      </c>
      <c r="X61" s="910">
        <v>0</v>
      </c>
      <c r="Y61" s="910">
        <v>0</v>
      </c>
      <c r="Z61" s="910">
        <v>0</v>
      </c>
      <c r="AA61" s="910">
        <v>0</v>
      </c>
      <c r="AB61" s="910">
        <v>8.9999999999999976E-3</v>
      </c>
      <c r="AC61" s="910">
        <v>1.9E-2</v>
      </c>
      <c r="AD61" s="911">
        <v>3.9E-2</v>
      </c>
      <c r="AE61" s="911">
        <v>3.9E-2</v>
      </c>
      <c r="AF61" s="897"/>
      <c r="AG61" s="908">
        <v>0</v>
      </c>
      <c r="AH61" s="908">
        <v>0</v>
      </c>
    </row>
    <row r="62" spans="1:34">
      <c r="A62" s="898" t="s">
        <v>1059</v>
      </c>
      <c r="B62" s="898" t="s">
        <v>965</v>
      </c>
      <c r="C62" s="898">
        <v>2020</v>
      </c>
      <c r="D62" s="898" t="s">
        <v>1159</v>
      </c>
      <c r="E62" s="898" t="s">
        <v>955</v>
      </c>
      <c r="F62" s="898"/>
      <c r="G62" s="903">
        <v>1287.0236024844721</v>
      </c>
      <c r="H62" s="903">
        <v>1860.0624533823611</v>
      </c>
      <c r="I62" s="903">
        <v>2976.7164157747852</v>
      </c>
      <c r="J62" s="903"/>
      <c r="K62" s="903">
        <v>0</v>
      </c>
      <c r="L62" s="903">
        <v>0</v>
      </c>
      <c r="M62" s="903">
        <v>0</v>
      </c>
      <c r="N62" s="903"/>
      <c r="O62" s="903">
        <v>1610</v>
      </c>
      <c r="P62" s="904">
        <v>0.3161490683229814</v>
      </c>
      <c r="Q62" s="904">
        <v>0.52422360248447208</v>
      </c>
      <c r="R62" s="904">
        <v>0.15962732919254657</v>
      </c>
      <c r="S62" s="898"/>
      <c r="T62" s="903">
        <v>1287.0236024844721</v>
      </c>
      <c r="U62" s="903">
        <v>0</v>
      </c>
      <c r="V62" s="897"/>
      <c r="W62" s="903">
        <v>0</v>
      </c>
      <c r="X62" s="905">
        <v>0</v>
      </c>
      <c r="Y62" s="905">
        <v>0</v>
      </c>
      <c r="Z62" s="905">
        <v>0</v>
      </c>
      <c r="AA62" s="905">
        <v>0</v>
      </c>
      <c r="AB62" s="905">
        <v>8.9999999999999993E-3</v>
      </c>
      <c r="AC62" s="905">
        <v>1.9E-2</v>
      </c>
      <c r="AD62" s="906">
        <v>3.9E-2</v>
      </c>
      <c r="AE62" s="906">
        <v>3.9E-2</v>
      </c>
      <c r="AF62" s="897"/>
      <c r="AG62" s="903">
        <v>0</v>
      </c>
      <c r="AH62" s="903">
        <v>0</v>
      </c>
    </row>
    <row r="63" spans="1:34">
      <c r="A63" s="898" t="s">
        <v>1060</v>
      </c>
      <c r="B63" s="907" t="s">
        <v>965</v>
      </c>
      <c r="C63" s="907">
        <v>2020</v>
      </c>
      <c r="D63" s="907" t="s">
        <v>1159</v>
      </c>
      <c r="E63" s="907" t="s">
        <v>956</v>
      </c>
      <c r="F63" s="898"/>
      <c r="G63" s="908">
        <v>1256.832975525977</v>
      </c>
      <c r="H63" s="908">
        <v>1860.0624533823611</v>
      </c>
      <c r="I63" s="908">
        <v>2586.7164157747852</v>
      </c>
      <c r="J63" s="903"/>
      <c r="K63" s="908">
        <v>0</v>
      </c>
      <c r="L63" s="908">
        <v>0</v>
      </c>
      <c r="M63" s="908">
        <v>0</v>
      </c>
      <c r="N63" s="903"/>
      <c r="O63" s="908">
        <v>2329</v>
      </c>
      <c r="P63" s="909">
        <v>0.42636324602833836</v>
      </c>
      <c r="Q63" s="909">
        <v>0.52211249463288967</v>
      </c>
      <c r="R63" s="909">
        <v>5.1524259338772006E-2</v>
      </c>
      <c r="S63" s="898"/>
      <c r="T63" s="908">
        <v>1256.832975525977</v>
      </c>
      <c r="U63" s="908">
        <v>0</v>
      </c>
      <c r="V63" s="897"/>
      <c r="W63" s="908">
        <v>0</v>
      </c>
      <c r="X63" s="910">
        <v>0</v>
      </c>
      <c r="Y63" s="910">
        <v>0</v>
      </c>
      <c r="Z63" s="910">
        <v>0</v>
      </c>
      <c r="AA63" s="910">
        <v>0</v>
      </c>
      <c r="AB63" s="910">
        <v>8.9999999999999993E-3</v>
      </c>
      <c r="AC63" s="910">
        <v>1.9E-2</v>
      </c>
      <c r="AD63" s="911">
        <v>3.9E-2</v>
      </c>
      <c r="AE63" s="911">
        <v>3.9E-2</v>
      </c>
      <c r="AF63" s="897"/>
      <c r="AG63" s="908">
        <v>0</v>
      </c>
      <c r="AH63" s="908">
        <v>0</v>
      </c>
    </row>
    <row r="64" spans="1:34">
      <c r="A64" s="898" t="s">
        <v>1061</v>
      </c>
      <c r="B64" s="898" t="s">
        <v>965</v>
      </c>
      <c r="C64" s="898">
        <v>2020</v>
      </c>
      <c r="D64" s="898" t="s">
        <v>1159</v>
      </c>
      <c r="E64" s="898" t="s">
        <v>957</v>
      </c>
      <c r="F64" s="898"/>
      <c r="G64" s="903">
        <v>1277.4263093788063</v>
      </c>
      <c r="H64" s="903">
        <v>1860.0624533823611</v>
      </c>
      <c r="I64" s="903">
        <v>2586.7164157747852</v>
      </c>
      <c r="J64" s="903"/>
      <c r="K64" s="903">
        <v>0</v>
      </c>
      <c r="L64" s="903">
        <v>0</v>
      </c>
      <c r="M64" s="903">
        <v>0</v>
      </c>
      <c r="N64" s="903"/>
      <c r="O64" s="903">
        <v>821</v>
      </c>
      <c r="P64" s="904">
        <v>0.40560292326431191</v>
      </c>
      <c r="Q64" s="904">
        <v>0.52253349573690622</v>
      </c>
      <c r="R64" s="904">
        <v>7.186358099878197E-2</v>
      </c>
      <c r="S64" s="898"/>
      <c r="T64" s="903">
        <v>1277.4263093788063</v>
      </c>
      <c r="U64" s="903">
        <v>0</v>
      </c>
      <c r="V64" s="897"/>
      <c r="W64" s="903">
        <v>0</v>
      </c>
      <c r="X64" s="905">
        <v>0</v>
      </c>
      <c r="Y64" s="905">
        <v>0</v>
      </c>
      <c r="Z64" s="905">
        <v>0</v>
      </c>
      <c r="AA64" s="905">
        <v>0</v>
      </c>
      <c r="AB64" s="905">
        <v>8.9999999999999993E-3</v>
      </c>
      <c r="AC64" s="905">
        <v>1.9E-2</v>
      </c>
      <c r="AD64" s="906">
        <v>3.9E-2</v>
      </c>
      <c r="AE64" s="906">
        <v>3.9E-2</v>
      </c>
      <c r="AF64" s="897"/>
      <c r="AG64" s="903">
        <v>0</v>
      </c>
      <c r="AH64" s="903">
        <v>0</v>
      </c>
    </row>
    <row r="65" spans="1:34">
      <c r="A65" s="898"/>
      <c r="B65" s="898"/>
      <c r="C65" s="898"/>
      <c r="D65" s="898"/>
      <c r="E65" s="898"/>
      <c r="F65" s="898"/>
      <c r="G65" s="898"/>
      <c r="H65" s="898"/>
      <c r="I65" s="898"/>
      <c r="J65" s="898"/>
      <c r="K65" s="898"/>
      <c r="L65" s="898"/>
      <c r="M65" s="898"/>
      <c r="N65" s="898"/>
      <c r="O65" s="898"/>
      <c r="P65" s="898"/>
      <c r="Q65" s="898"/>
      <c r="R65" s="898"/>
      <c r="S65" s="898"/>
      <c r="T65" s="912"/>
      <c r="U65" s="912"/>
      <c r="V65" s="898"/>
      <c r="W65" s="912"/>
      <c r="X65" s="898"/>
      <c r="Y65" s="898"/>
      <c r="Z65" s="898"/>
      <c r="AA65" s="898"/>
      <c r="AB65" s="898"/>
      <c r="AC65" s="898"/>
      <c r="AD65" s="914"/>
      <c r="AE65" s="914"/>
      <c r="AF65" s="898"/>
      <c r="AG65" s="912"/>
      <c r="AH65" s="912"/>
    </row>
    <row r="66" spans="1:34">
      <c r="A66" s="898" t="s">
        <v>1051</v>
      </c>
      <c r="B66" s="902" t="s">
        <v>966</v>
      </c>
      <c r="C66" s="902">
        <v>2019</v>
      </c>
      <c r="D66" s="902" t="s">
        <v>1159</v>
      </c>
      <c r="E66" s="898" t="s">
        <v>953</v>
      </c>
      <c r="F66" s="898"/>
      <c r="G66" s="903">
        <v>1524</v>
      </c>
      <c r="H66" s="903">
        <v>2030.9624218409497</v>
      </c>
      <c r="I66" s="903">
        <v>5759.1036758427017</v>
      </c>
      <c r="J66" s="903"/>
      <c r="K66" s="903">
        <v>0</v>
      </c>
      <c r="L66" s="903">
        <v>0</v>
      </c>
      <c r="M66" s="903">
        <v>0</v>
      </c>
      <c r="N66" s="903"/>
      <c r="O66" s="903">
        <v>76</v>
      </c>
      <c r="P66" s="904">
        <v>0.19736842105263153</v>
      </c>
      <c r="Q66" s="904">
        <v>0.42105263157894735</v>
      </c>
      <c r="R66" s="904">
        <v>0.38157894736842107</v>
      </c>
      <c r="S66" s="898"/>
      <c r="T66" s="903">
        <v>1524</v>
      </c>
      <c r="U66" s="903">
        <v>0</v>
      </c>
      <c r="V66" s="897"/>
      <c r="W66" s="903">
        <v>0</v>
      </c>
      <c r="X66" s="905">
        <v>0</v>
      </c>
      <c r="Y66" s="905">
        <v>0</v>
      </c>
      <c r="Z66" s="905">
        <v>0</v>
      </c>
      <c r="AA66" s="905">
        <v>0</v>
      </c>
      <c r="AB66" s="905">
        <v>0</v>
      </c>
      <c r="AC66" s="905">
        <v>8.9999999999999993E-3</v>
      </c>
      <c r="AD66" s="906">
        <v>2.9000000000000001E-2</v>
      </c>
      <c r="AE66" s="906">
        <v>2.9000000000000001E-2</v>
      </c>
      <c r="AF66" s="897"/>
      <c r="AG66" s="903">
        <v>0</v>
      </c>
      <c r="AH66" s="903">
        <v>0</v>
      </c>
    </row>
    <row r="67" spans="1:34">
      <c r="A67" s="898" t="s">
        <v>1052</v>
      </c>
      <c r="B67" s="907" t="s">
        <v>966</v>
      </c>
      <c r="C67" s="907">
        <v>2019</v>
      </c>
      <c r="D67" s="907" t="s">
        <v>1159</v>
      </c>
      <c r="E67" s="907" t="s">
        <v>954</v>
      </c>
      <c r="F67" s="898"/>
      <c r="G67" s="908">
        <v>1585.7522522522522</v>
      </c>
      <c r="H67" s="908">
        <v>2030.9624218409497</v>
      </c>
      <c r="I67" s="908">
        <v>5369.1036758427008</v>
      </c>
      <c r="J67" s="903"/>
      <c r="K67" s="908">
        <v>0</v>
      </c>
      <c r="L67" s="908">
        <v>0</v>
      </c>
      <c r="M67" s="908">
        <v>0</v>
      </c>
      <c r="N67" s="903"/>
      <c r="O67" s="908">
        <v>222</v>
      </c>
      <c r="P67" s="909">
        <v>0.23423423423423423</v>
      </c>
      <c r="Q67" s="909">
        <v>0.50900900900900903</v>
      </c>
      <c r="R67" s="909">
        <v>0.25675675675675674</v>
      </c>
      <c r="S67" s="898"/>
      <c r="T67" s="908">
        <v>1585.7522522522522</v>
      </c>
      <c r="U67" s="908">
        <v>0</v>
      </c>
      <c r="V67" s="897"/>
      <c r="W67" s="908">
        <v>0</v>
      </c>
      <c r="X67" s="910">
        <v>0</v>
      </c>
      <c r="Y67" s="910">
        <v>0</v>
      </c>
      <c r="Z67" s="910">
        <v>0</v>
      </c>
      <c r="AA67" s="910">
        <v>0</v>
      </c>
      <c r="AB67" s="910">
        <v>0</v>
      </c>
      <c r="AC67" s="910">
        <v>8.9999999999999993E-3</v>
      </c>
      <c r="AD67" s="911">
        <v>2.8999999999999998E-2</v>
      </c>
      <c r="AE67" s="911">
        <v>2.8999999999999998E-2</v>
      </c>
      <c r="AF67" s="897"/>
      <c r="AG67" s="908">
        <v>0</v>
      </c>
      <c r="AH67" s="908">
        <v>0</v>
      </c>
    </row>
    <row r="68" spans="1:34">
      <c r="A68" s="898" t="s">
        <v>1053</v>
      </c>
      <c r="B68" s="898" t="s">
        <v>966</v>
      </c>
      <c r="C68" s="898">
        <v>2019</v>
      </c>
      <c r="D68" s="898" t="s">
        <v>1159</v>
      </c>
      <c r="E68" s="898" t="s">
        <v>955</v>
      </c>
      <c r="F68" s="898"/>
      <c r="G68" s="903">
        <v>1553.8425357873211</v>
      </c>
      <c r="H68" s="903">
        <v>2030.9624218409497</v>
      </c>
      <c r="I68" s="903">
        <v>5369.1036758427017</v>
      </c>
      <c r="J68" s="903"/>
      <c r="K68" s="903">
        <v>0</v>
      </c>
      <c r="L68" s="903">
        <v>0</v>
      </c>
      <c r="M68" s="903">
        <v>0</v>
      </c>
      <c r="N68" s="903"/>
      <c r="O68" s="903">
        <v>489</v>
      </c>
      <c r="P68" s="904">
        <v>0.17382413087934567</v>
      </c>
      <c r="Q68" s="904">
        <v>0.41104294478527609</v>
      </c>
      <c r="R68" s="904">
        <v>0.41513292433537835</v>
      </c>
      <c r="S68" s="898"/>
      <c r="T68" s="903">
        <v>1553.8425357873211</v>
      </c>
      <c r="U68" s="903">
        <v>0</v>
      </c>
      <c r="V68" s="897"/>
      <c r="W68" s="903">
        <v>0</v>
      </c>
      <c r="X68" s="905">
        <v>0</v>
      </c>
      <c r="Y68" s="905">
        <v>0</v>
      </c>
      <c r="Z68" s="905">
        <v>0</v>
      </c>
      <c r="AA68" s="905">
        <v>0</v>
      </c>
      <c r="AB68" s="905">
        <v>0</v>
      </c>
      <c r="AC68" s="905">
        <v>8.9999999999999993E-3</v>
      </c>
      <c r="AD68" s="906">
        <v>2.9000000000000005E-2</v>
      </c>
      <c r="AE68" s="906">
        <v>2.9000000000000005E-2</v>
      </c>
      <c r="AF68" s="897"/>
      <c r="AG68" s="903">
        <v>0</v>
      </c>
      <c r="AH68" s="903">
        <v>0</v>
      </c>
    </row>
    <row r="69" spans="1:34">
      <c r="A69" s="898" t="s">
        <v>1054</v>
      </c>
      <c r="B69" s="907" t="s">
        <v>966</v>
      </c>
      <c r="C69" s="907">
        <v>2019</v>
      </c>
      <c r="D69" s="907" t="s">
        <v>1159</v>
      </c>
      <c r="E69" s="907" t="s">
        <v>956</v>
      </c>
      <c r="F69" s="898"/>
      <c r="G69" s="908">
        <v>1530.7148936170211</v>
      </c>
      <c r="H69" s="908">
        <v>2030.9624218409494</v>
      </c>
      <c r="I69" s="908">
        <v>4979.1036758427017</v>
      </c>
      <c r="J69" s="903"/>
      <c r="K69" s="908">
        <v>0</v>
      </c>
      <c r="L69" s="908">
        <v>0</v>
      </c>
      <c r="M69" s="908">
        <v>0</v>
      </c>
      <c r="N69" s="903"/>
      <c r="O69" s="908">
        <v>235</v>
      </c>
      <c r="P69" s="909">
        <v>0.37872340425531914</v>
      </c>
      <c r="Q69" s="909">
        <v>0.53617021276595744</v>
      </c>
      <c r="R69" s="909">
        <v>8.5106382978723402E-2</v>
      </c>
      <c r="S69" s="898"/>
      <c r="T69" s="908">
        <v>1530.7148936170211</v>
      </c>
      <c r="U69" s="908">
        <v>0</v>
      </c>
      <c r="V69" s="897"/>
      <c r="W69" s="908">
        <v>0</v>
      </c>
      <c r="X69" s="910">
        <v>0</v>
      </c>
      <c r="Y69" s="910">
        <v>0</v>
      </c>
      <c r="Z69" s="910">
        <v>0</v>
      </c>
      <c r="AA69" s="910">
        <v>0</v>
      </c>
      <c r="AB69" s="910">
        <v>0</v>
      </c>
      <c r="AC69" s="910">
        <v>8.9999999999999993E-3</v>
      </c>
      <c r="AD69" s="911">
        <v>2.8999999999999998E-2</v>
      </c>
      <c r="AE69" s="911">
        <v>2.8999999999999998E-2</v>
      </c>
      <c r="AF69" s="897"/>
      <c r="AG69" s="908">
        <v>0</v>
      </c>
      <c r="AH69" s="908">
        <v>0</v>
      </c>
    </row>
    <row r="70" spans="1:34">
      <c r="A70" s="898" t="s">
        <v>1055</v>
      </c>
      <c r="B70" s="898" t="s">
        <v>966</v>
      </c>
      <c r="C70" s="898">
        <v>2019</v>
      </c>
      <c r="D70" s="898" t="s">
        <v>1159</v>
      </c>
      <c r="E70" s="898" t="s">
        <v>957</v>
      </c>
      <c r="F70" s="898"/>
      <c r="G70" s="903">
        <v>1546.028901734104</v>
      </c>
      <c r="H70" s="903">
        <v>2030.9624218409497</v>
      </c>
      <c r="I70" s="903">
        <v>4979.1036758427017</v>
      </c>
      <c r="J70" s="903"/>
      <c r="K70" s="903">
        <v>0</v>
      </c>
      <c r="L70" s="903">
        <v>0</v>
      </c>
      <c r="M70" s="903">
        <v>0</v>
      </c>
      <c r="N70" s="903"/>
      <c r="O70" s="903">
        <v>173</v>
      </c>
      <c r="P70" s="904">
        <v>0.3641618497109827</v>
      </c>
      <c r="Q70" s="904">
        <v>0.45664739884393063</v>
      </c>
      <c r="R70" s="904">
        <v>0.1791907514450867</v>
      </c>
      <c r="S70" s="898"/>
      <c r="T70" s="903">
        <v>1546.028901734104</v>
      </c>
      <c r="U70" s="903">
        <v>0</v>
      </c>
      <c r="V70" s="897"/>
      <c r="W70" s="903">
        <v>0</v>
      </c>
      <c r="X70" s="905">
        <v>0</v>
      </c>
      <c r="Y70" s="905">
        <v>0</v>
      </c>
      <c r="Z70" s="905">
        <v>0</v>
      </c>
      <c r="AA70" s="905">
        <v>0</v>
      </c>
      <c r="AB70" s="905">
        <v>0</v>
      </c>
      <c r="AC70" s="905">
        <v>8.9999999999999976E-3</v>
      </c>
      <c r="AD70" s="906">
        <v>2.9000000000000001E-2</v>
      </c>
      <c r="AE70" s="906">
        <v>2.9000000000000001E-2</v>
      </c>
      <c r="AF70" s="897"/>
      <c r="AG70" s="903">
        <v>0</v>
      </c>
      <c r="AH70" s="903">
        <v>0</v>
      </c>
    </row>
    <row r="71" spans="1:34">
      <c r="A71" s="898"/>
      <c r="B71" s="898"/>
      <c r="C71" s="898"/>
      <c r="D71" s="898"/>
      <c r="E71" s="898"/>
      <c r="F71" s="898"/>
      <c r="G71" s="898"/>
      <c r="H71" s="898"/>
      <c r="I71" s="898"/>
      <c r="J71" s="898"/>
      <c r="K71" s="898"/>
      <c r="L71" s="898"/>
      <c r="M71" s="898"/>
      <c r="N71" s="898"/>
      <c r="O71" s="898"/>
      <c r="P71" s="898"/>
      <c r="Q71" s="898"/>
      <c r="R71" s="898"/>
      <c r="S71" s="898"/>
      <c r="T71" s="912"/>
      <c r="U71" s="912"/>
      <c r="V71" s="898"/>
      <c r="W71" s="912"/>
      <c r="X71" s="898"/>
      <c r="Y71" s="898"/>
      <c r="Z71" s="898"/>
      <c r="AA71" s="898"/>
      <c r="AB71" s="898"/>
      <c r="AC71" s="898"/>
      <c r="AD71" s="914"/>
      <c r="AE71" s="914"/>
      <c r="AF71" s="898"/>
      <c r="AG71" s="912"/>
      <c r="AH71" s="912"/>
    </row>
    <row r="72" spans="1:34">
      <c r="A72" s="898" t="s">
        <v>1140</v>
      </c>
      <c r="B72" s="902" t="s">
        <v>966</v>
      </c>
      <c r="C72" s="902">
        <v>2020</v>
      </c>
      <c r="D72" s="902" t="s">
        <v>1159</v>
      </c>
      <c r="E72" s="898" t="s">
        <v>953</v>
      </c>
      <c r="F72" s="898"/>
      <c r="G72" s="903">
        <v>0</v>
      </c>
      <c r="H72" s="903">
        <v>0</v>
      </c>
      <c r="I72" s="903">
        <v>0</v>
      </c>
      <c r="J72" s="903"/>
      <c r="K72" s="903">
        <v>0</v>
      </c>
      <c r="L72" s="903">
        <v>0</v>
      </c>
      <c r="M72" s="903">
        <v>0</v>
      </c>
      <c r="N72" s="903"/>
      <c r="O72" s="903">
        <v>0</v>
      </c>
      <c r="P72" s="904" t="e">
        <v>#DIV/0!</v>
      </c>
      <c r="Q72" s="904" t="e">
        <v>#DIV/0!</v>
      </c>
      <c r="R72" s="904" t="e">
        <v>#DIV/0!</v>
      </c>
      <c r="S72" s="898"/>
      <c r="T72" s="903">
        <v>0</v>
      </c>
      <c r="U72" s="903">
        <v>0</v>
      </c>
      <c r="V72" s="897"/>
      <c r="W72" s="903">
        <v>0</v>
      </c>
      <c r="X72" s="905">
        <v>0</v>
      </c>
      <c r="Y72" s="905">
        <v>0</v>
      </c>
      <c r="Z72" s="905">
        <v>0</v>
      </c>
      <c r="AA72" s="905">
        <v>0</v>
      </c>
      <c r="AB72" s="905">
        <v>0</v>
      </c>
      <c r="AC72" s="905">
        <v>0</v>
      </c>
      <c r="AD72" s="906">
        <v>0</v>
      </c>
      <c r="AE72" s="906">
        <v>0</v>
      </c>
      <c r="AF72" s="897"/>
      <c r="AG72" s="903">
        <v>0</v>
      </c>
      <c r="AH72" s="903">
        <v>0</v>
      </c>
    </row>
    <row r="73" spans="1:34">
      <c r="A73" s="898" t="s">
        <v>1141</v>
      </c>
      <c r="B73" s="907" t="s">
        <v>966</v>
      </c>
      <c r="C73" s="907">
        <v>2020</v>
      </c>
      <c r="D73" s="907" t="s">
        <v>1159</v>
      </c>
      <c r="E73" s="907" t="s">
        <v>954</v>
      </c>
      <c r="F73" s="898"/>
      <c r="G73" s="908">
        <v>0</v>
      </c>
      <c r="H73" s="908">
        <v>0</v>
      </c>
      <c r="I73" s="908">
        <v>0</v>
      </c>
      <c r="J73" s="903"/>
      <c r="K73" s="908">
        <v>0</v>
      </c>
      <c r="L73" s="908">
        <v>0</v>
      </c>
      <c r="M73" s="908">
        <v>0</v>
      </c>
      <c r="N73" s="903"/>
      <c r="O73" s="908">
        <v>0</v>
      </c>
      <c r="P73" s="909" t="e">
        <v>#DIV/0!</v>
      </c>
      <c r="Q73" s="909" t="e">
        <v>#DIV/0!</v>
      </c>
      <c r="R73" s="909" t="e">
        <v>#DIV/0!</v>
      </c>
      <c r="S73" s="898"/>
      <c r="T73" s="908">
        <v>0</v>
      </c>
      <c r="U73" s="908">
        <v>0</v>
      </c>
      <c r="V73" s="897"/>
      <c r="W73" s="908">
        <v>0</v>
      </c>
      <c r="X73" s="910">
        <v>0</v>
      </c>
      <c r="Y73" s="910">
        <v>0</v>
      </c>
      <c r="Z73" s="910">
        <v>0</v>
      </c>
      <c r="AA73" s="910">
        <v>0</v>
      </c>
      <c r="AB73" s="910">
        <v>0</v>
      </c>
      <c r="AC73" s="910">
        <v>0</v>
      </c>
      <c r="AD73" s="911">
        <v>0</v>
      </c>
      <c r="AE73" s="911">
        <v>0</v>
      </c>
      <c r="AF73" s="897"/>
      <c r="AG73" s="908">
        <v>0</v>
      </c>
      <c r="AH73" s="908">
        <v>0</v>
      </c>
    </row>
    <row r="74" spans="1:34">
      <c r="A74" s="898" t="s">
        <v>1142</v>
      </c>
      <c r="B74" s="898" t="s">
        <v>966</v>
      </c>
      <c r="C74" s="898">
        <v>2020</v>
      </c>
      <c r="D74" s="898" t="s">
        <v>1159</v>
      </c>
      <c r="E74" s="898" t="s">
        <v>955</v>
      </c>
      <c r="F74" s="898"/>
      <c r="G74" s="903">
        <v>0</v>
      </c>
      <c r="H74" s="903">
        <v>0</v>
      </c>
      <c r="I74" s="903">
        <v>0</v>
      </c>
      <c r="J74" s="903"/>
      <c r="K74" s="903">
        <v>0</v>
      </c>
      <c r="L74" s="903">
        <v>0</v>
      </c>
      <c r="M74" s="903">
        <v>0</v>
      </c>
      <c r="N74" s="903"/>
      <c r="O74" s="903">
        <v>0</v>
      </c>
      <c r="P74" s="904" t="e">
        <v>#DIV/0!</v>
      </c>
      <c r="Q74" s="904" t="e">
        <v>#DIV/0!</v>
      </c>
      <c r="R74" s="904" t="e">
        <v>#DIV/0!</v>
      </c>
      <c r="S74" s="898"/>
      <c r="T74" s="903">
        <v>0</v>
      </c>
      <c r="U74" s="903">
        <v>0</v>
      </c>
      <c r="V74" s="897"/>
      <c r="W74" s="903">
        <v>0</v>
      </c>
      <c r="X74" s="905">
        <v>0</v>
      </c>
      <c r="Y74" s="905">
        <v>0</v>
      </c>
      <c r="Z74" s="905">
        <v>0</v>
      </c>
      <c r="AA74" s="905">
        <v>0</v>
      </c>
      <c r="AB74" s="905">
        <v>0</v>
      </c>
      <c r="AC74" s="905">
        <v>0</v>
      </c>
      <c r="AD74" s="906">
        <v>0</v>
      </c>
      <c r="AE74" s="906">
        <v>0</v>
      </c>
      <c r="AF74" s="897"/>
      <c r="AG74" s="903">
        <v>0</v>
      </c>
      <c r="AH74" s="903">
        <v>0</v>
      </c>
    </row>
    <row r="75" spans="1:34">
      <c r="A75" s="898" t="s">
        <v>1143</v>
      </c>
      <c r="B75" s="907" t="s">
        <v>966</v>
      </c>
      <c r="C75" s="907">
        <v>2020</v>
      </c>
      <c r="D75" s="907" t="s">
        <v>1159</v>
      </c>
      <c r="E75" s="907" t="s">
        <v>956</v>
      </c>
      <c r="F75" s="898"/>
      <c r="G75" s="908">
        <v>0</v>
      </c>
      <c r="H75" s="908">
        <v>0</v>
      </c>
      <c r="I75" s="908">
        <v>0</v>
      </c>
      <c r="J75" s="903"/>
      <c r="K75" s="908">
        <v>0</v>
      </c>
      <c r="L75" s="908">
        <v>0</v>
      </c>
      <c r="M75" s="908">
        <v>0</v>
      </c>
      <c r="N75" s="903"/>
      <c r="O75" s="908">
        <v>0</v>
      </c>
      <c r="P75" s="909" t="e">
        <v>#DIV/0!</v>
      </c>
      <c r="Q75" s="909" t="e">
        <v>#DIV/0!</v>
      </c>
      <c r="R75" s="909" t="e">
        <v>#DIV/0!</v>
      </c>
      <c r="S75" s="898"/>
      <c r="T75" s="908">
        <v>0</v>
      </c>
      <c r="U75" s="908">
        <v>0</v>
      </c>
      <c r="V75" s="897"/>
      <c r="W75" s="908">
        <v>0</v>
      </c>
      <c r="X75" s="910">
        <v>0</v>
      </c>
      <c r="Y75" s="910">
        <v>0</v>
      </c>
      <c r="Z75" s="910">
        <v>0</v>
      </c>
      <c r="AA75" s="910">
        <v>0</v>
      </c>
      <c r="AB75" s="910">
        <v>0</v>
      </c>
      <c r="AC75" s="910">
        <v>0</v>
      </c>
      <c r="AD75" s="911">
        <v>0</v>
      </c>
      <c r="AE75" s="911">
        <v>0</v>
      </c>
      <c r="AF75" s="897"/>
      <c r="AG75" s="908">
        <v>0</v>
      </c>
      <c r="AH75" s="908">
        <v>0</v>
      </c>
    </row>
    <row r="76" spans="1:34">
      <c r="A76" s="898" t="s">
        <v>1144</v>
      </c>
      <c r="B76" s="898" t="s">
        <v>966</v>
      </c>
      <c r="C76" s="898">
        <v>2020</v>
      </c>
      <c r="D76" s="898" t="s">
        <v>1159</v>
      </c>
      <c r="E76" s="898" t="s">
        <v>957</v>
      </c>
      <c r="F76" s="898"/>
      <c r="G76" s="903">
        <v>0</v>
      </c>
      <c r="H76" s="903">
        <v>0</v>
      </c>
      <c r="I76" s="903">
        <v>0</v>
      </c>
      <c r="J76" s="903"/>
      <c r="K76" s="903">
        <v>0</v>
      </c>
      <c r="L76" s="903">
        <v>0</v>
      </c>
      <c r="M76" s="903">
        <v>0</v>
      </c>
      <c r="N76" s="903"/>
      <c r="O76" s="903">
        <v>0</v>
      </c>
      <c r="P76" s="904" t="e">
        <v>#DIV/0!</v>
      </c>
      <c r="Q76" s="904" t="e">
        <v>#DIV/0!</v>
      </c>
      <c r="R76" s="904" t="e">
        <v>#DIV/0!</v>
      </c>
      <c r="S76" s="898"/>
      <c r="T76" s="903">
        <v>0</v>
      </c>
      <c r="U76" s="903">
        <v>0</v>
      </c>
      <c r="V76" s="897"/>
      <c r="W76" s="903">
        <v>0</v>
      </c>
      <c r="X76" s="905">
        <v>0</v>
      </c>
      <c r="Y76" s="905">
        <v>0</v>
      </c>
      <c r="Z76" s="905">
        <v>0</v>
      </c>
      <c r="AA76" s="905">
        <v>0</v>
      </c>
      <c r="AB76" s="905">
        <v>0</v>
      </c>
      <c r="AC76" s="905">
        <v>0</v>
      </c>
      <c r="AD76" s="906">
        <v>0</v>
      </c>
      <c r="AE76" s="906">
        <v>0</v>
      </c>
      <c r="AF76" s="897"/>
      <c r="AG76" s="903">
        <v>0</v>
      </c>
      <c r="AH76" s="903">
        <v>0</v>
      </c>
    </row>
    <row r="78" spans="1:34">
      <c r="A78" s="898" t="s">
        <v>1070</v>
      </c>
      <c r="B78" s="902" t="s">
        <v>1071</v>
      </c>
      <c r="C78" s="902">
        <v>2020</v>
      </c>
      <c r="D78" s="902" t="s">
        <v>1159</v>
      </c>
      <c r="E78" s="898" t="s">
        <v>953</v>
      </c>
      <c r="F78" s="898"/>
      <c r="G78" s="903">
        <v>0</v>
      </c>
      <c r="H78" s="903">
        <v>1341.6351241756129</v>
      </c>
      <c r="I78" s="903">
        <v>4049.1063510559115</v>
      </c>
      <c r="J78" s="903"/>
      <c r="K78" s="903">
        <v>0</v>
      </c>
      <c r="L78" s="903">
        <v>0</v>
      </c>
      <c r="M78" s="903">
        <v>0</v>
      </c>
      <c r="N78" s="903"/>
      <c r="O78" s="903">
        <v>905</v>
      </c>
      <c r="P78" s="904">
        <v>0.12375690607734803</v>
      </c>
      <c r="Q78" s="904">
        <v>0.44640883977900553</v>
      </c>
      <c r="R78" s="904">
        <v>0.4298342541436464</v>
      </c>
      <c r="S78" s="898"/>
      <c r="T78" s="903">
        <v>0</v>
      </c>
      <c r="U78" s="903">
        <v>0</v>
      </c>
      <c r="V78" s="897"/>
      <c r="W78" s="903">
        <v>0</v>
      </c>
      <c r="X78" s="905">
        <v>8.9999999999999993E-3</v>
      </c>
      <c r="Y78" s="905">
        <v>8.9999999999999993E-3</v>
      </c>
      <c r="Z78" s="905">
        <v>8.9999999999999993E-3</v>
      </c>
      <c r="AA78" s="905">
        <v>1.9E-2</v>
      </c>
      <c r="AB78" s="905">
        <v>2.9000000000000001E-2</v>
      </c>
      <c r="AC78" s="905">
        <v>3.9E-2</v>
      </c>
      <c r="AD78" s="906" t="s">
        <v>122</v>
      </c>
      <c r="AE78" s="906" t="s">
        <v>122</v>
      </c>
      <c r="AF78" s="897"/>
      <c r="AG78" s="903">
        <v>0</v>
      </c>
      <c r="AH78" s="903">
        <v>0</v>
      </c>
    </row>
    <row r="79" spans="1:34">
      <c r="A79" s="898" t="s">
        <v>1072</v>
      </c>
      <c r="B79" s="907" t="s">
        <v>1071</v>
      </c>
      <c r="C79" s="907">
        <v>2020</v>
      </c>
      <c r="D79" s="907" t="s">
        <v>1159</v>
      </c>
      <c r="E79" s="907" t="s">
        <v>954</v>
      </c>
      <c r="F79" s="898"/>
      <c r="G79" s="908">
        <v>0</v>
      </c>
      <c r="H79" s="908">
        <v>1341.6351241756129</v>
      </c>
      <c r="I79" s="908">
        <v>3659.1063510559115</v>
      </c>
      <c r="J79" s="903"/>
      <c r="K79" s="908">
        <v>0</v>
      </c>
      <c r="L79" s="908">
        <v>0</v>
      </c>
      <c r="M79" s="908">
        <v>0</v>
      </c>
      <c r="N79" s="903"/>
      <c r="O79" s="908">
        <v>1663</v>
      </c>
      <c r="P79" s="909">
        <v>0.18641010222489479</v>
      </c>
      <c r="Q79" s="909">
        <v>0.5748647023451593</v>
      </c>
      <c r="R79" s="909">
        <v>0.23872519542994589</v>
      </c>
      <c r="S79" s="898"/>
      <c r="T79" s="908">
        <v>0</v>
      </c>
      <c r="U79" s="908">
        <v>0</v>
      </c>
      <c r="V79" s="897"/>
      <c r="W79" s="908">
        <v>0</v>
      </c>
      <c r="X79" s="910">
        <v>9.0000000000000011E-3</v>
      </c>
      <c r="Y79" s="910">
        <v>9.0000000000000011E-3</v>
      </c>
      <c r="Z79" s="910">
        <v>9.0000000000000011E-3</v>
      </c>
      <c r="AA79" s="910">
        <v>1.9000000000000003E-2</v>
      </c>
      <c r="AB79" s="910">
        <v>2.9000000000000005E-2</v>
      </c>
      <c r="AC79" s="910">
        <v>3.9E-2</v>
      </c>
      <c r="AD79" s="911" t="s">
        <v>122</v>
      </c>
      <c r="AE79" s="911" t="s">
        <v>122</v>
      </c>
      <c r="AF79" s="897"/>
      <c r="AG79" s="908">
        <v>0</v>
      </c>
      <c r="AH79" s="908">
        <v>0</v>
      </c>
    </row>
    <row r="80" spans="1:34">
      <c r="A80" s="898" t="s">
        <v>1073</v>
      </c>
      <c r="B80" s="898" t="s">
        <v>1071</v>
      </c>
      <c r="C80" s="898">
        <v>2020</v>
      </c>
      <c r="D80" s="898" t="s">
        <v>1159</v>
      </c>
      <c r="E80" s="898" t="s">
        <v>955</v>
      </c>
      <c r="F80" s="898"/>
      <c r="G80" s="903">
        <v>0</v>
      </c>
      <c r="H80" s="903">
        <v>1341.6351241756129</v>
      </c>
      <c r="I80" s="903">
        <v>3659.1063510559115</v>
      </c>
      <c r="J80" s="903"/>
      <c r="K80" s="903">
        <v>0</v>
      </c>
      <c r="L80" s="903">
        <v>0</v>
      </c>
      <c r="M80" s="903">
        <v>0</v>
      </c>
      <c r="N80" s="903"/>
      <c r="O80" s="903">
        <v>1161</v>
      </c>
      <c r="P80" s="904">
        <v>0.23944875107665806</v>
      </c>
      <c r="Q80" s="904">
        <v>0.5400516795865633</v>
      </c>
      <c r="R80" s="904">
        <v>0.22049956933677864</v>
      </c>
      <c r="S80" s="898"/>
      <c r="T80" s="903">
        <v>0</v>
      </c>
      <c r="U80" s="903">
        <v>0</v>
      </c>
      <c r="V80" s="897"/>
      <c r="W80" s="903">
        <v>0</v>
      </c>
      <c r="X80" s="905">
        <v>8.9999999999999993E-3</v>
      </c>
      <c r="Y80" s="905">
        <v>8.9999999999999993E-3</v>
      </c>
      <c r="Z80" s="905">
        <v>8.9999999999999993E-3</v>
      </c>
      <c r="AA80" s="905">
        <v>1.9E-2</v>
      </c>
      <c r="AB80" s="905">
        <v>2.9000000000000001E-2</v>
      </c>
      <c r="AC80" s="905">
        <v>3.9E-2</v>
      </c>
      <c r="AD80" s="906" t="s">
        <v>122</v>
      </c>
      <c r="AE80" s="906" t="s">
        <v>122</v>
      </c>
      <c r="AF80" s="897"/>
      <c r="AG80" s="903">
        <v>0</v>
      </c>
      <c r="AH80" s="903">
        <v>0</v>
      </c>
    </row>
    <row r="81" spans="1:34">
      <c r="A81" s="898" t="s">
        <v>1074</v>
      </c>
      <c r="B81" s="907" t="s">
        <v>1071</v>
      </c>
      <c r="C81" s="907">
        <v>2020</v>
      </c>
      <c r="D81" s="907" t="s">
        <v>1159</v>
      </c>
      <c r="E81" s="907" t="s">
        <v>956</v>
      </c>
      <c r="F81" s="898"/>
      <c r="G81" s="908">
        <v>0</v>
      </c>
      <c r="H81" s="908">
        <v>1341.6351241756129</v>
      </c>
      <c r="I81" s="908">
        <v>3269.1063510559115</v>
      </c>
      <c r="J81" s="903"/>
      <c r="K81" s="908">
        <v>0</v>
      </c>
      <c r="L81" s="908">
        <v>0</v>
      </c>
      <c r="M81" s="908">
        <v>0</v>
      </c>
      <c r="N81" s="903"/>
      <c r="O81" s="908">
        <v>2093</v>
      </c>
      <c r="P81" s="909">
        <v>0.27042522694696608</v>
      </c>
      <c r="Q81" s="909">
        <v>0.63497372193024371</v>
      </c>
      <c r="R81" s="909">
        <v>9.4601051122790256E-2</v>
      </c>
      <c r="S81" s="898"/>
      <c r="T81" s="908">
        <v>0</v>
      </c>
      <c r="U81" s="908">
        <v>0</v>
      </c>
      <c r="V81" s="897"/>
      <c r="W81" s="908">
        <v>0</v>
      </c>
      <c r="X81" s="910">
        <v>8.9999999999999976E-3</v>
      </c>
      <c r="Y81" s="910">
        <v>8.9999999999999976E-3</v>
      </c>
      <c r="Z81" s="910">
        <v>8.9999999999999976E-3</v>
      </c>
      <c r="AA81" s="910">
        <v>1.8999999999999996E-2</v>
      </c>
      <c r="AB81" s="910">
        <v>2.9000000000000001E-2</v>
      </c>
      <c r="AC81" s="910">
        <v>3.9E-2</v>
      </c>
      <c r="AD81" s="911" t="s">
        <v>122</v>
      </c>
      <c r="AE81" s="911" t="s">
        <v>122</v>
      </c>
      <c r="AF81" s="897"/>
      <c r="AG81" s="908">
        <v>0</v>
      </c>
      <c r="AH81" s="908">
        <v>0</v>
      </c>
    </row>
    <row r="82" spans="1:34">
      <c r="A82" s="898" t="s">
        <v>1075</v>
      </c>
      <c r="B82" s="898" t="s">
        <v>1071</v>
      </c>
      <c r="C82" s="898">
        <v>2020</v>
      </c>
      <c r="D82" s="898" t="s">
        <v>1159</v>
      </c>
      <c r="E82" s="898" t="s">
        <v>957</v>
      </c>
      <c r="F82" s="898"/>
      <c r="G82" s="903">
        <v>0</v>
      </c>
      <c r="H82" s="903">
        <v>1341.6351241756129</v>
      </c>
      <c r="I82" s="903">
        <v>3269.1063510559115</v>
      </c>
      <c r="J82" s="903"/>
      <c r="K82" s="903">
        <v>0</v>
      </c>
      <c r="L82" s="903">
        <v>0</v>
      </c>
      <c r="M82" s="903">
        <v>0</v>
      </c>
      <c r="N82" s="903"/>
      <c r="O82" s="903">
        <v>675</v>
      </c>
      <c r="P82" s="904">
        <v>0.28740740740740739</v>
      </c>
      <c r="Q82" s="904">
        <v>0.5881481481481482</v>
      </c>
      <c r="R82" s="904">
        <v>0.12444444444444444</v>
      </c>
      <c r="S82" s="898"/>
      <c r="T82" s="903">
        <v>0</v>
      </c>
      <c r="U82" s="903">
        <v>0</v>
      </c>
      <c r="V82" s="897"/>
      <c r="W82" s="903">
        <v>0</v>
      </c>
      <c r="X82" s="905">
        <v>8.9999999999999993E-3</v>
      </c>
      <c r="Y82" s="905">
        <v>8.9999999999999993E-3</v>
      </c>
      <c r="Z82" s="905">
        <v>8.9999999999999993E-3</v>
      </c>
      <c r="AA82" s="905">
        <v>1.9E-2</v>
      </c>
      <c r="AB82" s="905">
        <v>2.9000000000000001E-2</v>
      </c>
      <c r="AC82" s="905">
        <v>3.9E-2</v>
      </c>
      <c r="AD82" s="906" t="s">
        <v>122</v>
      </c>
      <c r="AE82" s="906" t="s">
        <v>122</v>
      </c>
      <c r="AF82" s="897"/>
      <c r="AG82" s="903">
        <v>0</v>
      </c>
      <c r="AH82" s="90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15" activePane="bottomRight" state="frozen"/>
      <selection activeCell="I14" sqref="I14"/>
      <selection pane="topRight" activeCell="I14" sqref="I14"/>
      <selection pane="bottomLeft" activeCell="I14" sqref="I14"/>
      <selection pane="bottomRight" activeCell="K97" sqref="K97"/>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MY20 Kia Forte</v>
      </c>
      <c r="I2" s="311"/>
      <c r="J2" s="310" t="str">
        <f>"MY"&amp;RIGHT(J9,2)&amp;" "&amp;J12</f>
        <v>MY20 Kia Forte</v>
      </c>
      <c r="K2" s="311"/>
      <c r="L2" s="310" t="str">
        <f>"MY"&amp;RIGHT(L9,2)&amp;" "&amp;L12</f>
        <v>MY20 Kia Forte</v>
      </c>
      <c r="M2" s="311"/>
      <c r="N2" s="310" t="str">
        <f>"MY"&amp;RIGHT(N9,2)&amp;" "&amp;N12</f>
        <v>MY20 Kia Forte</v>
      </c>
      <c r="O2" s="311"/>
      <c r="P2" s="310" t="str">
        <f>"MY"&amp;RIGHT(P9,2)&amp;" "&amp;P12</f>
        <v>MY20 Kia Forte</v>
      </c>
      <c r="Q2" s="311"/>
      <c r="R2" s="310" t="str">
        <f>"MY"&amp;RIGHT(R9,2)&amp;" "&amp;R12</f>
        <v>MY20 Kia Forte</v>
      </c>
      <c r="S2" s="311"/>
    </row>
    <row r="3" spans="1:21" ht="14.45" customHeight="1" outlineLevel="1">
      <c r="A3" s="108">
        <f t="shared" si="0"/>
        <v>3</v>
      </c>
      <c r="G3" s="867">
        <v>0</v>
      </c>
      <c r="H3" s="108" t="str">
        <f>SUBSTITUTE(H12,H7&amp;" ","",1)</f>
        <v>Forte</v>
      </c>
      <c r="I3" s="111" t="str">
        <f>H3</f>
        <v>Forte</v>
      </c>
      <c r="J3" s="108" t="str">
        <f>SUBSTITUTE(J12,J7&amp;" ","",1)</f>
        <v>Forte</v>
      </c>
      <c r="K3" s="111" t="str">
        <f>J3</f>
        <v>Forte</v>
      </c>
      <c r="L3" s="108" t="str">
        <f>SUBSTITUTE(L12,L7&amp;" ","",1)</f>
        <v>Forte</v>
      </c>
      <c r="M3" s="111" t="str">
        <f>L3</f>
        <v>Forte</v>
      </c>
      <c r="N3" s="108" t="str">
        <f>SUBSTITUTE(N12,N7&amp;" ","",1)</f>
        <v>Forte</v>
      </c>
      <c r="O3" s="111" t="str">
        <f>N3</f>
        <v>Forte</v>
      </c>
      <c r="P3" s="108" t="str">
        <f>SUBSTITUTE(P12,P7&amp;" ","",1)</f>
        <v>Forte</v>
      </c>
      <c r="Q3" s="111" t="str">
        <f>P3</f>
        <v>Forte</v>
      </c>
    </row>
    <row r="4" spans="1:21" ht="14.45" customHeight="1" outlineLevel="1">
      <c r="A4" s="108">
        <f>A3+1</f>
        <v>4</v>
      </c>
      <c r="H4" s="111">
        <f>H9</f>
        <v>2020</v>
      </c>
      <c r="I4" s="111">
        <f>H4</f>
        <v>2020</v>
      </c>
      <c r="J4" s="111">
        <f>J9</f>
        <v>2020</v>
      </c>
      <c r="K4" s="111">
        <f>J4</f>
        <v>2020</v>
      </c>
      <c r="L4" s="111">
        <f>L9</f>
        <v>2020</v>
      </c>
      <c r="M4" s="111">
        <f>L4</f>
        <v>2020</v>
      </c>
      <c r="N4" s="111">
        <f>N9</f>
        <v>2020</v>
      </c>
      <c r="O4" s="111">
        <f>N4</f>
        <v>2020</v>
      </c>
      <c r="P4" s="111">
        <f>P9</f>
        <v>2020</v>
      </c>
      <c r="Q4" s="111">
        <f>P4</f>
        <v>2020</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946</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Compact Conventional/Sporty Car (43)</v>
      </c>
      <c r="I8" s="151"/>
      <c r="J8" s="157" t="str">
        <f>INDEX(Lookup!$A:$A,MATCH(J12,Lookup!$B:$B,0))</f>
        <v>Compact Conventional/Sporty Car (43)</v>
      </c>
      <c r="K8" s="151"/>
      <c r="L8" s="157" t="str">
        <f>INDEX(Lookup!$A:$A,MATCH(L12,Lookup!$B:$B,0))</f>
        <v>Compact Conventional/Sporty Car (43)</v>
      </c>
      <c r="M8" s="151"/>
      <c r="N8" s="157" t="str">
        <f>INDEX(Lookup!$A:$A,MATCH(N12,Lookup!$B:$B,0))</f>
        <v>Compact Conventional/Sporty Car (43)</v>
      </c>
      <c r="O8" s="151"/>
      <c r="P8" s="157" t="str">
        <f>INDEX(Lookup!$A:$A,MATCH(P12,Lookup!$B:$B,0))</f>
        <v>Compact Conventional/Sporty Car (43)</v>
      </c>
      <c r="Q8" s="151"/>
      <c r="R8" s="157" t="str">
        <f>INDEX(Lookup!$A:$A,MATCH(R12,Lookup!$B:$B,0))</f>
        <v>Compact Conventional/Sporty Car (43)</v>
      </c>
      <c r="S8" s="151"/>
      <c r="T8" s="114"/>
    </row>
    <row r="9" spans="1:21" ht="15">
      <c r="A9" s="108">
        <f t="shared" si="0"/>
        <v>9</v>
      </c>
      <c r="G9" s="169" t="s">
        <v>335</v>
      </c>
      <c r="H9" s="313">
        <v>2020</v>
      </c>
      <c r="I9" s="314"/>
      <c r="J9" s="313">
        <f>H9</f>
        <v>2020</v>
      </c>
      <c r="K9" s="314"/>
      <c r="L9" s="313">
        <f>J9</f>
        <v>2020</v>
      </c>
      <c r="M9" s="314"/>
      <c r="N9" s="313">
        <f>L9</f>
        <v>2020</v>
      </c>
      <c r="O9" s="314"/>
      <c r="P9" s="313">
        <f>N9</f>
        <v>2020</v>
      </c>
      <c r="Q9" s="314"/>
      <c r="R9" s="313">
        <f>P9</f>
        <v>2020</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947</v>
      </c>
      <c r="I11" s="314"/>
      <c r="J11" s="313" t="s">
        <v>948</v>
      </c>
      <c r="K11" s="314"/>
      <c r="L11" s="313" t="s">
        <v>949</v>
      </c>
      <c r="M11" s="314"/>
      <c r="N11" s="313" t="s">
        <v>950</v>
      </c>
      <c r="O11" s="314"/>
      <c r="P11" s="313" t="s">
        <v>951</v>
      </c>
      <c r="Q11" s="314"/>
      <c r="R11" s="313" t="s">
        <v>809</v>
      </c>
      <c r="S11" s="314"/>
      <c r="U11" s="114"/>
    </row>
    <row r="12" spans="1:21" ht="15.75" thickBot="1">
      <c r="A12" s="108">
        <f t="shared" si="0"/>
        <v>12</v>
      </c>
      <c r="G12" s="317" t="s">
        <v>515</v>
      </c>
      <c r="H12" s="318" t="s">
        <v>358</v>
      </c>
      <c r="I12" s="314"/>
      <c r="J12" s="318" t="str">
        <f>H12</f>
        <v>Kia Forte</v>
      </c>
      <c r="K12" s="314"/>
      <c r="L12" s="318" t="str">
        <f>J12</f>
        <v>Kia Forte</v>
      </c>
      <c r="M12" s="314"/>
      <c r="N12" s="318" t="str">
        <f>L12</f>
        <v>Kia Forte</v>
      </c>
      <c r="O12" s="314"/>
      <c r="P12" s="318" t="str">
        <f>N12</f>
        <v>Kia Forte</v>
      </c>
      <c r="Q12" s="314"/>
      <c r="R12" s="318" t="str">
        <f>P12</f>
        <v>Kia Forte</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19985-290</f>
        <v>19695</v>
      </c>
      <c r="I15" s="535"/>
      <c r="J15" s="171">
        <f>H15</f>
        <v>19695</v>
      </c>
      <c r="K15" s="535"/>
      <c r="L15" s="171">
        <f>J15</f>
        <v>19695</v>
      </c>
      <c r="M15" s="535"/>
      <c r="N15" s="171">
        <f>L15</f>
        <v>19695</v>
      </c>
      <c r="O15" s="535"/>
      <c r="P15" s="171">
        <f>N15</f>
        <v>19695</v>
      </c>
      <c r="Q15" s="535"/>
      <c r="R15" s="171">
        <f>P15</f>
        <v>19695</v>
      </c>
      <c r="S15" s="535"/>
      <c r="U15" s="114"/>
    </row>
    <row r="16" spans="1:21" ht="15.75" thickBot="1">
      <c r="A16" s="108">
        <f t="shared" si="0"/>
        <v>16</v>
      </c>
      <c r="F16" s="110"/>
      <c r="G16" s="182" t="s">
        <v>47</v>
      </c>
      <c r="H16" s="537">
        <f>H15/0.95</f>
        <v>20731.578947368424</v>
      </c>
      <c r="I16" s="153"/>
      <c r="J16" s="537">
        <f>J15/0.95</f>
        <v>20731.578947368424</v>
      </c>
      <c r="K16" s="153"/>
      <c r="L16" s="537">
        <f>L15/0.95</f>
        <v>20731.578947368424</v>
      </c>
      <c r="M16" s="153"/>
      <c r="N16" s="537">
        <f>N15/0.95</f>
        <v>20731.578947368424</v>
      </c>
      <c r="O16" s="153"/>
      <c r="P16" s="537">
        <f>P15/0.95</f>
        <v>20731.578947368424</v>
      </c>
      <c r="Q16" s="153"/>
      <c r="R16" s="537">
        <f>R15/0.95</f>
        <v>20731.578947368424</v>
      </c>
      <c r="S16" s="153"/>
      <c r="U16" s="114"/>
    </row>
    <row r="17" spans="1:21" ht="15.75" thickBot="1">
      <c r="A17" s="108">
        <f t="shared" si="0"/>
        <v>17</v>
      </c>
      <c r="F17" s="110"/>
      <c r="G17" s="182" t="s">
        <v>516</v>
      </c>
      <c r="H17" s="171">
        <f>H15*30%</f>
        <v>5908.5</v>
      </c>
      <c r="I17" s="153"/>
      <c r="J17" s="171">
        <f>J15*30%</f>
        <v>5908.5</v>
      </c>
      <c r="K17" s="153"/>
      <c r="L17" s="171">
        <f>L15*30%</f>
        <v>5908.5</v>
      </c>
      <c r="M17" s="153"/>
      <c r="N17" s="171">
        <f>N15*30%</f>
        <v>5908.5</v>
      </c>
      <c r="O17" s="153"/>
      <c r="P17" s="171">
        <f>P15*30%</f>
        <v>5908.5</v>
      </c>
      <c r="Q17" s="153"/>
      <c r="R17" s="171">
        <f>R15*30%</f>
        <v>5908.5</v>
      </c>
      <c r="S17" s="153"/>
      <c r="U17" s="114"/>
    </row>
    <row r="18" spans="1:21" ht="15.75" hidden="1" thickBot="1">
      <c r="A18" s="108">
        <f t="shared" si="0"/>
        <v>18</v>
      </c>
      <c r="F18" s="110"/>
      <c r="G18" s="184" t="s">
        <v>517</v>
      </c>
      <c r="H18" s="171">
        <f t="shared" ref="H18" si="1">H17</f>
        <v>5908.5</v>
      </c>
      <c r="I18" s="153"/>
      <c r="J18" s="171">
        <f t="shared" ref="J18" si="2">J17</f>
        <v>5908.5</v>
      </c>
      <c r="K18" s="153"/>
      <c r="L18" s="171">
        <f t="shared" ref="L18" si="3">L17</f>
        <v>5908.5</v>
      </c>
      <c r="M18" s="153"/>
      <c r="N18" s="171">
        <f t="shared" ref="N18" si="4">N17</f>
        <v>5908.5</v>
      </c>
      <c r="O18" s="153"/>
      <c r="P18" s="171">
        <f t="shared" ref="P18" si="5">P17</f>
        <v>5908.5</v>
      </c>
      <c r="Q18" s="153"/>
      <c r="R18" s="171">
        <f t="shared" ref="R18" si="6">R17</f>
        <v>5908.5</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4993.2939301234746</v>
      </c>
      <c r="I20" s="153"/>
      <c r="J20" s="170">
        <f>J21*J26+J22*J27+IF(K28="TOS",J21,J23)*J28+J24</f>
        <v>3346.4235130620518</v>
      </c>
      <c r="K20" s="153"/>
      <c r="L20" s="170">
        <f>L21*L26+L22*L27+IF(M28="TOS",L21,L23)*L28+L24</f>
        <v>3467.7694503767912</v>
      </c>
      <c r="M20" s="153"/>
      <c r="N20" s="170">
        <f>N21*N26+N22*N27+IF(O28="TOS",N21,N23)*N28+N24</f>
        <v>2328.1478086338602</v>
      </c>
      <c r="O20" s="153"/>
      <c r="P20" s="170">
        <f>P21*P26+P22*P27+IF(Q28="TOS",P21,P23)*P28+P24</f>
        <v>2467.7963733178344</v>
      </c>
      <c r="Q20" s="153"/>
      <c r="R20" s="170">
        <f>R21*R26+R22*R27+IF(S28="TOS",R21,R23)*R28+R24</f>
        <v>2747.8357943640567</v>
      </c>
      <c r="S20" s="153"/>
      <c r="U20" s="114"/>
    </row>
    <row r="21" spans="1:21" ht="15">
      <c r="A21" s="108">
        <f t="shared" si="0"/>
        <v>21</v>
      </c>
      <c r="G21" s="184" t="s">
        <v>328</v>
      </c>
      <c r="H21" s="537">
        <f>INDEX('LM Offers'!$A$3:$CZ$500,MATCH(H$3&amp;H$4&amp;H$5,'LM Offers'!$A$3:$A$500,0),MATCH($A21,'LM Offers'!$A$3:$CZ$3,0))
+(H108*H109)+(H111*H112)</f>
        <v>1100</v>
      </c>
      <c r="I21" s="153"/>
      <c r="J21" s="537">
        <f>INDEX('LM Offers'!$A$3:$CZ$500,MATCH(J$3&amp;J$4&amp;J$5,'LM Offers'!$A$3:$A$500,0),MATCH($A21,'LM Offers'!$A$3:$CZ$3,0))
+(J108*J109)+(J111*J112)</f>
        <v>1100</v>
      </c>
      <c r="K21" s="153"/>
      <c r="L21" s="537">
        <f>INDEX('LM Offers'!$A$3:$CZ$500,MATCH(L$3&amp;L$4&amp;L$5,'LM Offers'!$A$3:$A$500,0),MATCH($A21,'LM Offers'!$A$3:$CZ$3,0))
+(L108*L109)+(L111*L112)</f>
        <v>1100</v>
      </c>
      <c r="M21" s="153"/>
      <c r="N21" s="537">
        <f>INDEX('LM Offers'!$A$3:$CZ$500,MATCH(N$3&amp;N$4&amp;N$5,'LM Offers'!$A$3:$A$500,0),MATCH($A21,'LM Offers'!$A$3:$CZ$3,0))
+(N108*N109)+(N111*N112)</f>
        <v>1100</v>
      </c>
      <c r="O21" s="153"/>
      <c r="P21" s="537">
        <f>INDEX('LM Offers'!$A$3:$CZ$500,MATCH(P$3&amp;P$4&amp;P$5,'LM Offers'!$A$3:$A$500,0),MATCH($A21,'LM Offers'!$A$3:$CZ$3,0))
+(P108*P109)+(P111*P112)</f>
        <v>1100</v>
      </c>
      <c r="Q21" s="153"/>
      <c r="R21" s="764">
        <f>SUM($H$26*$H$29*$H$21,$J$26*$J$29*$J$21,$L$26*$L$29*$L$21,$N$26*$N$29*$N$21,$P$26*$P$29*$P$21)/($R$26*$R$29)</f>
        <v>1100.0000000000002</v>
      </c>
      <c r="S21" s="153"/>
      <c r="U21" s="114"/>
    </row>
    <row r="22" spans="1:21" ht="15">
      <c r="A22" s="108">
        <f t="shared" si="0"/>
        <v>22</v>
      </c>
      <c r="G22" s="185" t="s">
        <v>329</v>
      </c>
      <c r="H22" s="537">
        <f>INDEX('LM Offers'!$A$3:$CZ$500,MATCH(H$3&amp;H$4&amp;H$5,'LM Offers'!$A$3:$A$500,0),MATCH($A22,'LM Offers'!$A$3:$CZ$3,0))
+(H108*H109)+(H111*H112)</f>
        <v>2003.5492916397523</v>
      </c>
      <c r="I22" s="916"/>
      <c r="J22" s="537">
        <f>INDEX('LM Offers'!$A$3:$CZ$500,MATCH(J$3&amp;J$4&amp;J$5,'LM Offers'!$A$3:$A$500,0),MATCH($A22,'LM Offers'!$A$3:$CZ$3,0))
+(J108*J109)+(J111*J112)</f>
        <v>2003.5492916397525</v>
      </c>
      <c r="K22" s="916"/>
      <c r="L22" s="537">
        <f>INDEX('LM Offers'!$A$3:$CZ$500,MATCH(L$3&amp;L$4&amp;L$5,'LM Offers'!$A$3:$A$500,0),MATCH($A22,'LM Offers'!$A$3:$CZ$3,0))
+(L108*L109)+(L111*L112)</f>
        <v>2003.5492916397525</v>
      </c>
      <c r="M22" s="916"/>
      <c r="N22" s="537">
        <f>INDEX('LM Offers'!$A$3:$CZ$500,MATCH(N$3&amp;N$4&amp;N$5,'LM Offers'!$A$3:$A$500,0),MATCH($A22,'LM Offers'!$A$3:$CZ$3,0))
+(N108*N109)+(N111*N112)</f>
        <v>2003.549291639752</v>
      </c>
      <c r="O22" s="916"/>
      <c r="P22" s="537">
        <f>INDEX('LM Offers'!$A$3:$CZ$500,MATCH(P$3&amp;P$4&amp;P$5,'LM Offers'!$A$3:$A$500,0),MATCH($A22,'LM Offers'!$A$3:$CZ$3,0))
+(P108*P109)+(P111*P112)</f>
        <v>2003.5492916397523</v>
      </c>
      <c r="Q22" s="916"/>
      <c r="R22" s="764">
        <f>SUM($H$27*$H$29*$H$22,$J$27*$J$29*$J$22,$L$27*$L$29*$L$22,$N$27*$N$29*$N$22,$P$27*$P$29*$P$22)/($R$27*$R$29)</f>
        <v>2003.5492916397523</v>
      </c>
      <c r="S22" s="153"/>
      <c r="U22" s="114"/>
    </row>
    <row r="23" spans="1:21" ht="15">
      <c r="A23" s="861">
        <v>98</v>
      </c>
      <c r="G23" s="185" t="s">
        <v>519</v>
      </c>
      <c r="H23" s="537">
        <f>INDEX('LM Offers'!$A$3:$CZ$500,MATCH(H$3&amp;H$4&amp;H$5,'LM Offers'!$A$3:$A$500,0),MATCH($A23,'LM Offers'!$A$3:$CZ$3,0))+(H$16*$G$3)
+(H114*H115)+(H120*H121)</f>
        <v>5773.7109265464023</v>
      </c>
      <c r="I23" s="916"/>
      <c r="J23" s="537">
        <f>INDEX('LM Offers'!$A$3:$CZ$500,MATCH(J$3&amp;J$4&amp;J$5,'LM Offers'!$A$3:$A$500,0),MATCH($A23,'LM Offers'!$A$3:$CZ$3,0))+(J$16*$G$3)
+(J114*J115)+(J120*J121)</f>
        <v>5273.7109265464023</v>
      </c>
      <c r="K23" s="916"/>
      <c r="L23" s="537">
        <f>INDEX('LM Offers'!$A$3:$CZ$500,MATCH(L$3&amp;L$4&amp;L$5,'LM Offers'!$A$3:$A$500,0),MATCH($A23,'LM Offers'!$A$3:$CZ$3,0))+(L$16*$G$3)
+(L114*L115)+(L120*L121)</f>
        <v>5273.7109265464023</v>
      </c>
      <c r="M23" s="916"/>
      <c r="N23" s="537">
        <f>INDEX('LM Offers'!$A$3:$CZ$500,MATCH(N$3&amp;N$4&amp;N$5,'LM Offers'!$A$3:$A$500,0),MATCH($A23,'LM Offers'!$A$3:$CZ$3,0))+(N$16*$G$3)
+(N114*N115)+(N120*N121)</f>
        <v>4913.7109265464023</v>
      </c>
      <c r="O23" s="916"/>
      <c r="P23" s="537">
        <f>INDEX('LM Offers'!$A$3:$CZ$500,MATCH(P$3&amp;P$4&amp;P$5,'LM Offers'!$A$3:$A$500,0),MATCH($A23,'LM Offers'!$A$3:$CZ$3,0))+(P$16*$G$3)
+(P114*P115)+(P120*P121)</f>
        <v>4913.7109265464023</v>
      </c>
      <c r="Q23" s="916"/>
      <c r="R23" s="764">
        <f>SUM($H$28*$H$29*$H$23,$J$28*$J$29*$J$23,$L$28*$L$29*$L$23,$N$28*$N$29*$N$23,$P$28*$P$29*$P$23)/($R$28*$R$29)</f>
        <v>5388.3563810918577</v>
      </c>
      <c r="S23" s="153"/>
      <c r="U23" s="114"/>
    </row>
    <row r="24" spans="1:21" ht="15.75" thickBot="1">
      <c r="A24" s="108">
        <f>A22+2</f>
        <v>24</v>
      </c>
      <c r="G24" s="186" t="s">
        <v>331</v>
      </c>
      <c r="H24" s="539">
        <f>+(H117*H118)</f>
        <v>500</v>
      </c>
      <c r="I24" s="152"/>
      <c r="J24" s="539">
        <f>+(J117*J118)</f>
        <v>500</v>
      </c>
      <c r="K24" s="152"/>
      <c r="L24" s="539">
        <f>+(L117*L118)</f>
        <v>500</v>
      </c>
      <c r="M24" s="152"/>
      <c r="N24" s="539">
        <f>+(N117*N118)</f>
        <v>500</v>
      </c>
      <c r="O24" s="152"/>
      <c r="P24" s="539">
        <f>+(P117*P118)</f>
        <v>500</v>
      </c>
      <c r="Q24" s="152"/>
      <c r="R24" s="539">
        <v>0</v>
      </c>
      <c r="S24" s="152"/>
      <c r="U24" s="114"/>
    </row>
    <row r="25" spans="1:21" ht="15">
      <c r="A25" s="108">
        <f t="shared" si="0"/>
        <v>25</v>
      </c>
      <c r="G25" s="187" t="s">
        <v>306</v>
      </c>
      <c r="H25" s="172" t="str">
        <f t="shared" ref="H25" si="7">IF(AND(ISBLANK(H26),ISBLANK(H27),ISBLANK(H28)),"",IF(SUM(H26:H28)&lt;&gt;100%,"ERROR: ≠100%!",""))</f>
        <v/>
      </c>
      <c r="I25" s="153"/>
      <c r="J25" s="172" t="str">
        <f t="shared" ref="J25" si="8">IF(AND(ISBLANK(J26),ISBLANK(J27),ISBLANK(J28)),"",IF(SUM(J26:J28)&lt;&gt;100%,"ERROR: ≠100%!",""))</f>
        <v/>
      </c>
      <c r="K25" s="153"/>
      <c r="L25" s="172" t="str">
        <f t="shared" ref="L25" si="9">IF(AND(ISBLANK(L26),ISBLANK(L27),ISBLANK(L28)),"",IF(SUM(L26:L28)&lt;&gt;100%,"ERROR: ≠100%!",""))</f>
        <v/>
      </c>
      <c r="M25" s="153"/>
      <c r="N25" s="172" t="str">
        <f t="shared" ref="N25" si="10">IF(AND(ISBLANK(N26),ISBLANK(N27),ISBLANK(N28)),"",IF(SUM(N26:N28)&lt;&gt;100%,"ERROR: ≠100%!",""))</f>
        <v/>
      </c>
      <c r="O25" s="153"/>
      <c r="P25" s="172" t="str">
        <f t="shared" ref="P25" si="11">IF(AND(ISBLANK(P26),ISBLANK(P27),ISBLANK(P28)),"",IF(SUM(P26:P28)&lt;&gt;100%,"ERROR: ≠100%!",""))</f>
        <v/>
      </c>
      <c r="Q25" s="153"/>
      <c r="R25" s="172" t="str">
        <f t="shared" ref="R25" si="12">IF(AND(ISBLANK(R26),ISBLANK(R27),ISBLANK(R28)),"",IF(SUM(R26:R28)&lt;&gt;100%,"ERROR: ≠100%!",""))</f>
        <v/>
      </c>
      <c r="S25" s="153"/>
      <c r="U25" s="114"/>
    </row>
    <row r="26" spans="1:21" ht="15">
      <c r="A26" s="108">
        <f t="shared" si="0"/>
        <v>26</v>
      </c>
      <c r="G26" s="188" t="s">
        <v>328</v>
      </c>
      <c r="H26" s="532">
        <f>INDEX('LM Offers'!$A$3:$CZ$500,MATCH(H$3&amp;H$4&amp;H$5,'LM Offers'!$A$3:$A$500,0),MATCH($A26,'LM Offers'!$A$3:$CZ$3,0))</f>
        <v>0.15848670756646213</v>
      </c>
      <c r="I26" s="153"/>
      <c r="J26" s="532">
        <f>INDEX('LM Offers'!$A$3:$CZ$500,MATCH(J$3&amp;J$4&amp;J$5,'LM Offers'!$A$3:$A$500,0),MATCH($A26,'LM Offers'!$A$3:$CZ$3,0))</f>
        <v>0.34665833853841349</v>
      </c>
      <c r="K26" s="153"/>
      <c r="L26" s="532">
        <f>INDEX('LM Offers'!$A$3:$CZ$500,MATCH(L$3&amp;L$4&amp;L$5,'LM Offers'!$A$3:$A$500,0),MATCH($A26,'LM Offers'!$A$3:$CZ$3,0))</f>
        <v>0.25389408099688471</v>
      </c>
      <c r="M26" s="153"/>
      <c r="N26" s="532">
        <f>INDEX('LM Offers'!$A$3:$CZ$500,MATCH(N$3&amp;N$4&amp;N$5,'LM Offers'!$A$3:$A$500,0),MATCH($A26,'LM Offers'!$A$3:$CZ$3,0))</f>
        <v>0.45400753093060786</v>
      </c>
      <c r="O26" s="153"/>
      <c r="P26" s="532">
        <f>INDEX('LM Offers'!$A$3:$CZ$500,MATCH(P$3&amp;P$4&amp;P$5,'LM Offers'!$A$3:$A$500,0),MATCH($A26,'LM Offers'!$A$3:$CZ$3,0))</f>
        <v>0.46495956873315364</v>
      </c>
      <c r="Q26" s="153"/>
      <c r="R26" s="532">
        <f>1-SUM(R27:R28)</f>
        <v>0.33605403884041651</v>
      </c>
      <c r="S26" s="153"/>
      <c r="U26" s="114"/>
    </row>
    <row r="27" spans="1:21" ht="15">
      <c r="A27" s="108">
        <f t="shared" si="0"/>
        <v>27</v>
      </c>
      <c r="G27" s="188" t="s">
        <v>329</v>
      </c>
      <c r="H27" s="532">
        <f>INDEX('LM Offers'!$A$3:$CZ$500,MATCH(H$3&amp;H$4&amp;H$5,'LM Offers'!$A$3:$A$500,0),MATCH($A27,'LM Offers'!$A$3:$CZ$3,0))</f>
        <v>0.14314928425357873</v>
      </c>
      <c r="I27" s="153"/>
      <c r="J27" s="532">
        <f>INDEX('LM Offers'!$A$3:$CZ$500,MATCH(J$3&amp;J$4&amp;J$5,'LM Offers'!$A$3:$A$500,0),MATCH($A27,'LM Offers'!$A$3:$CZ$3,0))</f>
        <v>0.29981261711430357</v>
      </c>
      <c r="K27" s="153"/>
      <c r="L27" s="532">
        <f>INDEX('LM Offers'!$A$3:$CZ$500,MATCH(L$3&amp;L$4&amp;L$5,'LM Offers'!$A$3:$A$500,0),MATCH($A27,'LM Offers'!$A$3:$CZ$3,0))</f>
        <v>0.38110072689511942</v>
      </c>
      <c r="M27" s="153"/>
      <c r="N27" s="532">
        <f>INDEX('LM Offers'!$A$3:$CZ$500,MATCH(N$3&amp;N$4&amp;N$5,'LM Offers'!$A$3:$A$500,0),MATCH($A27,'LM Offers'!$A$3:$CZ$3,0))</f>
        <v>0.46530392684238836</v>
      </c>
      <c r="O27" s="153"/>
      <c r="P27" s="532">
        <f>INDEX('LM Offers'!$A$3:$CZ$500,MATCH(P$3&amp;P$4&amp;P$5,'LM Offers'!$A$3:$A$500,0),MATCH($A27,'LM Offers'!$A$3:$CZ$3,0))</f>
        <v>0.40296495956873313</v>
      </c>
      <c r="Q27" s="153"/>
      <c r="R27" s="532">
        <f>SUM($H$27*H29,$J$27*$J$29,$L$27*$L$29,$N$27*$N$29,$P$27*$P$29)/SUM($H$29,$J$29,$L$29,$N$29,$P$29)</f>
        <v>0.35434843793976922</v>
      </c>
      <c r="S27" s="153"/>
      <c r="U27" s="114"/>
    </row>
    <row r="28" spans="1:21" ht="15.75" thickBot="1">
      <c r="A28" s="108">
        <f t="shared" si="0"/>
        <v>28</v>
      </c>
      <c r="G28" s="190" t="s">
        <v>853</v>
      </c>
      <c r="H28" s="763">
        <f>INDEX('LM Offers'!$A$3:$CZ$500,MATCH(H$3&amp;H$4&amp;H$5,'LM Offers'!$A$3:$A$500,0),MATCH($A28,'LM Offers'!$A$3:$CZ$3,0))</f>
        <v>0.69836400817995914</v>
      </c>
      <c r="I28" s="558" t="s">
        <v>761</v>
      </c>
      <c r="J28" s="763">
        <f>INDEX('LM Offers'!$A$3:$CZ$500,MATCH(J$3&amp;J$4&amp;J$5,'LM Offers'!$A$3:$A$500,0),MATCH($A28,'LM Offers'!$A$3:$CZ$3,0))</f>
        <v>0.35352904434728294</v>
      </c>
      <c r="K28" s="558" t="s">
        <v>761</v>
      </c>
      <c r="L28" s="763">
        <f>INDEX('LM Offers'!$A$3:$CZ$500,MATCH(L$3&amp;L$4&amp;L$5,'LM Offers'!$A$3:$A$500,0),MATCH($A28,'LM Offers'!$A$3:$CZ$3,0))</f>
        <v>0.36500519210799587</v>
      </c>
      <c r="M28" s="558" t="s">
        <v>761</v>
      </c>
      <c r="N28" s="763">
        <f>INDEX('LM Offers'!$A$3:$CZ$500,MATCH(N$3&amp;N$4&amp;N$5,'LM Offers'!$A$3:$A$500,0),MATCH($A28,'LM Offers'!$A$3:$CZ$3,0))</f>
        <v>8.0688542227003765E-2</v>
      </c>
      <c r="O28" s="558" t="s">
        <v>761</v>
      </c>
      <c r="P28" s="763">
        <f>INDEX('LM Offers'!$A$3:$CZ$500,MATCH(P$3&amp;P$4&amp;P$5,'LM Offers'!$A$3:$A$500,0),MATCH($A28,'LM Offers'!$A$3:$CZ$3,0))</f>
        <v>0.13207547169811321</v>
      </c>
      <c r="Q28" s="558" t="s">
        <v>761</v>
      </c>
      <c r="R28" s="763">
        <f>SUM($H$28*H29,$J$28*$J$29,$L$28*$L$29,$N$28*$N$29,$P$28*$P$29)/SUM($H$29,$J$29,$L$29,$N$29,$P$29)</f>
        <v>0.30959752321981426</v>
      </c>
      <c r="S28" s="558" t="s">
        <v>761</v>
      </c>
      <c r="U28" s="114"/>
    </row>
    <row r="29" spans="1:21" ht="15">
      <c r="A29" s="108">
        <f t="shared" si="0"/>
        <v>29</v>
      </c>
      <c r="F29" s="110"/>
      <c r="G29" s="191" t="s">
        <v>520</v>
      </c>
      <c r="H29" s="762">
        <f>INDEX('LM Offers'!$A$3:$CZ$500,MATCH(H$3&amp;H$4&amp;H$5,'LM Offers'!$A$3:$A$500,0),MATCH($A29,'LM Offers'!$A$3:$CZ$3,0))</f>
        <v>978</v>
      </c>
      <c r="I29" s="153"/>
      <c r="J29" s="762">
        <f>INDEX('LM Offers'!$A$3:$CZ$500,MATCH(J$3&amp;J$4&amp;J$5,'LM Offers'!$A$3:$A$500,0),MATCH($A29,'LM Offers'!$A$3:$CZ$3,0))</f>
        <v>1601</v>
      </c>
      <c r="K29" s="153"/>
      <c r="L29" s="762">
        <f>INDEX('LM Offers'!$A$3:$CZ$500,MATCH(L$3&amp;L$4&amp;L$5,'LM Offers'!$A$3:$A$500,0),MATCH($A29,'LM Offers'!$A$3:$CZ$3,0))</f>
        <v>1926</v>
      </c>
      <c r="M29" s="153"/>
      <c r="N29" s="762">
        <f>INDEX('LM Offers'!$A$3:$CZ$500,MATCH(N$3&amp;N$4&amp;N$5,'LM Offers'!$A$3:$A$500,0),MATCH($A29,'LM Offers'!$A$3:$CZ$3,0))</f>
        <v>1859</v>
      </c>
      <c r="O29" s="153"/>
      <c r="P29" s="762">
        <f>INDEX('LM Offers'!$A$3:$CZ$500,MATCH(P$3&amp;P$4&amp;P$5,'LM Offers'!$A$3:$A$500,0),MATCH($A29,'LM Offers'!$A$3:$CZ$3,0))</f>
        <v>742</v>
      </c>
      <c r="Q29" s="153"/>
      <c r="R29" s="762">
        <f>SUM($H$29,$J$29,$L$29,$N$29,$P$29)</f>
        <v>7106</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3">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3"/>
        <v>0.7</v>
      </c>
      <c r="S31" s="530"/>
      <c r="U31" s="114"/>
    </row>
    <row r="32" spans="1:21" ht="15" hidden="1" outlineLevel="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4">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5">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5"/>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5"/>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5"/>
        <v>5.45E-2</v>
      </c>
      <c r="S37" s="526"/>
      <c r="U37" s="114"/>
    </row>
    <row r="38" spans="1:21" ht="15" hidden="1" customHeight="1" outlineLevel="1" thickBot="1">
      <c r="A38" s="108">
        <f t="shared" si="0"/>
        <v>38</v>
      </c>
      <c r="G38" s="190" t="s">
        <v>1062</v>
      </c>
      <c r="H38" s="179">
        <v>5.45E-2</v>
      </c>
      <c r="I38" s="527"/>
      <c r="J38" s="179">
        <v>5.45E-2</v>
      </c>
      <c r="K38" s="527"/>
      <c r="L38" s="179">
        <v>5.45E-2</v>
      </c>
      <c r="M38" s="527"/>
      <c r="N38" s="179">
        <v>5.45E-2</v>
      </c>
      <c r="O38" s="527"/>
      <c r="P38" s="179">
        <v>5.45E-2</v>
      </c>
      <c r="Q38" s="527"/>
      <c r="R38" s="179">
        <f t="shared" si="14"/>
        <v>5.45E-2</v>
      </c>
      <c r="S38" s="527"/>
      <c r="U38" s="114"/>
    </row>
    <row r="39" spans="1:21" ht="15" hidden="1" outlineLevel="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6">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6"/>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6"/>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6"/>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6"/>
        <v>0.06</v>
      </c>
      <c r="S44" s="527"/>
      <c r="U44" s="114"/>
    </row>
    <row r="45" spans="1:21" ht="15" hidden="1" outlineLevel="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7">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7"/>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7"/>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7"/>
        <v>5.45E-2</v>
      </c>
      <c r="S49" s="526"/>
      <c r="U49" s="114"/>
    </row>
    <row r="50" spans="1:21" ht="15" hidden="1" customHeight="1" outlineLevel="1" thickBot="1">
      <c r="A50" s="108">
        <f t="shared" si="0"/>
        <v>50</v>
      </c>
      <c r="G50" s="190" t="s">
        <v>1062</v>
      </c>
      <c r="H50" s="179">
        <v>5.45E-2</v>
      </c>
      <c r="I50" s="527"/>
      <c r="J50" s="179">
        <v>5.45E-2</v>
      </c>
      <c r="K50" s="527"/>
      <c r="L50" s="179">
        <v>5.45E-2</v>
      </c>
      <c r="M50" s="527"/>
      <c r="N50" s="179">
        <v>5.45E-2</v>
      </c>
      <c r="O50" s="527"/>
      <c r="P50" s="179">
        <v>5.45E-2</v>
      </c>
      <c r="Q50" s="527"/>
      <c r="R50" s="179">
        <f t="shared" ref="R50" si="18">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9">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9"/>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9"/>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9"/>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9"/>
        <v>0.06</v>
      </c>
      <c r="S56" s="527"/>
      <c r="U56" s="114"/>
    </row>
    <row r="57" spans="1:21" ht="15" hidden="1" outlineLevel="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20">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20"/>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20"/>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20"/>
        <v>0.1</v>
      </c>
      <c r="S61" s="528"/>
      <c r="U61" s="114"/>
    </row>
    <row r="62" spans="1:21" ht="15" hidden="1" customHeight="1" outlineLevel="1" thickBot="1">
      <c r="A62" s="108">
        <f t="shared" si="0"/>
        <v>62</v>
      </c>
      <c r="G62" s="190" t="s">
        <v>1062</v>
      </c>
      <c r="H62" s="174">
        <v>0.1</v>
      </c>
      <c r="I62" s="529"/>
      <c r="J62" s="174">
        <v>0.1</v>
      </c>
      <c r="K62" s="529"/>
      <c r="L62" s="174">
        <v>0.1</v>
      </c>
      <c r="M62" s="529"/>
      <c r="N62" s="174">
        <v>0.1</v>
      </c>
      <c r="O62" s="529"/>
      <c r="P62" s="174">
        <v>0.1</v>
      </c>
      <c r="Q62" s="529"/>
      <c r="R62" s="174">
        <f t="shared" ref="R62" si="21">J62</f>
        <v>0.1</v>
      </c>
      <c r="S62" s="529"/>
      <c r="U62" s="114"/>
    </row>
    <row r="63" spans="1:21" ht="15" hidden="1" outlineLevel="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2">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2"/>
        <v>0.1</v>
      </c>
      <c r="S65" s="528"/>
      <c r="U65" s="114"/>
    </row>
    <row r="66" spans="1:21" ht="14.45" hidden="1" customHeight="1" outlineLevel="1">
      <c r="A66" s="108">
        <f t="shared" ref="A66:A129" si="23">A65+1</f>
        <v>66</v>
      </c>
      <c r="G66" s="188" t="s">
        <v>339</v>
      </c>
      <c r="H66" s="173">
        <v>0.1</v>
      </c>
      <c r="I66" s="528"/>
      <c r="J66" s="173">
        <v>0.1</v>
      </c>
      <c r="K66" s="528"/>
      <c r="L66" s="173">
        <v>0.1</v>
      </c>
      <c r="M66" s="528"/>
      <c r="N66" s="173">
        <v>0.1</v>
      </c>
      <c r="O66" s="528"/>
      <c r="P66" s="173">
        <v>0.1</v>
      </c>
      <c r="Q66" s="528"/>
      <c r="R66" s="173">
        <f t="shared" si="22"/>
        <v>0.1</v>
      </c>
      <c r="S66" s="528"/>
      <c r="U66" s="114"/>
    </row>
    <row r="67" spans="1:21" ht="14.45" hidden="1" customHeight="1" outlineLevel="1">
      <c r="A67" s="108">
        <f t="shared" si="23"/>
        <v>67</v>
      </c>
      <c r="G67" s="188" t="s">
        <v>320</v>
      </c>
      <c r="H67" s="173">
        <v>0.1</v>
      </c>
      <c r="I67" s="528"/>
      <c r="J67" s="173">
        <v>0.1</v>
      </c>
      <c r="K67" s="528"/>
      <c r="L67" s="173">
        <v>0.1</v>
      </c>
      <c r="M67" s="528"/>
      <c r="N67" s="173">
        <v>0.1</v>
      </c>
      <c r="O67" s="528"/>
      <c r="P67" s="173">
        <v>0.1</v>
      </c>
      <c r="Q67" s="528"/>
      <c r="R67" s="173">
        <f t="shared" si="22"/>
        <v>0.1</v>
      </c>
      <c r="S67" s="528"/>
      <c r="U67" s="114"/>
    </row>
    <row r="68" spans="1:21" ht="15" hidden="1" customHeight="1" outlineLevel="1" thickBot="1">
      <c r="A68" s="108">
        <f t="shared" si="23"/>
        <v>68</v>
      </c>
      <c r="G68" s="190" t="s">
        <v>319</v>
      </c>
      <c r="H68" s="174">
        <v>0.1</v>
      </c>
      <c r="I68" s="529"/>
      <c r="J68" s="174">
        <v>0.1</v>
      </c>
      <c r="K68" s="529"/>
      <c r="L68" s="174">
        <v>0.1</v>
      </c>
      <c r="M68" s="529"/>
      <c r="N68" s="174">
        <v>0.1</v>
      </c>
      <c r="O68" s="529"/>
      <c r="P68" s="174">
        <v>0.1</v>
      </c>
      <c r="Q68" s="529"/>
      <c r="R68" s="174">
        <f t="shared" si="22"/>
        <v>0.1</v>
      </c>
      <c r="S68" s="529"/>
      <c r="U68" s="114"/>
    </row>
    <row r="69" spans="1:21" ht="15" hidden="1" outlineLevel="1">
      <c r="A69" s="108">
        <f t="shared" si="23"/>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3"/>
        <v>70</v>
      </c>
      <c r="G70" s="192" t="s">
        <v>322</v>
      </c>
      <c r="H70" s="297">
        <v>0.6</v>
      </c>
      <c r="I70" s="528"/>
      <c r="J70" s="297">
        <v>0.6</v>
      </c>
      <c r="K70" s="528"/>
      <c r="L70" s="297">
        <v>0.6</v>
      </c>
      <c r="M70" s="528"/>
      <c r="N70" s="297">
        <v>0.6</v>
      </c>
      <c r="O70" s="528"/>
      <c r="P70" s="297">
        <v>0.6</v>
      </c>
      <c r="Q70" s="528"/>
      <c r="R70" s="297">
        <f t="shared" ref="R70:R74" si="24">J70</f>
        <v>0.6</v>
      </c>
      <c r="S70" s="528"/>
      <c r="U70" s="114"/>
    </row>
    <row r="71" spans="1:21" ht="14.45" hidden="1" customHeight="1" outlineLevel="1">
      <c r="A71" s="108">
        <f t="shared" si="23"/>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4"/>
        <v>0.55000000000000004</v>
      </c>
      <c r="S71" s="528"/>
      <c r="U71" s="114"/>
    </row>
    <row r="72" spans="1:21" ht="14.45" hidden="1" customHeight="1" outlineLevel="1">
      <c r="A72" s="108">
        <f t="shared" si="23"/>
        <v>72</v>
      </c>
      <c r="G72" s="188" t="s">
        <v>339</v>
      </c>
      <c r="H72" s="196">
        <v>0.52</v>
      </c>
      <c r="I72" s="528"/>
      <c r="J72" s="196">
        <v>0.52</v>
      </c>
      <c r="K72" s="528"/>
      <c r="L72" s="196">
        <v>0.52</v>
      </c>
      <c r="M72" s="528"/>
      <c r="N72" s="196">
        <v>0.52</v>
      </c>
      <c r="O72" s="528"/>
      <c r="P72" s="196">
        <v>0.52</v>
      </c>
      <c r="Q72" s="528"/>
      <c r="R72" s="196">
        <f t="shared" si="24"/>
        <v>0.52</v>
      </c>
      <c r="S72" s="528"/>
      <c r="U72" s="114"/>
    </row>
    <row r="73" spans="1:21" ht="14.45" hidden="1" customHeight="1" outlineLevel="1">
      <c r="A73" s="108">
        <f t="shared" si="23"/>
        <v>73</v>
      </c>
      <c r="G73" s="188" t="s">
        <v>320</v>
      </c>
      <c r="H73" s="196">
        <v>0.5</v>
      </c>
      <c r="I73" s="528"/>
      <c r="J73" s="196">
        <v>0.5</v>
      </c>
      <c r="K73" s="528"/>
      <c r="L73" s="196">
        <v>0.5</v>
      </c>
      <c r="M73" s="528"/>
      <c r="N73" s="196">
        <v>0.5</v>
      </c>
      <c r="O73" s="528"/>
      <c r="P73" s="196">
        <v>0.5</v>
      </c>
      <c r="Q73" s="528"/>
      <c r="R73" s="196">
        <f t="shared" si="24"/>
        <v>0.5</v>
      </c>
      <c r="S73" s="528"/>
      <c r="U73" s="114"/>
    </row>
    <row r="74" spans="1:21" ht="15" hidden="1" customHeight="1" outlineLevel="1" thickBot="1">
      <c r="A74" s="108">
        <f t="shared" si="23"/>
        <v>74</v>
      </c>
      <c r="G74" s="189" t="s">
        <v>319</v>
      </c>
      <c r="H74" s="327">
        <v>0.45</v>
      </c>
      <c r="I74" s="529"/>
      <c r="J74" s="327">
        <v>0.45</v>
      </c>
      <c r="K74" s="529"/>
      <c r="L74" s="327">
        <v>0.45</v>
      </c>
      <c r="M74" s="529"/>
      <c r="N74" s="327">
        <v>0.45</v>
      </c>
      <c r="O74" s="529"/>
      <c r="P74" s="327">
        <v>0.45</v>
      </c>
      <c r="Q74" s="529"/>
      <c r="R74" s="327">
        <f t="shared" si="24"/>
        <v>0.45</v>
      </c>
      <c r="S74" s="529"/>
      <c r="U74" s="114"/>
    </row>
    <row r="75" spans="1:21" ht="19.5" collapsed="1" thickBot="1">
      <c r="A75" s="108">
        <f t="shared" si="23"/>
        <v>75</v>
      </c>
      <c r="G75" s="483" t="s">
        <v>522</v>
      </c>
      <c r="H75" s="320"/>
      <c r="I75" s="320"/>
      <c r="J75" s="320"/>
      <c r="K75" s="320"/>
      <c r="L75" s="320"/>
      <c r="M75" s="320"/>
      <c r="N75" s="320"/>
      <c r="O75" s="320"/>
      <c r="P75" s="320"/>
      <c r="Q75" s="320"/>
      <c r="R75" s="320"/>
      <c r="S75" s="320"/>
      <c r="U75" s="114"/>
    </row>
    <row r="76" spans="1:21" s="111" customFormat="1" ht="15.75" thickBot="1">
      <c r="A76" s="108">
        <f t="shared" si="23"/>
        <v>76</v>
      </c>
      <c r="G76" s="504"/>
      <c r="H76" s="505" t="str">
        <f>H2</f>
        <v>MY20 Kia Forte</v>
      </c>
      <c r="I76" s="506"/>
      <c r="J76" s="505" t="str">
        <f>J2</f>
        <v>MY20 Kia Forte</v>
      </c>
      <c r="K76" s="506"/>
      <c r="L76" s="505" t="str">
        <f>L2</f>
        <v>MY20 Kia Forte</v>
      </c>
      <c r="M76" s="506"/>
      <c r="N76" s="505" t="str">
        <f>N2</f>
        <v>MY20 Kia Forte</v>
      </c>
      <c r="O76" s="506"/>
      <c r="P76" s="505" t="str">
        <f>P2</f>
        <v>MY20 Kia Forte</v>
      </c>
      <c r="Q76" s="506"/>
      <c r="R76" s="505" t="str">
        <f t="shared" ref="R76" si="25">R2</f>
        <v>MY20 Kia Forte</v>
      </c>
      <c r="S76" s="506"/>
    </row>
    <row r="77" spans="1:21" ht="15.75" thickBot="1">
      <c r="A77" s="108">
        <f t="shared" si="23"/>
        <v>77</v>
      </c>
      <c r="G77" s="480" t="s">
        <v>332</v>
      </c>
      <c r="H77" s="533">
        <f>INDEX('LM Offers'!$A$3:$CZ$500,MATCH(H$3&amp;H$4&amp;H$5,'LM Offers'!$A$3:$A$500,0),MATCH($A77,'LM Offers'!$A$3:$CZ$3,0))</f>
        <v>750</v>
      </c>
      <c r="I77" s="479">
        <f>INDEX(Offers!$A$3:$CZ$500,MATCH(I$3&amp;I$4&amp;I$5,Offers!$A$3:$A$500,0),MATCH($A77,Offers!$A$3:$CZ$3,0))</f>
        <v>1250</v>
      </c>
      <c r="J77" s="533">
        <f>INDEX('LM Offers'!$A$3:$CZ$500,MATCH(J$3&amp;J$4&amp;J$5,'LM Offers'!$A$3:$A$500,0),MATCH($A77,'LM Offers'!$A$3:$CZ$3,0))</f>
        <v>750</v>
      </c>
      <c r="K77" s="479">
        <f>INDEX(Offers!$A$3:$CZ$500,MATCH(K$3&amp;K$4&amp;K$5,Offers!$A$3:$A$500,0),MATCH($A77,Offers!$A$3:$CZ$3,0))</f>
        <v>1250</v>
      </c>
      <c r="L77" s="533">
        <f>INDEX('LM Offers'!$A$3:$CZ$500,MATCH(L$3&amp;L$4&amp;L$5,'LM Offers'!$A$3:$A$500,0),MATCH($A77,'LM Offers'!$A$3:$CZ$3,0))</f>
        <v>750</v>
      </c>
      <c r="M77" s="479">
        <f>INDEX(Offers!$A$3:$CZ$500,MATCH(M$3&amp;M$4&amp;M$5,Offers!$A$3:$A$500,0),MATCH($A77,Offers!$A$3:$CZ$3,0))</f>
        <v>1250</v>
      </c>
      <c r="N77" s="533">
        <f>INDEX('LM Offers'!$A$3:$CZ$500,MATCH(N$3&amp;N$4&amp;N$5,'LM Offers'!$A$3:$A$500,0),MATCH($A77,'LM Offers'!$A$3:$CZ$3,0))</f>
        <v>750</v>
      </c>
      <c r="O77" s="479">
        <f>INDEX(Offers!$A$3:$CZ$500,MATCH(O$3&amp;O$4&amp;O$5,Offers!$A$3:$A$500,0),MATCH($A77,Offers!$A$3:$CZ$3,0))</f>
        <v>1250</v>
      </c>
      <c r="P77" s="533">
        <f>INDEX('LM Offers'!$A$3:$CZ$500,MATCH(P$3&amp;P$4&amp;P$5,'LM Offers'!$A$3:$A$500,0),MATCH($A77,'LM Offers'!$A$3:$CZ$3,0))</f>
        <v>750</v>
      </c>
      <c r="Q77" s="479">
        <f>INDEX(Offers!$A$3:$CZ$500,MATCH(Q$3&amp;Q$4&amp;Q$5,Offers!$A$3:$A$500,0),MATCH($A77,Offers!$A$3:$CZ$3,0))</f>
        <v>1250</v>
      </c>
      <c r="R77" s="533">
        <f>SUM($H$26*$H$29*$H$77,$J$26*$J$29*$J$77,$L$26*$L$29*$L$77,$N$26*$N$29*$N$77,$P$26*$P$29*$P$77)/($R$26*$R$29)</f>
        <v>750.00000000000011</v>
      </c>
      <c r="S77" s="479">
        <f>SUM($H$26*$H$29*$I$77,$J$26*$J$29*$K$77,$L$26*$L$29*$M$77,$N$26*$N$29*$O$77,$P$26*$P$29*$Q$77)/($R$26*$R$29)</f>
        <v>1250.0000000000002</v>
      </c>
      <c r="U77" s="114"/>
    </row>
    <row r="78" spans="1:21">
      <c r="A78" s="108">
        <f t="shared" si="23"/>
        <v>78</v>
      </c>
      <c r="F78" s="110"/>
      <c r="G78" s="202" t="s">
        <v>333</v>
      </c>
      <c r="H78" s="160"/>
      <c r="I78" s="155"/>
      <c r="J78" s="160"/>
      <c r="K78" s="155"/>
      <c r="L78" s="160"/>
      <c r="M78" s="155"/>
      <c r="N78" s="160"/>
      <c r="O78" s="155"/>
      <c r="P78" s="160"/>
      <c r="Q78" s="155"/>
      <c r="R78" s="160"/>
      <c r="S78" s="155"/>
      <c r="U78" s="114"/>
    </row>
    <row r="79" spans="1:21" ht="15">
      <c r="A79" s="108">
        <f t="shared" si="23"/>
        <v>79</v>
      </c>
      <c r="G79" s="482" t="s">
        <v>161</v>
      </c>
      <c r="H79" s="163" t="s">
        <v>122</v>
      </c>
      <c r="I79" s="164" t="str">
        <f t="shared" ref="I79:I82" si="26">H79</f>
        <v>Market</v>
      </c>
      <c r="J79" s="163" t="s">
        <v>122</v>
      </c>
      <c r="K79" s="164" t="str">
        <f t="shared" ref="K79:K82" si="27">J79</f>
        <v>Market</v>
      </c>
      <c r="L79" s="163" t="s">
        <v>122</v>
      </c>
      <c r="M79" s="164" t="str">
        <f t="shared" ref="M79:M82" si="28">L79</f>
        <v>Market</v>
      </c>
      <c r="N79" s="163" t="s">
        <v>122</v>
      </c>
      <c r="O79" s="164" t="str">
        <f t="shared" ref="O79:O82" si="29">N79</f>
        <v>Market</v>
      </c>
      <c r="P79" s="163" t="s">
        <v>122</v>
      </c>
      <c r="Q79" s="164" t="str">
        <f t="shared" ref="Q79:Q82" si="30">P79</f>
        <v>Market</v>
      </c>
      <c r="R79" s="163" t="str">
        <f t="shared" ref="R79:R82" si="31">J79</f>
        <v>Market</v>
      </c>
      <c r="S79" s="164" t="str">
        <f t="shared" ref="S79:S82" si="32">R79</f>
        <v>Market</v>
      </c>
      <c r="U79" s="114"/>
    </row>
    <row r="80" spans="1:21" ht="15">
      <c r="A80" s="108">
        <f t="shared" si="23"/>
        <v>80</v>
      </c>
      <c r="G80" s="481" t="s">
        <v>162</v>
      </c>
      <c r="H80" s="159" t="s">
        <v>122</v>
      </c>
      <c r="I80" s="154" t="str">
        <f t="shared" si="26"/>
        <v>Market</v>
      </c>
      <c r="J80" s="159" t="s">
        <v>122</v>
      </c>
      <c r="K80" s="154" t="str">
        <f t="shared" si="27"/>
        <v>Market</v>
      </c>
      <c r="L80" s="159" t="s">
        <v>122</v>
      </c>
      <c r="M80" s="154" t="str">
        <f t="shared" si="28"/>
        <v>Market</v>
      </c>
      <c r="N80" s="159" t="s">
        <v>122</v>
      </c>
      <c r="O80" s="154" t="str">
        <f t="shared" si="29"/>
        <v>Market</v>
      </c>
      <c r="P80" s="159" t="s">
        <v>122</v>
      </c>
      <c r="Q80" s="154" t="str">
        <f t="shared" si="30"/>
        <v>Market</v>
      </c>
      <c r="R80" s="159" t="str">
        <f t="shared" si="31"/>
        <v>Market</v>
      </c>
      <c r="S80" s="154" t="str">
        <f t="shared" si="32"/>
        <v>Market</v>
      </c>
      <c r="U80" s="114"/>
    </row>
    <row r="81" spans="1:21" ht="15">
      <c r="A81" s="108">
        <f t="shared" si="23"/>
        <v>81</v>
      </c>
      <c r="G81" s="203" t="s">
        <v>163</v>
      </c>
      <c r="H81" s="159" t="s">
        <v>122</v>
      </c>
      <c r="I81" s="154" t="str">
        <f t="shared" si="26"/>
        <v>Market</v>
      </c>
      <c r="J81" s="159" t="s">
        <v>122</v>
      </c>
      <c r="K81" s="154" t="str">
        <f t="shared" si="27"/>
        <v>Market</v>
      </c>
      <c r="L81" s="159" t="s">
        <v>122</v>
      </c>
      <c r="M81" s="154" t="str">
        <f t="shared" si="28"/>
        <v>Market</v>
      </c>
      <c r="N81" s="159" t="s">
        <v>122</v>
      </c>
      <c r="O81" s="154" t="str">
        <f t="shared" si="29"/>
        <v>Market</v>
      </c>
      <c r="P81" s="159" t="s">
        <v>122</v>
      </c>
      <c r="Q81" s="154" t="str">
        <f t="shared" si="30"/>
        <v>Market</v>
      </c>
      <c r="R81" s="159" t="str">
        <f t="shared" si="31"/>
        <v>Market</v>
      </c>
      <c r="S81" s="154" t="str">
        <f t="shared" si="32"/>
        <v>Market</v>
      </c>
      <c r="U81" s="114"/>
    </row>
    <row r="82" spans="1:21" ht="15">
      <c r="A82" s="108">
        <f t="shared" si="23"/>
        <v>82</v>
      </c>
      <c r="G82" s="203" t="s">
        <v>164</v>
      </c>
      <c r="H82" s="159" t="s">
        <v>122</v>
      </c>
      <c r="I82" s="154" t="str">
        <f t="shared" si="26"/>
        <v>Market</v>
      </c>
      <c r="J82" s="159" t="s">
        <v>122</v>
      </c>
      <c r="K82" s="154" t="str">
        <f t="shared" si="27"/>
        <v>Market</v>
      </c>
      <c r="L82" s="159" t="s">
        <v>122</v>
      </c>
      <c r="M82" s="154" t="str">
        <f t="shared" si="28"/>
        <v>Market</v>
      </c>
      <c r="N82" s="159" t="s">
        <v>122</v>
      </c>
      <c r="O82" s="154" t="str">
        <f t="shared" si="29"/>
        <v>Market</v>
      </c>
      <c r="P82" s="159" t="s">
        <v>122</v>
      </c>
      <c r="Q82" s="154" t="str">
        <f t="shared" si="30"/>
        <v>Market</v>
      </c>
      <c r="R82" s="159" t="str">
        <f t="shared" si="31"/>
        <v>Market</v>
      </c>
      <c r="S82" s="154" t="str">
        <f t="shared" si="32"/>
        <v>Market</v>
      </c>
      <c r="U82" s="114"/>
    </row>
    <row r="83" spans="1:21" ht="15">
      <c r="A83" s="108">
        <f t="shared" si="23"/>
        <v>83</v>
      </c>
      <c r="G83" s="203" t="s">
        <v>164</v>
      </c>
      <c r="H83" s="159" t="s">
        <v>122</v>
      </c>
      <c r="I83" s="154" t="str">
        <f t="shared" ref="I83:I85" si="33">H83</f>
        <v>Market</v>
      </c>
      <c r="J83" s="159" t="s">
        <v>122</v>
      </c>
      <c r="K83" s="154" t="str">
        <f t="shared" ref="K83:K85" si="34">J83</f>
        <v>Market</v>
      </c>
      <c r="L83" s="159" t="s">
        <v>122</v>
      </c>
      <c r="M83" s="154" t="str">
        <f t="shared" ref="M83:M85" si="35">L83</f>
        <v>Market</v>
      </c>
      <c r="N83" s="159" t="s">
        <v>122</v>
      </c>
      <c r="O83" s="154" t="str">
        <f t="shared" ref="O83:O85" si="36">N83</f>
        <v>Market</v>
      </c>
      <c r="P83" s="159" t="s">
        <v>122</v>
      </c>
      <c r="Q83" s="154" t="str">
        <f t="shared" ref="Q83:Q85" si="37">P83</f>
        <v>Market</v>
      </c>
      <c r="R83" s="159" t="str">
        <f t="shared" ref="R83:R85" si="38">J83</f>
        <v>Market</v>
      </c>
      <c r="S83" s="154" t="str">
        <f t="shared" ref="S83:S85" si="39">R83</f>
        <v>Market</v>
      </c>
      <c r="U83" s="114"/>
    </row>
    <row r="84" spans="1:21" ht="15">
      <c r="A84" s="108">
        <f t="shared" si="23"/>
        <v>84</v>
      </c>
      <c r="G84" s="328" t="s">
        <v>1063</v>
      </c>
      <c r="H84" s="159" t="s">
        <v>122</v>
      </c>
      <c r="I84" s="154" t="str">
        <f t="shared" ref="I84" si="40">H84</f>
        <v>Market</v>
      </c>
      <c r="J84" s="159" t="s">
        <v>122</v>
      </c>
      <c r="K84" s="154" t="str">
        <f t="shared" ref="K84" si="41">J84</f>
        <v>Market</v>
      </c>
      <c r="L84" s="159" t="s">
        <v>122</v>
      </c>
      <c r="M84" s="154" t="str">
        <f t="shared" ref="M84" si="42">L84</f>
        <v>Market</v>
      </c>
      <c r="N84" s="159" t="s">
        <v>122</v>
      </c>
      <c r="O84" s="154" t="str">
        <f t="shared" ref="O84" si="43">N84</f>
        <v>Market</v>
      </c>
      <c r="P84" s="159" t="s">
        <v>122</v>
      </c>
      <c r="Q84" s="154" t="str">
        <f t="shared" ref="Q84" si="44">P84</f>
        <v>Market</v>
      </c>
      <c r="R84" s="159" t="str">
        <f t="shared" ref="R84" si="45">J84</f>
        <v>Market</v>
      </c>
      <c r="S84" s="154" t="str">
        <f t="shared" ref="S84" si="46">R84</f>
        <v>Market</v>
      </c>
      <c r="U84" s="114"/>
    </row>
    <row r="85" spans="1:21" ht="15">
      <c r="A85" s="108">
        <f t="shared" si="23"/>
        <v>85</v>
      </c>
      <c r="G85" s="328" t="s">
        <v>952</v>
      </c>
      <c r="H85" s="329" t="s">
        <v>165</v>
      </c>
      <c r="I85" s="330" t="str">
        <f t="shared" si="33"/>
        <v>N</v>
      </c>
      <c r="J85" s="329" t="s">
        <v>165</v>
      </c>
      <c r="K85" s="330" t="str">
        <f t="shared" si="34"/>
        <v>N</v>
      </c>
      <c r="L85" s="329" t="s">
        <v>165</v>
      </c>
      <c r="M85" s="330" t="str">
        <f t="shared" si="35"/>
        <v>N</v>
      </c>
      <c r="N85" s="329" t="s">
        <v>165</v>
      </c>
      <c r="O85" s="330" t="str">
        <f t="shared" si="36"/>
        <v>N</v>
      </c>
      <c r="P85" s="329" t="s">
        <v>165</v>
      </c>
      <c r="Q85" s="330" t="str">
        <f t="shared" si="37"/>
        <v>N</v>
      </c>
      <c r="R85" s="329" t="str">
        <f t="shared" si="38"/>
        <v>N</v>
      </c>
      <c r="S85" s="330" t="str">
        <f t="shared" si="39"/>
        <v>N</v>
      </c>
      <c r="U85" s="114"/>
    </row>
    <row r="86" spans="1:21" ht="15.75" thickBot="1">
      <c r="A86" s="108">
        <f t="shared" si="23"/>
        <v>86</v>
      </c>
      <c r="G86" s="186" t="s">
        <v>884</v>
      </c>
      <c r="H86" s="740"/>
      <c r="I86" s="741"/>
      <c r="J86" s="740"/>
      <c r="K86" s="741"/>
      <c r="L86" s="740"/>
      <c r="M86" s="741"/>
      <c r="N86" s="740"/>
      <c r="O86" s="741"/>
      <c r="P86" s="740"/>
      <c r="Q86" s="741"/>
      <c r="R86" s="740"/>
      <c r="S86" s="741"/>
      <c r="U86" s="114"/>
    </row>
    <row r="87" spans="1:21">
      <c r="A87" s="108">
        <f t="shared" si="23"/>
        <v>87</v>
      </c>
      <c r="F87" s="110"/>
      <c r="G87" s="205" t="s">
        <v>334</v>
      </c>
      <c r="H87" s="160"/>
      <c r="I87" s="155"/>
      <c r="J87" s="160"/>
      <c r="K87" s="155"/>
      <c r="L87" s="160"/>
      <c r="M87" s="155"/>
      <c r="N87" s="160"/>
      <c r="O87" s="155"/>
      <c r="P87" s="160"/>
      <c r="Q87" s="155"/>
      <c r="R87" s="160"/>
      <c r="S87" s="155"/>
      <c r="U87" s="114"/>
    </row>
    <row r="88" spans="1:21" ht="15">
      <c r="A88" s="108">
        <f t="shared" si="23"/>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1" ht="15">
      <c r="A89" s="108">
        <f t="shared" si="23"/>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1" ht="15">
      <c r="A90" s="108">
        <f t="shared" si="23"/>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1" ht="15">
      <c r="A91" s="108">
        <f t="shared" si="23"/>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1" ht="15">
      <c r="A92" s="108">
        <f t="shared" si="23"/>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1" ht="15">
      <c r="A93" s="108">
        <f t="shared" si="23"/>
        <v>93</v>
      </c>
      <c r="G93" s="188" t="s">
        <v>164</v>
      </c>
      <c r="H93" s="198">
        <f>INDEX('LM Offers'!$A$3:$CZ$500,MATCH(H$3&amp;H$4&amp;H$5,'LM Offers'!$A$3:$A$500,0),MATCH($A93,'LM Offers'!$A$3:$CZ$3,0))</f>
        <v>1.9E-2</v>
      </c>
      <c r="I93" s="199">
        <f>INDEX(Offers!$A$3:$CZ$500,MATCH(I$3&amp;I$4&amp;I$5,Offers!$A$3:$A$500,0),MATCH($A93,Offers!$A$3:$CZ$3,0))</f>
        <v>1.9E-2</v>
      </c>
      <c r="J93" s="198">
        <f>INDEX('LM Offers'!$A$3:$CZ$500,MATCH(J$3&amp;J$4&amp;J$5,'LM Offers'!$A$3:$A$500,0),MATCH($A93,'LM Offers'!$A$3:$CZ$3,0))</f>
        <v>1.9E-2</v>
      </c>
      <c r="K93" s="199">
        <f>INDEX(Offers!$A$3:$CZ$500,MATCH(K$3&amp;K$4&amp;K$5,Offers!$A$3:$A$500,0),MATCH($A93,Offers!$A$3:$CZ$3,0))</f>
        <v>1.9E-2</v>
      </c>
      <c r="L93" s="198">
        <f>INDEX('LM Offers'!$A$3:$CZ$500,MATCH(L$3&amp;L$4&amp;L$5,'LM Offers'!$A$3:$A$500,0),MATCH($A93,'LM Offers'!$A$3:$CZ$3,0))</f>
        <v>1.9E-2</v>
      </c>
      <c r="M93" s="199">
        <f>INDEX(Offers!$A$3:$CZ$500,MATCH(M$3&amp;M$4&amp;M$5,Offers!$A$3:$A$500,0),MATCH($A93,Offers!$A$3:$CZ$3,0))</f>
        <v>1.9E-2</v>
      </c>
      <c r="N93" s="198">
        <f>INDEX('LM Offers'!$A$3:$CZ$500,MATCH(N$3&amp;N$4&amp;N$5,'LM Offers'!$A$3:$A$500,0),MATCH($A93,'LM Offers'!$A$3:$CZ$3,0))</f>
        <v>1.8999999999999996E-2</v>
      </c>
      <c r="O93" s="199">
        <f>INDEX(Offers!$A$3:$CZ$500,MATCH(O$3&amp;O$4&amp;O$5,Offers!$A$3:$A$500,0),MATCH($A93,Offers!$A$3:$CZ$3,0))</f>
        <v>1.8999999999999996E-2</v>
      </c>
      <c r="P93" s="198">
        <f>INDEX('LM Offers'!$A$3:$CZ$500,MATCH(P$3&amp;P$4&amp;P$5,'LM Offers'!$A$3:$A$500,0),MATCH($A93,'LM Offers'!$A$3:$CZ$3,0))</f>
        <v>1.9E-2</v>
      </c>
      <c r="Q93" s="199">
        <f>INDEX(Offers!$A$3:$CZ$500,MATCH(Q$3&amp;Q$4&amp;Q$5,Offers!$A$3:$A$500,0),MATCH($A93,Offers!$A$3:$CZ$3,0))</f>
        <v>1.9E-2</v>
      </c>
      <c r="R93" s="198">
        <f>SUM($H$27*$H$29*$H$93,$J$27*$J$29*$J$93,$L$27*$L$29*$L$93,$N$27*$N$29*$N$93,$P$27*$P$29*$P$93)/($R$27*$R$29)</f>
        <v>1.8999999999999996E-2</v>
      </c>
      <c r="S93" s="199">
        <f>SUM($H$27*$H$29*$I$93,$J$27*$J$29*$K$93,$L$27*$L$29*$M$93,$N$27*$N$29*$O$93,$P$27*$P$29*$Q$93)/($R$27*$R$29)</f>
        <v>1.8999999999999996E-2</v>
      </c>
      <c r="U93" s="114"/>
    </row>
    <row r="94" spans="1:21" ht="15">
      <c r="A94" s="108">
        <f t="shared" si="23"/>
        <v>94</v>
      </c>
      <c r="G94" s="328" t="s">
        <v>1063</v>
      </c>
      <c r="H94" s="159">
        <f>INDEX('LM Offers'!$A$3:$CZ$500,MATCH(H$3&amp;H$4&amp;H$5,'LM Offers'!$A$3:$A$500,0),MATCH($A94,'LM Offers'!$A$3:$CZ$3,0))</f>
        <v>3.9E-2</v>
      </c>
      <c r="I94" s="864">
        <f>INDEX(Offers!$A$3:$CZ$500,MATCH(I$3&amp;I$4&amp;I$5,Offers!$A$3:$A$500,0),MATCH($A94,Offers!$A$3:$CZ$3,0))</f>
        <v>3.9E-2</v>
      </c>
      <c r="J94" s="159">
        <f>INDEX('LM Offers'!$A$3:$CZ$500,MATCH(J$3&amp;J$4&amp;J$5,'LM Offers'!$A$3:$A$500,0),MATCH($A94,'LM Offers'!$A$3:$CZ$3,0))</f>
        <v>3.9E-2</v>
      </c>
      <c r="K94" s="864">
        <f>INDEX(Offers!$A$3:$CZ$500,MATCH(K$3&amp;K$4&amp;K$5,Offers!$A$3:$A$500,0),MATCH($A94,Offers!$A$3:$CZ$3,0))</f>
        <v>3.9E-2</v>
      </c>
      <c r="L94" s="159">
        <f>INDEX('LM Offers'!$A$3:$CZ$500,MATCH(L$3&amp;L$4&amp;L$5,'LM Offers'!$A$3:$A$500,0),MATCH($A94,'LM Offers'!$A$3:$CZ$3,0))</f>
        <v>3.9000000000000007E-2</v>
      </c>
      <c r="M94" s="864">
        <f>INDEX(Offers!$A$3:$CZ$500,MATCH(M$3&amp;M$4&amp;M$5,Offers!$A$3:$A$500,0),MATCH($A94,Offers!$A$3:$CZ$3,0))</f>
        <v>3.9000000000000007E-2</v>
      </c>
      <c r="N94" s="159">
        <f>INDEX('LM Offers'!$A$3:$CZ$500,MATCH(N$3&amp;N$4&amp;N$5,'LM Offers'!$A$3:$A$500,0),MATCH($A94,'LM Offers'!$A$3:$CZ$3,0))</f>
        <v>3.9E-2</v>
      </c>
      <c r="O94" s="864">
        <f>INDEX(Offers!$A$3:$CZ$500,MATCH(O$3&amp;O$4&amp;O$5,Offers!$A$3:$A$500,0),MATCH($A94,Offers!$A$3:$CZ$3,0))</f>
        <v>3.9E-2</v>
      </c>
      <c r="P94" s="159">
        <f>INDEX('LM Offers'!$A$3:$CZ$500,MATCH(P$3&amp;P$4&amp;P$5,'LM Offers'!$A$3:$A$500,0),MATCH($A94,'LM Offers'!$A$3:$CZ$3,0))</f>
        <v>3.9E-2</v>
      </c>
      <c r="Q94" s="864">
        <f>INDEX(Offers!$A$3:$CZ$500,MATCH(Q$3&amp;Q$4&amp;Q$5,Offers!$A$3:$A$500,0),MATCH($A94,Offers!$A$3:$CZ$3,0))</f>
        <v>3.9E-2</v>
      </c>
      <c r="R94" s="866">
        <f>P94</f>
        <v>3.9E-2</v>
      </c>
      <c r="S94" s="865">
        <f>Q94</f>
        <v>3.9E-2</v>
      </c>
      <c r="U94" s="114"/>
    </row>
    <row r="95" spans="1:21" ht="15">
      <c r="A95" s="108">
        <f t="shared" si="23"/>
        <v>95</v>
      </c>
      <c r="G95" s="328" t="s">
        <v>952</v>
      </c>
      <c r="H95" s="159" t="str">
        <f t="shared" ref="H95:I95" si="47">IF(ISNUMBER(H94),"Y","N")</f>
        <v>Y</v>
      </c>
      <c r="I95" s="154" t="str">
        <f t="shared" si="47"/>
        <v>Y</v>
      </c>
      <c r="J95" s="159" t="str">
        <f t="shared" ref="J95:Q95" si="48">IF(ISNUMBER(J94),"Y","N")</f>
        <v>Y</v>
      </c>
      <c r="K95" s="154" t="str">
        <f t="shared" si="48"/>
        <v>Y</v>
      </c>
      <c r="L95" s="159" t="str">
        <f t="shared" si="48"/>
        <v>Y</v>
      </c>
      <c r="M95" s="154" t="str">
        <f t="shared" si="48"/>
        <v>Y</v>
      </c>
      <c r="N95" s="159" t="str">
        <f t="shared" si="48"/>
        <v>Y</v>
      </c>
      <c r="O95" s="154" t="str">
        <f t="shared" si="48"/>
        <v>Y</v>
      </c>
      <c r="P95" s="159" t="str">
        <f t="shared" si="48"/>
        <v>Y</v>
      </c>
      <c r="Q95" s="154" t="str">
        <f t="shared" si="48"/>
        <v>Y</v>
      </c>
      <c r="R95" s="329" t="str">
        <f t="shared" ref="R95:S95" si="49">IF(ISNUMBER(R94),"Y","N")</f>
        <v>Y</v>
      </c>
      <c r="S95" s="154" t="str">
        <f t="shared" si="49"/>
        <v>Y</v>
      </c>
      <c r="U95" s="114"/>
    </row>
    <row r="96" spans="1:21" ht="15.75" thickBot="1">
      <c r="A96" s="108">
        <f t="shared" si="23"/>
        <v>96</v>
      </c>
      <c r="G96" s="186" t="s">
        <v>884</v>
      </c>
      <c r="H96" s="742"/>
      <c r="I96" s="743"/>
      <c r="J96" s="742"/>
      <c r="K96" s="743"/>
      <c r="L96" s="742"/>
      <c r="M96" s="743"/>
      <c r="N96" s="742"/>
      <c r="O96" s="743"/>
      <c r="P96" s="742"/>
      <c r="Q96" s="743"/>
      <c r="R96" s="742"/>
      <c r="S96" s="743"/>
      <c r="U96" s="114"/>
    </row>
    <row r="97" spans="1:21" ht="15">
      <c r="A97" s="108">
        <f t="shared" si="23"/>
        <v>97</v>
      </c>
      <c r="F97" s="110"/>
      <c r="G97" s="205" t="s">
        <v>838</v>
      </c>
      <c r="H97" s="664"/>
      <c r="I97" s="665"/>
      <c r="J97" s="664"/>
      <c r="K97" s="665"/>
      <c r="L97" s="664"/>
      <c r="M97" s="665"/>
      <c r="N97" s="664"/>
      <c r="O97" s="665"/>
      <c r="P97" s="664"/>
      <c r="Q97" s="665"/>
      <c r="R97" s="664"/>
      <c r="S97" s="665"/>
      <c r="U97" s="114"/>
    </row>
    <row r="98" spans="1:21" ht="15">
      <c r="A98" s="108">
        <f t="shared" si="23"/>
        <v>98</v>
      </c>
      <c r="G98" s="206" t="s">
        <v>523</v>
      </c>
      <c r="H98" s="194">
        <f>INDEX('LM Offers'!$A$3:$CZ$500,MATCH(H$3&amp;H$4&amp;H$5,'LM Offers'!$A$3:$A$500,0),MATCH($A98,'LM Offers'!$A$3:$CZ$3,0))</f>
        <v>5598.7109265464023</v>
      </c>
      <c r="I98" s="195">
        <f>INDEX(Offers!$A$3:$CZ$500,MATCH(I$3&amp;I$4&amp;I$5,Offers!$A$3:$A$500,0),MATCH($A98,Offers!$A$3:$CZ$3,0))</f>
        <v>5481.7109265464023</v>
      </c>
      <c r="J98" s="194">
        <f>INDEX('LM Offers'!$A$3:$CZ$500,MATCH(J$3&amp;J$4&amp;J$5,'LM Offers'!$A$3:$A$500,0),MATCH($A98,'LM Offers'!$A$3:$CZ$3,0))</f>
        <v>5098.7109265464023</v>
      </c>
      <c r="K98" s="195">
        <f>INDEX(Offers!$A$3:$CZ$500,MATCH(K$3&amp;K$4&amp;K$5,Offers!$A$3:$A$500,0),MATCH($A98,Offers!$A$3:$CZ$3,0))</f>
        <v>4981.7109265464023</v>
      </c>
      <c r="L98" s="194">
        <f>INDEX('LM Offers'!$A$3:$CZ$500,MATCH(L$3&amp;L$4&amp;L$5,'LM Offers'!$A$3:$A$500,0),MATCH($A98,'LM Offers'!$A$3:$CZ$3,0))</f>
        <v>5098.7109265464023</v>
      </c>
      <c r="M98" s="195">
        <f>INDEX(Offers!$A$3:$CZ$500,MATCH(M$3&amp;M$4&amp;M$5,Offers!$A$3:$A$500,0),MATCH($A98,Offers!$A$3:$CZ$3,0))</f>
        <v>4981.7109265464023</v>
      </c>
      <c r="N98" s="194">
        <f>INDEX('LM Offers'!$A$3:$CZ$500,MATCH(N$3&amp;N$4&amp;N$5,'LM Offers'!$A$3:$A$500,0),MATCH($A98,'LM Offers'!$A$3:$CZ$3,0))</f>
        <v>4738.7109265464023</v>
      </c>
      <c r="O98" s="195">
        <f>INDEX(Offers!$A$3:$CZ$500,MATCH(O$3&amp;O$4&amp;O$5,Offers!$A$3:$A$500,0),MATCH($A98,Offers!$A$3:$CZ$3,0))</f>
        <v>4591.7109265464023</v>
      </c>
      <c r="P98" s="194">
        <f>INDEX('LM Offers'!$A$3:$CZ$500,MATCH(P$3&amp;P$4&amp;P$5,'LM Offers'!$A$3:$A$500,0),MATCH($A98,'LM Offers'!$A$3:$CZ$3,0))</f>
        <v>4738.7109265464023</v>
      </c>
      <c r="Q98" s="195">
        <f>INDEX(Offers!$A$3:$CZ$500,MATCH(Q$3&amp;Q$4&amp;Q$5,Offers!$A$3:$A$500,0),MATCH($A98,Offers!$A$3:$CZ$3,0))</f>
        <v>4591.7109265464023</v>
      </c>
      <c r="R98" s="194">
        <f>SUM($H$28*$H$29*$H$98,$J$28*$J$29*$J$98,$L$28*$L$29*$L$98,$N$28*$N$29*$N$98,$P$28*$P$29*$P$98)/($R$28*$R$29)</f>
        <v>5213.3563810918577</v>
      </c>
      <c r="S98" s="195">
        <f>SUM($H$28*$H$29*$I$98,$J$28*$J$29*$K$98,$L$28*$L$29*$M$98,$N$28*$N$29*$O$98,$P$28*$P$29*$Q$98)/($R$28*$R$29)</f>
        <v>5092.9745629100389</v>
      </c>
      <c r="U98" s="114"/>
    </row>
    <row r="99" spans="1:21" ht="15">
      <c r="A99" s="108">
        <f t="shared" si="23"/>
        <v>99</v>
      </c>
      <c r="G99" s="185" t="s">
        <v>159</v>
      </c>
      <c r="H99" s="534">
        <f>'LC Calib'!HM46</f>
        <v>2943</v>
      </c>
      <c r="I99" s="197">
        <f>H99+I98-H98</f>
        <v>2826</v>
      </c>
      <c r="J99" s="534">
        <f>'LC Calib'!HM49</f>
        <v>1475</v>
      </c>
      <c r="K99" s="197">
        <f>J99+K98-J98</f>
        <v>1358</v>
      </c>
      <c r="L99" s="534">
        <f>'LC Calib'!HM52</f>
        <v>4225</v>
      </c>
      <c r="M99" s="197">
        <f>L99+M98-L98</f>
        <v>4108</v>
      </c>
      <c r="N99" s="534">
        <f>'LC Calib'!HM55</f>
        <v>-2070</v>
      </c>
      <c r="O99" s="197">
        <f>N99+O98-N98</f>
        <v>-2217</v>
      </c>
      <c r="P99" s="534">
        <f>'LC Calib'!HM58</f>
        <v>-951.3618966787526</v>
      </c>
      <c r="Q99" s="197">
        <f>P99+Q98-P98</f>
        <v>-1098.3618966787526</v>
      </c>
      <c r="R99" s="534">
        <f>SUM($H$28*$H$29*$H$99,$J$28*$J$29*$J$99,$L$28*$L$29*$L$99,$N$28*$N$29*$N$99,$P$28*$P$29*$P$99)/($R$28*$R$29)</f>
        <v>2459.7093336934013</v>
      </c>
      <c r="S99" s="197">
        <f>R99+S98-R98</f>
        <v>2339.3275155115825</v>
      </c>
      <c r="U99" s="114"/>
    </row>
    <row r="100" spans="1:21">
      <c r="A100" s="108">
        <f t="shared" si="23"/>
        <v>100</v>
      </c>
      <c r="F100" s="112"/>
      <c r="G100" s="205" t="s">
        <v>817</v>
      </c>
      <c r="H100" s="161"/>
      <c r="I100" s="156"/>
      <c r="J100" s="161"/>
      <c r="K100" s="156"/>
      <c r="L100" s="161"/>
      <c r="M100" s="156"/>
      <c r="N100" s="161"/>
      <c r="O100" s="156"/>
      <c r="P100" s="161"/>
      <c r="Q100" s="156"/>
      <c r="R100" s="161"/>
      <c r="S100" s="156"/>
      <c r="U100" s="114"/>
    </row>
    <row r="101" spans="1:21" ht="15">
      <c r="A101" s="108">
        <f t="shared" si="23"/>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row>
    <row r="102" spans="1:21" ht="15">
      <c r="A102" s="108">
        <f t="shared" si="23"/>
        <v>102</v>
      </c>
      <c r="F102" s="112"/>
      <c r="G102" s="185" t="s">
        <v>525</v>
      </c>
      <c r="H102" s="200">
        <v>0</v>
      </c>
      <c r="I102" s="201">
        <f t="shared" ref="I102:I103" si="50">H102</f>
        <v>0</v>
      </c>
      <c r="J102" s="200">
        <v>0</v>
      </c>
      <c r="K102" s="201">
        <f t="shared" ref="K102:K103" si="51">J102</f>
        <v>0</v>
      </c>
      <c r="L102" s="200">
        <v>0</v>
      </c>
      <c r="M102" s="201">
        <f t="shared" ref="M102:M103" si="52">L102</f>
        <v>0</v>
      </c>
      <c r="N102" s="200">
        <v>0</v>
      </c>
      <c r="O102" s="201">
        <f t="shared" ref="O102:O103" si="53">N102</f>
        <v>0</v>
      </c>
      <c r="P102" s="200">
        <v>0</v>
      </c>
      <c r="Q102" s="201">
        <f t="shared" ref="Q102:Q103" si="54">P102</f>
        <v>0</v>
      </c>
      <c r="R102" s="200">
        <f t="shared" ref="R102:R104" si="55">J102</f>
        <v>0</v>
      </c>
      <c r="S102" s="201">
        <f t="shared" ref="S102:S103" si="56">R102</f>
        <v>0</v>
      </c>
      <c r="U102" s="114"/>
    </row>
    <row r="103" spans="1:21" ht="15">
      <c r="A103" s="108">
        <f t="shared" si="23"/>
        <v>103</v>
      </c>
      <c r="F103" s="113"/>
      <c r="G103" s="185" t="s">
        <v>526</v>
      </c>
      <c r="H103" s="200">
        <v>0</v>
      </c>
      <c r="I103" s="201">
        <f t="shared" si="50"/>
        <v>0</v>
      </c>
      <c r="J103" s="200">
        <v>0</v>
      </c>
      <c r="K103" s="201">
        <f t="shared" si="51"/>
        <v>0</v>
      </c>
      <c r="L103" s="200">
        <v>0</v>
      </c>
      <c r="M103" s="201">
        <f t="shared" si="52"/>
        <v>0</v>
      </c>
      <c r="N103" s="200">
        <v>0</v>
      </c>
      <c r="O103" s="201">
        <f t="shared" si="53"/>
        <v>0</v>
      </c>
      <c r="P103" s="200">
        <v>0</v>
      </c>
      <c r="Q103" s="201">
        <f t="shared" si="54"/>
        <v>0</v>
      </c>
      <c r="R103" s="200">
        <f t="shared" si="55"/>
        <v>0</v>
      </c>
      <c r="S103" s="201">
        <f t="shared" si="56"/>
        <v>0</v>
      </c>
      <c r="U103" s="114"/>
    </row>
    <row r="104" spans="1:21" ht="15">
      <c r="A104" s="108">
        <f t="shared" si="23"/>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5"/>
        <v>0.7</v>
      </c>
      <c r="S104" s="524">
        <f>R104</f>
        <v>0.7</v>
      </c>
      <c r="U104" s="114"/>
    </row>
    <row r="105" spans="1:21">
      <c r="A105" s="108">
        <f t="shared" si="23"/>
        <v>105</v>
      </c>
      <c r="F105" s="110"/>
      <c r="G105" s="193" t="s">
        <v>527</v>
      </c>
      <c r="H105" s="160"/>
      <c r="I105" s="155"/>
      <c r="J105" s="160"/>
      <c r="K105" s="155"/>
      <c r="L105" s="160"/>
      <c r="M105" s="155"/>
      <c r="N105" s="160"/>
      <c r="O105" s="155"/>
      <c r="P105" s="160"/>
      <c r="Q105" s="155"/>
      <c r="R105" s="160"/>
      <c r="S105" s="155"/>
      <c r="U105" s="114"/>
    </row>
    <row r="106" spans="1:21" ht="15">
      <c r="A106" s="108">
        <f t="shared" si="23"/>
        <v>106</v>
      </c>
      <c r="G106" s="184" t="s">
        <v>157</v>
      </c>
      <c r="H106" s="859">
        <f>INDEX('LM Offers'!$A$3:$CZ$500,MATCH(H$3&amp;H$4&amp;H$5,'LM Offers'!$A$3:$A$500,0),MATCH($A106,'LM Offers'!$A$3:$CZ$3,0))</f>
        <v>0</v>
      </c>
      <c r="I106" s="860">
        <f>INDEX(Offers!$A$3:$CZ$500,MATCH(I$3&amp;I$4&amp;I$5,Offers!$A$3:$A$500,0),MATCH($A106,Offers!$A$3:$CZ$3,0))</f>
        <v>0</v>
      </c>
      <c r="J106" s="859">
        <f>INDEX('LM Offers'!$A$3:$CZ$500,MATCH(J$3&amp;J$4&amp;J$5,'LM Offers'!$A$3:$A$500,0),MATCH($A106,'LM Offers'!$A$3:$CZ$3,0))</f>
        <v>0</v>
      </c>
      <c r="K106" s="860">
        <f>INDEX(Offers!$A$3:$CZ$500,MATCH(K$3&amp;K$4&amp;K$5,Offers!$A$3:$A$500,0),MATCH($A106,Offers!$A$3:$CZ$3,0))</f>
        <v>0</v>
      </c>
      <c r="L106" s="859">
        <f>INDEX('LM Offers'!$A$3:$CZ$500,MATCH(L$3&amp;L$4&amp;L$5,'LM Offers'!$A$3:$A$500,0),MATCH($A106,'LM Offers'!$A$3:$CZ$3,0))</f>
        <v>0</v>
      </c>
      <c r="M106" s="860">
        <f>INDEX(Offers!$A$3:$CZ$500,MATCH(M$3&amp;M$4&amp;M$5,Offers!$A$3:$A$500,0),MATCH($A106,Offers!$A$3:$CZ$3,0))</f>
        <v>0</v>
      </c>
      <c r="N106" s="859">
        <f>INDEX('LM Offers'!$A$3:$CZ$500,MATCH(N$3&amp;N$4&amp;N$5,'LM Offers'!$A$3:$A$500,0),MATCH($A106,'LM Offers'!$A$3:$CZ$3,0))</f>
        <v>0</v>
      </c>
      <c r="O106" s="860">
        <f>INDEX(Offers!$A$3:$CZ$500,MATCH(O$3&amp;O$4&amp;O$5,Offers!$A$3:$A$500,0),MATCH($A106,Offers!$A$3:$CZ$3,0))</f>
        <v>0</v>
      </c>
      <c r="P106" s="859">
        <f>INDEX('LM Offers'!$A$3:$CZ$500,MATCH(P$3&amp;P$4&amp;P$5,'LM Offers'!$A$3:$A$500,0),MATCH($A106,'LM Offers'!$A$3:$CZ$3,0))</f>
        <v>0</v>
      </c>
      <c r="Q106" s="860">
        <f>INDEX(Offers!$A$3:$CZ$500,MATCH(Q$3&amp;Q$4&amp;Q$5,Offers!$A$3:$A$500,0),MATCH($A106,Offers!$A$3:$CZ$3,0))</f>
        <v>0</v>
      </c>
      <c r="R106" s="194">
        <f>J106</f>
        <v>0</v>
      </c>
      <c r="S106" s="195">
        <f>R106</f>
        <v>0</v>
      </c>
      <c r="U106" s="114"/>
    </row>
    <row r="107" spans="1:21">
      <c r="A107" s="108">
        <f t="shared" si="23"/>
        <v>107</v>
      </c>
      <c r="F107" s="110"/>
      <c r="G107" s="205" t="s">
        <v>1160</v>
      </c>
      <c r="H107" s="160"/>
      <c r="I107" s="155"/>
      <c r="J107" s="160"/>
      <c r="K107" s="155"/>
      <c r="L107" s="160"/>
      <c r="M107" s="155"/>
      <c r="N107" s="160"/>
      <c r="O107" s="155"/>
      <c r="P107" s="160"/>
      <c r="Q107" s="155"/>
      <c r="R107" s="160"/>
      <c r="S107" s="155"/>
      <c r="U107" s="114"/>
    </row>
    <row r="108" spans="1:21" ht="15">
      <c r="A108" s="108">
        <f t="shared" si="23"/>
        <v>108</v>
      </c>
      <c r="F108" s="110"/>
      <c r="G108" s="184" t="s">
        <v>157</v>
      </c>
      <c r="H108" s="194">
        <v>0</v>
      </c>
      <c r="I108" s="195">
        <v>0</v>
      </c>
      <c r="J108" s="194">
        <f>$H108</f>
        <v>0</v>
      </c>
      <c r="K108" s="195">
        <f>$I108</f>
        <v>0</v>
      </c>
      <c r="L108" s="194">
        <f t="shared" ref="L108" si="57">$H108</f>
        <v>0</v>
      </c>
      <c r="M108" s="195">
        <v>500</v>
      </c>
      <c r="N108" s="194">
        <f t="shared" ref="N108" si="58">$H108</f>
        <v>0</v>
      </c>
      <c r="O108" s="195">
        <f t="shared" ref="O108" si="59">$I108</f>
        <v>0</v>
      </c>
      <c r="P108" s="194">
        <f t="shared" ref="P108" si="60">$H108</f>
        <v>0</v>
      </c>
      <c r="Q108" s="195">
        <v>500</v>
      </c>
      <c r="R108" s="194">
        <f t="shared" ref="R108" si="61">$H108</f>
        <v>0</v>
      </c>
      <c r="S108" s="195">
        <f t="shared" ref="S108" si="62">$I108</f>
        <v>0</v>
      </c>
      <c r="U108" s="114"/>
    </row>
    <row r="109" spans="1:21" ht="15">
      <c r="A109" s="108">
        <f t="shared" si="23"/>
        <v>109</v>
      </c>
      <c r="F109" s="110"/>
      <c r="G109" s="185" t="s">
        <v>528</v>
      </c>
      <c r="H109" s="876">
        <v>1</v>
      </c>
      <c r="I109" s="877">
        <v>1</v>
      </c>
      <c r="J109" s="196">
        <f t="shared" ref="J109" si="63">$H109</f>
        <v>1</v>
      </c>
      <c r="K109" s="877">
        <f t="shared" ref="K109" si="64">$I109</f>
        <v>1</v>
      </c>
      <c r="L109" s="196">
        <v>0.62</v>
      </c>
      <c r="M109" s="877">
        <v>0.62</v>
      </c>
      <c r="N109" s="196">
        <f t="shared" ref="N109" si="65">$H109</f>
        <v>1</v>
      </c>
      <c r="O109" s="877">
        <f t="shared" ref="O109" si="66">$I109</f>
        <v>1</v>
      </c>
      <c r="P109" s="196">
        <v>0.43</v>
      </c>
      <c r="Q109" s="877">
        <v>0.43</v>
      </c>
      <c r="R109" s="196">
        <f t="shared" ref="R109" si="67">$H109</f>
        <v>1</v>
      </c>
      <c r="S109" s="877">
        <f t="shared" ref="S109" si="68">$I109</f>
        <v>1</v>
      </c>
      <c r="U109" s="114"/>
    </row>
    <row r="110" spans="1:21">
      <c r="A110" s="108">
        <f t="shared" si="23"/>
        <v>110</v>
      </c>
      <c r="F110" s="110"/>
      <c r="G110" s="205" t="s">
        <v>1076</v>
      </c>
      <c r="H110" s="160"/>
      <c r="I110" s="155"/>
      <c r="J110" s="160"/>
      <c r="K110" s="155"/>
      <c r="L110" s="160"/>
      <c r="M110" s="155"/>
      <c r="N110" s="160"/>
      <c r="O110" s="155"/>
      <c r="P110" s="160"/>
      <c r="Q110" s="155"/>
      <c r="R110" s="160"/>
      <c r="S110" s="155"/>
      <c r="U110" s="114"/>
    </row>
    <row r="111" spans="1:21" ht="15">
      <c r="A111" s="108">
        <f t="shared" si="23"/>
        <v>111</v>
      </c>
      <c r="F111" s="110"/>
      <c r="G111" s="184" t="s">
        <v>157</v>
      </c>
      <c r="H111" s="194">
        <v>1000</v>
      </c>
      <c r="I111" s="195">
        <v>0</v>
      </c>
      <c r="J111" s="194">
        <f>$H111</f>
        <v>1000</v>
      </c>
      <c r="K111" s="195">
        <f>$I111</f>
        <v>0</v>
      </c>
      <c r="L111" s="194">
        <f t="shared" ref="L111" si="69">$H111</f>
        <v>1000</v>
      </c>
      <c r="M111" s="195">
        <f t="shared" ref="M111" si="70">$I111</f>
        <v>0</v>
      </c>
      <c r="N111" s="194">
        <f t="shared" ref="N111" si="71">$H111</f>
        <v>1000</v>
      </c>
      <c r="O111" s="195">
        <f t="shared" ref="O111" si="72">$I111</f>
        <v>0</v>
      </c>
      <c r="P111" s="194">
        <f t="shared" ref="P111" si="73">$H111</f>
        <v>1000</v>
      </c>
      <c r="Q111" s="195">
        <f t="shared" ref="Q111" si="74">$I111</f>
        <v>0</v>
      </c>
      <c r="R111" s="194">
        <f t="shared" ref="R111" si="75">$H111</f>
        <v>1000</v>
      </c>
      <c r="S111" s="195">
        <f t="shared" ref="S111" si="76">$I111</f>
        <v>0</v>
      </c>
      <c r="U111" s="114"/>
    </row>
    <row r="112" spans="1:21" ht="15">
      <c r="A112" s="108">
        <f t="shared" si="23"/>
        <v>112</v>
      </c>
      <c r="F112" s="110"/>
      <c r="G112" s="185" t="s">
        <v>528</v>
      </c>
      <c r="H112" s="876">
        <v>0.35</v>
      </c>
      <c r="I112" s="877">
        <v>0.35</v>
      </c>
      <c r="J112" s="196">
        <f t="shared" ref="J112" si="77">$H112</f>
        <v>0.35</v>
      </c>
      <c r="K112" s="877">
        <f t="shared" ref="K112" si="78">$I112</f>
        <v>0.35</v>
      </c>
      <c r="L112" s="196">
        <f t="shared" ref="L112" si="79">$H112</f>
        <v>0.35</v>
      </c>
      <c r="M112" s="877">
        <f t="shared" ref="M112" si="80">$I112</f>
        <v>0.35</v>
      </c>
      <c r="N112" s="196">
        <f t="shared" ref="N112" si="81">$H112</f>
        <v>0.35</v>
      </c>
      <c r="O112" s="877">
        <f t="shared" ref="O112" si="82">$I112</f>
        <v>0.35</v>
      </c>
      <c r="P112" s="196">
        <f t="shared" ref="P112" si="83">$H112</f>
        <v>0.35</v>
      </c>
      <c r="Q112" s="877">
        <f t="shared" ref="Q112" si="84">$I112</f>
        <v>0.35</v>
      </c>
      <c r="R112" s="196">
        <f t="shared" ref="R112" si="85">$H112</f>
        <v>0.35</v>
      </c>
      <c r="S112" s="877">
        <f t="shared" ref="S112" si="86">$I112</f>
        <v>0.35</v>
      </c>
      <c r="U112" s="114"/>
    </row>
    <row r="113" spans="1:45">
      <c r="A113" s="108">
        <f t="shared" si="23"/>
        <v>113</v>
      </c>
      <c r="F113" s="110"/>
      <c r="G113" s="205" t="s">
        <v>1161</v>
      </c>
      <c r="H113" s="160"/>
      <c r="I113" s="155"/>
      <c r="J113" s="160"/>
      <c r="K113" s="155"/>
      <c r="L113" s="160"/>
      <c r="M113" s="155"/>
      <c r="N113" s="160"/>
      <c r="O113" s="155"/>
      <c r="P113" s="160"/>
      <c r="Q113" s="155"/>
      <c r="R113" s="160"/>
      <c r="S113" s="155"/>
      <c r="U113" s="114"/>
    </row>
    <row r="114" spans="1:45" ht="15">
      <c r="A114" s="108">
        <f t="shared" si="23"/>
        <v>114</v>
      </c>
      <c r="G114" s="184" t="s">
        <v>157</v>
      </c>
      <c r="H114" s="194">
        <v>0</v>
      </c>
      <c r="I114" s="195">
        <v>0</v>
      </c>
      <c r="J114" s="194">
        <f>$H114</f>
        <v>0</v>
      </c>
      <c r="K114" s="195">
        <f>$I114</f>
        <v>0</v>
      </c>
      <c r="L114" s="194">
        <v>0</v>
      </c>
      <c r="M114" s="195">
        <v>500</v>
      </c>
      <c r="N114" s="194">
        <f t="shared" ref="N114" si="87">$H114</f>
        <v>0</v>
      </c>
      <c r="O114" s="195">
        <f t="shared" ref="O114" si="88">$I114</f>
        <v>0</v>
      </c>
      <c r="P114" s="194">
        <f t="shared" ref="P114" si="89">$H114</f>
        <v>0</v>
      </c>
      <c r="Q114" s="195">
        <f t="shared" ref="Q114" si="90">$I114</f>
        <v>0</v>
      </c>
      <c r="R114" s="194">
        <f t="shared" ref="R114" si="91">$H114</f>
        <v>0</v>
      </c>
      <c r="S114" s="195">
        <f t="shared" ref="S114" si="92">$I114</f>
        <v>0</v>
      </c>
      <c r="U114" s="114"/>
    </row>
    <row r="115" spans="1:45" ht="15">
      <c r="A115" s="108">
        <f t="shared" si="23"/>
        <v>115</v>
      </c>
      <c r="G115" s="185" t="s">
        <v>528</v>
      </c>
      <c r="H115" s="876">
        <v>1</v>
      </c>
      <c r="I115" s="877">
        <v>1</v>
      </c>
      <c r="J115" s="196">
        <f>$H115</f>
        <v>1</v>
      </c>
      <c r="K115" s="877">
        <f>$I115</f>
        <v>1</v>
      </c>
      <c r="L115" s="196">
        <v>0.97</v>
      </c>
      <c r="M115" s="877">
        <v>0.97</v>
      </c>
      <c r="N115" s="196">
        <f t="shared" ref="N115" si="93">$H115</f>
        <v>1</v>
      </c>
      <c r="O115" s="877">
        <f t="shared" ref="O115" si="94">$I115</f>
        <v>1</v>
      </c>
      <c r="P115" s="196">
        <f t="shared" ref="P115" si="95">$H115</f>
        <v>1</v>
      </c>
      <c r="Q115" s="877">
        <f t="shared" ref="Q115" si="96">$I115</f>
        <v>1</v>
      </c>
      <c r="R115" s="196">
        <f t="shared" ref="R115" si="97">$H115</f>
        <v>1</v>
      </c>
      <c r="S115" s="877">
        <f t="shared" ref="S115" si="98">$I115</f>
        <v>1</v>
      </c>
      <c r="U115" s="114"/>
    </row>
    <row r="116" spans="1:45">
      <c r="A116" s="108">
        <f t="shared" si="23"/>
        <v>116</v>
      </c>
      <c r="F116" s="110"/>
      <c r="G116" s="205" t="s">
        <v>1153</v>
      </c>
      <c r="H116" s="160"/>
      <c r="I116" s="155"/>
      <c r="J116" s="160"/>
      <c r="K116" s="155"/>
      <c r="L116" s="160"/>
      <c r="M116" s="155"/>
      <c r="N116" s="160"/>
      <c r="O116" s="155"/>
      <c r="P116" s="160"/>
      <c r="Q116" s="155"/>
      <c r="R116" s="160"/>
      <c r="S116" s="155"/>
      <c r="U116" s="114"/>
    </row>
    <row r="117" spans="1:45" ht="15">
      <c r="A117" s="108">
        <f t="shared" si="23"/>
        <v>117</v>
      </c>
      <c r="G117" s="184" t="s">
        <v>157</v>
      </c>
      <c r="H117" s="194">
        <v>500</v>
      </c>
      <c r="I117" s="195">
        <v>0</v>
      </c>
      <c r="J117" s="194">
        <f>$H117</f>
        <v>500</v>
      </c>
      <c r="K117" s="195">
        <f>$I117</f>
        <v>0</v>
      </c>
      <c r="L117" s="194">
        <f t="shared" ref="L117" si="99">$H117</f>
        <v>500</v>
      </c>
      <c r="M117" s="195">
        <f t="shared" ref="M117" si="100">$I117</f>
        <v>0</v>
      </c>
      <c r="N117" s="194">
        <f t="shared" ref="N117" si="101">$H117</f>
        <v>500</v>
      </c>
      <c r="O117" s="195">
        <f t="shared" ref="O117" si="102">$I117</f>
        <v>0</v>
      </c>
      <c r="P117" s="194">
        <f t="shared" ref="P117" si="103">$H117</f>
        <v>500</v>
      </c>
      <c r="Q117" s="195">
        <f t="shared" ref="Q117" si="104">$I117</f>
        <v>0</v>
      </c>
      <c r="R117" s="194">
        <f t="shared" ref="R117" si="105">$H117</f>
        <v>500</v>
      </c>
      <c r="S117" s="195">
        <f t="shared" ref="S117" si="106">$I117</f>
        <v>0</v>
      </c>
      <c r="U117" s="114"/>
    </row>
    <row r="118" spans="1:45" ht="15">
      <c r="A118" s="108">
        <f t="shared" si="23"/>
        <v>118</v>
      </c>
      <c r="G118" s="185" t="s">
        <v>528</v>
      </c>
      <c r="H118" s="876">
        <v>1</v>
      </c>
      <c r="I118" s="877">
        <v>1</v>
      </c>
      <c r="J118" s="196">
        <f t="shared" ref="J118" si="107">$H118</f>
        <v>1</v>
      </c>
      <c r="K118" s="877">
        <f t="shared" ref="K118" si="108">$I118</f>
        <v>1</v>
      </c>
      <c r="L118" s="196">
        <f t="shared" ref="L118" si="109">$H118</f>
        <v>1</v>
      </c>
      <c r="M118" s="877">
        <f t="shared" ref="M118" si="110">$I118</f>
        <v>1</v>
      </c>
      <c r="N118" s="196">
        <f t="shared" ref="N118" si="111">$H118</f>
        <v>1</v>
      </c>
      <c r="O118" s="877">
        <f t="shared" ref="O118" si="112">$I118</f>
        <v>1</v>
      </c>
      <c r="P118" s="196">
        <f t="shared" ref="P118" si="113">$H118</f>
        <v>1</v>
      </c>
      <c r="Q118" s="877">
        <f t="shared" ref="Q118" si="114">$I118</f>
        <v>1</v>
      </c>
      <c r="R118" s="196">
        <f t="shared" ref="R118" si="115">$H118</f>
        <v>1</v>
      </c>
      <c r="S118" s="877">
        <f t="shared" ref="S118" si="116">$I118</f>
        <v>1</v>
      </c>
      <c r="U118" s="114"/>
    </row>
    <row r="119" spans="1:45">
      <c r="A119" s="108">
        <f t="shared" si="23"/>
        <v>119</v>
      </c>
      <c r="F119" s="110"/>
      <c r="G119" s="205" t="s">
        <v>1147</v>
      </c>
      <c r="H119" s="160"/>
      <c r="I119" s="155"/>
      <c r="J119" s="160"/>
      <c r="K119" s="155"/>
      <c r="L119" s="160"/>
      <c r="M119" s="155"/>
      <c r="N119" s="160"/>
      <c r="O119" s="155"/>
      <c r="P119" s="160"/>
      <c r="Q119" s="155"/>
      <c r="R119" s="160"/>
      <c r="S119" s="155"/>
      <c r="U119" s="114"/>
    </row>
    <row r="120" spans="1:45" ht="15">
      <c r="A120" s="108">
        <f t="shared" si="23"/>
        <v>120</v>
      </c>
      <c r="G120" s="184" t="s">
        <v>157</v>
      </c>
      <c r="H120" s="194">
        <v>500</v>
      </c>
      <c r="I120" s="195">
        <v>0</v>
      </c>
      <c r="J120" s="194">
        <f>$H120</f>
        <v>500</v>
      </c>
      <c r="K120" s="195">
        <f>$I120</f>
        <v>0</v>
      </c>
      <c r="L120" s="194">
        <f t="shared" ref="L120" si="117">$H120</f>
        <v>500</v>
      </c>
      <c r="M120" s="195">
        <f t="shared" ref="M120" si="118">$I120</f>
        <v>0</v>
      </c>
      <c r="N120" s="194">
        <f t="shared" ref="N120" si="119">$H120</f>
        <v>500</v>
      </c>
      <c r="O120" s="195">
        <f t="shared" ref="O120" si="120">$I120</f>
        <v>0</v>
      </c>
      <c r="P120" s="194">
        <f t="shared" ref="P120" si="121">$H120</f>
        <v>500</v>
      </c>
      <c r="Q120" s="195">
        <f t="shared" ref="Q120" si="122">$I120</f>
        <v>0</v>
      </c>
      <c r="R120" s="194">
        <f t="shared" ref="R120" si="123">$H120</f>
        <v>500</v>
      </c>
      <c r="S120" s="195">
        <f t="shared" ref="S120" si="124">$I120</f>
        <v>0</v>
      </c>
      <c r="U120" s="114"/>
    </row>
    <row r="121" spans="1:45" ht="15">
      <c r="A121" s="108">
        <f t="shared" si="23"/>
        <v>121</v>
      </c>
      <c r="G121" s="185" t="s">
        <v>528</v>
      </c>
      <c r="H121" s="876">
        <v>0.35</v>
      </c>
      <c r="I121" s="877">
        <v>0.35</v>
      </c>
      <c r="J121" s="196">
        <f t="shared" ref="J121" si="125">$H121</f>
        <v>0.35</v>
      </c>
      <c r="K121" s="877">
        <f t="shared" ref="K121" si="126">$I121</f>
        <v>0.35</v>
      </c>
      <c r="L121" s="196">
        <f t="shared" ref="L121" si="127">$H121</f>
        <v>0.35</v>
      </c>
      <c r="M121" s="877">
        <f t="shared" ref="M121" si="128">$I121</f>
        <v>0.35</v>
      </c>
      <c r="N121" s="196">
        <f t="shared" ref="N121" si="129">$H121</f>
        <v>0.35</v>
      </c>
      <c r="O121" s="877">
        <f t="shared" ref="O121" si="130">$I121</f>
        <v>0.35</v>
      </c>
      <c r="P121" s="196">
        <f t="shared" ref="P121" si="131">$H121</f>
        <v>0.35</v>
      </c>
      <c r="Q121" s="877">
        <f t="shared" ref="Q121" si="132">$I121</f>
        <v>0.35</v>
      </c>
      <c r="R121" s="196">
        <f t="shared" ref="R121" si="133">$H121</f>
        <v>0.35</v>
      </c>
      <c r="S121" s="877">
        <f t="shared" ref="S121" si="134">$I121</f>
        <v>0.35</v>
      </c>
      <c r="U121" s="114"/>
    </row>
    <row r="122" spans="1:45">
      <c r="A122" s="108">
        <f t="shared" si="23"/>
        <v>122</v>
      </c>
      <c r="U122" s="114"/>
      <c r="AR122" s="124"/>
      <c r="AS122" s="124"/>
    </row>
    <row r="123" spans="1:45">
      <c r="A123" s="108">
        <f t="shared" si="23"/>
        <v>123</v>
      </c>
      <c r="I123" s="871"/>
    </row>
    <row r="124" spans="1:45">
      <c r="A124" s="108">
        <f t="shared" si="23"/>
        <v>124</v>
      </c>
      <c r="I124" s="871"/>
    </row>
    <row r="125" spans="1:45">
      <c r="A125" s="108">
        <f t="shared" si="23"/>
        <v>125</v>
      </c>
    </row>
    <row r="126" spans="1:45">
      <c r="A126" s="108">
        <f t="shared" si="23"/>
        <v>126</v>
      </c>
    </row>
    <row r="127" spans="1:45">
      <c r="A127" s="108">
        <f t="shared" si="23"/>
        <v>127</v>
      </c>
    </row>
    <row r="128" spans="1:45">
      <c r="A128" s="108">
        <f t="shared" si="23"/>
        <v>128</v>
      </c>
    </row>
    <row r="129" spans="1:21">
      <c r="A129" s="108">
        <f t="shared" si="23"/>
        <v>129</v>
      </c>
    </row>
    <row r="130" spans="1:21">
      <c r="A130" s="108">
        <f t="shared" ref="A130:A155" si="135">A129+1</f>
        <v>130</v>
      </c>
    </row>
    <row r="131" spans="1:21">
      <c r="A131" s="108">
        <f t="shared" si="135"/>
        <v>131</v>
      </c>
    </row>
    <row r="132" spans="1:21">
      <c r="A132" s="108">
        <f t="shared" si="135"/>
        <v>132</v>
      </c>
    </row>
    <row r="133" spans="1:21">
      <c r="A133" s="108">
        <f t="shared" si="135"/>
        <v>133</v>
      </c>
    </row>
    <row r="134" spans="1:21">
      <c r="A134" s="108">
        <f t="shared" si="135"/>
        <v>134</v>
      </c>
    </row>
    <row r="135" spans="1:21">
      <c r="A135" s="108">
        <f t="shared" si="135"/>
        <v>135</v>
      </c>
    </row>
    <row r="136" spans="1:21">
      <c r="A136" s="108">
        <f t="shared" si="135"/>
        <v>136</v>
      </c>
    </row>
    <row r="137" spans="1:21">
      <c r="A137" s="108">
        <f t="shared" si="135"/>
        <v>137</v>
      </c>
    </row>
    <row r="138" spans="1:21">
      <c r="A138" s="108">
        <f t="shared" si="135"/>
        <v>138</v>
      </c>
    </row>
    <row r="139" spans="1:21">
      <c r="A139" s="108">
        <f t="shared" si="135"/>
        <v>139</v>
      </c>
    </row>
    <row r="140" spans="1:21">
      <c r="A140" s="108">
        <f t="shared" si="135"/>
        <v>140</v>
      </c>
      <c r="F140" s="110"/>
      <c r="U140" s="114"/>
    </row>
    <row r="141" spans="1:21">
      <c r="A141" s="108">
        <f t="shared" si="135"/>
        <v>141</v>
      </c>
      <c r="U141" s="114"/>
    </row>
    <row r="142" spans="1:21">
      <c r="A142" s="108">
        <f t="shared" si="135"/>
        <v>142</v>
      </c>
      <c r="U142" s="114"/>
    </row>
    <row r="143" spans="1:21">
      <c r="A143" s="108">
        <f t="shared" si="135"/>
        <v>143</v>
      </c>
      <c r="U143" s="114"/>
    </row>
    <row r="144" spans="1:21">
      <c r="A144" s="108">
        <f t="shared" si="135"/>
        <v>144</v>
      </c>
    </row>
    <row r="145" spans="1:21">
      <c r="A145" s="108">
        <f t="shared" si="135"/>
        <v>145</v>
      </c>
    </row>
    <row r="146" spans="1:21">
      <c r="A146" s="108">
        <f t="shared" si="135"/>
        <v>146</v>
      </c>
    </row>
    <row r="147" spans="1:21">
      <c r="A147" s="108">
        <f t="shared" si="135"/>
        <v>147</v>
      </c>
    </row>
    <row r="148" spans="1:21">
      <c r="A148" s="108">
        <f t="shared" si="135"/>
        <v>148</v>
      </c>
    </row>
    <row r="149" spans="1:21">
      <c r="A149" s="108">
        <f t="shared" si="135"/>
        <v>149</v>
      </c>
    </row>
    <row r="150" spans="1:21">
      <c r="A150" s="108">
        <f t="shared" si="135"/>
        <v>150</v>
      </c>
      <c r="G150" s="695" t="s">
        <v>858</v>
      </c>
    </row>
    <row r="151" spans="1:21" ht="15">
      <c r="A151" s="108">
        <f t="shared" si="135"/>
        <v>151</v>
      </c>
      <c r="F151" s="110"/>
      <c r="G151" s="206" t="s">
        <v>859</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135"/>
        <v>152</v>
      </c>
      <c r="G152" s="206" t="s">
        <v>860</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135"/>
        <v>153</v>
      </c>
      <c r="G153" s="206" t="s">
        <v>861</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135"/>
        <v>154</v>
      </c>
      <c r="G154" s="206" t="s">
        <v>862</v>
      </c>
      <c r="H154" s="534">
        <f>(H152-H151)/H153+H151</f>
        <v>249</v>
      </c>
      <c r="I154" s="197">
        <f t="shared" ref="I154:Q154" si="136">(I152-I151)/I153+I151</f>
        <v>249</v>
      </c>
      <c r="J154" s="534">
        <f t="shared" si="136"/>
        <v>249</v>
      </c>
      <c r="K154" s="197">
        <f t="shared" si="136"/>
        <v>249</v>
      </c>
      <c r="L154" s="534">
        <f t="shared" si="136"/>
        <v>249</v>
      </c>
      <c r="M154" s="197">
        <f t="shared" si="136"/>
        <v>249</v>
      </c>
      <c r="N154" s="534">
        <f t="shared" si="136"/>
        <v>249</v>
      </c>
      <c r="O154" s="197">
        <f t="shared" si="136"/>
        <v>249</v>
      </c>
      <c r="P154" s="534">
        <f t="shared" ref="P154" si="137">(P152-P151)/P153+P151</f>
        <v>249</v>
      </c>
      <c r="Q154" s="197">
        <f t="shared" si="136"/>
        <v>249</v>
      </c>
      <c r="R154" s="534">
        <f t="shared" ref="R154:S154" si="138">(R152-R151)/R153+R151</f>
        <v>249</v>
      </c>
      <c r="S154" s="197">
        <f t="shared" si="138"/>
        <v>249</v>
      </c>
    </row>
    <row r="155" spans="1:21" ht="15">
      <c r="A155" s="108">
        <f t="shared" si="135"/>
        <v>155</v>
      </c>
      <c r="G155" s="206" t="s">
        <v>863</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241">
      <formula>IF(#REF!="N",TRUE,FALSE)</formula>
    </cfRule>
  </conditionalFormatting>
  <conditionalFormatting sqref="H89:H94">
    <cfRule type="expression" dxfId="1779" priority="239">
      <formula>IF(#REF!="N",TRUE,FALSE)</formula>
    </cfRule>
  </conditionalFormatting>
  <conditionalFormatting sqref="I89:I94">
    <cfRule type="expression" dxfId="1778" priority="237">
      <formula>IF(#REF!="N",TRUE,FALSE)</formula>
    </cfRule>
  </conditionalFormatting>
  <conditionalFormatting sqref="I89:I94">
    <cfRule type="expression" dxfId="1777" priority="235">
      <formula>IF(#REF!="N",TRUE,FALSE)</formula>
    </cfRule>
  </conditionalFormatting>
  <conditionalFormatting sqref="I89:I94">
    <cfRule type="expression" dxfId="1776" priority="234">
      <formula>IF(#REF!="N",TRUE,FALSE)</formula>
    </cfRule>
  </conditionalFormatting>
  <conditionalFormatting sqref="I95">
    <cfRule type="expression" dxfId="1775" priority="157">
      <formula>IF(#REF!="N",TRUE,FALSE)</formula>
    </cfRule>
  </conditionalFormatting>
  <conditionalFormatting sqref="I95">
    <cfRule type="expression" dxfId="1774" priority="156">
      <formula>IF(#REF!="N",TRUE,FALSE)</formula>
    </cfRule>
  </conditionalFormatting>
  <conditionalFormatting sqref="I95">
    <cfRule type="expression" dxfId="1773" priority="155">
      <formula>IF(#REF!="N",TRUE,FALSE)</formula>
    </cfRule>
  </conditionalFormatting>
  <conditionalFormatting sqref="H95">
    <cfRule type="expression" dxfId="1772" priority="154">
      <formula>IF(#REF!="N",TRUE,FALSE)</formula>
    </cfRule>
  </conditionalFormatting>
  <conditionalFormatting sqref="H95">
    <cfRule type="expression" dxfId="1771" priority="153">
      <formula>IF(#REF!="N",TRUE,FALSE)</formula>
    </cfRule>
  </conditionalFormatting>
  <conditionalFormatting sqref="H95">
    <cfRule type="expression" dxfId="1770" priority="152">
      <formula>IF(#REF!="N",TRUE,FALSE)</formula>
    </cfRule>
  </conditionalFormatting>
  <conditionalFormatting sqref="H95">
    <cfRule type="expression" dxfId="1769" priority="151">
      <formula>IF(#REF!="N",TRUE,FALSE)</formula>
    </cfRule>
  </conditionalFormatting>
  <conditionalFormatting sqref="S95">
    <cfRule type="expression" dxfId="1768" priority="70">
      <formula>IF(#REF!="N",TRUE,FALSE)</formula>
    </cfRule>
  </conditionalFormatting>
  <conditionalFormatting sqref="S95">
    <cfRule type="expression" dxfId="1767" priority="69">
      <formula>IF(#REF!="N",TRUE,FALSE)</formula>
    </cfRule>
  </conditionalFormatting>
  <conditionalFormatting sqref="S95">
    <cfRule type="expression" dxfId="1766" priority="68">
      <formula>IF(#REF!="N",TRUE,FALSE)</formula>
    </cfRule>
  </conditionalFormatting>
  <conditionalFormatting sqref="R89:R94">
    <cfRule type="expression" dxfId="1765" priority="67">
      <formula>IF(#REF!="N",TRUE,FALSE)</formula>
    </cfRule>
  </conditionalFormatting>
  <conditionalFormatting sqref="R89:R94">
    <cfRule type="expression" dxfId="1764" priority="66">
      <formula>IF(#REF!="N",TRUE,FALSE)</formula>
    </cfRule>
  </conditionalFormatting>
  <conditionalFormatting sqref="S89:S94">
    <cfRule type="expression" dxfId="1763" priority="65">
      <formula>IF(#REF!="N",TRUE,FALSE)</formula>
    </cfRule>
  </conditionalFormatting>
  <conditionalFormatting sqref="S89:S94">
    <cfRule type="expression" dxfId="1762" priority="64">
      <formula>IF(#REF!="N",TRUE,FALSE)</formula>
    </cfRule>
  </conditionalFormatting>
  <conditionalFormatting sqref="S89:S94">
    <cfRule type="expression" dxfId="1761" priority="63">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disablePrompts="1"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156" zoomScale="70" zoomScaleNormal="70" workbookViewId="0">
      <selection activeCell="AH181" sqref="AH181"/>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775</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776</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777</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849</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850</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917" t="s">
        <v>989</v>
      </c>
      <c r="B98" s="917" t="s">
        <v>309</v>
      </c>
      <c r="C98" s="917" t="s">
        <v>823</v>
      </c>
      <c r="D98" s="917" t="s">
        <v>778</v>
      </c>
      <c r="E98" s="917" t="s">
        <v>155</v>
      </c>
      <c r="F98" s="917" t="s">
        <v>350</v>
      </c>
      <c r="G98" s="917" t="s">
        <v>351</v>
      </c>
      <c r="H98" s="917" t="s">
        <v>352</v>
      </c>
      <c r="I98" s="917" t="s">
        <v>534</v>
      </c>
      <c r="J98" s="917" t="s">
        <v>535</v>
      </c>
      <c r="K98" s="917" t="s">
        <v>536</v>
      </c>
      <c r="L98" s="917" t="s">
        <v>537</v>
      </c>
      <c r="M98" s="917" t="s">
        <v>538</v>
      </c>
      <c r="N98" s="917" t="s">
        <v>539</v>
      </c>
      <c r="O98" s="917" t="s">
        <v>971</v>
      </c>
      <c r="P98" s="917" t="s">
        <v>541</v>
      </c>
      <c r="Q98" s="917" t="s">
        <v>542</v>
      </c>
      <c r="R98" s="917" t="s">
        <v>535</v>
      </c>
      <c r="S98" s="917" t="s">
        <v>536</v>
      </c>
      <c r="T98" s="917" t="s">
        <v>537</v>
      </c>
      <c r="U98" s="917" t="s">
        <v>538</v>
      </c>
      <c r="V98" s="917" t="s">
        <v>539</v>
      </c>
      <c r="W98" s="917" t="s">
        <v>971</v>
      </c>
      <c r="X98" s="917" t="s">
        <v>972</v>
      </c>
      <c r="Y98" s="917" t="s">
        <v>346</v>
      </c>
      <c r="Z98" s="917" t="s">
        <v>7</v>
      </c>
      <c r="AA98" s="919" t="str">
        <f>INDEX(Input!$1:$1048576,AA$93-1,7)</f>
        <v>Misc 1: State Retail Bonus Cash (C, F)</v>
      </c>
      <c r="AB98" s="917" t="s">
        <v>757</v>
      </c>
      <c r="AC98" s="919" t="str">
        <f>INDEX(Input!$1:$1048576,AC$93-1,7)</f>
        <v>Misc 2:  Event Retail Bonus Cash (C, F)</v>
      </c>
      <c r="AD98" s="917" t="s">
        <v>758</v>
      </c>
      <c r="AE98" s="919" t="str">
        <f>INDEX(Input!$1:$1048576,AE$93-1,7)</f>
        <v>Misc 3: State Lease Bonus Cash (L)</v>
      </c>
      <c r="AF98" s="917" t="s">
        <v>543</v>
      </c>
      <c r="AG98" s="919" t="str">
        <f>INDEX(Input!$1:$1048576,AG$93-1,7)</f>
        <v>Misc 4: Stackable Bonus Cash</v>
      </c>
      <c r="AH98" s="917" t="s">
        <v>759</v>
      </c>
      <c r="AI98" s="919" t="str">
        <f>INDEX(Input!$1:$1048576,AI$93-1,7)</f>
        <v>Misc 5: Event Lease Bonus Cash (L)</v>
      </c>
      <c r="AJ98" s="921" t="s">
        <v>760</v>
      </c>
    </row>
    <row r="99" spans="1:36" s="90" customFormat="1" ht="43.15" customHeight="1">
      <c r="A99" s="918"/>
      <c r="B99" s="918"/>
      <c r="C99" s="918"/>
      <c r="D99" s="918"/>
      <c r="E99" s="918"/>
      <c r="F99" s="918"/>
      <c r="G99" s="918"/>
      <c r="H99" s="918"/>
      <c r="I99" s="918"/>
      <c r="J99" s="918"/>
      <c r="K99" s="918"/>
      <c r="L99" s="918"/>
      <c r="M99" s="918"/>
      <c r="N99" s="918"/>
      <c r="O99" s="918"/>
      <c r="P99" s="918"/>
      <c r="Q99" s="918"/>
      <c r="R99" s="918"/>
      <c r="S99" s="918"/>
      <c r="T99" s="918"/>
      <c r="U99" s="918"/>
      <c r="V99" s="918"/>
      <c r="W99" s="918"/>
      <c r="X99" s="918"/>
      <c r="Y99" s="918"/>
      <c r="Z99" s="918"/>
      <c r="AA99" s="920"/>
      <c r="AB99" s="918"/>
      <c r="AC99" s="920"/>
      <c r="AD99" s="918"/>
      <c r="AE99" s="920"/>
      <c r="AF99" s="918"/>
      <c r="AG99" s="920"/>
      <c r="AH99" s="918"/>
      <c r="AI99" s="920"/>
      <c r="AJ99" s="922"/>
    </row>
    <row r="100" spans="1:36" s="92" customFormat="1" ht="14.45" customHeight="1" thickBot="1">
      <c r="A100" s="552" t="s">
        <v>749</v>
      </c>
      <c r="B100" s="552"/>
      <c r="C100" s="552"/>
      <c r="D100" s="551"/>
      <c r="E100" s="552" t="s">
        <v>998</v>
      </c>
      <c r="F100" s="552" t="s">
        <v>999</v>
      </c>
      <c r="G100" s="552"/>
      <c r="H100" s="552"/>
      <c r="I100" s="552"/>
      <c r="J100" s="553"/>
      <c r="K100" s="553"/>
      <c r="L100" s="553"/>
      <c r="M100" s="553"/>
      <c r="N100" s="553"/>
      <c r="O100" s="553"/>
      <c r="P100" s="553"/>
      <c r="Q100" s="553" t="s">
        <v>997</v>
      </c>
      <c r="R100" s="553"/>
      <c r="S100" s="553"/>
      <c r="T100" s="553"/>
      <c r="U100" s="553" t="s">
        <v>992</v>
      </c>
      <c r="V100" s="553" t="s">
        <v>993</v>
      </c>
      <c r="W100" s="553"/>
      <c r="X100" s="553"/>
      <c r="Y100" s="552" t="s">
        <v>994</v>
      </c>
      <c r="Z100" s="553" t="s">
        <v>995</v>
      </c>
      <c r="AA100" s="552" t="s">
        <v>753</v>
      </c>
      <c r="AB100" s="552"/>
      <c r="AC100" s="552" t="s">
        <v>996</v>
      </c>
      <c r="AD100" s="552"/>
      <c r="AE100" s="552" t="s">
        <v>991</v>
      </c>
      <c r="AF100" s="552"/>
      <c r="AG100" s="552" t="s">
        <v>1154</v>
      </c>
      <c r="AH100" s="552"/>
      <c r="AI100" s="552" t="s">
        <v>1155</v>
      </c>
      <c r="AJ100" s="819"/>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750 CC, 0/0.9/1.9, 5598.7109265464 Lease, 1000 RBC, </v>
      </c>
      <c r="B101" s="560">
        <v>1</v>
      </c>
      <c r="C101" s="559">
        <v>1</v>
      </c>
      <c r="D101" s="560" t="s">
        <v>566</v>
      </c>
      <c r="E101" s="365">
        <f>INDEX(Input!$1:$1048576,E$93,$C101*2+MIN($B101,1)+5)</f>
        <v>750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38">
        <f>INDEX(Input!$1:$1048576,W$93,$C101*2+MIN($B101,1)+5)</f>
        <v>3.9E-2</v>
      </c>
      <c r="X101" s="367" t="str">
        <f>INDEX(Input!$1:$1048576,X$93,$C101*2+MIN($B101,1)+5)</f>
        <v>Y</v>
      </c>
      <c r="Y101" s="49">
        <f>INDEX(Input!$1:$1048576,Y$93,$C101*2+MIN($B101,1)+5)</f>
        <v>2943</v>
      </c>
      <c r="Z101" s="584">
        <f>INDEX(Input!$1:$1048576,Z$93,$C101*2+MIN($B101,1)+5)</f>
        <v>0</v>
      </c>
      <c r="AA101" s="49">
        <f>INDEX(Input!$1:$1048576,AA$93,$C101*2+MIN($B101,1)+5)</f>
        <v>0</v>
      </c>
      <c r="AB101" s="367">
        <f>INDEX(Input!$1:$1048576,AB$93,$C101*2+MIN($B101,1)+5)</f>
        <v>1</v>
      </c>
      <c r="AC101" s="49">
        <f>INDEX(Input!$1:$1048576,AC$93,$C101*2+MIN($B101,1)+5)</f>
        <v>1000</v>
      </c>
      <c r="AD101" s="367">
        <f>INDEX(Input!$1:$1048576,AD$93,$C101*2+MIN($B101,1)+5)</f>
        <v>0.35</v>
      </c>
      <c r="AE101" s="49">
        <f>INDEX(Input!$1:$1048576,AE$93,$C101*2+MIN($B101,1)+5)</f>
        <v>0</v>
      </c>
      <c r="AF101" s="367">
        <f>INDEX(Input!$1:$1048576,AF$93,$C101*2+MIN($B101,1)+5)</f>
        <v>1</v>
      </c>
      <c r="AG101" s="49">
        <f>INDEX(Input!$1:$1048576,AG$93,$C101*2+MIN($B101,1)+5)</f>
        <v>500</v>
      </c>
      <c r="AH101" s="367">
        <f>INDEX(Input!$1:$1048576,AH$93,$C101*2+MIN($B101,1)+5)</f>
        <v>1</v>
      </c>
      <c r="AI101" s="49">
        <f>INDEX(Input!$1:$1048576,AI$93,$C101*2+MIN($B101,1)+5)</f>
        <v>500</v>
      </c>
      <c r="AJ101" s="48">
        <f>INDEX(Input!$1:$1048576,AJ$93,$C101*2+MIN($B101,1)+5)</f>
        <v>0.35</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1250 CC, 0/0.9/1.9, 5481.7109265464 Lease0 RBC, </v>
      </c>
      <c r="B102" s="560">
        <f>B101+1</f>
        <v>2</v>
      </c>
      <c r="C102" s="560">
        <f>C101</f>
        <v>1</v>
      </c>
      <c r="D102" s="560" t="s">
        <v>567</v>
      </c>
      <c r="E102" s="365">
        <f>INDEX(Input!$1:$1048576,E$93,$C102*2+MIN($B102,2)+5)</f>
        <v>1250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38">
        <f>INDEX(Input!$1:$1048576,W$93,$C102*2+MIN($B102,2)+5)</f>
        <v>3.9E-2</v>
      </c>
      <c r="X102" s="367" t="str">
        <f>INDEX(Input!$1:$1048576,X$93,$C102*2+MIN($B102,2)+5)</f>
        <v>Y</v>
      </c>
      <c r="Y102" s="49">
        <f>INDEX(Input!$1:$1048576,Y$93,$C102*2+MIN($B102,2)+5)</f>
        <v>2826</v>
      </c>
      <c r="Z102" s="584">
        <f>INDEX(Input!$1:$1048576,Z$93,$C102*2+MIN($B102,2)+5)</f>
        <v>0</v>
      </c>
      <c r="AA102" s="49">
        <f>INDEX(Input!$1:$1048576,AA$93,$C102*2+MIN($B102,2)+5)</f>
        <v>0</v>
      </c>
      <c r="AB102" s="367">
        <f>INDEX(Input!$1:$1048576,AB$93,$C102*2+MIN($B102,2)+5)</f>
        <v>1</v>
      </c>
      <c r="AC102" s="49">
        <f>INDEX(Input!$1:$1048576,AC$93,$C102*2+MIN($B102,2)+5)</f>
        <v>0</v>
      </c>
      <c r="AD102" s="367">
        <f>INDEX(Input!$1:$1048576,AD$93,$C102*2+MIN($B102,2)+5)</f>
        <v>0.35</v>
      </c>
      <c r="AE102" s="49">
        <f>INDEX(Input!$1:$1048576,AE$93,$C102*2+MIN($B102,2)+5)</f>
        <v>0</v>
      </c>
      <c r="AF102" s="367">
        <f>INDEX(Input!$1:$1048576,AF$93,$C102*2+MIN($B102,2)+5)</f>
        <v>1</v>
      </c>
      <c r="AG102" s="49">
        <f>INDEX(Input!$1:$1048576,AG$93,$C102*2+MIN($B102,2)+5)</f>
        <v>0</v>
      </c>
      <c r="AH102" s="367">
        <f>INDEX(Input!$1:$1048576,AH$93,$C102*2+MIN($B102,2)+5)</f>
        <v>1</v>
      </c>
      <c r="AI102" s="49">
        <f>INDEX(Input!$1:$1048576,AI$93,$C102*2+MIN($B102,2)+5)</f>
        <v>0</v>
      </c>
      <c r="AJ102" s="48">
        <f>INDEX(Input!$1:$1048576,AJ$93,$C102*2+MIN($B102,2)+5)</f>
        <v>0.35</v>
      </c>
    </row>
    <row r="103" spans="1:36" s="60" customFormat="1" ht="15.75" collapsed="1" thickBot="1">
      <c r="A103" s="810" t="str">
        <f>"L2: "&amp;Input!J$77&amp;" CC, "
&amp;Input!J$92*100&amp;"/"&amp;Input!J$93*100-1&amp;"/"&amp;Input!J$93*100&amp;", "
&amp;Input!J$98&amp;" Lease"
&amp;IF(AND(Input!J$106=0,Input!K$106=0),"",Input!J$106&amp;" BC, ")
&amp;IF(AND(Input!J$111=0,Input!K$111=0),"",Input!J$111&amp;" RBC, ")
&amp;IF(AND(Input!J$114=0,Input!K$114=0),"",Input!J$114&amp;" OLP/CBP, ")</f>
        <v xml:space="preserve">L2: 750 CC, 0/0.9/1.9, 5098.7109265464 Lease1000 RBC, </v>
      </c>
      <c r="B103" s="810">
        <v>1</v>
      </c>
      <c r="C103" s="820">
        <v>2</v>
      </c>
      <c r="D103" s="810" t="s">
        <v>566</v>
      </c>
      <c r="E103" s="811">
        <f>INDEX(Input!$1:$1048576,E$93,$C103*2+MIN($B103,1)+5)</f>
        <v>750</v>
      </c>
      <c r="F103" s="812">
        <f>INDEX(Input!$1:$1048576,F$93,$C103*2+MIN($B103,1)+5)</f>
        <v>0</v>
      </c>
      <c r="G103" s="813">
        <f>INDEX(Input!$1:$1048576,G$93,$C103*2+MIN($B103,1)+5)</f>
        <v>0</v>
      </c>
      <c r="H103" s="813">
        <f>INDEX(Input!$1:$1048576,H$93,$C103*2+MIN($B103,1)+5)</f>
        <v>0</v>
      </c>
      <c r="I103" s="814">
        <f>INDEX(Input!$1:$1048576,I$93,$C103*2+MIN($B103,1)+5)</f>
        <v>0.7</v>
      </c>
      <c r="J103" s="814" t="str">
        <f>INDEX(Input!$1:$1048576,J$93,$C103*2+MIN($B103,1)+5)</f>
        <v>Market</v>
      </c>
      <c r="K103" s="814" t="str">
        <f>INDEX(Input!$1:$1048576,K$93,$C103*2+MIN($B103,1)+5)</f>
        <v>Market</v>
      </c>
      <c r="L103" s="814" t="str">
        <f>INDEX(Input!$1:$1048576,L$93,$C103*2+MIN($B103,1)+5)</f>
        <v>Market</v>
      </c>
      <c r="M103" s="814" t="str">
        <f>INDEX(Input!$1:$1048576,M$93,$C103*2+MIN($B103,1)+5)</f>
        <v>Market</v>
      </c>
      <c r="N103" s="814" t="str">
        <f>INDEX(Input!$1:$1048576,N$93,$C103*2+MIN($B103,1)+5)</f>
        <v>Market</v>
      </c>
      <c r="O103" s="814" t="str">
        <f>INDEX(Input!$1:$1048576,O$93,$C103*2+MIN($B103,1)+5)</f>
        <v>Market</v>
      </c>
      <c r="P103" s="814" t="str">
        <f>INDEX(Input!$1:$1048576,P$93,$C103*2+MIN($B103,1)+5)</f>
        <v>N</v>
      </c>
      <c r="Q103" s="815">
        <f>INDEX(Input!$1:$1048576,Q$93,$C103*2+MIN($B103,1)+5)</f>
        <v>0</v>
      </c>
      <c r="R103" s="816">
        <f>INDEX(Input!$1:$1048576,R$93,$C103*2+MIN($B103,1)+5)</f>
        <v>0</v>
      </c>
      <c r="S103" s="816">
        <f>INDEX(Input!$1:$1048576,S$93,$C103*2+MIN($B103,1)+5)</f>
        <v>0</v>
      </c>
      <c r="T103" s="816">
        <f>INDEX(Input!$1:$1048576,T$93,$C103*2+MIN($B103,1)+5)</f>
        <v>0</v>
      </c>
      <c r="U103" s="816">
        <f>INDEX(Input!$1:$1048576,U$93,$C103*2+MIN($B103,1)+5)</f>
        <v>0</v>
      </c>
      <c r="V103" s="816">
        <f>INDEX(Input!$1:$1048576,V$93,$C103*2+MIN($B103,1)+5)</f>
        <v>1.9E-2</v>
      </c>
      <c r="W103" s="816">
        <f>INDEX(Input!$1:$1048576,W$93,$C103*2+MIN($B103,1)+5)</f>
        <v>3.9E-2</v>
      </c>
      <c r="X103" s="814" t="str">
        <f>INDEX(Input!$1:$1048576,X$93,$C103*2+MIN($B103,1)+5)</f>
        <v>Y</v>
      </c>
      <c r="Y103" s="813">
        <f>INDEX(Input!$1:$1048576,Y$93,$C103*2+MIN($B103,1)+5)</f>
        <v>1475</v>
      </c>
      <c r="Z103" s="817">
        <f>INDEX(Input!$1:$1048576,Z$93,$C103*2+MIN($B103,1)+5)</f>
        <v>0</v>
      </c>
      <c r="AA103" s="813">
        <f>INDEX(Input!$1:$1048576,AA$93,$C103*2+MIN($B103,1)+5)</f>
        <v>0</v>
      </c>
      <c r="AB103" s="814">
        <f>INDEX(Input!$1:$1048576,AB$93,$C103*2+MIN($B103,1)+5)</f>
        <v>1</v>
      </c>
      <c r="AC103" s="813">
        <f>INDEX(Input!$1:$1048576,AC$93,$C103*2+MIN($B103,1)+5)</f>
        <v>1000</v>
      </c>
      <c r="AD103" s="814">
        <f>INDEX(Input!$1:$1048576,AD$93,$C103*2+MIN($B103,1)+5)</f>
        <v>0.35</v>
      </c>
      <c r="AE103" s="813">
        <f>INDEX(Input!$1:$1048576,AE$93,$C103*2+MIN($B103,1)+5)</f>
        <v>0</v>
      </c>
      <c r="AF103" s="814">
        <f>INDEX(Input!$1:$1048576,AF$93,$C103*2+MIN($B103,1)+5)</f>
        <v>1</v>
      </c>
      <c r="AG103" s="813">
        <f>INDEX(Input!$1:$1048576,AG$93,$C103*2+MIN($B103,1)+5)</f>
        <v>500</v>
      </c>
      <c r="AH103" s="814">
        <f>INDEX(Input!$1:$1048576,AH$93,$C103*2+MIN($B103,1)+5)</f>
        <v>1</v>
      </c>
      <c r="AI103" s="813">
        <f>INDEX(Input!$1:$1048576,AI$93,$C103*2+MIN($B103,1)+5)</f>
        <v>500</v>
      </c>
      <c r="AJ103" s="818">
        <f>INDEX(Input!$1:$1048576,AJ$93,$C103*2+MIN($B103,1)+5)</f>
        <v>0.35</v>
      </c>
    </row>
    <row r="104" spans="1:36" s="60" customFormat="1" ht="15.75" thickBot="1">
      <c r="A104" s="810" t="str">
        <f>"L2: "&amp;Input!K$77&amp;" CC, "
&amp;Input!K$92*100&amp;"/"&amp;Input!K$93*100-1&amp;"/"&amp;Input!K$93*100&amp;", "
&amp;Input!K$98&amp;" Lease"
&amp;IF(AND(Input!J$106=0,Input!K$106=0),"",Input!K$106&amp;" BC, ")
&amp;IF(AND(Input!J$111=0,Input!K$111=0),"",Input!K$111&amp;" RBC, ")
&amp;IF(AND(Input!J$114=0,Input!K$114=0),"",Input!K$114&amp;" OLP/CBP, ")</f>
        <v xml:space="preserve">L2: 1250 CC, 0/0.9/1.9, 4981.7109265464 Lease0 RBC, </v>
      </c>
      <c r="B104" s="810">
        <f>B103+1</f>
        <v>2</v>
      </c>
      <c r="C104" s="810">
        <f>C103</f>
        <v>2</v>
      </c>
      <c r="D104" s="810" t="s">
        <v>567</v>
      </c>
      <c r="E104" s="811">
        <f>INDEX(Input!$1:$1048576,E$93,$C104*2+MIN($B104,2)+5)</f>
        <v>1250</v>
      </c>
      <c r="F104" s="813">
        <f>INDEX(Input!$1:$1048576,F$93,$C104*2+MIN($B104,2)+5)</f>
        <v>0</v>
      </c>
      <c r="G104" s="813">
        <f>INDEX(Input!$1:$1048576,G$93,$C104*2+MIN($B104,2)+5)</f>
        <v>0</v>
      </c>
      <c r="H104" s="813">
        <f>INDEX(Input!$1:$1048576,H$93,$C104*2+MIN($B104,2)+5)</f>
        <v>0</v>
      </c>
      <c r="I104" s="814">
        <f>INDEX(Input!$1:$1048576,I$93,$C104*2+MIN($B104,2)+5)</f>
        <v>0.7</v>
      </c>
      <c r="J104" s="814" t="str">
        <f>INDEX(Input!$1:$1048576,J$93,$C104*2+MIN($B104,2)+5)</f>
        <v>Market</v>
      </c>
      <c r="K104" s="814" t="str">
        <f>INDEX(Input!$1:$1048576,K$93,$C104*2+MIN($B104,2)+5)</f>
        <v>Market</v>
      </c>
      <c r="L104" s="814" t="str">
        <f>INDEX(Input!$1:$1048576,L$93,$C104*2+MIN($B104,2)+5)</f>
        <v>Market</v>
      </c>
      <c r="M104" s="814" t="str">
        <f>INDEX(Input!$1:$1048576,M$93,$C104*2+MIN($B104,2)+5)</f>
        <v>Market</v>
      </c>
      <c r="N104" s="814" t="str">
        <f>INDEX(Input!$1:$1048576,N$93,$C104*2+MIN($B104,2)+5)</f>
        <v>Market</v>
      </c>
      <c r="O104" s="814" t="str">
        <f>INDEX(Input!$1:$1048576,O$93,$C104*2+MIN($B104,2)+5)</f>
        <v>Market</v>
      </c>
      <c r="P104" s="814" t="str">
        <f>INDEX(Input!$1:$1048576,P$93,$C104*2+MIN($B104,2)+5)</f>
        <v>N</v>
      </c>
      <c r="Q104" s="815">
        <f>INDEX(Input!$1:$1048576,Q$93,$C104*2+MIN($B104,2)+5)</f>
        <v>0</v>
      </c>
      <c r="R104" s="816">
        <f>INDEX(Input!$1:$1048576,R$93,$C104*2+MIN($B104,2)+5)</f>
        <v>0</v>
      </c>
      <c r="S104" s="816">
        <f>INDEX(Input!$1:$1048576,S$93,$C104*2+MIN($B104,2)+5)</f>
        <v>0</v>
      </c>
      <c r="T104" s="816">
        <f>INDEX(Input!$1:$1048576,T$93,$C104*2+MIN($B104,2)+5)</f>
        <v>0</v>
      </c>
      <c r="U104" s="816">
        <f>INDEX(Input!$1:$1048576,U$93,$C104*2+MIN($B104,2)+5)</f>
        <v>0</v>
      </c>
      <c r="V104" s="816">
        <f>INDEX(Input!$1:$1048576,V$93,$C104*2+MIN($B104,2)+5)</f>
        <v>1.9E-2</v>
      </c>
      <c r="W104" s="816">
        <f>INDEX(Input!$1:$1048576,W$93,$C104*2+MIN($B104,2)+5)</f>
        <v>3.9E-2</v>
      </c>
      <c r="X104" s="814" t="str">
        <f>INDEX(Input!$1:$1048576,X$93,$C104*2+MIN($B104,2)+5)</f>
        <v>Y</v>
      </c>
      <c r="Y104" s="813">
        <f>INDEX(Input!$1:$1048576,Y$93,$C104*2+MIN($B104,2)+5)</f>
        <v>1358</v>
      </c>
      <c r="Z104" s="817">
        <f>INDEX(Input!$1:$1048576,Z$93,$C104*2+MIN($B104,2)+5)</f>
        <v>0</v>
      </c>
      <c r="AA104" s="813">
        <f>INDEX(Input!$1:$1048576,AA$93,$C104*2+MIN($B104,2)+5)</f>
        <v>0</v>
      </c>
      <c r="AB104" s="814">
        <f>INDEX(Input!$1:$1048576,AB$93,$C104*2+MIN($B104,2)+5)</f>
        <v>1</v>
      </c>
      <c r="AC104" s="813">
        <f>INDEX(Input!$1:$1048576,AC$93,$C104*2+MIN($B104,2)+5)</f>
        <v>0</v>
      </c>
      <c r="AD104" s="814">
        <f>INDEX(Input!$1:$1048576,AD$93,$C104*2+MIN($B104,2)+5)</f>
        <v>0.35</v>
      </c>
      <c r="AE104" s="813">
        <f>INDEX(Input!$1:$1048576,AE$93,$C104*2+MIN($B104,2)+5)</f>
        <v>0</v>
      </c>
      <c r="AF104" s="814">
        <f>INDEX(Input!$1:$1048576,AF$93,$C104*2+MIN($B104,2)+5)</f>
        <v>1</v>
      </c>
      <c r="AG104" s="813">
        <f>INDEX(Input!$1:$1048576,AG$93,$C104*2+MIN($B104,2)+5)</f>
        <v>0</v>
      </c>
      <c r="AH104" s="814">
        <f>INDEX(Input!$1:$1048576,AH$93,$C104*2+MIN($B104,2)+5)</f>
        <v>1</v>
      </c>
      <c r="AI104" s="813">
        <f>INDEX(Input!$1:$1048576,AI$93,$C104*2+MIN($B104,2)+5)</f>
        <v>0</v>
      </c>
      <c r="AJ104" s="818">
        <f>INDEX(Input!$1:$1048576,AJ$93,$C104*2+MIN($B104,2)+5)</f>
        <v>0.35</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750 CC, 0/0.9/1.9, 5098.7109265464 Lease1000 RBC, 0 OLP/CBP, </v>
      </c>
      <c r="B105" s="560">
        <v>1</v>
      </c>
      <c r="C105" s="559">
        <v>3</v>
      </c>
      <c r="D105" s="560" t="s">
        <v>566</v>
      </c>
      <c r="E105" s="365">
        <f>INDEX(Input!$1:$1048576,E$93,$C105*2+MIN($B105,1)+5)</f>
        <v>750</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1.9E-2</v>
      </c>
      <c r="W105" s="38">
        <f>INDEX(Input!$1:$1048576,W$93,$C105*2+MIN($B105,1)+5)</f>
        <v>3.9000000000000007E-2</v>
      </c>
      <c r="X105" s="367" t="str">
        <f>INDEX(Input!$1:$1048576,X$93,$C105*2+MIN($B105,1)+5)</f>
        <v>Y</v>
      </c>
      <c r="Y105" s="49">
        <f>INDEX(Input!$1:$1048576,Y$93,$C105*2+MIN($B105,1)+5)</f>
        <v>4225</v>
      </c>
      <c r="Z105" s="584">
        <f>INDEX(Input!$1:$1048576,Z$93,$C105*2+MIN($B105,1)+5)</f>
        <v>0</v>
      </c>
      <c r="AA105" s="49">
        <f>INDEX(Input!$1:$1048576,AA$93,$C105*2+MIN($B105,1)+5)</f>
        <v>0</v>
      </c>
      <c r="AB105" s="367">
        <f>INDEX(Input!$1:$1048576,AB$93,$C105*2+MIN($B105,1)+5)</f>
        <v>0.62</v>
      </c>
      <c r="AC105" s="49">
        <f>INDEX(Input!$1:$1048576,AC$93,$C105*2+MIN($B105,1)+5)</f>
        <v>1000</v>
      </c>
      <c r="AD105" s="367">
        <f>INDEX(Input!$1:$1048576,AD$93,$C105*2+MIN($B105,1)+5)</f>
        <v>0.35</v>
      </c>
      <c r="AE105" s="49">
        <f>INDEX(Input!$1:$1048576,AE$93,$C105*2+MIN($B105,1)+5)</f>
        <v>0</v>
      </c>
      <c r="AF105" s="367">
        <f>INDEX(Input!$1:$1048576,AF$93,$C105*2+MIN($B105,1)+5)</f>
        <v>0.97</v>
      </c>
      <c r="AG105" s="49">
        <f>INDEX(Input!$1:$1048576,AG$93,$C105*2+MIN($B105,1)+5)</f>
        <v>500</v>
      </c>
      <c r="AH105" s="367">
        <f>INDEX(Input!$1:$1048576,AH$93,$C105*2+MIN($B105,1)+5)</f>
        <v>1</v>
      </c>
      <c r="AI105" s="49">
        <f>INDEX(Input!$1:$1048576,AI$93,$C105*2+MIN($B105,1)+5)</f>
        <v>500</v>
      </c>
      <c r="AJ105" s="48">
        <f>INDEX(Input!$1:$1048576,AJ$93,$C105*2+MIN($B105,1)+5)</f>
        <v>0.35</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1250 CC, 0/0.9/1.9, 4981.7109265464 Lease0 RBC, 500 OLP/CBP, </v>
      </c>
      <c r="B106" s="560">
        <f>B105+1</f>
        <v>2</v>
      </c>
      <c r="C106" s="560">
        <f>C105</f>
        <v>3</v>
      </c>
      <c r="D106" s="560" t="s">
        <v>567</v>
      </c>
      <c r="E106" s="365">
        <f>INDEX(Input!$1:$1048576,E$93,$C106*2+MIN($B106,2)+5)</f>
        <v>1250</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1.9E-2</v>
      </c>
      <c r="W106" s="38">
        <f>INDEX(Input!$1:$1048576,W$93,$C106*2+MIN($B106,2)+5)</f>
        <v>3.9000000000000007E-2</v>
      </c>
      <c r="X106" s="367" t="str">
        <f>INDEX(Input!$1:$1048576,X$93,$C106*2+MIN($B106,2)+5)</f>
        <v>Y</v>
      </c>
      <c r="Y106" s="49">
        <f>INDEX(Input!$1:$1048576,Y$93,$C106*2+MIN($B106,2)+5)</f>
        <v>4108</v>
      </c>
      <c r="Z106" s="584">
        <f>INDEX(Input!$1:$1048576,Z$93,$C106*2+MIN($B106,2)+5)</f>
        <v>0</v>
      </c>
      <c r="AA106" s="49">
        <f>INDEX(Input!$1:$1048576,AA$93,$C106*2+MIN($B106,2)+5)</f>
        <v>500</v>
      </c>
      <c r="AB106" s="367">
        <f>INDEX(Input!$1:$1048576,AB$93,$C106*2+MIN($B106,2)+5)</f>
        <v>0.62</v>
      </c>
      <c r="AC106" s="49">
        <f>INDEX(Input!$1:$1048576,AC$93,$C106*2+MIN($B106,2)+5)</f>
        <v>0</v>
      </c>
      <c r="AD106" s="367">
        <f>INDEX(Input!$1:$1048576,AD$93,$C106*2+MIN($B106,2)+5)</f>
        <v>0.35</v>
      </c>
      <c r="AE106" s="49">
        <f>INDEX(Input!$1:$1048576,AE$93,$C106*2+MIN($B106,2)+5)</f>
        <v>500</v>
      </c>
      <c r="AF106" s="367">
        <f>INDEX(Input!$1:$1048576,AF$93,$C106*2+MIN($B106,2)+5)</f>
        <v>0.97</v>
      </c>
      <c r="AG106" s="49">
        <f>INDEX(Input!$1:$1048576,AG$93,$C106*2+MIN($B106,2)+5)</f>
        <v>0</v>
      </c>
      <c r="AH106" s="367">
        <f>INDEX(Input!$1:$1048576,AH$93,$C106*2+MIN($B106,2)+5)</f>
        <v>1</v>
      </c>
      <c r="AI106" s="49">
        <f>INDEX(Input!$1:$1048576,AI$93,$C106*2+MIN($B106,2)+5)</f>
        <v>0</v>
      </c>
      <c r="AJ106" s="48">
        <f>INDEX(Input!$1:$1048576,AJ$93,$C106*2+MIN($B106,2)+5)</f>
        <v>0.35</v>
      </c>
    </row>
    <row r="107" spans="1:36" s="60" customFormat="1" ht="15.75" collapsed="1" thickBot="1">
      <c r="A107" s="810" t="str">
        <f>"R1: "&amp;Input!N$77&amp;" CC, "
&amp;Input!N$92*100&amp;"/"&amp;Input!N$93*100-1&amp;"/"&amp;Input!N$93*100&amp;", "
&amp;Input!N$98&amp;" Lease"
&amp;IF(AND(Input!N$106=0,Input!O$106=0),"",Input!N$106&amp;" BC, ")
&amp;IF(AND(Input!N$111=0,Input!O$111=0),"",Input!N$111&amp;" RBC, ")
&amp;IF(AND(Input!N$114=0,Input!O$114=0),"",Input!N$114&amp;" OLP/CBP, ")</f>
        <v xml:space="preserve">R1: 750 CC, 0/0.9/1.9, 4738.7109265464 Lease1000 RBC, </v>
      </c>
      <c r="B107" s="810">
        <v>1</v>
      </c>
      <c r="C107" s="820">
        <v>4</v>
      </c>
      <c r="D107" s="810" t="s">
        <v>566</v>
      </c>
      <c r="E107" s="811">
        <f>INDEX(Input!$1:$1048576,E$93,$C107*2+MIN($B107,1)+5)</f>
        <v>750</v>
      </c>
      <c r="F107" s="812">
        <f>INDEX(Input!$1:$1048576,F$93,$C107*2+MIN($B107,1)+5)</f>
        <v>0</v>
      </c>
      <c r="G107" s="813">
        <f>INDEX(Input!$1:$1048576,G$93,$C107*2+MIN($B107,1)+5)</f>
        <v>0</v>
      </c>
      <c r="H107" s="813">
        <f>INDEX(Input!$1:$1048576,H$93,$C107*2+MIN($B107,1)+5)</f>
        <v>0</v>
      </c>
      <c r="I107" s="814">
        <f>INDEX(Input!$1:$1048576,I$93,$C107*2+MIN($B107,1)+5)</f>
        <v>0.7</v>
      </c>
      <c r="J107" s="814" t="str">
        <f>INDEX(Input!$1:$1048576,J$93,$C107*2+MIN($B107,1)+5)</f>
        <v>Market</v>
      </c>
      <c r="K107" s="814" t="str">
        <f>INDEX(Input!$1:$1048576,K$93,$C107*2+MIN($B107,1)+5)</f>
        <v>Market</v>
      </c>
      <c r="L107" s="814" t="str">
        <f>INDEX(Input!$1:$1048576,L$93,$C107*2+MIN($B107,1)+5)</f>
        <v>Market</v>
      </c>
      <c r="M107" s="814" t="str">
        <f>INDEX(Input!$1:$1048576,M$93,$C107*2+MIN($B107,1)+5)</f>
        <v>Market</v>
      </c>
      <c r="N107" s="814" t="str">
        <f>INDEX(Input!$1:$1048576,N$93,$C107*2+MIN($B107,1)+5)</f>
        <v>Market</v>
      </c>
      <c r="O107" s="814" t="str">
        <f>INDEX(Input!$1:$1048576,O$93,$C107*2+MIN($B107,1)+5)</f>
        <v>Market</v>
      </c>
      <c r="P107" s="814" t="str">
        <f>INDEX(Input!$1:$1048576,P$93,$C107*2+MIN($B107,1)+5)</f>
        <v>N</v>
      </c>
      <c r="Q107" s="815">
        <f>INDEX(Input!$1:$1048576,Q$93,$C107*2+MIN($B107,1)+5)</f>
        <v>0</v>
      </c>
      <c r="R107" s="816">
        <f>INDEX(Input!$1:$1048576,R$93,$C107*2+MIN($B107,1)+5)</f>
        <v>0</v>
      </c>
      <c r="S107" s="816">
        <f>INDEX(Input!$1:$1048576,S$93,$C107*2+MIN($B107,1)+5)</f>
        <v>0</v>
      </c>
      <c r="T107" s="816">
        <f>INDEX(Input!$1:$1048576,T$93,$C107*2+MIN($B107,1)+5)</f>
        <v>0</v>
      </c>
      <c r="U107" s="816">
        <f>INDEX(Input!$1:$1048576,U$93,$C107*2+MIN($B107,1)+5)</f>
        <v>0</v>
      </c>
      <c r="V107" s="816">
        <f>INDEX(Input!$1:$1048576,V$93,$C107*2+MIN($B107,1)+5)</f>
        <v>1.8999999999999996E-2</v>
      </c>
      <c r="W107" s="816">
        <f>INDEX(Input!$1:$1048576,W$93,$C107*2+MIN($B107,1)+5)</f>
        <v>3.9E-2</v>
      </c>
      <c r="X107" s="814" t="str">
        <f>INDEX(Input!$1:$1048576,X$93,$C107*2+MIN($B107,1)+5)</f>
        <v>Y</v>
      </c>
      <c r="Y107" s="813">
        <f>INDEX(Input!$1:$1048576,Y$93,$C107*2+MIN($B107,1)+5)</f>
        <v>-2070</v>
      </c>
      <c r="Z107" s="817">
        <f>INDEX(Input!$1:$1048576,Z$93,$C107*2+MIN($B107,1)+5)</f>
        <v>0</v>
      </c>
      <c r="AA107" s="813">
        <f>INDEX(Input!$1:$1048576,AA$93,$C107*2+MIN($B107,1)+5)</f>
        <v>0</v>
      </c>
      <c r="AB107" s="814">
        <f>INDEX(Input!$1:$1048576,AB$93,$C107*2+MIN($B107,1)+5)</f>
        <v>1</v>
      </c>
      <c r="AC107" s="813">
        <f>INDEX(Input!$1:$1048576,AC$93,$C107*2+MIN($B107,1)+5)</f>
        <v>1000</v>
      </c>
      <c r="AD107" s="814">
        <f>INDEX(Input!$1:$1048576,AD$93,$C107*2+MIN($B107,1)+5)</f>
        <v>0.35</v>
      </c>
      <c r="AE107" s="813">
        <f>INDEX(Input!$1:$1048576,AE$93,$C107*2+MIN($B107,1)+5)</f>
        <v>0</v>
      </c>
      <c r="AF107" s="814">
        <f>INDEX(Input!$1:$1048576,AF$93,$C107*2+MIN($B107,1)+5)</f>
        <v>1</v>
      </c>
      <c r="AG107" s="813">
        <f>INDEX(Input!$1:$1048576,AG$93,$C107*2+MIN($B107,1)+5)</f>
        <v>500</v>
      </c>
      <c r="AH107" s="814">
        <f>INDEX(Input!$1:$1048576,AH$93,$C107*2+MIN($B107,1)+5)</f>
        <v>1</v>
      </c>
      <c r="AI107" s="813">
        <f>INDEX(Input!$1:$1048576,AI$93,$C107*2+MIN($B107,1)+5)</f>
        <v>500</v>
      </c>
      <c r="AJ107" s="818">
        <f>INDEX(Input!$1:$1048576,AJ$93,$C107*2+MIN($B107,1)+5)</f>
        <v>0.35</v>
      </c>
    </row>
    <row r="108" spans="1:36" s="60" customFormat="1" ht="15.75" thickBot="1">
      <c r="A108" s="810" t="str">
        <f>"R1: "&amp;Input!O$77&amp;" CC, "
&amp;Input!O$92*100&amp;"/"&amp;Input!O$93*100-1&amp;"/"&amp;Input!O$93*100&amp;", "
&amp;Input!O$98&amp;" Lease"
&amp;IF(AND(Input!N$106=0,Input!O$106=0),"",Input!O$106&amp;" BC, ")
&amp;IF(AND(Input!N$111=0,Input!O$111=0),"",Input!O$111&amp;" RBC, ")
&amp;IF(AND(Input!N$114=0,Input!O$114=0),"",Input!O$114&amp;" OLP/CBP, ")</f>
        <v xml:space="preserve">R1: 1250 CC, 0/0.9/1.9, 4591.7109265464 Lease0 RBC, </v>
      </c>
      <c r="B108" s="810">
        <f>B107+1</f>
        <v>2</v>
      </c>
      <c r="C108" s="810">
        <f>C107</f>
        <v>4</v>
      </c>
      <c r="D108" s="810" t="s">
        <v>567</v>
      </c>
      <c r="E108" s="811">
        <f>INDEX(Input!$1:$1048576,E$93,$C108*2+MIN($B108,2)+5)</f>
        <v>1250</v>
      </c>
      <c r="F108" s="813">
        <f>INDEX(Input!$1:$1048576,F$93,$C108*2+MIN($B108,2)+5)</f>
        <v>0</v>
      </c>
      <c r="G108" s="813">
        <f>INDEX(Input!$1:$1048576,G$93,$C108*2+MIN($B108,2)+5)</f>
        <v>0</v>
      </c>
      <c r="H108" s="813">
        <f>INDEX(Input!$1:$1048576,H$93,$C108*2+MIN($B108,2)+5)</f>
        <v>0</v>
      </c>
      <c r="I108" s="814">
        <f>INDEX(Input!$1:$1048576,I$93,$C108*2+MIN($B108,2)+5)</f>
        <v>0.7</v>
      </c>
      <c r="J108" s="814" t="str">
        <f>INDEX(Input!$1:$1048576,J$93,$C108*2+MIN($B108,2)+5)</f>
        <v>Market</v>
      </c>
      <c r="K108" s="814" t="str">
        <f>INDEX(Input!$1:$1048576,K$93,$C108*2+MIN($B108,2)+5)</f>
        <v>Market</v>
      </c>
      <c r="L108" s="814" t="str">
        <f>INDEX(Input!$1:$1048576,L$93,$C108*2+MIN($B108,2)+5)</f>
        <v>Market</v>
      </c>
      <c r="M108" s="814" t="str">
        <f>INDEX(Input!$1:$1048576,M$93,$C108*2+MIN($B108,2)+5)</f>
        <v>Market</v>
      </c>
      <c r="N108" s="814" t="str">
        <f>INDEX(Input!$1:$1048576,N$93,$C108*2+MIN($B108,2)+5)</f>
        <v>Market</v>
      </c>
      <c r="O108" s="814" t="str">
        <f>INDEX(Input!$1:$1048576,O$93,$C108*2+MIN($B108,2)+5)</f>
        <v>Market</v>
      </c>
      <c r="P108" s="814" t="str">
        <f>INDEX(Input!$1:$1048576,P$93,$C108*2+MIN($B108,2)+5)</f>
        <v>N</v>
      </c>
      <c r="Q108" s="815">
        <f>INDEX(Input!$1:$1048576,Q$93,$C108*2+MIN($B108,2)+5)</f>
        <v>0</v>
      </c>
      <c r="R108" s="816">
        <f>INDEX(Input!$1:$1048576,R$93,$C108*2+MIN($B108,2)+5)</f>
        <v>0</v>
      </c>
      <c r="S108" s="816">
        <f>INDEX(Input!$1:$1048576,S$93,$C108*2+MIN($B108,2)+5)</f>
        <v>0</v>
      </c>
      <c r="T108" s="816">
        <f>INDEX(Input!$1:$1048576,T$93,$C108*2+MIN($B108,2)+5)</f>
        <v>0</v>
      </c>
      <c r="U108" s="816">
        <f>INDEX(Input!$1:$1048576,U$93,$C108*2+MIN($B108,2)+5)</f>
        <v>0</v>
      </c>
      <c r="V108" s="816">
        <f>INDEX(Input!$1:$1048576,V$93,$C108*2+MIN($B108,2)+5)</f>
        <v>1.8999999999999996E-2</v>
      </c>
      <c r="W108" s="816">
        <f>INDEX(Input!$1:$1048576,W$93,$C108*2+MIN($B108,2)+5)</f>
        <v>3.9E-2</v>
      </c>
      <c r="X108" s="814" t="str">
        <f>INDEX(Input!$1:$1048576,X$93,$C108*2+MIN($B108,2)+5)</f>
        <v>Y</v>
      </c>
      <c r="Y108" s="813">
        <f>INDEX(Input!$1:$1048576,Y$93,$C108*2+MIN($B108,2)+5)</f>
        <v>-2217</v>
      </c>
      <c r="Z108" s="817">
        <f>INDEX(Input!$1:$1048576,Z$93,$C108*2+MIN($B108,2)+5)</f>
        <v>0</v>
      </c>
      <c r="AA108" s="813">
        <f>INDEX(Input!$1:$1048576,AA$93,$C108*2+MIN($B108,2)+5)</f>
        <v>0</v>
      </c>
      <c r="AB108" s="814">
        <f>INDEX(Input!$1:$1048576,AB$93,$C108*2+MIN($B108,2)+5)</f>
        <v>1</v>
      </c>
      <c r="AC108" s="813">
        <f>INDEX(Input!$1:$1048576,AC$93,$C108*2+MIN($B108,2)+5)</f>
        <v>0</v>
      </c>
      <c r="AD108" s="814">
        <f>INDEX(Input!$1:$1048576,AD$93,$C108*2+MIN($B108,2)+5)</f>
        <v>0.35</v>
      </c>
      <c r="AE108" s="813">
        <f>INDEX(Input!$1:$1048576,AE$93,$C108*2+MIN($B108,2)+5)</f>
        <v>0</v>
      </c>
      <c r="AF108" s="814">
        <f>INDEX(Input!$1:$1048576,AF$93,$C108*2+MIN($B108,2)+5)</f>
        <v>1</v>
      </c>
      <c r="AG108" s="813">
        <f>INDEX(Input!$1:$1048576,AG$93,$C108*2+MIN($B108,2)+5)</f>
        <v>0</v>
      </c>
      <c r="AH108" s="814">
        <f>INDEX(Input!$1:$1048576,AH$93,$C108*2+MIN($B108,2)+5)</f>
        <v>1</v>
      </c>
      <c r="AI108" s="813">
        <f>INDEX(Input!$1:$1048576,AI$93,$C108*2+MIN($B108,2)+5)</f>
        <v>0</v>
      </c>
      <c r="AJ108" s="818">
        <f>INDEX(Input!$1:$1048576,AJ$93,$C108*2+MIN($B108,2)+5)</f>
        <v>0.35</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750 CC, 0/0.9/1.9, 4738.7109265464 Lease1000 RBC, </v>
      </c>
      <c r="B109" s="560">
        <v>1</v>
      </c>
      <c r="C109" s="559">
        <v>5</v>
      </c>
      <c r="D109" s="560" t="s">
        <v>566</v>
      </c>
      <c r="E109" s="365">
        <f>INDEX(Input!$1:$1048576,E$93,$C109*2+MIN($B109,1)+5)</f>
        <v>750</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1.9E-2</v>
      </c>
      <c r="W109" s="38">
        <f>INDEX(Input!$1:$1048576,W$93,$C109*2+MIN($B109,1)+5)</f>
        <v>3.9E-2</v>
      </c>
      <c r="X109" s="367" t="str">
        <f>INDEX(Input!$1:$1048576,X$93,$C109*2+MIN($B109,1)+5)</f>
        <v>Y</v>
      </c>
      <c r="Y109" s="49">
        <f>INDEX(Input!$1:$1048576,Y$93,$C109*2+MIN($B109,1)+5)</f>
        <v>-951.3618966787526</v>
      </c>
      <c r="Z109" s="584">
        <f>INDEX(Input!$1:$1048576,Z$93,$C109*2+MIN($B109,1)+5)</f>
        <v>0</v>
      </c>
      <c r="AA109" s="49">
        <f>INDEX(Input!$1:$1048576,AA$93,$C109*2+MIN($B109,1)+5)</f>
        <v>0</v>
      </c>
      <c r="AB109" s="367">
        <f>INDEX(Input!$1:$1048576,AB$93,$C109*2+MIN($B109,1)+5)</f>
        <v>0.43</v>
      </c>
      <c r="AC109" s="49">
        <f>INDEX(Input!$1:$1048576,AC$93,$C109*2+MIN($B109,1)+5)</f>
        <v>1000</v>
      </c>
      <c r="AD109" s="367">
        <f>INDEX(Input!$1:$1048576,AD$93,$C109*2+MIN($B109,1)+5)</f>
        <v>0.35</v>
      </c>
      <c r="AE109" s="49">
        <f>INDEX(Input!$1:$1048576,AE$93,$C109*2+MIN($B109,1)+5)</f>
        <v>0</v>
      </c>
      <c r="AF109" s="367">
        <f>INDEX(Input!$1:$1048576,AF$93,$C109*2+MIN($B109,1)+5)</f>
        <v>1</v>
      </c>
      <c r="AG109" s="49">
        <f>INDEX(Input!$1:$1048576,AG$93,$C109*2+MIN($B109,1)+5)</f>
        <v>500</v>
      </c>
      <c r="AH109" s="367">
        <f>INDEX(Input!$1:$1048576,AH$93,$C109*2+MIN($B109,1)+5)</f>
        <v>1</v>
      </c>
      <c r="AI109" s="49">
        <f>INDEX(Input!$1:$1048576,AI$93,$C109*2+MIN($B109,1)+5)</f>
        <v>500</v>
      </c>
      <c r="AJ109" s="48">
        <f>INDEX(Input!$1:$1048576,AJ$93,$C109*2+MIN($B109,1)+5)</f>
        <v>0.35</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1250 CC, 0/0.9/1.9, 4591.7109265464 Lease0 RBC, </v>
      </c>
      <c r="B110" s="560">
        <f>B109+1</f>
        <v>2</v>
      </c>
      <c r="C110" s="560">
        <f>C109</f>
        <v>5</v>
      </c>
      <c r="D110" s="560" t="s">
        <v>567</v>
      </c>
      <c r="E110" s="365">
        <f>INDEX(Input!$1:$1048576,E$93,$C110*2+MIN($B110,2)+5)</f>
        <v>1250</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1.9E-2</v>
      </c>
      <c r="W110" s="38">
        <f>INDEX(Input!$1:$1048576,W$93,$C110*2+MIN($B110,2)+5)</f>
        <v>3.9E-2</v>
      </c>
      <c r="X110" s="367" t="str">
        <f>INDEX(Input!$1:$1048576,X$93,$C110*2+MIN($B110,2)+5)</f>
        <v>Y</v>
      </c>
      <c r="Y110" s="49">
        <f>INDEX(Input!$1:$1048576,Y$93,$C110*2+MIN($B110,2)+5)</f>
        <v>-1098.3618966787526</v>
      </c>
      <c r="Z110" s="584">
        <f>INDEX(Input!$1:$1048576,Z$93,$C110*2+MIN($B110,2)+5)</f>
        <v>0</v>
      </c>
      <c r="AA110" s="49">
        <f>INDEX(Input!$1:$1048576,AA$93,$C110*2+MIN($B110,2)+5)</f>
        <v>500</v>
      </c>
      <c r="AB110" s="367">
        <f>INDEX(Input!$1:$1048576,AB$93,$C110*2+MIN($B110,2)+5)</f>
        <v>0.43</v>
      </c>
      <c r="AC110" s="49">
        <f>INDEX(Input!$1:$1048576,AC$93,$C110*2+MIN($B110,2)+5)</f>
        <v>0</v>
      </c>
      <c r="AD110" s="367">
        <f>INDEX(Input!$1:$1048576,AD$93,$C110*2+MIN($B110,2)+5)</f>
        <v>0.35</v>
      </c>
      <c r="AE110" s="49">
        <f>INDEX(Input!$1:$1048576,AE$93,$C110*2+MIN($B110,2)+5)</f>
        <v>0</v>
      </c>
      <c r="AF110" s="367">
        <f>INDEX(Input!$1:$1048576,AF$93,$C110*2+MIN($B110,2)+5)</f>
        <v>1</v>
      </c>
      <c r="AG110" s="49">
        <f>INDEX(Input!$1:$1048576,AG$93,$C110*2+MIN($B110,2)+5)</f>
        <v>0</v>
      </c>
      <c r="AH110" s="367">
        <f>INDEX(Input!$1:$1048576,AH$93,$C110*2+MIN($B110,2)+5)</f>
        <v>1</v>
      </c>
      <c r="AI110" s="49">
        <f>INDEX(Input!$1:$1048576,AI$93,$C110*2+MIN($B110,2)+5)</f>
        <v>0</v>
      </c>
      <c r="AJ110" s="48">
        <f>INDEX(Input!$1:$1048576,AJ$93,$C110*2+MIN($B110,2)+5)</f>
        <v>0.35</v>
      </c>
    </row>
    <row r="111" spans="1:36" s="60" customFormat="1" ht="15.75" collapsed="1" thickBot="1">
      <c r="A111" s="810" t="str">
        <f>"National: "&amp;Input!N$77&amp;" CC, "
&amp;Input!N$92*100&amp;"/"&amp;Input!N$93*100-1&amp;"/"&amp;Input!N$93*100&amp;", "
&amp;Input!N$98&amp;" Lease"
&amp;IF(AND(Input!N$106=0,Input!O$106=0),"",Input!N$106&amp;" BC, ")
&amp;IF(AND(Input!N$111=0,Input!O$111=0),"",Input!N$111&amp;" RBC, ")
&amp;IF(AND(Input!N$114=0,Input!O$114=0),"",Input!N$114&amp;" OLP/CBP, ")</f>
        <v xml:space="preserve">National: 750 CC, 0/0.9/1.9, 4738.7109265464 Lease1000 RBC, </v>
      </c>
      <c r="B111" s="810">
        <v>1</v>
      </c>
      <c r="C111" s="820">
        <v>6</v>
      </c>
      <c r="D111" s="810" t="s">
        <v>566</v>
      </c>
      <c r="E111" s="811">
        <f>INDEX(Input!$1:$1048576,E$93,$C111*2+MIN($B111,1)+5)</f>
        <v>750.00000000000011</v>
      </c>
      <c r="F111" s="812">
        <f>INDEX(Input!$1:$1048576,F$93,$C111*2+MIN($B111,1)+5)</f>
        <v>0</v>
      </c>
      <c r="G111" s="813">
        <f>INDEX(Input!$1:$1048576,G$93,$C111*2+MIN($B111,1)+5)</f>
        <v>0</v>
      </c>
      <c r="H111" s="813">
        <f>INDEX(Input!$1:$1048576,H$93,$C111*2+MIN($B111,1)+5)</f>
        <v>0</v>
      </c>
      <c r="I111" s="814">
        <f>INDEX(Input!$1:$1048576,I$93,$C111*2+MIN($B111,1)+5)</f>
        <v>0.7</v>
      </c>
      <c r="J111" s="814" t="str">
        <f>INDEX(Input!$1:$1048576,J$93,$C111*2+MIN($B111,1)+5)</f>
        <v>Market</v>
      </c>
      <c r="K111" s="814" t="str">
        <f>INDEX(Input!$1:$1048576,K$93,$C111*2+MIN($B111,1)+5)</f>
        <v>Market</v>
      </c>
      <c r="L111" s="814" t="str">
        <f>INDEX(Input!$1:$1048576,L$93,$C111*2+MIN($B111,1)+5)</f>
        <v>Market</v>
      </c>
      <c r="M111" s="814" t="str">
        <f>INDEX(Input!$1:$1048576,M$93,$C111*2+MIN($B111,1)+5)</f>
        <v>Market</v>
      </c>
      <c r="N111" s="814" t="str">
        <f>INDEX(Input!$1:$1048576,N$93,$C111*2+MIN($B111,1)+5)</f>
        <v>Market</v>
      </c>
      <c r="O111" s="814" t="str">
        <f>INDEX(Input!$1:$1048576,O$93,$C111*2+MIN($B111,1)+5)</f>
        <v>Market</v>
      </c>
      <c r="P111" s="814" t="str">
        <f>INDEX(Input!$1:$1048576,P$93,$C111*2+MIN($B111,1)+5)</f>
        <v>N</v>
      </c>
      <c r="Q111" s="815">
        <f>INDEX(Input!$1:$1048576,Q$93,$C111*2+MIN($B111,1)+5)</f>
        <v>0</v>
      </c>
      <c r="R111" s="816">
        <f>INDEX(Input!$1:$1048576,R$93,$C111*2+MIN($B111,1)+5)</f>
        <v>0</v>
      </c>
      <c r="S111" s="816">
        <f>INDEX(Input!$1:$1048576,S$93,$C111*2+MIN($B111,1)+5)</f>
        <v>0</v>
      </c>
      <c r="T111" s="816">
        <f>INDEX(Input!$1:$1048576,T$93,$C111*2+MIN($B111,1)+5)</f>
        <v>0</v>
      </c>
      <c r="U111" s="816">
        <f>INDEX(Input!$1:$1048576,U$93,$C111*2+MIN($B111,1)+5)</f>
        <v>0</v>
      </c>
      <c r="V111" s="816">
        <f>INDEX(Input!$1:$1048576,V$93,$C111*2+MIN($B111,1)+5)</f>
        <v>1.8999999999999996E-2</v>
      </c>
      <c r="W111" s="816">
        <f>INDEX(Input!$1:$1048576,W$93,$C111*2+MIN($B111,1)+5)</f>
        <v>3.9E-2</v>
      </c>
      <c r="X111" s="814" t="str">
        <f>INDEX(Input!$1:$1048576,X$93,$C111*2+MIN($B111,1)+5)</f>
        <v>Y</v>
      </c>
      <c r="Y111" s="813">
        <f>INDEX(Input!$1:$1048576,Y$93,$C111*2+MIN($B111,1)+5)</f>
        <v>2459.7093336934013</v>
      </c>
      <c r="Z111" s="817">
        <f>INDEX(Input!$1:$1048576,Z$93,$C111*2+MIN($B111,1)+5)</f>
        <v>0</v>
      </c>
      <c r="AA111" s="813">
        <f>INDEX(Input!$1:$1048576,AA$93,$C111*2+MIN($B111,1)+5)</f>
        <v>0</v>
      </c>
      <c r="AB111" s="814">
        <f>INDEX(Input!$1:$1048576,AB$93,$C111*2+MIN($B111,1)+5)</f>
        <v>1</v>
      </c>
      <c r="AC111" s="813">
        <f>INDEX(Input!$1:$1048576,AC$93,$C111*2+MIN($B111,1)+5)</f>
        <v>1000</v>
      </c>
      <c r="AD111" s="814">
        <f>INDEX(Input!$1:$1048576,AD$93,$C111*2+MIN($B111,1)+5)</f>
        <v>0.35</v>
      </c>
      <c r="AE111" s="813">
        <f>INDEX(Input!$1:$1048576,AE$93,$C111*2+MIN($B111,1)+5)</f>
        <v>0</v>
      </c>
      <c r="AF111" s="814">
        <f>INDEX(Input!$1:$1048576,AF$93,$C111*2+MIN($B111,1)+5)</f>
        <v>1</v>
      </c>
      <c r="AG111" s="813">
        <f>INDEX(Input!$1:$1048576,AG$93,$C111*2+MIN($B111,1)+5)</f>
        <v>500</v>
      </c>
      <c r="AH111" s="814">
        <f>INDEX(Input!$1:$1048576,AH$93,$C111*2+MIN($B111,1)+5)</f>
        <v>1</v>
      </c>
      <c r="AI111" s="813">
        <f>INDEX(Input!$1:$1048576,AI$93,$C111*2+MIN($B111,1)+5)</f>
        <v>500</v>
      </c>
      <c r="AJ111" s="818">
        <f>INDEX(Input!$1:$1048576,AJ$93,$C111*2+MIN($B111,1)+5)</f>
        <v>0.35</v>
      </c>
    </row>
    <row r="112" spans="1:36" s="60" customFormat="1" ht="15.75" thickBot="1">
      <c r="A112" s="810" t="str">
        <f>"National: "&amp;Input!O$77&amp;" CC, "
&amp;Input!O$92*100&amp;"/"&amp;Input!O$93*100-1&amp;"/"&amp;Input!O$93*100&amp;", "
&amp;Input!O$98&amp;" Lease"
&amp;IF(AND(Input!N$106=0,Input!O$106=0),"",Input!O$106&amp;" BC, ")
&amp;IF(AND(Input!N$111=0,Input!O$111=0),"",Input!O$111&amp;" RBC, ")
&amp;IF(AND(Input!N$114=0,Input!O$114=0),"",Input!O$114&amp;" OLP/CBP, ")</f>
        <v xml:space="preserve">National: 1250 CC, 0/0.9/1.9, 4591.7109265464 Lease0 RBC, </v>
      </c>
      <c r="B112" s="810">
        <f>B111+1</f>
        <v>2</v>
      </c>
      <c r="C112" s="810">
        <f>C111</f>
        <v>6</v>
      </c>
      <c r="D112" s="810" t="s">
        <v>567</v>
      </c>
      <c r="E112" s="811">
        <f>INDEX(Input!$1:$1048576,E$93,$C112*2+MIN($B112,2)+5)</f>
        <v>1250.0000000000002</v>
      </c>
      <c r="F112" s="813">
        <f>INDEX(Input!$1:$1048576,F$93,$C112*2+MIN($B112,2)+5)</f>
        <v>0</v>
      </c>
      <c r="G112" s="813">
        <f>INDEX(Input!$1:$1048576,G$93,$C112*2+MIN($B112,2)+5)</f>
        <v>0</v>
      </c>
      <c r="H112" s="813">
        <f>INDEX(Input!$1:$1048576,H$93,$C112*2+MIN($B112,2)+5)</f>
        <v>0</v>
      </c>
      <c r="I112" s="814">
        <f>INDEX(Input!$1:$1048576,I$93,$C112*2+MIN($B112,2)+5)</f>
        <v>0.7</v>
      </c>
      <c r="J112" s="814" t="str">
        <f>INDEX(Input!$1:$1048576,J$93,$C112*2+MIN($B112,2)+5)</f>
        <v>Market</v>
      </c>
      <c r="K112" s="814" t="str">
        <f>INDEX(Input!$1:$1048576,K$93,$C112*2+MIN($B112,2)+5)</f>
        <v>Market</v>
      </c>
      <c r="L112" s="814" t="str">
        <f>INDEX(Input!$1:$1048576,L$93,$C112*2+MIN($B112,2)+5)</f>
        <v>Market</v>
      </c>
      <c r="M112" s="814" t="str">
        <f>INDEX(Input!$1:$1048576,M$93,$C112*2+MIN($B112,2)+5)</f>
        <v>Market</v>
      </c>
      <c r="N112" s="814" t="str">
        <f>INDEX(Input!$1:$1048576,N$93,$C112*2+MIN($B112,2)+5)</f>
        <v>Market</v>
      </c>
      <c r="O112" s="814" t="str">
        <f>INDEX(Input!$1:$1048576,O$93,$C112*2+MIN($B112,2)+5)</f>
        <v>Market</v>
      </c>
      <c r="P112" s="814" t="str">
        <f>INDEX(Input!$1:$1048576,P$93,$C112*2+MIN($B112,2)+5)</f>
        <v>N</v>
      </c>
      <c r="Q112" s="815">
        <f>INDEX(Input!$1:$1048576,Q$93,$C112*2+MIN($B112,2)+5)</f>
        <v>0</v>
      </c>
      <c r="R112" s="816">
        <f>INDEX(Input!$1:$1048576,R$93,$C112*2+MIN($B112,2)+5)</f>
        <v>0</v>
      </c>
      <c r="S112" s="816">
        <f>INDEX(Input!$1:$1048576,S$93,$C112*2+MIN($B112,2)+5)</f>
        <v>0</v>
      </c>
      <c r="T112" s="816">
        <f>INDEX(Input!$1:$1048576,T$93,$C112*2+MIN($B112,2)+5)</f>
        <v>0</v>
      </c>
      <c r="U112" s="816">
        <f>INDEX(Input!$1:$1048576,U$93,$C112*2+MIN($B112,2)+5)</f>
        <v>0</v>
      </c>
      <c r="V112" s="816">
        <f>INDEX(Input!$1:$1048576,V$93,$C112*2+MIN($B112,2)+5)</f>
        <v>1.8999999999999996E-2</v>
      </c>
      <c r="W112" s="816">
        <f>INDEX(Input!$1:$1048576,W$93,$C112*2+MIN($B112,2)+5)</f>
        <v>3.9E-2</v>
      </c>
      <c r="X112" s="814" t="str">
        <f>INDEX(Input!$1:$1048576,X$93,$C112*2+MIN($B112,2)+5)</f>
        <v>Y</v>
      </c>
      <c r="Y112" s="813">
        <f>INDEX(Input!$1:$1048576,Y$93,$C112*2+MIN($B112,2)+5)</f>
        <v>2339.3275155115825</v>
      </c>
      <c r="Z112" s="817">
        <f>INDEX(Input!$1:$1048576,Z$93,$C112*2+MIN($B112,2)+5)</f>
        <v>0</v>
      </c>
      <c r="AA112" s="813">
        <f>INDEX(Input!$1:$1048576,AA$93,$C112*2+MIN($B112,2)+5)</f>
        <v>0</v>
      </c>
      <c r="AB112" s="814">
        <f>INDEX(Input!$1:$1048576,AB$93,$C112*2+MIN($B112,2)+5)</f>
        <v>1</v>
      </c>
      <c r="AC112" s="813">
        <f>INDEX(Input!$1:$1048576,AC$93,$C112*2+MIN($B112,2)+5)</f>
        <v>0</v>
      </c>
      <c r="AD112" s="814">
        <f>INDEX(Input!$1:$1048576,AD$93,$C112*2+MIN($B112,2)+5)</f>
        <v>0.35</v>
      </c>
      <c r="AE112" s="813">
        <f>INDEX(Input!$1:$1048576,AE$93,$C112*2+MIN($B112,2)+5)</f>
        <v>0</v>
      </c>
      <c r="AF112" s="814">
        <f>INDEX(Input!$1:$1048576,AF$93,$C112*2+MIN($B112,2)+5)</f>
        <v>1</v>
      </c>
      <c r="AG112" s="813">
        <f>INDEX(Input!$1:$1048576,AG$93,$C112*2+MIN($B112,2)+5)</f>
        <v>0</v>
      </c>
      <c r="AH112" s="814">
        <f>INDEX(Input!$1:$1048576,AH$93,$C112*2+MIN($B112,2)+5)</f>
        <v>1</v>
      </c>
      <c r="AI112" s="813">
        <f>INDEX(Input!$1:$1048576,AI$93,$C112*2+MIN($B112,2)+5)</f>
        <v>0</v>
      </c>
      <c r="AJ112" s="818">
        <f>INDEX(Input!$1:$1048576,AJ$93,$C112*2+MIN($B112,2)+5)</f>
        <v>0.35</v>
      </c>
    </row>
    <row r="116" spans="1:36">
      <c r="B116" s="303"/>
    </row>
    <row r="117" spans="1:36">
      <c r="A117" s="821"/>
      <c r="B117" s="303"/>
    </row>
    <row r="118" spans="1:36">
      <c r="B118" s="303"/>
    </row>
    <row r="119" spans="1:36">
      <c r="B119" s="303"/>
      <c r="D119" t="s">
        <v>990</v>
      </c>
    </row>
    <row r="120" spans="1:36">
      <c r="B120" s="303"/>
    </row>
    <row r="121" spans="1:36" s="830" customFormat="1" collapsed="1">
      <c r="A121" s="821" t="str">
        <f t="shared" ref="A121:A180" si="6">IF(E121=0,"",E121&amp;" "&amp;E$100)
&amp;IF(F121=0,"",F121&amp;" "&amp;F$100)
&amp;IF(Q121=0,"",Q121&amp;" "&amp;Q$100)
&amp;IF(U121=0,"",U121*100&amp;" "&amp;U$100)
&amp;IF(V121=0,"",V121*100&amp;" "&amp;V$100)
&amp;IF(Y121=0,"",Y121&amp;" "&amp;Y$100)
&amp;IF(Z121=0,"",Z121&amp;" "&amp;Z$100)
&amp;IF(AC121=0,"",AC121&amp;" "&amp;AC$100)
&amp;IF(AE121=0,"",AE121&amp;" "&amp;AE$100)
&amp;IF(AG121=0,"",AG121&amp;" "&amp;AG$100)
&amp;IF(AI121=0,"",AI121&amp;" "&amp;AI$100)</f>
        <v xml:space="preserve">-1 % 72M, </v>
      </c>
      <c r="B121" s="821">
        <v>21</v>
      </c>
      <c r="C121" s="822"/>
      <c r="D121" s="821"/>
      <c r="E121" s="823">
        <v>0</v>
      </c>
      <c r="F121" s="824">
        <v>0</v>
      </c>
      <c r="G121" s="825">
        <v>0</v>
      </c>
      <c r="H121" s="825">
        <v>0</v>
      </c>
      <c r="I121" s="826">
        <v>0</v>
      </c>
      <c r="J121" s="826"/>
      <c r="K121" s="826"/>
      <c r="L121" s="826"/>
      <c r="M121" s="826"/>
      <c r="N121" s="826"/>
      <c r="O121" s="826"/>
      <c r="P121" s="826"/>
      <c r="Q121" s="827">
        <v>0</v>
      </c>
      <c r="R121" s="828">
        <v>0</v>
      </c>
      <c r="S121" s="828">
        <v>0</v>
      </c>
      <c r="T121" s="828">
        <v>0</v>
      </c>
      <c r="U121" s="828">
        <v>0</v>
      </c>
      <c r="V121" s="828">
        <v>-0.01</v>
      </c>
      <c r="W121" s="828" t="s">
        <v>122</v>
      </c>
      <c r="X121" s="826"/>
      <c r="Y121" s="825">
        <v>0</v>
      </c>
      <c r="Z121" s="829">
        <v>0</v>
      </c>
      <c r="AA121" s="825">
        <v>0</v>
      </c>
      <c r="AB121" s="826">
        <v>0</v>
      </c>
      <c r="AC121" s="825">
        <v>0</v>
      </c>
      <c r="AD121" s="826">
        <v>0</v>
      </c>
      <c r="AE121" s="825">
        <v>0</v>
      </c>
      <c r="AF121" s="826">
        <v>0</v>
      </c>
      <c r="AG121" s="825">
        <v>0</v>
      </c>
      <c r="AH121" s="826">
        <v>0</v>
      </c>
      <c r="AI121" s="825">
        <v>0</v>
      </c>
      <c r="AJ121" s="826">
        <v>0</v>
      </c>
    </row>
    <row r="122" spans="1:36" s="830" customFormat="1">
      <c r="A122" s="821" t="str">
        <f t="shared" si="6"/>
        <v xml:space="preserve">1 % 72M, </v>
      </c>
      <c r="B122" s="821">
        <f t="shared" ref="B122:B179" si="7">B121+1</f>
        <v>22</v>
      </c>
      <c r="C122" s="821"/>
      <c r="D122" s="821"/>
      <c r="E122" s="823">
        <v>0</v>
      </c>
      <c r="F122" s="824">
        <v>0</v>
      </c>
      <c r="G122" s="825">
        <v>0</v>
      </c>
      <c r="H122" s="825">
        <v>0</v>
      </c>
      <c r="I122" s="826">
        <v>0</v>
      </c>
      <c r="J122" s="826"/>
      <c r="K122" s="826"/>
      <c r="L122" s="826"/>
      <c r="M122" s="826"/>
      <c r="N122" s="826"/>
      <c r="O122" s="826"/>
      <c r="P122" s="826"/>
      <c r="Q122" s="827">
        <v>0</v>
      </c>
      <c r="R122" s="828">
        <v>0</v>
      </c>
      <c r="S122" s="828">
        <v>0</v>
      </c>
      <c r="T122" s="828">
        <v>0</v>
      </c>
      <c r="U122" s="828">
        <v>0</v>
      </c>
      <c r="V122" s="828">
        <f>IF(V$112=0,0.9%,1%)</f>
        <v>0.01</v>
      </c>
      <c r="W122" s="828" t="s">
        <v>122</v>
      </c>
      <c r="X122" s="826"/>
      <c r="Y122" s="825">
        <v>0</v>
      </c>
      <c r="Z122" s="829">
        <v>0</v>
      </c>
      <c r="AA122" s="825">
        <v>0</v>
      </c>
      <c r="AB122" s="826">
        <v>0</v>
      </c>
      <c r="AC122" s="825">
        <v>0</v>
      </c>
      <c r="AD122" s="826">
        <v>0</v>
      </c>
      <c r="AE122" s="825">
        <v>0</v>
      </c>
      <c r="AF122" s="826">
        <v>0</v>
      </c>
      <c r="AG122" s="825">
        <v>0</v>
      </c>
      <c r="AH122" s="826">
        <v>0</v>
      </c>
      <c r="AI122" s="825">
        <v>0</v>
      </c>
      <c r="AJ122" s="826">
        <v>0</v>
      </c>
    </row>
    <row r="123" spans="1:36" s="830" customFormat="1" collapsed="1">
      <c r="A123" s="821" t="str">
        <f t="shared" si="6"/>
        <v xml:space="preserve">-1 % 60M, -1 % 72M, </v>
      </c>
      <c r="B123" s="821">
        <f t="shared" si="7"/>
        <v>23</v>
      </c>
      <c r="C123" s="822"/>
      <c r="D123" s="821"/>
      <c r="E123" s="823">
        <v>0</v>
      </c>
      <c r="F123" s="824">
        <v>0</v>
      </c>
      <c r="G123" s="825">
        <v>0</v>
      </c>
      <c r="H123" s="825">
        <v>0</v>
      </c>
      <c r="I123" s="826">
        <v>0</v>
      </c>
      <c r="J123" s="826"/>
      <c r="K123" s="826"/>
      <c r="L123" s="826"/>
      <c r="M123" s="826"/>
      <c r="N123" s="826"/>
      <c r="O123" s="826"/>
      <c r="P123" s="826"/>
      <c r="Q123" s="827">
        <v>0</v>
      </c>
      <c r="R123" s="828">
        <v>-0.01</v>
      </c>
      <c r="S123" s="828">
        <v>-0.01</v>
      </c>
      <c r="T123" s="828">
        <v>-0.01</v>
      </c>
      <c r="U123" s="828">
        <v>-0.01</v>
      </c>
      <c r="V123" s="828">
        <v>-0.01</v>
      </c>
      <c r="W123" s="828" t="s">
        <v>122</v>
      </c>
      <c r="X123" s="826"/>
      <c r="Y123" s="825">
        <v>0</v>
      </c>
      <c r="Z123" s="829">
        <v>0</v>
      </c>
      <c r="AA123" s="825">
        <v>0</v>
      </c>
      <c r="AB123" s="826">
        <v>0</v>
      </c>
      <c r="AC123" s="825">
        <v>0</v>
      </c>
      <c r="AD123" s="826">
        <v>0</v>
      </c>
      <c r="AE123" s="825">
        <v>0</v>
      </c>
      <c r="AF123" s="826">
        <v>0</v>
      </c>
      <c r="AG123" s="825">
        <v>0</v>
      </c>
      <c r="AH123" s="826">
        <v>0</v>
      </c>
      <c r="AI123" s="825">
        <v>0</v>
      </c>
      <c r="AJ123" s="826">
        <v>0</v>
      </c>
    </row>
    <row r="124" spans="1:36" s="830" customFormat="1">
      <c r="A124" s="821" t="str">
        <f t="shared" si="6"/>
        <v xml:space="preserve">-2 % 60M, -2 % 72M, </v>
      </c>
      <c r="B124" s="821">
        <f t="shared" si="7"/>
        <v>24</v>
      </c>
      <c r="C124" s="821"/>
      <c r="D124" s="821"/>
      <c r="E124" s="823">
        <v>0</v>
      </c>
      <c r="F124" s="824">
        <v>0</v>
      </c>
      <c r="G124" s="825">
        <v>0</v>
      </c>
      <c r="H124" s="825">
        <v>0</v>
      </c>
      <c r="I124" s="826">
        <v>0</v>
      </c>
      <c r="J124" s="826"/>
      <c r="K124" s="826"/>
      <c r="L124" s="826"/>
      <c r="M124" s="826"/>
      <c r="N124" s="826"/>
      <c r="O124" s="826"/>
      <c r="P124" s="826"/>
      <c r="Q124" s="827">
        <v>0</v>
      </c>
      <c r="R124" s="828">
        <v>-0.02</v>
      </c>
      <c r="S124" s="828">
        <v>-0.02</v>
      </c>
      <c r="T124" s="828">
        <v>-0.02</v>
      </c>
      <c r="U124" s="828">
        <v>-0.02</v>
      </c>
      <c r="V124" s="828">
        <v>-0.02</v>
      </c>
      <c r="W124" s="828" t="s">
        <v>122</v>
      </c>
      <c r="X124" s="826"/>
      <c r="Y124" s="825">
        <v>0</v>
      </c>
      <c r="Z124" s="829">
        <v>0</v>
      </c>
      <c r="AA124" s="825">
        <v>0</v>
      </c>
      <c r="AB124" s="826">
        <v>0</v>
      </c>
      <c r="AC124" s="825">
        <v>0</v>
      </c>
      <c r="AD124" s="826">
        <v>0</v>
      </c>
      <c r="AE124" s="825">
        <v>0</v>
      </c>
      <c r="AF124" s="826">
        <v>0</v>
      </c>
      <c r="AG124" s="825">
        <v>0</v>
      </c>
      <c r="AH124" s="826">
        <v>0</v>
      </c>
      <c r="AI124" s="825">
        <v>0</v>
      </c>
      <c r="AJ124" s="826">
        <v>0</v>
      </c>
    </row>
    <row r="125" spans="1:36" s="830" customFormat="1" collapsed="1">
      <c r="A125" s="821" t="str">
        <f t="shared" si="6"/>
        <v xml:space="preserve">0.9 % 60M, 1 % 72M, </v>
      </c>
      <c r="B125" s="821">
        <f t="shared" si="7"/>
        <v>25</v>
      </c>
      <c r="C125" s="822"/>
      <c r="D125" s="821"/>
      <c r="E125" s="823">
        <v>0</v>
      </c>
      <c r="F125" s="824">
        <v>0</v>
      </c>
      <c r="G125" s="825">
        <v>0</v>
      </c>
      <c r="H125" s="825">
        <v>0</v>
      </c>
      <c r="I125" s="826">
        <v>0</v>
      </c>
      <c r="J125" s="826"/>
      <c r="K125" s="826"/>
      <c r="L125" s="826"/>
      <c r="M125" s="826"/>
      <c r="N125" s="826"/>
      <c r="O125" s="826"/>
      <c r="P125" s="826"/>
      <c r="Q125" s="827">
        <v>0</v>
      </c>
      <c r="R125" s="828">
        <f t="shared" ref="R125:U125" si="8">IF(R$112=0,0.9%,1%)</f>
        <v>9.0000000000000011E-3</v>
      </c>
      <c r="S125" s="828">
        <f t="shared" si="8"/>
        <v>9.0000000000000011E-3</v>
      </c>
      <c r="T125" s="828">
        <f t="shared" si="8"/>
        <v>9.0000000000000011E-3</v>
      </c>
      <c r="U125" s="828">
        <f t="shared" si="8"/>
        <v>9.0000000000000011E-3</v>
      </c>
      <c r="V125" s="828">
        <f>IF(V$112=0,0.9%,1%)</f>
        <v>0.01</v>
      </c>
      <c r="W125" s="828" t="s">
        <v>122</v>
      </c>
      <c r="X125" s="826"/>
      <c r="Y125" s="825">
        <v>0</v>
      </c>
      <c r="Z125" s="829">
        <v>0</v>
      </c>
      <c r="AA125" s="825">
        <v>0</v>
      </c>
      <c r="AB125" s="826">
        <v>0</v>
      </c>
      <c r="AC125" s="825">
        <v>0</v>
      </c>
      <c r="AD125" s="826">
        <v>0</v>
      </c>
      <c r="AE125" s="825">
        <v>0</v>
      </c>
      <c r="AF125" s="826">
        <v>0</v>
      </c>
      <c r="AG125" s="825">
        <v>0</v>
      </c>
      <c r="AH125" s="826">
        <v>0</v>
      </c>
      <c r="AI125" s="825">
        <v>0</v>
      </c>
      <c r="AJ125" s="826">
        <v>0</v>
      </c>
    </row>
    <row r="126" spans="1:36" s="830" customFormat="1">
      <c r="A126" s="821" t="str">
        <f t="shared" si="6"/>
        <v xml:space="preserve">1.9 % 60M, 2 % 72M, </v>
      </c>
      <c r="B126" s="821">
        <f t="shared" si="7"/>
        <v>26</v>
      </c>
      <c r="C126" s="821"/>
      <c r="D126" s="821"/>
      <c r="E126" s="823">
        <v>0</v>
      </c>
      <c r="F126" s="824">
        <v>0</v>
      </c>
      <c r="G126" s="825">
        <v>0</v>
      </c>
      <c r="H126" s="825">
        <v>0</v>
      </c>
      <c r="I126" s="826">
        <v>0</v>
      </c>
      <c r="J126" s="826"/>
      <c r="K126" s="826"/>
      <c r="L126" s="826"/>
      <c r="M126" s="826"/>
      <c r="N126" s="826"/>
      <c r="O126" s="826"/>
      <c r="P126" s="826"/>
      <c r="Q126" s="827">
        <v>0</v>
      </c>
      <c r="R126" s="828">
        <f>IF(R$112=0,1.9%,2%)</f>
        <v>1.9E-2</v>
      </c>
      <c r="S126" s="828">
        <f t="shared" ref="S126:V126" si="9">IF(S$112=0,1.9%,2%)</f>
        <v>1.9E-2</v>
      </c>
      <c r="T126" s="828">
        <f t="shared" si="9"/>
        <v>1.9E-2</v>
      </c>
      <c r="U126" s="828">
        <f t="shared" si="9"/>
        <v>1.9E-2</v>
      </c>
      <c r="V126" s="828">
        <f t="shared" si="9"/>
        <v>0.02</v>
      </c>
      <c r="W126" s="828" t="s">
        <v>122</v>
      </c>
      <c r="X126" s="826"/>
      <c r="Y126" s="825">
        <v>0</v>
      </c>
      <c r="Z126" s="829">
        <v>0</v>
      </c>
      <c r="AA126" s="825">
        <v>0</v>
      </c>
      <c r="AB126" s="826">
        <v>0</v>
      </c>
      <c r="AC126" s="825">
        <v>0</v>
      </c>
      <c r="AD126" s="826">
        <v>0</v>
      </c>
      <c r="AE126" s="825">
        <v>0</v>
      </c>
      <c r="AF126" s="826">
        <v>0</v>
      </c>
      <c r="AG126" s="825">
        <v>0</v>
      </c>
      <c r="AH126" s="826">
        <v>0</v>
      </c>
      <c r="AI126" s="825">
        <v>0</v>
      </c>
      <c r="AJ126" s="826">
        <v>0</v>
      </c>
    </row>
    <row r="127" spans="1:36" s="830" customFormat="1" collapsed="1">
      <c r="A127" s="821" t="str">
        <f t="shared" si="6"/>
        <v xml:space="preserve">750 Combo, </v>
      </c>
      <c r="B127" s="821">
        <f t="shared" si="7"/>
        <v>27</v>
      </c>
      <c r="C127" s="822"/>
      <c r="D127" s="821"/>
      <c r="E127" s="823">
        <v>0</v>
      </c>
      <c r="F127" s="824">
        <v>0</v>
      </c>
      <c r="G127" s="825">
        <v>0</v>
      </c>
      <c r="H127" s="825">
        <v>0</v>
      </c>
      <c r="I127" s="826">
        <v>0</v>
      </c>
      <c r="J127" s="826"/>
      <c r="K127" s="826"/>
      <c r="L127" s="826"/>
      <c r="M127" s="826"/>
      <c r="N127" s="826"/>
      <c r="O127" s="826"/>
      <c r="P127" s="826"/>
      <c r="Q127" s="827">
        <v>750</v>
      </c>
      <c r="R127" s="828">
        <v>0</v>
      </c>
      <c r="S127" s="828">
        <v>0</v>
      </c>
      <c r="T127" s="828">
        <v>0</v>
      </c>
      <c r="U127" s="828">
        <v>0</v>
      </c>
      <c r="V127" s="828">
        <v>0</v>
      </c>
      <c r="W127" s="828" t="s">
        <v>122</v>
      </c>
      <c r="X127" s="826"/>
      <c r="Y127" s="825">
        <v>0</v>
      </c>
      <c r="Z127" s="829">
        <v>0</v>
      </c>
      <c r="AA127" s="825">
        <v>0</v>
      </c>
      <c r="AB127" s="826">
        <v>0</v>
      </c>
      <c r="AC127" s="825">
        <v>0</v>
      </c>
      <c r="AD127" s="826">
        <v>0</v>
      </c>
      <c r="AE127" s="825">
        <v>0</v>
      </c>
      <c r="AF127" s="826">
        <v>0</v>
      </c>
      <c r="AG127" s="825">
        <v>0</v>
      </c>
      <c r="AH127" s="826">
        <v>0</v>
      </c>
      <c r="AI127" s="825">
        <v>0</v>
      </c>
      <c r="AJ127" s="826">
        <v>0</v>
      </c>
    </row>
    <row r="128" spans="1:36" s="830" customFormat="1">
      <c r="A128" s="821" t="str">
        <f t="shared" si="6"/>
        <v xml:space="preserve">1000 Combo, </v>
      </c>
      <c r="B128" s="821">
        <f t="shared" si="7"/>
        <v>28</v>
      </c>
      <c r="C128" s="821"/>
      <c r="D128" s="821"/>
      <c r="E128" s="823">
        <v>0</v>
      </c>
      <c r="F128" s="824">
        <v>0</v>
      </c>
      <c r="G128" s="825">
        <v>0</v>
      </c>
      <c r="H128" s="825">
        <v>0</v>
      </c>
      <c r="I128" s="826">
        <v>0</v>
      </c>
      <c r="J128" s="826"/>
      <c r="K128" s="826"/>
      <c r="L128" s="826"/>
      <c r="M128" s="826"/>
      <c r="N128" s="826"/>
      <c r="O128" s="826"/>
      <c r="P128" s="826"/>
      <c r="Q128" s="827">
        <v>1000</v>
      </c>
      <c r="R128" s="828">
        <v>0</v>
      </c>
      <c r="S128" s="828">
        <v>0</v>
      </c>
      <c r="T128" s="828">
        <v>0</v>
      </c>
      <c r="U128" s="828">
        <v>0</v>
      </c>
      <c r="V128" s="828">
        <v>0</v>
      </c>
      <c r="W128" s="828" t="s">
        <v>122</v>
      </c>
      <c r="X128" s="826"/>
      <c r="Y128" s="825">
        <v>0</v>
      </c>
      <c r="Z128" s="829">
        <v>0</v>
      </c>
      <c r="AA128" s="825">
        <v>0</v>
      </c>
      <c r="AB128" s="826">
        <v>0</v>
      </c>
      <c r="AC128" s="825">
        <v>0</v>
      </c>
      <c r="AD128" s="826">
        <v>0</v>
      </c>
      <c r="AE128" s="825">
        <v>0</v>
      </c>
      <c r="AF128" s="826">
        <v>0</v>
      </c>
      <c r="AG128" s="825">
        <v>0</v>
      </c>
      <c r="AH128" s="826">
        <v>0</v>
      </c>
      <c r="AI128" s="825">
        <v>0</v>
      </c>
      <c r="AJ128" s="826">
        <v>0</v>
      </c>
    </row>
    <row r="129" spans="1:36" s="830" customFormat="1" collapsed="1">
      <c r="A129" s="821" t="str">
        <f t="shared" si="6"/>
        <v xml:space="preserve">-720 Lease, </v>
      </c>
      <c r="B129" s="821">
        <f t="shared" si="7"/>
        <v>29</v>
      </c>
      <c r="C129" s="822"/>
      <c r="D129" s="821"/>
      <c r="E129" s="823">
        <v>0</v>
      </c>
      <c r="F129" s="824">
        <v>0</v>
      </c>
      <c r="G129" s="825">
        <v>0</v>
      </c>
      <c r="H129" s="825">
        <v>0</v>
      </c>
      <c r="I129" s="826">
        <v>0</v>
      </c>
      <c r="J129" s="826"/>
      <c r="K129" s="826"/>
      <c r="L129" s="826"/>
      <c r="M129" s="826"/>
      <c r="N129" s="826"/>
      <c r="O129" s="826"/>
      <c r="P129" s="826"/>
      <c r="Q129" s="827">
        <v>0</v>
      </c>
      <c r="R129" s="828">
        <v>0</v>
      </c>
      <c r="S129" s="828">
        <v>0</v>
      </c>
      <c r="T129" s="828">
        <v>0</v>
      </c>
      <c r="U129" s="828">
        <v>0</v>
      </c>
      <c r="V129" s="828">
        <v>0</v>
      </c>
      <c r="W129" s="828" t="s">
        <v>122</v>
      </c>
      <c r="X129" s="826"/>
      <c r="Y129" s="825">
        <v>-720</v>
      </c>
      <c r="Z129" s="829">
        <v>0</v>
      </c>
      <c r="AA129" s="825">
        <v>0</v>
      </c>
      <c r="AB129" s="826">
        <v>0</v>
      </c>
      <c r="AC129" s="825">
        <v>0</v>
      </c>
      <c r="AD129" s="826">
        <v>0</v>
      </c>
      <c r="AE129" s="825">
        <v>0</v>
      </c>
      <c r="AF129" s="826">
        <v>0</v>
      </c>
      <c r="AG129" s="825">
        <v>0</v>
      </c>
      <c r="AH129" s="826">
        <v>0</v>
      </c>
      <c r="AI129" s="825">
        <v>0</v>
      </c>
      <c r="AJ129" s="826">
        <v>0</v>
      </c>
    </row>
    <row r="130" spans="1:36" s="830" customFormat="1">
      <c r="A130" s="821" t="str">
        <f t="shared" si="6"/>
        <v xml:space="preserve">1080 Lease, </v>
      </c>
      <c r="B130" s="821">
        <f t="shared" si="7"/>
        <v>30</v>
      </c>
      <c r="C130" s="821"/>
      <c r="D130" s="821"/>
      <c r="E130" s="823">
        <v>0</v>
      </c>
      <c r="F130" s="824">
        <v>0</v>
      </c>
      <c r="G130" s="825">
        <v>0</v>
      </c>
      <c r="H130" s="825">
        <v>0</v>
      </c>
      <c r="I130" s="826">
        <v>0</v>
      </c>
      <c r="J130" s="826"/>
      <c r="K130" s="826"/>
      <c r="L130" s="826"/>
      <c r="M130" s="826"/>
      <c r="N130" s="826"/>
      <c r="O130" s="826"/>
      <c r="P130" s="826"/>
      <c r="Q130" s="827">
        <v>0</v>
      </c>
      <c r="R130" s="828">
        <v>0</v>
      </c>
      <c r="S130" s="828">
        <v>0</v>
      </c>
      <c r="T130" s="828">
        <v>0</v>
      </c>
      <c r="U130" s="828">
        <v>0</v>
      </c>
      <c r="V130" s="828">
        <v>0</v>
      </c>
      <c r="W130" s="828" t="s">
        <v>122</v>
      </c>
      <c r="X130" s="826"/>
      <c r="Y130" s="825">
        <v>1080</v>
      </c>
      <c r="Z130" s="829">
        <v>0</v>
      </c>
      <c r="AA130" s="825">
        <v>0</v>
      </c>
      <c r="AB130" s="826">
        <v>0</v>
      </c>
      <c r="AC130" s="825">
        <v>0</v>
      </c>
      <c r="AD130" s="826">
        <v>0</v>
      </c>
      <c r="AE130" s="825">
        <v>0</v>
      </c>
      <c r="AF130" s="826">
        <v>0</v>
      </c>
      <c r="AG130" s="825">
        <v>0</v>
      </c>
      <c r="AH130" s="826">
        <v>0</v>
      </c>
      <c r="AI130" s="825">
        <v>0</v>
      </c>
      <c r="AJ130" s="826">
        <v>0</v>
      </c>
    </row>
    <row r="131" spans="1:36" s="830" customFormat="1" collapsed="1">
      <c r="A131" s="821" t="str">
        <f t="shared" si="6"/>
        <v xml:space="preserve">250 CC, 250 Combo, </v>
      </c>
      <c r="B131" s="821">
        <f t="shared" si="7"/>
        <v>31</v>
      </c>
      <c r="C131" s="822"/>
      <c r="D131" s="821"/>
      <c r="E131" s="823">
        <v>250</v>
      </c>
      <c r="F131" s="824">
        <v>0</v>
      </c>
      <c r="G131" s="825">
        <v>0</v>
      </c>
      <c r="H131" s="825">
        <v>0</v>
      </c>
      <c r="I131" s="826">
        <v>0</v>
      </c>
      <c r="J131" s="826"/>
      <c r="K131" s="826"/>
      <c r="L131" s="826"/>
      <c r="M131" s="826"/>
      <c r="N131" s="826"/>
      <c r="O131" s="826"/>
      <c r="P131" s="826"/>
      <c r="Q131" s="827">
        <v>250</v>
      </c>
      <c r="R131" s="828">
        <v>0</v>
      </c>
      <c r="S131" s="828">
        <v>0</v>
      </c>
      <c r="T131" s="828">
        <v>0</v>
      </c>
      <c r="U131" s="828">
        <v>0</v>
      </c>
      <c r="V131" s="828">
        <v>0</v>
      </c>
      <c r="W131" s="828" t="s">
        <v>122</v>
      </c>
      <c r="X131" s="826"/>
      <c r="Y131" s="825">
        <v>0</v>
      </c>
      <c r="Z131" s="829">
        <v>0</v>
      </c>
      <c r="AA131" s="825">
        <v>0</v>
      </c>
      <c r="AB131" s="826">
        <v>0</v>
      </c>
      <c r="AC131" s="825">
        <v>0</v>
      </c>
      <c r="AD131" s="826">
        <v>0</v>
      </c>
      <c r="AE131" s="825">
        <v>0</v>
      </c>
      <c r="AF131" s="826">
        <v>0</v>
      </c>
      <c r="AG131" s="825">
        <v>0</v>
      </c>
      <c r="AH131" s="826">
        <v>0</v>
      </c>
      <c r="AI131" s="825">
        <v>0</v>
      </c>
      <c r="AJ131" s="826">
        <v>0</v>
      </c>
    </row>
    <row r="132" spans="1:36" s="830" customFormat="1">
      <c r="A132" s="821" t="str">
        <f t="shared" si="6"/>
        <v xml:space="preserve">500 CC, 500 Combo, </v>
      </c>
      <c r="B132" s="821">
        <f t="shared" si="7"/>
        <v>32</v>
      </c>
      <c r="C132" s="821"/>
      <c r="D132" s="821"/>
      <c r="E132" s="823">
        <v>500</v>
      </c>
      <c r="F132" s="824">
        <v>0</v>
      </c>
      <c r="G132" s="825">
        <v>0</v>
      </c>
      <c r="H132" s="825">
        <v>0</v>
      </c>
      <c r="I132" s="826">
        <v>0</v>
      </c>
      <c r="J132" s="826"/>
      <c r="K132" s="826"/>
      <c r="L132" s="826"/>
      <c r="M132" s="826"/>
      <c r="N132" s="826"/>
      <c r="O132" s="826"/>
      <c r="P132" s="826"/>
      <c r="Q132" s="827">
        <v>500</v>
      </c>
      <c r="R132" s="828">
        <v>0</v>
      </c>
      <c r="S132" s="828">
        <v>0</v>
      </c>
      <c r="T132" s="828">
        <v>0</v>
      </c>
      <c r="U132" s="828">
        <v>0</v>
      </c>
      <c r="V132" s="828">
        <v>0</v>
      </c>
      <c r="W132" s="828" t="s">
        <v>122</v>
      </c>
      <c r="X132" s="826"/>
      <c r="Y132" s="825">
        <v>0</v>
      </c>
      <c r="Z132" s="829">
        <v>0</v>
      </c>
      <c r="AA132" s="825">
        <v>0</v>
      </c>
      <c r="AB132" s="826">
        <v>0</v>
      </c>
      <c r="AC132" s="825">
        <v>0</v>
      </c>
      <c r="AD132" s="826">
        <v>0</v>
      </c>
      <c r="AE132" s="825">
        <v>0</v>
      </c>
      <c r="AF132" s="826">
        <v>0</v>
      </c>
      <c r="AG132" s="825">
        <v>0</v>
      </c>
      <c r="AH132" s="826">
        <v>0</v>
      </c>
      <c r="AI132" s="825">
        <v>0</v>
      </c>
      <c r="AJ132" s="826">
        <v>0</v>
      </c>
    </row>
    <row r="133" spans="1:36" s="830" customFormat="1" collapsed="1">
      <c r="A133" s="821" t="str">
        <f t="shared" si="6"/>
        <v xml:space="preserve">750 CC, 750 Combo, </v>
      </c>
      <c r="B133" s="821">
        <f t="shared" si="7"/>
        <v>33</v>
      </c>
      <c r="C133" s="822"/>
      <c r="D133" s="821"/>
      <c r="E133" s="823">
        <v>750</v>
      </c>
      <c r="F133" s="824">
        <v>0</v>
      </c>
      <c r="G133" s="825">
        <v>0</v>
      </c>
      <c r="H133" s="825">
        <v>0</v>
      </c>
      <c r="I133" s="826">
        <v>0</v>
      </c>
      <c r="J133" s="826"/>
      <c r="K133" s="826"/>
      <c r="L133" s="826"/>
      <c r="M133" s="826"/>
      <c r="N133" s="826"/>
      <c r="O133" s="826"/>
      <c r="P133" s="826"/>
      <c r="Q133" s="827">
        <v>750</v>
      </c>
      <c r="R133" s="828">
        <v>0</v>
      </c>
      <c r="S133" s="828">
        <v>0</v>
      </c>
      <c r="T133" s="828">
        <v>0</v>
      </c>
      <c r="U133" s="828">
        <v>0</v>
      </c>
      <c r="V133" s="828">
        <v>0</v>
      </c>
      <c r="W133" s="828" t="s">
        <v>122</v>
      </c>
      <c r="X133" s="826"/>
      <c r="Y133" s="825">
        <v>0</v>
      </c>
      <c r="Z133" s="829">
        <v>0</v>
      </c>
      <c r="AA133" s="825">
        <v>0</v>
      </c>
      <c r="AB133" s="826">
        <v>0</v>
      </c>
      <c r="AC133" s="825">
        <v>0</v>
      </c>
      <c r="AD133" s="826">
        <v>0</v>
      </c>
      <c r="AE133" s="825">
        <v>0</v>
      </c>
      <c r="AF133" s="826">
        <v>0</v>
      </c>
      <c r="AG133" s="825">
        <v>0</v>
      </c>
      <c r="AH133" s="826">
        <v>0</v>
      </c>
      <c r="AI133" s="825">
        <v>0</v>
      </c>
      <c r="AJ133" s="826">
        <v>0</v>
      </c>
    </row>
    <row r="134" spans="1:36" s="830" customFormat="1">
      <c r="A134" s="821" t="str">
        <f t="shared" si="6"/>
        <v xml:space="preserve">1000 CC, 1000 Combo, </v>
      </c>
      <c r="B134" s="821">
        <f t="shared" si="7"/>
        <v>34</v>
      </c>
      <c r="C134" s="821"/>
      <c r="D134" s="821"/>
      <c r="E134" s="823">
        <v>1000</v>
      </c>
      <c r="F134" s="824">
        <v>0</v>
      </c>
      <c r="G134" s="825">
        <v>0</v>
      </c>
      <c r="H134" s="825">
        <v>0</v>
      </c>
      <c r="I134" s="826">
        <v>0</v>
      </c>
      <c r="J134" s="826"/>
      <c r="K134" s="826"/>
      <c r="L134" s="826"/>
      <c r="M134" s="826"/>
      <c r="N134" s="826"/>
      <c r="O134" s="826"/>
      <c r="P134" s="826"/>
      <c r="Q134" s="827">
        <v>1000</v>
      </c>
      <c r="R134" s="828">
        <v>0</v>
      </c>
      <c r="S134" s="828">
        <v>0</v>
      </c>
      <c r="T134" s="828">
        <v>0</v>
      </c>
      <c r="U134" s="828">
        <v>0</v>
      </c>
      <c r="V134" s="828">
        <v>0</v>
      </c>
      <c r="W134" s="828" t="s">
        <v>122</v>
      </c>
      <c r="X134" s="826"/>
      <c r="Y134" s="825">
        <v>0</v>
      </c>
      <c r="Z134" s="829">
        <v>0</v>
      </c>
      <c r="AA134" s="825">
        <v>0</v>
      </c>
      <c r="AB134" s="826">
        <v>0</v>
      </c>
      <c r="AC134" s="825">
        <v>0</v>
      </c>
      <c r="AD134" s="826">
        <v>0</v>
      </c>
      <c r="AE134" s="825">
        <v>0</v>
      </c>
      <c r="AF134" s="826">
        <v>0</v>
      </c>
      <c r="AG134" s="825">
        <v>0</v>
      </c>
      <c r="AH134" s="826">
        <v>0</v>
      </c>
      <c r="AI134" s="825">
        <v>0</v>
      </c>
      <c r="AJ134" s="826">
        <v>0</v>
      </c>
    </row>
    <row r="135" spans="1:36" s="830" customFormat="1" collapsed="1">
      <c r="A135" s="821" t="str">
        <f t="shared" si="6"/>
        <v xml:space="preserve">250 CC, -1 % 60M, -1 % 72M, </v>
      </c>
      <c r="B135" s="821">
        <f t="shared" si="7"/>
        <v>35</v>
      </c>
      <c r="C135" s="822"/>
      <c r="D135" s="821"/>
      <c r="E135" s="823">
        <v>250</v>
      </c>
      <c r="F135" s="824">
        <v>0</v>
      </c>
      <c r="G135" s="825">
        <v>0</v>
      </c>
      <c r="H135" s="825">
        <v>0</v>
      </c>
      <c r="I135" s="826">
        <v>0</v>
      </c>
      <c r="J135" s="826"/>
      <c r="K135" s="826"/>
      <c r="L135" s="826"/>
      <c r="M135" s="826"/>
      <c r="N135" s="826"/>
      <c r="O135" s="826"/>
      <c r="P135" s="826"/>
      <c r="Q135" s="827">
        <v>0</v>
      </c>
      <c r="R135" s="828">
        <v>-0.01</v>
      </c>
      <c r="S135" s="828">
        <v>-0.01</v>
      </c>
      <c r="T135" s="828">
        <v>-0.01</v>
      </c>
      <c r="U135" s="828">
        <v>-0.01</v>
      </c>
      <c r="V135" s="828">
        <v>-0.01</v>
      </c>
      <c r="W135" s="828" t="s">
        <v>122</v>
      </c>
      <c r="X135" s="826"/>
      <c r="Y135" s="825">
        <v>0</v>
      </c>
      <c r="Z135" s="829">
        <v>0</v>
      </c>
      <c r="AA135" s="825">
        <v>0</v>
      </c>
      <c r="AB135" s="826">
        <v>0</v>
      </c>
      <c r="AC135" s="825">
        <v>0</v>
      </c>
      <c r="AD135" s="826">
        <v>0</v>
      </c>
      <c r="AE135" s="825">
        <v>0</v>
      </c>
      <c r="AF135" s="826">
        <v>0</v>
      </c>
      <c r="AG135" s="825">
        <v>0</v>
      </c>
      <c r="AH135" s="826">
        <v>0</v>
      </c>
      <c r="AI135" s="825">
        <v>0</v>
      </c>
      <c r="AJ135" s="826">
        <v>0</v>
      </c>
    </row>
    <row r="136" spans="1:36" s="830" customFormat="1">
      <c r="A136" s="821" t="str">
        <f t="shared" si="6"/>
        <v xml:space="preserve">500 CC, -1 % 60M, -1 % 72M, </v>
      </c>
      <c r="B136" s="821">
        <f t="shared" si="7"/>
        <v>36</v>
      </c>
      <c r="C136" s="821"/>
      <c r="D136" s="821"/>
      <c r="E136" s="823">
        <v>500</v>
      </c>
      <c r="F136" s="824">
        <v>0</v>
      </c>
      <c r="G136" s="825">
        <v>0</v>
      </c>
      <c r="H136" s="825">
        <v>0</v>
      </c>
      <c r="I136" s="826">
        <v>0</v>
      </c>
      <c r="J136" s="826"/>
      <c r="K136" s="826"/>
      <c r="L136" s="826"/>
      <c r="M136" s="826"/>
      <c r="N136" s="826"/>
      <c r="O136" s="826"/>
      <c r="P136" s="826"/>
      <c r="Q136" s="827">
        <v>0</v>
      </c>
      <c r="R136" s="828">
        <v>-0.01</v>
      </c>
      <c r="S136" s="828">
        <v>-0.01</v>
      </c>
      <c r="T136" s="828">
        <v>-0.01</v>
      </c>
      <c r="U136" s="828">
        <v>-0.01</v>
      </c>
      <c r="V136" s="828">
        <v>-0.01</v>
      </c>
      <c r="W136" s="828" t="s">
        <v>122</v>
      </c>
      <c r="X136" s="826"/>
      <c r="Y136" s="825">
        <v>0</v>
      </c>
      <c r="Z136" s="829">
        <v>0</v>
      </c>
      <c r="AA136" s="825">
        <v>0</v>
      </c>
      <c r="AB136" s="826">
        <v>0</v>
      </c>
      <c r="AC136" s="825">
        <v>0</v>
      </c>
      <c r="AD136" s="826">
        <v>0</v>
      </c>
      <c r="AE136" s="825">
        <v>0</v>
      </c>
      <c r="AF136" s="826">
        <v>0</v>
      </c>
      <c r="AG136" s="825">
        <v>0</v>
      </c>
      <c r="AH136" s="826">
        <v>0</v>
      </c>
      <c r="AI136" s="825">
        <v>0</v>
      </c>
      <c r="AJ136" s="826">
        <v>0</v>
      </c>
    </row>
    <row r="137" spans="1:36" s="830" customFormat="1" collapsed="1">
      <c r="A137" s="821" t="str">
        <f t="shared" si="6"/>
        <v xml:space="preserve">750 CC, -1 % 60M, -1 % 72M, </v>
      </c>
      <c r="B137" s="821">
        <f t="shared" si="7"/>
        <v>37</v>
      </c>
      <c r="C137" s="822"/>
      <c r="D137" s="821"/>
      <c r="E137" s="823">
        <v>750</v>
      </c>
      <c r="F137" s="824">
        <v>0</v>
      </c>
      <c r="G137" s="825">
        <v>0</v>
      </c>
      <c r="H137" s="825">
        <v>0</v>
      </c>
      <c r="I137" s="826">
        <v>0</v>
      </c>
      <c r="J137" s="826"/>
      <c r="K137" s="826"/>
      <c r="L137" s="826"/>
      <c r="M137" s="826"/>
      <c r="N137" s="826"/>
      <c r="O137" s="826"/>
      <c r="P137" s="826"/>
      <c r="Q137" s="827">
        <v>0</v>
      </c>
      <c r="R137" s="828">
        <v>-0.01</v>
      </c>
      <c r="S137" s="828">
        <v>-0.01</v>
      </c>
      <c r="T137" s="828">
        <v>-0.01</v>
      </c>
      <c r="U137" s="828">
        <v>-0.01</v>
      </c>
      <c r="V137" s="828">
        <v>-0.01</v>
      </c>
      <c r="W137" s="828" t="s">
        <v>122</v>
      </c>
      <c r="X137" s="826"/>
      <c r="Y137" s="825">
        <v>0</v>
      </c>
      <c r="Z137" s="829">
        <v>0</v>
      </c>
      <c r="AA137" s="825">
        <v>0</v>
      </c>
      <c r="AB137" s="826">
        <v>0</v>
      </c>
      <c r="AC137" s="825">
        <v>0</v>
      </c>
      <c r="AD137" s="826">
        <v>0</v>
      </c>
      <c r="AE137" s="825">
        <v>0</v>
      </c>
      <c r="AF137" s="826">
        <v>0</v>
      </c>
      <c r="AG137" s="825">
        <v>0</v>
      </c>
      <c r="AH137" s="826">
        <v>0</v>
      </c>
      <c r="AI137" s="825">
        <v>0</v>
      </c>
      <c r="AJ137" s="826">
        <v>0</v>
      </c>
    </row>
    <row r="138" spans="1:36" s="830" customFormat="1">
      <c r="A138" s="821" t="str">
        <f t="shared" si="6"/>
        <v xml:space="preserve">1000 CC, -1 % 60M, -1 % 72M, </v>
      </c>
      <c r="B138" s="821">
        <f t="shared" si="7"/>
        <v>38</v>
      </c>
      <c r="C138" s="821"/>
      <c r="D138" s="821"/>
      <c r="E138" s="823">
        <v>1000</v>
      </c>
      <c r="F138" s="824">
        <v>0</v>
      </c>
      <c r="G138" s="825">
        <v>0</v>
      </c>
      <c r="H138" s="825">
        <v>0</v>
      </c>
      <c r="I138" s="826">
        <v>0</v>
      </c>
      <c r="J138" s="826"/>
      <c r="K138" s="826"/>
      <c r="L138" s="826"/>
      <c r="M138" s="826"/>
      <c r="N138" s="826"/>
      <c r="O138" s="826"/>
      <c r="P138" s="826"/>
      <c r="Q138" s="827">
        <v>0</v>
      </c>
      <c r="R138" s="828">
        <v>-0.01</v>
      </c>
      <c r="S138" s="828">
        <v>-0.01</v>
      </c>
      <c r="T138" s="828">
        <v>-0.01</v>
      </c>
      <c r="U138" s="828">
        <v>-0.01</v>
      </c>
      <c r="V138" s="828">
        <v>-0.01</v>
      </c>
      <c r="W138" s="828" t="s">
        <v>122</v>
      </c>
      <c r="X138" s="826"/>
      <c r="Y138" s="825">
        <v>0</v>
      </c>
      <c r="Z138" s="829">
        <v>0</v>
      </c>
      <c r="AA138" s="825">
        <v>0</v>
      </c>
      <c r="AB138" s="826">
        <v>0</v>
      </c>
      <c r="AC138" s="825">
        <v>0</v>
      </c>
      <c r="AD138" s="826">
        <v>0</v>
      </c>
      <c r="AE138" s="825">
        <v>0</v>
      </c>
      <c r="AF138" s="826">
        <v>0</v>
      </c>
      <c r="AG138" s="825">
        <v>0</v>
      </c>
      <c r="AH138" s="826">
        <v>0</v>
      </c>
      <c r="AI138" s="825">
        <v>0</v>
      </c>
      <c r="AJ138" s="826">
        <v>0</v>
      </c>
    </row>
    <row r="139" spans="1:36" s="830" customFormat="1" collapsed="1">
      <c r="A139" s="821" t="str">
        <f t="shared" si="6"/>
        <v xml:space="preserve">250 CC, 360 Lease, </v>
      </c>
      <c r="B139" s="821">
        <f t="shared" si="7"/>
        <v>39</v>
      </c>
      <c r="C139" s="822"/>
      <c r="D139" s="821"/>
      <c r="E139" s="823">
        <v>250</v>
      </c>
      <c r="F139" s="824">
        <v>0</v>
      </c>
      <c r="G139" s="825">
        <v>0</v>
      </c>
      <c r="H139" s="825">
        <v>0</v>
      </c>
      <c r="I139" s="826">
        <v>0</v>
      </c>
      <c r="J139" s="826"/>
      <c r="K139" s="826"/>
      <c r="L139" s="826"/>
      <c r="M139" s="826"/>
      <c r="N139" s="826"/>
      <c r="O139" s="826"/>
      <c r="P139" s="826"/>
      <c r="Q139" s="827">
        <v>0</v>
      </c>
      <c r="R139" s="828">
        <v>0</v>
      </c>
      <c r="S139" s="828">
        <v>0</v>
      </c>
      <c r="T139" s="828">
        <v>0</v>
      </c>
      <c r="U139" s="828">
        <v>0</v>
      </c>
      <c r="V139" s="828">
        <v>0</v>
      </c>
      <c r="W139" s="828" t="s">
        <v>122</v>
      </c>
      <c r="X139" s="826"/>
      <c r="Y139" s="825">
        <v>360</v>
      </c>
      <c r="Z139" s="829">
        <v>0</v>
      </c>
      <c r="AA139" s="825">
        <v>0</v>
      </c>
      <c r="AB139" s="826">
        <v>0</v>
      </c>
      <c r="AC139" s="825">
        <v>0</v>
      </c>
      <c r="AD139" s="826">
        <v>0</v>
      </c>
      <c r="AE139" s="825">
        <v>0</v>
      </c>
      <c r="AF139" s="826">
        <v>0</v>
      </c>
      <c r="AG139" s="825">
        <v>0</v>
      </c>
      <c r="AH139" s="826">
        <v>0</v>
      </c>
      <c r="AI139" s="825">
        <v>0</v>
      </c>
      <c r="AJ139" s="826">
        <v>0</v>
      </c>
    </row>
    <row r="140" spans="1:36" s="830" customFormat="1">
      <c r="A140" s="821" t="str">
        <f t="shared" si="6"/>
        <v xml:space="preserve">500 CC, 360 Lease, </v>
      </c>
      <c r="B140" s="821">
        <f t="shared" si="7"/>
        <v>40</v>
      </c>
      <c r="C140" s="821"/>
      <c r="D140" s="821"/>
      <c r="E140" s="823">
        <v>500</v>
      </c>
      <c r="F140" s="824">
        <v>0</v>
      </c>
      <c r="G140" s="825">
        <v>0</v>
      </c>
      <c r="H140" s="825">
        <v>0</v>
      </c>
      <c r="I140" s="826">
        <v>0</v>
      </c>
      <c r="J140" s="826"/>
      <c r="K140" s="826"/>
      <c r="L140" s="826"/>
      <c r="M140" s="826"/>
      <c r="N140" s="826"/>
      <c r="O140" s="826"/>
      <c r="P140" s="826"/>
      <c r="Q140" s="827">
        <v>0</v>
      </c>
      <c r="R140" s="828">
        <v>0</v>
      </c>
      <c r="S140" s="828">
        <v>0</v>
      </c>
      <c r="T140" s="828">
        <v>0</v>
      </c>
      <c r="U140" s="828">
        <v>0</v>
      </c>
      <c r="V140" s="828">
        <v>0</v>
      </c>
      <c r="W140" s="828" t="s">
        <v>122</v>
      </c>
      <c r="X140" s="826"/>
      <c r="Y140" s="825">
        <v>360</v>
      </c>
      <c r="Z140" s="829">
        <v>0</v>
      </c>
      <c r="AA140" s="825">
        <v>0</v>
      </c>
      <c r="AB140" s="826">
        <v>0</v>
      </c>
      <c r="AC140" s="825">
        <v>0</v>
      </c>
      <c r="AD140" s="826">
        <v>0</v>
      </c>
      <c r="AE140" s="825">
        <v>0</v>
      </c>
      <c r="AF140" s="826">
        <v>0</v>
      </c>
      <c r="AG140" s="825">
        <v>0</v>
      </c>
      <c r="AH140" s="826">
        <v>0</v>
      </c>
      <c r="AI140" s="825">
        <v>0</v>
      </c>
      <c r="AJ140" s="826">
        <v>0</v>
      </c>
    </row>
    <row r="141" spans="1:36" s="830" customFormat="1" collapsed="1">
      <c r="A141" s="821" t="str">
        <f t="shared" si="6"/>
        <v xml:space="preserve">750 CC, 360 Lease, </v>
      </c>
      <c r="B141" s="821">
        <f t="shared" si="7"/>
        <v>41</v>
      </c>
      <c r="C141" s="822"/>
      <c r="D141" s="821"/>
      <c r="E141" s="823">
        <v>750</v>
      </c>
      <c r="F141" s="824">
        <v>0</v>
      </c>
      <c r="G141" s="825">
        <v>0</v>
      </c>
      <c r="H141" s="825">
        <v>0</v>
      </c>
      <c r="I141" s="826">
        <v>0</v>
      </c>
      <c r="J141" s="826"/>
      <c r="K141" s="826"/>
      <c r="L141" s="826"/>
      <c r="M141" s="826"/>
      <c r="N141" s="826"/>
      <c r="O141" s="826"/>
      <c r="P141" s="826"/>
      <c r="Q141" s="827">
        <v>0</v>
      </c>
      <c r="R141" s="828">
        <v>0</v>
      </c>
      <c r="S141" s="828">
        <v>0</v>
      </c>
      <c r="T141" s="828">
        <v>0</v>
      </c>
      <c r="U141" s="828">
        <v>0</v>
      </c>
      <c r="V141" s="828">
        <v>0</v>
      </c>
      <c r="W141" s="828" t="s">
        <v>122</v>
      </c>
      <c r="X141" s="826"/>
      <c r="Y141" s="825">
        <v>360</v>
      </c>
      <c r="Z141" s="829">
        <v>0</v>
      </c>
      <c r="AA141" s="825">
        <v>0</v>
      </c>
      <c r="AB141" s="826">
        <v>0</v>
      </c>
      <c r="AC141" s="825">
        <v>0</v>
      </c>
      <c r="AD141" s="826">
        <v>0</v>
      </c>
      <c r="AE141" s="825">
        <v>0</v>
      </c>
      <c r="AF141" s="826">
        <v>0</v>
      </c>
      <c r="AG141" s="825">
        <v>0</v>
      </c>
      <c r="AH141" s="826">
        <v>0</v>
      </c>
      <c r="AI141" s="825">
        <v>0</v>
      </c>
      <c r="AJ141" s="826">
        <v>0</v>
      </c>
    </row>
    <row r="142" spans="1:36" s="830" customFormat="1">
      <c r="A142" s="821" t="str">
        <f t="shared" si="6"/>
        <v xml:space="preserve">1000 CC, 360 Lease, </v>
      </c>
      <c r="B142" s="821">
        <f t="shared" si="7"/>
        <v>42</v>
      </c>
      <c r="C142" s="821"/>
      <c r="D142" s="821"/>
      <c r="E142" s="823">
        <v>1000</v>
      </c>
      <c r="F142" s="824">
        <v>0</v>
      </c>
      <c r="G142" s="825">
        <v>0</v>
      </c>
      <c r="H142" s="825">
        <v>0</v>
      </c>
      <c r="I142" s="826">
        <v>0</v>
      </c>
      <c r="J142" s="826"/>
      <c r="K142" s="826"/>
      <c r="L142" s="826"/>
      <c r="M142" s="826"/>
      <c r="N142" s="826"/>
      <c r="O142" s="826"/>
      <c r="P142" s="826"/>
      <c r="Q142" s="827">
        <v>0</v>
      </c>
      <c r="R142" s="828">
        <v>0</v>
      </c>
      <c r="S142" s="828">
        <v>0</v>
      </c>
      <c r="T142" s="828">
        <v>0</v>
      </c>
      <c r="U142" s="828">
        <v>0</v>
      </c>
      <c r="V142" s="828">
        <v>0</v>
      </c>
      <c r="W142" s="828" t="s">
        <v>122</v>
      </c>
      <c r="X142" s="826"/>
      <c r="Y142" s="825">
        <v>360</v>
      </c>
      <c r="Z142" s="829">
        <v>0</v>
      </c>
      <c r="AA142" s="825">
        <v>0</v>
      </c>
      <c r="AB142" s="826">
        <v>0</v>
      </c>
      <c r="AC142" s="825">
        <v>0</v>
      </c>
      <c r="AD142" s="826">
        <v>0</v>
      </c>
      <c r="AE142" s="825">
        <v>0</v>
      </c>
      <c r="AF142" s="826">
        <v>0</v>
      </c>
      <c r="AG142" s="825">
        <v>0</v>
      </c>
      <c r="AH142" s="826">
        <v>0</v>
      </c>
      <c r="AI142" s="825">
        <v>0</v>
      </c>
      <c r="AJ142" s="826">
        <v>0</v>
      </c>
    </row>
    <row r="143" spans="1:36" s="830" customFormat="1" collapsed="1">
      <c r="A143" s="821" t="str">
        <f t="shared" si="6"/>
        <v xml:space="preserve">-1 % 60M, -1 % 72M, 360 Lease, </v>
      </c>
      <c r="B143" s="821">
        <f t="shared" si="7"/>
        <v>43</v>
      </c>
      <c r="C143" s="822"/>
      <c r="D143" s="821"/>
      <c r="E143" s="823">
        <v>0</v>
      </c>
      <c r="F143" s="824">
        <v>0</v>
      </c>
      <c r="G143" s="825">
        <v>0</v>
      </c>
      <c r="H143" s="825">
        <v>0</v>
      </c>
      <c r="I143" s="826">
        <v>0</v>
      </c>
      <c r="J143" s="826"/>
      <c r="K143" s="826"/>
      <c r="L143" s="826"/>
      <c r="M143" s="826"/>
      <c r="N143" s="826"/>
      <c r="O143" s="826"/>
      <c r="P143" s="826"/>
      <c r="Q143" s="827">
        <v>0</v>
      </c>
      <c r="R143" s="828">
        <v>-0.01</v>
      </c>
      <c r="S143" s="828">
        <v>-0.01</v>
      </c>
      <c r="T143" s="828">
        <v>-0.01</v>
      </c>
      <c r="U143" s="828">
        <v>-0.01</v>
      </c>
      <c r="V143" s="828">
        <v>-0.01</v>
      </c>
      <c r="W143" s="828" t="s">
        <v>122</v>
      </c>
      <c r="X143" s="826"/>
      <c r="Y143" s="825">
        <v>360</v>
      </c>
      <c r="Z143" s="829">
        <v>0</v>
      </c>
      <c r="AA143" s="825">
        <v>0</v>
      </c>
      <c r="AB143" s="826">
        <v>0</v>
      </c>
      <c r="AC143" s="825">
        <v>0</v>
      </c>
      <c r="AD143" s="826">
        <v>0</v>
      </c>
      <c r="AE143" s="825">
        <v>0</v>
      </c>
      <c r="AF143" s="826">
        <v>0</v>
      </c>
      <c r="AG143" s="825">
        <v>0</v>
      </c>
      <c r="AH143" s="826">
        <v>0</v>
      </c>
      <c r="AI143" s="825">
        <v>0</v>
      </c>
      <c r="AJ143" s="826">
        <v>0</v>
      </c>
    </row>
    <row r="144" spans="1:36" s="830" customFormat="1">
      <c r="A144" s="821" t="str">
        <f t="shared" si="6"/>
        <v xml:space="preserve">-2 % 60M, -2 % 72M, 360 Lease, </v>
      </c>
      <c r="B144" s="821">
        <f t="shared" si="7"/>
        <v>44</v>
      </c>
      <c r="C144" s="821"/>
      <c r="D144" s="821"/>
      <c r="E144" s="823">
        <v>0</v>
      </c>
      <c r="F144" s="824">
        <v>0</v>
      </c>
      <c r="G144" s="825">
        <v>0</v>
      </c>
      <c r="H144" s="825">
        <v>0</v>
      </c>
      <c r="I144" s="826">
        <v>0</v>
      </c>
      <c r="J144" s="826"/>
      <c r="K144" s="826"/>
      <c r="L144" s="826"/>
      <c r="M144" s="826"/>
      <c r="N144" s="826"/>
      <c r="O144" s="826"/>
      <c r="P144" s="826"/>
      <c r="Q144" s="827">
        <v>0</v>
      </c>
      <c r="R144" s="828">
        <v>-0.02</v>
      </c>
      <c r="S144" s="828">
        <v>-0.02</v>
      </c>
      <c r="T144" s="828">
        <v>-0.02</v>
      </c>
      <c r="U144" s="828">
        <v>-0.02</v>
      </c>
      <c r="V144" s="828">
        <v>-0.02</v>
      </c>
      <c r="W144" s="828" t="s">
        <v>122</v>
      </c>
      <c r="X144" s="826"/>
      <c r="Y144" s="825">
        <v>360</v>
      </c>
      <c r="Z144" s="829">
        <v>0</v>
      </c>
      <c r="AA144" s="825">
        <v>0</v>
      </c>
      <c r="AB144" s="826">
        <v>0</v>
      </c>
      <c r="AC144" s="825">
        <v>0</v>
      </c>
      <c r="AD144" s="826">
        <v>0</v>
      </c>
      <c r="AE144" s="825">
        <v>0</v>
      </c>
      <c r="AF144" s="826">
        <v>0</v>
      </c>
      <c r="AG144" s="825">
        <v>0</v>
      </c>
      <c r="AH144" s="826">
        <v>0</v>
      </c>
      <c r="AI144" s="825">
        <v>0</v>
      </c>
      <c r="AJ144" s="826">
        <v>0</v>
      </c>
    </row>
    <row r="145" spans="1:36" s="830" customFormat="1" collapsed="1">
      <c r="A145" s="821" t="str">
        <f t="shared" si="6"/>
        <v xml:space="preserve">-3 % 60M, -3 % 72M, 360 Lease, </v>
      </c>
      <c r="B145" s="821">
        <f t="shared" si="7"/>
        <v>45</v>
      </c>
      <c r="C145" s="822"/>
      <c r="D145" s="821"/>
      <c r="E145" s="823">
        <v>0</v>
      </c>
      <c r="F145" s="824">
        <v>0</v>
      </c>
      <c r="G145" s="825">
        <v>0</v>
      </c>
      <c r="H145" s="825">
        <v>0</v>
      </c>
      <c r="I145" s="826">
        <v>0</v>
      </c>
      <c r="J145" s="826"/>
      <c r="K145" s="826"/>
      <c r="L145" s="826"/>
      <c r="M145" s="826"/>
      <c r="N145" s="826"/>
      <c r="O145" s="826"/>
      <c r="P145" s="826"/>
      <c r="Q145" s="827">
        <v>0</v>
      </c>
      <c r="R145" s="828">
        <v>-0.03</v>
      </c>
      <c r="S145" s="828">
        <v>-0.03</v>
      </c>
      <c r="T145" s="828">
        <v>-0.03</v>
      </c>
      <c r="U145" s="828">
        <v>-0.03</v>
      </c>
      <c r="V145" s="828">
        <v>-0.03</v>
      </c>
      <c r="W145" s="828" t="s">
        <v>122</v>
      </c>
      <c r="X145" s="826"/>
      <c r="Y145" s="825">
        <v>360</v>
      </c>
      <c r="Z145" s="829">
        <v>0</v>
      </c>
      <c r="AA145" s="825">
        <v>0</v>
      </c>
      <c r="AB145" s="826">
        <v>0</v>
      </c>
      <c r="AC145" s="825">
        <v>0</v>
      </c>
      <c r="AD145" s="826">
        <v>0</v>
      </c>
      <c r="AE145" s="825">
        <v>0</v>
      </c>
      <c r="AF145" s="826">
        <v>0</v>
      </c>
      <c r="AG145" s="825">
        <v>0</v>
      </c>
      <c r="AH145" s="826">
        <v>0</v>
      </c>
      <c r="AI145" s="825">
        <v>0</v>
      </c>
      <c r="AJ145" s="826">
        <v>0</v>
      </c>
    </row>
    <row r="146" spans="1:36" s="830" customFormat="1">
      <c r="A146" s="821" t="str">
        <f t="shared" si="6"/>
        <v xml:space="preserve">-4 % 60M, -4 % 72M, 360 Lease, </v>
      </c>
      <c r="B146" s="821">
        <f t="shared" si="7"/>
        <v>46</v>
      </c>
      <c r="C146" s="821"/>
      <c r="D146" s="821"/>
      <c r="E146" s="823">
        <v>0</v>
      </c>
      <c r="F146" s="824">
        <v>0</v>
      </c>
      <c r="G146" s="825">
        <v>0</v>
      </c>
      <c r="H146" s="825">
        <v>0</v>
      </c>
      <c r="I146" s="826">
        <v>0</v>
      </c>
      <c r="J146" s="826"/>
      <c r="K146" s="826"/>
      <c r="L146" s="826"/>
      <c r="M146" s="826"/>
      <c r="N146" s="826"/>
      <c r="O146" s="826"/>
      <c r="P146" s="826"/>
      <c r="Q146" s="827">
        <v>0</v>
      </c>
      <c r="R146" s="828">
        <v>-0.04</v>
      </c>
      <c r="S146" s="828">
        <v>-0.04</v>
      </c>
      <c r="T146" s="828">
        <v>-0.04</v>
      </c>
      <c r="U146" s="828">
        <v>-0.04</v>
      </c>
      <c r="V146" s="828">
        <v>-0.04</v>
      </c>
      <c r="W146" s="828" t="s">
        <v>122</v>
      </c>
      <c r="X146" s="826"/>
      <c r="Y146" s="825">
        <v>360</v>
      </c>
      <c r="Z146" s="829">
        <v>0</v>
      </c>
      <c r="AA146" s="825">
        <v>0</v>
      </c>
      <c r="AB146" s="826">
        <v>0</v>
      </c>
      <c r="AC146" s="825">
        <v>0</v>
      </c>
      <c r="AD146" s="826">
        <v>0</v>
      </c>
      <c r="AE146" s="825">
        <v>0</v>
      </c>
      <c r="AF146" s="826">
        <v>0</v>
      </c>
      <c r="AG146" s="825">
        <v>0</v>
      </c>
      <c r="AH146" s="826">
        <v>0</v>
      </c>
      <c r="AI146" s="825">
        <v>0</v>
      </c>
      <c r="AJ146" s="826">
        <v>0</v>
      </c>
    </row>
    <row r="147" spans="1:36" s="830" customFormat="1" collapsed="1">
      <c r="A147" s="821" t="str">
        <f t="shared" si="6"/>
        <v xml:space="preserve">250 CC, -360 Lease, </v>
      </c>
      <c r="B147" s="821">
        <f t="shared" si="7"/>
        <v>47</v>
      </c>
      <c r="C147" s="822"/>
      <c r="D147" s="821"/>
      <c r="E147" s="823">
        <v>250</v>
      </c>
      <c r="F147" s="824">
        <v>0</v>
      </c>
      <c r="G147" s="825">
        <v>0</v>
      </c>
      <c r="H147" s="825">
        <v>0</v>
      </c>
      <c r="I147" s="826">
        <v>0</v>
      </c>
      <c r="J147" s="826"/>
      <c r="K147" s="826"/>
      <c r="L147" s="826"/>
      <c r="M147" s="826"/>
      <c r="N147" s="826"/>
      <c r="O147" s="826"/>
      <c r="P147" s="826"/>
      <c r="Q147" s="827">
        <v>0</v>
      </c>
      <c r="R147" s="828">
        <v>0</v>
      </c>
      <c r="S147" s="828">
        <v>0</v>
      </c>
      <c r="T147" s="828">
        <v>0</v>
      </c>
      <c r="U147" s="828">
        <v>0</v>
      </c>
      <c r="V147" s="828">
        <v>0</v>
      </c>
      <c r="W147" s="828" t="s">
        <v>122</v>
      </c>
      <c r="X147" s="826"/>
      <c r="Y147" s="825">
        <v>-360</v>
      </c>
      <c r="Z147" s="829">
        <v>0</v>
      </c>
      <c r="AA147" s="825">
        <v>0</v>
      </c>
      <c r="AB147" s="826">
        <v>0</v>
      </c>
      <c r="AC147" s="825">
        <v>0</v>
      </c>
      <c r="AD147" s="826">
        <v>0</v>
      </c>
      <c r="AE147" s="825">
        <v>0</v>
      </c>
      <c r="AF147" s="826">
        <v>0</v>
      </c>
      <c r="AG147" s="825">
        <v>0</v>
      </c>
      <c r="AH147" s="826">
        <v>0</v>
      </c>
      <c r="AI147" s="825">
        <v>0</v>
      </c>
      <c r="AJ147" s="826">
        <v>0</v>
      </c>
    </row>
    <row r="148" spans="1:36" s="830" customFormat="1">
      <c r="A148" s="821" t="str">
        <f t="shared" si="6"/>
        <v xml:space="preserve">500 CC, -360 Lease, </v>
      </c>
      <c r="B148" s="821">
        <f t="shared" si="7"/>
        <v>48</v>
      </c>
      <c r="C148" s="821"/>
      <c r="D148" s="821"/>
      <c r="E148" s="823">
        <v>500</v>
      </c>
      <c r="F148" s="824">
        <v>0</v>
      </c>
      <c r="G148" s="825">
        <v>0</v>
      </c>
      <c r="H148" s="825">
        <v>0</v>
      </c>
      <c r="I148" s="826">
        <v>0</v>
      </c>
      <c r="J148" s="826"/>
      <c r="K148" s="826"/>
      <c r="L148" s="826"/>
      <c r="M148" s="826"/>
      <c r="N148" s="826"/>
      <c r="O148" s="826"/>
      <c r="P148" s="826"/>
      <c r="Q148" s="827">
        <v>0</v>
      </c>
      <c r="R148" s="828">
        <v>0</v>
      </c>
      <c r="S148" s="828">
        <v>0</v>
      </c>
      <c r="T148" s="828">
        <v>0</v>
      </c>
      <c r="U148" s="828">
        <v>0</v>
      </c>
      <c r="V148" s="828">
        <v>0</v>
      </c>
      <c r="W148" s="828" t="s">
        <v>122</v>
      </c>
      <c r="X148" s="826"/>
      <c r="Y148" s="825">
        <v>-360</v>
      </c>
      <c r="Z148" s="829">
        <v>0</v>
      </c>
      <c r="AA148" s="825">
        <v>0</v>
      </c>
      <c r="AB148" s="826">
        <v>0</v>
      </c>
      <c r="AC148" s="825">
        <v>0</v>
      </c>
      <c r="AD148" s="826">
        <v>0</v>
      </c>
      <c r="AE148" s="825">
        <v>0</v>
      </c>
      <c r="AF148" s="826">
        <v>0</v>
      </c>
      <c r="AG148" s="825">
        <v>0</v>
      </c>
      <c r="AH148" s="826">
        <v>0</v>
      </c>
      <c r="AI148" s="825">
        <v>0</v>
      </c>
      <c r="AJ148" s="826">
        <v>0</v>
      </c>
    </row>
    <row r="149" spans="1:36" s="830" customFormat="1" collapsed="1">
      <c r="A149" s="821" t="str">
        <f t="shared" si="6"/>
        <v xml:space="preserve">750 CC, -360 Lease, </v>
      </c>
      <c r="B149" s="821">
        <f t="shared" si="7"/>
        <v>49</v>
      </c>
      <c r="C149" s="822"/>
      <c r="D149" s="821"/>
      <c r="E149" s="823">
        <v>750</v>
      </c>
      <c r="F149" s="824">
        <v>0</v>
      </c>
      <c r="G149" s="825">
        <v>0</v>
      </c>
      <c r="H149" s="825">
        <v>0</v>
      </c>
      <c r="I149" s="826">
        <v>0</v>
      </c>
      <c r="J149" s="826"/>
      <c r="K149" s="826"/>
      <c r="L149" s="826"/>
      <c r="M149" s="826"/>
      <c r="N149" s="826"/>
      <c r="O149" s="826"/>
      <c r="P149" s="826"/>
      <c r="Q149" s="827">
        <v>0</v>
      </c>
      <c r="R149" s="828">
        <v>0</v>
      </c>
      <c r="S149" s="828">
        <v>0</v>
      </c>
      <c r="T149" s="828">
        <v>0</v>
      </c>
      <c r="U149" s="828">
        <v>0</v>
      </c>
      <c r="V149" s="828">
        <v>0</v>
      </c>
      <c r="W149" s="828" t="s">
        <v>122</v>
      </c>
      <c r="X149" s="826"/>
      <c r="Y149" s="825">
        <v>-360</v>
      </c>
      <c r="Z149" s="829">
        <v>0</v>
      </c>
      <c r="AA149" s="825">
        <v>0</v>
      </c>
      <c r="AB149" s="826">
        <v>0</v>
      </c>
      <c r="AC149" s="825">
        <v>0</v>
      </c>
      <c r="AD149" s="826">
        <v>0</v>
      </c>
      <c r="AE149" s="825">
        <v>0</v>
      </c>
      <c r="AF149" s="826">
        <v>0</v>
      </c>
      <c r="AG149" s="825">
        <v>0</v>
      </c>
      <c r="AH149" s="826">
        <v>0</v>
      </c>
      <c r="AI149" s="825">
        <v>0</v>
      </c>
      <c r="AJ149" s="826">
        <v>0</v>
      </c>
    </row>
    <row r="150" spans="1:36" s="830" customFormat="1">
      <c r="A150" s="821" t="str">
        <f t="shared" si="6"/>
        <v xml:space="preserve">1000 CC, -360 Lease, </v>
      </c>
      <c r="B150" s="821">
        <f t="shared" si="7"/>
        <v>50</v>
      </c>
      <c r="C150" s="821"/>
      <c r="D150" s="821"/>
      <c r="E150" s="823">
        <v>1000</v>
      </c>
      <c r="F150" s="824">
        <v>0</v>
      </c>
      <c r="G150" s="825">
        <v>0</v>
      </c>
      <c r="H150" s="825">
        <v>0</v>
      </c>
      <c r="I150" s="826">
        <v>0</v>
      </c>
      <c r="J150" s="826"/>
      <c r="K150" s="826"/>
      <c r="L150" s="826"/>
      <c r="M150" s="826"/>
      <c r="N150" s="826"/>
      <c r="O150" s="826"/>
      <c r="P150" s="826"/>
      <c r="Q150" s="827">
        <v>0</v>
      </c>
      <c r="R150" s="828">
        <v>0</v>
      </c>
      <c r="S150" s="828">
        <v>0</v>
      </c>
      <c r="T150" s="828">
        <v>0</v>
      </c>
      <c r="U150" s="828">
        <v>0</v>
      </c>
      <c r="V150" s="828">
        <v>0</v>
      </c>
      <c r="W150" s="828" t="s">
        <v>122</v>
      </c>
      <c r="X150" s="826"/>
      <c r="Y150" s="825">
        <v>-360</v>
      </c>
      <c r="Z150" s="829">
        <v>0</v>
      </c>
      <c r="AA150" s="825">
        <v>0</v>
      </c>
      <c r="AB150" s="826">
        <v>0</v>
      </c>
      <c r="AC150" s="825">
        <v>0</v>
      </c>
      <c r="AD150" s="826">
        <v>0</v>
      </c>
      <c r="AE150" s="825">
        <v>0</v>
      </c>
      <c r="AF150" s="826">
        <v>0</v>
      </c>
      <c r="AG150" s="825">
        <v>0</v>
      </c>
      <c r="AH150" s="826">
        <v>0</v>
      </c>
      <c r="AI150" s="825">
        <v>0</v>
      </c>
      <c r="AJ150" s="826">
        <v>0</v>
      </c>
    </row>
    <row r="151" spans="1:36" s="830" customFormat="1" collapsed="1">
      <c r="A151" s="821" t="str">
        <f t="shared" si="6"/>
        <v xml:space="preserve">-1 % 60M, -1 % 72M, -360 Lease, </v>
      </c>
      <c r="B151" s="821">
        <f t="shared" si="7"/>
        <v>51</v>
      </c>
      <c r="C151" s="822"/>
      <c r="D151" s="821"/>
      <c r="E151" s="823">
        <v>0</v>
      </c>
      <c r="F151" s="824">
        <v>0</v>
      </c>
      <c r="G151" s="825">
        <v>0</v>
      </c>
      <c r="H151" s="825">
        <v>0</v>
      </c>
      <c r="I151" s="826">
        <v>0</v>
      </c>
      <c r="J151" s="826"/>
      <c r="K151" s="826"/>
      <c r="L151" s="826"/>
      <c r="M151" s="826"/>
      <c r="N151" s="826"/>
      <c r="O151" s="826"/>
      <c r="P151" s="826"/>
      <c r="Q151" s="827">
        <v>0</v>
      </c>
      <c r="R151" s="828">
        <v>-0.01</v>
      </c>
      <c r="S151" s="828">
        <v>-0.01</v>
      </c>
      <c r="T151" s="828">
        <v>-0.01</v>
      </c>
      <c r="U151" s="828">
        <v>-0.01</v>
      </c>
      <c r="V151" s="828">
        <v>-0.01</v>
      </c>
      <c r="W151" s="828" t="s">
        <v>122</v>
      </c>
      <c r="X151" s="826"/>
      <c r="Y151" s="825">
        <v>-360</v>
      </c>
      <c r="Z151" s="829">
        <v>0</v>
      </c>
      <c r="AA151" s="825">
        <v>0</v>
      </c>
      <c r="AB151" s="826">
        <v>0</v>
      </c>
      <c r="AC151" s="825">
        <v>0</v>
      </c>
      <c r="AD151" s="826">
        <v>0</v>
      </c>
      <c r="AE151" s="825">
        <v>0</v>
      </c>
      <c r="AF151" s="826">
        <v>0</v>
      </c>
      <c r="AG151" s="825">
        <v>0</v>
      </c>
      <c r="AH151" s="826">
        <v>0</v>
      </c>
      <c r="AI151" s="825">
        <v>0</v>
      </c>
      <c r="AJ151" s="826">
        <v>0</v>
      </c>
    </row>
    <row r="152" spans="1:36" s="830" customFormat="1">
      <c r="A152" s="821" t="str">
        <f t="shared" si="6"/>
        <v xml:space="preserve">-2 % 60M, -2 % 72M, -360 Lease, </v>
      </c>
      <c r="B152" s="821">
        <f t="shared" si="7"/>
        <v>52</v>
      </c>
      <c r="C152" s="821"/>
      <c r="D152" s="821"/>
      <c r="E152" s="823">
        <v>0</v>
      </c>
      <c r="F152" s="824">
        <v>0</v>
      </c>
      <c r="G152" s="825">
        <v>0</v>
      </c>
      <c r="H152" s="825">
        <v>0</v>
      </c>
      <c r="I152" s="826">
        <v>0</v>
      </c>
      <c r="J152" s="826"/>
      <c r="K152" s="826"/>
      <c r="L152" s="826"/>
      <c r="M152" s="826"/>
      <c r="N152" s="826"/>
      <c r="O152" s="826"/>
      <c r="P152" s="826"/>
      <c r="Q152" s="827">
        <v>0</v>
      </c>
      <c r="R152" s="828">
        <v>-0.02</v>
      </c>
      <c r="S152" s="828">
        <v>-0.02</v>
      </c>
      <c r="T152" s="828">
        <v>-0.02</v>
      </c>
      <c r="U152" s="828">
        <v>-0.02</v>
      </c>
      <c r="V152" s="828">
        <v>-0.02</v>
      </c>
      <c r="W152" s="828" t="s">
        <v>122</v>
      </c>
      <c r="X152" s="826"/>
      <c r="Y152" s="825">
        <v>-360</v>
      </c>
      <c r="Z152" s="829">
        <v>0</v>
      </c>
      <c r="AA152" s="825">
        <v>0</v>
      </c>
      <c r="AB152" s="826">
        <v>0</v>
      </c>
      <c r="AC152" s="825">
        <v>0</v>
      </c>
      <c r="AD152" s="826">
        <v>0</v>
      </c>
      <c r="AE152" s="825">
        <v>0</v>
      </c>
      <c r="AF152" s="826">
        <v>0</v>
      </c>
      <c r="AG152" s="825">
        <v>0</v>
      </c>
      <c r="AH152" s="826">
        <v>0</v>
      </c>
      <c r="AI152" s="825">
        <v>0</v>
      </c>
      <c r="AJ152" s="826">
        <v>0</v>
      </c>
    </row>
    <row r="153" spans="1:36" s="830" customFormat="1" collapsed="1">
      <c r="A153" s="821" t="str">
        <f t="shared" si="6"/>
        <v xml:space="preserve">-3 % 60M, -3 % 72M, -360 Lease, </v>
      </c>
      <c r="B153" s="821">
        <f t="shared" si="7"/>
        <v>53</v>
      </c>
      <c r="C153" s="822"/>
      <c r="D153" s="821"/>
      <c r="E153" s="823">
        <v>0</v>
      </c>
      <c r="F153" s="824">
        <v>0</v>
      </c>
      <c r="G153" s="825">
        <v>0</v>
      </c>
      <c r="H153" s="825">
        <v>0</v>
      </c>
      <c r="I153" s="826">
        <v>0</v>
      </c>
      <c r="J153" s="826"/>
      <c r="K153" s="826"/>
      <c r="L153" s="826"/>
      <c r="M153" s="826"/>
      <c r="N153" s="826"/>
      <c r="O153" s="826"/>
      <c r="P153" s="826"/>
      <c r="Q153" s="827">
        <v>0</v>
      </c>
      <c r="R153" s="828">
        <v>-0.03</v>
      </c>
      <c r="S153" s="828">
        <v>-0.03</v>
      </c>
      <c r="T153" s="828">
        <v>-0.03</v>
      </c>
      <c r="U153" s="828">
        <v>-0.03</v>
      </c>
      <c r="V153" s="828">
        <v>-0.03</v>
      </c>
      <c r="W153" s="828" t="s">
        <v>122</v>
      </c>
      <c r="X153" s="826"/>
      <c r="Y153" s="825">
        <v>-360</v>
      </c>
      <c r="Z153" s="829">
        <v>0</v>
      </c>
      <c r="AA153" s="825">
        <v>0</v>
      </c>
      <c r="AB153" s="826">
        <v>0</v>
      </c>
      <c r="AC153" s="825">
        <v>0</v>
      </c>
      <c r="AD153" s="826">
        <v>0</v>
      </c>
      <c r="AE153" s="825">
        <v>0</v>
      </c>
      <c r="AF153" s="826">
        <v>0</v>
      </c>
      <c r="AG153" s="825">
        <v>0</v>
      </c>
      <c r="AH153" s="826">
        <v>0</v>
      </c>
      <c r="AI153" s="825">
        <v>0</v>
      </c>
      <c r="AJ153" s="826">
        <v>0</v>
      </c>
    </row>
    <row r="154" spans="1:36" s="830" customFormat="1">
      <c r="A154" s="821" t="str">
        <f t="shared" si="6"/>
        <v xml:space="preserve">-4 % 60M, -4 % 72M, -360 Lease, </v>
      </c>
      <c r="B154" s="821">
        <f t="shared" si="7"/>
        <v>54</v>
      </c>
      <c r="C154" s="821"/>
      <c r="D154" s="821"/>
      <c r="E154" s="823">
        <v>0</v>
      </c>
      <c r="F154" s="824">
        <v>0</v>
      </c>
      <c r="G154" s="825">
        <v>0</v>
      </c>
      <c r="H154" s="825">
        <v>0</v>
      </c>
      <c r="I154" s="826">
        <v>0</v>
      </c>
      <c r="J154" s="826"/>
      <c r="K154" s="826"/>
      <c r="L154" s="826"/>
      <c r="M154" s="826"/>
      <c r="N154" s="826"/>
      <c r="O154" s="826"/>
      <c r="P154" s="826"/>
      <c r="Q154" s="827">
        <v>0</v>
      </c>
      <c r="R154" s="828">
        <v>-0.04</v>
      </c>
      <c r="S154" s="828">
        <v>-0.04</v>
      </c>
      <c r="T154" s="828">
        <v>-0.04</v>
      </c>
      <c r="U154" s="828">
        <v>-0.04</v>
      </c>
      <c r="V154" s="828">
        <v>-0.04</v>
      </c>
      <c r="W154" s="828" t="s">
        <v>122</v>
      </c>
      <c r="X154" s="826"/>
      <c r="Y154" s="825">
        <v>-360</v>
      </c>
      <c r="Z154" s="829">
        <v>0</v>
      </c>
      <c r="AA154" s="825">
        <v>0</v>
      </c>
      <c r="AB154" s="826">
        <v>0</v>
      </c>
      <c r="AC154" s="825">
        <v>0</v>
      </c>
      <c r="AD154" s="826">
        <v>0</v>
      </c>
      <c r="AE154" s="825">
        <v>0</v>
      </c>
      <c r="AF154" s="826">
        <v>0</v>
      </c>
      <c r="AG154" s="825">
        <v>0</v>
      </c>
      <c r="AH154" s="826">
        <v>0</v>
      </c>
      <c r="AI154" s="825">
        <v>0</v>
      </c>
      <c r="AJ154" s="826">
        <v>0</v>
      </c>
    </row>
    <row r="155" spans="1:36" s="830" customFormat="1" collapsed="1">
      <c r="A155" s="821" t="str">
        <f t="shared" si="6"/>
        <v xml:space="preserve">500 CC, 500 Combo, 360 Lease, </v>
      </c>
      <c r="B155" s="821">
        <f t="shared" si="7"/>
        <v>55</v>
      </c>
      <c r="C155" s="822"/>
      <c r="D155" s="821"/>
      <c r="E155" s="823">
        <v>500</v>
      </c>
      <c r="F155" s="824">
        <v>0</v>
      </c>
      <c r="G155" s="825">
        <v>0</v>
      </c>
      <c r="H155" s="825">
        <v>0</v>
      </c>
      <c r="I155" s="826">
        <v>0</v>
      </c>
      <c r="J155" s="826"/>
      <c r="K155" s="826"/>
      <c r="L155" s="826"/>
      <c r="M155" s="826"/>
      <c r="N155" s="826"/>
      <c r="O155" s="826"/>
      <c r="P155" s="826"/>
      <c r="Q155" s="827">
        <v>500</v>
      </c>
      <c r="R155" s="828">
        <v>0</v>
      </c>
      <c r="S155" s="828">
        <v>0</v>
      </c>
      <c r="T155" s="828">
        <v>0</v>
      </c>
      <c r="U155" s="828">
        <v>0</v>
      </c>
      <c r="V155" s="828">
        <v>0</v>
      </c>
      <c r="W155" s="828" t="s">
        <v>122</v>
      </c>
      <c r="X155" s="826"/>
      <c r="Y155" s="825">
        <v>360</v>
      </c>
      <c r="Z155" s="829">
        <v>0</v>
      </c>
      <c r="AA155" s="825">
        <v>0</v>
      </c>
      <c r="AB155" s="826">
        <v>0</v>
      </c>
      <c r="AC155" s="825">
        <v>0</v>
      </c>
      <c r="AD155" s="826">
        <v>0</v>
      </c>
      <c r="AE155" s="825">
        <v>0</v>
      </c>
      <c r="AF155" s="826">
        <v>0</v>
      </c>
      <c r="AG155" s="825">
        <v>0</v>
      </c>
      <c r="AH155" s="826">
        <v>0</v>
      </c>
      <c r="AI155" s="825">
        <v>0</v>
      </c>
      <c r="AJ155" s="826">
        <v>0</v>
      </c>
    </row>
    <row r="156" spans="1:36" s="830" customFormat="1">
      <c r="A156" s="821" t="str">
        <f t="shared" si="6"/>
        <v xml:space="preserve">1000 CC, 1000 Combo, 720 Lease, </v>
      </c>
      <c r="B156" s="821">
        <f t="shared" si="7"/>
        <v>56</v>
      </c>
      <c r="C156" s="821"/>
      <c r="D156" s="821"/>
      <c r="E156" s="823">
        <v>1000</v>
      </c>
      <c r="F156" s="824">
        <v>0</v>
      </c>
      <c r="G156" s="825">
        <v>0</v>
      </c>
      <c r="H156" s="825">
        <v>0</v>
      </c>
      <c r="I156" s="826">
        <v>0</v>
      </c>
      <c r="J156" s="826"/>
      <c r="K156" s="826"/>
      <c r="L156" s="826"/>
      <c r="M156" s="826"/>
      <c r="N156" s="826"/>
      <c r="O156" s="826"/>
      <c r="P156" s="826"/>
      <c r="Q156" s="827">
        <v>1000</v>
      </c>
      <c r="R156" s="828">
        <v>0</v>
      </c>
      <c r="S156" s="828">
        <v>0</v>
      </c>
      <c r="T156" s="828">
        <v>0</v>
      </c>
      <c r="U156" s="828">
        <v>0</v>
      </c>
      <c r="V156" s="828">
        <v>0</v>
      </c>
      <c r="W156" s="828" t="s">
        <v>122</v>
      </c>
      <c r="X156" s="826"/>
      <c r="Y156" s="825">
        <v>720</v>
      </c>
      <c r="Z156" s="829">
        <v>0</v>
      </c>
      <c r="AA156" s="825">
        <v>0</v>
      </c>
      <c r="AB156" s="826">
        <v>0</v>
      </c>
      <c r="AC156" s="825">
        <v>0</v>
      </c>
      <c r="AD156" s="826">
        <v>0</v>
      </c>
      <c r="AE156" s="825">
        <v>0</v>
      </c>
      <c r="AF156" s="826">
        <v>0</v>
      </c>
      <c r="AG156" s="825">
        <v>0</v>
      </c>
      <c r="AH156" s="826">
        <v>0</v>
      </c>
      <c r="AI156" s="825">
        <v>0</v>
      </c>
      <c r="AJ156" s="826">
        <v>0</v>
      </c>
    </row>
    <row r="157" spans="1:36" s="830" customFormat="1" collapsed="1">
      <c r="A157" s="821" t="str">
        <f t="shared" si="6"/>
        <v xml:space="preserve">500 CC, -1 % 60M, -1 % 72M, 360 Lease, </v>
      </c>
      <c r="B157" s="821">
        <f t="shared" si="7"/>
        <v>57</v>
      </c>
      <c r="C157" s="822"/>
      <c r="D157" s="821"/>
      <c r="E157" s="823">
        <v>500</v>
      </c>
      <c r="F157" s="824">
        <v>0</v>
      </c>
      <c r="G157" s="825">
        <v>0</v>
      </c>
      <c r="H157" s="825">
        <v>0</v>
      </c>
      <c r="I157" s="826">
        <v>0</v>
      </c>
      <c r="J157" s="826"/>
      <c r="K157" s="826"/>
      <c r="L157" s="826"/>
      <c r="M157" s="826"/>
      <c r="N157" s="826"/>
      <c r="O157" s="826"/>
      <c r="P157" s="826"/>
      <c r="Q157" s="827">
        <v>0</v>
      </c>
      <c r="R157" s="828">
        <v>-0.01</v>
      </c>
      <c r="S157" s="828">
        <v>-0.01</v>
      </c>
      <c r="T157" s="828">
        <v>-0.01</v>
      </c>
      <c r="U157" s="828">
        <v>-0.01</v>
      </c>
      <c r="V157" s="828">
        <v>-0.01</v>
      </c>
      <c r="W157" s="828" t="s">
        <v>122</v>
      </c>
      <c r="X157" s="826"/>
      <c r="Y157" s="825">
        <v>360</v>
      </c>
      <c r="Z157" s="829">
        <v>0</v>
      </c>
      <c r="AA157" s="825">
        <v>0</v>
      </c>
      <c r="AB157" s="826">
        <v>0</v>
      </c>
      <c r="AC157" s="825">
        <v>0</v>
      </c>
      <c r="AD157" s="826">
        <v>0</v>
      </c>
      <c r="AE157" s="825">
        <v>0</v>
      </c>
      <c r="AF157" s="826">
        <v>0</v>
      </c>
      <c r="AG157" s="825">
        <v>0</v>
      </c>
      <c r="AH157" s="826">
        <v>0</v>
      </c>
      <c r="AI157" s="825">
        <v>0</v>
      </c>
      <c r="AJ157" s="826">
        <v>0</v>
      </c>
    </row>
    <row r="158" spans="1:36" s="830" customFormat="1">
      <c r="A158" s="821" t="str">
        <f t="shared" si="6"/>
        <v xml:space="preserve">1000 CC, -1 % 60M, -1 % 72M, 360 Lease, </v>
      </c>
      <c r="B158" s="821">
        <f t="shared" si="7"/>
        <v>58</v>
      </c>
      <c r="C158" s="821"/>
      <c r="D158" s="821"/>
      <c r="E158" s="823">
        <v>1000</v>
      </c>
      <c r="F158" s="824">
        <v>0</v>
      </c>
      <c r="G158" s="825">
        <v>0</v>
      </c>
      <c r="H158" s="825">
        <v>0</v>
      </c>
      <c r="I158" s="826">
        <v>0</v>
      </c>
      <c r="J158" s="826"/>
      <c r="K158" s="826"/>
      <c r="L158" s="826"/>
      <c r="M158" s="826"/>
      <c r="N158" s="826"/>
      <c r="O158" s="826"/>
      <c r="P158" s="826"/>
      <c r="Q158" s="827">
        <v>0</v>
      </c>
      <c r="R158" s="828">
        <v>-0.01</v>
      </c>
      <c r="S158" s="828">
        <v>-0.01</v>
      </c>
      <c r="T158" s="828">
        <v>-0.01</v>
      </c>
      <c r="U158" s="828">
        <v>-0.01</v>
      </c>
      <c r="V158" s="828">
        <v>-0.01</v>
      </c>
      <c r="W158" s="828" t="s">
        <v>122</v>
      </c>
      <c r="X158" s="826"/>
      <c r="Y158" s="825">
        <v>360</v>
      </c>
      <c r="Z158" s="829">
        <v>0</v>
      </c>
      <c r="AA158" s="825">
        <v>0</v>
      </c>
      <c r="AB158" s="826">
        <v>0</v>
      </c>
      <c r="AC158" s="825">
        <v>0</v>
      </c>
      <c r="AD158" s="826">
        <v>0</v>
      </c>
      <c r="AE158" s="825">
        <v>0</v>
      </c>
      <c r="AF158" s="826">
        <v>0</v>
      </c>
      <c r="AG158" s="825">
        <v>0</v>
      </c>
      <c r="AH158" s="826">
        <v>0</v>
      </c>
      <c r="AI158" s="825">
        <v>0</v>
      </c>
      <c r="AJ158" s="826">
        <v>0</v>
      </c>
    </row>
    <row r="159" spans="1:36" s="830" customFormat="1" collapsed="1">
      <c r="A159" s="821" t="str">
        <f t="shared" si="6"/>
        <v xml:space="preserve">250 CC, -1 % 60M, -1 % 72M, -360 Lease, </v>
      </c>
      <c r="B159" s="821">
        <f t="shared" si="7"/>
        <v>59</v>
      </c>
      <c r="C159" s="822"/>
      <c r="D159" s="821"/>
      <c r="E159" s="823">
        <v>250</v>
      </c>
      <c r="F159" s="824">
        <v>0</v>
      </c>
      <c r="G159" s="825">
        <v>0</v>
      </c>
      <c r="H159" s="825">
        <v>0</v>
      </c>
      <c r="I159" s="826">
        <v>0</v>
      </c>
      <c r="J159" s="826"/>
      <c r="K159" s="826"/>
      <c r="L159" s="826"/>
      <c r="M159" s="826"/>
      <c r="N159" s="826"/>
      <c r="O159" s="826"/>
      <c r="P159" s="826"/>
      <c r="Q159" s="827">
        <v>0</v>
      </c>
      <c r="R159" s="828">
        <v>-0.01</v>
      </c>
      <c r="S159" s="828">
        <v>-0.01</v>
      </c>
      <c r="T159" s="828">
        <v>-0.01</v>
      </c>
      <c r="U159" s="828">
        <v>-0.01</v>
      </c>
      <c r="V159" s="828">
        <v>-0.01</v>
      </c>
      <c r="W159" s="828" t="s">
        <v>122</v>
      </c>
      <c r="X159" s="826"/>
      <c r="Y159" s="825">
        <v>-360</v>
      </c>
      <c r="Z159" s="829">
        <v>0</v>
      </c>
      <c r="AA159" s="825">
        <v>0</v>
      </c>
      <c r="AB159" s="826">
        <v>0</v>
      </c>
      <c r="AC159" s="825">
        <v>0</v>
      </c>
      <c r="AD159" s="826">
        <v>0</v>
      </c>
      <c r="AE159" s="825">
        <v>0</v>
      </c>
      <c r="AF159" s="826">
        <v>0</v>
      </c>
      <c r="AG159" s="825">
        <v>0</v>
      </c>
      <c r="AH159" s="826">
        <v>0</v>
      </c>
      <c r="AI159" s="825">
        <v>0</v>
      </c>
      <c r="AJ159" s="826">
        <v>0</v>
      </c>
    </row>
    <row r="160" spans="1:36" s="830" customFormat="1">
      <c r="A160" s="821" t="str">
        <f t="shared" si="6"/>
        <v xml:space="preserve">500 CC, -1 % 60M, -1 % 72M, -360 Lease, </v>
      </c>
      <c r="B160" s="821">
        <f t="shared" si="7"/>
        <v>60</v>
      </c>
      <c r="C160" s="821"/>
      <c r="D160" s="821"/>
      <c r="E160" s="823">
        <v>500</v>
      </c>
      <c r="F160" s="824">
        <v>0</v>
      </c>
      <c r="G160" s="825">
        <v>0</v>
      </c>
      <c r="H160" s="825">
        <v>0</v>
      </c>
      <c r="I160" s="826">
        <v>0</v>
      </c>
      <c r="J160" s="826"/>
      <c r="K160" s="826"/>
      <c r="L160" s="826"/>
      <c r="M160" s="826"/>
      <c r="N160" s="826"/>
      <c r="O160" s="826"/>
      <c r="P160" s="826"/>
      <c r="Q160" s="827">
        <v>0</v>
      </c>
      <c r="R160" s="828">
        <v>-0.01</v>
      </c>
      <c r="S160" s="828">
        <v>-0.01</v>
      </c>
      <c r="T160" s="828">
        <v>-0.01</v>
      </c>
      <c r="U160" s="828">
        <v>-0.01</v>
      </c>
      <c r="V160" s="828">
        <v>-0.01</v>
      </c>
      <c r="W160" s="828" t="s">
        <v>122</v>
      </c>
      <c r="X160" s="826"/>
      <c r="Y160" s="825">
        <v>-360</v>
      </c>
      <c r="Z160" s="829">
        <v>0</v>
      </c>
      <c r="AA160" s="825">
        <v>0</v>
      </c>
      <c r="AB160" s="826">
        <v>0</v>
      </c>
      <c r="AC160" s="825">
        <v>0</v>
      </c>
      <c r="AD160" s="826">
        <v>0</v>
      </c>
      <c r="AE160" s="825">
        <v>0</v>
      </c>
      <c r="AF160" s="826">
        <v>0</v>
      </c>
      <c r="AG160" s="825">
        <v>0</v>
      </c>
      <c r="AH160" s="826">
        <v>0</v>
      </c>
      <c r="AI160" s="825">
        <v>0</v>
      </c>
      <c r="AJ160" s="826">
        <v>0</v>
      </c>
    </row>
    <row r="161" spans="1:36" s="830" customFormat="1" collapsed="1">
      <c r="A161" s="821" t="str">
        <f t="shared" si="6"/>
        <v xml:space="preserve">750 CC, -1 % 60M, -1 % 72M, -360 Lease, </v>
      </c>
      <c r="B161" s="821">
        <f t="shared" si="7"/>
        <v>61</v>
      </c>
      <c r="C161" s="822"/>
      <c r="D161" s="821"/>
      <c r="E161" s="823">
        <v>750</v>
      </c>
      <c r="F161" s="824">
        <v>0</v>
      </c>
      <c r="G161" s="825">
        <v>0</v>
      </c>
      <c r="H161" s="825">
        <v>0</v>
      </c>
      <c r="I161" s="826">
        <v>0</v>
      </c>
      <c r="J161" s="826"/>
      <c r="K161" s="826"/>
      <c r="L161" s="826"/>
      <c r="M161" s="826"/>
      <c r="N161" s="826"/>
      <c r="O161" s="826"/>
      <c r="P161" s="826"/>
      <c r="Q161" s="827">
        <v>0</v>
      </c>
      <c r="R161" s="828">
        <v>-0.01</v>
      </c>
      <c r="S161" s="828">
        <v>-0.01</v>
      </c>
      <c r="T161" s="828">
        <v>-0.01</v>
      </c>
      <c r="U161" s="828">
        <v>-0.01</v>
      </c>
      <c r="V161" s="828">
        <v>-0.01</v>
      </c>
      <c r="W161" s="828" t="s">
        <v>122</v>
      </c>
      <c r="X161" s="826"/>
      <c r="Y161" s="825">
        <v>-360</v>
      </c>
      <c r="Z161" s="829">
        <v>0</v>
      </c>
      <c r="AA161" s="825">
        <v>0</v>
      </c>
      <c r="AB161" s="826">
        <v>0</v>
      </c>
      <c r="AC161" s="825">
        <v>0</v>
      </c>
      <c r="AD161" s="826">
        <v>0</v>
      </c>
      <c r="AE161" s="825">
        <v>0</v>
      </c>
      <c r="AF161" s="826">
        <v>0</v>
      </c>
      <c r="AG161" s="825">
        <v>0</v>
      </c>
      <c r="AH161" s="826">
        <v>0</v>
      </c>
      <c r="AI161" s="825">
        <v>0</v>
      </c>
      <c r="AJ161" s="826">
        <v>0</v>
      </c>
    </row>
    <row r="162" spans="1:36" s="830" customFormat="1">
      <c r="A162" s="821" t="str">
        <f t="shared" si="6"/>
        <v xml:space="preserve">1000 CC, -1 % 60M, -1 % 72M, -360 Lease, </v>
      </c>
      <c r="B162" s="821">
        <f t="shared" si="7"/>
        <v>62</v>
      </c>
      <c r="C162" s="821"/>
      <c r="D162" s="821"/>
      <c r="E162" s="823">
        <v>1000</v>
      </c>
      <c r="F162" s="824">
        <v>0</v>
      </c>
      <c r="G162" s="825">
        <v>0</v>
      </c>
      <c r="H162" s="825">
        <v>0</v>
      </c>
      <c r="I162" s="826">
        <v>0</v>
      </c>
      <c r="J162" s="826"/>
      <c r="K162" s="826"/>
      <c r="L162" s="826"/>
      <c r="M162" s="826"/>
      <c r="N162" s="826"/>
      <c r="O162" s="826"/>
      <c r="P162" s="826"/>
      <c r="Q162" s="827">
        <v>0</v>
      </c>
      <c r="R162" s="828">
        <v>-0.01</v>
      </c>
      <c r="S162" s="828">
        <v>-0.01</v>
      </c>
      <c r="T162" s="828">
        <v>-0.01</v>
      </c>
      <c r="U162" s="828">
        <v>-0.01</v>
      </c>
      <c r="V162" s="828">
        <v>-0.01</v>
      </c>
      <c r="W162" s="828" t="s">
        <v>122</v>
      </c>
      <c r="X162" s="826"/>
      <c r="Y162" s="825">
        <v>-360</v>
      </c>
      <c r="Z162" s="829">
        <v>0</v>
      </c>
      <c r="AA162" s="825">
        <v>0</v>
      </c>
      <c r="AB162" s="826">
        <v>0</v>
      </c>
      <c r="AC162" s="825">
        <v>0</v>
      </c>
      <c r="AD162" s="826">
        <v>0</v>
      </c>
      <c r="AE162" s="825">
        <v>0</v>
      </c>
      <c r="AF162" s="826">
        <v>0</v>
      </c>
      <c r="AG162" s="825">
        <v>0</v>
      </c>
      <c r="AH162" s="826">
        <v>0</v>
      </c>
      <c r="AI162" s="825">
        <v>0</v>
      </c>
      <c r="AJ162" s="826">
        <v>0</v>
      </c>
    </row>
    <row r="163" spans="1:36" s="830" customFormat="1" collapsed="1">
      <c r="A163" s="821" t="str">
        <f t="shared" si="6"/>
        <v xml:space="preserve">-250 CC, -1 % 60M, -1 % 72M, </v>
      </c>
      <c r="B163" s="821">
        <f t="shared" si="7"/>
        <v>63</v>
      </c>
      <c r="C163" s="822"/>
      <c r="D163" s="821"/>
      <c r="E163" s="823">
        <v>-250</v>
      </c>
      <c r="F163" s="824">
        <v>0</v>
      </c>
      <c r="G163" s="825">
        <v>0</v>
      </c>
      <c r="H163" s="825">
        <v>0</v>
      </c>
      <c r="I163" s="826">
        <v>0</v>
      </c>
      <c r="J163" s="826"/>
      <c r="K163" s="826"/>
      <c r="L163" s="826"/>
      <c r="M163" s="826"/>
      <c r="N163" s="826"/>
      <c r="O163" s="826"/>
      <c r="P163" s="826"/>
      <c r="Q163" s="827">
        <v>0</v>
      </c>
      <c r="R163" s="828">
        <v>-0.01</v>
      </c>
      <c r="S163" s="828">
        <v>-0.01</v>
      </c>
      <c r="T163" s="828">
        <v>-0.01</v>
      </c>
      <c r="U163" s="828">
        <v>-0.01</v>
      </c>
      <c r="V163" s="828">
        <v>-0.01</v>
      </c>
      <c r="W163" s="828" t="s">
        <v>122</v>
      </c>
      <c r="X163" s="826"/>
      <c r="Y163" s="825">
        <v>0</v>
      </c>
      <c r="Z163" s="829">
        <v>0</v>
      </c>
      <c r="AA163" s="825">
        <v>0</v>
      </c>
      <c r="AB163" s="826">
        <v>0</v>
      </c>
      <c r="AC163" s="825">
        <v>0</v>
      </c>
      <c r="AD163" s="826">
        <v>0</v>
      </c>
      <c r="AE163" s="825">
        <v>0</v>
      </c>
      <c r="AF163" s="826">
        <v>0</v>
      </c>
      <c r="AG163" s="825">
        <v>0</v>
      </c>
      <c r="AH163" s="826">
        <v>0</v>
      </c>
      <c r="AI163" s="825">
        <v>0</v>
      </c>
      <c r="AJ163" s="826">
        <v>0</v>
      </c>
    </row>
    <row r="164" spans="1:36" s="830" customFormat="1">
      <c r="A164" s="821" t="str">
        <f t="shared" si="6"/>
        <v xml:space="preserve">-500 CC, -1 % 60M, -1 % 72M, </v>
      </c>
      <c r="B164" s="821">
        <f t="shared" si="7"/>
        <v>64</v>
      </c>
      <c r="C164" s="821"/>
      <c r="D164" s="821"/>
      <c r="E164" s="823">
        <v>-500</v>
      </c>
      <c r="F164" s="824">
        <v>0</v>
      </c>
      <c r="G164" s="825">
        <v>0</v>
      </c>
      <c r="H164" s="825">
        <v>0</v>
      </c>
      <c r="I164" s="826">
        <v>0</v>
      </c>
      <c r="J164" s="826"/>
      <c r="K164" s="826"/>
      <c r="L164" s="826"/>
      <c r="M164" s="826"/>
      <c r="N164" s="826"/>
      <c r="O164" s="826"/>
      <c r="P164" s="826"/>
      <c r="Q164" s="827">
        <v>0</v>
      </c>
      <c r="R164" s="828">
        <v>-0.01</v>
      </c>
      <c r="S164" s="828">
        <v>-0.01</v>
      </c>
      <c r="T164" s="828">
        <v>-0.01</v>
      </c>
      <c r="U164" s="828">
        <v>-0.01</v>
      </c>
      <c r="V164" s="828">
        <v>-0.01</v>
      </c>
      <c r="W164" s="828" t="s">
        <v>122</v>
      </c>
      <c r="X164" s="826"/>
      <c r="Y164" s="825">
        <v>0</v>
      </c>
      <c r="Z164" s="829">
        <v>0</v>
      </c>
      <c r="AA164" s="825">
        <v>0</v>
      </c>
      <c r="AB164" s="826">
        <v>0</v>
      </c>
      <c r="AC164" s="825">
        <v>0</v>
      </c>
      <c r="AD164" s="826">
        <v>0</v>
      </c>
      <c r="AE164" s="825">
        <v>0</v>
      </c>
      <c r="AF164" s="826">
        <v>0</v>
      </c>
      <c r="AG164" s="825">
        <v>0</v>
      </c>
      <c r="AH164" s="826">
        <v>0</v>
      </c>
      <c r="AI164" s="825">
        <v>0</v>
      </c>
      <c r="AJ164" s="826">
        <v>0</v>
      </c>
    </row>
    <row r="165" spans="1:36" s="830" customFormat="1" collapsed="1">
      <c r="A165" s="821" t="str">
        <f t="shared" si="6"/>
        <v xml:space="preserve">250 CC, 0.9 % 60M, 1 % 72M, </v>
      </c>
      <c r="B165" s="821">
        <f t="shared" si="7"/>
        <v>65</v>
      </c>
      <c r="C165" s="822"/>
      <c r="D165" s="821"/>
      <c r="E165" s="823">
        <v>250</v>
      </c>
      <c r="F165" s="824">
        <v>0</v>
      </c>
      <c r="G165" s="825">
        <v>0</v>
      </c>
      <c r="H165" s="825">
        <v>0</v>
      </c>
      <c r="I165" s="826">
        <v>0</v>
      </c>
      <c r="J165" s="826"/>
      <c r="K165" s="826"/>
      <c r="L165" s="826"/>
      <c r="M165" s="826"/>
      <c r="N165" s="826"/>
      <c r="O165" s="826"/>
      <c r="P165" s="826"/>
      <c r="Q165" s="827">
        <v>0</v>
      </c>
      <c r="R165" s="828">
        <f t="shared" ref="R165:V168" si="10">IF(R$112=0,0.9%,1%)</f>
        <v>9.0000000000000011E-3</v>
      </c>
      <c r="S165" s="828">
        <f t="shared" si="10"/>
        <v>9.0000000000000011E-3</v>
      </c>
      <c r="T165" s="828">
        <f t="shared" si="10"/>
        <v>9.0000000000000011E-3</v>
      </c>
      <c r="U165" s="828">
        <f t="shared" si="10"/>
        <v>9.0000000000000011E-3</v>
      </c>
      <c r="V165" s="828">
        <f t="shared" si="10"/>
        <v>0.01</v>
      </c>
      <c r="W165" s="828" t="s">
        <v>122</v>
      </c>
      <c r="X165" s="826"/>
      <c r="Y165" s="825">
        <v>0</v>
      </c>
      <c r="Z165" s="829">
        <v>0</v>
      </c>
      <c r="AA165" s="825">
        <v>0</v>
      </c>
      <c r="AB165" s="826">
        <v>0</v>
      </c>
      <c r="AC165" s="825">
        <v>0</v>
      </c>
      <c r="AD165" s="826">
        <v>0</v>
      </c>
      <c r="AE165" s="825">
        <v>0</v>
      </c>
      <c r="AF165" s="826">
        <v>0</v>
      </c>
      <c r="AG165" s="825">
        <v>0</v>
      </c>
      <c r="AH165" s="826">
        <v>0</v>
      </c>
      <c r="AI165" s="825">
        <v>0</v>
      </c>
      <c r="AJ165" s="826">
        <v>0</v>
      </c>
    </row>
    <row r="166" spans="1:36" s="830" customFormat="1">
      <c r="A166" s="821" t="str">
        <f t="shared" si="6"/>
        <v xml:space="preserve">500 CC, 0.9 % 60M, 1 % 72M, </v>
      </c>
      <c r="B166" s="821">
        <f t="shared" si="7"/>
        <v>66</v>
      </c>
      <c r="C166" s="821"/>
      <c r="D166" s="821"/>
      <c r="E166" s="823">
        <v>500</v>
      </c>
      <c r="F166" s="824">
        <v>0</v>
      </c>
      <c r="G166" s="825">
        <v>0</v>
      </c>
      <c r="H166" s="825">
        <v>0</v>
      </c>
      <c r="I166" s="826">
        <v>0</v>
      </c>
      <c r="J166" s="826"/>
      <c r="K166" s="826"/>
      <c r="L166" s="826"/>
      <c r="M166" s="826"/>
      <c r="N166" s="826"/>
      <c r="O166" s="826"/>
      <c r="P166" s="826"/>
      <c r="Q166" s="827">
        <v>0</v>
      </c>
      <c r="R166" s="828">
        <f t="shared" si="10"/>
        <v>9.0000000000000011E-3</v>
      </c>
      <c r="S166" s="828">
        <f t="shared" si="10"/>
        <v>9.0000000000000011E-3</v>
      </c>
      <c r="T166" s="828">
        <f t="shared" si="10"/>
        <v>9.0000000000000011E-3</v>
      </c>
      <c r="U166" s="828">
        <f t="shared" si="10"/>
        <v>9.0000000000000011E-3</v>
      </c>
      <c r="V166" s="828">
        <f t="shared" si="10"/>
        <v>0.01</v>
      </c>
      <c r="W166" s="828" t="s">
        <v>122</v>
      </c>
      <c r="X166" s="826"/>
      <c r="Y166" s="825">
        <v>0</v>
      </c>
      <c r="Z166" s="829">
        <v>0</v>
      </c>
      <c r="AA166" s="825">
        <v>0</v>
      </c>
      <c r="AB166" s="826">
        <v>0</v>
      </c>
      <c r="AC166" s="825">
        <v>0</v>
      </c>
      <c r="AD166" s="826">
        <v>0</v>
      </c>
      <c r="AE166" s="825">
        <v>0</v>
      </c>
      <c r="AF166" s="826">
        <v>0</v>
      </c>
      <c r="AG166" s="825">
        <v>0</v>
      </c>
      <c r="AH166" s="826">
        <v>0</v>
      </c>
      <c r="AI166" s="825">
        <v>0</v>
      </c>
      <c r="AJ166" s="826">
        <v>0</v>
      </c>
    </row>
    <row r="167" spans="1:36" s="830" customFormat="1" collapsed="1">
      <c r="A167" s="821" t="str">
        <f t="shared" si="6"/>
        <v xml:space="preserve">250 CC, 0.9 % 60M, 1 % 72M, -360 Lease, </v>
      </c>
      <c r="B167" s="821">
        <f t="shared" si="7"/>
        <v>67</v>
      </c>
      <c r="C167" s="822"/>
      <c r="D167" s="821"/>
      <c r="E167" s="823">
        <v>250</v>
      </c>
      <c r="F167" s="824">
        <v>0</v>
      </c>
      <c r="G167" s="825">
        <v>0</v>
      </c>
      <c r="H167" s="825">
        <v>0</v>
      </c>
      <c r="I167" s="826">
        <v>0</v>
      </c>
      <c r="J167" s="826"/>
      <c r="K167" s="826"/>
      <c r="L167" s="826"/>
      <c r="M167" s="826"/>
      <c r="N167" s="826"/>
      <c r="O167" s="826"/>
      <c r="P167" s="826"/>
      <c r="Q167" s="827">
        <v>0</v>
      </c>
      <c r="R167" s="828">
        <f t="shared" si="10"/>
        <v>9.0000000000000011E-3</v>
      </c>
      <c r="S167" s="828">
        <f t="shared" si="10"/>
        <v>9.0000000000000011E-3</v>
      </c>
      <c r="T167" s="828">
        <f t="shared" si="10"/>
        <v>9.0000000000000011E-3</v>
      </c>
      <c r="U167" s="828">
        <f t="shared" si="10"/>
        <v>9.0000000000000011E-3</v>
      </c>
      <c r="V167" s="828">
        <f t="shared" si="10"/>
        <v>0.01</v>
      </c>
      <c r="W167" s="828" t="s">
        <v>122</v>
      </c>
      <c r="X167" s="826"/>
      <c r="Y167" s="825">
        <v>-360</v>
      </c>
      <c r="Z167" s="829">
        <v>0</v>
      </c>
      <c r="AA167" s="825">
        <v>0</v>
      </c>
      <c r="AB167" s="826">
        <v>0</v>
      </c>
      <c r="AC167" s="825">
        <v>0</v>
      </c>
      <c r="AD167" s="826">
        <v>0</v>
      </c>
      <c r="AE167" s="825">
        <v>0</v>
      </c>
      <c r="AF167" s="826">
        <v>0</v>
      </c>
      <c r="AG167" s="825">
        <v>0</v>
      </c>
      <c r="AH167" s="826">
        <v>0</v>
      </c>
      <c r="AI167" s="825">
        <v>0</v>
      </c>
      <c r="AJ167" s="826">
        <v>0</v>
      </c>
    </row>
    <row r="168" spans="1:36" s="830" customFormat="1">
      <c r="A168" s="821" t="str">
        <f t="shared" si="6"/>
        <v xml:space="preserve">500 CC, 0.9 % 60M, 1 % 72M, -360 Lease, </v>
      </c>
      <c r="B168" s="821">
        <f t="shared" si="7"/>
        <v>68</v>
      </c>
      <c r="C168" s="821"/>
      <c r="D168" s="821"/>
      <c r="E168" s="823">
        <v>500</v>
      </c>
      <c r="F168" s="824">
        <v>0</v>
      </c>
      <c r="G168" s="825">
        <v>0</v>
      </c>
      <c r="H168" s="825">
        <v>0</v>
      </c>
      <c r="I168" s="826">
        <v>0</v>
      </c>
      <c r="J168" s="826"/>
      <c r="K168" s="826"/>
      <c r="L168" s="826"/>
      <c r="M168" s="826"/>
      <c r="N168" s="826"/>
      <c r="O168" s="826"/>
      <c r="P168" s="826"/>
      <c r="Q168" s="827">
        <v>0</v>
      </c>
      <c r="R168" s="828">
        <f t="shared" si="10"/>
        <v>9.0000000000000011E-3</v>
      </c>
      <c r="S168" s="828">
        <f t="shared" si="10"/>
        <v>9.0000000000000011E-3</v>
      </c>
      <c r="T168" s="828">
        <f t="shared" si="10"/>
        <v>9.0000000000000011E-3</v>
      </c>
      <c r="U168" s="828">
        <f t="shared" si="10"/>
        <v>9.0000000000000011E-3</v>
      </c>
      <c r="V168" s="828">
        <f t="shared" si="10"/>
        <v>0.01</v>
      </c>
      <c r="W168" s="828" t="s">
        <v>122</v>
      </c>
      <c r="X168" s="826"/>
      <c r="Y168" s="825">
        <v>-360</v>
      </c>
      <c r="Z168" s="829">
        <v>0</v>
      </c>
      <c r="AA168" s="825">
        <v>0</v>
      </c>
      <c r="AB168" s="826">
        <v>0</v>
      </c>
      <c r="AC168" s="825">
        <v>0</v>
      </c>
      <c r="AD168" s="826">
        <v>0</v>
      </c>
      <c r="AE168" s="825">
        <v>0</v>
      </c>
      <c r="AF168" s="826">
        <v>0</v>
      </c>
      <c r="AG168" s="825">
        <v>0</v>
      </c>
      <c r="AH168" s="826">
        <v>0</v>
      </c>
      <c r="AI168" s="825">
        <v>0</v>
      </c>
      <c r="AJ168" s="826">
        <v>0</v>
      </c>
    </row>
    <row r="169" spans="1:36" s="830" customFormat="1" collapsed="1">
      <c r="A169" s="821" t="str">
        <f t="shared" si="6"/>
        <v xml:space="preserve">500 CC, 180 Lease, </v>
      </c>
      <c r="B169" s="821">
        <f t="shared" si="7"/>
        <v>69</v>
      </c>
      <c r="C169" s="822"/>
      <c r="D169" s="821"/>
      <c r="E169" s="823">
        <v>500</v>
      </c>
      <c r="F169" s="824">
        <v>0</v>
      </c>
      <c r="G169" s="825">
        <v>0</v>
      </c>
      <c r="H169" s="825">
        <v>0</v>
      </c>
      <c r="I169" s="826">
        <v>0</v>
      </c>
      <c r="J169" s="826"/>
      <c r="K169" s="826"/>
      <c r="L169" s="826"/>
      <c r="M169" s="826"/>
      <c r="N169" s="826"/>
      <c r="O169" s="826"/>
      <c r="P169" s="826"/>
      <c r="Q169" s="827">
        <v>0</v>
      </c>
      <c r="R169" s="828">
        <v>0</v>
      </c>
      <c r="S169" s="828">
        <v>0</v>
      </c>
      <c r="T169" s="828">
        <v>0</v>
      </c>
      <c r="U169" s="828">
        <v>0</v>
      </c>
      <c r="V169" s="828">
        <v>0</v>
      </c>
      <c r="W169" s="828" t="s">
        <v>122</v>
      </c>
      <c r="X169" s="826"/>
      <c r="Y169" s="825">
        <v>180</v>
      </c>
      <c r="Z169" s="829">
        <v>0</v>
      </c>
      <c r="AA169" s="825">
        <v>0</v>
      </c>
      <c r="AB169" s="826">
        <v>0</v>
      </c>
      <c r="AC169" s="825">
        <v>0</v>
      </c>
      <c r="AD169" s="826">
        <v>0</v>
      </c>
      <c r="AE169" s="825">
        <v>0</v>
      </c>
      <c r="AF169" s="826">
        <v>0</v>
      </c>
      <c r="AG169" s="825">
        <v>0</v>
      </c>
      <c r="AH169" s="826">
        <v>0</v>
      </c>
      <c r="AI169" s="825">
        <v>0</v>
      </c>
      <c r="AJ169" s="826">
        <v>0</v>
      </c>
    </row>
    <row r="170" spans="1:36" s="830" customFormat="1">
      <c r="A170" s="821" t="str">
        <f t="shared" si="6"/>
        <v xml:space="preserve">1000 CC, 180 Lease, </v>
      </c>
      <c r="B170" s="821">
        <f t="shared" si="7"/>
        <v>70</v>
      </c>
      <c r="C170" s="821"/>
      <c r="D170" s="821"/>
      <c r="E170" s="823">
        <v>1000</v>
      </c>
      <c r="F170" s="824">
        <v>0</v>
      </c>
      <c r="G170" s="825">
        <v>0</v>
      </c>
      <c r="H170" s="825">
        <v>0</v>
      </c>
      <c r="I170" s="826">
        <v>0</v>
      </c>
      <c r="J170" s="826"/>
      <c r="K170" s="826"/>
      <c r="L170" s="826"/>
      <c r="M170" s="826"/>
      <c r="N170" s="826"/>
      <c r="O170" s="826"/>
      <c r="P170" s="826"/>
      <c r="Q170" s="827">
        <v>0</v>
      </c>
      <c r="R170" s="828">
        <v>0</v>
      </c>
      <c r="S170" s="828">
        <v>0</v>
      </c>
      <c r="T170" s="828">
        <v>0</v>
      </c>
      <c r="U170" s="828">
        <v>0</v>
      </c>
      <c r="V170" s="828">
        <v>0</v>
      </c>
      <c r="W170" s="828" t="s">
        <v>122</v>
      </c>
      <c r="X170" s="826"/>
      <c r="Y170" s="825">
        <v>180</v>
      </c>
      <c r="Z170" s="829">
        <v>0</v>
      </c>
      <c r="AA170" s="825">
        <v>0</v>
      </c>
      <c r="AB170" s="826">
        <v>0</v>
      </c>
      <c r="AC170" s="825">
        <v>0</v>
      </c>
      <c r="AD170" s="826">
        <v>0</v>
      </c>
      <c r="AE170" s="825">
        <v>0</v>
      </c>
      <c r="AF170" s="826">
        <v>0</v>
      </c>
      <c r="AG170" s="825">
        <v>0</v>
      </c>
      <c r="AH170" s="826">
        <v>0</v>
      </c>
      <c r="AI170" s="825">
        <v>0</v>
      </c>
      <c r="AJ170" s="826">
        <v>0</v>
      </c>
    </row>
    <row r="171" spans="1:36" s="830" customFormat="1" collapsed="1">
      <c r="A171" s="821" t="str">
        <f t="shared" si="6"/>
        <v xml:space="preserve">500 CC, -1 % 60M, -1 % 72M, 180 Lease, </v>
      </c>
      <c r="B171" s="821">
        <f t="shared" si="7"/>
        <v>71</v>
      </c>
      <c r="C171" s="822"/>
      <c r="D171" s="821"/>
      <c r="E171" s="823">
        <v>500</v>
      </c>
      <c r="F171" s="824">
        <v>0</v>
      </c>
      <c r="G171" s="825">
        <v>0</v>
      </c>
      <c r="H171" s="825">
        <v>0</v>
      </c>
      <c r="I171" s="826">
        <v>0</v>
      </c>
      <c r="J171" s="826"/>
      <c r="K171" s="826"/>
      <c r="L171" s="826"/>
      <c r="M171" s="826"/>
      <c r="N171" s="826"/>
      <c r="O171" s="826"/>
      <c r="P171" s="826"/>
      <c r="Q171" s="827">
        <v>0</v>
      </c>
      <c r="R171" s="828">
        <v>-0.01</v>
      </c>
      <c r="S171" s="828">
        <v>-0.01</v>
      </c>
      <c r="T171" s="828">
        <v>-0.01</v>
      </c>
      <c r="U171" s="828">
        <v>-0.01</v>
      </c>
      <c r="V171" s="828">
        <v>-0.01</v>
      </c>
      <c r="W171" s="828" t="s">
        <v>122</v>
      </c>
      <c r="X171" s="826"/>
      <c r="Y171" s="825">
        <v>180</v>
      </c>
      <c r="Z171" s="829">
        <v>0</v>
      </c>
      <c r="AA171" s="825">
        <v>0</v>
      </c>
      <c r="AB171" s="826">
        <v>0</v>
      </c>
      <c r="AC171" s="825">
        <v>0</v>
      </c>
      <c r="AD171" s="826">
        <v>0</v>
      </c>
      <c r="AE171" s="825">
        <v>0</v>
      </c>
      <c r="AF171" s="826">
        <v>0</v>
      </c>
      <c r="AG171" s="825">
        <v>0</v>
      </c>
      <c r="AH171" s="826">
        <v>0</v>
      </c>
      <c r="AI171" s="825">
        <v>0</v>
      </c>
      <c r="AJ171" s="826">
        <v>0</v>
      </c>
    </row>
    <row r="172" spans="1:36" s="830" customFormat="1">
      <c r="A172" s="821" t="str">
        <f t="shared" si="6"/>
        <v xml:space="preserve">1000 CC, -1 % 60M, -1 % 72M, 180 Lease, </v>
      </c>
      <c r="B172" s="821">
        <f t="shared" si="7"/>
        <v>72</v>
      </c>
      <c r="C172" s="821"/>
      <c r="D172" s="821"/>
      <c r="E172" s="823">
        <v>1000</v>
      </c>
      <c r="F172" s="824">
        <v>0</v>
      </c>
      <c r="G172" s="825">
        <v>0</v>
      </c>
      <c r="H172" s="825">
        <v>0</v>
      </c>
      <c r="I172" s="826">
        <v>0</v>
      </c>
      <c r="J172" s="826"/>
      <c r="K172" s="826"/>
      <c r="L172" s="826"/>
      <c r="M172" s="826"/>
      <c r="N172" s="826"/>
      <c r="O172" s="826"/>
      <c r="P172" s="826"/>
      <c r="Q172" s="827">
        <v>0</v>
      </c>
      <c r="R172" s="828">
        <v>-0.01</v>
      </c>
      <c r="S172" s="828">
        <v>-0.01</v>
      </c>
      <c r="T172" s="828">
        <v>-0.01</v>
      </c>
      <c r="U172" s="828">
        <v>-0.01</v>
      </c>
      <c r="V172" s="828">
        <v>-0.01</v>
      </c>
      <c r="W172" s="828" t="s">
        <v>122</v>
      </c>
      <c r="X172" s="826"/>
      <c r="Y172" s="825">
        <v>180</v>
      </c>
      <c r="Z172" s="829">
        <v>0</v>
      </c>
      <c r="AA172" s="825">
        <v>0</v>
      </c>
      <c r="AB172" s="826">
        <v>0</v>
      </c>
      <c r="AC172" s="825">
        <v>0</v>
      </c>
      <c r="AD172" s="826">
        <v>0</v>
      </c>
      <c r="AE172" s="825">
        <v>0</v>
      </c>
      <c r="AF172" s="826">
        <v>0</v>
      </c>
      <c r="AG172" s="825">
        <v>0</v>
      </c>
      <c r="AH172" s="826">
        <v>0</v>
      </c>
      <c r="AI172" s="825">
        <v>0</v>
      </c>
      <c r="AJ172" s="826">
        <v>0</v>
      </c>
    </row>
    <row r="173" spans="1:36" s="830" customFormat="1" collapsed="1">
      <c r="A173" s="821" t="str">
        <f t="shared" si="6"/>
        <v xml:space="preserve">500 CC, 1000 Combo, 0.9 % 60M, 1 % 72M, </v>
      </c>
      <c r="B173" s="821">
        <f t="shared" si="7"/>
        <v>73</v>
      </c>
      <c r="C173" s="822"/>
      <c r="D173" s="821"/>
      <c r="E173" s="823">
        <v>500</v>
      </c>
      <c r="F173" s="824">
        <v>0</v>
      </c>
      <c r="G173" s="825">
        <v>0</v>
      </c>
      <c r="H173" s="825">
        <v>0</v>
      </c>
      <c r="I173" s="826">
        <v>0</v>
      </c>
      <c r="J173" s="826"/>
      <c r="K173" s="826"/>
      <c r="L173" s="826"/>
      <c r="M173" s="826"/>
      <c r="N173" s="826"/>
      <c r="O173" s="826"/>
      <c r="P173" s="826"/>
      <c r="Q173" s="827">
        <v>1000</v>
      </c>
      <c r="R173" s="828">
        <f t="shared" ref="R173:V174" si="11">IF(R$112=0,0.9%,1%)</f>
        <v>9.0000000000000011E-3</v>
      </c>
      <c r="S173" s="828">
        <f t="shared" si="11"/>
        <v>9.0000000000000011E-3</v>
      </c>
      <c r="T173" s="828">
        <f t="shared" si="11"/>
        <v>9.0000000000000011E-3</v>
      </c>
      <c r="U173" s="828">
        <f t="shared" si="11"/>
        <v>9.0000000000000011E-3</v>
      </c>
      <c r="V173" s="828">
        <f t="shared" si="11"/>
        <v>0.01</v>
      </c>
      <c r="W173" s="828" t="s">
        <v>122</v>
      </c>
      <c r="X173" s="826"/>
      <c r="Y173" s="825">
        <v>0</v>
      </c>
      <c r="Z173" s="829">
        <v>0</v>
      </c>
      <c r="AA173" s="825">
        <v>0</v>
      </c>
      <c r="AB173" s="826">
        <v>0</v>
      </c>
      <c r="AC173" s="825">
        <v>0</v>
      </c>
      <c r="AD173" s="826">
        <v>0</v>
      </c>
      <c r="AE173" s="825">
        <v>0</v>
      </c>
      <c r="AF173" s="826">
        <v>0</v>
      </c>
      <c r="AG173" s="825">
        <v>0</v>
      </c>
      <c r="AH173" s="826">
        <v>0</v>
      </c>
      <c r="AI173" s="825">
        <v>0</v>
      </c>
      <c r="AJ173" s="826">
        <v>0</v>
      </c>
    </row>
    <row r="174" spans="1:36" s="830" customFormat="1">
      <c r="A174" s="821" t="str">
        <f t="shared" si="6"/>
        <v xml:space="preserve">750 CC, 1500 Combo, 0.9 % 60M, 1 % 72M, </v>
      </c>
      <c r="B174" s="821">
        <f t="shared" si="7"/>
        <v>74</v>
      </c>
      <c r="C174" s="821"/>
      <c r="D174" s="821"/>
      <c r="E174" s="823">
        <v>750</v>
      </c>
      <c r="F174" s="824">
        <v>0</v>
      </c>
      <c r="G174" s="825">
        <v>0</v>
      </c>
      <c r="H174" s="825">
        <v>0</v>
      </c>
      <c r="I174" s="826">
        <v>0</v>
      </c>
      <c r="J174" s="826"/>
      <c r="K174" s="826"/>
      <c r="L174" s="826"/>
      <c r="M174" s="826"/>
      <c r="N174" s="826"/>
      <c r="O174" s="826"/>
      <c r="P174" s="826"/>
      <c r="Q174" s="827">
        <v>1500</v>
      </c>
      <c r="R174" s="828">
        <f t="shared" si="11"/>
        <v>9.0000000000000011E-3</v>
      </c>
      <c r="S174" s="828">
        <f t="shared" si="11"/>
        <v>9.0000000000000011E-3</v>
      </c>
      <c r="T174" s="828">
        <f t="shared" si="11"/>
        <v>9.0000000000000011E-3</v>
      </c>
      <c r="U174" s="828">
        <f t="shared" si="11"/>
        <v>9.0000000000000011E-3</v>
      </c>
      <c r="V174" s="828">
        <f t="shared" si="11"/>
        <v>0.01</v>
      </c>
      <c r="W174" s="828" t="s">
        <v>122</v>
      </c>
      <c r="X174" s="826"/>
      <c r="Y174" s="825">
        <v>0</v>
      </c>
      <c r="Z174" s="829">
        <v>0</v>
      </c>
      <c r="AA174" s="825">
        <v>0</v>
      </c>
      <c r="AB174" s="826">
        <v>0</v>
      </c>
      <c r="AC174" s="825">
        <v>0</v>
      </c>
      <c r="AD174" s="826">
        <v>0</v>
      </c>
      <c r="AE174" s="825">
        <v>0</v>
      </c>
      <c r="AF174" s="826">
        <v>0</v>
      </c>
      <c r="AG174" s="825">
        <v>0</v>
      </c>
      <c r="AH174" s="826">
        <v>0</v>
      </c>
      <c r="AI174" s="825">
        <v>0</v>
      </c>
      <c r="AJ174" s="826">
        <v>0</v>
      </c>
    </row>
    <row r="175" spans="1:36" s="830" customFormat="1" collapsed="1">
      <c r="A175" s="821" t="str">
        <f t="shared" si="6"/>
        <v xml:space="preserve">500 CC, 1000 Combo, 0.9 % 72M, </v>
      </c>
      <c r="B175" s="821">
        <f t="shared" si="7"/>
        <v>75</v>
      </c>
      <c r="C175" s="822"/>
      <c r="D175" s="821"/>
      <c r="E175" s="823">
        <v>500</v>
      </c>
      <c r="F175" s="824">
        <v>0</v>
      </c>
      <c r="G175" s="825">
        <v>0</v>
      </c>
      <c r="H175" s="825">
        <v>0</v>
      </c>
      <c r="I175" s="826">
        <v>0</v>
      </c>
      <c r="J175" s="826"/>
      <c r="K175" s="826"/>
      <c r="L175" s="826"/>
      <c r="M175" s="826"/>
      <c r="N175" s="826"/>
      <c r="O175" s="826"/>
      <c r="P175" s="826"/>
      <c r="Q175" s="827">
        <v>1000</v>
      </c>
      <c r="R175" s="828">
        <v>0</v>
      </c>
      <c r="S175" s="828">
        <v>0</v>
      </c>
      <c r="T175" s="828">
        <v>0</v>
      </c>
      <c r="U175" s="828">
        <v>0</v>
      </c>
      <c r="V175" s="828">
        <v>8.9999999999999993E-3</v>
      </c>
      <c r="W175" s="828" t="s">
        <v>122</v>
      </c>
      <c r="X175" s="826"/>
      <c r="Y175" s="825">
        <v>0</v>
      </c>
      <c r="Z175" s="829">
        <v>0</v>
      </c>
      <c r="AA175" s="825">
        <v>0</v>
      </c>
      <c r="AB175" s="826">
        <v>0</v>
      </c>
      <c r="AC175" s="825">
        <v>0</v>
      </c>
      <c r="AD175" s="826">
        <v>0</v>
      </c>
      <c r="AE175" s="825">
        <v>0</v>
      </c>
      <c r="AF175" s="826">
        <v>0</v>
      </c>
      <c r="AG175" s="825">
        <v>0</v>
      </c>
      <c r="AH175" s="826">
        <v>0</v>
      </c>
      <c r="AI175" s="825">
        <v>0</v>
      </c>
      <c r="AJ175" s="826">
        <v>0</v>
      </c>
    </row>
    <row r="176" spans="1:36" s="830" customFormat="1">
      <c r="A176" s="821" t="str">
        <f t="shared" si="6"/>
        <v xml:space="preserve">750 CC, 1500 Combo, 0.9 % 72M, </v>
      </c>
      <c r="B176" s="821">
        <f t="shared" si="7"/>
        <v>76</v>
      </c>
      <c r="C176" s="821"/>
      <c r="D176" s="821"/>
      <c r="E176" s="823">
        <v>750</v>
      </c>
      <c r="F176" s="824">
        <v>0</v>
      </c>
      <c r="G176" s="825">
        <v>0</v>
      </c>
      <c r="H176" s="825">
        <v>0</v>
      </c>
      <c r="I176" s="826">
        <v>0</v>
      </c>
      <c r="J176" s="826"/>
      <c r="K176" s="826"/>
      <c r="L176" s="826"/>
      <c r="M176" s="826"/>
      <c r="N176" s="826"/>
      <c r="O176" s="826"/>
      <c r="P176" s="826"/>
      <c r="Q176" s="827">
        <v>1500</v>
      </c>
      <c r="R176" s="828">
        <v>0</v>
      </c>
      <c r="S176" s="828">
        <v>0</v>
      </c>
      <c r="T176" s="828">
        <v>0</v>
      </c>
      <c r="U176" s="828">
        <v>0</v>
      </c>
      <c r="V176" s="828">
        <v>8.9999999999999993E-3</v>
      </c>
      <c r="W176" s="828" t="s">
        <v>122</v>
      </c>
      <c r="X176" s="826"/>
      <c r="Y176" s="825">
        <v>0</v>
      </c>
      <c r="Z176" s="829">
        <v>0</v>
      </c>
      <c r="AA176" s="825">
        <v>0</v>
      </c>
      <c r="AB176" s="826">
        <v>0</v>
      </c>
      <c r="AC176" s="825">
        <v>0</v>
      </c>
      <c r="AD176" s="826">
        <v>0</v>
      </c>
      <c r="AE176" s="825">
        <v>0</v>
      </c>
      <c r="AF176" s="826">
        <v>0</v>
      </c>
      <c r="AG176" s="825">
        <v>0</v>
      </c>
      <c r="AH176" s="826">
        <v>0</v>
      </c>
      <c r="AI176" s="825">
        <v>0</v>
      </c>
      <c r="AJ176" s="826">
        <v>0</v>
      </c>
    </row>
    <row r="177" spans="1:36" s="830" customFormat="1" collapsed="1">
      <c r="A177" s="821" t="str">
        <f t="shared" si="6"/>
        <v xml:space="preserve">1000 CC, 2000 Combo, 0.9 % 72M, </v>
      </c>
      <c r="B177" s="821">
        <f t="shared" si="7"/>
        <v>77</v>
      </c>
      <c r="C177" s="822"/>
      <c r="D177" s="821"/>
      <c r="E177" s="823">
        <v>1000</v>
      </c>
      <c r="F177" s="824">
        <v>0</v>
      </c>
      <c r="G177" s="825">
        <v>0</v>
      </c>
      <c r="H177" s="825">
        <v>0</v>
      </c>
      <c r="I177" s="826">
        <v>0</v>
      </c>
      <c r="J177" s="826"/>
      <c r="K177" s="826"/>
      <c r="L177" s="826"/>
      <c r="M177" s="826"/>
      <c r="N177" s="826"/>
      <c r="O177" s="826"/>
      <c r="P177" s="826"/>
      <c r="Q177" s="827">
        <v>2000</v>
      </c>
      <c r="R177" s="828">
        <v>0</v>
      </c>
      <c r="S177" s="828">
        <v>0</v>
      </c>
      <c r="T177" s="828">
        <v>0</v>
      </c>
      <c r="U177" s="828">
        <v>0</v>
      </c>
      <c r="V177" s="828">
        <v>8.9999999999999993E-3</v>
      </c>
      <c r="W177" s="828" t="s">
        <v>122</v>
      </c>
      <c r="X177" s="826"/>
      <c r="Y177" s="825">
        <v>0</v>
      </c>
      <c r="Z177" s="829">
        <v>0</v>
      </c>
      <c r="AA177" s="825">
        <v>0</v>
      </c>
      <c r="AB177" s="826">
        <v>0</v>
      </c>
      <c r="AC177" s="825">
        <v>0</v>
      </c>
      <c r="AD177" s="826">
        <v>0</v>
      </c>
      <c r="AE177" s="825">
        <v>0</v>
      </c>
      <c r="AF177" s="826">
        <v>0</v>
      </c>
      <c r="AG177" s="825">
        <v>0</v>
      </c>
      <c r="AH177" s="826">
        <v>0</v>
      </c>
      <c r="AI177" s="825">
        <v>0</v>
      </c>
      <c r="AJ177" s="826">
        <v>0</v>
      </c>
    </row>
    <row r="178" spans="1:36" s="830" customFormat="1">
      <c r="A178" s="821" t="str">
        <f t="shared" si="6"/>
        <v xml:space="preserve">500 CC, 1000 Combo, 1.9 % 72M, </v>
      </c>
      <c r="B178" s="821">
        <f t="shared" si="7"/>
        <v>78</v>
      </c>
      <c r="C178" s="821"/>
      <c r="D178" s="821"/>
      <c r="E178" s="823">
        <v>500</v>
      </c>
      <c r="F178" s="824">
        <v>0</v>
      </c>
      <c r="G178" s="825">
        <v>0</v>
      </c>
      <c r="H178" s="825">
        <v>0</v>
      </c>
      <c r="I178" s="826">
        <v>0</v>
      </c>
      <c r="J178" s="826"/>
      <c r="K178" s="826"/>
      <c r="L178" s="826"/>
      <c r="M178" s="826"/>
      <c r="N178" s="826"/>
      <c r="O178" s="826"/>
      <c r="P178" s="826"/>
      <c r="Q178" s="827">
        <v>1000</v>
      </c>
      <c r="R178" s="828">
        <v>0</v>
      </c>
      <c r="S178" s="828">
        <v>0</v>
      </c>
      <c r="T178" s="828">
        <v>0</v>
      </c>
      <c r="U178" s="828">
        <v>0</v>
      </c>
      <c r="V178" s="828">
        <v>1.9E-2</v>
      </c>
      <c r="W178" s="828" t="s">
        <v>122</v>
      </c>
      <c r="X178" s="826"/>
      <c r="Y178" s="825">
        <v>0</v>
      </c>
      <c r="Z178" s="829">
        <v>0</v>
      </c>
      <c r="AA178" s="825">
        <v>0</v>
      </c>
      <c r="AB178" s="826">
        <v>0</v>
      </c>
      <c r="AC178" s="825">
        <v>0</v>
      </c>
      <c r="AD178" s="826">
        <v>0</v>
      </c>
      <c r="AE178" s="825">
        <v>0</v>
      </c>
      <c r="AF178" s="826">
        <v>0</v>
      </c>
      <c r="AG178" s="825">
        <v>0</v>
      </c>
      <c r="AH178" s="826">
        <v>0</v>
      </c>
      <c r="AI178" s="825">
        <v>0</v>
      </c>
      <c r="AJ178" s="826">
        <v>0</v>
      </c>
    </row>
    <row r="179" spans="1:36" s="830" customFormat="1" collapsed="1">
      <c r="A179" s="821" t="str">
        <f t="shared" si="6"/>
        <v xml:space="preserve">750 CC, 1500 Combo, 1.9 % 72M, </v>
      </c>
      <c r="B179" s="821">
        <f t="shared" si="7"/>
        <v>79</v>
      </c>
      <c r="C179" s="822"/>
      <c r="D179" s="821"/>
      <c r="E179" s="823">
        <v>750</v>
      </c>
      <c r="F179" s="824">
        <v>0</v>
      </c>
      <c r="G179" s="825">
        <v>0</v>
      </c>
      <c r="H179" s="825">
        <v>0</v>
      </c>
      <c r="I179" s="826">
        <v>0</v>
      </c>
      <c r="J179" s="826"/>
      <c r="K179" s="826"/>
      <c r="L179" s="826"/>
      <c r="M179" s="826"/>
      <c r="N179" s="826"/>
      <c r="O179" s="826"/>
      <c r="P179" s="826"/>
      <c r="Q179" s="827">
        <v>1500</v>
      </c>
      <c r="R179" s="828">
        <v>0</v>
      </c>
      <c r="S179" s="828">
        <v>0</v>
      </c>
      <c r="T179" s="828">
        <v>0</v>
      </c>
      <c r="U179" s="828">
        <v>0</v>
      </c>
      <c r="V179" s="828">
        <v>1.9E-2</v>
      </c>
      <c r="W179" s="828" t="s">
        <v>122</v>
      </c>
      <c r="X179" s="826"/>
      <c r="Y179" s="825">
        <v>0</v>
      </c>
      <c r="Z179" s="829">
        <v>0</v>
      </c>
      <c r="AA179" s="825">
        <v>0</v>
      </c>
      <c r="AB179" s="826">
        <v>0</v>
      </c>
      <c r="AC179" s="825">
        <v>0</v>
      </c>
      <c r="AD179" s="826">
        <v>0</v>
      </c>
      <c r="AE179" s="825">
        <v>0</v>
      </c>
      <c r="AF179" s="826">
        <v>0</v>
      </c>
      <c r="AG179" s="825">
        <v>0</v>
      </c>
      <c r="AH179" s="826">
        <v>0</v>
      </c>
      <c r="AI179" s="825">
        <v>0</v>
      </c>
      <c r="AJ179" s="826">
        <v>0</v>
      </c>
    </row>
    <row r="180" spans="1:36" s="830" customFormat="1">
      <c r="A180" s="821" t="str">
        <f t="shared" si="6"/>
        <v xml:space="preserve">1000 CC, 2000 Combo, 1.9 % 72M, </v>
      </c>
      <c r="B180" s="821">
        <f t="shared" ref="B180:B200" si="12">B179+1</f>
        <v>80</v>
      </c>
      <c r="C180" s="821"/>
      <c r="D180" s="821"/>
      <c r="E180" s="823">
        <v>1000</v>
      </c>
      <c r="F180" s="824">
        <v>0</v>
      </c>
      <c r="G180" s="825">
        <v>0</v>
      </c>
      <c r="H180" s="825">
        <v>0</v>
      </c>
      <c r="I180" s="826">
        <v>0</v>
      </c>
      <c r="J180" s="826"/>
      <c r="K180" s="826"/>
      <c r="L180" s="826"/>
      <c r="M180" s="826"/>
      <c r="N180" s="826"/>
      <c r="O180" s="826"/>
      <c r="P180" s="826"/>
      <c r="Q180" s="827">
        <v>2000</v>
      </c>
      <c r="R180" s="828">
        <v>0</v>
      </c>
      <c r="S180" s="828">
        <v>0</v>
      </c>
      <c r="T180" s="828">
        <v>0</v>
      </c>
      <c r="U180" s="828">
        <v>0</v>
      </c>
      <c r="V180" s="828">
        <v>1.9E-2</v>
      </c>
      <c r="W180" s="828" t="s">
        <v>122</v>
      </c>
      <c r="X180" s="826"/>
      <c r="Y180" s="825">
        <v>0</v>
      </c>
      <c r="Z180" s="829">
        <v>0</v>
      </c>
      <c r="AA180" s="825">
        <v>0</v>
      </c>
      <c r="AB180" s="826">
        <v>0</v>
      </c>
      <c r="AC180" s="825">
        <v>0</v>
      </c>
      <c r="AD180" s="826">
        <v>0</v>
      </c>
      <c r="AE180" s="825">
        <v>0</v>
      </c>
      <c r="AF180" s="826">
        <v>0</v>
      </c>
      <c r="AG180" s="825">
        <v>0</v>
      </c>
      <c r="AH180" s="826">
        <v>0</v>
      </c>
      <c r="AI180" s="825">
        <v>0</v>
      </c>
      <c r="AJ180" s="826">
        <v>0</v>
      </c>
    </row>
    <row r="181" spans="1:36" s="830" customFormat="1" collapsed="1">
      <c r="A181" s="821" t="str">
        <f>IF(E181=0,"",E181&amp;" "&amp;E$100)
&amp;IF(F181=0,"",F181&amp;" "&amp;F$100)
&amp;IF(Q181=0,"",Q181&amp;" "&amp;Q$100)
&amp;IF(U181=0,"",U181*100&amp;" "&amp;U$100)
&amp;IF(V181=0,"",V181*100&amp;" "&amp;V$100)
&amp;IF(Y181=0,"",Y181&amp;" "&amp;Y$100)
&amp;IF(Z181=0,"",Z181&amp;" "&amp;Z$100)
&amp;IF(AC181=0,"",AC181&amp;" "&amp;AC$100)
&amp;IF(AE181=0,"",AE181&amp;" "&amp;AE$100)
&amp;IF(AG181=0,"",AG181&amp;" "&amp;AG$100)
&amp;IF(AI181=0,"",AI181&amp;" "&amp;AI$100)</f>
        <v>-500 Bonus</v>
      </c>
      <c r="B181" s="821">
        <f t="shared" si="12"/>
        <v>81</v>
      </c>
      <c r="C181" s="822"/>
      <c r="D181" s="821"/>
      <c r="E181" s="823">
        <v>0</v>
      </c>
      <c r="F181" s="824">
        <v>0</v>
      </c>
      <c r="G181" s="825">
        <v>0</v>
      </c>
      <c r="H181" s="825">
        <v>0</v>
      </c>
      <c r="I181" s="826">
        <v>0</v>
      </c>
      <c r="J181" s="826"/>
      <c r="K181" s="826"/>
      <c r="L181" s="826"/>
      <c r="M181" s="826"/>
      <c r="N181" s="826"/>
      <c r="O181" s="826"/>
      <c r="P181" s="826"/>
      <c r="Q181" s="827">
        <v>0</v>
      </c>
      <c r="R181" s="828">
        <v>0</v>
      </c>
      <c r="S181" s="828">
        <v>0</v>
      </c>
      <c r="T181" s="828">
        <v>0</v>
      </c>
      <c r="U181" s="828">
        <v>0</v>
      </c>
      <c r="V181" s="828">
        <v>0</v>
      </c>
      <c r="W181" s="828" t="s">
        <v>122</v>
      </c>
      <c r="X181" s="826"/>
      <c r="Y181" s="825">
        <v>0</v>
      </c>
      <c r="Z181" s="829">
        <v>0</v>
      </c>
      <c r="AA181" s="825">
        <v>0</v>
      </c>
      <c r="AB181" s="826">
        <v>0</v>
      </c>
      <c r="AC181" s="825">
        <v>0</v>
      </c>
      <c r="AD181" s="826">
        <v>0</v>
      </c>
      <c r="AE181" s="825">
        <v>0</v>
      </c>
      <c r="AF181" s="826">
        <v>0</v>
      </c>
      <c r="AG181" s="825">
        <v>-500</v>
      </c>
      <c r="AH181" s="826">
        <v>0</v>
      </c>
      <c r="AI181" s="825">
        <v>0</v>
      </c>
      <c r="AJ181" s="826">
        <v>0</v>
      </c>
    </row>
    <row r="182" spans="1:36" s="830" customFormat="1" collapsed="1">
      <c r="A182" s="821" t="str">
        <f t="shared" ref="A182:A200" si="13">IF(E182=0,"",E182&amp;" "&amp;E$100)
&amp;IF(F182=0,"",F182&amp;" "&amp;F$100)
&amp;IF(Q182=0,"",Q182&amp;" "&amp;Q$100)
&amp;IF(U182=0,"",U182*100&amp;" "&amp;U$100)
&amp;IF(V182=0,"",V182*100&amp;" "&amp;V$100)
&amp;IF(Y182=0,"",Y182&amp;" "&amp;Y$100)
&amp;IF(Z182=0,"",Z182&amp;" "&amp;Z$100)
&amp;IF(AC182=0,"",AC182&amp;" "&amp;AC$100)
&amp;IF(AE182=0,"",AE182&amp;" "&amp;AE$100)
&amp;IF(AG182=0,"",AG182&amp;" "&amp;AG$100)
&amp;IF(AI182=0,"",AI182&amp;" "&amp;AI$100)</f>
        <v xml:space="preserve">-500 BC, </v>
      </c>
      <c r="B182" s="821">
        <f t="shared" si="12"/>
        <v>82</v>
      </c>
      <c r="C182" s="822"/>
      <c r="D182" s="821"/>
      <c r="E182" s="823">
        <v>0</v>
      </c>
      <c r="F182" s="824">
        <v>0</v>
      </c>
      <c r="G182" s="825">
        <v>0</v>
      </c>
      <c r="H182" s="825">
        <v>0</v>
      </c>
      <c r="I182" s="826">
        <v>0</v>
      </c>
      <c r="J182" s="826"/>
      <c r="K182" s="826"/>
      <c r="L182" s="826"/>
      <c r="M182" s="826"/>
      <c r="N182" s="826"/>
      <c r="O182" s="826"/>
      <c r="P182" s="826"/>
      <c r="Q182" s="827">
        <v>0</v>
      </c>
      <c r="R182" s="828">
        <v>0</v>
      </c>
      <c r="S182" s="828">
        <v>0</v>
      </c>
      <c r="T182" s="828">
        <v>0</v>
      </c>
      <c r="U182" s="828">
        <v>0</v>
      </c>
      <c r="V182" s="828">
        <v>0</v>
      </c>
      <c r="W182" s="828" t="s">
        <v>122</v>
      </c>
      <c r="X182" s="826"/>
      <c r="Y182" s="825">
        <v>0</v>
      </c>
      <c r="Z182" s="829">
        <v>-500</v>
      </c>
      <c r="AA182" s="825">
        <v>0</v>
      </c>
      <c r="AB182" s="826">
        <v>0</v>
      </c>
      <c r="AC182" s="825">
        <v>0</v>
      </c>
      <c r="AD182" s="826">
        <v>0</v>
      </c>
      <c r="AE182" s="825">
        <v>0</v>
      </c>
      <c r="AF182" s="826">
        <v>0</v>
      </c>
      <c r="AG182" s="825">
        <v>0</v>
      </c>
      <c r="AH182" s="826">
        <v>0</v>
      </c>
      <c r="AI182" s="825">
        <v>0</v>
      </c>
      <c r="AJ182" s="826">
        <v>0</v>
      </c>
    </row>
    <row r="183" spans="1:36" s="830" customFormat="1" collapsed="1">
      <c r="A183" s="821" t="str">
        <f t="shared" si="13"/>
        <v>-1000 RBC, -500 Event Lease</v>
      </c>
      <c r="B183" s="821">
        <f t="shared" si="12"/>
        <v>83</v>
      </c>
      <c r="C183" s="822"/>
      <c r="D183" s="821"/>
      <c r="E183" s="823">
        <v>0</v>
      </c>
      <c r="F183" s="824">
        <v>0</v>
      </c>
      <c r="G183" s="825">
        <v>0</v>
      </c>
      <c r="H183" s="825">
        <v>0</v>
      </c>
      <c r="I183" s="826">
        <v>0</v>
      </c>
      <c r="J183" s="826"/>
      <c r="K183" s="826"/>
      <c r="L183" s="826"/>
      <c r="M183" s="826"/>
      <c r="N183" s="826"/>
      <c r="O183" s="826"/>
      <c r="P183" s="826"/>
      <c r="Q183" s="827">
        <v>0</v>
      </c>
      <c r="R183" s="828">
        <v>0</v>
      </c>
      <c r="S183" s="828">
        <v>0</v>
      </c>
      <c r="T183" s="828">
        <v>0</v>
      </c>
      <c r="U183" s="828">
        <v>0</v>
      </c>
      <c r="V183" s="828">
        <v>0</v>
      </c>
      <c r="W183" s="828" t="s">
        <v>122</v>
      </c>
      <c r="X183" s="826"/>
      <c r="Y183" s="825">
        <v>0</v>
      </c>
      <c r="Z183" s="829">
        <v>0</v>
      </c>
      <c r="AA183" s="825">
        <v>0</v>
      </c>
      <c r="AB183" s="826">
        <v>0</v>
      </c>
      <c r="AC183" s="825">
        <f>-AC101</f>
        <v>-1000</v>
      </c>
      <c r="AD183" s="826">
        <v>0</v>
      </c>
      <c r="AE183" s="825">
        <v>0</v>
      </c>
      <c r="AF183" s="826">
        <v>0</v>
      </c>
      <c r="AG183" s="825">
        <v>0</v>
      </c>
      <c r="AH183" s="826">
        <v>0</v>
      </c>
      <c r="AI183" s="825">
        <f>-AI101</f>
        <v>-500</v>
      </c>
      <c r="AJ183" s="826">
        <v>0</v>
      </c>
    </row>
    <row r="184" spans="1:36" s="830" customFormat="1">
      <c r="A184" s="821" t="str">
        <f t="shared" si="13"/>
        <v xml:space="preserve">-250 CC, 0.9 % 60M, 1 % 72M, </v>
      </c>
      <c r="B184" s="821">
        <f t="shared" si="12"/>
        <v>84</v>
      </c>
      <c r="C184" s="821"/>
      <c r="D184" s="821"/>
      <c r="E184" s="823">
        <v>-250</v>
      </c>
      <c r="F184" s="824">
        <v>0</v>
      </c>
      <c r="G184" s="825">
        <v>0</v>
      </c>
      <c r="H184" s="825">
        <v>0</v>
      </c>
      <c r="I184" s="826">
        <v>0</v>
      </c>
      <c r="J184" s="826"/>
      <c r="K184" s="826"/>
      <c r="L184" s="826"/>
      <c r="M184" s="826"/>
      <c r="N184" s="826"/>
      <c r="O184" s="826"/>
      <c r="P184" s="826"/>
      <c r="Q184" s="827">
        <v>0</v>
      </c>
      <c r="R184" s="828">
        <v>0</v>
      </c>
      <c r="S184" s="828">
        <v>0</v>
      </c>
      <c r="T184" s="828">
        <v>0</v>
      </c>
      <c r="U184" s="828">
        <f t="shared" ref="U184:V186" si="14">IF(U$112=0,0.9%,1%)</f>
        <v>9.0000000000000011E-3</v>
      </c>
      <c r="V184" s="828">
        <f t="shared" si="14"/>
        <v>0.01</v>
      </c>
      <c r="W184" s="828" t="s">
        <v>122</v>
      </c>
      <c r="X184" s="826"/>
      <c r="Y184" s="825">
        <v>0</v>
      </c>
      <c r="Z184" s="829">
        <v>0</v>
      </c>
      <c r="AA184" s="825">
        <v>0</v>
      </c>
      <c r="AB184" s="826">
        <v>0</v>
      </c>
      <c r="AC184" s="825">
        <v>0</v>
      </c>
      <c r="AD184" s="826">
        <v>0</v>
      </c>
      <c r="AE184" s="825">
        <v>0</v>
      </c>
      <c r="AF184" s="826">
        <v>0</v>
      </c>
      <c r="AG184" s="825">
        <v>0</v>
      </c>
      <c r="AH184" s="826">
        <v>0</v>
      </c>
      <c r="AI184" s="825">
        <v>0</v>
      </c>
      <c r="AJ184" s="826">
        <v>0</v>
      </c>
    </row>
    <row r="185" spans="1:36" s="830" customFormat="1" collapsed="1">
      <c r="A185" s="821" t="str">
        <f t="shared" si="13"/>
        <v xml:space="preserve">-180 Lease, </v>
      </c>
      <c r="B185" s="821">
        <f t="shared" si="12"/>
        <v>85</v>
      </c>
      <c r="C185" s="822"/>
      <c r="D185" s="821"/>
      <c r="E185" s="823">
        <v>0</v>
      </c>
      <c r="F185" s="824">
        <v>0</v>
      </c>
      <c r="G185" s="825">
        <v>0</v>
      </c>
      <c r="H185" s="825">
        <v>0</v>
      </c>
      <c r="I185" s="826">
        <v>0</v>
      </c>
      <c r="J185" s="826"/>
      <c r="K185" s="826"/>
      <c r="L185" s="826"/>
      <c r="M185" s="826"/>
      <c r="N185" s="826"/>
      <c r="O185" s="826"/>
      <c r="P185" s="826"/>
      <c r="Q185" s="827">
        <v>0</v>
      </c>
      <c r="R185" s="828">
        <v>0</v>
      </c>
      <c r="S185" s="828">
        <v>0</v>
      </c>
      <c r="T185" s="828">
        <v>0</v>
      </c>
      <c r="U185" s="828">
        <v>0</v>
      </c>
      <c r="V185" s="828">
        <v>0</v>
      </c>
      <c r="W185" s="828" t="s">
        <v>122</v>
      </c>
      <c r="X185" s="826"/>
      <c r="Y185" s="825">
        <v>-180</v>
      </c>
      <c r="Z185" s="829">
        <v>0</v>
      </c>
      <c r="AA185" s="825">
        <v>0</v>
      </c>
      <c r="AB185" s="826">
        <v>0</v>
      </c>
      <c r="AC185" s="825">
        <v>0</v>
      </c>
      <c r="AD185" s="826">
        <v>0</v>
      </c>
      <c r="AE185" s="825">
        <v>0</v>
      </c>
      <c r="AF185" s="826">
        <v>0</v>
      </c>
      <c r="AG185" s="825">
        <v>0</v>
      </c>
      <c r="AH185" s="826">
        <v>0</v>
      </c>
      <c r="AI185" s="825">
        <v>0</v>
      </c>
      <c r="AJ185" s="826">
        <v>0</v>
      </c>
    </row>
    <row r="186" spans="1:36" s="830" customFormat="1">
      <c r="A186" s="821" t="str">
        <f t="shared" si="13"/>
        <v xml:space="preserve">-250 CC, 0.9 % 60M, 1 % 72M, -180 Lease, </v>
      </c>
      <c r="B186" s="821">
        <f t="shared" si="12"/>
        <v>86</v>
      </c>
      <c r="C186" s="821"/>
      <c r="D186" s="821"/>
      <c r="E186" s="823">
        <v>-250</v>
      </c>
      <c r="F186" s="824">
        <v>0</v>
      </c>
      <c r="G186" s="825">
        <v>0</v>
      </c>
      <c r="H186" s="825">
        <v>0</v>
      </c>
      <c r="I186" s="826">
        <v>0</v>
      </c>
      <c r="J186" s="826"/>
      <c r="K186" s="826"/>
      <c r="L186" s="826"/>
      <c r="M186" s="826"/>
      <c r="N186" s="826"/>
      <c r="O186" s="826"/>
      <c r="P186" s="826"/>
      <c r="Q186" s="827">
        <v>0</v>
      </c>
      <c r="R186" s="828">
        <v>0</v>
      </c>
      <c r="S186" s="828">
        <v>0</v>
      </c>
      <c r="T186" s="828">
        <v>0</v>
      </c>
      <c r="U186" s="828">
        <f t="shared" si="14"/>
        <v>9.0000000000000011E-3</v>
      </c>
      <c r="V186" s="828">
        <f t="shared" si="14"/>
        <v>0.01</v>
      </c>
      <c r="W186" s="828" t="s">
        <v>122</v>
      </c>
      <c r="X186" s="826"/>
      <c r="Y186" s="825">
        <v>-180</v>
      </c>
      <c r="Z186" s="829">
        <v>0</v>
      </c>
      <c r="AA186" s="825">
        <v>0</v>
      </c>
      <c r="AB186" s="826">
        <v>0</v>
      </c>
      <c r="AC186" s="825">
        <v>0</v>
      </c>
      <c r="AD186" s="826">
        <v>0</v>
      </c>
      <c r="AE186" s="825">
        <v>0</v>
      </c>
      <c r="AF186" s="826">
        <v>0</v>
      </c>
      <c r="AG186" s="825">
        <v>0</v>
      </c>
      <c r="AH186" s="826">
        <v>0</v>
      </c>
      <c r="AI186" s="825">
        <v>0</v>
      </c>
      <c r="AJ186" s="826">
        <v>0</v>
      </c>
    </row>
    <row r="187" spans="1:36" s="830" customFormat="1" collapsed="1">
      <c r="A187" s="821" t="str">
        <f t="shared" si="13"/>
        <v xml:space="preserve">250 CC, -180 Lease, </v>
      </c>
      <c r="B187" s="821">
        <f t="shared" si="12"/>
        <v>87</v>
      </c>
      <c r="C187" s="822"/>
      <c r="D187" s="821"/>
      <c r="E187" s="823">
        <v>250</v>
      </c>
      <c r="F187" s="824">
        <v>0</v>
      </c>
      <c r="G187" s="825">
        <v>0</v>
      </c>
      <c r="H187" s="825">
        <v>0</v>
      </c>
      <c r="I187" s="826">
        <v>0</v>
      </c>
      <c r="J187" s="826"/>
      <c r="K187" s="826"/>
      <c r="L187" s="826"/>
      <c r="M187" s="826"/>
      <c r="N187" s="826"/>
      <c r="O187" s="826"/>
      <c r="P187" s="826"/>
      <c r="Q187" s="827">
        <v>0</v>
      </c>
      <c r="R187" s="828">
        <v>0</v>
      </c>
      <c r="S187" s="828">
        <v>0</v>
      </c>
      <c r="T187" s="828">
        <v>0</v>
      </c>
      <c r="U187" s="828">
        <v>0</v>
      </c>
      <c r="V187" s="828">
        <v>0</v>
      </c>
      <c r="W187" s="828" t="s">
        <v>122</v>
      </c>
      <c r="X187" s="826"/>
      <c r="Y187" s="825">
        <v>-180</v>
      </c>
      <c r="Z187" s="829">
        <v>0</v>
      </c>
      <c r="AA187" s="825">
        <v>0</v>
      </c>
      <c r="AB187" s="826">
        <v>0</v>
      </c>
      <c r="AC187" s="825">
        <v>0</v>
      </c>
      <c r="AD187" s="826">
        <v>0</v>
      </c>
      <c r="AE187" s="825">
        <v>0</v>
      </c>
      <c r="AF187" s="826">
        <v>0</v>
      </c>
      <c r="AG187" s="825">
        <v>0</v>
      </c>
      <c r="AH187" s="826">
        <v>0</v>
      </c>
      <c r="AI187" s="825">
        <v>0</v>
      </c>
      <c r="AJ187" s="826">
        <v>0</v>
      </c>
    </row>
    <row r="188" spans="1:36" s="830" customFormat="1">
      <c r="A188" s="821" t="str">
        <f t="shared" si="13"/>
        <v/>
      </c>
      <c r="B188" s="821">
        <f t="shared" si="12"/>
        <v>88</v>
      </c>
      <c r="C188" s="821"/>
      <c r="D188" s="821"/>
      <c r="E188" s="823">
        <v>0</v>
      </c>
      <c r="F188" s="824">
        <v>0</v>
      </c>
      <c r="G188" s="825">
        <v>0</v>
      </c>
      <c r="H188" s="825">
        <v>0</v>
      </c>
      <c r="I188" s="826">
        <v>0</v>
      </c>
      <c r="J188" s="826"/>
      <c r="K188" s="826"/>
      <c r="L188" s="826"/>
      <c r="M188" s="826"/>
      <c r="N188" s="826"/>
      <c r="O188" s="826"/>
      <c r="P188" s="826"/>
      <c r="Q188" s="827">
        <v>0</v>
      </c>
      <c r="R188" s="828">
        <v>0</v>
      </c>
      <c r="S188" s="828">
        <v>0</v>
      </c>
      <c r="T188" s="828">
        <v>0</v>
      </c>
      <c r="U188" s="828">
        <v>0</v>
      </c>
      <c r="V188" s="828">
        <v>0</v>
      </c>
      <c r="W188" s="828" t="s">
        <v>122</v>
      </c>
      <c r="X188" s="826"/>
      <c r="Y188" s="825">
        <v>0</v>
      </c>
      <c r="Z188" s="829">
        <v>0</v>
      </c>
      <c r="AA188" s="825">
        <v>0</v>
      </c>
      <c r="AB188" s="826">
        <v>0</v>
      </c>
      <c r="AC188" s="825">
        <v>0</v>
      </c>
      <c r="AD188" s="826">
        <v>0</v>
      </c>
      <c r="AE188" s="825">
        <v>0</v>
      </c>
      <c r="AF188" s="826">
        <v>0</v>
      </c>
      <c r="AG188" s="825">
        <v>0</v>
      </c>
      <c r="AH188" s="826">
        <v>0</v>
      </c>
      <c r="AI188" s="825">
        <v>0</v>
      </c>
      <c r="AJ188" s="826">
        <v>0</v>
      </c>
    </row>
    <row r="189" spans="1:36" s="830" customFormat="1" collapsed="1">
      <c r="A189" s="821" t="str">
        <f t="shared" si="13"/>
        <v/>
      </c>
      <c r="B189" s="821">
        <f t="shared" si="12"/>
        <v>89</v>
      </c>
      <c r="C189" s="822"/>
      <c r="D189" s="821"/>
      <c r="E189" s="823">
        <v>0</v>
      </c>
      <c r="F189" s="824">
        <v>0</v>
      </c>
      <c r="G189" s="825">
        <v>0</v>
      </c>
      <c r="H189" s="825">
        <v>0</v>
      </c>
      <c r="I189" s="826">
        <v>0</v>
      </c>
      <c r="J189" s="826"/>
      <c r="K189" s="826"/>
      <c r="L189" s="826"/>
      <c r="M189" s="826"/>
      <c r="N189" s="826"/>
      <c r="O189" s="826"/>
      <c r="P189" s="826"/>
      <c r="Q189" s="827">
        <v>0</v>
      </c>
      <c r="R189" s="828">
        <v>0</v>
      </c>
      <c r="S189" s="828">
        <v>0</v>
      </c>
      <c r="T189" s="828">
        <v>0</v>
      </c>
      <c r="U189" s="828">
        <v>0</v>
      </c>
      <c r="V189" s="828">
        <v>0</v>
      </c>
      <c r="W189" s="828" t="s">
        <v>122</v>
      </c>
      <c r="X189" s="826"/>
      <c r="Y189" s="825">
        <v>0</v>
      </c>
      <c r="Z189" s="829">
        <v>0</v>
      </c>
      <c r="AA189" s="825">
        <v>0</v>
      </c>
      <c r="AB189" s="826">
        <v>0</v>
      </c>
      <c r="AC189" s="825">
        <v>0</v>
      </c>
      <c r="AD189" s="826">
        <v>0</v>
      </c>
      <c r="AE189" s="825">
        <v>0</v>
      </c>
      <c r="AF189" s="826">
        <v>0</v>
      </c>
      <c r="AG189" s="825">
        <v>0</v>
      </c>
      <c r="AH189" s="826">
        <v>0</v>
      </c>
      <c r="AI189" s="825">
        <v>0</v>
      </c>
      <c r="AJ189" s="826">
        <v>0</v>
      </c>
    </row>
    <row r="190" spans="1:36" s="830" customFormat="1">
      <c r="A190" s="821" t="str">
        <f t="shared" si="13"/>
        <v/>
      </c>
      <c r="B190" s="821">
        <f t="shared" si="12"/>
        <v>90</v>
      </c>
      <c r="C190" s="821"/>
      <c r="D190" s="821"/>
      <c r="E190" s="823">
        <v>0</v>
      </c>
      <c r="F190" s="824">
        <v>0</v>
      </c>
      <c r="G190" s="825">
        <v>0</v>
      </c>
      <c r="H190" s="825">
        <v>0</v>
      </c>
      <c r="I190" s="826">
        <v>0</v>
      </c>
      <c r="J190" s="826"/>
      <c r="K190" s="826"/>
      <c r="L190" s="826"/>
      <c r="M190" s="826"/>
      <c r="N190" s="826"/>
      <c r="O190" s="826"/>
      <c r="P190" s="826"/>
      <c r="Q190" s="827">
        <v>0</v>
      </c>
      <c r="R190" s="828">
        <v>0</v>
      </c>
      <c r="S190" s="828">
        <v>0</v>
      </c>
      <c r="T190" s="828">
        <v>0</v>
      </c>
      <c r="U190" s="828">
        <v>0</v>
      </c>
      <c r="V190" s="828">
        <v>0</v>
      </c>
      <c r="W190" s="828" t="s">
        <v>122</v>
      </c>
      <c r="X190" s="826"/>
      <c r="Y190" s="825">
        <v>0</v>
      </c>
      <c r="Z190" s="829">
        <v>0</v>
      </c>
      <c r="AA190" s="825">
        <v>0</v>
      </c>
      <c r="AB190" s="826">
        <v>0</v>
      </c>
      <c r="AC190" s="825">
        <v>0</v>
      </c>
      <c r="AD190" s="826">
        <v>0</v>
      </c>
      <c r="AE190" s="825">
        <v>0</v>
      </c>
      <c r="AF190" s="826">
        <v>0</v>
      </c>
      <c r="AG190" s="825">
        <v>0</v>
      </c>
      <c r="AH190" s="826">
        <v>0</v>
      </c>
      <c r="AI190" s="825">
        <v>0</v>
      </c>
      <c r="AJ190" s="826">
        <v>0</v>
      </c>
    </row>
    <row r="191" spans="1:36" s="830" customFormat="1" collapsed="1">
      <c r="A191" s="821" t="str">
        <f t="shared" si="13"/>
        <v/>
      </c>
      <c r="B191" s="821">
        <f t="shared" si="12"/>
        <v>91</v>
      </c>
      <c r="C191" s="822"/>
      <c r="D191" s="821"/>
      <c r="E191" s="823">
        <v>0</v>
      </c>
      <c r="F191" s="824">
        <v>0</v>
      </c>
      <c r="G191" s="825">
        <v>0</v>
      </c>
      <c r="H191" s="825">
        <v>0</v>
      </c>
      <c r="I191" s="826">
        <v>0</v>
      </c>
      <c r="J191" s="826"/>
      <c r="K191" s="826"/>
      <c r="L191" s="826"/>
      <c r="M191" s="826"/>
      <c r="N191" s="826"/>
      <c r="O191" s="826"/>
      <c r="P191" s="826"/>
      <c r="Q191" s="827">
        <v>0</v>
      </c>
      <c r="R191" s="828">
        <v>0</v>
      </c>
      <c r="S191" s="828">
        <v>0</v>
      </c>
      <c r="T191" s="828">
        <v>0</v>
      </c>
      <c r="U191" s="828">
        <v>0</v>
      </c>
      <c r="V191" s="828">
        <v>0</v>
      </c>
      <c r="W191" s="828" t="s">
        <v>122</v>
      </c>
      <c r="X191" s="826"/>
      <c r="Y191" s="825">
        <v>0</v>
      </c>
      <c r="Z191" s="829">
        <v>0</v>
      </c>
      <c r="AA191" s="825">
        <v>0</v>
      </c>
      <c r="AB191" s="826">
        <v>0</v>
      </c>
      <c r="AC191" s="825">
        <v>0</v>
      </c>
      <c r="AD191" s="826">
        <v>0</v>
      </c>
      <c r="AE191" s="825">
        <v>0</v>
      </c>
      <c r="AF191" s="826">
        <v>0</v>
      </c>
      <c r="AG191" s="825">
        <v>0</v>
      </c>
      <c r="AH191" s="826">
        <v>0</v>
      </c>
      <c r="AI191" s="825">
        <v>0</v>
      </c>
      <c r="AJ191" s="826">
        <v>0</v>
      </c>
    </row>
    <row r="192" spans="1:36" s="830" customFormat="1">
      <c r="A192" s="821" t="str">
        <f t="shared" si="13"/>
        <v/>
      </c>
      <c r="B192" s="821">
        <f t="shared" si="12"/>
        <v>92</v>
      </c>
      <c r="C192" s="821"/>
      <c r="D192" s="821"/>
      <c r="E192" s="823">
        <v>0</v>
      </c>
      <c r="F192" s="824">
        <v>0</v>
      </c>
      <c r="G192" s="825">
        <v>0</v>
      </c>
      <c r="H192" s="825">
        <v>0</v>
      </c>
      <c r="I192" s="826">
        <v>0</v>
      </c>
      <c r="J192" s="826"/>
      <c r="K192" s="826"/>
      <c r="L192" s="826"/>
      <c r="M192" s="826"/>
      <c r="N192" s="826"/>
      <c r="O192" s="826"/>
      <c r="P192" s="826"/>
      <c r="Q192" s="827">
        <v>0</v>
      </c>
      <c r="R192" s="828">
        <v>0</v>
      </c>
      <c r="S192" s="828">
        <v>0</v>
      </c>
      <c r="T192" s="828">
        <v>0</v>
      </c>
      <c r="U192" s="828">
        <v>0</v>
      </c>
      <c r="V192" s="828">
        <v>0</v>
      </c>
      <c r="W192" s="828" t="s">
        <v>122</v>
      </c>
      <c r="X192" s="826"/>
      <c r="Y192" s="825">
        <v>0</v>
      </c>
      <c r="Z192" s="829">
        <v>0</v>
      </c>
      <c r="AA192" s="825">
        <v>0</v>
      </c>
      <c r="AB192" s="826">
        <v>0</v>
      </c>
      <c r="AC192" s="825">
        <v>0</v>
      </c>
      <c r="AD192" s="826">
        <v>0</v>
      </c>
      <c r="AE192" s="825">
        <v>0</v>
      </c>
      <c r="AF192" s="826">
        <v>0</v>
      </c>
      <c r="AG192" s="825">
        <v>0</v>
      </c>
      <c r="AH192" s="826">
        <v>0</v>
      </c>
      <c r="AI192" s="825">
        <v>0</v>
      </c>
      <c r="AJ192" s="826">
        <v>0</v>
      </c>
    </row>
    <row r="193" spans="1:36" s="830" customFormat="1" collapsed="1">
      <c r="A193" s="821" t="str">
        <f t="shared" si="13"/>
        <v/>
      </c>
      <c r="B193" s="821">
        <f t="shared" si="12"/>
        <v>93</v>
      </c>
      <c r="C193" s="822"/>
      <c r="D193" s="821"/>
      <c r="E193" s="823">
        <v>0</v>
      </c>
      <c r="F193" s="824">
        <v>0</v>
      </c>
      <c r="G193" s="825">
        <v>0</v>
      </c>
      <c r="H193" s="825">
        <v>0</v>
      </c>
      <c r="I193" s="826">
        <v>0</v>
      </c>
      <c r="J193" s="826"/>
      <c r="K193" s="826"/>
      <c r="L193" s="826"/>
      <c r="M193" s="826"/>
      <c r="N193" s="826"/>
      <c r="O193" s="826"/>
      <c r="P193" s="826"/>
      <c r="Q193" s="827">
        <v>0</v>
      </c>
      <c r="R193" s="828">
        <v>0</v>
      </c>
      <c r="S193" s="828">
        <v>0</v>
      </c>
      <c r="T193" s="828">
        <v>0</v>
      </c>
      <c r="U193" s="828">
        <v>0</v>
      </c>
      <c r="V193" s="828">
        <v>0</v>
      </c>
      <c r="W193" s="828" t="s">
        <v>122</v>
      </c>
      <c r="X193" s="826"/>
      <c r="Y193" s="825">
        <v>0</v>
      </c>
      <c r="Z193" s="829">
        <v>0</v>
      </c>
      <c r="AA193" s="825">
        <v>0</v>
      </c>
      <c r="AB193" s="826">
        <v>0</v>
      </c>
      <c r="AC193" s="825">
        <v>0</v>
      </c>
      <c r="AD193" s="826">
        <v>0</v>
      </c>
      <c r="AE193" s="825">
        <v>0</v>
      </c>
      <c r="AF193" s="826">
        <v>0</v>
      </c>
      <c r="AG193" s="825">
        <v>0</v>
      </c>
      <c r="AH193" s="826">
        <v>0</v>
      </c>
      <c r="AI193" s="825">
        <v>0</v>
      </c>
      <c r="AJ193" s="826">
        <v>0</v>
      </c>
    </row>
    <row r="194" spans="1:36">
      <c r="A194" s="821" t="str">
        <f t="shared" si="13"/>
        <v/>
      </c>
      <c r="B194" s="821">
        <f t="shared" si="12"/>
        <v>94</v>
      </c>
      <c r="E194" s="823">
        <v>0</v>
      </c>
      <c r="F194" s="824">
        <v>0</v>
      </c>
      <c r="G194" s="825">
        <v>0</v>
      </c>
      <c r="H194" s="825">
        <v>0</v>
      </c>
      <c r="I194" s="826">
        <v>0</v>
      </c>
      <c r="J194" s="826"/>
      <c r="K194" s="826"/>
      <c r="L194" s="826"/>
      <c r="M194" s="826"/>
      <c r="N194" s="826"/>
      <c r="O194" s="826"/>
      <c r="P194" s="826"/>
      <c r="Q194" s="827">
        <v>0</v>
      </c>
      <c r="R194" s="828">
        <v>0</v>
      </c>
      <c r="S194" s="828">
        <v>0</v>
      </c>
      <c r="T194" s="828">
        <v>0</v>
      </c>
      <c r="U194" s="828">
        <v>0</v>
      </c>
      <c r="V194" s="828">
        <v>0</v>
      </c>
      <c r="W194" s="828" t="s">
        <v>122</v>
      </c>
      <c r="X194" s="826"/>
      <c r="Y194" s="825">
        <v>0</v>
      </c>
      <c r="Z194" s="829">
        <v>0</v>
      </c>
      <c r="AA194" s="825">
        <v>0</v>
      </c>
      <c r="AB194" s="826">
        <v>0</v>
      </c>
      <c r="AC194" s="825">
        <v>0</v>
      </c>
      <c r="AD194" s="826">
        <v>0</v>
      </c>
      <c r="AE194" s="825">
        <v>0</v>
      </c>
      <c r="AF194" s="826">
        <v>0</v>
      </c>
      <c r="AG194" s="825">
        <v>0</v>
      </c>
      <c r="AH194" s="826">
        <v>0</v>
      </c>
      <c r="AI194" s="825">
        <v>0</v>
      </c>
      <c r="AJ194" s="826">
        <v>0</v>
      </c>
    </row>
    <row r="195" spans="1:36">
      <c r="A195" s="821" t="str">
        <f t="shared" si="13"/>
        <v/>
      </c>
      <c r="B195" s="821">
        <f t="shared" si="12"/>
        <v>95</v>
      </c>
      <c r="E195" s="823">
        <v>0</v>
      </c>
      <c r="F195" s="824">
        <v>0</v>
      </c>
      <c r="G195" s="825">
        <v>0</v>
      </c>
      <c r="H195" s="825">
        <v>0</v>
      </c>
      <c r="I195" s="826">
        <v>0</v>
      </c>
      <c r="J195" s="826"/>
      <c r="K195" s="826"/>
      <c r="L195" s="826"/>
      <c r="M195" s="826"/>
      <c r="N195" s="826"/>
      <c r="O195" s="826"/>
      <c r="P195" s="826"/>
      <c r="Q195" s="827">
        <v>0</v>
      </c>
      <c r="R195" s="828">
        <v>0</v>
      </c>
      <c r="S195" s="828">
        <v>0</v>
      </c>
      <c r="T195" s="828">
        <v>0</v>
      </c>
      <c r="U195" s="828">
        <v>0</v>
      </c>
      <c r="V195" s="828">
        <v>0</v>
      </c>
      <c r="W195" s="828" t="s">
        <v>122</v>
      </c>
      <c r="X195" s="826"/>
      <c r="Y195" s="825">
        <v>0</v>
      </c>
      <c r="Z195" s="829">
        <v>0</v>
      </c>
      <c r="AA195" s="825">
        <v>0</v>
      </c>
      <c r="AB195" s="826">
        <v>0</v>
      </c>
      <c r="AC195" s="825">
        <v>0</v>
      </c>
      <c r="AD195" s="826">
        <v>0</v>
      </c>
      <c r="AE195" s="825">
        <v>0</v>
      </c>
      <c r="AF195" s="826">
        <v>0</v>
      </c>
      <c r="AG195" s="825">
        <v>0</v>
      </c>
      <c r="AH195" s="826">
        <v>0</v>
      </c>
      <c r="AI195" s="825">
        <v>0</v>
      </c>
      <c r="AJ195" s="826">
        <v>0</v>
      </c>
    </row>
    <row r="196" spans="1:36">
      <c r="A196" s="821" t="str">
        <f t="shared" si="13"/>
        <v/>
      </c>
      <c r="B196" s="821">
        <f t="shared" si="12"/>
        <v>96</v>
      </c>
      <c r="E196" s="823">
        <v>0</v>
      </c>
      <c r="F196" s="824">
        <v>0</v>
      </c>
      <c r="G196" s="825">
        <v>0</v>
      </c>
      <c r="H196" s="825">
        <v>0</v>
      </c>
      <c r="I196" s="826">
        <v>0</v>
      </c>
      <c r="J196" s="826"/>
      <c r="K196" s="826"/>
      <c r="L196" s="826"/>
      <c r="M196" s="826"/>
      <c r="N196" s="826"/>
      <c r="O196" s="826"/>
      <c r="P196" s="826"/>
      <c r="Q196" s="827">
        <v>0</v>
      </c>
      <c r="R196" s="828">
        <v>0</v>
      </c>
      <c r="S196" s="828">
        <v>0</v>
      </c>
      <c r="T196" s="828">
        <v>0</v>
      </c>
      <c r="U196" s="828">
        <v>0</v>
      </c>
      <c r="V196" s="828">
        <v>0</v>
      </c>
      <c r="W196" s="828" t="s">
        <v>122</v>
      </c>
      <c r="X196" s="826"/>
      <c r="Y196" s="825">
        <v>0</v>
      </c>
      <c r="Z196" s="829">
        <v>0</v>
      </c>
      <c r="AA196" s="825">
        <v>0</v>
      </c>
      <c r="AB196" s="826">
        <v>0</v>
      </c>
      <c r="AC196" s="825">
        <v>0</v>
      </c>
      <c r="AD196" s="826">
        <v>0</v>
      </c>
      <c r="AE196" s="825">
        <v>0</v>
      </c>
      <c r="AF196" s="826">
        <v>0</v>
      </c>
      <c r="AG196" s="825">
        <v>0</v>
      </c>
      <c r="AH196" s="826">
        <v>0</v>
      </c>
      <c r="AI196" s="825">
        <v>0</v>
      </c>
      <c r="AJ196" s="826">
        <v>0</v>
      </c>
    </row>
    <row r="197" spans="1:36">
      <c r="A197" s="821" t="str">
        <f t="shared" si="13"/>
        <v/>
      </c>
      <c r="B197" s="821">
        <f t="shared" si="12"/>
        <v>97</v>
      </c>
      <c r="E197" s="823">
        <v>0</v>
      </c>
      <c r="F197" s="824">
        <v>0</v>
      </c>
      <c r="G197" s="825">
        <v>0</v>
      </c>
      <c r="H197" s="825">
        <v>0</v>
      </c>
      <c r="I197" s="826">
        <v>0</v>
      </c>
      <c r="J197" s="826"/>
      <c r="K197" s="826"/>
      <c r="L197" s="826"/>
      <c r="M197" s="826"/>
      <c r="N197" s="826"/>
      <c r="O197" s="826"/>
      <c r="P197" s="826"/>
      <c r="Q197" s="827">
        <v>0</v>
      </c>
      <c r="R197" s="828">
        <v>0</v>
      </c>
      <c r="S197" s="828">
        <v>0</v>
      </c>
      <c r="T197" s="828">
        <v>0</v>
      </c>
      <c r="U197" s="828">
        <v>0</v>
      </c>
      <c r="V197" s="828">
        <v>0</v>
      </c>
      <c r="W197" s="828" t="s">
        <v>122</v>
      </c>
      <c r="X197" s="826"/>
      <c r="Y197" s="825">
        <v>0</v>
      </c>
      <c r="Z197" s="829">
        <v>0</v>
      </c>
      <c r="AA197" s="825">
        <v>0</v>
      </c>
      <c r="AB197" s="826">
        <v>0</v>
      </c>
      <c r="AC197" s="825">
        <v>0</v>
      </c>
      <c r="AD197" s="826">
        <v>0</v>
      </c>
      <c r="AE197" s="825">
        <v>0</v>
      </c>
      <c r="AF197" s="826">
        <v>0</v>
      </c>
      <c r="AG197" s="825">
        <v>0</v>
      </c>
      <c r="AH197" s="826">
        <v>0</v>
      </c>
      <c r="AI197" s="825">
        <v>0</v>
      </c>
      <c r="AJ197" s="826">
        <v>0</v>
      </c>
    </row>
    <row r="198" spans="1:36">
      <c r="A198" s="821" t="str">
        <f t="shared" si="13"/>
        <v/>
      </c>
      <c r="B198" s="821">
        <f t="shared" si="12"/>
        <v>98</v>
      </c>
      <c r="E198" s="823">
        <v>0</v>
      </c>
      <c r="F198" s="824">
        <v>0</v>
      </c>
      <c r="G198" s="825">
        <v>0</v>
      </c>
      <c r="H198" s="825">
        <v>0</v>
      </c>
      <c r="I198" s="826">
        <v>0</v>
      </c>
      <c r="J198" s="826"/>
      <c r="K198" s="826"/>
      <c r="L198" s="826"/>
      <c r="M198" s="826"/>
      <c r="N198" s="826"/>
      <c r="O198" s="826"/>
      <c r="P198" s="826"/>
      <c r="Q198" s="827">
        <v>0</v>
      </c>
      <c r="R198" s="828">
        <v>0</v>
      </c>
      <c r="S198" s="828">
        <v>0</v>
      </c>
      <c r="T198" s="828">
        <v>0</v>
      </c>
      <c r="U198" s="828">
        <v>0</v>
      </c>
      <c r="V198" s="828">
        <v>0</v>
      </c>
      <c r="W198" s="828" t="s">
        <v>122</v>
      </c>
      <c r="X198" s="826"/>
      <c r="Y198" s="825">
        <v>0</v>
      </c>
      <c r="Z198" s="829">
        <v>0</v>
      </c>
      <c r="AA198" s="825">
        <v>0</v>
      </c>
      <c r="AB198" s="826">
        <v>0</v>
      </c>
      <c r="AC198" s="825">
        <v>0</v>
      </c>
      <c r="AD198" s="826">
        <v>0</v>
      </c>
      <c r="AE198" s="825">
        <v>0</v>
      </c>
      <c r="AF198" s="826">
        <v>0</v>
      </c>
      <c r="AG198" s="825">
        <v>0</v>
      </c>
      <c r="AH198" s="826">
        <v>0</v>
      </c>
      <c r="AI198" s="825">
        <v>0</v>
      </c>
      <c r="AJ198" s="826">
        <v>0</v>
      </c>
    </row>
    <row r="199" spans="1:36">
      <c r="A199" s="821" t="str">
        <f t="shared" si="13"/>
        <v/>
      </c>
      <c r="B199" s="821">
        <f t="shared" si="12"/>
        <v>99</v>
      </c>
      <c r="E199" s="823">
        <v>0</v>
      </c>
      <c r="F199" s="824">
        <v>0</v>
      </c>
      <c r="G199" s="825">
        <v>0</v>
      </c>
      <c r="H199" s="825">
        <v>0</v>
      </c>
      <c r="I199" s="826">
        <v>0</v>
      </c>
      <c r="J199" s="826"/>
      <c r="K199" s="826"/>
      <c r="L199" s="826"/>
      <c r="M199" s="826"/>
      <c r="N199" s="826"/>
      <c r="O199" s="826"/>
      <c r="P199" s="826"/>
      <c r="Q199" s="827">
        <v>0</v>
      </c>
      <c r="R199" s="828">
        <v>0</v>
      </c>
      <c r="S199" s="828">
        <v>0</v>
      </c>
      <c r="T199" s="828">
        <v>0</v>
      </c>
      <c r="U199" s="828">
        <v>0</v>
      </c>
      <c r="V199" s="828">
        <v>0</v>
      </c>
      <c r="W199" s="828" t="s">
        <v>122</v>
      </c>
      <c r="X199" s="826"/>
      <c r="Y199" s="825">
        <v>0</v>
      </c>
      <c r="Z199" s="829">
        <v>0</v>
      </c>
      <c r="AA199" s="825">
        <v>0</v>
      </c>
      <c r="AB199" s="826">
        <v>0</v>
      </c>
      <c r="AC199" s="825">
        <v>0</v>
      </c>
      <c r="AD199" s="826">
        <v>0</v>
      </c>
      <c r="AE199" s="825">
        <v>0</v>
      </c>
      <c r="AF199" s="826">
        <v>0</v>
      </c>
      <c r="AG199" s="825">
        <v>0</v>
      </c>
      <c r="AH199" s="826">
        <v>0</v>
      </c>
      <c r="AI199" s="825">
        <v>0</v>
      </c>
      <c r="AJ199" s="826">
        <v>0</v>
      </c>
    </row>
    <row r="200" spans="1:36" s="303" customFormat="1">
      <c r="A200" s="821" t="str">
        <f t="shared" si="13"/>
        <v/>
      </c>
      <c r="B200" s="821">
        <f t="shared" si="12"/>
        <v>100</v>
      </c>
      <c r="E200" s="823">
        <v>0</v>
      </c>
      <c r="F200" s="824">
        <v>0</v>
      </c>
      <c r="G200" s="825">
        <v>0</v>
      </c>
      <c r="H200" s="825">
        <v>0</v>
      </c>
      <c r="I200" s="826">
        <v>0</v>
      </c>
      <c r="J200" s="826"/>
      <c r="K200" s="826"/>
      <c r="L200" s="826"/>
      <c r="M200" s="826"/>
      <c r="N200" s="826"/>
      <c r="O200" s="826"/>
      <c r="P200" s="826"/>
      <c r="Q200" s="827">
        <v>0</v>
      </c>
      <c r="R200" s="828">
        <v>0</v>
      </c>
      <c r="S200" s="828">
        <v>0</v>
      </c>
      <c r="T200" s="828">
        <v>0</v>
      </c>
      <c r="U200" s="828">
        <v>0</v>
      </c>
      <c r="V200" s="828">
        <v>0</v>
      </c>
      <c r="W200" s="828" t="s">
        <v>122</v>
      </c>
      <c r="X200" s="826"/>
      <c r="Y200" s="825">
        <v>0</v>
      </c>
      <c r="Z200" s="829">
        <v>0</v>
      </c>
      <c r="AA200" s="825">
        <v>0</v>
      </c>
      <c r="AB200" s="826">
        <v>0</v>
      </c>
      <c r="AC200" s="825">
        <v>0</v>
      </c>
      <c r="AD200" s="826">
        <v>0</v>
      </c>
      <c r="AE200" s="825">
        <v>0</v>
      </c>
      <c r="AF200" s="826">
        <v>0</v>
      </c>
      <c r="AG200" s="825">
        <v>0</v>
      </c>
      <c r="AH200" s="826">
        <v>0</v>
      </c>
      <c r="AI200" s="825">
        <v>0</v>
      </c>
      <c r="AJ200" s="826">
        <v>0</v>
      </c>
    </row>
    <row r="201" spans="1:36">
      <c r="B201" s="303"/>
    </row>
    <row r="202" spans="1:36">
      <c r="B202" s="303"/>
    </row>
    <row r="203" spans="1:36">
      <c r="B203" s="303"/>
    </row>
    <row r="204" spans="1:36">
      <c r="B204" s="303"/>
    </row>
    <row r="205" spans="1:36">
      <c r="B205" s="303"/>
    </row>
  </sheetData>
  <mergeCells count="36">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 ref="Q98:Q99"/>
    <mergeCell ref="R98:R99"/>
    <mergeCell ref="S98:S99"/>
    <mergeCell ref="T98:T99"/>
    <mergeCell ref="U98:U99"/>
    <mergeCell ref="F98:F99"/>
    <mergeCell ref="G98:G99"/>
    <mergeCell ref="H98:H99"/>
    <mergeCell ref="I98:I99"/>
    <mergeCell ref="P98:P99"/>
    <mergeCell ref="J98:J99"/>
    <mergeCell ref="K98:K99"/>
    <mergeCell ref="L98:L99"/>
    <mergeCell ref="M98:M99"/>
    <mergeCell ref="N98:N99"/>
    <mergeCell ref="O98:O99"/>
    <mergeCell ref="A98:A99"/>
    <mergeCell ref="B98:B99"/>
    <mergeCell ref="C98:C99"/>
    <mergeCell ref="D98:D99"/>
    <mergeCell ref="E98:E9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764</v>
      </c>
      <c r="H1" s="295"/>
      <c r="I1" s="295"/>
      <c r="J1" s="295"/>
      <c r="K1" s="295"/>
      <c r="L1" s="295"/>
      <c r="M1" s="295"/>
      <c r="N1" s="295"/>
      <c r="O1" s="295"/>
      <c r="P1" s="295"/>
      <c r="Q1" s="295"/>
      <c r="R1" s="295"/>
      <c r="S1" s="295"/>
    </row>
    <row r="2" spans="1:24" ht="15.75" thickBot="1">
      <c r="A2" s="108">
        <f t="shared" ref="A2:A65" si="0">A1+1</f>
        <v>2</v>
      </c>
      <c r="H2" s="310" t="str">
        <f>Input!H2</f>
        <v>MY20 Kia Forte</v>
      </c>
      <c r="I2" s="311"/>
      <c r="J2" s="310" t="str">
        <f>Input!J2</f>
        <v>MY20 Kia Forte</v>
      </c>
      <c r="K2" s="311"/>
      <c r="L2" s="310" t="str">
        <f>Input!L2</f>
        <v>MY20 Kia Forte</v>
      </c>
      <c r="M2" s="311"/>
      <c r="N2" s="310" t="str">
        <f>Input!N2</f>
        <v>MY20 Kia Forte</v>
      </c>
      <c r="O2" s="311"/>
      <c r="P2" s="310" t="str">
        <f>Input!P2</f>
        <v>MY20 Kia Forte</v>
      </c>
      <c r="Q2" s="311"/>
      <c r="R2" s="310" t="str">
        <f>Input!R2</f>
        <v>MY20 Kia Forte</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Compact Conventional/Sporty Car (43)</v>
      </c>
      <c r="I8" s="151"/>
      <c r="J8" s="157" t="str">
        <f>Input!J8</f>
        <v>Compact Conventional/Sporty Car (43)</v>
      </c>
      <c r="K8" s="151"/>
      <c r="L8" s="157" t="str">
        <f>Input!L8</f>
        <v>Compact Conventional/Sporty Car (43)</v>
      </c>
      <c r="M8" s="151"/>
      <c r="N8" s="157" t="str">
        <f>Input!N8</f>
        <v>Compact Conventional/Sporty Car (43)</v>
      </c>
      <c r="O8" s="151"/>
      <c r="P8" s="157" t="str">
        <f>Input!P8</f>
        <v>Compact Conventional/Sporty Car (43)</v>
      </c>
      <c r="Q8" s="151"/>
      <c r="R8" s="157" t="str">
        <f>Input!R8</f>
        <v>Compact Conventional/Sporty Car (43)</v>
      </c>
      <c r="S8" s="151"/>
      <c r="W8" s="114"/>
    </row>
    <row r="9" spans="1:24" ht="15">
      <c r="A9" s="108">
        <f t="shared" si="0"/>
        <v>9</v>
      </c>
      <c r="G9" s="169" t="s">
        <v>335</v>
      </c>
      <c r="H9" s="313">
        <f>Input!H9</f>
        <v>2020</v>
      </c>
      <c r="I9" s="314"/>
      <c r="J9" s="313">
        <f>Input!J9</f>
        <v>2020</v>
      </c>
      <c r="K9" s="314"/>
      <c r="L9" s="313">
        <f>Input!L9</f>
        <v>2020</v>
      </c>
      <c r="M9" s="314"/>
      <c r="N9" s="313">
        <f>Input!N9</f>
        <v>2020</v>
      </c>
      <c r="O9" s="314"/>
      <c r="P9" s="313">
        <f>Input!P9</f>
        <v>2020</v>
      </c>
      <c r="Q9" s="314"/>
      <c r="R9" s="313">
        <f>Input!R9</f>
        <v>2020</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Forte</v>
      </c>
      <c r="I12" s="314"/>
      <c r="J12" s="318" t="str">
        <f>Input!J12</f>
        <v>Kia Forte</v>
      </c>
      <c r="K12" s="314"/>
      <c r="L12" s="318" t="str">
        <f>Input!L12</f>
        <v>Kia Forte</v>
      </c>
      <c r="M12" s="314"/>
      <c r="N12" s="318" t="str">
        <f>Input!N12</f>
        <v>Kia Forte</v>
      </c>
      <c r="O12" s="314"/>
      <c r="P12" s="318" t="str">
        <f>Input!P12</f>
        <v>Kia Forte</v>
      </c>
      <c r="Q12" s="314"/>
      <c r="R12" s="318" t="str">
        <f>Input!R12</f>
        <v>Kia Forte</v>
      </c>
      <c r="S12" s="314"/>
      <c r="X12" s="114"/>
    </row>
    <row r="13" spans="1:24" ht="19.5" thickBot="1">
      <c r="A13" s="108">
        <f t="shared" si="0"/>
        <v>13</v>
      </c>
      <c r="G13" s="319" t="s">
        <v>763</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762</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MY20 Kia Forte</v>
      </c>
      <c r="I76" s="506"/>
      <c r="J76" s="505" t="str">
        <f>J2</f>
        <v>MY20 Kia Forte</v>
      </c>
      <c r="K76" s="506"/>
      <c r="L76" s="505" t="str">
        <f>L2</f>
        <v>MY20 Kia Forte</v>
      </c>
      <c r="M76" s="506"/>
      <c r="N76" s="505" t="str">
        <f>N2</f>
        <v>MY20 Kia Forte</v>
      </c>
      <c r="O76" s="506"/>
      <c r="P76" s="505" t="str">
        <f>P2</f>
        <v>MY20 Kia Forte</v>
      </c>
      <c r="Q76" s="506"/>
      <c r="R76" s="505" t="str">
        <f>R2</f>
        <v>MY20 Kia Forte</v>
      </c>
      <c r="S76" s="506"/>
    </row>
    <row r="77" spans="1:24" ht="15.75" thickBot="1">
      <c r="A77" s="108">
        <f t="shared" si="2"/>
        <v>77</v>
      </c>
      <c r="G77" s="480" t="s">
        <v>332</v>
      </c>
      <c r="H77" s="533">
        <f>Input!H77</f>
        <v>750</v>
      </c>
      <c r="I77" s="479">
        <f>Input!I77</f>
        <v>1250</v>
      </c>
      <c r="J77" s="533">
        <f>Input!J77</f>
        <v>750</v>
      </c>
      <c r="K77" s="479">
        <f>Input!K77</f>
        <v>1250</v>
      </c>
      <c r="L77" s="533">
        <f>Input!L77</f>
        <v>750</v>
      </c>
      <c r="M77" s="479">
        <f>Input!M77</f>
        <v>1250</v>
      </c>
      <c r="N77" s="533">
        <f>Input!N77</f>
        <v>750</v>
      </c>
      <c r="O77" s="479">
        <f>Input!O77</f>
        <v>1250</v>
      </c>
      <c r="P77" s="533">
        <f>Input!P77</f>
        <v>750</v>
      </c>
      <c r="Q77" s="479">
        <f>Input!Q77</f>
        <v>1250</v>
      </c>
      <c r="R77" s="533">
        <f>Input!R77</f>
        <v>750.00000000000011</v>
      </c>
      <c r="S77" s="479">
        <f>Input!S77</f>
        <v>1250.0000000000002</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1063</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952</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884</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1.9E-2</v>
      </c>
      <c r="I93" s="199">
        <f>Input!I93</f>
        <v>1.9E-2</v>
      </c>
      <c r="J93" s="198">
        <f>Input!J93</f>
        <v>1.9E-2</v>
      </c>
      <c r="K93" s="199">
        <f>Input!K93</f>
        <v>1.9E-2</v>
      </c>
      <c r="L93" s="198">
        <f>Input!L93</f>
        <v>1.9E-2</v>
      </c>
      <c r="M93" s="199">
        <f>Input!M93</f>
        <v>1.9E-2</v>
      </c>
      <c r="N93" s="198">
        <f>Input!N93</f>
        <v>1.8999999999999996E-2</v>
      </c>
      <c r="O93" s="199">
        <f>Input!O93</f>
        <v>1.8999999999999996E-2</v>
      </c>
      <c r="P93" s="198">
        <f>Input!P93</f>
        <v>1.9E-2</v>
      </c>
      <c r="Q93" s="199">
        <f>Input!Q93</f>
        <v>1.9E-2</v>
      </c>
      <c r="R93" s="198">
        <f>Input!R93</f>
        <v>1.8999999999999996E-2</v>
      </c>
      <c r="S93" s="199">
        <f>Input!S93</f>
        <v>1.8999999999999996E-2</v>
      </c>
      <c r="X93" s="114"/>
    </row>
    <row r="94" spans="1:25" ht="15">
      <c r="A94" s="108">
        <f t="shared" si="2"/>
        <v>94</v>
      </c>
      <c r="G94" s="328" t="s">
        <v>1063</v>
      </c>
      <c r="H94" s="159">
        <f>Input!H94</f>
        <v>3.9E-2</v>
      </c>
      <c r="I94" s="154">
        <f>Input!I94</f>
        <v>3.9E-2</v>
      </c>
      <c r="J94" s="159">
        <f>Input!J94</f>
        <v>3.9E-2</v>
      </c>
      <c r="K94" s="154">
        <f>Input!K94</f>
        <v>3.9E-2</v>
      </c>
      <c r="L94" s="159">
        <f>Input!L94</f>
        <v>3.9000000000000007E-2</v>
      </c>
      <c r="M94" s="154">
        <f>Input!M94</f>
        <v>3.9000000000000007E-2</v>
      </c>
      <c r="N94" s="159">
        <f>Input!N94</f>
        <v>3.9E-2</v>
      </c>
      <c r="O94" s="154">
        <f>Input!O94</f>
        <v>3.9E-2</v>
      </c>
      <c r="P94" s="159">
        <f>Input!P94</f>
        <v>3.9E-2</v>
      </c>
      <c r="Q94" s="154">
        <f>Input!Q94</f>
        <v>3.9E-2</v>
      </c>
      <c r="R94" s="159">
        <f>Input!R94</f>
        <v>3.9E-2</v>
      </c>
      <c r="S94" s="154">
        <f>Input!S94</f>
        <v>3.9E-2</v>
      </c>
      <c r="X94" s="114"/>
    </row>
    <row r="95" spans="1:25" ht="15">
      <c r="A95" s="108">
        <f t="shared" si="2"/>
        <v>95</v>
      </c>
      <c r="G95" s="328" t="s">
        <v>952</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884</v>
      </c>
      <c r="H96" s="742"/>
      <c r="I96" s="743"/>
      <c r="J96" s="742"/>
      <c r="K96" s="743"/>
      <c r="L96" s="742"/>
      <c r="M96" s="743"/>
      <c r="N96" s="742"/>
      <c r="O96" s="743"/>
      <c r="P96" s="742"/>
      <c r="Q96" s="743"/>
      <c r="R96" s="742"/>
      <c r="S96" s="743"/>
      <c r="Y96" s="114"/>
    </row>
    <row r="97" spans="1:24" ht="15">
      <c r="A97" s="108">
        <f t="shared" si="2"/>
        <v>97</v>
      </c>
      <c r="F97" s="110"/>
      <c r="G97" s="205" t="s">
        <v>838</v>
      </c>
      <c r="H97" s="664"/>
      <c r="I97" s="665"/>
      <c r="J97" s="664"/>
      <c r="K97" s="665"/>
      <c r="L97" s="664"/>
      <c r="M97" s="665"/>
      <c r="N97" s="664"/>
      <c r="O97" s="665"/>
      <c r="P97" s="664"/>
      <c r="Q97" s="665"/>
      <c r="R97" s="664"/>
      <c r="S97" s="665"/>
      <c r="X97" s="114"/>
    </row>
    <row r="98" spans="1:24" ht="15">
      <c r="A98" s="108">
        <f t="shared" si="2"/>
        <v>98</v>
      </c>
      <c r="G98" s="206" t="s">
        <v>523</v>
      </c>
      <c r="H98" s="667">
        <f>Input!H98</f>
        <v>5598.7109265464023</v>
      </c>
      <c r="I98" s="655">
        <f>Input!I98</f>
        <v>5481.7109265464023</v>
      </c>
      <c r="J98" s="655">
        <f>Input!J98</f>
        <v>5098.7109265464023</v>
      </c>
      <c r="K98" s="655">
        <f>Input!K98</f>
        <v>4981.7109265464023</v>
      </c>
      <c r="L98" s="655">
        <f>Input!L98</f>
        <v>5098.7109265464023</v>
      </c>
      <c r="M98" s="655">
        <f>Input!M98</f>
        <v>4981.7109265464023</v>
      </c>
      <c r="N98" s="655">
        <f>Input!N98</f>
        <v>4738.7109265464023</v>
      </c>
      <c r="O98" s="655">
        <f>Input!O98</f>
        <v>4591.7109265464023</v>
      </c>
      <c r="P98" s="655">
        <f>Input!P98</f>
        <v>4738.7109265464023</v>
      </c>
      <c r="Q98" s="655">
        <f>Input!Q98</f>
        <v>4591.7109265464023</v>
      </c>
      <c r="R98" s="655">
        <f>Input!R98</f>
        <v>5213.3563810918577</v>
      </c>
      <c r="S98" s="655">
        <f>Input!S98</f>
        <v>5092.9745629100389</v>
      </c>
      <c r="X98" s="114"/>
    </row>
    <row r="99" spans="1:24" ht="15">
      <c r="A99" s="108">
        <f t="shared" si="2"/>
        <v>99</v>
      </c>
      <c r="G99" s="185" t="s">
        <v>159</v>
      </c>
      <c r="H99" s="668">
        <f>Input!H99+H98-Input!H98</f>
        <v>2943</v>
      </c>
      <c r="I99" s="197">
        <f>Input!I99+I98-Input!I98</f>
        <v>2826</v>
      </c>
      <c r="J99" s="668">
        <f>Input!J99+J98-Input!J98</f>
        <v>1475</v>
      </c>
      <c r="K99" s="197">
        <f>Input!K99+K98-Input!K98</f>
        <v>1358</v>
      </c>
      <c r="L99" s="668">
        <f>Input!L99+L98-Input!L98</f>
        <v>4225</v>
      </c>
      <c r="M99" s="197">
        <f>Input!M99+M98-Input!M98</f>
        <v>4108</v>
      </c>
      <c r="N99" s="668">
        <f>Input!N99+N98-Input!N98</f>
        <v>-2070</v>
      </c>
      <c r="O99" s="197">
        <f>Input!O99+O98-Input!O98</f>
        <v>-2217</v>
      </c>
      <c r="P99" s="668">
        <f>Input!P99+P98-Input!P98</f>
        <v>-951.3618966787526</v>
      </c>
      <c r="Q99" s="197">
        <f>Input!Q99+Q98-Input!Q98</f>
        <v>-1098.3618966787526</v>
      </c>
      <c r="R99" s="668">
        <f>Input!R99+R98-Input!R98</f>
        <v>2459.7093336934013</v>
      </c>
      <c r="S99" s="197">
        <f>Input!S99+S98-Input!S98</f>
        <v>2339.3275155115825</v>
      </c>
      <c r="X99" s="114"/>
    </row>
    <row r="100" spans="1:24">
      <c r="A100" s="108">
        <f t="shared" si="2"/>
        <v>100</v>
      </c>
      <c r="F100" s="112"/>
      <c r="G100" s="205" t="s">
        <v>817</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State Retail Bonus Cash (C, F)</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0</v>
      </c>
      <c r="I108" s="195">
        <f>Input!I108</f>
        <v>0</v>
      </c>
      <c r="J108" s="194">
        <f>Input!J108</f>
        <v>0</v>
      </c>
      <c r="K108" s="195">
        <f>Input!K108</f>
        <v>0</v>
      </c>
      <c r="L108" s="194">
        <f>Input!L108</f>
        <v>0</v>
      </c>
      <c r="M108" s="195">
        <f>Input!M108</f>
        <v>500</v>
      </c>
      <c r="N108" s="194">
        <f>Input!N108</f>
        <v>0</v>
      </c>
      <c r="O108" s="195">
        <f>Input!O108</f>
        <v>0</v>
      </c>
      <c r="P108" s="194">
        <f>Input!P108</f>
        <v>0</v>
      </c>
      <c r="Q108" s="195">
        <f>Input!Q108</f>
        <v>500</v>
      </c>
      <c r="R108" s="194">
        <f>Input!R108</f>
        <v>0</v>
      </c>
      <c r="S108" s="195">
        <f>Input!S108</f>
        <v>0</v>
      </c>
      <c r="X108" s="114"/>
    </row>
    <row r="109" spans="1:24" ht="15">
      <c r="A109" s="108">
        <f t="shared" si="2"/>
        <v>109</v>
      </c>
      <c r="F109" s="110"/>
      <c r="G109" s="185" t="s">
        <v>528</v>
      </c>
      <c r="H109" s="196">
        <f>Input!H109</f>
        <v>1</v>
      </c>
      <c r="I109" s="531">
        <f>Input!I109</f>
        <v>1</v>
      </c>
      <c r="J109" s="196">
        <f>Input!J109</f>
        <v>1</v>
      </c>
      <c r="K109" s="531">
        <f>Input!K109</f>
        <v>1</v>
      </c>
      <c r="L109" s="196">
        <f>Input!L109</f>
        <v>0.62</v>
      </c>
      <c r="M109" s="531">
        <f>Input!M109</f>
        <v>0.62</v>
      </c>
      <c r="N109" s="196">
        <f>Input!N109</f>
        <v>1</v>
      </c>
      <c r="O109" s="531">
        <f>Input!O109</f>
        <v>1</v>
      </c>
      <c r="P109" s="196">
        <f>Input!P109</f>
        <v>0.43</v>
      </c>
      <c r="Q109" s="531">
        <f>Input!Q109</f>
        <v>0.43</v>
      </c>
      <c r="R109" s="196">
        <f>Input!R109</f>
        <v>1</v>
      </c>
      <c r="S109" s="531">
        <f>Input!S109</f>
        <v>1</v>
      </c>
      <c r="X109" s="114"/>
    </row>
    <row r="110" spans="1:24">
      <c r="A110" s="108">
        <f t="shared" si="2"/>
        <v>110</v>
      </c>
      <c r="F110" s="110"/>
      <c r="G110" s="205" t="s">
        <v>959</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0</v>
      </c>
      <c r="J111" s="194">
        <f>Input!J111</f>
        <v>1000</v>
      </c>
      <c r="K111" s="195">
        <f>Input!K111</f>
        <v>0</v>
      </c>
      <c r="L111" s="194">
        <f>Input!L111</f>
        <v>1000</v>
      </c>
      <c r="M111" s="195">
        <f>Input!M111</f>
        <v>0</v>
      </c>
      <c r="N111" s="194">
        <f>Input!N111</f>
        <v>1000</v>
      </c>
      <c r="O111" s="195">
        <f>Input!O111</f>
        <v>0</v>
      </c>
      <c r="P111" s="194">
        <f>Input!P111</f>
        <v>1000</v>
      </c>
      <c r="Q111" s="195">
        <f>Input!Q111</f>
        <v>0</v>
      </c>
      <c r="R111" s="194">
        <f>Input!R111</f>
        <v>1000</v>
      </c>
      <c r="S111" s="195">
        <f>Input!S111</f>
        <v>0</v>
      </c>
      <c r="X111" s="114"/>
    </row>
    <row r="112" spans="1:24" ht="15">
      <c r="A112" s="108">
        <f t="shared" si="2"/>
        <v>112</v>
      </c>
      <c r="F112" s="110"/>
      <c r="G112" s="185" t="s">
        <v>528</v>
      </c>
      <c r="H112" s="196">
        <v>1</v>
      </c>
      <c r="I112" s="531">
        <f>Input!I112</f>
        <v>0.35</v>
      </c>
      <c r="J112" s="196">
        <f>Input!J112</f>
        <v>0.35</v>
      </c>
      <c r="K112" s="531">
        <f>Input!K112</f>
        <v>0.35</v>
      </c>
      <c r="L112" s="196">
        <f>Input!L112</f>
        <v>0.35</v>
      </c>
      <c r="M112" s="531">
        <f>Input!M112</f>
        <v>0.35</v>
      </c>
      <c r="N112" s="196">
        <f>Input!N112</f>
        <v>0.35</v>
      </c>
      <c r="O112" s="531">
        <f>Input!O112</f>
        <v>0.35</v>
      </c>
      <c r="P112" s="196">
        <f>Input!P112</f>
        <v>0.35</v>
      </c>
      <c r="Q112" s="531">
        <f>Input!Q112</f>
        <v>0.35</v>
      </c>
      <c r="R112" s="196">
        <f>Input!R112</f>
        <v>0.35</v>
      </c>
      <c r="S112" s="531">
        <f>Input!S112</f>
        <v>0.35</v>
      </c>
      <c r="X112" s="114"/>
    </row>
    <row r="113" spans="1:48">
      <c r="A113" s="108">
        <f t="shared" si="2"/>
        <v>113</v>
      </c>
      <c r="F113" s="110"/>
      <c r="G113" s="205" t="s">
        <v>754</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0</v>
      </c>
      <c r="I114" s="195">
        <f>Input!I114</f>
        <v>0</v>
      </c>
      <c r="J114" s="194">
        <f>Input!J114</f>
        <v>0</v>
      </c>
      <c r="K114" s="195">
        <f>Input!K114</f>
        <v>0</v>
      </c>
      <c r="L114" s="194">
        <f>Input!L114</f>
        <v>0</v>
      </c>
      <c r="M114" s="195">
        <f>Input!M114</f>
        <v>500</v>
      </c>
      <c r="N114" s="194">
        <f>Input!N114</f>
        <v>0</v>
      </c>
      <c r="O114" s="195">
        <f>Input!O114</f>
        <v>0</v>
      </c>
      <c r="P114" s="194">
        <f>Input!P114</f>
        <v>0</v>
      </c>
      <c r="Q114" s="195">
        <f>Input!Q114</f>
        <v>0</v>
      </c>
      <c r="R114" s="194">
        <f>Input!R114</f>
        <v>0</v>
      </c>
      <c r="S114" s="195">
        <f>Input!S114</f>
        <v>0</v>
      </c>
      <c r="X114" s="114"/>
    </row>
    <row r="115" spans="1:48" ht="15">
      <c r="A115" s="108">
        <f t="shared" si="2"/>
        <v>115</v>
      </c>
      <c r="G115" s="185" t="s">
        <v>528</v>
      </c>
      <c r="H115" s="196">
        <f>Input!H115</f>
        <v>1</v>
      </c>
      <c r="I115" s="531">
        <f>Input!I115</f>
        <v>1</v>
      </c>
      <c r="J115" s="196">
        <f>Input!J115</f>
        <v>1</v>
      </c>
      <c r="K115" s="531">
        <f>Input!K115</f>
        <v>1</v>
      </c>
      <c r="L115" s="196">
        <f>Input!L115</f>
        <v>0.97</v>
      </c>
      <c r="M115" s="531">
        <f>Input!M115</f>
        <v>0.97</v>
      </c>
      <c r="N115" s="196">
        <f>Input!N115</f>
        <v>1</v>
      </c>
      <c r="O115" s="531">
        <f>Input!O115</f>
        <v>1</v>
      </c>
      <c r="P115" s="196">
        <f>Input!P115</f>
        <v>1</v>
      </c>
      <c r="Q115" s="531">
        <f>Input!Q115</f>
        <v>1</v>
      </c>
      <c r="R115" s="196">
        <f>Input!R115</f>
        <v>1</v>
      </c>
      <c r="S115" s="531">
        <f>Input!S115</f>
        <v>1</v>
      </c>
      <c r="X115" s="114"/>
    </row>
    <row r="116" spans="1:48">
      <c r="A116" s="108">
        <f t="shared" si="2"/>
        <v>116</v>
      </c>
      <c r="F116" s="110"/>
      <c r="G116" s="205" t="s">
        <v>755</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500</v>
      </c>
      <c r="I117" s="195">
        <f>Input!I117</f>
        <v>0</v>
      </c>
      <c r="J117" s="194">
        <f>Input!J117</f>
        <v>500</v>
      </c>
      <c r="K117" s="195">
        <f>Input!K117</f>
        <v>0</v>
      </c>
      <c r="L117" s="194">
        <f>Input!L117</f>
        <v>500</v>
      </c>
      <c r="M117" s="195">
        <f>Input!M117</f>
        <v>0</v>
      </c>
      <c r="N117" s="194">
        <f>Input!N117</f>
        <v>500</v>
      </c>
      <c r="O117" s="195">
        <f>Input!O117</f>
        <v>0</v>
      </c>
      <c r="P117" s="194">
        <f>Input!P117</f>
        <v>500</v>
      </c>
      <c r="Q117" s="195">
        <f>Input!Q117</f>
        <v>0</v>
      </c>
      <c r="R117" s="194">
        <f>Input!R117</f>
        <v>500</v>
      </c>
      <c r="S117" s="195">
        <f>Input!S117</f>
        <v>0</v>
      </c>
      <c r="X117" s="114"/>
    </row>
    <row r="118" spans="1:48" ht="15">
      <c r="A118" s="108">
        <f t="shared" si="2"/>
        <v>118</v>
      </c>
      <c r="G118" s="185" t="s">
        <v>528</v>
      </c>
      <c r="H118" s="196">
        <f>Input!H118</f>
        <v>1</v>
      </c>
      <c r="I118" s="531">
        <f>Input!I118</f>
        <v>1</v>
      </c>
      <c r="J118" s="196">
        <f>Input!J118</f>
        <v>1</v>
      </c>
      <c r="K118" s="531">
        <f>Input!K118</f>
        <v>1</v>
      </c>
      <c r="L118" s="196">
        <f>Input!L118</f>
        <v>1</v>
      </c>
      <c r="M118" s="531">
        <f>Input!M118</f>
        <v>1</v>
      </c>
      <c r="N118" s="196">
        <f>Input!N118</f>
        <v>1</v>
      </c>
      <c r="O118" s="531">
        <f>Input!O118</f>
        <v>1</v>
      </c>
      <c r="P118" s="196">
        <f>Input!P118</f>
        <v>1</v>
      </c>
      <c r="Q118" s="531">
        <f>Input!Q118</f>
        <v>1</v>
      </c>
      <c r="R118" s="196">
        <f>Input!R118</f>
        <v>1</v>
      </c>
      <c r="S118" s="531">
        <f>Input!S118</f>
        <v>1</v>
      </c>
      <c r="X118" s="114"/>
    </row>
    <row r="119" spans="1:48">
      <c r="A119" s="108">
        <f t="shared" si="2"/>
        <v>119</v>
      </c>
      <c r="F119" s="110"/>
      <c r="G119" s="205" t="s">
        <v>756</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500</v>
      </c>
      <c r="I120" s="195">
        <f>Input!I120</f>
        <v>0</v>
      </c>
      <c r="J120" s="194">
        <f>Input!J120</f>
        <v>500</v>
      </c>
      <c r="K120" s="195">
        <f>Input!K120</f>
        <v>0</v>
      </c>
      <c r="L120" s="194">
        <f>Input!L120</f>
        <v>500</v>
      </c>
      <c r="M120" s="195">
        <f>Input!M120</f>
        <v>0</v>
      </c>
      <c r="N120" s="194">
        <f>Input!N120</f>
        <v>500</v>
      </c>
      <c r="O120" s="195">
        <f>Input!O120</f>
        <v>0</v>
      </c>
      <c r="P120" s="194">
        <f>Input!P120</f>
        <v>500</v>
      </c>
      <c r="Q120" s="195">
        <f>Input!Q120</f>
        <v>0</v>
      </c>
      <c r="R120" s="194">
        <f>Input!R120</f>
        <v>500</v>
      </c>
      <c r="S120" s="195">
        <f>Input!S120</f>
        <v>0</v>
      </c>
      <c r="X120" s="114"/>
    </row>
    <row r="121" spans="1:48" ht="15">
      <c r="A121" s="108">
        <f t="shared" si="2"/>
        <v>121</v>
      </c>
      <c r="G121" s="185" t="s">
        <v>528</v>
      </c>
      <c r="H121" s="196">
        <f>Input!H121</f>
        <v>0.35</v>
      </c>
      <c r="I121" s="531">
        <f>Input!I121</f>
        <v>0.35</v>
      </c>
      <c r="J121" s="196">
        <f>Input!J121</f>
        <v>0.35</v>
      </c>
      <c r="K121" s="531">
        <f>Input!K121</f>
        <v>0.35</v>
      </c>
      <c r="L121" s="196">
        <f>Input!L121</f>
        <v>0.35</v>
      </c>
      <c r="M121" s="531">
        <f>Input!M121</f>
        <v>0.35</v>
      </c>
      <c r="N121" s="196">
        <f>Input!N121</f>
        <v>0.35</v>
      </c>
      <c r="O121" s="531">
        <f>Input!O121</f>
        <v>0.35</v>
      </c>
      <c r="P121" s="196">
        <f>Input!P121</f>
        <v>0.35</v>
      </c>
      <c r="Q121" s="531">
        <f>Input!Q121</f>
        <v>0.35</v>
      </c>
      <c r="R121" s="196">
        <f>Input!R121</f>
        <v>0.35</v>
      </c>
      <c r="S121" s="531">
        <f>Input!S121</f>
        <v>0.35</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858</v>
      </c>
    </row>
    <row r="151" spans="1:25" ht="15">
      <c r="A151" s="108">
        <f t="shared" si="3"/>
        <v>151</v>
      </c>
      <c r="F151" s="110"/>
      <c r="G151" s="206" t="s">
        <v>859</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860</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861</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862</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863</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BL20" zoomScale="70" zoomScaleNormal="70" workbookViewId="0">
      <selection activeCell="CI31" sqref="CI31"/>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766</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1028" t="s">
        <v>10</v>
      </c>
      <c r="AU13" s="1029"/>
      <c r="AV13" s="1029"/>
      <c r="AW13" s="1029"/>
      <c r="AX13" s="1029"/>
      <c r="AY13" s="1029"/>
      <c r="AZ13" s="1029"/>
      <c r="BA13" s="1029"/>
      <c r="BB13" s="1030"/>
      <c r="BC13" s="1031" t="s">
        <v>11</v>
      </c>
      <c r="BD13" s="1032"/>
      <c r="BE13" s="1032"/>
      <c r="BF13" s="1032"/>
      <c r="BG13" s="1032"/>
      <c r="BH13" s="1032"/>
      <c r="BI13" s="1032"/>
      <c r="BJ13" s="1032"/>
      <c r="BK13" s="1032"/>
      <c r="BL13" s="1032"/>
      <c r="BM13" s="1032"/>
      <c r="BN13" s="1032"/>
      <c r="BO13" s="1032"/>
      <c r="BP13" s="1032"/>
      <c r="BQ13" s="1032"/>
      <c r="BR13" s="1032"/>
      <c r="BS13" s="1032"/>
      <c r="BT13" s="1032"/>
      <c r="BU13" s="1032"/>
      <c r="BV13" s="1032"/>
      <c r="BW13" s="1032"/>
      <c r="BX13" s="1032"/>
      <c r="BY13" s="1032"/>
      <c r="BZ13" s="1032"/>
      <c r="CA13" s="1032"/>
      <c r="CB13" s="1032"/>
      <c r="CC13" s="1032"/>
      <c r="CD13" s="1032"/>
      <c r="CE13" s="1032"/>
      <c r="CF13" s="1032"/>
      <c r="CG13" s="1032"/>
      <c r="CH13" s="1033"/>
      <c r="CI13" s="965" t="s">
        <v>12</v>
      </c>
      <c r="CJ13" s="966"/>
      <c r="CK13" s="966"/>
      <c r="CL13" s="966"/>
      <c r="CM13" s="966"/>
      <c r="CN13" s="966"/>
      <c r="CO13" s="966"/>
      <c r="CP13" s="966"/>
      <c r="CQ13" s="966"/>
      <c r="CR13" s="966"/>
      <c r="CS13" s="966"/>
      <c r="CT13" s="966"/>
      <c r="CU13" s="966"/>
      <c r="CV13" s="966"/>
      <c r="CW13" s="966"/>
      <c r="CX13" s="966"/>
      <c r="CY13" s="966"/>
      <c r="CZ13" s="966"/>
      <c r="DA13" s="966"/>
      <c r="DB13" s="966"/>
      <c r="DC13" s="966"/>
      <c r="DD13" s="966"/>
      <c r="DE13" s="966"/>
      <c r="DF13" s="966"/>
      <c r="DG13" s="966"/>
      <c r="DH13" s="966"/>
      <c r="DI13" s="966"/>
      <c r="DJ13" s="966"/>
      <c r="DK13" s="966"/>
      <c r="DL13" s="966"/>
      <c r="DM13" s="966"/>
      <c r="DN13" s="966"/>
      <c r="DO13" s="966"/>
      <c r="DP13" s="966"/>
      <c r="DQ13" s="966"/>
      <c r="DR13" s="966"/>
      <c r="DS13" s="966"/>
      <c r="DT13" s="966"/>
      <c r="DU13" s="966"/>
      <c r="DV13" s="966"/>
      <c r="DW13" s="967"/>
      <c r="DX13" s="349"/>
      <c r="DY13" s="968" t="s">
        <v>13</v>
      </c>
      <c r="DZ13" s="969"/>
      <c r="EA13" s="969"/>
      <c r="EB13" s="969"/>
      <c r="EC13" s="969"/>
      <c r="ED13" s="969"/>
      <c r="EE13" s="969"/>
      <c r="EF13" s="969"/>
      <c r="EG13" s="969"/>
      <c r="EH13" s="969"/>
      <c r="EI13" s="969"/>
      <c r="EJ13" s="969"/>
      <c r="EK13" s="969"/>
      <c r="EL13" s="969"/>
      <c r="EM13" s="969"/>
      <c r="EN13" s="969"/>
      <c r="EO13" s="969"/>
      <c r="EP13" s="969"/>
      <c r="EQ13" s="969"/>
      <c r="ER13" s="969"/>
      <c r="ES13" s="969"/>
      <c r="ET13" s="969"/>
      <c r="EU13" s="969"/>
      <c r="EV13" s="969"/>
      <c r="EW13" s="969"/>
      <c r="EX13" s="969"/>
      <c r="EY13" s="969"/>
      <c r="EZ13" s="969"/>
      <c r="FA13" s="969"/>
      <c r="FB13" s="969"/>
      <c r="FC13" s="969"/>
      <c r="FD13" s="969"/>
      <c r="FE13" s="969"/>
      <c r="FF13" s="969"/>
      <c r="FG13" s="969"/>
      <c r="FH13" s="969"/>
      <c r="FI13" s="969"/>
      <c r="FJ13" s="969"/>
      <c r="FK13" s="969"/>
      <c r="FL13" s="969"/>
      <c r="FM13" s="969"/>
      <c r="FN13" s="969"/>
      <c r="FO13" s="969"/>
      <c r="FP13" s="969"/>
      <c r="FQ13" s="969"/>
      <c r="FR13" s="969"/>
      <c r="FS13" s="969"/>
      <c r="FT13" s="969"/>
      <c r="FU13" s="969"/>
      <c r="FV13" s="969"/>
      <c r="FW13" s="969"/>
      <c r="FX13" s="969"/>
      <c r="FY13" s="969"/>
      <c r="FZ13" s="969"/>
      <c r="GA13" s="969"/>
      <c r="GB13" s="969"/>
      <c r="GC13" s="969"/>
      <c r="GD13" s="969"/>
      <c r="GE13" s="969"/>
      <c r="GF13" s="969"/>
      <c r="GG13" s="969"/>
      <c r="GH13" s="969"/>
      <c r="GI13" s="969"/>
      <c r="GJ13" s="969"/>
      <c r="GK13" s="969"/>
      <c r="GL13" s="969"/>
      <c r="GM13" s="1034"/>
      <c r="GO13" s="923" t="s">
        <v>14</v>
      </c>
      <c r="GP13" s="1035"/>
      <c r="GQ13" s="1035"/>
      <c r="GR13" s="1035"/>
      <c r="GS13" s="1035"/>
      <c r="GT13" s="1035"/>
      <c r="GU13" s="1035"/>
      <c r="GV13" s="1035"/>
      <c r="GW13" s="1035"/>
      <c r="GX13" s="1035"/>
      <c r="GY13" s="1035"/>
      <c r="GZ13" s="1035"/>
      <c r="HA13" s="1035"/>
      <c r="HB13" s="1035"/>
      <c r="HC13" s="1035"/>
      <c r="HD13" s="1035"/>
      <c r="HE13" s="1035"/>
      <c r="HF13" s="1035"/>
      <c r="HG13" s="1035"/>
      <c r="HH13" s="1036"/>
      <c r="HI13" s="72"/>
      <c r="HJ13" s="1037" t="s">
        <v>532</v>
      </c>
      <c r="HK13" s="1038"/>
      <c r="HL13" s="1039"/>
      <c r="HM13" s="104"/>
    </row>
    <row r="14" spans="1:221" s="71" customFormat="1" ht="13.5" customHeight="1" thickBot="1">
      <c r="A14" s="1040" t="s">
        <v>533</v>
      </c>
      <c r="B14" s="1043" t="s">
        <v>309</v>
      </c>
      <c r="C14" s="1046" t="s">
        <v>823</v>
      </c>
      <c r="D14" s="1049" t="s">
        <v>314</v>
      </c>
      <c r="E14" s="1007" t="s">
        <v>155</v>
      </c>
      <c r="F14" s="1007" t="s">
        <v>350</v>
      </c>
      <c r="G14" s="1007" t="s">
        <v>351</v>
      </c>
      <c r="H14" s="1007" t="s">
        <v>352</v>
      </c>
      <c r="I14" s="1007" t="s">
        <v>534</v>
      </c>
      <c r="J14" s="1025" t="s">
        <v>535</v>
      </c>
      <c r="K14" s="1025" t="s">
        <v>536</v>
      </c>
      <c r="L14" s="1025" t="s">
        <v>537</v>
      </c>
      <c r="M14" s="1025" t="s">
        <v>538</v>
      </c>
      <c r="N14" s="1025" t="s">
        <v>539</v>
      </c>
      <c r="O14" s="1025" t="s">
        <v>540</v>
      </c>
      <c r="P14" s="1025" t="s">
        <v>541</v>
      </c>
      <c r="Q14" s="1025" t="s">
        <v>542</v>
      </c>
      <c r="R14" s="1025" t="s">
        <v>535</v>
      </c>
      <c r="S14" s="1025" t="s">
        <v>536</v>
      </c>
      <c r="T14" s="1025" t="s">
        <v>537</v>
      </c>
      <c r="U14" s="1025" t="s">
        <v>538</v>
      </c>
      <c r="V14" s="1025" t="s">
        <v>539</v>
      </c>
      <c r="W14" s="1025" t="s">
        <v>540</v>
      </c>
      <c r="X14" s="1025" t="s">
        <v>541</v>
      </c>
      <c r="Y14" s="1007" t="s">
        <v>346</v>
      </c>
      <c r="Z14" s="1025" t="s">
        <v>7</v>
      </c>
      <c r="AA14" s="1010" t="str">
        <f>INDEX(Input!$1:$1048576,AA$10-1,7)</f>
        <v>Misc 1: State Retail Bonus Cash (C, F)</v>
      </c>
      <c r="AB14" s="1007" t="s">
        <v>757</v>
      </c>
      <c r="AC14" s="1010" t="str">
        <f>INDEX(Input!$1:$1048576,AC$10-1,7)</f>
        <v>Misc 2:  Event Retail Bonus Cash (C, F)</v>
      </c>
      <c r="AD14" s="1007" t="s">
        <v>757</v>
      </c>
      <c r="AE14" s="1010" t="str">
        <f>INDEX(Input!$1:$1048576,AE$10-1,7)</f>
        <v>Misc 3: State Lease Bonus Cash (L)</v>
      </c>
      <c r="AF14" s="1007" t="s">
        <v>765</v>
      </c>
      <c r="AG14" s="1010" t="str">
        <f>INDEX(Input!$1:$1048576,AG$10-1,7)</f>
        <v>Misc 4: Stackable Bonus Cash</v>
      </c>
      <c r="AH14" s="1007" t="s">
        <v>759</v>
      </c>
      <c r="AI14" s="1010" t="str">
        <f>INDEX(Input!$1:$1048576,AI$10-1,7)</f>
        <v>Misc 5: Event Lease Bonus Cash (L)</v>
      </c>
      <c r="AJ14" s="1013" t="s">
        <v>760</v>
      </c>
      <c r="AK14" s="1016" t="s">
        <v>544</v>
      </c>
      <c r="AL14" s="1019" t="s">
        <v>545</v>
      </c>
      <c r="AM14" s="1022" t="s">
        <v>546</v>
      </c>
      <c r="AN14" s="1001" t="s">
        <v>547</v>
      </c>
      <c r="AO14" s="1001" t="s">
        <v>548</v>
      </c>
      <c r="AP14" s="1001" t="s">
        <v>694</v>
      </c>
      <c r="AQ14" s="1001" t="s">
        <v>737</v>
      </c>
      <c r="AR14" s="1001" t="s">
        <v>733</v>
      </c>
      <c r="AS14" s="93"/>
      <c r="AT14" s="1004" t="s">
        <v>90</v>
      </c>
      <c r="AU14" s="994" t="s">
        <v>91</v>
      </c>
      <c r="AV14" s="994" t="s">
        <v>92</v>
      </c>
      <c r="AW14" s="994" t="s">
        <v>93</v>
      </c>
      <c r="AX14" s="994" t="s">
        <v>94</v>
      </c>
      <c r="AY14" s="994" t="s">
        <v>3</v>
      </c>
      <c r="AZ14" s="994" t="s">
        <v>4</v>
      </c>
      <c r="BA14" s="975" t="s">
        <v>95</v>
      </c>
      <c r="BB14" s="978" t="s">
        <v>96</v>
      </c>
      <c r="BC14" s="207" t="s">
        <v>1</v>
      </c>
      <c r="BD14" s="981" t="s">
        <v>15</v>
      </c>
      <c r="BE14" s="982"/>
      <c r="BF14" s="982"/>
      <c r="BG14" s="982"/>
      <c r="BH14" s="982"/>
      <c r="BI14" s="982"/>
      <c r="BJ14" s="982"/>
      <c r="BK14" s="982"/>
      <c r="BL14" s="982"/>
      <c r="BM14" s="983"/>
      <c r="BN14" s="981" t="s">
        <v>16</v>
      </c>
      <c r="BO14" s="982"/>
      <c r="BP14" s="982"/>
      <c r="BQ14" s="982"/>
      <c r="BR14" s="982"/>
      <c r="BS14" s="982"/>
      <c r="BT14" s="982"/>
      <c r="BU14" s="982"/>
      <c r="BV14" s="982"/>
      <c r="BW14" s="984"/>
      <c r="BX14" s="985" t="s">
        <v>17</v>
      </c>
      <c r="BY14" s="988" t="s">
        <v>18</v>
      </c>
      <c r="BZ14" s="989"/>
      <c r="CA14" s="989"/>
      <c r="CB14" s="989"/>
      <c r="CC14" s="989"/>
      <c r="CD14" s="989"/>
      <c r="CE14" s="989"/>
      <c r="CF14" s="989"/>
      <c r="CG14" s="989"/>
      <c r="CH14" s="990"/>
      <c r="CI14" s="965" t="s">
        <v>19</v>
      </c>
      <c r="CJ14" s="966"/>
      <c r="CK14" s="966"/>
      <c r="CL14" s="966"/>
      <c r="CM14" s="966"/>
      <c r="CN14" s="966"/>
      <c r="CO14" s="966"/>
      <c r="CP14" s="966"/>
      <c r="CQ14" s="966"/>
      <c r="CR14" s="966"/>
      <c r="CS14" s="966"/>
      <c r="CT14" s="966"/>
      <c r="CU14" s="966"/>
      <c r="CV14" s="966"/>
      <c r="CW14" s="966"/>
      <c r="CX14" s="966"/>
      <c r="CY14" s="966"/>
      <c r="CZ14" s="966"/>
      <c r="DA14" s="966"/>
      <c r="DB14" s="966"/>
      <c r="DC14" s="966"/>
      <c r="DD14" s="966"/>
      <c r="DE14" s="966"/>
      <c r="DF14" s="966"/>
      <c r="DG14" s="966"/>
      <c r="DH14" s="966"/>
      <c r="DI14" s="966"/>
      <c r="DJ14" s="966"/>
      <c r="DK14" s="966"/>
      <c r="DL14" s="966"/>
      <c r="DM14" s="966"/>
      <c r="DN14" s="966"/>
      <c r="DO14" s="966"/>
      <c r="DP14" s="966"/>
      <c r="DQ14" s="966"/>
      <c r="DR14" s="966"/>
      <c r="DS14" s="966"/>
      <c r="DT14" s="966"/>
      <c r="DU14" s="966"/>
      <c r="DV14" s="966"/>
      <c r="DW14" s="967"/>
      <c r="DX14" s="349"/>
      <c r="DY14" s="968" t="s">
        <v>20</v>
      </c>
      <c r="DZ14" s="969"/>
      <c r="EA14" s="969"/>
      <c r="EB14" s="969"/>
      <c r="EC14" s="969"/>
      <c r="ED14" s="969"/>
      <c r="EE14" s="969"/>
      <c r="EF14" s="969"/>
      <c r="EG14" s="969"/>
      <c r="EH14" s="969"/>
      <c r="EI14" s="969"/>
      <c r="EJ14" s="969"/>
      <c r="EK14" s="969"/>
      <c r="EL14" s="969"/>
      <c r="EM14" s="969"/>
      <c r="EN14" s="969"/>
      <c r="EO14" s="969"/>
      <c r="EP14" s="969"/>
      <c r="EQ14" s="969"/>
      <c r="ER14" s="969"/>
      <c r="ES14" s="969"/>
      <c r="ET14" s="970"/>
      <c r="EU14" s="952" t="s">
        <v>21</v>
      </c>
      <c r="EV14" s="953"/>
      <c r="EW14" s="953"/>
      <c r="EX14" s="953"/>
      <c r="EY14" s="953"/>
      <c r="EZ14" s="954"/>
      <c r="FA14" s="948" t="s">
        <v>22</v>
      </c>
      <c r="FB14" s="949"/>
      <c r="FC14" s="949"/>
      <c r="FD14" s="949"/>
      <c r="FE14" s="949"/>
      <c r="FF14" s="949"/>
      <c r="FG14" s="949"/>
      <c r="FH14" s="949"/>
      <c r="FI14" s="949"/>
      <c r="FJ14" s="949"/>
      <c r="FK14" s="949"/>
      <c r="FL14" s="949"/>
      <c r="FM14" s="949"/>
      <c r="FN14" s="949"/>
      <c r="FO14" s="949"/>
      <c r="FP14" s="949"/>
      <c r="FQ14" s="949"/>
      <c r="FR14" s="949"/>
      <c r="FS14" s="950"/>
      <c r="FT14" s="952" t="s">
        <v>23</v>
      </c>
      <c r="FU14" s="953"/>
      <c r="FV14" s="953"/>
      <c r="FW14" s="953"/>
      <c r="FX14" s="953"/>
      <c r="FY14" s="954"/>
      <c r="FZ14" s="955" t="s">
        <v>24</v>
      </c>
      <c r="GA14" s="956"/>
      <c r="GB14" s="957"/>
      <c r="GC14" s="948" t="s">
        <v>25</v>
      </c>
      <c r="GD14" s="949"/>
      <c r="GE14" s="949"/>
      <c r="GF14" s="950"/>
      <c r="GG14" s="948" t="s">
        <v>26</v>
      </c>
      <c r="GH14" s="949"/>
      <c r="GI14" s="950"/>
      <c r="GJ14" s="948" t="s">
        <v>27</v>
      </c>
      <c r="GK14" s="949"/>
      <c r="GL14" s="949"/>
      <c r="GM14" s="951"/>
      <c r="GO14" s="923" t="s">
        <v>28</v>
      </c>
      <c r="GP14" s="923"/>
      <c r="GQ14" s="923"/>
      <c r="GR14" s="923"/>
      <c r="GS14" s="923"/>
      <c r="GT14" s="923"/>
      <c r="GU14" s="923"/>
      <c r="GV14" s="923"/>
      <c r="GW14" s="923"/>
      <c r="GX14" s="923"/>
      <c r="GY14" s="923"/>
      <c r="GZ14" s="923"/>
      <c r="HA14" s="923"/>
      <c r="HB14" s="923"/>
      <c r="HC14" s="923"/>
      <c r="HD14" s="923"/>
      <c r="HE14" s="923"/>
      <c r="HF14" s="923"/>
      <c r="HG14" s="923"/>
      <c r="HH14" s="923"/>
      <c r="HI14" s="72"/>
      <c r="HJ14" s="77" t="s">
        <v>142</v>
      </c>
      <c r="HK14" s="78"/>
      <c r="HL14" s="74"/>
      <c r="HM14" s="80"/>
    </row>
    <row r="15" spans="1:221" s="90" customFormat="1" ht="15" customHeight="1" thickBot="1">
      <c r="A15" s="1041"/>
      <c r="B15" s="1044"/>
      <c r="C15" s="1047"/>
      <c r="D15" s="1050"/>
      <c r="E15" s="1008"/>
      <c r="F15" s="1008"/>
      <c r="G15" s="1008"/>
      <c r="H15" s="1008"/>
      <c r="I15" s="1008"/>
      <c r="J15" s="1026"/>
      <c r="K15" s="1026"/>
      <c r="L15" s="1026"/>
      <c r="M15" s="1026"/>
      <c r="N15" s="1026"/>
      <c r="O15" s="1026"/>
      <c r="P15" s="1026"/>
      <c r="Q15" s="1026"/>
      <c r="R15" s="1026"/>
      <c r="S15" s="1026"/>
      <c r="T15" s="1026"/>
      <c r="U15" s="1026"/>
      <c r="V15" s="1026"/>
      <c r="W15" s="1026"/>
      <c r="X15" s="1026"/>
      <c r="Y15" s="1008"/>
      <c r="Z15" s="1026"/>
      <c r="AA15" s="1011"/>
      <c r="AB15" s="1008"/>
      <c r="AC15" s="1011"/>
      <c r="AD15" s="1008"/>
      <c r="AE15" s="1011"/>
      <c r="AF15" s="1008"/>
      <c r="AG15" s="1011"/>
      <c r="AH15" s="1008"/>
      <c r="AI15" s="1011"/>
      <c r="AJ15" s="1014"/>
      <c r="AK15" s="1017"/>
      <c r="AL15" s="1020"/>
      <c r="AM15" s="1023"/>
      <c r="AN15" s="1002"/>
      <c r="AO15" s="1002"/>
      <c r="AP15" s="1002"/>
      <c r="AQ15" s="1002"/>
      <c r="AR15" s="1002"/>
      <c r="AS15" s="93"/>
      <c r="AT15" s="1005"/>
      <c r="AU15" s="995"/>
      <c r="AV15" s="995"/>
      <c r="AW15" s="995"/>
      <c r="AX15" s="995"/>
      <c r="AY15" s="995"/>
      <c r="AZ15" s="995"/>
      <c r="BA15" s="976"/>
      <c r="BB15" s="979"/>
      <c r="BC15" s="997" t="s">
        <v>29</v>
      </c>
      <c r="BD15" s="991" t="s">
        <v>30</v>
      </c>
      <c r="BE15" s="992"/>
      <c r="BF15" s="992"/>
      <c r="BG15" s="992"/>
      <c r="BH15" s="999"/>
      <c r="BI15" s="991" t="s">
        <v>31</v>
      </c>
      <c r="BJ15" s="992"/>
      <c r="BK15" s="992"/>
      <c r="BL15" s="992"/>
      <c r="BM15" s="999"/>
      <c r="BN15" s="991" t="s">
        <v>32</v>
      </c>
      <c r="BO15" s="992"/>
      <c r="BP15" s="992"/>
      <c r="BQ15" s="992"/>
      <c r="BR15" s="999"/>
      <c r="BS15" s="991" t="s">
        <v>33</v>
      </c>
      <c r="BT15" s="992"/>
      <c r="BU15" s="992"/>
      <c r="BV15" s="992"/>
      <c r="BW15" s="993"/>
      <c r="BX15" s="986"/>
      <c r="BY15" s="1000" t="s">
        <v>34</v>
      </c>
      <c r="BZ15" s="992"/>
      <c r="CA15" s="992"/>
      <c r="CB15" s="992"/>
      <c r="CC15" s="999"/>
      <c r="CD15" s="991" t="s">
        <v>35</v>
      </c>
      <c r="CE15" s="992"/>
      <c r="CF15" s="992"/>
      <c r="CG15" s="992"/>
      <c r="CH15" s="993"/>
      <c r="CI15" s="971" t="s">
        <v>5</v>
      </c>
      <c r="CJ15" s="973" t="s">
        <v>36</v>
      </c>
      <c r="CK15" s="960" t="s">
        <v>37</v>
      </c>
      <c r="CL15" s="962"/>
      <c r="CM15" s="962"/>
      <c r="CN15" s="962"/>
      <c r="CO15" s="961"/>
      <c r="CP15" s="958" t="s">
        <v>38</v>
      </c>
      <c r="CQ15" s="960" t="s">
        <v>39</v>
      </c>
      <c r="CR15" s="962"/>
      <c r="CS15" s="962"/>
      <c r="CT15" s="962"/>
      <c r="CU15" s="961"/>
      <c r="CV15" s="958" t="s">
        <v>6</v>
      </c>
      <c r="CW15" s="960" t="s">
        <v>40</v>
      </c>
      <c r="CX15" s="962"/>
      <c r="CY15" s="962"/>
      <c r="CZ15" s="962"/>
      <c r="DA15" s="961"/>
      <c r="DB15" s="958" t="s">
        <v>7</v>
      </c>
      <c r="DC15" s="960" t="s">
        <v>0</v>
      </c>
      <c r="DD15" s="962"/>
      <c r="DE15" s="961"/>
      <c r="DF15" s="958" t="s">
        <v>41</v>
      </c>
      <c r="DG15" s="958" t="s">
        <v>42</v>
      </c>
      <c r="DH15" s="958" t="s">
        <v>43</v>
      </c>
      <c r="DI15" s="958" t="s">
        <v>44</v>
      </c>
      <c r="DJ15" s="958" t="s">
        <v>45</v>
      </c>
      <c r="DK15" s="960" t="s">
        <v>46</v>
      </c>
      <c r="DL15" s="961"/>
      <c r="DM15" s="958" t="s">
        <v>47</v>
      </c>
      <c r="DN15" s="960" t="s">
        <v>48</v>
      </c>
      <c r="DO15" s="962"/>
      <c r="DP15" s="962"/>
      <c r="DQ15" s="962"/>
      <c r="DR15" s="961"/>
      <c r="DS15" s="212" t="s">
        <v>49</v>
      </c>
      <c r="DT15" s="213"/>
      <c r="DU15" s="213"/>
      <c r="DV15" s="213"/>
      <c r="DW15" s="214"/>
      <c r="DX15" s="358"/>
      <c r="DY15" s="963" t="s">
        <v>50</v>
      </c>
      <c r="DZ15" s="217" t="s">
        <v>51</v>
      </c>
      <c r="EA15" s="218"/>
      <c r="EB15" s="217" t="s">
        <v>52</v>
      </c>
      <c r="EC15" s="219"/>
      <c r="ED15" s="219"/>
      <c r="EE15" s="219"/>
      <c r="EF15" s="218"/>
      <c r="EG15" s="942" t="s">
        <v>53</v>
      </c>
      <c r="EH15" s="217" t="s">
        <v>54</v>
      </c>
      <c r="EI15" s="219"/>
      <c r="EJ15" s="219"/>
      <c r="EK15" s="219"/>
      <c r="EL15" s="218"/>
      <c r="EM15" s="942" t="s">
        <v>55</v>
      </c>
      <c r="EN15" s="217" t="s">
        <v>56</v>
      </c>
      <c r="EO15" s="219"/>
      <c r="EP15" s="219"/>
      <c r="EQ15" s="219"/>
      <c r="ER15" s="218"/>
      <c r="ES15" s="942" t="s">
        <v>57</v>
      </c>
      <c r="ET15" s="942" t="s">
        <v>58</v>
      </c>
      <c r="EU15" s="946" t="s">
        <v>59</v>
      </c>
      <c r="EV15" s="223" t="s">
        <v>60</v>
      </c>
      <c r="EW15" s="224"/>
      <c r="EX15" s="946" t="s">
        <v>61</v>
      </c>
      <c r="EY15" s="946" t="s">
        <v>62</v>
      </c>
      <c r="EZ15" s="946" t="s">
        <v>63</v>
      </c>
      <c r="FA15" s="942" t="s">
        <v>64</v>
      </c>
      <c r="FB15" s="217" t="s">
        <v>65</v>
      </c>
      <c r="FC15" s="219"/>
      <c r="FD15" s="219"/>
      <c r="FE15" s="219"/>
      <c r="FF15" s="218"/>
      <c r="FG15" s="942" t="s">
        <v>65</v>
      </c>
      <c r="FH15" s="217" t="s">
        <v>66</v>
      </c>
      <c r="FI15" s="219"/>
      <c r="FJ15" s="219"/>
      <c r="FK15" s="219"/>
      <c r="FL15" s="218"/>
      <c r="FM15" s="942" t="s">
        <v>67</v>
      </c>
      <c r="FN15" s="217" t="s">
        <v>68</v>
      </c>
      <c r="FO15" s="219"/>
      <c r="FP15" s="219"/>
      <c r="FQ15" s="219"/>
      <c r="FR15" s="218"/>
      <c r="FS15" s="942" t="s">
        <v>69</v>
      </c>
      <c r="FT15" s="946" t="s">
        <v>70</v>
      </c>
      <c r="FU15" s="946" t="s">
        <v>71</v>
      </c>
      <c r="FV15" s="946" t="s">
        <v>72</v>
      </c>
      <c r="FW15" s="946" t="s">
        <v>73</v>
      </c>
      <c r="FX15" s="946" t="s">
        <v>74</v>
      </c>
      <c r="FY15" s="946" t="s">
        <v>75</v>
      </c>
      <c r="FZ15" s="217" t="s">
        <v>76</v>
      </c>
      <c r="GA15" s="217"/>
      <c r="GB15" s="942" t="s">
        <v>77</v>
      </c>
      <c r="GC15" s="217" t="s">
        <v>78</v>
      </c>
      <c r="GD15" s="218"/>
      <c r="GE15" s="217" t="s">
        <v>79</v>
      </c>
      <c r="GF15" s="218"/>
      <c r="GG15" s="942" t="s">
        <v>80</v>
      </c>
      <c r="GH15" s="942" t="s">
        <v>81</v>
      </c>
      <c r="GI15" s="942" t="s">
        <v>82</v>
      </c>
      <c r="GJ15" s="942" t="s">
        <v>42</v>
      </c>
      <c r="GK15" s="942" t="s">
        <v>43</v>
      </c>
      <c r="GL15" s="942" t="s">
        <v>44</v>
      </c>
      <c r="GM15" s="944" t="s">
        <v>45</v>
      </c>
      <c r="GO15" s="935" t="s">
        <v>83</v>
      </c>
      <c r="GP15" s="935"/>
      <c r="GQ15" s="934" t="s">
        <v>84</v>
      </c>
      <c r="GR15" s="934"/>
      <c r="GS15" s="934"/>
      <c r="GT15" s="934"/>
      <c r="GU15" s="934"/>
      <c r="GV15" s="925" t="s">
        <v>85</v>
      </c>
      <c r="GW15" s="924" t="s">
        <v>86</v>
      </c>
      <c r="GX15" s="924"/>
      <c r="GY15" s="924"/>
      <c r="GZ15" s="924"/>
      <c r="HA15" s="924"/>
      <c r="HB15" s="936" t="s">
        <v>87</v>
      </c>
      <c r="HC15" s="934" t="s">
        <v>88</v>
      </c>
      <c r="HD15" s="938"/>
      <c r="HE15" s="938"/>
      <c r="HF15" s="938"/>
      <c r="HG15" s="939"/>
      <c r="HH15" s="940" t="s">
        <v>89</v>
      </c>
      <c r="HI15" s="91"/>
      <c r="HJ15" s="928" t="s">
        <v>70</v>
      </c>
      <c r="HK15" s="930" t="s">
        <v>71</v>
      </c>
      <c r="HL15" s="932" t="s">
        <v>72</v>
      </c>
      <c r="HM15" s="926" t="s">
        <v>716</v>
      </c>
    </row>
    <row r="16" spans="1:221" s="92" customFormat="1" ht="45.75" thickBot="1">
      <c r="A16" s="1042"/>
      <c r="B16" s="1045"/>
      <c r="C16" s="1048"/>
      <c r="D16" s="1051"/>
      <c r="E16" s="1009"/>
      <c r="F16" s="1009"/>
      <c r="G16" s="1009"/>
      <c r="H16" s="1009"/>
      <c r="I16" s="1009"/>
      <c r="J16" s="1027"/>
      <c r="K16" s="1027"/>
      <c r="L16" s="1027"/>
      <c r="M16" s="1027"/>
      <c r="N16" s="1027"/>
      <c r="O16" s="1027"/>
      <c r="P16" s="1027"/>
      <c r="Q16" s="1027"/>
      <c r="R16" s="1027"/>
      <c r="S16" s="1027"/>
      <c r="T16" s="1027"/>
      <c r="U16" s="1027"/>
      <c r="V16" s="1027"/>
      <c r="W16" s="1027"/>
      <c r="X16" s="1027"/>
      <c r="Y16" s="1009"/>
      <c r="Z16" s="1027"/>
      <c r="AA16" s="1012"/>
      <c r="AB16" s="1009"/>
      <c r="AC16" s="1012"/>
      <c r="AD16" s="1009"/>
      <c r="AE16" s="1012"/>
      <c r="AF16" s="1009"/>
      <c r="AG16" s="1012"/>
      <c r="AH16" s="1009"/>
      <c r="AI16" s="1012"/>
      <c r="AJ16" s="1015"/>
      <c r="AK16" s="1018"/>
      <c r="AL16" s="1021"/>
      <c r="AM16" s="1024"/>
      <c r="AN16" s="1003"/>
      <c r="AO16" s="1003"/>
      <c r="AP16" s="1003"/>
      <c r="AQ16" s="1003"/>
      <c r="AR16" s="1003"/>
      <c r="AS16" s="93"/>
      <c r="AT16" s="1006"/>
      <c r="AU16" s="996"/>
      <c r="AV16" s="996"/>
      <c r="AW16" s="996"/>
      <c r="AX16" s="996"/>
      <c r="AY16" s="996"/>
      <c r="AZ16" s="996"/>
      <c r="BA16" s="977"/>
      <c r="BB16" s="980"/>
      <c r="BC16" s="998"/>
      <c r="BD16" s="208">
        <v>36</v>
      </c>
      <c r="BE16" s="209">
        <v>48</v>
      </c>
      <c r="BF16" s="209">
        <v>60</v>
      </c>
      <c r="BG16" s="209">
        <v>72</v>
      </c>
      <c r="BH16" s="869" t="s">
        <v>1064</v>
      </c>
      <c r="BI16" s="209">
        <v>24</v>
      </c>
      <c r="BJ16" s="209">
        <v>36</v>
      </c>
      <c r="BK16" s="209">
        <v>39</v>
      </c>
      <c r="BL16" s="209">
        <v>48</v>
      </c>
      <c r="BM16" s="209">
        <v>60</v>
      </c>
      <c r="BN16" s="209">
        <v>36</v>
      </c>
      <c r="BO16" s="209">
        <v>48</v>
      </c>
      <c r="BP16" s="209">
        <v>60</v>
      </c>
      <c r="BQ16" s="209">
        <v>72</v>
      </c>
      <c r="BR16" s="869" t="s">
        <v>1064</v>
      </c>
      <c r="BS16" s="209">
        <v>24</v>
      </c>
      <c r="BT16" s="209">
        <v>36</v>
      </c>
      <c r="BU16" s="209">
        <v>39</v>
      </c>
      <c r="BV16" s="209">
        <v>48</v>
      </c>
      <c r="BW16" s="210">
        <v>60</v>
      </c>
      <c r="BX16" s="987"/>
      <c r="BY16" s="208">
        <v>36</v>
      </c>
      <c r="BZ16" s="209">
        <v>48</v>
      </c>
      <c r="CA16" s="209">
        <v>60</v>
      </c>
      <c r="CB16" s="209">
        <v>72</v>
      </c>
      <c r="CC16" s="869" t="s">
        <v>1064</v>
      </c>
      <c r="CD16" s="209">
        <v>24</v>
      </c>
      <c r="CE16" s="209">
        <v>36</v>
      </c>
      <c r="CF16" s="209">
        <v>39</v>
      </c>
      <c r="CG16" s="209">
        <v>48</v>
      </c>
      <c r="CH16" s="211">
        <v>60</v>
      </c>
      <c r="CI16" s="972"/>
      <c r="CJ16" s="974"/>
      <c r="CK16" s="215">
        <v>36</v>
      </c>
      <c r="CL16" s="215">
        <v>48</v>
      </c>
      <c r="CM16" s="215">
        <v>60</v>
      </c>
      <c r="CN16" s="215">
        <v>72</v>
      </c>
      <c r="CO16" s="870" t="s">
        <v>1064</v>
      </c>
      <c r="CP16" s="959"/>
      <c r="CQ16" s="215">
        <v>36</v>
      </c>
      <c r="CR16" s="215">
        <v>48</v>
      </c>
      <c r="CS16" s="215">
        <v>60</v>
      </c>
      <c r="CT16" s="215">
        <v>72</v>
      </c>
      <c r="CU16" s="870" t="s">
        <v>1064</v>
      </c>
      <c r="CV16" s="959"/>
      <c r="CW16" s="215">
        <v>24</v>
      </c>
      <c r="CX16" s="215">
        <v>36</v>
      </c>
      <c r="CY16" s="215">
        <v>39</v>
      </c>
      <c r="CZ16" s="215">
        <v>48</v>
      </c>
      <c r="DA16" s="215">
        <v>60</v>
      </c>
      <c r="DB16" s="959"/>
      <c r="DC16" s="215" t="s">
        <v>97</v>
      </c>
      <c r="DD16" s="215" t="s">
        <v>98</v>
      </c>
      <c r="DE16" s="215" t="s">
        <v>99</v>
      </c>
      <c r="DF16" s="959"/>
      <c r="DG16" s="959"/>
      <c r="DH16" s="959"/>
      <c r="DI16" s="959"/>
      <c r="DJ16" s="959"/>
      <c r="DK16" s="215" t="s">
        <v>98</v>
      </c>
      <c r="DL16" s="215" t="s">
        <v>99</v>
      </c>
      <c r="DM16" s="959"/>
      <c r="DN16" s="512" t="s">
        <v>100</v>
      </c>
      <c r="DO16" s="512" t="s">
        <v>101</v>
      </c>
      <c r="DP16" s="512" t="s">
        <v>102</v>
      </c>
      <c r="DQ16" s="512" t="s">
        <v>103</v>
      </c>
      <c r="DR16" s="512" t="s">
        <v>104</v>
      </c>
      <c r="DS16" s="512" t="s">
        <v>105</v>
      </c>
      <c r="DT16" s="512" t="s">
        <v>106</v>
      </c>
      <c r="DU16" s="512" t="s">
        <v>107</v>
      </c>
      <c r="DV16" s="512" t="s">
        <v>108</v>
      </c>
      <c r="DW16" s="216" t="s">
        <v>109</v>
      </c>
      <c r="DX16" s="362"/>
      <c r="DY16" s="964"/>
      <c r="DZ16" s="510" t="s">
        <v>110</v>
      </c>
      <c r="EA16" s="510" t="s">
        <v>111</v>
      </c>
      <c r="EB16" s="220">
        <v>24</v>
      </c>
      <c r="EC16" s="220">
        <v>36</v>
      </c>
      <c r="ED16" s="220">
        <v>48</v>
      </c>
      <c r="EE16" s="220">
        <v>60</v>
      </c>
      <c r="EF16" s="220">
        <v>72</v>
      </c>
      <c r="EG16" s="943"/>
      <c r="EH16" s="220">
        <v>24</v>
      </c>
      <c r="EI16" s="220">
        <v>36</v>
      </c>
      <c r="EJ16" s="220">
        <v>48</v>
      </c>
      <c r="EK16" s="220">
        <v>60</v>
      </c>
      <c r="EL16" s="220">
        <v>72</v>
      </c>
      <c r="EM16" s="943"/>
      <c r="EN16" s="220">
        <v>24</v>
      </c>
      <c r="EO16" s="220">
        <v>36</v>
      </c>
      <c r="EP16" s="221">
        <v>39</v>
      </c>
      <c r="EQ16" s="221">
        <v>48</v>
      </c>
      <c r="ER16" s="221">
        <v>60</v>
      </c>
      <c r="ES16" s="943"/>
      <c r="ET16" s="943"/>
      <c r="EU16" s="947"/>
      <c r="EV16" s="511" t="s">
        <v>110</v>
      </c>
      <c r="EW16" s="511" t="s">
        <v>111</v>
      </c>
      <c r="EX16" s="947"/>
      <c r="EY16" s="947"/>
      <c r="EZ16" s="947"/>
      <c r="FA16" s="943"/>
      <c r="FB16" s="221">
        <v>24</v>
      </c>
      <c r="FC16" s="221">
        <v>36</v>
      </c>
      <c r="FD16" s="221">
        <v>48</v>
      </c>
      <c r="FE16" s="221">
        <v>60</v>
      </c>
      <c r="FF16" s="221">
        <v>72</v>
      </c>
      <c r="FG16" s="943"/>
      <c r="FH16" s="221">
        <v>24</v>
      </c>
      <c r="FI16" s="221">
        <v>36</v>
      </c>
      <c r="FJ16" s="221">
        <v>48</v>
      </c>
      <c r="FK16" s="221">
        <v>60</v>
      </c>
      <c r="FL16" s="221" t="s">
        <v>112</v>
      </c>
      <c r="FM16" s="943"/>
      <c r="FN16" s="221">
        <v>24</v>
      </c>
      <c r="FO16" s="221">
        <v>36</v>
      </c>
      <c r="FP16" s="221" t="s">
        <v>113</v>
      </c>
      <c r="FQ16" s="221" t="s">
        <v>114</v>
      </c>
      <c r="FR16" s="221" t="s">
        <v>115</v>
      </c>
      <c r="FS16" s="943"/>
      <c r="FT16" s="947"/>
      <c r="FU16" s="947"/>
      <c r="FV16" s="947"/>
      <c r="FW16" s="947"/>
      <c r="FX16" s="947"/>
      <c r="FY16" s="947"/>
      <c r="FZ16" s="510" t="s">
        <v>116</v>
      </c>
      <c r="GA16" s="510" t="s">
        <v>117</v>
      </c>
      <c r="GB16" s="943"/>
      <c r="GC16" s="222" t="s">
        <v>116</v>
      </c>
      <c r="GD16" s="222" t="s">
        <v>117</v>
      </c>
      <c r="GE16" s="222" t="s">
        <v>116</v>
      </c>
      <c r="GF16" s="222" t="s">
        <v>117</v>
      </c>
      <c r="GG16" s="943"/>
      <c r="GH16" s="943"/>
      <c r="GI16" s="943"/>
      <c r="GJ16" s="943"/>
      <c r="GK16" s="943"/>
      <c r="GL16" s="943"/>
      <c r="GM16" s="945"/>
      <c r="GO16" s="225" t="s">
        <v>118</v>
      </c>
      <c r="GP16" s="509" t="s">
        <v>119</v>
      </c>
      <c r="GQ16" s="227">
        <v>24</v>
      </c>
      <c r="GR16" s="227">
        <v>36</v>
      </c>
      <c r="GS16" s="227">
        <v>48</v>
      </c>
      <c r="GT16" s="227">
        <v>60</v>
      </c>
      <c r="GU16" s="227">
        <v>72</v>
      </c>
      <c r="GV16" s="925"/>
      <c r="GW16" s="226">
        <v>24</v>
      </c>
      <c r="GX16" s="226">
        <v>36</v>
      </c>
      <c r="GY16" s="226">
        <v>48</v>
      </c>
      <c r="GZ16" s="226">
        <v>60</v>
      </c>
      <c r="HA16" s="226">
        <v>72</v>
      </c>
      <c r="HB16" s="937"/>
      <c r="HC16" s="227">
        <v>24</v>
      </c>
      <c r="HD16" s="227">
        <v>36</v>
      </c>
      <c r="HE16" s="228">
        <v>39</v>
      </c>
      <c r="HF16" s="228">
        <v>48</v>
      </c>
      <c r="HG16" s="228">
        <v>60</v>
      </c>
      <c r="HH16" s="941"/>
      <c r="HI16" s="93"/>
      <c r="HJ16" s="929"/>
      <c r="HK16" s="931"/>
      <c r="HL16" s="933"/>
      <c r="HM16" s="927"/>
    </row>
    <row r="17" spans="1:221" s="60" customFormat="1" ht="15.75" thickBot="1">
      <c r="A17" s="31">
        <f>C17*1000+B17</f>
        <v>1001</v>
      </c>
      <c r="B17" s="31">
        <f t="shared" ref="B17:B19" si="10">IF(D17="Baseline1",1,B16+1)</f>
        <v>1</v>
      </c>
      <c r="C17" s="508">
        <v>1</v>
      </c>
      <c r="D17" s="31" t="s">
        <v>566</v>
      </c>
      <c r="E17" s="365">
        <f>INDEX(Input!$1:$1048576,E$10,$C17*2+MIN($B17,2)+5)</f>
        <v>750</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1.9E-2</v>
      </c>
      <c r="W17" s="38">
        <f>INDEX(Input!$1:$1048576,W$10,$C17*2+MIN($B17,2)+5)</f>
        <v>3.9E-2</v>
      </c>
      <c r="X17" s="367" t="str">
        <f>INDEX(Input!$1:$1048576,X$10,$C17*2+MIN($B17,2)+5)</f>
        <v>Y</v>
      </c>
      <c r="Y17" s="517">
        <f>MIN(BX17*5%,2000)</f>
        <v>984.75</v>
      </c>
      <c r="Z17" s="49">
        <f>INDEX(Input!$1:$1048576,Z$10,$C17*2+MIN($B17,2)+5)</f>
        <v>0</v>
      </c>
      <c r="AA17" s="49">
        <f>INDEX(Input!$1:$1048576,AA$10,$C17*2+MIN($B17,2)+5)</f>
        <v>0</v>
      </c>
      <c r="AB17" s="367">
        <f>INDEX(Input!$1:$1048576,AB$10,$C17*2+MIN($B17,2)+5)</f>
        <v>1</v>
      </c>
      <c r="AC17" s="49">
        <f>INDEX(Input!$1:$1048576,AC$10,$C17*2+MIN($B17,2)+5)</f>
        <v>1000</v>
      </c>
      <c r="AD17" s="367">
        <f>INDEX(Input!$1:$1048576,AD$10,$C17*2+MIN($B17,2)+5)</f>
        <v>0.35</v>
      </c>
      <c r="AE17" s="49">
        <f>INDEX(Input!$1:$1048576,AE$10,$C17*2+MIN($B17,2)+5)</f>
        <v>0</v>
      </c>
      <c r="AF17" s="367">
        <f>INDEX(Input!$1:$1048576,AF$10,$C17*2+MIN($B17,2)+5)</f>
        <v>1</v>
      </c>
      <c r="AG17" s="49">
        <f>INDEX(Input!$1:$1048576,AG$10,$C17*2+MIN($B17,2)+5)</f>
        <v>500</v>
      </c>
      <c r="AH17" s="367">
        <f>INDEX(Input!$1:$1048576,AH$10,$C17*2+MIN($B17,2)+5)</f>
        <v>1</v>
      </c>
      <c r="AI17" s="49">
        <f>INDEX(Input!$1:$1048576,AI$10,$C17*2+MIN($B17,2)+5)</f>
        <v>500</v>
      </c>
      <c r="AJ17" s="367">
        <f>INDEX(Input!$1:$1048576,AJ$10,$C17*2+MIN($B17,2)+5)</f>
        <v>0.35</v>
      </c>
      <c r="AK17" s="298">
        <f>INDEX(Input!$1:$1048576,AK$10,$C17*2+MIN($B17,2)+5)</f>
        <v>5598.7109265464023</v>
      </c>
      <c r="AL17" s="49">
        <f>INDEX(Input!$1:$1048576,AL$10,$C17*2+MIN($B17,2)+5)</f>
        <v>5598.7109265464023</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+ 0/0/0/1.9/3.9</v>
      </c>
      <c r="AO17" s="44" t="str">
        <f>IF(S17="market","std",ROUND(S17*1000,0)/10)&amp;"/"&amp;IF(T17="market","std",ROUND(T17*1000,0)/10)&amp;"/"&amp;IF(U17="market","std",ROUND(U17*1000,0)/10)&amp;"/"&amp;IF(V17="market","std",ROUND(V17*1000,0)/10)&amp;IF(X17="N","","/"&amp;IF(W17="market","std",ROUND(W17*1000,0)/10))</f>
        <v>0/0/0/1.9/3.9</v>
      </c>
      <c r="AP17" s="44" t="str">
        <f>IF(T17="market","std",ROUND(T17*1000,0)/10)&amp;"/"&amp;IF(U17="market","std",ROUND(U17*1000,0)/10)&amp;"/"&amp;IF(V17="market","std",ROUND(V17*1000,0)/10)&amp;IF(X17="N","","/"&amp;IF(W17="market","std",ROUND(W17*1000,0)/10))</f>
        <v>0/0/1.9/3.9</v>
      </c>
      <c r="AQ17" s="49">
        <f>SUM(F17*(1-ET17),G17*EM17,H17*ES17,AC17*AD17,AE17*AF17,AI17*AJ17)</f>
        <v>525</v>
      </c>
      <c r="AR17" s="44" t="str">
        <f>IF(U17="market","std",ROUND(U17*1000,0)/10)&amp;"/"&amp;IF(V17="market","std",ROUND(V17*1000,0)/10)</f>
        <v>0/1.9</v>
      </c>
      <c r="AS17" s="368"/>
      <c r="AT17" s="50">
        <v>1</v>
      </c>
      <c r="AU17" s="45" t="s">
        <v>121</v>
      </c>
      <c r="AV17" s="45" t="s">
        <v>116</v>
      </c>
      <c r="AW17" s="45" t="str">
        <f>INDEX(Input!$1:$1048576,AW$10,$C17*2+6)</f>
        <v>Kia</v>
      </c>
      <c r="AX17" s="45" t="str">
        <f>INDEX(Input!$1:$1048576,AX$10,$C17*2+6)</f>
        <v>Kia-LR - L1</v>
      </c>
      <c r="AY17" s="10" t="str">
        <f>IF(D17="Skip","",INDEX(Input!$1:$1048576,AY$10,$C17*2+6))</f>
        <v>Compact Conventional/Sporty Car (43)</v>
      </c>
      <c r="AZ17" s="45" t="str">
        <f>INDEX(Input!$1:$1048576,AZ$10,$C17*2+6)</f>
        <v>Kia Forte</v>
      </c>
      <c r="BA17" s="50">
        <f>INDEX(Input!$1:$1048576,BA$10,$C17*2+6)</f>
        <v>2020</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19695</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E17+F17*I17+AA17*AB17+AC17*AD17</f>
        <v>1100</v>
      </c>
      <c r="CJ17" s="46" t="str">
        <f>INDEX(Input!$1:$1048576,CJ$10,$C17*2+6)</f>
        <v>N</v>
      </c>
      <c r="CK17" s="38" t="str">
        <f t="shared" ref="CK17:CO17" si="11">J17</f>
        <v>Market</v>
      </c>
      <c r="CL17" s="38" t="str">
        <f t="shared" si="11"/>
        <v>Market</v>
      </c>
      <c r="CM17" s="38" t="str">
        <f t="shared" si="11"/>
        <v>Market</v>
      </c>
      <c r="CN17" s="38" t="str">
        <f t="shared" si="11"/>
        <v>Market</v>
      </c>
      <c r="CO17" s="38" t="str">
        <f t="shared" si="11"/>
        <v>Market</v>
      </c>
      <c r="CP17" s="49">
        <f>Q17+G17*I17+AA17*AB17+AC17*AD17</f>
        <v>350</v>
      </c>
      <c r="CQ17" s="38">
        <f t="shared" ref="CQ17:CU17" si="12">R17</f>
        <v>0</v>
      </c>
      <c r="CR17" s="38">
        <f t="shared" si="12"/>
        <v>0</v>
      </c>
      <c r="CS17" s="38">
        <f t="shared" si="12"/>
        <v>0</v>
      </c>
      <c r="CT17" s="38">
        <f t="shared" si="12"/>
        <v>0</v>
      </c>
      <c r="CU17" s="38">
        <f t="shared" si="12"/>
        <v>1.9E-2</v>
      </c>
      <c r="CV17" s="49">
        <f>Y17+H17*I17+AE17*AF17+AI17*AJ17</f>
        <v>1159.75</v>
      </c>
      <c r="CW17" s="22" t="s">
        <v>122</v>
      </c>
      <c r="CX17" s="22" t="s">
        <v>122</v>
      </c>
      <c r="CY17" s="22" t="s">
        <v>122</v>
      </c>
      <c r="CZ17" s="22" t="s">
        <v>122</v>
      </c>
      <c r="DA17" s="22" t="s">
        <v>122</v>
      </c>
      <c r="DB17" s="502">
        <f>Z17+AG17*AH17</f>
        <v>500</v>
      </c>
      <c r="DC17" s="29">
        <v>0</v>
      </c>
      <c r="DD17" s="29">
        <v>0</v>
      </c>
      <c r="DE17" s="29">
        <v>0</v>
      </c>
      <c r="DF17" s="49">
        <v>0</v>
      </c>
      <c r="DG17" s="49">
        <v>0</v>
      </c>
      <c r="DH17" s="49">
        <v>0</v>
      </c>
      <c r="DI17" s="49">
        <v>0</v>
      </c>
      <c r="DJ17" s="49">
        <v>0</v>
      </c>
      <c r="DK17" s="29">
        <v>0</v>
      </c>
      <c r="DL17" s="29">
        <v>0</v>
      </c>
      <c r="DM17" s="49">
        <f>INDEX(Input!$1:$1048576,DM$10,$C17*2+6)</f>
        <v>20731.578947368424</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2.6601637074939136E-2</v>
      </c>
      <c r="DZ17" s="37">
        <v>0</v>
      </c>
      <c r="EA17" s="37">
        <v>0.41921104364279205</v>
      </c>
      <c r="EB17" s="37">
        <v>0</v>
      </c>
      <c r="EC17" s="37">
        <v>0</v>
      </c>
      <c r="ED17" s="37">
        <v>0</v>
      </c>
      <c r="EE17" s="37">
        <v>0</v>
      </c>
      <c r="EF17" s="37">
        <v>0</v>
      </c>
      <c r="EG17" s="37">
        <v>0</v>
      </c>
      <c r="EH17" s="37">
        <v>9.9657389622830606E-3</v>
      </c>
      <c r="EI17" s="37">
        <v>1.7925313651193712E-2</v>
      </c>
      <c r="EJ17" s="37">
        <v>0.1409756061234029</v>
      </c>
      <c r="EK17" s="37">
        <v>0.75863240724128334</v>
      </c>
      <c r="EL17" s="37">
        <v>7.2500934021836952E-2</v>
      </c>
      <c r="EM17" s="37">
        <v>5.2794043786110342E-2</v>
      </c>
      <c r="EN17" s="37">
        <v>4.5612552638411526E-2</v>
      </c>
      <c r="EO17" s="37">
        <v>0.55244191948131216</v>
      </c>
      <c r="EP17" s="37">
        <v>0.29454798931581178</v>
      </c>
      <c r="EQ17" s="37">
        <v>6.2474934539530062E-2</v>
      </c>
      <c r="ER17" s="37">
        <v>4.4922604024934296E-2</v>
      </c>
      <c r="ES17" s="37">
        <v>0.50139327549615842</v>
      </c>
      <c r="ET17" s="37">
        <v>0.55418731928226883</v>
      </c>
      <c r="EU17" s="36">
        <v>1200</v>
      </c>
      <c r="EV17" s="36">
        <v>0</v>
      </c>
      <c r="EW17" s="36">
        <v>1200</v>
      </c>
      <c r="EX17" s="36">
        <v>0</v>
      </c>
      <c r="EY17" s="36">
        <v>2925.5306458308564</v>
      </c>
      <c r="EZ17" s="36">
        <v>1334.75</v>
      </c>
      <c r="FA17" s="36">
        <v>0</v>
      </c>
      <c r="FB17" s="36">
        <v>0</v>
      </c>
      <c r="FC17" s="36">
        <v>0</v>
      </c>
      <c r="FD17" s="36">
        <v>0</v>
      </c>
      <c r="FE17" s="36">
        <v>0</v>
      </c>
      <c r="FF17" s="36">
        <v>0</v>
      </c>
      <c r="FG17" s="36">
        <v>0</v>
      </c>
      <c r="FH17" s="36">
        <v>1152.1208270377813</v>
      </c>
      <c r="FI17" s="36">
        <v>1531.4299904380625</v>
      </c>
      <c r="FJ17" s="36">
        <v>2070.7205842538224</v>
      </c>
      <c r="FK17" s="36">
        <v>2635.3956133202914</v>
      </c>
      <c r="FL17" s="36">
        <v>2005.2147164707269</v>
      </c>
      <c r="FM17" s="36">
        <v>2475.5306458308564</v>
      </c>
      <c r="FN17" s="36">
        <v>0</v>
      </c>
      <c r="FO17" s="36">
        <v>0</v>
      </c>
      <c r="FP17" s="36">
        <v>0</v>
      </c>
      <c r="FQ17" s="36">
        <v>0</v>
      </c>
      <c r="FR17" s="36">
        <v>0</v>
      </c>
      <c r="FS17" s="36">
        <v>0</v>
      </c>
      <c r="FT17" s="37">
        <v>0.44581268071773117</v>
      </c>
      <c r="FU17" s="37">
        <v>5.2794043786110342E-2</v>
      </c>
      <c r="FV17" s="37">
        <v>0.50139327549615842</v>
      </c>
      <c r="FW17" s="518">
        <v>1200</v>
      </c>
      <c r="FX17" s="518">
        <v>2925.530645830856</v>
      </c>
      <c r="FY17" s="518">
        <v>1334.75</v>
      </c>
      <c r="FZ17" s="36">
        <v>3077.4375890575293</v>
      </c>
      <c r="GA17" s="36">
        <v>1358.6604843433768</v>
      </c>
      <c r="GB17" s="36">
        <v>18336.339515656622</v>
      </c>
      <c r="GC17" s="37">
        <v>7.0901643973087014E-2</v>
      </c>
      <c r="GD17" s="37">
        <v>5.7595668592581563E-2</v>
      </c>
      <c r="GE17" s="37"/>
      <c r="GF17" s="37"/>
      <c r="GG17" s="37">
        <v>-0.18766807981992856</v>
      </c>
      <c r="GH17" s="35">
        <v>2.1504375534884672</v>
      </c>
      <c r="GI17" s="36">
        <v>10517.261703918677</v>
      </c>
      <c r="GJ17" s="34">
        <v>0.51074630601039561</v>
      </c>
      <c r="GK17" s="34">
        <v>0.5082951978616097</v>
      </c>
      <c r="GL17" s="34">
        <v>0.48925369398960428</v>
      </c>
      <c r="GM17" s="33">
        <v>0.49170480213839024</v>
      </c>
      <c r="GN17" s="61"/>
      <c r="GO17" s="13">
        <v>338.16872463277008</v>
      </c>
      <c r="GP17" s="27">
        <v>315.27501390194027</v>
      </c>
      <c r="GQ17" s="27">
        <v>527.27910984145694</v>
      </c>
      <c r="GR17" s="27">
        <v>404.20319246551543</v>
      </c>
      <c r="GS17" s="27">
        <v>334.50205195691484</v>
      </c>
      <c r="GT17" s="27">
        <v>289.18266033348181</v>
      </c>
      <c r="GU17" s="27">
        <v>254.29573314828914</v>
      </c>
      <c r="GV17" s="29" t="s">
        <v>392</v>
      </c>
      <c r="GW17" s="27">
        <v>479.875</v>
      </c>
      <c r="GX17" s="27">
        <v>359.90625</v>
      </c>
      <c r="GY17" s="27">
        <v>287.92500000000001</v>
      </c>
      <c r="GZ17" s="27">
        <v>239.9375</v>
      </c>
      <c r="HA17" s="27">
        <v>219.80275574107543</v>
      </c>
      <c r="HB17" s="29">
        <v>249.78441109813838</v>
      </c>
      <c r="HC17" s="27">
        <v>224.72031249999998</v>
      </c>
      <c r="HD17" s="27">
        <v>196.46848501461983</v>
      </c>
      <c r="HE17" s="27">
        <v>200.4611947537112</v>
      </c>
      <c r="HF17" s="27">
        <v>186.83708059210525</v>
      </c>
      <c r="HG17" s="27">
        <v>181.99222587719296</v>
      </c>
      <c r="HH17" s="12">
        <v>197.68113499068571</v>
      </c>
      <c r="HI17" s="94"/>
      <c r="HJ17" s="24">
        <f>INDEX(Input!$1:$1048576,HJ$10,$C17*2+6)</f>
        <v>0.15848670756646213</v>
      </c>
      <c r="HK17" s="18">
        <f>INDEX(Input!$1:$1048576,HK$10,$C17*2+6)</f>
        <v>0.14314928425357873</v>
      </c>
      <c r="HL17" s="43">
        <f>INDEX(Input!$1:$1048576,HL$10,$C17*2+6)</f>
        <v>0.69836400817995914</v>
      </c>
      <c r="HM17" s="49">
        <f>IF(HL17&lt;FV18,TREND(Y17:Y18,FV17:FV18,HL17),TREND(Y18:Y19,FV18:FV19,HL17))</f>
        <v>3575.3673677825755</v>
      </c>
    </row>
    <row r="18" spans="1:221" s="26" customFormat="1" ht="15">
      <c r="A18" s="117">
        <f t="shared" ref="A18:A19" si="13">C18*1000+B18</f>
        <v>1002</v>
      </c>
      <c r="B18" s="117">
        <f t="shared" si="10"/>
        <v>2</v>
      </c>
      <c r="C18" s="117">
        <f t="shared" ref="C18:C31" si="14">C17</f>
        <v>1</v>
      </c>
      <c r="D18" s="117" t="s">
        <v>568</v>
      </c>
      <c r="E18" s="115">
        <f>INDEX(Input!$1:$1048576,E$10,$C18*2+6)</f>
        <v>750</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1.9E-2</v>
      </c>
      <c r="W18" s="383">
        <f>INDEX(Input!$1:$1048576,W$10,$C18*2+6)</f>
        <v>3.9E-2</v>
      </c>
      <c r="X18" s="118" t="str">
        <f>INDEX(Input!$1:$1048576,X$10,$C18*2+6)</f>
        <v>Y</v>
      </c>
      <c r="Y18" s="520">
        <f>MIN(BX18*10%,4000)+Y17</f>
        <v>2954.25</v>
      </c>
      <c r="Z18" s="30">
        <f>INDEX(Input!$1:$1048576,Z$10,$C18*2+6)</f>
        <v>0</v>
      </c>
      <c r="AA18" s="115">
        <f>INDEX(Input!$1:$1048576,AA$10,$C18*2+6)</f>
        <v>0</v>
      </c>
      <c r="AB18" s="118">
        <f>INDEX(Input!$1:$1048576,AB$10,$C18*2+6)</f>
        <v>1</v>
      </c>
      <c r="AC18" s="115">
        <f>INDEX(Input!$1:$1048576,AC$10,$C18*2+6)</f>
        <v>1000</v>
      </c>
      <c r="AD18" s="118">
        <f>INDEX(Input!$1:$1048576,AD$10,$C18*2+6)</f>
        <v>0.35</v>
      </c>
      <c r="AE18" s="115">
        <f>INDEX(Input!$1:$1048576,AE$10,$C18*2+6)</f>
        <v>0</v>
      </c>
      <c r="AF18" s="118">
        <f>INDEX(Input!$1:$1048576,AF$10,$C18*2+6)</f>
        <v>1</v>
      </c>
      <c r="AG18" s="115">
        <f>INDEX(Input!$1:$1048576,AG$10,$C18*2+6)</f>
        <v>500</v>
      </c>
      <c r="AH18" s="118">
        <f>INDEX(Input!$1:$1048576,AH$10,$C18*2+6)</f>
        <v>1</v>
      </c>
      <c r="AI18" s="115">
        <f>INDEX(Input!$1:$1048576,AI$10,$C18*2+6)</f>
        <v>500</v>
      </c>
      <c r="AJ18" s="118">
        <f>INDEX(Input!$1:$1048576,AJ$10,$C18*2+6)</f>
        <v>0.35</v>
      </c>
      <c r="AK18" s="150">
        <f>INDEX(Input!$1:$1048576,AK$10,$C17*2+6)+(Y18-VLOOKUP($C18*1000+1,$A:$HH,Y$9,FALSE))</f>
        <v>7568.2109265464023</v>
      </c>
      <c r="AL18" s="150">
        <f>INDEX(Input!$1:$1048576,AL$10,$C17*2+6)-(Y18-VLOOKUP($C18*1000+1,$A:$HH,Y$9,FALSE))/36</f>
        <v>5544.0025932130693</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+ 0/0/0/1.9/3.9</v>
      </c>
      <c r="AO18" s="32" t="str">
        <f t="shared" ref="AO18:AO19" si="17">IF(S18="market","std",ROUND(S18*1000,0)/10)&amp;"/"&amp;IF(T18="market","std",ROUND(T18*1000,0)/10)&amp;"/"&amp;IF(U18="market","std",ROUND(U18*1000,0)/10)&amp;"/"&amp;IF(V18="market","std",ROUND(V18*1000,0)/10)&amp;IF(X18="N","","/"&amp;IF(W18="market","std",ROUND(W18*1000,0)/10))</f>
        <v>0/0/0/1.9/3.9</v>
      </c>
      <c r="AP18" s="32" t="str">
        <f t="shared" ref="AP18:AP19" si="18">IF(T18="market","std",ROUND(T18*1000,0)/10)&amp;"/"&amp;IF(U18="market","std",ROUND(U18*1000,0)/10)&amp;"/"&amp;IF(V18="market","std",ROUND(V18*1000,0)/10)&amp;IF(X18="N","","/"&amp;IF(W18="market","std",ROUND(W18*1000,0)/10))</f>
        <v>0/0/1.9/3.9</v>
      </c>
      <c r="AQ18" s="150">
        <f t="shared" ref="AQ18:AQ31" si="19">SUM(F18*(1-ET18),G18*EM18,H18*ES18,AC18*AD18,AE18*AF18,AI18*AJ18)</f>
        <v>525</v>
      </c>
      <c r="AR18" s="32" t="str">
        <f t="shared" ref="AR18:AR31" si="20">IF(U18="market","std",ROUND(U18*1000,0)/10)&amp;"/"&amp;IF(V18="market","std",ROUND(V18*1000,0)/10)</f>
        <v>0/1.9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Compact Conventional/Sporty Car (43)</v>
      </c>
      <c r="AZ18" s="41" t="str">
        <f>INDEX(Input!$1:$1048576,AZ$10,$C18*2+6)</f>
        <v>Kia Forte</v>
      </c>
      <c r="BA18" s="3">
        <f>INDEX(Input!$1:$1048576,BA$10,$C18*2+6)</f>
        <v>2020</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19695</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E18+F18*I18+AA18*AB18+AC18*AD18</f>
        <v>1100</v>
      </c>
      <c r="CJ18" s="16" t="str">
        <f>INDEX(Input!$1:$1048576,CJ$10,$C18*2+6)</f>
        <v>N</v>
      </c>
      <c r="CK18" s="1" t="str">
        <f t="shared" ref="CK18:CK31" si="23">J18</f>
        <v>Market</v>
      </c>
      <c r="CL18" s="1" t="str">
        <f t="shared" ref="CL18:CL31" si="24">K18</f>
        <v>Market</v>
      </c>
      <c r="CM18" s="1" t="str">
        <f t="shared" ref="CM18:CM31" si="25">L18</f>
        <v>Market</v>
      </c>
      <c r="CN18" s="1" t="str">
        <f t="shared" ref="CN18:CN31" si="26">M18</f>
        <v>Market</v>
      </c>
      <c r="CO18" s="1" t="str">
        <f t="shared" ref="CO18:CO31" si="27">N18</f>
        <v>Market</v>
      </c>
      <c r="CP18" s="304">
        <f t="shared" ref="CP18:CP31" si="28">Q18+G18*I18+AA18*AB18+AC18*AD18</f>
        <v>350</v>
      </c>
      <c r="CQ18" s="1">
        <f t="shared" ref="CQ18:CQ31" si="29">R18</f>
        <v>0</v>
      </c>
      <c r="CR18" s="1">
        <f t="shared" ref="CR18:CR31" si="30">S18</f>
        <v>0</v>
      </c>
      <c r="CS18" s="1">
        <f t="shared" ref="CS18:CS31" si="31">T18</f>
        <v>0</v>
      </c>
      <c r="CT18" s="1">
        <f t="shared" ref="CT18:CT31" si="32">U18</f>
        <v>0</v>
      </c>
      <c r="CU18" s="1">
        <f t="shared" ref="CU18:CU31" si="33">V18</f>
        <v>1.9E-2</v>
      </c>
      <c r="CV18" s="304">
        <f t="shared" ref="CV18:CV31" si="34">Y18+H18*I18+AE18*AF18+AI18*AJ18</f>
        <v>3129.25</v>
      </c>
      <c r="CW18" s="20" t="s">
        <v>122</v>
      </c>
      <c r="CX18" s="20" t="s">
        <v>122</v>
      </c>
      <c r="CY18" s="20" t="s">
        <v>122</v>
      </c>
      <c r="CZ18" s="20" t="s">
        <v>122</v>
      </c>
      <c r="DA18" s="20" t="s">
        <v>122</v>
      </c>
      <c r="DB18" s="503">
        <f t="shared" ref="DB18:DB31" si="35">Z18+AG18*AH18</f>
        <v>500</v>
      </c>
      <c r="DC18" s="127">
        <v>0</v>
      </c>
      <c r="DD18" s="127">
        <v>0</v>
      </c>
      <c r="DE18" s="127">
        <v>0</v>
      </c>
      <c r="DF18" s="127">
        <v>0</v>
      </c>
      <c r="DG18" s="127">
        <v>0</v>
      </c>
      <c r="DH18" s="127">
        <v>0</v>
      </c>
      <c r="DI18" s="127">
        <v>0</v>
      </c>
      <c r="DJ18" s="127">
        <v>0</v>
      </c>
      <c r="DK18" s="127">
        <v>0</v>
      </c>
      <c r="DL18" s="127">
        <v>0</v>
      </c>
      <c r="DM18" s="304">
        <f>INDEX(Input!$1:$1048576,DM$10,$C18*2+6)</f>
        <v>20731.578947368424</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1.8569321345054898E-2</v>
      </c>
      <c r="DZ18" s="7">
        <v>0</v>
      </c>
      <c r="EA18" s="7">
        <v>0.29263103465660117</v>
      </c>
      <c r="EB18" s="7">
        <v>0</v>
      </c>
      <c r="EC18" s="7">
        <v>0</v>
      </c>
      <c r="ED18" s="7">
        <v>0</v>
      </c>
      <c r="EE18" s="7">
        <v>0</v>
      </c>
      <c r="EF18" s="7">
        <v>0</v>
      </c>
      <c r="EG18" s="7">
        <v>0</v>
      </c>
      <c r="EH18" s="7">
        <v>9.9657389622830588E-3</v>
      </c>
      <c r="EI18" s="7">
        <v>1.7925313651193708E-2</v>
      </c>
      <c r="EJ18" s="7">
        <v>0.1409756061234029</v>
      </c>
      <c r="EK18" s="7">
        <v>0.75863240724128334</v>
      </c>
      <c r="EL18" s="7">
        <v>7.2500934021836952E-2</v>
      </c>
      <c r="EM18" s="7">
        <v>3.6852978687268452E-2</v>
      </c>
      <c r="EN18" s="7">
        <v>5.0617911931207148E-2</v>
      </c>
      <c r="EO18" s="7">
        <v>0.54717532346927511</v>
      </c>
      <c r="EP18" s="7">
        <v>0.30401657987072739</v>
      </c>
      <c r="EQ18" s="7">
        <v>5.7030343699500094E-2</v>
      </c>
      <c r="ER18" s="7">
        <v>4.1159841029290413E-2</v>
      </c>
      <c r="ES18" s="7">
        <v>0.65194666531107559</v>
      </c>
      <c r="ET18" s="7">
        <v>0.68879964399834392</v>
      </c>
      <c r="EU18" s="6">
        <v>1200</v>
      </c>
      <c r="EV18" s="6">
        <v>0</v>
      </c>
      <c r="EW18" s="6">
        <v>1200</v>
      </c>
      <c r="EX18" s="6">
        <v>0</v>
      </c>
      <c r="EY18" s="6">
        <v>2925.530645830856</v>
      </c>
      <c r="EZ18" s="6">
        <v>3304.25</v>
      </c>
      <c r="FA18" s="6">
        <v>0</v>
      </c>
      <c r="FB18" s="6">
        <v>0</v>
      </c>
      <c r="FC18" s="6">
        <v>0</v>
      </c>
      <c r="FD18" s="6">
        <v>0</v>
      </c>
      <c r="FE18" s="6">
        <v>0</v>
      </c>
      <c r="FF18" s="6">
        <v>0</v>
      </c>
      <c r="FG18" s="6">
        <v>0</v>
      </c>
      <c r="FH18" s="6">
        <v>1152.1208270377815</v>
      </c>
      <c r="FI18" s="6">
        <v>1531.4299904380618</v>
      </c>
      <c r="FJ18" s="6">
        <v>2070.7205842538219</v>
      </c>
      <c r="FK18" s="6">
        <v>2635.3956133202914</v>
      </c>
      <c r="FL18" s="6">
        <v>2005.2147164707269</v>
      </c>
      <c r="FM18" s="6">
        <v>2475.530645830856</v>
      </c>
      <c r="FN18" s="6">
        <v>0</v>
      </c>
      <c r="FO18" s="6">
        <v>0</v>
      </c>
      <c r="FP18" s="6">
        <v>0</v>
      </c>
      <c r="FQ18" s="6">
        <v>0</v>
      </c>
      <c r="FR18" s="6">
        <v>0</v>
      </c>
      <c r="FS18" s="6">
        <v>0</v>
      </c>
      <c r="FT18" s="7">
        <v>0.31120035600165608</v>
      </c>
      <c r="FU18" s="7">
        <v>3.6852978687268452E-2</v>
      </c>
      <c r="FV18" s="7">
        <v>0.65194666531107559</v>
      </c>
      <c r="FW18" s="519">
        <v>1200</v>
      </c>
      <c r="FX18" s="519">
        <v>2925.530645830856</v>
      </c>
      <c r="FY18" s="519">
        <v>3304.25</v>
      </c>
      <c r="FZ18" s="6">
        <v>3077.4375890575293</v>
      </c>
      <c r="GA18" s="6">
        <v>2635.449714595864</v>
      </c>
      <c r="GB18" s="6">
        <v>17059.550285404137</v>
      </c>
      <c r="GC18" s="7">
        <v>7.0901643973087014E-2</v>
      </c>
      <c r="GD18" s="7">
        <v>6.7245777520244632E-2</v>
      </c>
      <c r="GE18" s="7"/>
      <c r="GF18" s="7"/>
      <c r="GG18" s="7">
        <v>-5.1562506142030833E-2</v>
      </c>
      <c r="GH18" s="42">
        <v>2.297627643527981</v>
      </c>
      <c r="GI18" s="6">
        <v>11207.334743694202</v>
      </c>
      <c r="GJ18" s="14">
        <v>0.51074630601039539</v>
      </c>
      <c r="GK18" s="14">
        <v>0.50829519786160959</v>
      </c>
      <c r="GL18" s="14">
        <v>0.48925369398960422</v>
      </c>
      <c r="GM18" s="14">
        <v>0.4917048021383903</v>
      </c>
      <c r="GO18" s="5">
        <v>338.16872463277008</v>
      </c>
      <c r="GP18" s="5">
        <v>315.27501390194027</v>
      </c>
      <c r="GQ18" s="5">
        <v>527.27910984145694</v>
      </c>
      <c r="GR18" s="5">
        <v>404.20319246551543</v>
      </c>
      <c r="GS18" s="5">
        <v>334.50205195691484</v>
      </c>
      <c r="GT18" s="5">
        <v>289.18266033348181</v>
      </c>
      <c r="GU18" s="5">
        <v>254.29573314828914</v>
      </c>
      <c r="GV18" s="39" t="s">
        <v>392</v>
      </c>
      <c r="GW18" s="5">
        <v>479.875</v>
      </c>
      <c r="GX18" s="5">
        <v>359.90625</v>
      </c>
      <c r="GY18" s="5">
        <v>287.92500000000001</v>
      </c>
      <c r="GZ18" s="5">
        <v>239.9375</v>
      </c>
      <c r="HA18" s="5">
        <v>219.80275574107543</v>
      </c>
      <c r="HB18" s="39">
        <v>249.78441109813838</v>
      </c>
      <c r="HC18" s="5">
        <v>138.55468749999997</v>
      </c>
      <c r="HD18" s="5">
        <v>137.65702668128651</v>
      </c>
      <c r="HE18" s="5">
        <v>145.85806975371116</v>
      </c>
      <c r="HF18" s="5">
        <v>141.29239309210524</v>
      </c>
      <c r="HG18" s="5">
        <v>144.24347587719296</v>
      </c>
      <c r="HH18" s="39">
        <v>140.67414086153693</v>
      </c>
      <c r="HI18" s="16"/>
      <c r="HJ18" s="1">
        <f>INDEX(Input!$1:$1048576,HJ$10,$C18*2+6)</f>
        <v>0.15848670756646213</v>
      </c>
      <c r="HK18" s="1">
        <f>INDEX(Input!$1:$1048576,HK$10,$C18*2+6)</f>
        <v>0.14314928425357873</v>
      </c>
      <c r="HL18" s="1">
        <f>INDEX(Input!$1:$1048576,HL$10,$C18*2+6)</f>
        <v>0.69836400817995914</v>
      </c>
      <c r="HM18" s="19"/>
    </row>
    <row r="19" spans="1:221" s="26" customFormat="1" ht="15.75" thickBot="1">
      <c r="A19" s="117">
        <f t="shared" si="13"/>
        <v>1003</v>
      </c>
      <c r="B19" s="117">
        <f t="shared" si="10"/>
        <v>3</v>
      </c>
      <c r="C19" s="117">
        <f t="shared" si="14"/>
        <v>1</v>
      </c>
      <c r="D19" s="117" t="s">
        <v>568</v>
      </c>
      <c r="E19" s="115">
        <f>INDEX(Input!$1:$1048576,E$10,$C19*2+6)</f>
        <v>750</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1.9E-2</v>
      </c>
      <c r="W19" s="383">
        <f>INDEX(Input!$1:$1048576,W$10,$C19*2+6)</f>
        <v>3.9E-2</v>
      </c>
      <c r="X19" s="118" t="str">
        <f>INDEX(Input!$1:$1048576,X$10,$C19*2+6)</f>
        <v>Y</v>
      </c>
      <c r="Y19" s="520">
        <f>MIN(BX19*10%,4000)+Y18</f>
        <v>4923.75</v>
      </c>
      <c r="Z19" s="30">
        <f>INDEX(Input!$1:$1048576,Z$10,$C19*2+6)</f>
        <v>0</v>
      </c>
      <c r="AA19" s="115">
        <f>INDEX(Input!$1:$1048576,AA$10,$C19*2+6)</f>
        <v>0</v>
      </c>
      <c r="AB19" s="118">
        <f>INDEX(Input!$1:$1048576,AB$10,$C19*2+6)</f>
        <v>1</v>
      </c>
      <c r="AC19" s="115">
        <f>INDEX(Input!$1:$1048576,AC$10,$C19*2+6)</f>
        <v>1000</v>
      </c>
      <c r="AD19" s="118">
        <f>INDEX(Input!$1:$1048576,AD$10,$C19*2+6)</f>
        <v>0.35</v>
      </c>
      <c r="AE19" s="115">
        <f>INDEX(Input!$1:$1048576,AE$10,$C19*2+6)</f>
        <v>0</v>
      </c>
      <c r="AF19" s="118">
        <f>INDEX(Input!$1:$1048576,AF$10,$C19*2+6)</f>
        <v>1</v>
      </c>
      <c r="AG19" s="115">
        <f>INDEX(Input!$1:$1048576,AG$10,$C19*2+6)</f>
        <v>500</v>
      </c>
      <c r="AH19" s="118">
        <f>INDEX(Input!$1:$1048576,AH$10,$C19*2+6)</f>
        <v>1</v>
      </c>
      <c r="AI19" s="115">
        <f>INDEX(Input!$1:$1048576,AI$10,$C19*2+6)</f>
        <v>500</v>
      </c>
      <c r="AJ19" s="118">
        <f>INDEX(Input!$1:$1048576,AJ$10,$C19*2+6)</f>
        <v>0.35</v>
      </c>
      <c r="AK19" s="150">
        <f>INDEX(Input!$1:$1048576,AK$10,$C18*2+6)+(Y19-VLOOKUP($C19*1000+1,$A:$HH,Y$9,FALSE))</f>
        <v>9537.7109265464023</v>
      </c>
      <c r="AL19" s="150">
        <f>INDEX(Input!$1:$1048576,AL$10,$C18*2+6)-(Y19-VLOOKUP($C19*1000+1,$A:$HH,Y$9,FALSE))/36</f>
        <v>5489.2942598797354</v>
      </c>
      <c r="AM19" s="32" t="str">
        <f t="shared" si="15"/>
        <v>std/std/std/std</v>
      </c>
      <c r="AN19" s="32" t="str">
        <f t="shared" si="16"/>
        <v>$0 + 0/0/0/1.9/3.9</v>
      </c>
      <c r="AO19" s="32" t="str">
        <f t="shared" si="17"/>
        <v>0/0/0/1.9/3.9</v>
      </c>
      <c r="AP19" s="32" t="str">
        <f t="shared" si="18"/>
        <v>0/0/1.9/3.9</v>
      </c>
      <c r="AQ19" s="150">
        <f t="shared" si="19"/>
        <v>525</v>
      </c>
      <c r="AR19" s="32" t="str">
        <f t="shared" si="20"/>
        <v>0/1.9</v>
      </c>
      <c r="AS19" s="302"/>
      <c r="AT19" s="3">
        <f t="shared" si="21"/>
        <v>3</v>
      </c>
      <c r="AU19" s="41" t="s">
        <v>121</v>
      </c>
      <c r="AV19" s="41" t="s">
        <v>116</v>
      </c>
      <c r="AW19" s="41" t="str">
        <f>INDEX(Input!$1:$1048576,AW$10,$C19*2+6)</f>
        <v>Kia</v>
      </c>
      <c r="AX19" s="41" t="str">
        <f>INDEX(Input!$1:$1048576,AX$10,$C19*2+6)</f>
        <v>Kia-LR - L1</v>
      </c>
      <c r="AY19" s="41" t="str">
        <f>IF(D19="Skip","",INDEX(Input!$1:$1048576,AY$10,$C19*2+6))</f>
        <v>Compact Conventional/Sporty Car (43)</v>
      </c>
      <c r="AZ19" s="41" t="str">
        <f>INDEX(Input!$1:$1048576,AZ$10,$C19*2+6)</f>
        <v>Kia Forte</v>
      </c>
      <c r="BA19" s="3">
        <f>INDEX(Input!$1:$1048576,BA$10,$C19*2+6)</f>
        <v>2020</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19695</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1100</v>
      </c>
      <c r="CJ19" s="16" t="str">
        <f>INDEX(Input!$1:$1048576,CJ$10,$C19*2+6)</f>
        <v>N</v>
      </c>
      <c r="CK19" s="1" t="str">
        <f t="shared" si="23"/>
        <v>Market</v>
      </c>
      <c r="CL19" s="1" t="str">
        <f t="shared" si="24"/>
        <v>Market</v>
      </c>
      <c r="CM19" s="1" t="str">
        <f t="shared" si="25"/>
        <v>Market</v>
      </c>
      <c r="CN19" s="1" t="str">
        <f t="shared" si="26"/>
        <v>Market</v>
      </c>
      <c r="CO19" s="1" t="str">
        <f t="shared" si="27"/>
        <v>Market</v>
      </c>
      <c r="CP19" s="304">
        <f t="shared" si="28"/>
        <v>350</v>
      </c>
      <c r="CQ19" s="1">
        <f t="shared" si="29"/>
        <v>0</v>
      </c>
      <c r="CR19" s="1">
        <f t="shared" si="30"/>
        <v>0</v>
      </c>
      <c r="CS19" s="1">
        <f t="shared" si="31"/>
        <v>0</v>
      </c>
      <c r="CT19" s="1">
        <f t="shared" si="32"/>
        <v>0</v>
      </c>
      <c r="CU19" s="1">
        <f t="shared" si="33"/>
        <v>1.9E-2</v>
      </c>
      <c r="CV19" s="304">
        <f t="shared" si="34"/>
        <v>5098.75</v>
      </c>
      <c r="CW19" s="20" t="s">
        <v>122</v>
      </c>
      <c r="CX19" s="20" t="s">
        <v>122</v>
      </c>
      <c r="CY19" s="20" t="s">
        <v>122</v>
      </c>
      <c r="CZ19" s="20" t="s">
        <v>122</v>
      </c>
      <c r="DA19" s="20" t="s">
        <v>122</v>
      </c>
      <c r="DB19" s="503">
        <f t="shared" si="35"/>
        <v>500</v>
      </c>
      <c r="DC19" s="127">
        <v>0</v>
      </c>
      <c r="DD19" s="127">
        <v>0</v>
      </c>
      <c r="DE19" s="127">
        <v>0</v>
      </c>
      <c r="DF19" s="127">
        <v>0</v>
      </c>
      <c r="DG19" s="127">
        <v>0</v>
      </c>
      <c r="DH19" s="127">
        <v>0</v>
      </c>
      <c r="DI19" s="127">
        <v>0</v>
      </c>
      <c r="DJ19" s="127">
        <v>0</v>
      </c>
      <c r="DK19" s="127">
        <v>0</v>
      </c>
      <c r="DL19" s="127">
        <v>0</v>
      </c>
      <c r="DM19" s="304">
        <f>INDEX(Input!$1:$1048576,DM$10,$C19*2+6)</f>
        <v>20731.578947368424</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1.0716733190160879E-2</v>
      </c>
      <c r="DZ19" s="7">
        <v>0</v>
      </c>
      <c r="EA19" s="7">
        <v>0.16888332445227791</v>
      </c>
      <c r="EB19" s="7">
        <v>0</v>
      </c>
      <c r="EC19" s="7">
        <v>0</v>
      </c>
      <c r="ED19" s="7">
        <v>0</v>
      </c>
      <c r="EE19" s="7">
        <v>0</v>
      </c>
      <c r="EF19" s="7">
        <v>0</v>
      </c>
      <c r="EG19" s="7">
        <v>0</v>
      </c>
      <c r="EH19" s="7">
        <v>9.965738962283064E-3</v>
      </c>
      <c r="EI19" s="7">
        <v>1.7925313651193708E-2</v>
      </c>
      <c r="EJ19" s="7">
        <v>0.1409756061234029</v>
      </c>
      <c r="EK19" s="7">
        <v>0.75863240724128334</v>
      </c>
      <c r="EL19" s="7">
        <v>7.250093402183698E-2</v>
      </c>
      <c r="EM19" s="7">
        <v>2.1268603871692739E-2</v>
      </c>
      <c r="EN19" s="7">
        <v>5.9109894203888777E-2</v>
      </c>
      <c r="EO19" s="7">
        <v>0.54042514487837368</v>
      </c>
      <c r="EP19" s="7">
        <v>0.31401852031031086</v>
      </c>
      <c r="EQ19" s="7">
        <v>5.0258632584439356E-2</v>
      </c>
      <c r="ER19" s="7">
        <v>3.6187808022987329E-2</v>
      </c>
      <c r="ES19" s="7">
        <v>0.79913133848586848</v>
      </c>
      <c r="ET19" s="7">
        <v>0.8203999423575612</v>
      </c>
      <c r="EU19" s="6">
        <v>1200</v>
      </c>
      <c r="EV19" s="6">
        <v>0</v>
      </c>
      <c r="EW19" s="6">
        <v>1200</v>
      </c>
      <c r="EX19" s="6">
        <v>0</v>
      </c>
      <c r="EY19" s="6">
        <v>2925.5306458308569</v>
      </c>
      <c r="EZ19" s="6">
        <v>5273.75</v>
      </c>
      <c r="FA19" s="6">
        <v>0</v>
      </c>
      <c r="FB19" s="6">
        <v>0</v>
      </c>
      <c r="FC19" s="6">
        <v>0</v>
      </c>
      <c r="FD19" s="6">
        <v>0</v>
      </c>
      <c r="FE19" s="6">
        <v>0</v>
      </c>
      <c r="FF19" s="6">
        <v>0</v>
      </c>
      <c r="FG19" s="6">
        <v>0</v>
      </c>
      <c r="FH19" s="6">
        <v>1152.1208270377817</v>
      </c>
      <c r="FI19" s="6">
        <v>1531.4299904380625</v>
      </c>
      <c r="FJ19" s="6">
        <v>2070.7205842538219</v>
      </c>
      <c r="FK19" s="6">
        <v>2635.3956133202919</v>
      </c>
      <c r="FL19" s="6">
        <v>2005.2147164707267</v>
      </c>
      <c r="FM19" s="6">
        <v>2475.5306458308569</v>
      </c>
      <c r="FN19" s="6">
        <v>0</v>
      </c>
      <c r="FO19" s="6">
        <v>0</v>
      </c>
      <c r="FP19" s="6">
        <v>0</v>
      </c>
      <c r="FQ19" s="6">
        <v>0</v>
      </c>
      <c r="FR19" s="6">
        <v>0</v>
      </c>
      <c r="FS19" s="6">
        <v>0</v>
      </c>
      <c r="FT19" s="7">
        <v>0.1796000576424388</v>
      </c>
      <c r="FU19" s="7">
        <v>2.1268603871692739E-2</v>
      </c>
      <c r="FV19" s="7">
        <v>0.79913133848586848</v>
      </c>
      <c r="FW19" s="519">
        <v>1200</v>
      </c>
      <c r="FX19" s="519">
        <v>2925.5306458308569</v>
      </c>
      <c r="FY19" s="519">
        <v>5273.75</v>
      </c>
      <c r="FZ19" s="6">
        <v>3077.4375890575293</v>
      </c>
      <c r="GA19" s="6">
        <v>4492.1609179314501</v>
      </c>
      <c r="GB19" s="6">
        <v>15202.839082068549</v>
      </c>
      <c r="GC19" s="7">
        <v>7.0901643973087014E-2</v>
      </c>
      <c r="GD19" s="7">
        <v>8.485498753563267E-2</v>
      </c>
      <c r="GE19" s="7"/>
      <c r="GF19" s="7"/>
      <c r="GG19" s="7">
        <v>0.19679858999943772</v>
      </c>
      <c r="GH19" s="42">
        <v>2.7397217186798426</v>
      </c>
      <c r="GI19" s="6">
        <v>11680.847223447983</v>
      </c>
      <c r="GJ19" s="14">
        <v>0.5107463060103955</v>
      </c>
      <c r="GK19" s="14">
        <v>0.50829519786160982</v>
      </c>
      <c r="GL19" s="14">
        <v>0.48925369398960455</v>
      </c>
      <c r="GM19" s="14">
        <v>0.4917048021383903</v>
      </c>
      <c r="GO19" s="5">
        <v>338.16872463277008</v>
      </c>
      <c r="GP19" s="5">
        <v>315.27501390194027</v>
      </c>
      <c r="GQ19" s="5">
        <v>527.27910984145694</v>
      </c>
      <c r="GR19" s="5">
        <v>404.20319246551543</v>
      </c>
      <c r="GS19" s="5">
        <v>334.50205195691484</v>
      </c>
      <c r="GT19" s="5">
        <v>289.18266033348181</v>
      </c>
      <c r="GU19" s="5">
        <v>254.29573314828914</v>
      </c>
      <c r="GV19" s="39" t="s">
        <v>392</v>
      </c>
      <c r="GW19" s="5">
        <v>479.875</v>
      </c>
      <c r="GX19" s="5">
        <v>359.90625</v>
      </c>
      <c r="GY19" s="5">
        <v>287.92500000000001</v>
      </c>
      <c r="GZ19" s="5">
        <v>239.9375</v>
      </c>
      <c r="HA19" s="5">
        <v>219.80275574107543</v>
      </c>
      <c r="HB19" s="39">
        <v>249.78441109813838</v>
      </c>
      <c r="HC19" s="5">
        <v>52.389062499999966</v>
      </c>
      <c r="HD19" s="5">
        <v>78.845568347953161</v>
      </c>
      <c r="HE19" s="5">
        <v>91.254944753711172</v>
      </c>
      <c r="HF19" s="5">
        <v>95.747705592105234</v>
      </c>
      <c r="HG19" s="5">
        <v>106.49472587719296</v>
      </c>
      <c r="HH19" s="39">
        <v>83.028541813496972</v>
      </c>
      <c r="HI19" s="16"/>
      <c r="HJ19" s="1">
        <f>INDEX(Input!$1:$1048576,HJ$10,$C19*2+6)</f>
        <v>0.15848670756646213</v>
      </c>
      <c r="HK19" s="1">
        <f>INDEX(Input!$1:$1048576,HK$10,$C19*2+6)</f>
        <v>0.14314928425357873</v>
      </c>
      <c r="HL19" s="1">
        <f>INDEX(Input!$1:$1048576,HL$10,$C19*2+6)</f>
        <v>0.69836400817995914</v>
      </c>
      <c r="HM19" s="19"/>
    </row>
    <row r="20" spans="1:221" s="60" customFormat="1" ht="15.75" thickBot="1">
      <c r="A20" s="31">
        <f>C20*1000+B20</f>
        <v>2001</v>
      </c>
      <c r="B20" s="31">
        <f t="shared" ref="B20:B22" si="36">IF(D20="Baseline1",1,B19+1)</f>
        <v>1</v>
      </c>
      <c r="C20" s="508">
        <v>2</v>
      </c>
      <c r="D20" s="31" t="s">
        <v>566</v>
      </c>
      <c r="E20" s="365">
        <f>INDEX(Input!$1:$1048576,E$10,$C20*2+MIN($B20,2)+5)</f>
        <v>750</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1.9E-2</v>
      </c>
      <c r="W20" s="38">
        <f>INDEX(Input!$1:$1048576,W$10,$C20*2+MIN($B20,2)+5)</f>
        <v>3.9E-2</v>
      </c>
      <c r="X20" s="367" t="str">
        <f>INDEX(Input!$1:$1048576,X$10,$C20*2+MIN($B20,2)+5)</f>
        <v>Y</v>
      </c>
      <c r="Y20" s="517">
        <f>MIN(BX20*5%,2000)</f>
        <v>984.75</v>
      </c>
      <c r="Z20" s="49">
        <f>INDEX(Input!$1:$1048576,Z$10,$C20*2+MIN($B20,2)+5)</f>
        <v>0</v>
      </c>
      <c r="AA20" s="49">
        <f>INDEX(Input!$1:$1048576,AA$10,$C20*2+MIN($B20,2)+5)</f>
        <v>0</v>
      </c>
      <c r="AB20" s="367">
        <f>INDEX(Input!$1:$1048576,AB$10,$C20*2+MIN($B20,2)+5)</f>
        <v>1</v>
      </c>
      <c r="AC20" s="49">
        <f>INDEX(Input!$1:$1048576,AC$10,$C20*2+MIN($B20,2)+5)</f>
        <v>1000</v>
      </c>
      <c r="AD20" s="367">
        <f>INDEX(Input!$1:$1048576,AD$10,$C20*2+MIN($B20,2)+5)</f>
        <v>0.35</v>
      </c>
      <c r="AE20" s="49">
        <f>INDEX(Input!$1:$1048576,AE$10,$C20*2+MIN($B20,2)+5)</f>
        <v>0</v>
      </c>
      <c r="AF20" s="367">
        <f>INDEX(Input!$1:$1048576,AF$10,$C20*2+MIN($B20,2)+5)</f>
        <v>1</v>
      </c>
      <c r="AG20" s="49">
        <f>INDEX(Input!$1:$1048576,AG$10,$C20*2+MIN($B20,2)+5)</f>
        <v>500</v>
      </c>
      <c r="AH20" s="367">
        <f>INDEX(Input!$1:$1048576,AH$10,$C20*2+MIN($B20,2)+5)</f>
        <v>1</v>
      </c>
      <c r="AI20" s="49">
        <f>INDEX(Input!$1:$1048576,AI$10,$C20*2+MIN($B20,2)+5)</f>
        <v>500</v>
      </c>
      <c r="AJ20" s="367">
        <f>INDEX(Input!$1:$1048576,AJ$10,$C20*2+MIN($B20,2)+5)</f>
        <v>0.35</v>
      </c>
      <c r="AK20" s="298">
        <f>INDEX(Input!$1:$1048576,AK$10,$C20*2+MIN($B20,2)+5)</f>
        <v>5098.7109265464023</v>
      </c>
      <c r="AL20" s="49">
        <f>INDEX(Input!$1:$1048576,AL$10,$C20*2+MIN($B20,2)+5)</f>
        <v>5098.7109265464023</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+ 0/0/0/1.9/3.9</v>
      </c>
      <c r="AO20" s="44" t="str">
        <f>IF(S20="market","std",ROUND(S20*1000,0)/10)&amp;"/"&amp;IF(T20="market","std",ROUND(T20*1000,0)/10)&amp;"/"&amp;IF(U20="market","std",ROUND(U20*1000,0)/10)&amp;"/"&amp;IF(V20="market","std",ROUND(V20*1000,0)/10)&amp;IF(X20="N","","/"&amp;IF(W20="market","std",ROUND(W20*1000,0)/10))</f>
        <v>0/0/0/1.9/3.9</v>
      </c>
      <c r="AP20" s="44" t="str">
        <f>IF(T20="market","std",ROUND(T20*1000,0)/10)&amp;"/"&amp;IF(U20="market","std",ROUND(U20*1000,0)/10)&amp;"/"&amp;IF(V20="market","std",ROUND(V20*1000,0)/10)&amp;IF(X20="N","","/"&amp;IF(W20="market","std",ROUND(W20*1000,0)/10))</f>
        <v>0/0/1.9/3.9</v>
      </c>
      <c r="AQ20" s="49">
        <f t="shared" si="19"/>
        <v>525</v>
      </c>
      <c r="AR20" s="44" t="str">
        <f t="shared" si="20"/>
        <v>0/1.9</v>
      </c>
      <c r="AS20" s="368"/>
      <c r="AT20" s="50">
        <f t="shared" si="21"/>
        <v>4</v>
      </c>
      <c r="AU20" s="45" t="s">
        <v>121</v>
      </c>
      <c r="AV20" s="45" t="s">
        <v>116</v>
      </c>
      <c r="AW20" s="45" t="str">
        <f>INDEX(Input!$1:$1048576,AW$10,$C20*2+6)</f>
        <v>Kia</v>
      </c>
      <c r="AX20" s="45" t="str">
        <f>INDEX(Input!$1:$1048576,AX$10,$C20*2+6)</f>
        <v>Kia-LR - L2</v>
      </c>
      <c r="AY20" s="10" t="str">
        <f>IF(D20="Skip","",INDEX(Input!$1:$1048576,AY$10,$C20*2+6))</f>
        <v>Compact Conventional/Sporty Car (43)</v>
      </c>
      <c r="AZ20" s="45" t="str">
        <f>INDEX(Input!$1:$1048576,AZ$10,$C20*2+6)</f>
        <v>Kia Forte</v>
      </c>
      <c r="BA20" s="50">
        <f>INDEX(Input!$1:$1048576,BA$10,$C20*2+6)</f>
        <v>2020</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19695</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1100</v>
      </c>
      <c r="CJ20" s="46" t="str">
        <f>INDEX(Input!$1:$1048576,CJ$10,$C20*2+6)</f>
        <v>N</v>
      </c>
      <c r="CK20" s="38" t="str">
        <f t="shared" si="23"/>
        <v>Market</v>
      </c>
      <c r="CL20" s="38" t="str">
        <f t="shared" si="24"/>
        <v>Market</v>
      </c>
      <c r="CM20" s="38" t="str">
        <f t="shared" si="25"/>
        <v>Market</v>
      </c>
      <c r="CN20" s="38" t="str">
        <f t="shared" si="26"/>
        <v>Market</v>
      </c>
      <c r="CO20" s="38" t="str">
        <f t="shared" si="27"/>
        <v>Market</v>
      </c>
      <c r="CP20" s="49">
        <f t="shared" si="28"/>
        <v>350</v>
      </c>
      <c r="CQ20" s="38">
        <f t="shared" si="29"/>
        <v>0</v>
      </c>
      <c r="CR20" s="38">
        <f t="shared" si="30"/>
        <v>0</v>
      </c>
      <c r="CS20" s="38">
        <f t="shared" si="31"/>
        <v>0</v>
      </c>
      <c r="CT20" s="38">
        <f t="shared" si="32"/>
        <v>0</v>
      </c>
      <c r="CU20" s="38">
        <f t="shared" si="33"/>
        <v>1.9E-2</v>
      </c>
      <c r="CV20" s="49">
        <f t="shared" si="34"/>
        <v>1159.75</v>
      </c>
      <c r="CW20" s="22" t="s">
        <v>122</v>
      </c>
      <c r="CX20" s="22" t="s">
        <v>122</v>
      </c>
      <c r="CY20" s="22" t="s">
        <v>122</v>
      </c>
      <c r="CZ20" s="22" t="s">
        <v>122</v>
      </c>
      <c r="DA20" s="22" t="s">
        <v>122</v>
      </c>
      <c r="DB20" s="502">
        <f t="shared" si="35"/>
        <v>500</v>
      </c>
      <c r="DC20" s="29">
        <v>0</v>
      </c>
      <c r="DD20" s="29">
        <v>0</v>
      </c>
      <c r="DE20" s="29">
        <v>0</v>
      </c>
      <c r="DF20" s="49">
        <v>0</v>
      </c>
      <c r="DG20" s="49">
        <v>0</v>
      </c>
      <c r="DH20" s="49">
        <v>0</v>
      </c>
      <c r="DI20" s="49">
        <v>0</v>
      </c>
      <c r="DJ20" s="49">
        <v>0</v>
      </c>
      <c r="DK20" s="29">
        <v>0</v>
      </c>
      <c r="DL20" s="29">
        <v>0</v>
      </c>
      <c r="DM20" s="49">
        <f>INDEX(Input!$1:$1048576,DM$10,$C20*2+6)</f>
        <v>20731.578947368424</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2.785324589112596E-2</v>
      </c>
      <c r="DZ20" s="37">
        <v>0</v>
      </c>
      <c r="EA20" s="37">
        <v>0.571219056508666</v>
      </c>
      <c r="EB20" s="37">
        <v>0</v>
      </c>
      <c r="EC20" s="37">
        <v>0</v>
      </c>
      <c r="ED20" s="37">
        <v>0</v>
      </c>
      <c r="EE20" s="37">
        <v>0</v>
      </c>
      <c r="EF20" s="37">
        <v>0</v>
      </c>
      <c r="EG20" s="37">
        <v>0</v>
      </c>
      <c r="EH20" s="37">
        <v>7.7766628776971131E-3</v>
      </c>
      <c r="EI20" s="37">
        <v>1.271011840370732E-2</v>
      </c>
      <c r="EJ20" s="37">
        <v>0.12752031650835882</v>
      </c>
      <c r="EK20" s="37">
        <v>0.77298846311573199</v>
      </c>
      <c r="EL20" s="37">
        <v>7.9004439094504789E-2</v>
      </c>
      <c r="EM20" s="37">
        <v>7.626721899443907E-2</v>
      </c>
      <c r="EN20" s="37">
        <v>4.8022584231493727E-2</v>
      </c>
      <c r="EO20" s="37">
        <v>0.56377499569859446</v>
      </c>
      <c r="EP20" s="37">
        <v>0.28239300683471802</v>
      </c>
      <c r="EQ20" s="37">
        <v>6.5967666987376938E-2</v>
      </c>
      <c r="ER20" s="37">
        <v>3.9841746247816778E-2</v>
      </c>
      <c r="ES20" s="37">
        <v>0.32466047860576897</v>
      </c>
      <c r="ET20" s="37">
        <v>0.40092769760020802</v>
      </c>
      <c r="EU20" s="36">
        <v>1200</v>
      </c>
      <c r="EV20" s="36">
        <v>0</v>
      </c>
      <c r="EW20" s="36">
        <v>1200</v>
      </c>
      <c r="EX20" s="36">
        <v>0</v>
      </c>
      <c r="EY20" s="36">
        <v>2938.0551915782858</v>
      </c>
      <c r="EZ20" s="36">
        <v>1334.75</v>
      </c>
      <c r="FA20" s="36">
        <v>0</v>
      </c>
      <c r="FB20" s="36">
        <v>0</v>
      </c>
      <c r="FC20" s="36">
        <v>0</v>
      </c>
      <c r="FD20" s="36">
        <v>0</v>
      </c>
      <c r="FE20" s="36">
        <v>0</v>
      </c>
      <c r="FF20" s="36">
        <v>0</v>
      </c>
      <c r="FG20" s="36">
        <v>0</v>
      </c>
      <c r="FH20" s="36">
        <v>1154.7783578163496</v>
      </c>
      <c r="FI20" s="36">
        <v>1531.4299904380612</v>
      </c>
      <c r="FJ20" s="36">
        <v>2070.720584253821</v>
      </c>
      <c r="FK20" s="36">
        <v>2635.3956133202914</v>
      </c>
      <c r="FL20" s="36">
        <v>2005.2147164707287</v>
      </c>
      <c r="FM20" s="36">
        <v>2488.0551915782858</v>
      </c>
      <c r="FN20" s="36">
        <v>0</v>
      </c>
      <c r="FO20" s="36">
        <v>0</v>
      </c>
      <c r="FP20" s="36">
        <v>0</v>
      </c>
      <c r="FQ20" s="36">
        <v>0</v>
      </c>
      <c r="FR20" s="36">
        <v>0</v>
      </c>
      <c r="FS20" s="36">
        <v>0</v>
      </c>
      <c r="FT20" s="37">
        <v>0.59907230239979192</v>
      </c>
      <c r="FU20" s="37">
        <v>7.626721899443907E-2</v>
      </c>
      <c r="FV20" s="37">
        <v>0.32466047860576897</v>
      </c>
      <c r="FW20" s="518">
        <v>1200</v>
      </c>
      <c r="FX20" s="518">
        <v>2938.0551915782858</v>
      </c>
      <c r="FY20" s="518">
        <v>1334.75</v>
      </c>
      <c r="FZ20" s="36">
        <v>2594.6978186474794</v>
      </c>
      <c r="GA20" s="36">
        <v>1376.3046354126502</v>
      </c>
      <c r="GB20" s="36">
        <v>18318.695364587351</v>
      </c>
      <c r="GC20" s="37">
        <v>9.6947029492584935E-2</v>
      </c>
      <c r="GD20" s="37">
        <v>8.5091282329820689E-2</v>
      </c>
      <c r="GE20" s="37"/>
      <c r="GF20" s="37"/>
      <c r="GG20" s="37">
        <v>-0.12229097915445715</v>
      </c>
      <c r="GH20" s="35">
        <v>1.9768009765553842</v>
      </c>
      <c r="GI20" s="36">
        <v>11339.371344494783</v>
      </c>
      <c r="GJ20" s="34">
        <v>0.51074630601039595</v>
      </c>
      <c r="GK20" s="34">
        <v>0.50829519786161004</v>
      </c>
      <c r="GL20" s="34">
        <v>0.48925369398960478</v>
      </c>
      <c r="GM20" s="33">
        <v>0.49170480213839068</v>
      </c>
      <c r="GN20" s="61"/>
      <c r="GO20" s="13">
        <v>338.16872463277008</v>
      </c>
      <c r="GP20" s="27">
        <v>315.27501390194027</v>
      </c>
      <c r="GQ20" s="27">
        <v>527.27910984145694</v>
      </c>
      <c r="GR20" s="27">
        <v>404.20319246551543</v>
      </c>
      <c r="GS20" s="27">
        <v>334.50205195691484</v>
      </c>
      <c r="GT20" s="27">
        <v>289.18266033348181</v>
      </c>
      <c r="GU20" s="27">
        <v>254.29573314828914</v>
      </c>
      <c r="GV20" s="29" t="s">
        <v>392</v>
      </c>
      <c r="GW20" s="27">
        <v>479.875</v>
      </c>
      <c r="GX20" s="27">
        <v>359.90625</v>
      </c>
      <c r="GY20" s="27">
        <v>287.92500000000001</v>
      </c>
      <c r="GZ20" s="27">
        <v>239.9375</v>
      </c>
      <c r="HA20" s="27">
        <v>219.80275574107543</v>
      </c>
      <c r="HB20" s="29">
        <v>247.85687707841947</v>
      </c>
      <c r="HC20" s="27">
        <v>224.72031249999998</v>
      </c>
      <c r="HD20" s="27">
        <v>196.46848501461983</v>
      </c>
      <c r="HE20" s="27">
        <v>200.4611947537112</v>
      </c>
      <c r="HF20" s="27">
        <v>186.83708059210525</v>
      </c>
      <c r="HG20" s="27">
        <v>181.99222587719296</v>
      </c>
      <c r="HH20" s="12">
        <v>197.7406033656342</v>
      </c>
      <c r="HI20" s="94"/>
      <c r="HJ20" s="24">
        <f>INDEX(Input!$1:$1048576,HJ$10,$C20*2+6)</f>
        <v>0.34665833853841349</v>
      </c>
      <c r="HK20" s="18">
        <f>INDEX(Input!$1:$1048576,HK$10,$C20*2+6)</f>
        <v>0.29981261711430357</v>
      </c>
      <c r="HL20" s="43">
        <f>INDEX(Input!$1:$1048576,HL$10,$C20*2+6)</f>
        <v>0.35352904434728294</v>
      </c>
      <c r="HM20" s="49">
        <f>IF(HL20&lt;FV21,TREND(Y20:Y21,FV20:FV21,HL20),TREND(Y21:Y22,FV21:FV22,HL20))</f>
        <v>1405.7903538628498</v>
      </c>
    </row>
    <row r="21" spans="1:221" s="26" customFormat="1" ht="15">
      <c r="A21" s="117">
        <f t="shared" ref="A21:A22" si="37">C21*1000+B21</f>
        <v>2002</v>
      </c>
      <c r="B21" s="117">
        <f t="shared" si="36"/>
        <v>2</v>
      </c>
      <c r="C21" s="117">
        <f t="shared" si="14"/>
        <v>2</v>
      </c>
      <c r="D21" s="117" t="s">
        <v>568</v>
      </c>
      <c r="E21" s="115">
        <f>INDEX(Input!$1:$1048576,E$10,$C21*2+6)</f>
        <v>750</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1.9E-2</v>
      </c>
      <c r="W21" s="383">
        <f>INDEX(Input!$1:$1048576,W$10,$C21*2+6)</f>
        <v>3.9E-2</v>
      </c>
      <c r="X21" s="118" t="str">
        <f>INDEX(Input!$1:$1048576,X$10,$C21*2+6)</f>
        <v>Y</v>
      </c>
      <c r="Y21" s="520">
        <f>MIN(BX21*10%,4000)+Y20</f>
        <v>2954.25</v>
      </c>
      <c r="Z21" s="30">
        <f>INDEX(Input!$1:$1048576,Z$10,$C21*2+6)</f>
        <v>0</v>
      </c>
      <c r="AA21" s="115">
        <f>INDEX(Input!$1:$1048576,AA$10,$C21*2+6)</f>
        <v>0</v>
      </c>
      <c r="AB21" s="118">
        <f>INDEX(Input!$1:$1048576,AB$10,$C21*2+6)</f>
        <v>1</v>
      </c>
      <c r="AC21" s="115">
        <f>INDEX(Input!$1:$1048576,AC$10,$C21*2+6)</f>
        <v>1000</v>
      </c>
      <c r="AD21" s="118">
        <f>INDEX(Input!$1:$1048576,AD$10,$C21*2+6)</f>
        <v>0.35</v>
      </c>
      <c r="AE21" s="115">
        <f>INDEX(Input!$1:$1048576,AE$10,$C21*2+6)</f>
        <v>0</v>
      </c>
      <c r="AF21" s="118">
        <f>INDEX(Input!$1:$1048576,AF$10,$C21*2+6)</f>
        <v>1</v>
      </c>
      <c r="AG21" s="115">
        <f>INDEX(Input!$1:$1048576,AG$10,$C21*2+6)</f>
        <v>500</v>
      </c>
      <c r="AH21" s="118">
        <f>INDEX(Input!$1:$1048576,AH$10,$C21*2+6)</f>
        <v>1</v>
      </c>
      <c r="AI21" s="115">
        <f>INDEX(Input!$1:$1048576,AI$10,$C21*2+6)</f>
        <v>500</v>
      </c>
      <c r="AJ21" s="118">
        <f>INDEX(Input!$1:$1048576,AJ$10,$C21*2+6)</f>
        <v>0.35</v>
      </c>
      <c r="AK21" s="150">
        <f>INDEX(Input!$1:$1048576,AK$10,$C20*2+6)+(Y21-VLOOKUP($C21*1000+1,$A:$HH,Y$9,FALSE))</f>
        <v>7068.2109265464023</v>
      </c>
      <c r="AL21" s="150">
        <f>INDEX(Input!$1:$1048576,AL$10,$C20*2+6)-(Y21-VLOOKUP($C21*1000+1,$A:$HH,Y$9,FALSE))/36</f>
        <v>5044.0025932130693</v>
      </c>
      <c r="AM21" s="32" t="str">
        <f t="shared" ref="AM21:AM22" si="38">IF(K21="market","std",ROUND(K21*1000,0)/10)&amp;"/"&amp;IF(L21="market","std",ROUND(L21*1000,0)/10)&amp;"/"&amp;IF(M21="market","std",ROUND(M21*1000,0)/10)&amp;"/"&amp;IF(N21="market","std",ROUND(N21*1000,0)/10)&amp;IF(P21="N","","/"&amp;IF(O21="market","std",ROUND(O21*1000,0)/10))</f>
        <v>std/std/std/std</v>
      </c>
      <c r="AN21" s="32" t="str">
        <f t="shared" ref="AN21:AN22" si="39">"$"&amp;ROUND(Q21,0)&amp;" + "&amp;IF(S21="market","std",ROUND(S21*1000,0)/10)&amp;"/"&amp;IF(T21="market","std",ROUND(T21*1000,0)/10)&amp;"/"&amp;IF(U21="market","std",ROUND(U21*1000,0)/10)&amp;"/"&amp;IF(V21="market","std",ROUND(V21*1000,0)/10)&amp;IF(X21="N","","/"&amp;IF(W21="market","std",ROUND(W21*1000,0)/10))</f>
        <v>$0 + 0/0/0/1.9/3.9</v>
      </c>
      <c r="AO21" s="32" t="str">
        <f t="shared" ref="AO21:AO22" si="40">IF(S21="market","std",ROUND(S21*1000,0)/10)&amp;"/"&amp;IF(T21="market","std",ROUND(T21*1000,0)/10)&amp;"/"&amp;IF(U21="market","std",ROUND(U21*1000,0)/10)&amp;"/"&amp;IF(V21="market","std",ROUND(V21*1000,0)/10)&amp;IF(X21="N","","/"&amp;IF(W21="market","std",ROUND(W21*1000,0)/10))</f>
        <v>0/0/0/1.9/3.9</v>
      </c>
      <c r="AP21" s="32" t="str">
        <f t="shared" ref="AP21:AP22" si="41">IF(T21="market","std",ROUND(T21*1000,0)/10)&amp;"/"&amp;IF(U21="market","std",ROUND(U21*1000,0)/10)&amp;"/"&amp;IF(V21="market","std",ROUND(V21*1000,0)/10)&amp;IF(X21="N","","/"&amp;IF(W21="market","std",ROUND(W21*1000,0)/10))</f>
        <v>0/0/1.9/3.9</v>
      </c>
      <c r="AQ21" s="150">
        <f t="shared" si="19"/>
        <v>525</v>
      </c>
      <c r="AR21" s="32" t="str">
        <f t="shared" si="20"/>
        <v>0/1.9</v>
      </c>
      <c r="AS21" s="302"/>
      <c r="AT21" s="3">
        <f t="shared" si="21"/>
        <v>5</v>
      </c>
      <c r="AU21" s="41" t="s">
        <v>121</v>
      </c>
      <c r="AV21" s="41" t="s">
        <v>116</v>
      </c>
      <c r="AW21" s="41" t="str">
        <f>INDEX(Input!$1:$1048576,AW$10,$C21*2+6)</f>
        <v>Kia</v>
      </c>
      <c r="AX21" s="41" t="str">
        <f>INDEX(Input!$1:$1048576,AX$10,$C21*2+6)</f>
        <v>Kia-LR - L2</v>
      </c>
      <c r="AY21" s="41" t="str">
        <f>IF(D21="Skip","",INDEX(Input!$1:$1048576,AY$10,$C21*2+6))</f>
        <v>Compact Conventional/Sporty Car (43)</v>
      </c>
      <c r="AZ21" s="41" t="str">
        <f>INDEX(Input!$1:$1048576,AZ$10,$C21*2+6)</f>
        <v>Kia Forte</v>
      </c>
      <c r="BA21" s="3">
        <f>INDEX(Input!$1:$1048576,BA$10,$C21*2+6)</f>
        <v>2020</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19695</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1100</v>
      </c>
      <c r="CJ21" s="16" t="str">
        <f>INDEX(Input!$1:$1048576,CJ$10,$C21*2+6)</f>
        <v>N</v>
      </c>
      <c r="CK21" s="1" t="str">
        <f t="shared" si="23"/>
        <v>Market</v>
      </c>
      <c r="CL21" s="1" t="str">
        <f t="shared" si="24"/>
        <v>Market</v>
      </c>
      <c r="CM21" s="1" t="str">
        <f t="shared" si="25"/>
        <v>Market</v>
      </c>
      <c r="CN21" s="1" t="str">
        <f t="shared" si="26"/>
        <v>Market</v>
      </c>
      <c r="CO21" s="1" t="str">
        <f t="shared" si="27"/>
        <v>Market</v>
      </c>
      <c r="CP21" s="304">
        <f t="shared" si="28"/>
        <v>350</v>
      </c>
      <c r="CQ21" s="1">
        <f t="shared" si="29"/>
        <v>0</v>
      </c>
      <c r="CR21" s="1">
        <f t="shared" si="30"/>
        <v>0</v>
      </c>
      <c r="CS21" s="1">
        <f t="shared" si="31"/>
        <v>0</v>
      </c>
      <c r="CT21" s="1">
        <f t="shared" si="32"/>
        <v>0</v>
      </c>
      <c r="CU21" s="1">
        <f t="shared" si="33"/>
        <v>1.9E-2</v>
      </c>
      <c r="CV21" s="304">
        <f t="shared" si="34"/>
        <v>3129.25</v>
      </c>
      <c r="CW21" s="20" t="s">
        <v>122</v>
      </c>
      <c r="CX21" s="20" t="s">
        <v>122</v>
      </c>
      <c r="CY21" s="20" t="s">
        <v>122</v>
      </c>
      <c r="CZ21" s="20" t="s">
        <v>122</v>
      </c>
      <c r="DA21" s="20" t="s">
        <v>122</v>
      </c>
      <c r="DB21" s="503">
        <f t="shared" si="35"/>
        <v>500</v>
      </c>
      <c r="DC21" s="127">
        <v>0</v>
      </c>
      <c r="DD21" s="127">
        <v>0</v>
      </c>
      <c r="DE21" s="127">
        <v>0</v>
      </c>
      <c r="DF21" s="127">
        <v>0</v>
      </c>
      <c r="DG21" s="127">
        <v>0</v>
      </c>
      <c r="DH21" s="127">
        <v>0</v>
      </c>
      <c r="DI21" s="127">
        <v>0</v>
      </c>
      <c r="DJ21" s="127">
        <v>0</v>
      </c>
      <c r="DK21" s="127">
        <v>0</v>
      </c>
      <c r="DL21" s="127">
        <v>0</v>
      </c>
      <c r="DM21" s="304">
        <f>INDEX(Input!$1:$1048576,DM$10,$C21*2+6)</f>
        <v>20731.578947368424</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2.2246079616540741E-2</v>
      </c>
      <c r="DZ21" s="7">
        <v>0</v>
      </c>
      <c r="EA21" s="7">
        <v>0.4570875182374079</v>
      </c>
      <c r="EB21" s="7">
        <v>0</v>
      </c>
      <c r="EC21" s="7">
        <v>0</v>
      </c>
      <c r="ED21" s="7">
        <v>0</v>
      </c>
      <c r="EE21" s="7">
        <v>0</v>
      </c>
      <c r="EF21" s="7">
        <v>0</v>
      </c>
      <c r="EG21" s="7">
        <v>0</v>
      </c>
      <c r="EH21" s="7">
        <v>7.7411465219308032E-3</v>
      </c>
      <c r="EI21" s="7">
        <v>1.2623875011418716E-2</v>
      </c>
      <c r="EJ21" s="7">
        <v>0.12721218923269279</v>
      </c>
      <c r="EK21" s="7">
        <v>0.77340679766763532</v>
      </c>
      <c r="EL21" s="7">
        <v>7.9015991566322136E-2</v>
      </c>
      <c r="EM21" s="7">
        <v>6.0967465334843554E-2</v>
      </c>
      <c r="EN21" s="7">
        <v>5.3038171018671809E-2</v>
      </c>
      <c r="EO21" s="7">
        <v>0.55811427184593387</v>
      </c>
      <c r="EP21" s="7">
        <v>0.29179936654394167</v>
      </c>
      <c r="EQ21" s="7">
        <v>6.0343195816635151E-2</v>
      </c>
      <c r="ER21" s="7">
        <v>3.6704994774817687E-2</v>
      </c>
      <c r="ES21" s="7">
        <v>0.45969893681120783</v>
      </c>
      <c r="ET21" s="7">
        <v>0.52066640214605131</v>
      </c>
      <c r="EU21" s="6">
        <v>1200</v>
      </c>
      <c r="EV21" s="6">
        <v>0</v>
      </c>
      <c r="EW21" s="6">
        <v>1200</v>
      </c>
      <c r="EX21" s="6">
        <v>0</v>
      </c>
      <c r="EY21" s="6">
        <v>2938.3698659873698</v>
      </c>
      <c r="EZ21" s="6">
        <v>3304.25</v>
      </c>
      <c r="FA21" s="6">
        <v>0</v>
      </c>
      <c r="FB21" s="6">
        <v>0</v>
      </c>
      <c r="FC21" s="6">
        <v>0</v>
      </c>
      <c r="FD21" s="6">
        <v>0</v>
      </c>
      <c r="FE21" s="6">
        <v>0</v>
      </c>
      <c r="FF21" s="6">
        <v>0</v>
      </c>
      <c r="FG21" s="6">
        <v>0</v>
      </c>
      <c r="FH21" s="6">
        <v>1154.7999190028277</v>
      </c>
      <c r="FI21" s="6">
        <v>1531.4299904380621</v>
      </c>
      <c r="FJ21" s="6">
        <v>2070.7205842538228</v>
      </c>
      <c r="FK21" s="6">
        <v>2635.3956133202928</v>
      </c>
      <c r="FL21" s="6">
        <v>2005.214716470728</v>
      </c>
      <c r="FM21" s="6">
        <v>2488.3698659873698</v>
      </c>
      <c r="FN21" s="6">
        <v>0</v>
      </c>
      <c r="FO21" s="6">
        <v>0</v>
      </c>
      <c r="FP21" s="6">
        <v>0</v>
      </c>
      <c r="FQ21" s="6">
        <v>0</v>
      </c>
      <c r="FR21" s="6">
        <v>0</v>
      </c>
      <c r="FS21" s="6">
        <v>0</v>
      </c>
      <c r="FT21" s="7">
        <v>0.47933359785394863</v>
      </c>
      <c r="FU21" s="7">
        <v>6.0967465334843554E-2</v>
      </c>
      <c r="FV21" s="7">
        <v>0.45969893681120783</v>
      </c>
      <c r="FW21" s="519">
        <v>1200</v>
      </c>
      <c r="FX21" s="519">
        <v>2938.3698659873698</v>
      </c>
      <c r="FY21" s="519">
        <v>3304.25</v>
      </c>
      <c r="FZ21" s="6">
        <v>2594.6978186474794</v>
      </c>
      <c r="GA21" s="6">
        <v>2273.3054923287059</v>
      </c>
      <c r="GB21" s="6">
        <v>17421.694507671295</v>
      </c>
      <c r="GC21" s="7">
        <v>9.6947029492584935E-2</v>
      </c>
      <c r="GD21" s="7">
        <v>9.3568200721103098E-2</v>
      </c>
      <c r="GE21" s="7"/>
      <c r="GF21" s="7"/>
      <c r="GG21" s="7">
        <v>-3.4852318726694656E-2</v>
      </c>
      <c r="GH21" s="42">
        <v>2.1357585763931026</v>
      </c>
      <c r="GI21" s="6">
        <v>11494.853385284454</v>
      </c>
      <c r="GJ21" s="14">
        <v>0.51074630601039517</v>
      </c>
      <c r="GK21" s="14">
        <v>0.50829519786160948</v>
      </c>
      <c r="GL21" s="14">
        <v>0.48925369398960417</v>
      </c>
      <c r="GM21" s="14">
        <v>0.49170480213839013</v>
      </c>
      <c r="GO21" s="5">
        <v>338.16872463277008</v>
      </c>
      <c r="GP21" s="5">
        <v>315.27501390194027</v>
      </c>
      <c r="GQ21" s="5">
        <v>527.27910984145694</v>
      </c>
      <c r="GR21" s="5">
        <v>404.20319246551543</v>
      </c>
      <c r="GS21" s="5">
        <v>334.50205195691484</v>
      </c>
      <c r="GT21" s="5">
        <v>289.18266033348181</v>
      </c>
      <c r="GU21" s="5">
        <v>254.29573314828914</v>
      </c>
      <c r="GV21" s="39" t="s">
        <v>392</v>
      </c>
      <c r="GW21" s="5">
        <v>479.875</v>
      </c>
      <c r="GX21" s="5">
        <v>359.90625</v>
      </c>
      <c r="GY21" s="5">
        <v>287.92500000000001</v>
      </c>
      <c r="GZ21" s="5">
        <v>239.9375</v>
      </c>
      <c r="HA21" s="5">
        <v>219.80275574107543</v>
      </c>
      <c r="HB21" s="39">
        <v>247.82298999713245</v>
      </c>
      <c r="HC21" s="5">
        <v>138.55468749999997</v>
      </c>
      <c r="HD21" s="5">
        <v>137.65702668128651</v>
      </c>
      <c r="HE21" s="5">
        <v>145.85806975371116</v>
      </c>
      <c r="HF21" s="5">
        <v>141.29239309210524</v>
      </c>
      <c r="HG21" s="5">
        <v>144.24347587719296</v>
      </c>
      <c r="HH21" s="39">
        <v>140.55882135335293</v>
      </c>
      <c r="HI21" s="16"/>
      <c r="HJ21" s="1">
        <f>INDEX(Input!$1:$1048576,HJ$10,$C21*2+6)</f>
        <v>0.34665833853841349</v>
      </c>
      <c r="HK21" s="1">
        <f>INDEX(Input!$1:$1048576,HK$10,$C21*2+6)</f>
        <v>0.29981261711430357</v>
      </c>
      <c r="HL21" s="1">
        <f>INDEX(Input!$1:$1048576,HL$10,$C21*2+6)</f>
        <v>0.35352904434728294</v>
      </c>
      <c r="HM21" s="19"/>
    </row>
    <row r="22" spans="1:221" s="26" customFormat="1" ht="15.75" thickBot="1">
      <c r="A22" s="117">
        <f t="shared" si="37"/>
        <v>2003</v>
      </c>
      <c r="B22" s="117">
        <f t="shared" si="36"/>
        <v>3</v>
      </c>
      <c r="C22" s="117">
        <f t="shared" si="14"/>
        <v>2</v>
      </c>
      <c r="D22" s="117" t="s">
        <v>568</v>
      </c>
      <c r="E22" s="115">
        <f>INDEX(Input!$1:$1048576,E$10,$C22*2+6)</f>
        <v>750</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1.9E-2</v>
      </c>
      <c r="W22" s="383">
        <f>INDEX(Input!$1:$1048576,W$10,$C22*2+6)</f>
        <v>3.9E-2</v>
      </c>
      <c r="X22" s="118" t="str">
        <f>INDEX(Input!$1:$1048576,X$10,$C22*2+6)</f>
        <v>Y</v>
      </c>
      <c r="Y22" s="520">
        <f>MIN(BX22*10%,4000)+Y21</f>
        <v>4923.75</v>
      </c>
      <c r="Z22" s="30">
        <f>INDEX(Input!$1:$1048576,Z$10,$C22*2+6)</f>
        <v>0</v>
      </c>
      <c r="AA22" s="115">
        <f>INDEX(Input!$1:$1048576,AA$10,$C22*2+6)</f>
        <v>0</v>
      </c>
      <c r="AB22" s="118">
        <f>INDEX(Input!$1:$1048576,AB$10,$C22*2+6)</f>
        <v>1</v>
      </c>
      <c r="AC22" s="115">
        <f>INDEX(Input!$1:$1048576,AC$10,$C22*2+6)</f>
        <v>1000</v>
      </c>
      <c r="AD22" s="118">
        <f>INDEX(Input!$1:$1048576,AD$10,$C22*2+6)</f>
        <v>0.35</v>
      </c>
      <c r="AE22" s="115">
        <f>INDEX(Input!$1:$1048576,AE$10,$C22*2+6)</f>
        <v>0</v>
      </c>
      <c r="AF22" s="118">
        <f>INDEX(Input!$1:$1048576,AF$10,$C22*2+6)</f>
        <v>1</v>
      </c>
      <c r="AG22" s="115">
        <f>INDEX(Input!$1:$1048576,AG$10,$C22*2+6)</f>
        <v>500</v>
      </c>
      <c r="AH22" s="118">
        <f>INDEX(Input!$1:$1048576,AH$10,$C22*2+6)</f>
        <v>1</v>
      </c>
      <c r="AI22" s="115">
        <f>INDEX(Input!$1:$1048576,AI$10,$C22*2+6)</f>
        <v>500</v>
      </c>
      <c r="AJ22" s="118">
        <f>INDEX(Input!$1:$1048576,AJ$10,$C22*2+6)</f>
        <v>0.35</v>
      </c>
      <c r="AK22" s="150">
        <f>INDEX(Input!$1:$1048576,AK$10,$C21*2+6)+(Y22-VLOOKUP($C22*1000+1,$A:$HH,Y$9,FALSE))</f>
        <v>9037.7109265464023</v>
      </c>
      <c r="AL22" s="150">
        <f>INDEX(Input!$1:$1048576,AL$10,$C21*2+6)-(Y22-VLOOKUP($C22*1000+1,$A:$HH,Y$9,FALSE))/36</f>
        <v>4989.2942598797354</v>
      </c>
      <c r="AM22" s="32" t="str">
        <f t="shared" si="38"/>
        <v>std/std/std/std</v>
      </c>
      <c r="AN22" s="32" t="str">
        <f t="shared" si="39"/>
        <v>$0 + 0/0/0/1.9/3.9</v>
      </c>
      <c r="AO22" s="32" t="str">
        <f t="shared" si="40"/>
        <v>0/0/0/1.9/3.9</v>
      </c>
      <c r="AP22" s="32" t="str">
        <f t="shared" si="41"/>
        <v>0/0/1.9/3.9</v>
      </c>
      <c r="AQ22" s="150">
        <f t="shared" si="19"/>
        <v>525</v>
      </c>
      <c r="AR22" s="32" t="str">
        <f t="shared" si="20"/>
        <v>0/1.9</v>
      </c>
      <c r="AS22" s="302"/>
      <c r="AT22" s="3">
        <f t="shared" si="21"/>
        <v>6</v>
      </c>
      <c r="AU22" s="41" t="s">
        <v>121</v>
      </c>
      <c r="AV22" s="41" t="s">
        <v>116</v>
      </c>
      <c r="AW22" s="41" t="str">
        <f>INDEX(Input!$1:$1048576,AW$10,$C22*2+6)</f>
        <v>Kia</v>
      </c>
      <c r="AX22" s="41" t="str">
        <f>INDEX(Input!$1:$1048576,AX$10,$C22*2+6)</f>
        <v>Kia-LR - L2</v>
      </c>
      <c r="AY22" s="41" t="str">
        <f>IF(D22="Skip","",INDEX(Input!$1:$1048576,AY$10,$C22*2+6))</f>
        <v>Compact Conventional/Sporty Car (43)</v>
      </c>
      <c r="AZ22" s="41" t="str">
        <f>INDEX(Input!$1:$1048576,AZ$10,$C22*2+6)</f>
        <v>Kia Forte</v>
      </c>
      <c r="BA22" s="3">
        <f>INDEX(Input!$1:$1048576,BA$10,$C22*2+6)</f>
        <v>2020</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19695</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1100</v>
      </c>
      <c r="CJ22" s="16" t="str">
        <f>INDEX(Input!$1:$1048576,CJ$10,$C22*2+6)</f>
        <v>N</v>
      </c>
      <c r="CK22" s="1" t="str">
        <f t="shared" si="23"/>
        <v>Market</v>
      </c>
      <c r="CL22" s="1" t="str">
        <f t="shared" si="24"/>
        <v>Market</v>
      </c>
      <c r="CM22" s="1" t="str">
        <f t="shared" si="25"/>
        <v>Market</v>
      </c>
      <c r="CN22" s="1" t="str">
        <f t="shared" si="26"/>
        <v>Market</v>
      </c>
      <c r="CO22" s="1" t="str">
        <f t="shared" si="27"/>
        <v>Market</v>
      </c>
      <c r="CP22" s="304">
        <f t="shared" si="28"/>
        <v>350</v>
      </c>
      <c r="CQ22" s="1">
        <f t="shared" si="29"/>
        <v>0</v>
      </c>
      <c r="CR22" s="1">
        <f t="shared" si="30"/>
        <v>0</v>
      </c>
      <c r="CS22" s="1">
        <f t="shared" si="31"/>
        <v>0</v>
      </c>
      <c r="CT22" s="1">
        <f t="shared" si="32"/>
        <v>0</v>
      </c>
      <c r="CU22" s="1">
        <f t="shared" si="33"/>
        <v>1.9E-2</v>
      </c>
      <c r="CV22" s="304">
        <f t="shared" si="34"/>
        <v>5098.75</v>
      </c>
      <c r="CW22" s="20" t="s">
        <v>122</v>
      </c>
      <c r="CX22" s="20" t="s">
        <v>122</v>
      </c>
      <c r="CY22" s="20" t="s">
        <v>122</v>
      </c>
      <c r="CZ22" s="20" t="s">
        <v>122</v>
      </c>
      <c r="DA22" s="20" t="s">
        <v>122</v>
      </c>
      <c r="DB22" s="503">
        <f t="shared" si="35"/>
        <v>500</v>
      </c>
      <c r="DC22" s="127">
        <v>0</v>
      </c>
      <c r="DD22" s="127">
        <v>0</v>
      </c>
      <c r="DE22" s="127">
        <v>0</v>
      </c>
      <c r="DF22" s="127">
        <v>0</v>
      </c>
      <c r="DG22" s="127">
        <v>0</v>
      </c>
      <c r="DH22" s="127">
        <v>0</v>
      </c>
      <c r="DI22" s="127">
        <v>0</v>
      </c>
      <c r="DJ22" s="127">
        <v>0</v>
      </c>
      <c r="DK22" s="127">
        <v>0</v>
      </c>
      <c r="DL22" s="127">
        <v>0</v>
      </c>
      <c r="DM22" s="304">
        <f>INDEX(Input!$1:$1048576,DM$10,$C22*2+6)</f>
        <v>20731.578947368424</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1.5282507488410807E-2</v>
      </c>
      <c r="DZ22" s="7">
        <v>0</v>
      </c>
      <c r="EA22" s="7">
        <v>0.31449250159806369</v>
      </c>
      <c r="EB22" s="7">
        <v>0</v>
      </c>
      <c r="EC22" s="7">
        <v>0</v>
      </c>
      <c r="ED22" s="7">
        <v>0</v>
      </c>
      <c r="EE22" s="7">
        <v>0</v>
      </c>
      <c r="EF22" s="7">
        <v>0</v>
      </c>
      <c r="EG22" s="7">
        <v>0</v>
      </c>
      <c r="EH22" s="7">
        <v>7.6922504264966976E-3</v>
      </c>
      <c r="EI22" s="7">
        <v>1.2505651461499387E-2</v>
      </c>
      <c r="EJ22" s="7">
        <v>0.12675218565118895</v>
      </c>
      <c r="EK22" s="7">
        <v>0.77404652090823622</v>
      </c>
      <c r="EL22" s="7">
        <v>7.9003391552579127E-2</v>
      </c>
      <c r="EM22" s="7">
        <v>4.1855751224535068E-2</v>
      </c>
      <c r="EN22" s="7">
        <v>6.146930504407868E-2</v>
      </c>
      <c r="EO22" s="7">
        <v>0.55082746053020026</v>
      </c>
      <c r="EP22" s="7">
        <v>0.30182422043682089</v>
      </c>
      <c r="EQ22" s="7">
        <v>5.3360373604244088E-2</v>
      </c>
      <c r="ER22" s="7">
        <v>3.2518640384657037E-2</v>
      </c>
      <c r="ES22" s="7">
        <v>0.62836923968899039</v>
      </c>
      <c r="ET22" s="7">
        <v>0.6702249909135255</v>
      </c>
      <c r="EU22" s="6">
        <v>1200</v>
      </c>
      <c r="EV22" s="6">
        <v>0</v>
      </c>
      <c r="EW22" s="6">
        <v>1200</v>
      </c>
      <c r="EX22" s="6">
        <v>0</v>
      </c>
      <c r="EY22" s="6">
        <v>2938.8406151977033</v>
      </c>
      <c r="EZ22" s="6">
        <v>5273.75</v>
      </c>
      <c r="FA22" s="6">
        <v>0</v>
      </c>
      <c r="FB22" s="6">
        <v>0</v>
      </c>
      <c r="FC22" s="6">
        <v>0</v>
      </c>
      <c r="FD22" s="6">
        <v>0</v>
      </c>
      <c r="FE22" s="6">
        <v>0</v>
      </c>
      <c r="FF22" s="6">
        <v>0</v>
      </c>
      <c r="FG22" s="6">
        <v>0</v>
      </c>
      <c r="FH22" s="6">
        <v>1154.8189385761582</v>
      </c>
      <c r="FI22" s="6">
        <v>1531.4299904380614</v>
      </c>
      <c r="FJ22" s="6">
        <v>2070.7205842538215</v>
      </c>
      <c r="FK22" s="6">
        <v>2635.3956133202914</v>
      </c>
      <c r="FL22" s="6">
        <v>2005.2147164707267</v>
      </c>
      <c r="FM22" s="6">
        <v>2488.8406151977033</v>
      </c>
      <c r="FN22" s="6">
        <v>0</v>
      </c>
      <c r="FO22" s="6">
        <v>0</v>
      </c>
      <c r="FP22" s="6">
        <v>0</v>
      </c>
      <c r="FQ22" s="6">
        <v>0</v>
      </c>
      <c r="FR22" s="6">
        <v>0</v>
      </c>
      <c r="FS22" s="6">
        <v>0</v>
      </c>
      <c r="FT22" s="7">
        <v>0.3297750090864745</v>
      </c>
      <c r="FU22" s="7">
        <v>4.1855751224535068E-2</v>
      </c>
      <c r="FV22" s="7">
        <v>0.62836923968899039</v>
      </c>
      <c r="FW22" s="519">
        <v>1200</v>
      </c>
      <c r="FX22" s="519">
        <v>2938.8406151977033</v>
      </c>
      <c r="FY22" s="519">
        <v>5273.75</v>
      </c>
      <c r="FZ22" s="6">
        <v>2594.6978186474794</v>
      </c>
      <c r="GA22" s="6">
        <v>3832.5996703918568</v>
      </c>
      <c r="GB22" s="6">
        <v>15862.400329608143</v>
      </c>
      <c r="GC22" s="7">
        <v>9.6947029492584935E-2</v>
      </c>
      <c r="GD22" s="7">
        <v>0.10956131190540326</v>
      </c>
      <c r="GE22" s="7"/>
      <c r="GF22" s="7"/>
      <c r="GG22" s="7">
        <v>0.13011520289833262</v>
      </c>
      <c r="GH22" s="42">
        <v>2.0701309376600183</v>
      </c>
      <c r="GI22" s="6">
        <v>13346.490623715967</v>
      </c>
      <c r="GJ22" s="14">
        <v>0.51074630601039528</v>
      </c>
      <c r="GK22" s="14">
        <v>0.50829519786160959</v>
      </c>
      <c r="GL22" s="14">
        <v>0.48925369398960439</v>
      </c>
      <c r="GM22" s="14">
        <v>0.49170480213839007</v>
      </c>
      <c r="GO22" s="5">
        <v>338.16872463277008</v>
      </c>
      <c r="GP22" s="5">
        <v>315.27501390194027</v>
      </c>
      <c r="GQ22" s="5">
        <v>527.27910984145694</v>
      </c>
      <c r="GR22" s="5">
        <v>404.20319246551543</v>
      </c>
      <c r="GS22" s="5">
        <v>334.50205195691484</v>
      </c>
      <c r="GT22" s="5">
        <v>289.18266033348181</v>
      </c>
      <c r="GU22" s="5">
        <v>254.29573314828914</v>
      </c>
      <c r="GV22" s="39" t="s">
        <v>392</v>
      </c>
      <c r="GW22" s="5">
        <v>479.875</v>
      </c>
      <c r="GX22" s="5">
        <v>359.90625</v>
      </c>
      <c r="GY22" s="5">
        <v>287.92500000000001</v>
      </c>
      <c r="GZ22" s="5">
        <v>239.9375</v>
      </c>
      <c r="HA22" s="5">
        <v>219.80275574107543</v>
      </c>
      <c r="HB22" s="39">
        <v>247.77525413491696</v>
      </c>
      <c r="HC22" s="5">
        <v>52.389062499999966</v>
      </c>
      <c r="HD22" s="5">
        <v>78.845568347953161</v>
      </c>
      <c r="HE22" s="5">
        <v>91.254944753711172</v>
      </c>
      <c r="HF22" s="5">
        <v>95.747705592105234</v>
      </c>
      <c r="HG22" s="5">
        <v>106.49472587719296</v>
      </c>
      <c r="HH22" s="39">
        <v>82.765773048050193</v>
      </c>
      <c r="HI22" s="16"/>
      <c r="HJ22" s="1">
        <f>INDEX(Input!$1:$1048576,HJ$10,$C22*2+6)</f>
        <v>0.34665833853841349</v>
      </c>
      <c r="HK22" s="1">
        <f>INDEX(Input!$1:$1048576,HK$10,$C22*2+6)</f>
        <v>0.29981261711430357</v>
      </c>
      <c r="HL22" s="1">
        <f>INDEX(Input!$1:$1048576,HL$10,$C22*2+6)</f>
        <v>0.35352904434728294</v>
      </c>
      <c r="HM22" s="19"/>
    </row>
    <row r="23" spans="1:221" s="60" customFormat="1" ht="15.75" thickBot="1">
      <c r="A23" s="31">
        <f>C23*1000+B23</f>
        <v>3001</v>
      </c>
      <c r="B23" s="31">
        <f t="shared" ref="B23:B25" si="42">IF(D23="Baseline1",1,B22+1)</f>
        <v>1</v>
      </c>
      <c r="C23" s="508">
        <v>3</v>
      </c>
      <c r="D23" s="31" t="s">
        <v>566</v>
      </c>
      <c r="E23" s="365">
        <f>INDEX(Input!$1:$1048576,E$10,$C23*2+MIN($B23,2)+5)</f>
        <v>750</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1.9E-2</v>
      </c>
      <c r="W23" s="38">
        <f>INDEX(Input!$1:$1048576,W$10,$C23*2+MIN($B23,2)+5)</f>
        <v>3.9000000000000007E-2</v>
      </c>
      <c r="X23" s="367" t="str">
        <f>INDEX(Input!$1:$1048576,X$10,$C23*2+MIN($B23,2)+5)</f>
        <v>Y</v>
      </c>
      <c r="Y23" s="517">
        <f>MIN(BX23*5%,2000)</f>
        <v>984.75</v>
      </c>
      <c r="Z23" s="49">
        <f>INDEX(Input!$1:$1048576,Z$10,$C23*2+MIN($B23,2)+5)</f>
        <v>0</v>
      </c>
      <c r="AA23" s="49">
        <f>INDEX(Input!$1:$1048576,AA$10,$C23*2+MIN($B23,2)+5)</f>
        <v>0</v>
      </c>
      <c r="AB23" s="367">
        <f>INDEX(Input!$1:$1048576,AB$10,$C23*2+MIN($B23,2)+5)</f>
        <v>0.62</v>
      </c>
      <c r="AC23" s="49">
        <f>INDEX(Input!$1:$1048576,AC$10,$C23*2+MIN($B23,2)+5)</f>
        <v>1000</v>
      </c>
      <c r="AD23" s="367">
        <f>INDEX(Input!$1:$1048576,AD$10,$C23*2+MIN($B23,2)+5)</f>
        <v>0.35</v>
      </c>
      <c r="AE23" s="49">
        <f>INDEX(Input!$1:$1048576,AE$10,$C23*2+MIN($B23,2)+5)</f>
        <v>0</v>
      </c>
      <c r="AF23" s="367">
        <f>INDEX(Input!$1:$1048576,AF$10,$C23*2+MIN($B23,2)+5)</f>
        <v>0.97</v>
      </c>
      <c r="AG23" s="49">
        <f>INDEX(Input!$1:$1048576,AG$10,$C23*2+MIN($B23,2)+5)</f>
        <v>500</v>
      </c>
      <c r="AH23" s="367">
        <f>INDEX(Input!$1:$1048576,AH$10,$C23*2+MIN($B23,2)+5)</f>
        <v>1</v>
      </c>
      <c r="AI23" s="49">
        <f>INDEX(Input!$1:$1048576,AI$10,$C23*2+MIN($B23,2)+5)</f>
        <v>500</v>
      </c>
      <c r="AJ23" s="367">
        <f>INDEX(Input!$1:$1048576,AJ$10,$C23*2+MIN($B23,2)+5)</f>
        <v>0.35</v>
      </c>
      <c r="AK23" s="298">
        <f>INDEX(Input!$1:$1048576,AK$10,$C23*2+MIN($B23,2)+5)</f>
        <v>5098.7109265464023</v>
      </c>
      <c r="AL23" s="49">
        <f>INDEX(Input!$1:$1048576,AL$10,$C23*2+MIN($B23,2)+5)</f>
        <v>5098.7109265464023</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+ 0/0/0/1.9/3.9</v>
      </c>
      <c r="AO23" s="44" t="str">
        <f>IF(S23="market","std",ROUND(S23*1000,0)/10)&amp;"/"&amp;IF(T23="market","std",ROUND(T23*1000,0)/10)&amp;"/"&amp;IF(U23="market","std",ROUND(U23*1000,0)/10)&amp;"/"&amp;IF(V23="market","std",ROUND(V23*1000,0)/10)&amp;IF(X23="N","","/"&amp;IF(W23="market","std",ROUND(W23*1000,0)/10))</f>
        <v>0/0/0/1.9/3.9</v>
      </c>
      <c r="AP23" s="44" t="str">
        <f>IF(T23="market","std",ROUND(T23*1000,0)/10)&amp;"/"&amp;IF(U23="market","std",ROUND(U23*1000,0)/10)&amp;"/"&amp;IF(V23="market","std",ROUND(V23*1000,0)/10)&amp;IF(X23="N","","/"&amp;IF(W23="market","std",ROUND(W23*1000,0)/10))</f>
        <v>0/0/1.9/3.9</v>
      </c>
      <c r="AQ23" s="49">
        <f t="shared" si="19"/>
        <v>525</v>
      </c>
      <c r="AR23" s="44" t="str">
        <f t="shared" si="20"/>
        <v>0/1.9</v>
      </c>
      <c r="AS23" s="368"/>
      <c r="AT23" s="50">
        <f t="shared" si="21"/>
        <v>7</v>
      </c>
      <c r="AU23" s="45" t="s">
        <v>121</v>
      </c>
      <c r="AV23" s="45" t="s">
        <v>116</v>
      </c>
      <c r="AW23" s="45" t="str">
        <f>INDEX(Input!$1:$1048576,AW$10,$C23*2+6)</f>
        <v>Kia</v>
      </c>
      <c r="AX23" s="45" t="str">
        <f>INDEX(Input!$1:$1048576,AX$10,$C23*2+6)</f>
        <v>Kia-LR - L3</v>
      </c>
      <c r="AY23" s="10" t="str">
        <f>IF(D23="Skip","",INDEX(Input!$1:$1048576,AY$10,$C23*2+6))</f>
        <v>Compact Conventional/Sporty Car (43)</v>
      </c>
      <c r="AZ23" s="45" t="str">
        <f>INDEX(Input!$1:$1048576,AZ$10,$C23*2+6)</f>
        <v>Kia Forte</v>
      </c>
      <c r="BA23" s="50">
        <f>INDEX(Input!$1:$1048576,BA$10,$C23*2+6)</f>
        <v>2020</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19695</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1100</v>
      </c>
      <c r="CJ23" s="46" t="str">
        <f>INDEX(Input!$1:$1048576,CJ$10,$C23*2+6)</f>
        <v>N</v>
      </c>
      <c r="CK23" s="38" t="str">
        <f t="shared" si="23"/>
        <v>Market</v>
      </c>
      <c r="CL23" s="38" t="str">
        <f t="shared" si="24"/>
        <v>Market</v>
      </c>
      <c r="CM23" s="38" t="str">
        <f t="shared" si="25"/>
        <v>Market</v>
      </c>
      <c r="CN23" s="38" t="str">
        <f t="shared" si="26"/>
        <v>Market</v>
      </c>
      <c r="CO23" s="38" t="str">
        <f t="shared" si="27"/>
        <v>Market</v>
      </c>
      <c r="CP23" s="49">
        <f t="shared" si="28"/>
        <v>350</v>
      </c>
      <c r="CQ23" s="38">
        <f t="shared" si="29"/>
        <v>0</v>
      </c>
      <c r="CR23" s="38">
        <f t="shared" si="30"/>
        <v>0</v>
      </c>
      <c r="CS23" s="38">
        <f t="shared" si="31"/>
        <v>0</v>
      </c>
      <c r="CT23" s="38">
        <f t="shared" si="32"/>
        <v>0</v>
      </c>
      <c r="CU23" s="38">
        <f t="shared" si="33"/>
        <v>1.9E-2</v>
      </c>
      <c r="CV23" s="49">
        <f t="shared" si="34"/>
        <v>1159.75</v>
      </c>
      <c r="CW23" s="22" t="s">
        <v>122</v>
      </c>
      <c r="CX23" s="22" t="s">
        <v>122</v>
      </c>
      <c r="CY23" s="22" t="s">
        <v>122</v>
      </c>
      <c r="CZ23" s="22" t="s">
        <v>122</v>
      </c>
      <c r="DA23" s="22" t="s">
        <v>122</v>
      </c>
      <c r="DB23" s="502">
        <f t="shared" si="35"/>
        <v>500</v>
      </c>
      <c r="DC23" s="29">
        <v>0</v>
      </c>
      <c r="DD23" s="29">
        <v>0</v>
      </c>
      <c r="DE23" s="29">
        <v>0</v>
      </c>
      <c r="DF23" s="49">
        <v>0</v>
      </c>
      <c r="DG23" s="49">
        <v>0</v>
      </c>
      <c r="DH23" s="49">
        <v>0</v>
      </c>
      <c r="DI23" s="49">
        <v>0</v>
      </c>
      <c r="DJ23" s="49">
        <v>0</v>
      </c>
      <c r="DK23" s="29">
        <v>0</v>
      </c>
      <c r="DL23" s="29">
        <v>0</v>
      </c>
      <c r="DM23" s="49">
        <f>INDEX(Input!$1:$1048576,DM$10,$C23*2+6)</f>
        <v>20731.578947368424</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3.6453791525273456E-2</v>
      </c>
      <c r="DZ23" s="37">
        <v>0</v>
      </c>
      <c r="EA23" s="37">
        <v>0.64853788434791104</v>
      </c>
      <c r="EB23" s="37">
        <v>0</v>
      </c>
      <c r="EC23" s="37">
        <v>0</v>
      </c>
      <c r="ED23" s="37">
        <v>0</v>
      </c>
      <c r="EE23" s="37">
        <v>0</v>
      </c>
      <c r="EF23" s="37">
        <v>0</v>
      </c>
      <c r="EG23" s="37">
        <v>0</v>
      </c>
      <c r="EH23" s="37">
        <v>6.8895876125713703E-3</v>
      </c>
      <c r="EI23" s="37">
        <v>8.7208888864650433E-3</v>
      </c>
      <c r="EJ23" s="37">
        <v>0.12567610579483621</v>
      </c>
      <c r="EK23" s="37">
        <v>0.77737010926454353</v>
      </c>
      <c r="EL23" s="37">
        <v>8.1343308441584203E-2</v>
      </c>
      <c r="EM23" s="37">
        <v>0.10741484636085236</v>
      </c>
      <c r="EN23" s="37">
        <v>5.2837195966943536E-2</v>
      </c>
      <c r="EO23" s="37">
        <v>0.57483337737107565</v>
      </c>
      <c r="EP23" s="37">
        <v>0.26333627929020081</v>
      </c>
      <c r="EQ23" s="37">
        <v>6.4871428258303873E-2</v>
      </c>
      <c r="ER23" s="37">
        <v>4.4121719113476343E-2</v>
      </c>
      <c r="ES23" s="37">
        <v>0.20759347776596312</v>
      </c>
      <c r="ET23" s="37">
        <v>0.31500832412681551</v>
      </c>
      <c r="EU23" s="36">
        <v>1200</v>
      </c>
      <c r="EV23" s="36">
        <v>0</v>
      </c>
      <c r="EW23" s="36">
        <v>1200</v>
      </c>
      <c r="EX23" s="36">
        <v>0</v>
      </c>
      <c r="EY23" s="36">
        <v>2943.3369149743385</v>
      </c>
      <c r="EZ23" s="36">
        <v>1475.5</v>
      </c>
      <c r="FA23" s="36">
        <v>0</v>
      </c>
      <c r="FB23" s="36">
        <v>0</v>
      </c>
      <c r="FC23" s="36">
        <v>0</v>
      </c>
      <c r="FD23" s="36">
        <v>0</v>
      </c>
      <c r="FE23" s="36">
        <v>0</v>
      </c>
      <c r="FF23" s="36">
        <v>0</v>
      </c>
      <c r="FG23" s="36">
        <v>0</v>
      </c>
      <c r="FH23" s="36">
        <v>1154.3230689182321</v>
      </c>
      <c r="FI23" s="36">
        <v>1531.4299904380621</v>
      </c>
      <c r="FJ23" s="36">
        <v>2070.7205842538219</v>
      </c>
      <c r="FK23" s="36">
        <v>2635.3956133202905</v>
      </c>
      <c r="FL23" s="36">
        <v>2005.2147164707278</v>
      </c>
      <c r="FM23" s="36">
        <v>2493.3369149743385</v>
      </c>
      <c r="FN23" s="36">
        <v>0</v>
      </c>
      <c r="FO23" s="36">
        <v>0</v>
      </c>
      <c r="FP23" s="36">
        <v>0</v>
      </c>
      <c r="FQ23" s="36">
        <v>0</v>
      </c>
      <c r="FR23" s="36">
        <v>0</v>
      </c>
      <c r="FS23" s="36">
        <v>0</v>
      </c>
      <c r="FT23" s="37">
        <v>0.68499167587318455</v>
      </c>
      <c r="FU23" s="37">
        <v>0.10741484636085236</v>
      </c>
      <c r="FV23" s="37">
        <v>0.20759347776596312</v>
      </c>
      <c r="FW23" s="518">
        <v>1200</v>
      </c>
      <c r="FX23" s="518">
        <v>2943.3369149743385</v>
      </c>
      <c r="FY23" s="518">
        <v>1475.5</v>
      </c>
      <c r="FZ23" s="36">
        <v>2202.331475193394</v>
      </c>
      <c r="GA23" s="36">
        <v>1444.4522700016939</v>
      </c>
      <c r="GB23" s="36">
        <v>18250.547729998307</v>
      </c>
      <c r="GC23" s="37">
        <v>4.8391397220736806E-2</v>
      </c>
      <c r="GD23" s="37">
        <v>4.4557277608631096E-2</v>
      </c>
      <c r="GE23" s="37"/>
      <c r="GF23" s="37"/>
      <c r="GG23" s="37">
        <v>-7.9231430219227142E-2</v>
      </c>
      <c r="GH23" s="35">
        <v>2.0589864552002988</v>
      </c>
      <c r="GI23" s="36">
        <v>11009.838166668053</v>
      </c>
      <c r="GJ23" s="34">
        <v>0.51074630601039572</v>
      </c>
      <c r="GK23" s="34">
        <v>0.50829519786160959</v>
      </c>
      <c r="GL23" s="34">
        <v>0.48925369398960439</v>
      </c>
      <c r="GM23" s="33">
        <v>0.49170480213839041</v>
      </c>
      <c r="GN23" s="61"/>
      <c r="GO23" s="13">
        <v>338.16872463277008</v>
      </c>
      <c r="GP23" s="27">
        <v>315.27501390194027</v>
      </c>
      <c r="GQ23" s="27">
        <v>527.27910984145694</v>
      </c>
      <c r="GR23" s="27">
        <v>404.20319246551543</v>
      </c>
      <c r="GS23" s="27">
        <v>334.50205195691484</v>
      </c>
      <c r="GT23" s="27">
        <v>289.18266033348181</v>
      </c>
      <c r="GU23" s="27">
        <v>254.29573314828914</v>
      </c>
      <c r="GV23" s="29" t="s">
        <v>392</v>
      </c>
      <c r="GW23" s="27">
        <v>479.875</v>
      </c>
      <c r="GX23" s="27">
        <v>359.90625</v>
      </c>
      <c r="GY23" s="27">
        <v>287.92500000000001</v>
      </c>
      <c r="GZ23" s="27">
        <v>239.9375</v>
      </c>
      <c r="HA23" s="27">
        <v>219.80275574107543</v>
      </c>
      <c r="HB23" s="29">
        <v>247.02985998057312</v>
      </c>
      <c r="HC23" s="27">
        <v>218.56249999999994</v>
      </c>
      <c r="HD23" s="27">
        <v>192.26553362573094</v>
      </c>
      <c r="HE23" s="27">
        <v>196.55899122807017</v>
      </c>
      <c r="HF23" s="27">
        <v>183.58223684210526</v>
      </c>
      <c r="HG23" s="27">
        <v>179.29451754385963</v>
      </c>
      <c r="HH23" s="12">
        <v>193.65001334914936</v>
      </c>
      <c r="HI23" s="94"/>
      <c r="HJ23" s="24">
        <f>INDEX(Input!$1:$1048576,HJ$10,$C23*2+6)</f>
        <v>0.25389408099688471</v>
      </c>
      <c r="HK23" s="18">
        <f>INDEX(Input!$1:$1048576,HK$10,$C23*2+6)</f>
        <v>0.38110072689511942</v>
      </c>
      <c r="HL23" s="43">
        <f>INDEX(Input!$1:$1048576,HL$10,$C23*2+6)</f>
        <v>0.36500519210799587</v>
      </c>
      <c r="HM23" s="49">
        <f>IF(HL23&lt;FV24,TREND(Y23:Y24,FV23:FV24,HL23),TREND(Y24:Y25,FV24:FV25,HL23))</f>
        <v>3548.2475732369312</v>
      </c>
    </row>
    <row r="24" spans="1:221" s="26" customFormat="1" ht="15">
      <c r="A24" s="117">
        <f t="shared" ref="A24:A25" si="43">C24*1000+B24</f>
        <v>3002</v>
      </c>
      <c r="B24" s="117">
        <f t="shared" si="42"/>
        <v>2</v>
      </c>
      <c r="C24" s="117">
        <f t="shared" si="14"/>
        <v>3</v>
      </c>
      <c r="D24" s="117" t="s">
        <v>568</v>
      </c>
      <c r="E24" s="115">
        <f>INDEX(Input!$1:$1048576,E$10,$C24*2+6)</f>
        <v>750</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1.9E-2</v>
      </c>
      <c r="W24" s="383">
        <f>INDEX(Input!$1:$1048576,W$10,$C24*2+6)</f>
        <v>3.9000000000000007E-2</v>
      </c>
      <c r="X24" s="118" t="str">
        <f>INDEX(Input!$1:$1048576,X$10,$C24*2+6)</f>
        <v>Y</v>
      </c>
      <c r="Y24" s="520">
        <f>MIN(BX24*10%,4000)+Y23</f>
        <v>2954.25</v>
      </c>
      <c r="Z24" s="30">
        <f>INDEX(Input!$1:$1048576,Z$10,$C24*2+6)</f>
        <v>0</v>
      </c>
      <c r="AA24" s="115">
        <f>INDEX(Input!$1:$1048576,AA$10,$C24*2+6)</f>
        <v>0</v>
      </c>
      <c r="AB24" s="118">
        <f>INDEX(Input!$1:$1048576,AB$10,$C24*2+6)</f>
        <v>0.62</v>
      </c>
      <c r="AC24" s="115">
        <f>INDEX(Input!$1:$1048576,AC$10,$C24*2+6)</f>
        <v>1000</v>
      </c>
      <c r="AD24" s="118">
        <f>INDEX(Input!$1:$1048576,AD$10,$C24*2+6)</f>
        <v>0.35</v>
      </c>
      <c r="AE24" s="115">
        <f>INDEX(Input!$1:$1048576,AE$10,$C24*2+6)</f>
        <v>0</v>
      </c>
      <c r="AF24" s="118">
        <f>INDEX(Input!$1:$1048576,AF$10,$C24*2+6)</f>
        <v>0.97</v>
      </c>
      <c r="AG24" s="115">
        <f>INDEX(Input!$1:$1048576,AG$10,$C24*2+6)</f>
        <v>500</v>
      </c>
      <c r="AH24" s="118">
        <f>INDEX(Input!$1:$1048576,AH$10,$C24*2+6)</f>
        <v>1</v>
      </c>
      <c r="AI24" s="115">
        <f>INDEX(Input!$1:$1048576,AI$10,$C24*2+6)</f>
        <v>500</v>
      </c>
      <c r="AJ24" s="118">
        <f>INDEX(Input!$1:$1048576,AJ$10,$C24*2+6)</f>
        <v>0.35</v>
      </c>
      <c r="AK24" s="150">
        <f>INDEX(Input!$1:$1048576,AK$10,$C23*2+6)+(Y24-VLOOKUP($C24*1000+1,$A:$HH,Y$9,FALSE))</f>
        <v>7068.2109265464023</v>
      </c>
      <c r="AL24" s="150">
        <f>INDEX(Input!$1:$1048576,AL$10,$C23*2+6)-(Y24-VLOOKUP($C24*1000+1,$A:$HH,Y$9,FALSE))/36</f>
        <v>5044.0025932130693</v>
      </c>
      <c r="AM24" s="32" t="str">
        <f t="shared" ref="AM24:AM25" si="44">IF(K24="market","std",ROUND(K24*1000,0)/10)&amp;"/"&amp;IF(L24="market","std",ROUND(L24*1000,0)/10)&amp;"/"&amp;IF(M24="market","std",ROUND(M24*1000,0)/10)&amp;"/"&amp;IF(N24="market","std",ROUND(N24*1000,0)/10)&amp;IF(P24="N","","/"&amp;IF(O24="market","std",ROUND(O24*1000,0)/10))</f>
        <v>std/std/std/std</v>
      </c>
      <c r="AN24" s="32" t="str">
        <f t="shared" ref="AN24:AN25" si="45">"$"&amp;ROUND(Q24,0)&amp;" + "&amp;IF(S24="market","std",ROUND(S24*1000,0)/10)&amp;"/"&amp;IF(T24="market","std",ROUND(T24*1000,0)/10)&amp;"/"&amp;IF(U24="market","std",ROUND(U24*1000,0)/10)&amp;"/"&amp;IF(V24="market","std",ROUND(V24*1000,0)/10)&amp;IF(X24="N","","/"&amp;IF(W24="market","std",ROUND(W24*1000,0)/10))</f>
        <v>$0 + 0/0/0/1.9/3.9</v>
      </c>
      <c r="AO24" s="32" t="str">
        <f t="shared" ref="AO24:AO25" si="46">IF(S24="market","std",ROUND(S24*1000,0)/10)&amp;"/"&amp;IF(T24="market","std",ROUND(T24*1000,0)/10)&amp;"/"&amp;IF(U24="market","std",ROUND(U24*1000,0)/10)&amp;"/"&amp;IF(V24="market","std",ROUND(V24*1000,0)/10)&amp;IF(X24="N","","/"&amp;IF(W24="market","std",ROUND(W24*1000,0)/10))</f>
        <v>0/0/0/1.9/3.9</v>
      </c>
      <c r="AP24" s="32" t="str">
        <f t="shared" ref="AP24:AP25" si="47">IF(T24="market","std",ROUND(T24*1000,0)/10)&amp;"/"&amp;IF(U24="market","std",ROUND(U24*1000,0)/10)&amp;"/"&amp;IF(V24="market","std",ROUND(V24*1000,0)/10)&amp;IF(X24="N","","/"&amp;IF(W24="market","std",ROUND(W24*1000,0)/10))</f>
        <v>0/0/1.9/3.9</v>
      </c>
      <c r="AQ24" s="150">
        <f t="shared" si="19"/>
        <v>525</v>
      </c>
      <c r="AR24" s="32" t="str">
        <f t="shared" si="20"/>
        <v>0/1.9</v>
      </c>
      <c r="AS24" s="302"/>
      <c r="AT24" s="3">
        <f t="shared" si="21"/>
        <v>8</v>
      </c>
      <c r="AU24" s="41" t="s">
        <v>121</v>
      </c>
      <c r="AV24" s="41" t="s">
        <v>116</v>
      </c>
      <c r="AW24" s="41" t="str">
        <f>INDEX(Input!$1:$1048576,AW$10,$C24*2+6)</f>
        <v>Kia</v>
      </c>
      <c r="AX24" s="41" t="str">
        <f>INDEX(Input!$1:$1048576,AX$10,$C24*2+6)</f>
        <v>Kia-LR - L3</v>
      </c>
      <c r="AY24" s="41" t="str">
        <f>IF(D24="Skip","",INDEX(Input!$1:$1048576,AY$10,$C24*2+6))</f>
        <v>Compact Conventional/Sporty Car (43)</v>
      </c>
      <c r="AZ24" s="41" t="str">
        <f>INDEX(Input!$1:$1048576,AZ$10,$C24*2+6)</f>
        <v>Kia Forte</v>
      </c>
      <c r="BA24" s="3">
        <f>INDEX(Input!$1:$1048576,BA$10,$C24*2+6)</f>
        <v>2020</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19695</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1100</v>
      </c>
      <c r="CJ24" s="16" t="str">
        <f>INDEX(Input!$1:$1048576,CJ$10,$C24*2+6)</f>
        <v>N</v>
      </c>
      <c r="CK24" s="1" t="str">
        <f t="shared" si="23"/>
        <v>Market</v>
      </c>
      <c r="CL24" s="1" t="str">
        <f t="shared" si="24"/>
        <v>Market</v>
      </c>
      <c r="CM24" s="1" t="str">
        <f t="shared" si="25"/>
        <v>Market</v>
      </c>
      <c r="CN24" s="1" t="str">
        <f t="shared" si="26"/>
        <v>Market</v>
      </c>
      <c r="CO24" s="1" t="str">
        <f t="shared" si="27"/>
        <v>Market</v>
      </c>
      <c r="CP24" s="304">
        <f t="shared" si="28"/>
        <v>350</v>
      </c>
      <c r="CQ24" s="1">
        <f t="shared" si="29"/>
        <v>0</v>
      </c>
      <c r="CR24" s="1">
        <f t="shared" si="30"/>
        <v>0</v>
      </c>
      <c r="CS24" s="1">
        <f t="shared" si="31"/>
        <v>0</v>
      </c>
      <c r="CT24" s="1">
        <f t="shared" si="32"/>
        <v>0</v>
      </c>
      <c r="CU24" s="1">
        <f t="shared" si="33"/>
        <v>1.9E-2</v>
      </c>
      <c r="CV24" s="304">
        <f t="shared" si="34"/>
        <v>3129.25</v>
      </c>
      <c r="CW24" s="20" t="s">
        <v>122</v>
      </c>
      <c r="CX24" s="20" t="s">
        <v>122</v>
      </c>
      <c r="CY24" s="20" t="s">
        <v>122</v>
      </c>
      <c r="CZ24" s="20" t="s">
        <v>122</v>
      </c>
      <c r="DA24" s="20" t="s">
        <v>122</v>
      </c>
      <c r="DB24" s="503">
        <f t="shared" si="35"/>
        <v>500</v>
      </c>
      <c r="DC24" s="127">
        <v>0</v>
      </c>
      <c r="DD24" s="127">
        <v>0</v>
      </c>
      <c r="DE24" s="127">
        <v>0</v>
      </c>
      <c r="DF24" s="127">
        <v>0</v>
      </c>
      <c r="DG24" s="127">
        <v>0</v>
      </c>
      <c r="DH24" s="127">
        <v>0</v>
      </c>
      <c r="DI24" s="127">
        <v>0</v>
      </c>
      <c r="DJ24" s="127">
        <v>0</v>
      </c>
      <c r="DK24" s="127">
        <v>0</v>
      </c>
      <c r="DL24" s="127">
        <v>0</v>
      </c>
      <c r="DM24" s="304">
        <f>INDEX(Input!$1:$1048576,DM$10,$C24*2+6)</f>
        <v>20731.578947368424</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3.1492579982359201E-2</v>
      </c>
      <c r="DZ24" s="7">
        <v>0</v>
      </c>
      <c r="EA24" s="7">
        <v>0.56087242185036401</v>
      </c>
      <c r="EB24" s="7">
        <v>0</v>
      </c>
      <c r="EC24" s="7">
        <v>0</v>
      </c>
      <c r="ED24" s="7">
        <v>0</v>
      </c>
      <c r="EE24" s="7">
        <v>0</v>
      </c>
      <c r="EF24" s="7">
        <v>0</v>
      </c>
      <c r="EG24" s="7">
        <v>0</v>
      </c>
      <c r="EH24" s="7">
        <v>6.8614330159740408E-3</v>
      </c>
      <c r="EI24" s="7">
        <v>8.7075948471595759E-3</v>
      </c>
      <c r="EJ24" s="7">
        <v>0.12490516138205301</v>
      </c>
      <c r="EK24" s="7">
        <v>0.77782251598135321</v>
      </c>
      <c r="EL24" s="7">
        <v>8.1703294773460139E-2</v>
      </c>
      <c r="EM24" s="7">
        <v>9.1501933544706385E-2</v>
      </c>
      <c r="EN24" s="7">
        <v>5.8229216605983736E-2</v>
      </c>
      <c r="EO24" s="7">
        <v>0.5687371769343933</v>
      </c>
      <c r="EP24" s="7">
        <v>0.27310852957103221</v>
      </c>
      <c r="EQ24" s="7">
        <v>5.9317318891783488E-2</v>
      </c>
      <c r="ER24" s="7">
        <v>4.0607757996807457E-2</v>
      </c>
      <c r="ES24" s="7">
        <v>0.31613306462257024</v>
      </c>
      <c r="ET24" s="7">
        <v>0.40763499816727677</v>
      </c>
      <c r="EU24" s="6">
        <v>1200</v>
      </c>
      <c r="EV24" s="6">
        <v>0</v>
      </c>
      <c r="EW24" s="6">
        <v>1200</v>
      </c>
      <c r="EX24" s="6">
        <v>0</v>
      </c>
      <c r="EY24" s="6">
        <v>2943.6018183195706</v>
      </c>
      <c r="EZ24" s="6">
        <v>3445</v>
      </c>
      <c r="FA24" s="6">
        <v>0</v>
      </c>
      <c r="FB24" s="6">
        <v>0</v>
      </c>
      <c r="FC24" s="6">
        <v>0</v>
      </c>
      <c r="FD24" s="6">
        <v>0</v>
      </c>
      <c r="FE24" s="6">
        <v>0</v>
      </c>
      <c r="FF24" s="6">
        <v>0</v>
      </c>
      <c r="FG24" s="6">
        <v>0</v>
      </c>
      <c r="FH24" s="6">
        <v>1154.3305941112922</v>
      </c>
      <c r="FI24" s="6">
        <v>1531.4299904380612</v>
      </c>
      <c r="FJ24" s="6">
        <v>2070.7205842538215</v>
      </c>
      <c r="FK24" s="6">
        <v>2635.3956133202923</v>
      </c>
      <c r="FL24" s="6">
        <v>2005.2147164707276</v>
      </c>
      <c r="FM24" s="6">
        <v>2493.6018183195706</v>
      </c>
      <c r="FN24" s="6">
        <v>0</v>
      </c>
      <c r="FO24" s="6">
        <v>0</v>
      </c>
      <c r="FP24" s="6">
        <v>0</v>
      </c>
      <c r="FQ24" s="6">
        <v>0</v>
      </c>
      <c r="FR24" s="6">
        <v>0</v>
      </c>
      <c r="FS24" s="6">
        <v>0</v>
      </c>
      <c r="FT24" s="7">
        <v>0.59236500183272323</v>
      </c>
      <c r="FU24" s="7">
        <v>9.1501933544706385E-2</v>
      </c>
      <c r="FV24" s="7">
        <v>0.31613306462257024</v>
      </c>
      <c r="FW24" s="519">
        <v>1199.9999999999998</v>
      </c>
      <c r="FX24" s="519">
        <v>2943.6018183195706</v>
      </c>
      <c r="FY24" s="519">
        <v>3445</v>
      </c>
      <c r="FZ24" s="6">
        <v>2202.331475193394</v>
      </c>
      <c r="GA24" s="6">
        <v>2069.2616677859764</v>
      </c>
      <c r="GB24" s="6">
        <v>17625.738332214023</v>
      </c>
      <c r="GC24" s="7">
        <v>4.8391397220736806E-2</v>
      </c>
      <c r="GD24" s="7">
        <v>4.7698271485244172E-2</v>
      </c>
      <c r="GE24" s="7"/>
      <c r="GF24" s="7"/>
      <c r="GG24" s="7">
        <v>-1.4323325535134886E-2</v>
      </c>
      <c r="GH24" s="42">
        <v>2.1199241353884828</v>
      </c>
      <c r="GI24" s="6">
        <v>11359.688467135013</v>
      </c>
      <c r="GJ24" s="14">
        <v>0.51074630601039539</v>
      </c>
      <c r="GK24" s="14">
        <v>0.50829519786160982</v>
      </c>
      <c r="GL24" s="14">
        <v>0.48925369398960428</v>
      </c>
      <c r="GM24" s="14">
        <v>0.49170480213839013</v>
      </c>
      <c r="GO24" s="5">
        <v>338.16872463277008</v>
      </c>
      <c r="GP24" s="5">
        <v>315.27501390194027</v>
      </c>
      <c r="GQ24" s="5">
        <v>527.27910984145694</v>
      </c>
      <c r="GR24" s="5">
        <v>404.20319246551543</v>
      </c>
      <c r="GS24" s="5">
        <v>334.50205195691484</v>
      </c>
      <c r="GT24" s="5">
        <v>289.18266033348181</v>
      </c>
      <c r="GU24" s="5">
        <v>254.29573314828914</v>
      </c>
      <c r="GV24" s="39" t="s">
        <v>392</v>
      </c>
      <c r="GW24" s="5">
        <v>479.875</v>
      </c>
      <c r="GX24" s="5">
        <v>359.90625</v>
      </c>
      <c r="GY24" s="5">
        <v>287.92500000000001</v>
      </c>
      <c r="GZ24" s="5">
        <v>239.9375</v>
      </c>
      <c r="HA24" s="5">
        <v>219.80275574107543</v>
      </c>
      <c r="HB24" s="39">
        <v>246.97726584003658</v>
      </c>
      <c r="HC24" s="5">
        <v>132.39687499999997</v>
      </c>
      <c r="HD24" s="5">
        <v>133.45407529239762</v>
      </c>
      <c r="HE24" s="5">
        <v>141.95586622807014</v>
      </c>
      <c r="HF24" s="5">
        <v>138.03754934210525</v>
      </c>
      <c r="HG24" s="5">
        <v>141.54576754385965</v>
      </c>
      <c r="HH24" s="39">
        <v>136.31489184130828</v>
      </c>
      <c r="HI24" s="16"/>
      <c r="HJ24" s="1">
        <f>INDEX(Input!$1:$1048576,HJ$10,$C24*2+6)</f>
        <v>0.25389408099688471</v>
      </c>
      <c r="HK24" s="1">
        <f>INDEX(Input!$1:$1048576,HK$10,$C24*2+6)</f>
        <v>0.38110072689511942</v>
      </c>
      <c r="HL24" s="1">
        <f>INDEX(Input!$1:$1048576,HL$10,$C24*2+6)</f>
        <v>0.36500519210799587</v>
      </c>
      <c r="HM24" s="19"/>
    </row>
    <row r="25" spans="1:221" s="26" customFormat="1" ht="15.75" thickBot="1">
      <c r="A25" s="117">
        <f t="shared" si="43"/>
        <v>3003</v>
      </c>
      <c r="B25" s="117">
        <f t="shared" si="42"/>
        <v>3</v>
      </c>
      <c r="C25" s="117">
        <f t="shared" si="14"/>
        <v>3</v>
      </c>
      <c r="D25" s="117" t="s">
        <v>568</v>
      </c>
      <c r="E25" s="115">
        <f>INDEX(Input!$1:$1048576,E$10,$C25*2+6)</f>
        <v>750</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1.9E-2</v>
      </c>
      <c r="W25" s="383">
        <f>INDEX(Input!$1:$1048576,W$10,$C25*2+6)</f>
        <v>3.9000000000000007E-2</v>
      </c>
      <c r="X25" s="118" t="str">
        <f>INDEX(Input!$1:$1048576,X$10,$C25*2+6)</f>
        <v>Y</v>
      </c>
      <c r="Y25" s="520">
        <f>MIN(BX25*10%,4000)+Y24</f>
        <v>4923.75</v>
      </c>
      <c r="Z25" s="30">
        <f>INDEX(Input!$1:$1048576,Z$10,$C25*2+6)</f>
        <v>0</v>
      </c>
      <c r="AA25" s="115">
        <f>INDEX(Input!$1:$1048576,AA$10,$C25*2+6)</f>
        <v>0</v>
      </c>
      <c r="AB25" s="118">
        <f>INDEX(Input!$1:$1048576,AB$10,$C25*2+6)</f>
        <v>0.62</v>
      </c>
      <c r="AC25" s="115">
        <f>INDEX(Input!$1:$1048576,AC$10,$C25*2+6)</f>
        <v>1000</v>
      </c>
      <c r="AD25" s="118">
        <f>INDEX(Input!$1:$1048576,AD$10,$C25*2+6)</f>
        <v>0.35</v>
      </c>
      <c r="AE25" s="115">
        <f>INDEX(Input!$1:$1048576,AE$10,$C25*2+6)</f>
        <v>0</v>
      </c>
      <c r="AF25" s="118">
        <f>INDEX(Input!$1:$1048576,AF$10,$C25*2+6)</f>
        <v>0.97</v>
      </c>
      <c r="AG25" s="115">
        <f>INDEX(Input!$1:$1048576,AG$10,$C25*2+6)</f>
        <v>500</v>
      </c>
      <c r="AH25" s="118">
        <f>INDEX(Input!$1:$1048576,AH$10,$C25*2+6)</f>
        <v>1</v>
      </c>
      <c r="AI25" s="115">
        <f>INDEX(Input!$1:$1048576,AI$10,$C25*2+6)</f>
        <v>500</v>
      </c>
      <c r="AJ25" s="118">
        <f>INDEX(Input!$1:$1048576,AJ$10,$C25*2+6)</f>
        <v>0.35</v>
      </c>
      <c r="AK25" s="150">
        <f>INDEX(Input!$1:$1048576,AK$10,$C24*2+6)+(Y25-VLOOKUP($C25*1000+1,$A:$HH,Y$9,FALSE))</f>
        <v>9037.7109265464023</v>
      </c>
      <c r="AL25" s="150">
        <f>INDEX(Input!$1:$1048576,AL$10,$C24*2+6)-(Y25-VLOOKUP($C25*1000+1,$A:$HH,Y$9,FALSE))/36</f>
        <v>4989.2942598797354</v>
      </c>
      <c r="AM25" s="32" t="str">
        <f t="shared" si="44"/>
        <v>std/std/std/std</v>
      </c>
      <c r="AN25" s="32" t="str">
        <f t="shared" si="45"/>
        <v>$0 + 0/0/0/1.9/3.9</v>
      </c>
      <c r="AO25" s="32" t="str">
        <f t="shared" si="46"/>
        <v>0/0/0/1.9/3.9</v>
      </c>
      <c r="AP25" s="32" t="str">
        <f t="shared" si="47"/>
        <v>0/0/1.9/3.9</v>
      </c>
      <c r="AQ25" s="150">
        <f t="shared" si="19"/>
        <v>525</v>
      </c>
      <c r="AR25" s="32" t="str">
        <f t="shared" si="20"/>
        <v>0/1.9</v>
      </c>
      <c r="AS25" s="302"/>
      <c r="AT25" s="3">
        <f t="shared" si="21"/>
        <v>9</v>
      </c>
      <c r="AU25" s="41" t="s">
        <v>121</v>
      </c>
      <c r="AV25" s="41" t="s">
        <v>116</v>
      </c>
      <c r="AW25" s="41" t="str">
        <f>INDEX(Input!$1:$1048576,AW$10,$C25*2+6)</f>
        <v>Kia</v>
      </c>
      <c r="AX25" s="41" t="str">
        <f>INDEX(Input!$1:$1048576,AX$10,$C25*2+6)</f>
        <v>Kia-LR - L3</v>
      </c>
      <c r="AY25" s="41" t="str">
        <f>IF(D25="Skip","",INDEX(Input!$1:$1048576,AY$10,$C25*2+6))</f>
        <v>Compact Conventional/Sporty Car (43)</v>
      </c>
      <c r="AZ25" s="41" t="str">
        <f>INDEX(Input!$1:$1048576,AZ$10,$C25*2+6)</f>
        <v>Kia Forte</v>
      </c>
      <c r="BA25" s="3">
        <f>INDEX(Input!$1:$1048576,BA$10,$C25*2+6)</f>
        <v>2020</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19695</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1100</v>
      </c>
      <c r="CJ25" s="16" t="str">
        <f>INDEX(Input!$1:$1048576,CJ$10,$C25*2+6)</f>
        <v>N</v>
      </c>
      <c r="CK25" s="1" t="str">
        <f t="shared" si="23"/>
        <v>Market</v>
      </c>
      <c r="CL25" s="1" t="str">
        <f t="shared" si="24"/>
        <v>Market</v>
      </c>
      <c r="CM25" s="1" t="str">
        <f t="shared" si="25"/>
        <v>Market</v>
      </c>
      <c r="CN25" s="1" t="str">
        <f t="shared" si="26"/>
        <v>Market</v>
      </c>
      <c r="CO25" s="1" t="str">
        <f t="shared" si="27"/>
        <v>Market</v>
      </c>
      <c r="CP25" s="304">
        <f t="shared" si="28"/>
        <v>350</v>
      </c>
      <c r="CQ25" s="1">
        <f t="shared" si="29"/>
        <v>0</v>
      </c>
      <c r="CR25" s="1">
        <f t="shared" si="30"/>
        <v>0</v>
      </c>
      <c r="CS25" s="1">
        <f t="shared" si="31"/>
        <v>0</v>
      </c>
      <c r="CT25" s="1">
        <f t="shared" si="32"/>
        <v>0</v>
      </c>
      <c r="CU25" s="1">
        <f t="shared" si="33"/>
        <v>1.9E-2</v>
      </c>
      <c r="CV25" s="304">
        <f t="shared" si="34"/>
        <v>5098.75</v>
      </c>
      <c r="CW25" s="20" t="s">
        <v>122</v>
      </c>
      <c r="CX25" s="20" t="s">
        <v>122</v>
      </c>
      <c r="CY25" s="20" t="s">
        <v>122</v>
      </c>
      <c r="CZ25" s="20" t="s">
        <v>122</v>
      </c>
      <c r="DA25" s="20" t="s">
        <v>122</v>
      </c>
      <c r="DB25" s="503">
        <f t="shared" si="35"/>
        <v>500</v>
      </c>
      <c r="DC25" s="127">
        <v>0</v>
      </c>
      <c r="DD25" s="127">
        <v>0</v>
      </c>
      <c r="DE25" s="127">
        <v>0</v>
      </c>
      <c r="DF25" s="127">
        <v>0</v>
      </c>
      <c r="DG25" s="127">
        <v>0</v>
      </c>
      <c r="DH25" s="127">
        <v>0</v>
      </c>
      <c r="DI25" s="127">
        <v>0</v>
      </c>
      <c r="DJ25" s="127">
        <v>0</v>
      </c>
      <c r="DK25" s="127">
        <v>0</v>
      </c>
      <c r="DL25" s="127">
        <v>0</v>
      </c>
      <c r="DM25" s="304">
        <f>INDEX(Input!$1:$1048576,DM$10,$C25*2+6)</f>
        <v>20731.578947368424</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2.4069301126822928E-2</v>
      </c>
      <c r="DZ25" s="7">
        <v>0</v>
      </c>
      <c r="EA25" s="7">
        <v>0.42939273523481469</v>
      </c>
      <c r="EB25" s="7">
        <v>0</v>
      </c>
      <c r="EC25" s="7">
        <v>0</v>
      </c>
      <c r="ED25" s="7">
        <v>0</v>
      </c>
      <c r="EE25" s="7">
        <v>0</v>
      </c>
      <c r="EF25" s="7">
        <v>0</v>
      </c>
      <c r="EG25" s="7">
        <v>0</v>
      </c>
      <c r="EH25" s="7">
        <v>6.8149964335294522E-3</v>
      </c>
      <c r="EI25" s="7">
        <v>8.6856684185532846E-3</v>
      </c>
      <c r="EJ25" s="7">
        <v>0.12363360973112998</v>
      </c>
      <c r="EK25" s="7">
        <v>0.77856868976264004</v>
      </c>
      <c r="EL25" s="7">
        <v>8.2297035654147033E-2</v>
      </c>
      <c r="EM25" s="7">
        <v>6.836104661750543E-2</v>
      </c>
      <c r="EN25" s="7">
        <v>6.7351922702522715E-2</v>
      </c>
      <c r="EO25" s="7">
        <v>0.56069986264805582</v>
      </c>
      <c r="EP25" s="7">
        <v>0.28366962935553863</v>
      </c>
      <c r="EQ25" s="7">
        <v>5.2376534001958741E-2</v>
      </c>
      <c r="ER25" s="7">
        <v>3.5902051291923913E-2</v>
      </c>
      <c r="ES25" s="7">
        <v>0.47817691702085696</v>
      </c>
      <c r="ET25" s="7">
        <v>0.54653796363836238</v>
      </c>
      <c r="EU25" s="6">
        <v>1200</v>
      </c>
      <c r="EV25" s="6">
        <v>0</v>
      </c>
      <c r="EW25" s="6">
        <v>1200</v>
      </c>
      <c r="EX25" s="6">
        <v>0</v>
      </c>
      <c r="EY25" s="6">
        <v>2944.038734756577</v>
      </c>
      <c r="EZ25" s="6">
        <v>5414.5</v>
      </c>
      <c r="FA25" s="6">
        <v>0</v>
      </c>
      <c r="FB25" s="6">
        <v>0</v>
      </c>
      <c r="FC25" s="6">
        <v>0</v>
      </c>
      <c r="FD25" s="6">
        <v>0</v>
      </c>
      <c r="FE25" s="6">
        <v>0</v>
      </c>
      <c r="FF25" s="6">
        <v>0</v>
      </c>
      <c r="FG25" s="6">
        <v>0</v>
      </c>
      <c r="FH25" s="6">
        <v>1154.3431415817374</v>
      </c>
      <c r="FI25" s="6">
        <v>1531.4299904380623</v>
      </c>
      <c r="FJ25" s="6">
        <v>2070.7205842538219</v>
      </c>
      <c r="FK25" s="6">
        <v>2635.3956133202919</v>
      </c>
      <c r="FL25" s="6">
        <v>2005.2147164707264</v>
      </c>
      <c r="FM25" s="6">
        <v>2494.038734756577</v>
      </c>
      <c r="FN25" s="6">
        <v>0</v>
      </c>
      <c r="FO25" s="6">
        <v>0</v>
      </c>
      <c r="FP25" s="6">
        <v>0</v>
      </c>
      <c r="FQ25" s="6">
        <v>0</v>
      </c>
      <c r="FR25" s="6">
        <v>0</v>
      </c>
      <c r="FS25" s="6">
        <v>0</v>
      </c>
      <c r="FT25" s="7">
        <v>0.45346203636163762</v>
      </c>
      <c r="FU25" s="7">
        <v>6.836104661750543E-2</v>
      </c>
      <c r="FV25" s="7">
        <v>0.47817691702085696</v>
      </c>
      <c r="FW25" s="519">
        <v>1200</v>
      </c>
      <c r="FX25" s="519">
        <v>2944.038734756577</v>
      </c>
      <c r="FY25" s="519">
        <v>5414.5</v>
      </c>
      <c r="FZ25" s="6">
        <v>2202.331475193394</v>
      </c>
      <c r="GA25" s="6">
        <v>3334.5009300338311</v>
      </c>
      <c r="GB25" s="6">
        <v>16360.499069966168</v>
      </c>
      <c r="GC25" s="7">
        <v>4.8391397220736806E-2</v>
      </c>
      <c r="GD25" s="7">
        <v>5.4058601523028216E-2</v>
      </c>
      <c r="GE25" s="7"/>
      <c r="GF25" s="7"/>
      <c r="GG25" s="7">
        <v>0.11711181383005995</v>
      </c>
      <c r="GH25" s="42">
        <v>2.0372543734701809</v>
      </c>
      <c r="GI25" s="6">
        <v>13001.924034617621</v>
      </c>
      <c r="GJ25" s="14">
        <v>0.51074630601039561</v>
      </c>
      <c r="GK25" s="14">
        <v>0.5082951978616097</v>
      </c>
      <c r="GL25" s="14">
        <v>0.48925369398960433</v>
      </c>
      <c r="GM25" s="14">
        <v>0.4917048021383903</v>
      </c>
      <c r="GO25" s="5">
        <v>338.16872463277008</v>
      </c>
      <c r="GP25" s="5">
        <v>315.27501390194027</v>
      </c>
      <c r="GQ25" s="5">
        <v>527.27910984145694</v>
      </c>
      <c r="GR25" s="5">
        <v>404.20319246551543</v>
      </c>
      <c r="GS25" s="5">
        <v>334.50205195691484</v>
      </c>
      <c r="GT25" s="5">
        <v>289.18266033348181</v>
      </c>
      <c r="GU25" s="5">
        <v>254.29573314828914</v>
      </c>
      <c r="GV25" s="39" t="s">
        <v>392</v>
      </c>
      <c r="GW25" s="5">
        <v>479.875</v>
      </c>
      <c r="GX25" s="5">
        <v>359.90625</v>
      </c>
      <c r="GY25" s="5">
        <v>287.92500000000001</v>
      </c>
      <c r="GZ25" s="5">
        <v>239.9375</v>
      </c>
      <c r="HA25" s="5">
        <v>219.80275574107543</v>
      </c>
      <c r="HB25" s="39">
        <v>246.89052007066698</v>
      </c>
      <c r="HC25" s="5">
        <v>46.231249999999967</v>
      </c>
      <c r="HD25" s="5">
        <v>74.642616959064284</v>
      </c>
      <c r="HE25" s="5">
        <v>87.352741228070158</v>
      </c>
      <c r="HF25" s="5">
        <v>92.492861842105242</v>
      </c>
      <c r="HG25" s="5">
        <v>103.79701754385964</v>
      </c>
      <c r="HH25" s="39">
        <v>78.316169751456599</v>
      </c>
      <c r="HI25" s="16"/>
      <c r="HJ25" s="1">
        <f>INDEX(Input!$1:$1048576,HJ$10,$C25*2+6)</f>
        <v>0.25389408099688471</v>
      </c>
      <c r="HK25" s="1">
        <f>INDEX(Input!$1:$1048576,HK$10,$C25*2+6)</f>
        <v>0.38110072689511942</v>
      </c>
      <c r="HL25" s="1">
        <f>INDEX(Input!$1:$1048576,HL$10,$C25*2+6)</f>
        <v>0.36500519210799587</v>
      </c>
      <c r="HM25" s="19"/>
    </row>
    <row r="26" spans="1:221" s="60" customFormat="1" ht="15.75" thickBot="1">
      <c r="A26" s="31">
        <f>C26*1000+B26</f>
        <v>4001</v>
      </c>
      <c r="B26" s="31">
        <f t="shared" ref="B26:B28" si="48">IF(D26="Baseline1",1,B25+1)</f>
        <v>1</v>
      </c>
      <c r="C26" s="508">
        <v>4</v>
      </c>
      <c r="D26" s="31" t="s">
        <v>566</v>
      </c>
      <c r="E26" s="365">
        <f>INDEX(Input!$1:$1048576,E$10,$C26*2+MIN($B26,2)+5)</f>
        <v>750</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1.8999999999999996E-2</v>
      </c>
      <c r="W26" s="38">
        <f>INDEX(Input!$1:$1048576,W$10,$C26*2+MIN($B26,2)+5)</f>
        <v>3.9E-2</v>
      </c>
      <c r="X26" s="367" t="str">
        <f>INDEX(Input!$1:$1048576,X$10,$C26*2+MIN($B26,2)+5)</f>
        <v>Y</v>
      </c>
      <c r="Y26" s="517">
        <f>MIN(BX26*5%,2000)</f>
        <v>984.75</v>
      </c>
      <c r="Z26" s="49">
        <f>INDEX(Input!$1:$1048576,Z$10,$C26*2+MIN($B26,2)+5)</f>
        <v>0</v>
      </c>
      <c r="AA26" s="49">
        <f>INDEX(Input!$1:$1048576,AA$10,$C26*2+MIN($B26,2)+5)</f>
        <v>0</v>
      </c>
      <c r="AB26" s="367">
        <f>INDEX(Input!$1:$1048576,AB$10,$C26*2+MIN($B26,2)+5)</f>
        <v>1</v>
      </c>
      <c r="AC26" s="49">
        <f>INDEX(Input!$1:$1048576,AC$10,$C26*2+MIN($B26,2)+5)</f>
        <v>1000</v>
      </c>
      <c r="AD26" s="367">
        <f>INDEX(Input!$1:$1048576,AD$10,$C26*2+MIN($B26,2)+5)</f>
        <v>0.35</v>
      </c>
      <c r="AE26" s="49">
        <f>INDEX(Input!$1:$1048576,AE$10,$C26*2+MIN($B26,2)+5)</f>
        <v>0</v>
      </c>
      <c r="AF26" s="367">
        <f>INDEX(Input!$1:$1048576,AF$10,$C26*2+MIN($B26,2)+5)</f>
        <v>1</v>
      </c>
      <c r="AG26" s="49">
        <f>INDEX(Input!$1:$1048576,AG$10,$C26*2+MIN($B26,2)+5)</f>
        <v>500</v>
      </c>
      <c r="AH26" s="367">
        <f>INDEX(Input!$1:$1048576,AH$10,$C26*2+MIN($B26,2)+5)</f>
        <v>1</v>
      </c>
      <c r="AI26" s="49">
        <f>INDEX(Input!$1:$1048576,AI$10,$C26*2+MIN($B26,2)+5)</f>
        <v>500</v>
      </c>
      <c r="AJ26" s="367">
        <f>INDEX(Input!$1:$1048576,AJ$10,$C26*2+MIN($B26,2)+5)</f>
        <v>0.35</v>
      </c>
      <c r="AK26" s="298">
        <f>INDEX(Input!$1:$1048576,AK$10,$C26*2+MIN($B26,2)+5)</f>
        <v>4738.7109265464023</v>
      </c>
      <c r="AL26" s="49">
        <f>INDEX(Input!$1:$1048576,AL$10,$C26*2+MIN($B26,2)+5)</f>
        <v>4738.7109265464023</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+ 0/0/0/1.9/3.9</v>
      </c>
      <c r="AO26" s="44" t="str">
        <f>IF(S26="market","std",ROUND(S26*1000,0)/10)&amp;"/"&amp;IF(T26="market","std",ROUND(T26*1000,0)/10)&amp;"/"&amp;IF(U26="market","std",ROUND(U26*1000,0)/10)&amp;"/"&amp;IF(V26="market","std",ROUND(V26*1000,0)/10)&amp;IF(X26="N","","/"&amp;IF(W26="market","std",ROUND(W26*1000,0)/10))</f>
        <v>0/0/0/1.9/3.9</v>
      </c>
      <c r="AP26" s="44" t="str">
        <f>IF(T26="market","std",ROUND(T26*1000,0)/10)&amp;"/"&amp;IF(U26="market","std",ROUND(U26*1000,0)/10)&amp;"/"&amp;IF(V26="market","std",ROUND(V26*1000,0)/10)&amp;IF(X26="N","","/"&amp;IF(W26="market","std",ROUND(W26*1000,0)/10))</f>
        <v>0/0/1.9/3.9</v>
      </c>
      <c r="AQ26" s="49">
        <f t="shared" si="19"/>
        <v>525</v>
      </c>
      <c r="AR26" s="44" t="str">
        <f t="shared" si="20"/>
        <v>0/1.9</v>
      </c>
      <c r="AS26" s="368"/>
      <c r="AT26" s="50">
        <f t="shared" si="21"/>
        <v>10</v>
      </c>
      <c r="AU26" s="45" t="s">
        <v>121</v>
      </c>
      <c r="AV26" s="45" t="s">
        <v>116</v>
      </c>
      <c r="AW26" s="45" t="str">
        <f>INDEX(Input!$1:$1048576,AW$10,$C26*2+6)</f>
        <v>Kia</v>
      </c>
      <c r="AX26" s="45" t="str">
        <f>INDEX(Input!$1:$1048576,AX$10,$C26*2+6)</f>
        <v>Kia-LR - R1</v>
      </c>
      <c r="AY26" s="10" t="str">
        <f>IF(D26="Skip","",INDEX(Input!$1:$1048576,AY$10,$C26*2+6))</f>
        <v>Compact Conventional/Sporty Car (43)</v>
      </c>
      <c r="AZ26" s="45" t="str">
        <f>INDEX(Input!$1:$1048576,AZ$10,$C26*2+6)</f>
        <v>Kia Forte</v>
      </c>
      <c r="BA26" s="50">
        <f>INDEX(Input!$1:$1048576,BA$10,$C26*2+6)</f>
        <v>2020</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19695</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1100</v>
      </c>
      <c r="CJ26" s="46" t="str">
        <f>INDEX(Input!$1:$1048576,CJ$10,$C26*2+6)</f>
        <v>N</v>
      </c>
      <c r="CK26" s="38" t="str">
        <f t="shared" si="23"/>
        <v>Market</v>
      </c>
      <c r="CL26" s="38" t="str">
        <f t="shared" si="24"/>
        <v>Market</v>
      </c>
      <c r="CM26" s="38" t="str">
        <f t="shared" si="25"/>
        <v>Market</v>
      </c>
      <c r="CN26" s="38" t="str">
        <f t="shared" si="26"/>
        <v>Market</v>
      </c>
      <c r="CO26" s="38" t="str">
        <f t="shared" si="27"/>
        <v>Market</v>
      </c>
      <c r="CP26" s="49">
        <f t="shared" si="28"/>
        <v>350</v>
      </c>
      <c r="CQ26" s="38">
        <f t="shared" si="29"/>
        <v>0</v>
      </c>
      <c r="CR26" s="38">
        <f t="shared" si="30"/>
        <v>0</v>
      </c>
      <c r="CS26" s="38">
        <f t="shared" si="31"/>
        <v>0</v>
      </c>
      <c r="CT26" s="38">
        <f t="shared" si="32"/>
        <v>0</v>
      </c>
      <c r="CU26" s="38">
        <f t="shared" si="33"/>
        <v>1.8999999999999996E-2</v>
      </c>
      <c r="CV26" s="49">
        <f t="shared" si="34"/>
        <v>1159.75</v>
      </c>
      <c r="CW26" s="22" t="s">
        <v>122</v>
      </c>
      <c r="CX26" s="22" t="s">
        <v>122</v>
      </c>
      <c r="CY26" s="22" t="s">
        <v>122</v>
      </c>
      <c r="CZ26" s="22" t="s">
        <v>122</v>
      </c>
      <c r="DA26" s="22" t="s">
        <v>122</v>
      </c>
      <c r="DB26" s="502">
        <f t="shared" si="35"/>
        <v>500</v>
      </c>
      <c r="DC26" s="29">
        <v>0</v>
      </c>
      <c r="DD26" s="29">
        <v>0</v>
      </c>
      <c r="DE26" s="29">
        <v>0</v>
      </c>
      <c r="DF26" s="49">
        <v>0</v>
      </c>
      <c r="DG26" s="49">
        <v>0</v>
      </c>
      <c r="DH26" s="49">
        <v>0</v>
      </c>
      <c r="DI26" s="49">
        <v>0</v>
      </c>
      <c r="DJ26" s="49">
        <v>0</v>
      </c>
      <c r="DK26" s="29">
        <v>0</v>
      </c>
      <c r="DL26" s="29">
        <v>0</v>
      </c>
      <c r="DM26" s="49">
        <f>INDEX(Input!$1:$1048576,DM$10,$C26*2+6)</f>
        <v>20731.578947368424</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4.1229392947259989E-2</v>
      </c>
      <c r="DZ26" s="37">
        <v>0</v>
      </c>
      <c r="EA26" s="37">
        <v>0.74978774217522204</v>
      </c>
      <c r="EB26" s="37">
        <v>0</v>
      </c>
      <c r="EC26" s="37">
        <v>0</v>
      </c>
      <c r="ED26" s="37">
        <v>0</v>
      </c>
      <c r="EE26" s="37">
        <v>0</v>
      </c>
      <c r="EF26" s="37">
        <v>0</v>
      </c>
      <c r="EG26" s="37">
        <v>0</v>
      </c>
      <c r="EH26" s="37">
        <v>5.4429344094699579E-3</v>
      </c>
      <c r="EI26" s="37">
        <v>8.719337324657751E-3</v>
      </c>
      <c r="EJ26" s="37">
        <v>8.2114922024073708E-2</v>
      </c>
      <c r="EK26" s="37">
        <v>0.81372477460642578</v>
      </c>
      <c r="EL26" s="37">
        <v>8.9998031635372691E-2</v>
      </c>
      <c r="EM26" s="37">
        <v>6.3015859972911439E-2</v>
      </c>
      <c r="EN26" s="37">
        <v>4.990098870058466E-2</v>
      </c>
      <c r="EO26" s="37">
        <v>0.56731205398386608</v>
      </c>
      <c r="EP26" s="37">
        <v>0.27575643365463665</v>
      </c>
      <c r="EQ26" s="37">
        <v>6.4263691999742648E-2</v>
      </c>
      <c r="ER26" s="37">
        <v>4.2766831661170172E-2</v>
      </c>
      <c r="ES26" s="37">
        <v>0.14596700490460648</v>
      </c>
      <c r="ET26" s="37">
        <v>0.20898286487751799</v>
      </c>
      <c r="EU26" s="36">
        <v>1199.9999999999998</v>
      </c>
      <c r="EV26" s="36">
        <v>0</v>
      </c>
      <c r="EW26" s="36">
        <v>1199.9999999999998</v>
      </c>
      <c r="EX26" s="36">
        <v>0</v>
      </c>
      <c r="EY26" s="36">
        <v>2964.6193975187989</v>
      </c>
      <c r="EZ26" s="36">
        <v>1334.75</v>
      </c>
      <c r="FA26" s="36">
        <v>0</v>
      </c>
      <c r="FB26" s="36">
        <v>0</v>
      </c>
      <c r="FC26" s="36">
        <v>0</v>
      </c>
      <c r="FD26" s="36">
        <v>0</v>
      </c>
      <c r="FE26" s="36">
        <v>0</v>
      </c>
      <c r="FF26" s="36">
        <v>0</v>
      </c>
      <c r="FG26" s="36">
        <v>0</v>
      </c>
      <c r="FH26" s="36">
        <v>1153.275811304522</v>
      </c>
      <c r="FI26" s="36">
        <v>1531.4299904380609</v>
      </c>
      <c r="FJ26" s="36">
        <v>2070.720584253821</v>
      </c>
      <c r="FK26" s="36">
        <v>2635.3956133202933</v>
      </c>
      <c r="FL26" s="36">
        <v>2005.2147164707276</v>
      </c>
      <c r="FM26" s="36">
        <v>2514.6193975187989</v>
      </c>
      <c r="FN26" s="36">
        <v>0</v>
      </c>
      <c r="FO26" s="36">
        <v>0</v>
      </c>
      <c r="FP26" s="36">
        <v>0</v>
      </c>
      <c r="FQ26" s="36">
        <v>0</v>
      </c>
      <c r="FR26" s="36">
        <v>0</v>
      </c>
      <c r="FS26" s="36">
        <v>0</v>
      </c>
      <c r="FT26" s="37">
        <v>0.79101713512248206</v>
      </c>
      <c r="FU26" s="37">
        <v>6.3015859972911439E-2</v>
      </c>
      <c r="FV26" s="37">
        <v>0.14596700490460648</v>
      </c>
      <c r="FW26" s="518">
        <v>1199.9999999999995</v>
      </c>
      <c r="FX26" s="518">
        <v>2964.6193975187989</v>
      </c>
      <c r="FY26" s="518">
        <v>1334.75</v>
      </c>
      <c r="FZ26" s="36">
        <v>1695.8504614767719</v>
      </c>
      <c r="GA26" s="36">
        <v>1330.8680627704232</v>
      </c>
      <c r="GB26" s="36">
        <v>18364.131937229577</v>
      </c>
      <c r="GC26" s="37">
        <v>8.1891069685915169E-2</v>
      </c>
      <c r="GD26" s="37">
        <v>7.9261347652834269E-2</v>
      </c>
      <c r="GE26" s="37"/>
      <c r="GF26" s="37"/>
      <c r="GG26" s="37">
        <v>-3.2112439648998729E-2</v>
      </c>
      <c r="GH26" s="35">
        <v>1.7328356137959391</v>
      </c>
      <c r="GI26" s="36">
        <v>12696.631695049566</v>
      </c>
      <c r="GJ26" s="34">
        <v>0.5107463060103955</v>
      </c>
      <c r="GK26" s="34">
        <v>0.5082951978616097</v>
      </c>
      <c r="GL26" s="34">
        <v>0.48925369398960455</v>
      </c>
      <c r="GM26" s="33">
        <v>0.49170480213839035</v>
      </c>
      <c r="GN26" s="61"/>
      <c r="GO26" s="13">
        <v>338.16872463277008</v>
      </c>
      <c r="GP26" s="27">
        <v>315.27501390194027</v>
      </c>
      <c r="GQ26" s="27">
        <v>527.27910984145694</v>
      </c>
      <c r="GR26" s="27">
        <v>404.20319246551543</v>
      </c>
      <c r="GS26" s="27">
        <v>334.50205195691484</v>
      </c>
      <c r="GT26" s="27">
        <v>289.18266033348181</v>
      </c>
      <c r="GU26" s="27">
        <v>254.29573314828914</v>
      </c>
      <c r="GV26" s="29" t="s">
        <v>392</v>
      </c>
      <c r="GW26" s="27">
        <v>479.875</v>
      </c>
      <c r="GX26" s="27">
        <v>359.90625</v>
      </c>
      <c r="GY26" s="27">
        <v>287.92500000000001</v>
      </c>
      <c r="GZ26" s="27">
        <v>239.9375</v>
      </c>
      <c r="HA26" s="27">
        <v>219.80275574107537</v>
      </c>
      <c r="HB26" s="29">
        <v>244.41791454438513</v>
      </c>
      <c r="HC26" s="27">
        <v>224.72031249999998</v>
      </c>
      <c r="HD26" s="27">
        <v>196.46848501461983</v>
      </c>
      <c r="HE26" s="27">
        <v>200.4611947537112</v>
      </c>
      <c r="HF26" s="27">
        <v>186.83708059210525</v>
      </c>
      <c r="HG26" s="27">
        <v>181.99222587719296</v>
      </c>
      <c r="HH26" s="12">
        <v>197.74124119206141</v>
      </c>
      <c r="HI26" s="94"/>
      <c r="HJ26" s="24">
        <f>INDEX(Input!$1:$1048576,HJ$10,$C26*2+6)</f>
        <v>0.45400753093060786</v>
      </c>
      <c r="HK26" s="18">
        <f>INDEX(Input!$1:$1048576,HK$10,$C26*2+6)</f>
        <v>0.46530392684238836</v>
      </c>
      <c r="HL26" s="43">
        <f>INDEX(Input!$1:$1048576,HL$10,$C26*2+6)</f>
        <v>8.0688542227003765E-2</v>
      </c>
      <c r="HM26" s="49">
        <f>IF(HL26&lt;FV27,TREND(Y26:Y27,FV26:FV27,HL26),TREND(Y27:Y28,FV27:FV28,HL26))</f>
        <v>-599.86257246351784</v>
      </c>
    </row>
    <row r="27" spans="1:221" s="26" customFormat="1" ht="15">
      <c r="A27" s="117">
        <f t="shared" ref="A27:A28" si="49">C27*1000+B27</f>
        <v>4002</v>
      </c>
      <c r="B27" s="117">
        <f t="shared" si="48"/>
        <v>2</v>
      </c>
      <c r="C27" s="117">
        <f t="shared" si="14"/>
        <v>4</v>
      </c>
      <c r="D27" s="117" t="s">
        <v>568</v>
      </c>
      <c r="E27" s="115">
        <f>INDEX(Input!$1:$1048576,E$10,$C27*2+6)</f>
        <v>750</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1.8999999999999996E-2</v>
      </c>
      <c r="W27" s="383">
        <f>INDEX(Input!$1:$1048576,W$10,$C27*2+6)</f>
        <v>3.9E-2</v>
      </c>
      <c r="X27" s="118" t="str">
        <f>INDEX(Input!$1:$1048576,X$10,$C27*2+6)</f>
        <v>Y</v>
      </c>
      <c r="Y27" s="520">
        <f>MIN(BX27*10%,4000)+Y26</f>
        <v>2954.25</v>
      </c>
      <c r="Z27" s="30">
        <f>INDEX(Input!$1:$1048576,Z$10,$C27*2+6)</f>
        <v>0</v>
      </c>
      <c r="AA27" s="115">
        <f>INDEX(Input!$1:$1048576,AA$10,$C27*2+6)</f>
        <v>0</v>
      </c>
      <c r="AB27" s="118">
        <f>INDEX(Input!$1:$1048576,AB$10,$C27*2+6)</f>
        <v>1</v>
      </c>
      <c r="AC27" s="115">
        <f>INDEX(Input!$1:$1048576,AC$10,$C27*2+6)</f>
        <v>1000</v>
      </c>
      <c r="AD27" s="118">
        <f>INDEX(Input!$1:$1048576,AD$10,$C27*2+6)</f>
        <v>0.35</v>
      </c>
      <c r="AE27" s="115">
        <f>INDEX(Input!$1:$1048576,AE$10,$C27*2+6)</f>
        <v>0</v>
      </c>
      <c r="AF27" s="118">
        <f>INDEX(Input!$1:$1048576,AF$10,$C27*2+6)</f>
        <v>1</v>
      </c>
      <c r="AG27" s="115">
        <f>INDEX(Input!$1:$1048576,AG$10,$C27*2+6)</f>
        <v>500</v>
      </c>
      <c r="AH27" s="118">
        <f>INDEX(Input!$1:$1048576,AH$10,$C27*2+6)</f>
        <v>1</v>
      </c>
      <c r="AI27" s="115">
        <f>INDEX(Input!$1:$1048576,AI$10,$C27*2+6)</f>
        <v>500</v>
      </c>
      <c r="AJ27" s="118">
        <f>INDEX(Input!$1:$1048576,AJ$10,$C27*2+6)</f>
        <v>0.35</v>
      </c>
      <c r="AK27" s="150">
        <f>INDEX(Input!$1:$1048576,AK$10,$C26*2+6)+(Y27-VLOOKUP($C27*1000+1,$A:$HH,Y$9,FALSE))</f>
        <v>6708.2109265464023</v>
      </c>
      <c r="AL27" s="150">
        <f>INDEX(Input!$1:$1048576,AL$10,$C26*2+6)-(Y27-VLOOKUP($C27*1000+1,$A:$HH,Y$9,FALSE))/36</f>
        <v>4684.0025932130693</v>
      </c>
      <c r="AM27" s="32" t="str">
        <f t="shared" ref="AM27:AM28" si="50">IF(K27="market","std",ROUND(K27*1000,0)/10)&amp;"/"&amp;IF(L27="market","std",ROUND(L27*1000,0)/10)&amp;"/"&amp;IF(M27="market","std",ROUND(M27*1000,0)/10)&amp;"/"&amp;IF(N27="market","std",ROUND(N27*1000,0)/10)&amp;IF(P27="N","","/"&amp;IF(O27="market","std",ROUND(O27*1000,0)/10))</f>
        <v>std/std/std/std</v>
      </c>
      <c r="AN27" s="32" t="str">
        <f t="shared" ref="AN27:AN28" si="51">"$"&amp;ROUND(Q27,0)&amp;" + "&amp;IF(S27="market","std",ROUND(S27*1000,0)/10)&amp;"/"&amp;IF(T27="market","std",ROUND(T27*1000,0)/10)&amp;"/"&amp;IF(U27="market","std",ROUND(U27*1000,0)/10)&amp;"/"&amp;IF(V27="market","std",ROUND(V27*1000,0)/10)&amp;IF(X27="N","","/"&amp;IF(W27="market","std",ROUND(W27*1000,0)/10))</f>
        <v>$0 + 0/0/0/1.9/3.9</v>
      </c>
      <c r="AO27" s="32" t="str">
        <f t="shared" ref="AO27:AO28" si="52">IF(S27="market","std",ROUND(S27*1000,0)/10)&amp;"/"&amp;IF(T27="market","std",ROUND(T27*1000,0)/10)&amp;"/"&amp;IF(U27="market","std",ROUND(U27*1000,0)/10)&amp;"/"&amp;IF(V27="market","std",ROUND(V27*1000,0)/10)&amp;IF(X27="N","","/"&amp;IF(W27="market","std",ROUND(W27*1000,0)/10))</f>
        <v>0/0/0/1.9/3.9</v>
      </c>
      <c r="AP27" s="32" t="str">
        <f t="shared" ref="AP27:AP28" si="53">IF(T27="market","std",ROUND(T27*1000,0)/10)&amp;"/"&amp;IF(U27="market","std",ROUND(U27*1000,0)/10)&amp;"/"&amp;IF(V27="market","std",ROUND(V27*1000,0)/10)&amp;IF(X27="N","","/"&amp;IF(W27="market","std",ROUND(W27*1000,0)/10))</f>
        <v>0/0/1.9/3.9</v>
      </c>
      <c r="AQ27" s="150">
        <f t="shared" si="19"/>
        <v>525</v>
      </c>
      <c r="AR27" s="32" t="str">
        <f t="shared" si="20"/>
        <v>0/1.9</v>
      </c>
      <c r="AS27" s="302"/>
      <c r="AT27" s="3">
        <f t="shared" si="21"/>
        <v>11</v>
      </c>
      <c r="AU27" s="41" t="s">
        <v>121</v>
      </c>
      <c r="AV27" s="41" t="s">
        <v>116</v>
      </c>
      <c r="AW27" s="41" t="str">
        <f>INDEX(Input!$1:$1048576,AW$10,$C27*2+6)</f>
        <v>Kia</v>
      </c>
      <c r="AX27" s="41" t="str">
        <f>INDEX(Input!$1:$1048576,AX$10,$C27*2+6)</f>
        <v>Kia-LR - R1</v>
      </c>
      <c r="AY27" s="41" t="str">
        <f>IF(D27="Skip","",INDEX(Input!$1:$1048576,AY$10,$C27*2+6))</f>
        <v>Compact Conventional/Sporty Car (43)</v>
      </c>
      <c r="AZ27" s="41" t="str">
        <f>INDEX(Input!$1:$1048576,AZ$10,$C27*2+6)</f>
        <v>Kia Forte</v>
      </c>
      <c r="BA27" s="3">
        <f>INDEX(Input!$1:$1048576,BA$10,$C27*2+6)</f>
        <v>2020</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19695</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1100</v>
      </c>
      <c r="CJ27" s="16" t="str">
        <f>INDEX(Input!$1:$1048576,CJ$10,$C27*2+6)</f>
        <v>N</v>
      </c>
      <c r="CK27" s="1" t="str">
        <f t="shared" si="23"/>
        <v>Market</v>
      </c>
      <c r="CL27" s="1" t="str">
        <f t="shared" si="24"/>
        <v>Market</v>
      </c>
      <c r="CM27" s="1" t="str">
        <f t="shared" si="25"/>
        <v>Market</v>
      </c>
      <c r="CN27" s="1" t="str">
        <f t="shared" si="26"/>
        <v>Market</v>
      </c>
      <c r="CO27" s="1" t="str">
        <f t="shared" si="27"/>
        <v>Market</v>
      </c>
      <c r="CP27" s="304">
        <f t="shared" si="28"/>
        <v>350</v>
      </c>
      <c r="CQ27" s="1">
        <f t="shared" si="29"/>
        <v>0</v>
      </c>
      <c r="CR27" s="1">
        <f t="shared" si="30"/>
        <v>0</v>
      </c>
      <c r="CS27" s="1">
        <f t="shared" si="31"/>
        <v>0</v>
      </c>
      <c r="CT27" s="1">
        <f t="shared" si="32"/>
        <v>0</v>
      </c>
      <c r="CU27" s="1">
        <f t="shared" si="33"/>
        <v>1.8999999999999996E-2</v>
      </c>
      <c r="CV27" s="304">
        <f t="shared" si="34"/>
        <v>3129.25</v>
      </c>
      <c r="CW27" s="20" t="s">
        <v>122</v>
      </c>
      <c r="CX27" s="20" t="s">
        <v>122</v>
      </c>
      <c r="CY27" s="20" t="s">
        <v>122</v>
      </c>
      <c r="CZ27" s="20" t="s">
        <v>122</v>
      </c>
      <c r="DA27" s="20" t="s">
        <v>122</v>
      </c>
      <c r="DB27" s="503">
        <f t="shared" si="35"/>
        <v>500</v>
      </c>
      <c r="DC27" s="127">
        <v>0</v>
      </c>
      <c r="DD27" s="127">
        <v>0</v>
      </c>
      <c r="DE27" s="127">
        <v>0</v>
      </c>
      <c r="DF27" s="127">
        <v>0</v>
      </c>
      <c r="DG27" s="127">
        <v>0</v>
      </c>
      <c r="DH27" s="127">
        <v>0</v>
      </c>
      <c r="DI27" s="127">
        <v>0</v>
      </c>
      <c r="DJ27" s="127">
        <v>0</v>
      </c>
      <c r="DK27" s="127">
        <v>0</v>
      </c>
      <c r="DL27" s="127">
        <v>0</v>
      </c>
      <c r="DM27" s="304">
        <f>INDEX(Input!$1:$1048576,DM$10,$C27*2+6)</f>
        <v>20731.578947368424</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3.7274749771556447E-2</v>
      </c>
      <c r="DZ27" s="7">
        <v>0</v>
      </c>
      <c r="EA27" s="7">
        <v>0.67886969934646191</v>
      </c>
      <c r="EB27" s="7">
        <v>0</v>
      </c>
      <c r="EC27" s="7">
        <v>0</v>
      </c>
      <c r="ED27" s="7">
        <v>0</v>
      </c>
      <c r="EE27" s="7">
        <v>0</v>
      </c>
      <c r="EF27" s="7">
        <v>0</v>
      </c>
      <c r="EG27" s="7">
        <v>0</v>
      </c>
      <c r="EH27" s="7">
        <v>5.3763852594908177E-3</v>
      </c>
      <c r="EI27" s="7">
        <v>8.5868819981985908E-3</v>
      </c>
      <c r="EJ27" s="7">
        <v>8.1227940287919673E-2</v>
      </c>
      <c r="EK27" s="7">
        <v>0.81457589921447815</v>
      </c>
      <c r="EL27" s="7">
        <v>9.0232893239912917E-2</v>
      </c>
      <c r="EM27" s="7">
        <v>5.6754561256009722E-2</v>
      </c>
      <c r="EN27" s="7">
        <v>5.5224521520845012E-2</v>
      </c>
      <c r="EO27" s="7">
        <v>0.56210345921367422</v>
      </c>
      <c r="EP27" s="7">
        <v>0.28453006701311528</v>
      </c>
      <c r="EQ27" s="7">
        <v>5.8855793219390933E-2</v>
      </c>
      <c r="ER27" s="7">
        <v>3.9286159032974853E-2</v>
      </c>
      <c r="ES27" s="7">
        <v>0.22710098962597186</v>
      </c>
      <c r="ET27" s="7">
        <v>0.28385555088198167</v>
      </c>
      <c r="EU27" s="6">
        <v>1199.9999999999998</v>
      </c>
      <c r="EV27" s="6">
        <v>0</v>
      </c>
      <c r="EW27" s="6">
        <v>1199.9999999999998</v>
      </c>
      <c r="EX27" s="6">
        <v>0</v>
      </c>
      <c r="EY27" s="6">
        <v>2965.2172526378895</v>
      </c>
      <c r="EZ27" s="6">
        <v>3304.25</v>
      </c>
      <c r="FA27" s="6">
        <v>0</v>
      </c>
      <c r="FB27" s="6">
        <v>0</v>
      </c>
      <c r="FC27" s="6">
        <v>0</v>
      </c>
      <c r="FD27" s="6">
        <v>0</v>
      </c>
      <c r="FE27" s="6">
        <v>0</v>
      </c>
      <c r="FF27" s="6">
        <v>0</v>
      </c>
      <c r="FG27" s="6">
        <v>0</v>
      </c>
      <c r="FH27" s="6">
        <v>1153.3026021788021</v>
      </c>
      <c r="FI27" s="6">
        <v>1531.429990438063</v>
      </c>
      <c r="FJ27" s="6">
        <v>2070.7205842538219</v>
      </c>
      <c r="FK27" s="6">
        <v>2635.3956133202923</v>
      </c>
      <c r="FL27" s="6">
        <v>2005.2147164707278</v>
      </c>
      <c r="FM27" s="6">
        <v>2515.2172526378895</v>
      </c>
      <c r="FN27" s="6">
        <v>0</v>
      </c>
      <c r="FO27" s="6">
        <v>0</v>
      </c>
      <c r="FP27" s="6">
        <v>0</v>
      </c>
      <c r="FQ27" s="6">
        <v>0</v>
      </c>
      <c r="FR27" s="6">
        <v>0</v>
      </c>
      <c r="FS27" s="6">
        <v>0</v>
      </c>
      <c r="FT27" s="7">
        <v>0.71614444911801833</v>
      </c>
      <c r="FU27" s="7">
        <v>5.6754561256009722E-2</v>
      </c>
      <c r="FV27" s="7">
        <v>0.22710098962597186</v>
      </c>
      <c r="FW27" s="519">
        <v>1199.9999999999998</v>
      </c>
      <c r="FX27" s="519">
        <v>2965.2172526378895</v>
      </c>
      <c r="FY27" s="519">
        <v>3304.25</v>
      </c>
      <c r="FZ27" s="6">
        <v>1695.8504614767719</v>
      </c>
      <c r="GA27" s="6">
        <v>1778.0613881154532</v>
      </c>
      <c r="GB27" s="6">
        <v>17916.938611884547</v>
      </c>
      <c r="GC27" s="7">
        <v>8.1891069685915169E-2</v>
      </c>
      <c r="GD27" s="7">
        <v>8.2888383540092633E-2</v>
      </c>
      <c r="GE27" s="7"/>
      <c r="GF27" s="7"/>
      <c r="GG27" s="7">
        <v>1.2178542275764133E-2</v>
      </c>
      <c r="GH27" s="42">
        <v>2.9175731247422672</v>
      </c>
      <c r="GI27" s="6">
        <v>8528.5348665616475</v>
      </c>
      <c r="GJ27" s="14">
        <v>0.51074630601039528</v>
      </c>
      <c r="GK27" s="14">
        <v>0.50829519786160948</v>
      </c>
      <c r="GL27" s="14">
        <v>0.48925369398960417</v>
      </c>
      <c r="GM27" s="14">
        <v>0.49170480213839007</v>
      </c>
      <c r="GO27" s="5">
        <v>338.16872463277008</v>
      </c>
      <c r="GP27" s="5">
        <v>315.27501390194027</v>
      </c>
      <c r="GQ27" s="5">
        <v>527.27910984145694</v>
      </c>
      <c r="GR27" s="5">
        <v>404.20319246551543</v>
      </c>
      <c r="GS27" s="5">
        <v>334.50205195691484</v>
      </c>
      <c r="GT27" s="5">
        <v>289.18266033348181</v>
      </c>
      <c r="GU27" s="5">
        <v>254.29573314828914</v>
      </c>
      <c r="GV27" s="39" t="s">
        <v>392</v>
      </c>
      <c r="GW27" s="5">
        <v>479.875</v>
      </c>
      <c r="GX27" s="5">
        <v>359.90625</v>
      </c>
      <c r="GY27" s="5">
        <v>287.92500000000001</v>
      </c>
      <c r="GZ27" s="5">
        <v>239.9375</v>
      </c>
      <c r="HA27" s="5">
        <v>219.80275574107537</v>
      </c>
      <c r="HB27" s="39">
        <v>244.33876349335856</v>
      </c>
      <c r="HC27" s="5">
        <v>138.55468749999997</v>
      </c>
      <c r="HD27" s="5">
        <v>137.65702668128651</v>
      </c>
      <c r="HE27" s="5">
        <v>145.85806975371116</v>
      </c>
      <c r="HF27" s="5">
        <v>141.29239309210524</v>
      </c>
      <c r="HG27" s="5">
        <v>144.24347587719296</v>
      </c>
      <c r="HH27" s="39">
        <v>140.51276156978727</v>
      </c>
      <c r="HI27" s="16"/>
      <c r="HJ27" s="1">
        <f>INDEX(Input!$1:$1048576,HJ$10,$C27*2+6)</f>
        <v>0.45400753093060786</v>
      </c>
      <c r="HK27" s="1">
        <f>INDEX(Input!$1:$1048576,HK$10,$C27*2+6)</f>
        <v>0.46530392684238836</v>
      </c>
      <c r="HL27" s="1">
        <f>INDEX(Input!$1:$1048576,HL$10,$C27*2+6)</f>
        <v>8.0688542227003765E-2</v>
      </c>
      <c r="HM27" s="19"/>
    </row>
    <row r="28" spans="1:221" s="26" customFormat="1" ht="15.75" thickBot="1">
      <c r="A28" s="117">
        <f t="shared" si="49"/>
        <v>4003</v>
      </c>
      <c r="B28" s="117">
        <f t="shared" si="48"/>
        <v>3</v>
      </c>
      <c r="C28" s="117">
        <f t="shared" si="14"/>
        <v>4</v>
      </c>
      <c r="D28" s="117" t="s">
        <v>568</v>
      </c>
      <c r="E28" s="115">
        <f>INDEX(Input!$1:$1048576,E$10,$C28*2+6)</f>
        <v>750</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1.8999999999999996E-2</v>
      </c>
      <c r="W28" s="383">
        <f>INDEX(Input!$1:$1048576,W$10,$C28*2+6)</f>
        <v>3.9E-2</v>
      </c>
      <c r="X28" s="118" t="str">
        <f>INDEX(Input!$1:$1048576,X$10,$C28*2+6)</f>
        <v>Y</v>
      </c>
      <c r="Y28" s="520">
        <f>MIN(BX28*10%,4000)+Y27</f>
        <v>4923.75</v>
      </c>
      <c r="Z28" s="30">
        <f>INDEX(Input!$1:$1048576,Z$10,$C28*2+6)</f>
        <v>0</v>
      </c>
      <c r="AA28" s="115">
        <f>INDEX(Input!$1:$1048576,AA$10,$C28*2+6)</f>
        <v>0</v>
      </c>
      <c r="AB28" s="118">
        <f>INDEX(Input!$1:$1048576,AB$10,$C28*2+6)</f>
        <v>1</v>
      </c>
      <c r="AC28" s="115">
        <f>INDEX(Input!$1:$1048576,AC$10,$C28*2+6)</f>
        <v>1000</v>
      </c>
      <c r="AD28" s="118">
        <f>INDEX(Input!$1:$1048576,AD$10,$C28*2+6)</f>
        <v>0.35</v>
      </c>
      <c r="AE28" s="115">
        <f>INDEX(Input!$1:$1048576,AE$10,$C28*2+6)</f>
        <v>0</v>
      </c>
      <c r="AF28" s="118">
        <f>INDEX(Input!$1:$1048576,AF$10,$C28*2+6)</f>
        <v>1</v>
      </c>
      <c r="AG28" s="115">
        <f>INDEX(Input!$1:$1048576,AG$10,$C28*2+6)</f>
        <v>500</v>
      </c>
      <c r="AH28" s="118">
        <f>INDEX(Input!$1:$1048576,AH$10,$C28*2+6)</f>
        <v>1</v>
      </c>
      <c r="AI28" s="115">
        <f>INDEX(Input!$1:$1048576,AI$10,$C28*2+6)</f>
        <v>500</v>
      </c>
      <c r="AJ28" s="118">
        <f>INDEX(Input!$1:$1048576,AJ$10,$C28*2+6)</f>
        <v>0.35</v>
      </c>
      <c r="AK28" s="150">
        <f>INDEX(Input!$1:$1048576,AK$10,$C27*2+6)+(Y28-VLOOKUP($C28*1000+1,$A:$HH,Y$9,FALSE))</f>
        <v>8677.7109265464023</v>
      </c>
      <c r="AL28" s="150">
        <f>INDEX(Input!$1:$1048576,AL$10,$C27*2+6)-(Y28-VLOOKUP($C28*1000+1,$A:$HH,Y$9,FALSE))/36</f>
        <v>4629.2942598797354</v>
      </c>
      <c r="AM28" s="32" t="str">
        <f t="shared" si="50"/>
        <v>std/std/std/std</v>
      </c>
      <c r="AN28" s="32" t="str">
        <f t="shared" si="51"/>
        <v>$0 + 0/0/0/1.9/3.9</v>
      </c>
      <c r="AO28" s="32" t="str">
        <f t="shared" si="52"/>
        <v>0/0/0/1.9/3.9</v>
      </c>
      <c r="AP28" s="32" t="str">
        <f t="shared" si="53"/>
        <v>0/0/1.9/3.9</v>
      </c>
      <c r="AQ28" s="150">
        <f t="shared" si="19"/>
        <v>525</v>
      </c>
      <c r="AR28" s="32" t="str">
        <f t="shared" si="20"/>
        <v>0/1.9</v>
      </c>
      <c r="AS28" s="302"/>
      <c r="AT28" s="3">
        <f t="shared" si="21"/>
        <v>12</v>
      </c>
      <c r="AU28" s="41" t="s">
        <v>121</v>
      </c>
      <c r="AV28" s="41" t="s">
        <v>116</v>
      </c>
      <c r="AW28" s="41" t="str">
        <f>INDEX(Input!$1:$1048576,AW$10,$C28*2+6)</f>
        <v>Kia</v>
      </c>
      <c r="AX28" s="41" t="str">
        <f>INDEX(Input!$1:$1048576,AX$10,$C28*2+6)</f>
        <v>Kia-LR - R1</v>
      </c>
      <c r="AY28" s="41" t="str">
        <f>IF(D28="Skip","",INDEX(Input!$1:$1048576,AY$10,$C28*2+6))</f>
        <v>Compact Conventional/Sporty Car (43)</v>
      </c>
      <c r="AZ28" s="41" t="str">
        <f>INDEX(Input!$1:$1048576,AZ$10,$C28*2+6)</f>
        <v>Kia Forte</v>
      </c>
      <c r="BA28" s="3">
        <f>INDEX(Input!$1:$1048576,BA$10,$C28*2+6)</f>
        <v>2020</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19695</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1100</v>
      </c>
      <c r="CJ28" s="16" t="str">
        <f>INDEX(Input!$1:$1048576,CJ$10,$C28*2+6)</f>
        <v>N</v>
      </c>
      <c r="CK28" s="1" t="str">
        <f t="shared" si="23"/>
        <v>Market</v>
      </c>
      <c r="CL28" s="1" t="str">
        <f t="shared" si="24"/>
        <v>Market</v>
      </c>
      <c r="CM28" s="1" t="str">
        <f t="shared" si="25"/>
        <v>Market</v>
      </c>
      <c r="CN28" s="1" t="str">
        <f t="shared" si="26"/>
        <v>Market</v>
      </c>
      <c r="CO28" s="1" t="str">
        <f t="shared" si="27"/>
        <v>Market</v>
      </c>
      <c r="CP28" s="304">
        <f t="shared" si="28"/>
        <v>350</v>
      </c>
      <c r="CQ28" s="1">
        <f t="shared" si="29"/>
        <v>0</v>
      </c>
      <c r="CR28" s="1">
        <f t="shared" si="30"/>
        <v>0</v>
      </c>
      <c r="CS28" s="1">
        <f t="shared" si="31"/>
        <v>0</v>
      </c>
      <c r="CT28" s="1">
        <f t="shared" si="32"/>
        <v>0</v>
      </c>
      <c r="CU28" s="1">
        <f t="shared" si="33"/>
        <v>1.8999999999999996E-2</v>
      </c>
      <c r="CV28" s="304">
        <f t="shared" si="34"/>
        <v>5098.75</v>
      </c>
      <c r="CW28" s="20" t="s">
        <v>122</v>
      </c>
      <c r="CX28" s="20" t="s">
        <v>122</v>
      </c>
      <c r="CY28" s="20" t="s">
        <v>122</v>
      </c>
      <c r="CZ28" s="20" t="s">
        <v>122</v>
      </c>
      <c r="DA28" s="20" t="s">
        <v>122</v>
      </c>
      <c r="DB28" s="503">
        <f t="shared" si="35"/>
        <v>500</v>
      </c>
      <c r="DC28" s="127">
        <v>0</v>
      </c>
      <c r="DD28" s="127">
        <v>0</v>
      </c>
      <c r="DE28" s="127">
        <v>0</v>
      </c>
      <c r="DF28" s="127">
        <v>0</v>
      </c>
      <c r="DG28" s="127">
        <v>0</v>
      </c>
      <c r="DH28" s="127">
        <v>0</v>
      </c>
      <c r="DI28" s="127">
        <v>0</v>
      </c>
      <c r="DJ28" s="127">
        <v>0</v>
      </c>
      <c r="DK28" s="127">
        <v>0</v>
      </c>
      <c r="DL28" s="127">
        <v>0</v>
      </c>
      <c r="DM28" s="304">
        <f>INDEX(Input!$1:$1048576,DM$10,$C28*2+6)</f>
        <v>20731.578947368424</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3.0824194404320496E-2</v>
      </c>
      <c r="DZ28" s="7">
        <v>0</v>
      </c>
      <c r="EA28" s="7">
        <v>0.56236482341556771</v>
      </c>
      <c r="EB28" s="7">
        <v>0</v>
      </c>
      <c r="EC28" s="7">
        <v>0</v>
      </c>
      <c r="ED28" s="7">
        <v>0</v>
      </c>
      <c r="EE28" s="7">
        <v>0</v>
      </c>
      <c r="EF28" s="7">
        <v>0</v>
      </c>
      <c r="EG28" s="7">
        <v>0</v>
      </c>
      <c r="EH28" s="7">
        <v>5.2966489754580695E-3</v>
      </c>
      <c r="EI28" s="7">
        <v>8.4284932632723662E-3</v>
      </c>
      <c r="EJ28" s="7">
        <v>8.0166701172482244E-2</v>
      </c>
      <c r="EK28" s="7">
        <v>0.81561806880402365</v>
      </c>
      <c r="EL28" s="7">
        <v>9.0490087784763557E-2</v>
      </c>
      <c r="EM28" s="7">
        <v>4.6716707438350373E-2</v>
      </c>
      <c r="EN28" s="7">
        <v>6.4155884174196862E-2</v>
      </c>
      <c r="EO28" s="7">
        <v>0.55534525588439221</v>
      </c>
      <c r="EP28" s="7">
        <v>0.29368675500545866</v>
      </c>
      <c r="EQ28" s="7">
        <v>5.2131635506631982E-2</v>
      </c>
      <c r="ER28" s="7">
        <v>3.468046942932021E-2</v>
      </c>
      <c r="ES28" s="7">
        <v>0.36009427474176153</v>
      </c>
      <c r="ET28" s="7">
        <v>0.40681098218011186</v>
      </c>
      <c r="EU28" s="6">
        <v>1199.9999999999998</v>
      </c>
      <c r="EV28" s="6">
        <v>0</v>
      </c>
      <c r="EW28" s="6">
        <v>1199.9999999999998</v>
      </c>
      <c r="EX28" s="6">
        <v>0</v>
      </c>
      <c r="EY28" s="6">
        <v>2965.9476210851872</v>
      </c>
      <c r="EZ28" s="6">
        <v>5273.75</v>
      </c>
      <c r="FA28" s="6">
        <v>0</v>
      </c>
      <c r="FB28" s="6">
        <v>0</v>
      </c>
      <c r="FC28" s="6">
        <v>0</v>
      </c>
      <c r="FD28" s="6">
        <v>0</v>
      </c>
      <c r="FE28" s="6">
        <v>0</v>
      </c>
      <c r="FF28" s="6">
        <v>0</v>
      </c>
      <c r="FG28" s="6">
        <v>0</v>
      </c>
      <c r="FH28" s="6">
        <v>1153.3328099900245</v>
      </c>
      <c r="FI28" s="6">
        <v>1531.4299904380618</v>
      </c>
      <c r="FJ28" s="6">
        <v>2070.7205842538228</v>
      </c>
      <c r="FK28" s="6">
        <v>2635.395613320291</v>
      </c>
      <c r="FL28" s="6">
        <v>2005.2147164707274</v>
      </c>
      <c r="FM28" s="6">
        <v>2515.9476210851872</v>
      </c>
      <c r="FN28" s="6">
        <v>0</v>
      </c>
      <c r="FO28" s="6">
        <v>0</v>
      </c>
      <c r="FP28" s="6">
        <v>0</v>
      </c>
      <c r="FQ28" s="6">
        <v>0</v>
      </c>
      <c r="FR28" s="6">
        <v>0</v>
      </c>
      <c r="FS28" s="6">
        <v>0</v>
      </c>
      <c r="FT28" s="7">
        <v>0.5931890178198882</v>
      </c>
      <c r="FU28" s="7">
        <v>4.6716707438350373E-2</v>
      </c>
      <c r="FV28" s="7">
        <v>0.36009427474176153</v>
      </c>
      <c r="FW28" s="519">
        <v>1199.9999999999998</v>
      </c>
      <c r="FX28" s="519">
        <v>2965.9476210851872</v>
      </c>
      <c r="FY28" s="519">
        <v>5273.75</v>
      </c>
      <c r="FZ28" s="6">
        <v>1695.8504614767719</v>
      </c>
      <c r="GA28" s="6">
        <v>2749.4333100949389</v>
      </c>
      <c r="GB28" s="6">
        <v>16945.566689905063</v>
      </c>
      <c r="GC28" s="7">
        <v>8.1891069685915169E-2</v>
      </c>
      <c r="GD28" s="7">
        <v>9.0178443688769525E-2</v>
      </c>
      <c r="GE28" s="7"/>
      <c r="GF28" s="7"/>
      <c r="GG28" s="7">
        <v>0.10119997253228871</v>
      </c>
      <c r="GH28" s="42">
        <v>1.8917671843628934</v>
      </c>
      <c r="GI28" s="6">
        <v>13160.333849440567</v>
      </c>
      <c r="GJ28" s="14">
        <v>0.51074630601039517</v>
      </c>
      <c r="GK28" s="14">
        <v>0.50829519786160982</v>
      </c>
      <c r="GL28" s="14">
        <v>0.48925369398960422</v>
      </c>
      <c r="GM28" s="14">
        <v>0.49170480213839024</v>
      </c>
      <c r="GO28" s="5">
        <v>338.16872463277008</v>
      </c>
      <c r="GP28" s="5">
        <v>315.27501390194027</v>
      </c>
      <c r="GQ28" s="5">
        <v>527.27910984145694</v>
      </c>
      <c r="GR28" s="5">
        <v>404.20319246551543</v>
      </c>
      <c r="GS28" s="5">
        <v>334.50205195691484</v>
      </c>
      <c r="GT28" s="5">
        <v>289.18266033348181</v>
      </c>
      <c r="GU28" s="5">
        <v>254.29573314828914</v>
      </c>
      <c r="GV28" s="39" t="s">
        <v>392</v>
      </c>
      <c r="GW28" s="5">
        <v>479.875</v>
      </c>
      <c r="GX28" s="5">
        <v>359.90625</v>
      </c>
      <c r="GY28" s="5">
        <v>287.92500000000001</v>
      </c>
      <c r="GZ28" s="5">
        <v>239.9375</v>
      </c>
      <c r="HA28" s="5">
        <v>219.80275574107537</v>
      </c>
      <c r="HB28" s="39">
        <v>244.24452531172778</v>
      </c>
      <c r="HC28" s="5">
        <v>52.389062499999966</v>
      </c>
      <c r="HD28" s="5">
        <v>78.845568347953161</v>
      </c>
      <c r="HE28" s="5">
        <v>91.254944753711172</v>
      </c>
      <c r="HF28" s="5">
        <v>95.747705592105234</v>
      </c>
      <c r="HG28" s="5">
        <v>106.49472587719296</v>
      </c>
      <c r="HH28" s="39">
        <v>82.632719131900743</v>
      </c>
      <c r="HI28" s="16"/>
      <c r="HJ28" s="1">
        <f>INDEX(Input!$1:$1048576,HJ$10,$C28*2+6)</f>
        <v>0.45400753093060786</v>
      </c>
      <c r="HK28" s="1">
        <f>INDEX(Input!$1:$1048576,HK$10,$C28*2+6)</f>
        <v>0.46530392684238836</v>
      </c>
      <c r="HL28" s="1">
        <f>INDEX(Input!$1:$1048576,HL$10,$C28*2+6)</f>
        <v>8.0688542227003765E-2</v>
      </c>
      <c r="HM28" s="19"/>
    </row>
    <row r="29" spans="1:221" s="60" customFormat="1" ht="15.75" thickBot="1">
      <c r="A29" s="31">
        <f>C29*1000+B29</f>
        <v>5001</v>
      </c>
      <c r="B29" s="31">
        <f t="shared" ref="B29:B31" si="54">IF(D29="Baseline1",1,B28+1)</f>
        <v>1</v>
      </c>
      <c r="C29" s="508">
        <v>5</v>
      </c>
      <c r="D29" s="31" t="s">
        <v>566</v>
      </c>
      <c r="E29" s="365">
        <f>INDEX(Input!$1:$1048576,E$10,$C29*2+MIN($B29,2)+5)</f>
        <v>750</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1.9E-2</v>
      </c>
      <c r="W29" s="38">
        <f>INDEX(Input!$1:$1048576,W$10,$C29*2+MIN($B29,2)+5)</f>
        <v>3.9E-2</v>
      </c>
      <c r="X29" s="367" t="str">
        <f>INDEX(Input!$1:$1048576,X$10,$C29*2+MIN($B29,2)+5)</f>
        <v>Y</v>
      </c>
      <c r="Y29" s="517">
        <f>MIN(BX29*5%,2000)</f>
        <v>984.75</v>
      </c>
      <c r="Z29" s="49">
        <f>INDEX(Input!$1:$1048576,Z$10,$C29*2+MIN($B29,2)+5)</f>
        <v>0</v>
      </c>
      <c r="AA29" s="49">
        <f>INDEX(Input!$1:$1048576,AA$10,$C29*2+MIN($B29,2)+5)</f>
        <v>0</v>
      </c>
      <c r="AB29" s="367">
        <f>INDEX(Input!$1:$1048576,AB$10,$C29*2+MIN($B29,2)+5)</f>
        <v>0.43</v>
      </c>
      <c r="AC29" s="49">
        <f>INDEX(Input!$1:$1048576,AC$10,$C29*2+MIN($B29,2)+5)</f>
        <v>1000</v>
      </c>
      <c r="AD29" s="367">
        <f>INDEX(Input!$1:$1048576,AD$10,$C29*2+MIN($B29,2)+5)</f>
        <v>0.35</v>
      </c>
      <c r="AE29" s="49">
        <f>INDEX(Input!$1:$1048576,AE$10,$C29*2+MIN($B29,2)+5)</f>
        <v>0</v>
      </c>
      <c r="AF29" s="367">
        <f>INDEX(Input!$1:$1048576,AF$10,$C29*2+MIN($B29,2)+5)</f>
        <v>1</v>
      </c>
      <c r="AG29" s="49">
        <f>INDEX(Input!$1:$1048576,AG$10,$C29*2+MIN($B29,2)+5)</f>
        <v>500</v>
      </c>
      <c r="AH29" s="367">
        <f>INDEX(Input!$1:$1048576,AH$10,$C29*2+MIN($B29,2)+5)</f>
        <v>1</v>
      </c>
      <c r="AI29" s="49">
        <f>INDEX(Input!$1:$1048576,AI$10,$C29*2+MIN($B29,2)+5)</f>
        <v>500</v>
      </c>
      <c r="AJ29" s="367">
        <f>INDEX(Input!$1:$1048576,AJ$10,$C29*2+MIN($B29,2)+5)</f>
        <v>0.35</v>
      </c>
      <c r="AK29" s="298">
        <f>INDEX(Input!$1:$1048576,AK$10,$C29*2+MIN($B29,2)+5)</f>
        <v>4738.7109265464023</v>
      </c>
      <c r="AL29" s="49">
        <f>INDEX(Input!$1:$1048576,AL$10,$C29*2+MIN($B29,2)+5)</f>
        <v>4738.7109265464023</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+ 0/0/0/1.9/3.9</v>
      </c>
      <c r="AO29" s="44" t="str">
        <f>IF(S29="market","std",ROUND(S29*1000,0)/10)&amp;"/"&amp;IF(T29="market","std",ROUND(T29*1000,0)/10)&amp;"/"&amp;IF(U29="market","std",ROUND(U29*1000,0)/10)&amp;"/"&amp;IF(V29="market","std",ROUND(V29*1000,0)/10)&amp;IF(X29="N","","/"&amp;IF(W29="market","std",ROUND(W29*1000,0)/10))</f>
        <v>0/0/0/1.9/3.9</v>
      </c>
      <c r="AP29" s="44" t="str">
        <f>IF(T29="market","std",ROUND(T29*1000,0)/10)&amp;"/"&amp;IF(U29="market","std",ROUND(U29*1000,0)/10)&amp;"/"&amp;IF(V29="market","std",ROUND(V29*1000,0)/10)&amp;IF(X29="N","","/"&amp;IF(W29="market","std",ROUND(W29*1000,0)/10))</f>
        <v>0/0/1.9/3.9</v>
      </c>
      <c r="AQ29" s="49">
        <f t="shared" si="19"/>
        <v>525</v>
      </c>
      <c r="AR29" s="44" t="str">
        <f t="shared" si="20"/>
        <v>0/1.9</v>
      </c>
      <c r="AS29" s="368"/>
      <c r="AT29" s="50">
        <f t="shared" si="21"/>
        <v>13</v>
      </c>
      <c r="AU29" s="45" t="s">
        <v>121</v>
      </c>
      <c r="AV29" s="45" t="s">
        <v>116</v>
      </c>
      <c r="AW29" s="45" t="str">
        <f>INDEX(Input!$1:$1048576,AW$10,$C29*2+6)</f>
        <v>Kia</v>
      </c>
      <c r="AX29" s="45" t="str">
        <f>INDEX(Input!$1:$1048576,AX$10,$C29*2+6)</f>
        <v>Kia-LR - R2</v>
      </c>
      <c r="AY29" s="10" t="str">
        <f>IF(D29="Skip","",INDEX(Input!$1:$1048576,AY$10,$C29*2+6))</f>
        <v>Compact Conventional/Sporty Car (43)</v>
      </c>
      <c r="AZ29" s="45" t="str">
        <f>INDEX(Input!$1:$1048576,AZ$10,$C29*2+6)</f>
        <v>Kia Forte</v>
      </c>
      <c r="BA29" s="50">
        <f>INDEX(Input!$1:$1048576,BA$10,$C29*2+6)</f>
        <v>2020</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19695</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 t="shared" si="22"/>
        <v>1100</v>
      </c>
      <c r="CJ29" s="46" t="str">
        <f>INDEX(Input!$1:$1048576,CJ$10,$C29*2+6)</f>
        <v>N</v>
      </c>
      <c r="CK29" s="38" t="str">
        <f t="shared" si="23"/>
        <v>Market</v>
      </c>
      <c r="CL29" s="38" t="str">
        <f t="shared" si="24"/>
        <v>Market</v>
      </c>
      <c r="CM29" s="38" t="str">
        <f t="shared" si="25"/>
        <v>Market</v>
      </c>
      <c r="CN29" s="38" t="str">
        <f t="shared" si="26"/>
        <v>Market</v>
      </c>
      <c r="CO29" s="38" t="str">
        <f t="shared" si="27"/>
        <v>Market</v>
      </c>
      <c r="CP29" s="49">
        <f t="shared" si="28"/>
        <v>350</v>
      </c>
      <c r="CQ29" s="38">
        <f t="shared" si="29"/>
        <v>0</v>
      </c>
      <c r="CR29" s="38">
        <f t="shared" si="30"/>
        <v>0</v>
      </c>
      <c r="CS29" s="38">
        <f t="shared" si="31"/>
        <v>0</v>
      </c>
      <c r="CT29" s="38">
        <f t="shared" si="32"/>
        <v>0</v>
      </c>
      <c r="CU29" s="38">
        <f t="shared" si="33"/>
        <v>1.9E-2</v>
      </c>
      <c r="CV29" s="49">
        <f t="shared" si="34"/>
        <v>1159.75</v>
      </c>
      <c r="CW29" s="22" t="s">
        <v>122</v>
      </c>
      <c r="CX29" s="22" t="s">
        <v>122</v>
      </c>
      <c r="CY29" s="22" t="s">
        <v>122</v>
      </c>
      <c r="CZ29" s="22" t="s">
        <v>122</v>
      </c>
      <c r="DA29" s="22" t="s">
        <v>122</v>
      </c>
      <c r="DB29" s="502">
        <f t="shared" si="35"/>
        <v>500</v>
      </c>
      <c r="DC29" s="29">
        <v>0</v>
      </c>
      <c r="DD29" s="29">
        <v>0</v>
      </c>
      <c r="DE29" s="29">
        <v>0</v>
      </c>
      <c r="DF29" s="49">
        <v>0</v>
      </c>
      <c r="DG29" s="49">
        <v>0</v>
      </c>
      <c r="DH29" s="49">
        <v>0</v>
      </c>
      <c r="DI29" s="49">
        <v>0</v>
      </c>
      <c r="DJ29" s="49">
        <v>0</v>
      </c>
      <c r="DK29" s="29">
        <v>0</v>
      </c>
      <c r="DL29" s="29">
        <v>0</v>
      </c>
      <c r="DM29" s="49">
        <f>INDEX(Input!$1:$1048576,DM$10,$C29*2+6)</f>
        <v>20731.578947368424</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3.5804218821867989E-2</v>
      </c>
      <c r="DZ29" s="37">
        <v>0</v>
      </c>
      <c r="EA29" s="37">
        <v>0.63732034351842626</v>
      </c>
      <c r="EB29" s="37">
        <v>0</v>
      </c>
      <c r="EC29" s="37">
        <v>0</v>
      </c>
      <c r="ED29" s="37">
        <v>0</v>
      </c>
      <c r="EE29" s="37">
        <v>0</v>
      </c>
      <c r="EF29" s="37">
        <v>0</v>
      </c>
      <c r="EG29" s="37">
        <v>0</v>
      </c>
      <c r="EH29" s="37">
        <v>7.0563124253722898E-3</v>
      </c>
      <c r="EI29" s="37">
        <v>8.9025817729576351E-3</v>
      </c>
      <c r="EJ29" s="37">
        <v>0.13056423641006232</v>
      </c>
      <c r="EK29" s="37">
        <v>0.778791090990962</v>
      </c>
      <c r="EL29" s="37">
        <v>7.4685778400645345E-2</v>
      </c>
      <c r="EM29" s="37">
        <v>0.11322216683232803</v>
      </c>
      <c r="EN29" s="37">
        <v>5.2291036761492583E-2</v>
      </c>
      <c r="EO29" s="37">
        <v>0.57513604293671516</v>
      </c>
      <c r="EP29" s="37">
        <v>0.26412407536026306</v>
      </c>
      <c r="EQ29" s="37">
        <v>6.5443929101380818E-2</v>
      </c>
      <c r="ER29" s="37">
        <v>4.3004915840148664E-2</v>
      </c>
      <c r="ES29" s="37">
        <v>0.21365327082737778</v>
      </c>
      <c r="ET29" s="37">
        <v>0.32687543765970573</v>
      </c>
      <c r="EU29" s="36">
        <v>1200</v>
      </c>
      <c r="EV29" s="36">
        <v>0</v>
      </c>
      <c r="EW29" s="36">
        <v>1200</v>
      </c>
      <c r="EX29" s="36">
        <v>0</v>
      </c>
      <c r="EY29" s="36">
        <v>2944.3221407320634</v>
      </c>
      <c r="EZ29" s="36">
        <v>1334.75</v>
      </c>
      <c r="FA29" s="36">
        <v>0</v>
      </c>
      <c r="FB29" s="36">
        <v>0</v>
      </c>
      <c r="FC29" s="36">
        <v>0</v>
      </c>
      <c r="FD29" s="36">
        <v>0</v>
      </c>
      <c r="FE29" s="36">
        <v>0</v>
      </c>
      <c r="FF29" s="36">
        <v>0</v>
      </c>
      <c r="FG29" s="36">
        <v>0</v>
      </c>
      <c r="FH29" s="36">
        <v>1153.968357622759</v>
      </c>
      <c r="FI29" s="36">
        <v>1531.4299904380621</v>
      </c>
      <c r="FJ29" s="36">
        <v>2070.7205842538215</v>
      </c>
      <c r="FK29" s="36">
        <v>2635.3956133202914</v>
      </c>
      <c r="FL29" s="36">
        <v>2005.2147164707267</v>
      </c>
      <c r="FM29" s="36">
        <v>2494.3221407320634</v>
      </c>
      <c r="FN29" s="36">
        <v>0</v>
      </c>
      <c r="FO29" s="36">
        <v>0</v>
      </c>
      <c r="FP29" s="36">
        <v>0</v>
      </c>
      <c r="FQ29" s="36">
        <v>0</v>
      </c>
      <c r="FR29" s="36">
        <v>0</v>
      </c>
      <c r="FS29" s="36">
        <v>0</v>
      </c>
      <c r="FT29" s="37">
        <v>0.67312456234029427</v>
      </c>
      <c r="FU29" s="37">
        <v>0.11322216683232803</v>
      </c>
      <c r="FV29" s="37">
        <v>0.21365327082737778</v>
      </c>
      <c r="FW29" s="518">
        <v>1200</v>
      </c>
      <c r="FX29" s="518">
        <v>2944.3221407320634</v>
      </c>
      <c r="FY29" s="518">
        <v>1334.75</v>
      </c>
      <c r="FZ29" s="36">
        <v>2411.9063952864503</v>
      </c>
      <c r="GA29" s="36">
        <v>1426.2857106712786</v>
      </c>
      <c r="GB29" s="36">
        <v>18268.71428932872</v>
      </c>
      <c r="GC29" s="37">
        <v>7.6138913542514425E-2</v>
      </c>
      <c r="GD29" s="37">
        <v>6.8412328604016026E-2</v>
      </c>
      <c r="GE29" s="37"/>
      <c r="GF29" s="37"/>
      <c r="GG29" s="37">
        <v>-0.10148010496871657</v>
      </c>
      <c r="GH29" s="35">
        <v>2.0278091750268321</v>
      </c>
      <c r="GI29" s="36">
        <v>11138.73806691402</v>
      </c>
      <c r="GJ29" s="34">
        <v>0.51074630601039539</v>
      </c>
      <c r="GK29" s="34">
        <v>0.50829519786160959</v>
      </c>
      <c r="GL29" s="34">
        <v>0.48925369398960439</v>
      </c>
      <c r="GM29" s="33">
        <v>0.49170480213839046</v>
      </c>
      <c r="GN29" s="61"/>
      <c r="GO29" s="13">
        <v>338.16872463277008</v>
      </c>
      <c r="GP29" s="27">
        <v>315.27501390194027</v>
      </c>
      <c r="GQ29" s="27">
        <v>527.27910984145694</v>
      </c>
      <c r="GR29" s="27">
        <v>404.20319246551543</v>
      </c>
      <c r="GS29" s="27">
        <v>334.50205195691484</v>
      </c>
      <c r="GT29" s="27">
        <v>289.18266033348181</v>
      </c>
      <c r="GU29" s="27">
        <v>254.29573314828914</v>
      </c>
      <c r="GV29" s="29" t="s">
        <v>392</v>
      </c>
      <c r="GW29" s="27">
        <v>479.875</v>
      </c>
      <c r="GX29" s="27">
        <v>359.90625</v>
      </c>
      <c r="GY29" s="27">
        <v>287.92500000000001</v>
      </c>
      <c r="GZ29" s="27">
        <v>239.9375</v>
      </c>
      <c r="HA29" s="27">
        <v>219.80275574107543</v>
      </c>
      <c r="HB29" s="29">
        <v>247.46027781648934</v>
      </c>
      <c r="HC29" s="27">
        <v>224.72031249999998</v>
      </c>
      <c r="HD29" s="27">
        <v>196.46848501461983</v>
      </c>
      <c r="HE29" s="27">
        <v>200.4611947537112</v>
      </c>
      <c r="HF29" s="27">
        <v>186.83708059210525</v>
      </c>
      <c r="HG29" s="27">
        <v>181.99222587719296</v>
      </c>
      <c r="HH29" s="12">
        <v>197.74750587819767</v>
      </c>
      <c r="HI29" s="94"/>
      <c r="HJ29" s="24">
        <f>INDEX(Input!$1:$1048576,HJ$10,$C29*2+6)</f>
        <v>0.46495956873315364</v>
      </c>
      <c r="HK29" s="18">
        <f>INDEX(Input!$1:$1048576,HK$10,$C29*2+6)</f>
        <v>0.40296495956873313</v>
      </c>
      <c r="HL29" s="43">
        <f>INDEX(Input!$1:$1048576,HL$10,$C29*2+6)</f>
        <v>0.13207547169811321</v>
      </c>
      <c r="HM29" s="49">
        <f>IF(HL29&lt;FV30,TREND(Y29:Y30,FV29:FV30,HL29),TREND(Y30:Y31,FV30:FV31,HL29))</f>
        <v>-488.39754039747277</v>
      </c>
    </row>
    <row r="30" spans="1:221" s="26" customFormat="1" ht="15">
      <c r="A30" s="117">
        <f t="shared" ref="A30:A31" si="55">C30*1000+B30</f>
        <v>5002</v>
      </c>
      <c r="B30" s="117">
        <f t="shared" si="54"/>
        <v>2</v>
      </c>
      <c r="C30" s="117">
        <f t="shared" si="14"/>
        <v>5</v>
      </c>
      <c r="D30" s="117" t="s">
        <v>568</v>
      </c>
      <c r="E30" s="115">
        <f>INDEX(Input!$1:$1048576,E$10,$C30*2+6)</f>
        <v>750</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1.9E-2</v>
      </c>
      <c r="W30" s="383">
        <f>INDEX(Input!$1:$1048576,W$10,$C30*2+6)</f>
        <v>3.9E-2</v>
      </c>
      <c r="X30" s="118" t="str">
        <f>INDEX(Input!$1:$1048576,X$10,$C30*2+6)</f>
        <v>Y</v>
      </c>
      <c r="Y30" s="520">
        <f>MIN(BX30*10%,4000)+Y29</f>
        <v>2954.25</v>
      </c>
      <c r="Z30" s="30">
        <f>INDEX(Input!$1:$1048576,Z$10,$C30*2+6)</f>
        <v>0</v>
      </c>
      <c r="AA30" s="115">
        <f>INDEX(Input!$1:$1048576,AA$10,$C30*2+6)</f>
        <v>0</v>
      </c>
      <c r="AB30" s="118">
        <f>INDEX(Input!$1:$1048576,AB$10,$C30*2+6)</f>
        <v>0.43</v>
      </c>
      <c r="AC30" s="115">
        <f>INDEX(Input!$1:$1048576,AC$10,$C30*2+6)</f>
        <v>1000</v>
      </c>
      <c r="AD30" s="118">
        <f>INDEX(Input!$1:$1048576,AD$10,$C30*2+6)</f>
        <v>0.35</v>
      </c>
      <c r="AE30" s="115">
        <f>INDEX(Input!$1:$1048576,AE$10,$C30*2+6)</f>
        <v>0</v>
      </c>
      <c r="AF30" s="118">
        <f>INDEX(Input!$1:$1048576,AF$10,$C30*2+6)</f>
        <v>1</v>
      </c>
      <c r="AG30" s="115">
        <f>INDEX(Input!$1:$1048576,AG$10,$C30*2+6)</f>
        <v>500</v>
      </c>
      <c r="AH30" s="118">
        <f>INDEX(Input!$1:$1048576,AH$10,$C30*2+6)</f>
        <v>1</v>
      </c>
      <c r="AI30" s="115">
        <f>INDEX(Input!$1:$1048576,AI$10,$C30*2+6)</f>
        <v>500</v>
      </c>
      <c r="AJ30" s="118">
        <f>INDEX(Input!$1:$1048576,AJ$10,$C30*2+6)</f>
        <v>0.35</v>
      </c>
      <c r="AK30" s="150">
        <f>INDEX(Input!$1:$1048576,AK$10,$C29*2+6)+(Y30-VLOOKUP($C30*1000+1,$A:$HH,Y$9,FALSE))</f>
        <v>6708.2109265464023</v>
      </c>
      <c r="AL30" s="150">
        <f>INDEX(Input!$1:$1048576,AL$10,$C29*2+6)-(Y30-VLOOKUP($C30*1000+1,$A:$HH,Y$9,FALSE))/36</f>
        <v>4684.0025932130693</v>
      </c>
      <c r="AM30" s="32" t="str">
        <f t="shared" ref="AM30:AM31" si="56">IF(K30="market","std",ROUND(K30*1000,0)/10)&amp;"/"&amp;IF(L30="market","std",ROUND(L30*1000,0)/10)&amp;"/"&amp;IF(M30="market","std",ROUND(M30*1000,0)/10)&amp;"/"&amp;IF(N30="market","std",ROUND(N30*1000,0)/10)&amp;IF(P30="N","","/"&amp;IF(O30="market","std",ROUND(O30*1000,0)/10))</f>
        <v>std/std/std/std</v>
      </c>
      <c r="AN30" s="32" t="str">
        <f t="shared" ref="AN30:AN31" si="57">"$"&amp;ROUND(Q30,0)&amp;" + "&amp;IF(S30="market","std",ROUND(S30*1000,0)/10)&amp;"/"&amp;IF(T30="market","std",ROUND(T30*1000,0)/10)&amp;"/"&amp;IF(U30="market","std",ROUND(U30*1000,0)/10)&amp;"/"&amp;IF(V30="market","std",ROUND(V30*1000,0)/10)&amp;IF(X30="N","","/"&amp;IF(W30="market","std",ROUND(W30*1000,0)/10))</f>
        <v>$0 + 0/0/0/1.9/3.9</v>
      </c>
      <c r="AO30" s="32" t="str">
        <f t="shared" ref="AO30:AO31" si="58">IF(S30="market","std",ROUND(S30*1000,0)/10)&amp;"/"&amp;IF(T30="market","std",ROUND(T30*1000,0)/10)&amp;"/"&amp;IF(U30="market","std",ROUND(U30*1000,0)/10)&amp;"/"&amp;IF(V30="market","std",ROUND(V30*1000,0)/10)&amp;IF(X30="N","","/"&amp;IF(W30="market","std",ROUND(W30*1000,0)/10))</f>
        <v>0/0/0/1.9/3.9</v>
      </c>
      <c r="AP30" s="32" t="str">
        <f t="shared" ref="AP30:AP31" si="59">IF(T30="market","std",ROUND(T30*1000,0)/10)&amp;"/"&amp;IF(U30="market","std",ROUND(U30*1000,0)/10)&amp;"/"&amp;IF(V30="market","std",ROUND(V30*1000,0)/10)&amp;IF(X30="N","","/"&amp;IF(W30="market","std",ROUND(W30*1000,0)/10))</f>
        <v>0/0/1.9/3.9</v>
      </c>
      <c r="AQ30" s="150">
        <f t="shared" si="19"/>
        <v>525</v>
      </c>
      <c r="AR30" s="32" t="str">
        <f t="shared" si="20"/>
        <v>0/1.9</v>
      </c>
      <c r="AS30" s="302"/>
      <c r="AT30" s="3">
        <f t="shared" si="21"/>
        <v>14</v>
      </c>
      <c r="AU30" s="41" t="s">
        <v>121</v>
      </c>
      <c r="AV30" s="41" t="s">
        <v>116</v>
      </c>
      <c r="AW30" s="41" t="str">
        <f>INDEX(Input!$1:$1048576,AW$10,$C30*2+6)</f>
        <v>Kia</v>
      </c>
      <c r="AX30" s="41" t="str">
        <f>INDEX(Input!$1:$1048576,AX$10,$C30*2+6)</f>
        <v>Kia-LR - R2</v>
      </c>
      <c r="AY30" s="41" t="str">
        <f>IF(D30="Skip","",INDEX(Input!$1:$1048576,AY$10,$C30*2+6))</f>
        <v>Compact Conventional/Sporty Car (43)</v>
      </c>
      <c r="AZ30" s="41" t="str">
        <f>INDEX(Input!$1:$1048576,AZ$10,$C30*2+6)</f>
        <v>Kia Forte</v>
      </c>
      <c r="BA30" s="3">
        <f>INDEX(Input!$1:$1048576,BA$10,$C30*2+6)</f>
        <v>2020</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19695</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1100</v>
      </c>
      <c r="CJ30" s="16" t="str">
        <f>INDEX(Input!$1:$1048576,CJ$10,$C30*2+6)</f>
        <v>N</v>
      </c>
      <c r="CK30" s="1" t="str">
        <f t="shared" si="23"/>
        <v>Market</v>
      </c>
      <c r="CL30" s="1" t="str">
        <f t="shared" si="24"/>
        <v>Market</v>
      </c>
      <c r="CM30" s="1" t="str">
        <f t="shared" si="25"/>
        <v>Market</v>
      </c>
      <c r="CN30" s="1" t="str">
        <f t="shared" si="26"/>
        <v>Market</v>
      </c>
      <c r="CO30" s="1" t="str">
        <f t="shared" si="27"/>
        <v>Market</v>
      </c>
      <c r="CP30" s="304">
        <f t="shared" si="28"/>
        <v>350</v>
      </c>
      <c r="CQ30" s="1">
        <f t="shared" si="29"/>
        <v>0</v>
      </c>
      <c r="CR30" s="1">
        <f t="shared" si="30"/>
        <v>0</v>
      </c>
      <c r="CS30" s="1">
        <f t="shared" si="31"/>
        <v>0</v>
      </c>
      <c r="CT30" s="1">
        <f t="shared" si="32"/>
        <v>0</v>
      </c>
      <c r="CU30" s="1">
        <f t="shared" si="33"/>
        <v>1.9E-2</v>
      </c>
      <c r="CV30" s="304">
        <f t="shared" si="34"/>
        <v>3129.25</v>
      </c>
      <c r="CW30" s="20" t="s">
        <v>122</v>
      </c>
      <c r="CX30" s="20" t="s">
        <v>122</v>
      </c>
      <c r="CY30" s="20" t="s">
        <v>122</v>
      </c>
      <c r="CZ30" s="20" t="s">
        <v>122</v>
      </c>
      <c r="DA30" s="20" t="s">
        <v>122</v>
      </c>
      <c r="DB30" s="503">
        <f t="shared" si="35"/>
        <v>500</v>
      </c>
      <c r="DC30" s="127">
        <v>0</v>
      </c>
      <c r="DD30" s="127">
        <v>0</v>
      </c>
      <c r="DE30" s="127">
        <v>0</v>
      </c>
      <c r="DF30" s="127">
        <v>0</v>
      </c>
      <c r="DG30" s="127">
        <v>0</v>
      </c>
      <c r="DH30" s="127">
        <v>0</v>
      </c>
      <c r="DI30" s="127">
        <v>0</v>
      </c>
      <c r="DJ30" s="127">
        <v>0</v>
      </c>
      <c r="DK30" s="127">
        <v>0</v>
      </c>
      <c r="DL30" s="127">
        <v>0</v>
      </c>
      <c r="DM30" s="304">
        <f>INDEX(Input!$1:$1048576,DM$10,$C30*2+6)</f>
        <v>20731.578947368424</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3.0878973470356553E-2</v>
      </c>
      <c r="DZ30" s="7">
        <v>0</v>
      </c>
      <c r="EA30" s="7">
        <v>0.54981906552314153</v>
      </c>
      <c r="EB30" s="7">
        <v>0</v>
      </c>
      <c r="EC30" s="7">
        <v>0</v>
      </c>
      <c r="ED30" s="7">
        <v>0</v>
      </c>
      <c r="EE30" s="7">
        <v>0</v>
      </c>
      <c r="EF30" s="7">
        <v>0</v>
      </c>
      <c r="EG30" s="7">
        <v>0</v>
      </c>
      <c r="EH30" s="7">
        <v>7.0351247693836196E-3</v>
      </c>
      <c r="EI30" s="7">
        <v>8.8865700429554585E-3</v>
      </c>
      <c r="EJ30" s="7">
        <v>0.13006189104802615</v>
      </c>
      <c r="EK30" s="7">
        <v>0.7793178878018362</v>
      </c>
      <c r="EL30" s="7">
        <v>7.4698526337798388E-2</v>
      </c>
      <c r="EM30" s="7">
        <v>9.6584614124843315E-2</v>
      </c>
      <c r="EN30" s="7">
        <v>5.7500466960762636E-2</v>
      </c>
      <c r="EO30" s="7">
        <v>0.56912340172566644</v>
      </c>
      <c r="EP30" s="7">
        <v>0.27377866878585583</v>
      </c>
      <c r="EQ30" s="7">
        <v>5.9937738479582114E-2</v>
      </c>
      <c r="ER30" s="7">
        <v>3.9659724048132936E-2</v>
      </c>
      <c r="ES30" s="7">
        <v>0.32271734688165854</v>
      </c>
      <c r="ET30" s="7">
        <v>0.41930196100650191</v>
      </c>
      <c r="EU30" s="6">
        <v>1200</v>
      </c>
      <c r="EV30" s="6">
        <v>0</v>
      </c>
      <c r="EW30" s="6">
        <v>1200</v>
      </c>
      <c r="EX30" s="6">
        <v>0</v>
      </c>
      <c r="EY30" s="6">
        <v>2944.6467201440978</v>
      </c>
      <c r="EZ30" s="6">
        <v>3304.25</v>
      </c>
      <c r="FA30" s="6">
        <v>0</v>
      </c>
      <c r="FB30" s="6">
        <v>0</v>
      </c>
      <c r="FC30" s="6">
        <v>0</v>
      </c>
      <c r="FD30" s="6">
        <v>0</v>
      </c>
      <c r="FE30" s="6">
        <v>0</v>
      </c>
      <c r="FF30" s="6">
        <v>0</v>
      </c>
      <c r="FG30" s="6">
        <v>0</v>
      </c>
      <c r="FH30" s="6">
        <v>1153.9522478929209</v>
      </c>
      <c r="FI30" s="6">
        <v>1531.4299904380618</v>
      </c>
      <c r="FJ30" s="6">
        <v>2070.7205842538219</v>
      </c>
      <c r="FK30" s="6">
        <v>2635.3956133202923</v>
      </c>
      <c r="FL30" s="6">
        <v>2005.2147164707274</v>
      </c>
      <c r="FM30" s="6">
        <v>2494.6467201440978</v>
      </c>
      <c r="FN30" s="6">
        <v>0</v>
      </c>
      <c r="FO30" s="6">
        <v>0</v>
      </c>
      <c r="FP30" s="6">
        <v>0</v>
      </c>
      <c r="FQ30" s="6">
        <v>0</v>
      </c>
      <c r="FR30" s="6">
        <v>0</v>
      </c>
      <c r="FS30" s="6">
        <v>0</v>
      </c>
      <c r="FT30" s="7">
        <v>0.58069803899349803</v>
      </c>
      <c r="FU30" s="7">
        <v>9.6584614124843315E-2</v>
      </c>
      <c r="FV30" s="7">
        <v>0.32271734688165854</v>
      </c>
      <c r="FW30" s="519">
        <v>1200</v>
      </c>
      <c r="FX30" s="519">
        <v>2944.6467201440973</v>
      </c>
      <c r="FY30" s="519">
        <v>3304.25</v>
      </c>
      <c r="FZ30" s="6">
        <v>2411.9063952864503</v>
      </c>
      <c r="GA30" s="6">
        <v>2047.5840074250209</v>
      </c>
      <c r="GB30" s="6">
        <v>17647.415992574977</v>
      </c>
      <c r="GC30" s="7">
        <v>7.6138913542514425E-2</v>
      </c>
      <c r="GD30" s="7">
        <v>7.3087493132228912E-2</v>
      </c>
      <c r="GE30" s="7"/>
      <c r="GF30" s="7"/>
      <c r="GG30" s="7">
        <v>-4.0077015396097843E-2</v>
      </c>
      <c r="GH30" s="42">
        <v>2.1665339395128385</v>
      </c>
      <c r="GI30" s="6">
        <v>11138.140882997703</v>
      </c>
      <c r="GJ30" s="14">
        <v>0.51074630601039539</v>
      </c>
      <c r="GK30" s="14">
        <v>0.50829519786160948</v>
      </c>
      <c r="GL30" s="14">
        <v>0.48925369398960411</v>
      </c>
      <c r="GM30" s="14">
        <v>0.49170480213839018</v>
      </c>
      <c r="GO30" s="5">
        <v>338.16872463277008</v>
      </c>
      <c r="GP30" s="5">
        <v>315.27501390194027</v>
      </c>
      <c r="GQ30" s="5">
        <v>527.27910984145694</v>
      </c>
      <c r="GR30" s="5">
        <v>404.20319246551543</v>
      </c>
      <c r="GS30" s="5">
        <v>334.50205195691484</v>
      </c>
      <c r="GT30" s="5">
        <v>289.18266033348181</v>
      </c>
      <c r="GU30" s="5">
        <v>254.29573314828914</v>
      </c>
      <c r="GV30" s="39" t="s">
        <v>392</v>
      </c>
      <c r="GW30" s="5">
        <v>479.875</v>
      </c>
      <c r="GX30" s="5">
        <v>359.90625</v>
      </c>
      <c r="GY30" s="5">
        <v>287.92500000000001</v>
      </c>
      <c r="GZ30" s="5">
        <v>239.9375</v>
      </c>
      <c r="HA30" s="5">
        <v>219.80275574107543</v>
      </c>
      <c r="HB30" s="39">
        <v>247.42891022153179</v>
      </c>
      <c r="HC30" s="5">
        <v>138.55468749999997</v>
      </c>
      <c r="HD30" s="5">
        <v>137.65702668128651</v>
      </c>
      <c r="HE30" s="5">
        <v>145.85806975371116</v>
      </c>
      <c r="HF30" s="5">
        <v>141.29239309210524</v>
      </c>
      <c r="HG30" s="5">
        <v>144.24347587719296</v>
      </c>
      <c r="HH30" s="39">
        <v>140.43302565133459</v>
      </c>
      <c r="HI30" s="16"/>
      <c r="HJ30" s="1">
        <f>INDEX(Input!$1:$1048576,HJ$10,$C30*2+6)</f>
        <v>0.46495956873315364</v>
      </c>
      <c r="HK30" s="1">
        <f>INDEX(Input!$1:$1048576,HK$10,$C30*2+6)</f>
        <v>0.40296495956873313</v>
      </c>
      <c r="HL30" s="1">
        <f>INDEX(Input!$1:$1048576,HL$10,$C30*2+6)</f>
        <v>0.13207547169811321</v>
      </c>
      <c r="HM30" s="19"/>
    </row>
    <row r="31" spans="1:221" s="26" customFormat="1" ht="15">
      <c r="A31" s="117">
        <f t="shared" si="55"/>
        <v>5003</v>
      </c>
      <c r="B31" s="117">
        <f t="shared" si="54"/>
        <v>3</v>
      </c>
      <c r="C31" s="117">
        <f t="shared" si="14"/>
        <v>5</v>
      </c>
      <c r="D31" s="117" t="s">
        <v>568</v>
      </c>
      <c r="E31" s="115">
        <f>INDEX(Input!$1:$1048576,E$10,$C31*2+6)</f>
        <v>750</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1.9E-2</v>
      </c>
      <c r="W31" s="383">
        <f>INDEX(Input!$1:$1048576,W$10,$C31*2+6)</f>
        <v>3.9E-2</v>
      </c>
      <c r="X31" s="118" t="str">
        <f>INDEX(Input!$1:$1048576,X$10,$C31*2+6)</f>
        <v>Y</v>
      </c>
      <c r="Y31" s="520">
        <f>MIN(BX31*10%,4000)+Y30</f>
        <v>4923.75</v>
      </c>
      <c r="Z31" s="30">
        <f>INDEX(Input!$1:$1048576,Z$10,$C31*2+6)</f>
        <v>0</v>
      </c>
      <c r="AA31" s="115">
        <f>INDEX(Input!$1:$1048576,AA$10,$C31*2+6)</f>
        <v>0</v>
      </c>
      <c r="AB31" s="118">
        <f>INDEX(Input!$1:$1048576,AB$10,$C31*2+6)</f>
        <v>0.43</v>
      </c>
      <c r="AC31" s="115">
        <f>INDEX(Input!$1:$1048576,AC$10,$C31*2+6)</f>
        <v>1000</v>
      </c>
      <c r="AD31" s="118">
        <f>INDEX(Input!$1:$1048576,AD$10,$C31*2+6)</f>
        <v>0.35</v>
      </c>
      <c r="AE31" s="115">
        <f>INDEX(Input!$1:$1048576,AE$10,$C31*2+6)</f>
        <v>0</v>
      </c>
      <c r="AF31" s="118">
        <f>INDEX(Input!$1:$1048576,AF$10,$C31*2+6)</f>
        <v>1</v>
      </c>
      <c r="AG31" s="115">
        <f>INDEX(Input!$1:$1048576,AG$10,$C31*2+6)</f>
        <v>500</v>
      </c>
      <c r="AH31" s="118">
        <f>INDEX(Input!$1:$1048576,AH$10,$C31*2+6)</f>
        <v>1</v>
      </c>
      <c r="AI31" s="115">
        <f>INDEX(Input!$1:$1048576,AI$10,$C31*2+6)</f>
        <v>500</v>
      </c>
      <c r="AJ31" s="118">
        <f>INDEX(Input!$1:$1048576,AJ$10,$C31*2+6)</f>
        <v>0.35</v>
      </c>
      <c r="AK31" s="150">
        <f>INDEX(Input!$1:$1048576,AK$10,$C30*2+6)+(Y31-VLOOKUP($C31*1000+1,$A:$HH,Y$9,FALSE))</f>
        <v>8677.7109265464023</v>
      </c>
      <c r="AL31" s="150">
        <f>INDEX(Input!$1:$1048576,AL$10,$C30*2+6)-(Y31-VLOOKUP($C31*1000+1,$A:$HH,Y$9,FALSE))/36</f>
        <v>4629.2942598797354</v>
      </c>
      <c r="AM31" s="32" t="str">
        <f t="shared" si="56"/>
        <v>std/std/std/std</v>
      </c>
      <c r="AN31" s="32" t="str">
        <f t="shared" si="57"/>
        <v>$0 + 0/0/0/1.9/3.9</v>
      </c>
      <c r="AO31" s="32" t="str">
        <f t="shared" si="58"/>
        <v>0/0/0/1.9/3.9</v>
      </c>
      <c r="AP31" s="32" t="str">
        <f t="shared" si="59"/>
        <v>0/0/1.9/3.9</v>
      </c>
      <c r="AQ31" s="150">
        <f t="shared" si="19"/>
        <v>525</v>
      </c>
      <c r="AR31" s="32" t="str">
        <f t="shared" si="20"/>
        <v>0/1.9</v>
      </c>
      <c r="AS31" s="302"/>
      <c r="AT31" s="3">
        <f t="shared" si="21"/>
        <v>15</v>
      </c>
      <c r="AU31" s="41" t="s">
        <v>121</v>
      </c>
      <c r="AV31" s="41" t="s">
        <v>116</v>
      </c>
      <c r="AW31" s="41" t="str">
        <f>INDEX(Input!$1:$1048576,AW$10,$C31*2+6)</f>
        <v>Kia</v>
      </c>
      <c r="AX31" s="41" t="str">
        <f>INDEX(Input!$1:$1048576,AX$10,$C31*2+6)</f>
        <v>Kia-LR - R2</v>
      </c>
      <c r="AY31" s="41" t="str">
        <f>IF(D31="Skip","",INDEX(Input!$1:$1048576,AY$10,$C31*2+6))</f>
        <v>Compact Conventional/Sporty Car (43)</v>
      </c>
      <c r="AZ31" s="41" t="str">
        <f>INDEX(Input!$1:$1048576,AZ$10,$C31*2+6)</f>
        <v>Kia Forte</v>
      </c>
      <c r="BA31" s="3">
        <f>INDEX(Input!$1:$1048576,BA$10,$C31*2+6)</f>
        <v>2020</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19695</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1100</v>
      </c>
      <c r="CJ31" s="16" t="str">
        <f>INDEX(Input!$1:$1048576,CJ$10,$C31*2+6)</f>
        <v>N</v>
      </c>
      <c r="CK31" s="1" t="str">
        <f t="shared" si="23"/>
        <v>Market</v>
      </c>
      <c r="CL31" s="1" t="str">
        <f t="shared" si="24"/>
        <v>Market</v>
      </c>
      <c r="CM31" s="1" t="str">
        <f t="shared" si="25"/>
        <v>Market</v>
      </c>
      <c r="CN31" s="1" t="str">
        <f t="shared" si="26"/>
        <v>Market</v>
      </c>
      <c r="CO31" s="1" t="str">
        <f t="shared" si="27"/>
        <v>Market</v>
      </c>
      <c r="CP31" s="304">
        <f t="shared" si="28"/>
        <v>350</v>
      </c>
      <c r="CQ31" s="1">
        <f t="shared" si="29"/>
        <v>0</v>
      </c>
      <c r="CR31" s="1">
        <f t="shared" si="30"/>
        <v>0</v>
      </c>
      <c r="CS31" s="1">
        <f t="shared" si="31"/>
        <v>0</v>
      </c>
      <c r="CT31" s="1">
        <f t="shared" si="32"/>
        <v>0</v>
      </c>
      <c r="CU31" s="1">
        <f t="shared" si="33"/>
        <v>1.9E-2</v>
      </c>
      <c r="CV31" s="304">
        <f t="shared" si="34"/>
        <v>5098.75</v>
      </c>
      <c r="CW31" s="20" t="s">
        <v>122</v>
      </c>
      <c r="CX31" s="20" t="s">
        <v>122</v>
      </c>
      <c r="CY31" s="20" t="s">
        <v>122</v>
      </c>
      <c r="CZ31" s="20" t="s">
        <v>122</v>
      </c>
      <c r="DA31" s="20" t="s">
        <v>122</v>
      </c>
      <c r="DB31" s="503">
        <f t="shared" si="35"/>
        <v>500</v>
      </c>
      <c r="DC31" s="127">
        <v>0</v>
      </c>
      <c r="DD31" s="127">
        <v>0</v>
      </c>
      <c r="DE31" s="127">
        <v>0</v>
      </c>
      <c r="DF31" s="127">
        <v>0</v>
      </c>
      <c r="DG31" s="127">
        <v>0</v>
      </c>
      <c r="DH31" s="127">
        <v>0</v>
      </c>
      <c r="DI31" s="127">
        <v>0</v>
      </c>
      <c r="DJ31" s="127">
        <v>0</v>
      </c>
      <c r="DK31" s="127">
        <v>0</v>
      </c>
      <c r="DL31" s="127">
        <v>0</v>
      </c>
      <c r="DM31" s="304">
        <f>INDEX(Input!$1:$1048576,DM$10,$C31*2+6)</f>
        <v>20731.578947368424</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2.3601438032594593E-2</v>
      </c>
      <c r="DZ31" s="7">
        <v>0</v>
      </c>
      <c r="EA31" s="7">
        <v>0.42046518684953699</v>
      </c>
      <c r="EB31" s="7">
        <v>0</v>
      </c>
      <c r="EC31" s="7">
        <v>0</v>
      </c>
      <c r="ED31" s="7">
        <v>0</v>
      </c>
      <c r="EE31" s="7">
        <v>0</v>
      </c>
      <c r="EF31" s="7">
        <v>0</v>
      </c>
      <c r="EG31" s="7">
        <v>0</v>
      </c>
      <c r="EH31" s="7">
        <v>7.0000864988454155E-3</v>
      </c>
      <c r="EI31" s="7">
        <v>8.8606793510260587E-3</v>
      </c>
      <c r="EJ31" s="7">
        <v>0.12922815884445349</v>
      </c>
      <c r="EK31" s="7">
        <v>0.78019115990585342</v>
      </c>
      <c r="EL31" s="7">
        <v>7.4719915399821674E-2</v>
      </c>
      <c r="EM31" s="7">
        <v>7.2511793161977839E-2</v>
      </c>
      <c r="EN31" s="7">
        <v>6.6233052335107886E-2</v>
      </c>
      <c r="EO31" s="7">
        <v>0.56127844324501341</v>
      </c>
      <c r="EP31" s="7">
        <v>0.28423123268600986</v>
      </c>
      <c r="EQ31" s="7">
        <v>5.3078766497295218E-2</v>
      </c>
      <c r="ER31" s="7">
        <v>3.5178505236573634E-2</v>
      </c>
      <c r="ES31" s="7">
        <v>0.48342158195589058</v>
      </c>
      <c r="ET31" s="7">
        <v>0.55593337511786844</v>
      </c>
      <c r="EU31" s="6">
        <v>1200</v>
      </c>
      <c r="EV31" s="6">
        <v>0</v>
      </c>
      <c r="EW31" s="6">
        <v>1200</v>
      </c>
      <c r="EX31" s="6">
        <v>0</v>
      </c>
      <c r="EY31" s="6">
        <v>2945.1843317014605</v>
      </c>
      <c r="EZ31" s="6">
        <v>5273.75</v>
      </c>
      <c r="FA31" s="6">
        <v>0</v>
      </c>
      <c r="FB31" s="6">
        <v>0</v>
      </c>
      <c r="FC31" s="6">
        <v>0</v>
      </c>
      <c r="FD31" s="6">
        <v>0</v>
      </c>
      <c r="FE31" s="6">
        <v>0</v>
      </c>
      <c r="FF31" s="6">
        <v>0</v>
      </c>
      <c r="FG31" s="6">
        <v>0</v>
      </c>
      <c r="FH31" s="6">
        <v>1153.9255528081972</v>
      </c>
      <c r="FI31" s="6">
        <v>1531.4299904380625</v>
      </c>
      <c r="FJ31" s="6">
        <v>2070.720584253821</v>
      </c>
      <c r="FK31" s="6">
        <v>2635.3956133202914</v>
      </c>
      <c r="FL31" s="6">
        <v>2005.2147164707274</v>
      </c>
      <c r="FM31" s="6">
        <v>2495.1843317014605</v>
      </c>
      <c r="FN31" s="6">
        <v>0</v>
      </c>
      <c r="FO31" s="6">
        <v>0</v>
      </c>
      <c r="FP31" s="6">
        <v>0</v>
      </c>
      <c r="FQ31" s="6">
        <v>0</v>
      </c>
      <c r="FR31" s="6">
        <v>0</v>
      </c>
      <c r="FS31" s="6">
        <v>0</v>
      </c>
      <c r="FT31" s="7">
        <v>0.44406662488213156</v>
      </c>
      <c r="FU31" s="7">
        <v>7.2511793161977839E-2</v>
      </c>
      <c r="FV31" s="7">
        <v>0.48342158195589058</v>
      </c>
      <c r="FW31" s="519">
        <v>1200</v>
      </c>
      <c r="FX31" s="519">
        <v>2945.1843317014605</v>
      </c>
      <c r="FY31" s="519">
        <v>5273.75</v>
      </c>
      <c r="FZ31" s="6">
        <v>2411.9063952864503</v>
      </c>
      <c r="GA31" s="6">
        <v>3295.8851147826699</v>
      </c>
      <c r="GB31" s="6">
        <v>16399.114885217328</v>
      </c>
      <c r="GC31" s="7">
        <v>7.6138913542514425E-2</v>
      </c>
      <c r="GD31" s="7">
        <v>8.2379348469786076E-2</v>
      </c>
      <c r="GE31" s="7"/>
      <c r="GF31" s="7"/>
      <c r="GG31" s="7">
        <v>8.1961176446090467E-2</v>
      </c>
      <c r="GH31" s="42">
        <v>1.8260907581866908</v>
      </c>
      <c r="GI31" s="6">
        <v>14081.219804038281</v>
      </c>
      <c r="GJ31" s="14">
        <v>0.5107463060103955</v>
      </c>
      <c r="GK31" s="14">
        <v>0.50829519786160982</v>
      </c>
      <c r="GL31" s="14">
        <v>0.48925369398960428</v>
      </c>
      <c r="GM31" s="14">
        <v>0.4917048021383903</v>
      </c>
      <c r="GO31" s="5">
        <v>338.16872463277008</v>
      </c>
      <c r="GP31" s="5">
        <v>315.27501390194027</v>
      </c>
      <c r="GQ31" s="5">
        <v>527.27910984145694</v>
      </c>
      <c r="GR31" s="5">
        <v>404.20319246551543</v>
      </c>
      <c r="GS31" s="5">
        <v>334.50205195691484</v>
      </c>
      <c r="GT31" s="5">
        <v>289.18266033348181</v>
      </c>
      <c r="GU31" s="5">
        <v>254.29573314828914</v>
      </c>
      <c r="GV31" s="39" t="s">
        <v>392</v>
      </c>
      <c r="GW31" s="5">
        <v>479.875</v>
      </c>
      <c r="GX31" s="5">
        <v>359.90625</v>
      </c>
      <c r="GY31" s="5">
        <v>287.92500000000001</v>
      </c>
      <c r="GZ31" s="5">
        <v>239.9375</v>
      </c>
      <c r="HA31" s="5">
        <v>219.80275574107543</v>
      </c>
      <c r="HB31" s="39">
        <v>247.37695776513445</v>
      </c>
      <c r="HC31" s="5">
        <v>52.389062499999966</v>
      </c>
      <c r="HD31" s="5">
        <v>78.845568347953161</v>
      </c>
      <c r="HE31" s="5">
        <v>91.254944753711172</v>
      </c>
      <c r="HF31" s="5">
        <v>95.747705592105234</v>
      </c>
      <c r="HG31" s="5">
        <v>106.49472587719296</v>
      </c>
      <c r="HH31" s="39">
        <v>82.490206193211677</v>
      </c>
      <c r="HI31" s="16"/>
      <c r="HJ31" s="1">
        <f>INDEX(Input!$1:$1048576,HJ$10,$C31*2+6)</f>
        <v>0.46495956873315364</v>
      </c>
      <c r="HK31" s="1">
        <f>INDEX(Input!$1:$1048576,HK$10,$C31*2+6)</f>
        <v>0.40296495956873313</v>
      </c>
      <c r="HL31" s="1">
        <f>INDEX(Input!$1:$1048576,HL$10,$C31*2+6)</f>
        <v>0.13207547169811321</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DF38" s="127"/>
      <c r="DG38" s="127"/>
      <c r="DH38" s="127"/>
      <c r="DI38" s="127"/>
      <c r="DJ38" s="127"/>
      <c r="DK38" s="1"/>
      <c r="DL38" s="304"/>
      <c r="DM38" s="20"/>
      <c r="DN38" s="20"/>
      <c r="DO38" s="20"/>
      <c r="DP38" s="20"/>
      <c r="DQ38" s="20"/>
      <c r="DR38" s="503"/>
      <c r="DS38" s="127"/>
      <c r="DT38" s="127"/>
      <c r="DU38" s="127"/>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
      <c r="DL39" s="304"/>
      <c r="DM39" s="20"/>
      <c r="DN39" s="20"/>
      <c r="DO39" s="20"/>
      <c r="DP39" s="20"/>
      <c r="DQ39" s="20"/>
      <c r="DR39" s="503"/>
      <c r="DS39" s="127"/>
      <c r="DT39" s="127"/>
      <c r="DU39" s="127"/>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
      <c r="DL40" s="304"/>
      <c r="DM40" s="20"/>
      <c r="DN40" s="20"/>
      <c r="DO40" s="20"/>
      <c r="DP40" s="20"/>
      <c r="DQ40" s="20"/>
      <c r="DR40" s="503"/>
      <c r="DS40" s="127"/>
      <c r="DT40" s="127"/>
      <c r="DU40" s="127"/>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60">IF(D46="Baseline1",1,B45+1)</f>
        <v>1</v>
      </c>
      <c r="C46" s="508">
        <v>1</v>
      </c>
      <c r="D46" s="31" t="s">
        <v>566</v>
      </c>
      <c r="E46" s="365">
        <f>INDEX(Input!$1:$1048576,E$10,$C46*2+MIN($B46,2)+5)</f>
        <v>750</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1.9E-2</v>
      </c>
      <c r="W46" s="38">
        <f>INDEX(Input!$1:$1048576,W$10,$C46*2+MIN($B46,2)+5)</f>
        <v>3.9E-2</v>
      </c>
      <c r="X46" s="367" t="str">
        <f>INDEX(Input!$1:$1048576,X$10,$C46*2+MIN($B46,2)+5)</f>
        <v>Y</v>
      </c>
      <c r="Y46" s="517">
        <f>HM17-500</f>
        <v>3075.3673677825755</v>
      </c>
      <c r="Z46" s="49">
        <f>INDEX(Input!$1:$1048576,Z$10,$C46*2+MIN($B46,2)+5)</f>
        <v>0</v>
      </c>
      <c r="AA46" s="49">
        <f>INDEX(Input!$1:$1048576,AA$10,$C46*2+MIN($B46,2)+5)</f>
        <v>0</v>
      </c>
      <c r="AB46" s="367">
        <f>INDEX(Input!$1:$1048576,AB$10,$C46*2+MIN($B46,2)+5)</f>
        <v>1</v>
      </c>
      <c r="AC46" s="49">
        <f>INDEX(Input!$1:$1048576,AC$10,$C46*2+MIN($B46,2)+5)</f>
        <v>1000</v>
      </c>
      <c r="AD46" s="367">
        <f>INDEX(Input!$1:$1048576,AD$10,$C46*2+MIN($B46,2)+5)</f>
        <v>0.35</v>
      </c>
      <c r="AE46" s="49">
        <f>INDEX(Input!$1:$1048576,AE$10,$C46*2+MIN($B46,2)+5)</f>
        <v>0</v>
      </c>
      <c r="AF46" s="367">
        <f>INDEX(Input!$1:$1048576,AF$10,$C46*2+MIN($B46,2)+5)</f>
        <v>1</v>
      </c>
      <c r="AG46" s="49">
        <f>INDEX(Input!$1:$1048576,AG$10,$C46*2+MIN($B46,2)+5)</f>
        <v>500</v>
      </c>
      <c r="AH46" s="367">
        <f>INDEX(Input!$1:$1048576,AH$10,$C46*2+MIN($B46,2)+5)</f>
        <v>1</v>
      </c>
      <c r="AI46" s="49">
        <f>INDEX(Input!$1:$1048576,AI$10,$C46*2+MIN($B46,2)+5)</f>
        <v>500</v>
      </c>
      <c r="AJ46" s="367">
        <f>INDEX(Input!$1:$1048576,AJ$10,$C46*2+MIN($B46,2)+5)</f>
        <v>0.35</v>
      </c>
      <c r="AK46" s="298">
        <f>INDEX(Input!$1:$1048576,AK$10,$C46*2+MIN($B46,2)+5)</f>
        <v>5598.7109265464023</v>
      </c>
      <c r="AL46" s="49">
        <f>INDEX(Input!$1:$1048576,AL$10,$C46*2+MIN($B46,2)+5)</f>
        <v>5598.7109265464023</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+ 0/0/0/1.9/3.9</v>
      </c>
      <c r="AO46" s="44" t="str">
        <f>IF(S46="market","std",ROUND(S46*1000,0)/10)&amp;"/"&amp;IF(T46="market","std",ROUND(T46*1000,0)/10)&amp;"/"&amp;IF(U46="market","std",ROUND(U46*1000,0)/10)&amp;"/"&amp;IF(V46="market","std",ROUND(V46*1000,0)/10)&amp;IF(X46="N","","/"&amp;IF(W46="market","std",ROUND(W46*1000,0)/10))</f>
        <v>0/0/0/1.9/3.9</v>
      </c>
      <c r="AP46" s="44" t="str">
        <f>IF(T46="market","std",ROUND(T46*1000,0)/10)&amp;"/"&amp;IF(U46="market","std",ROUND(U46*1000,0)/10)&amp;"/"&amp;IF(V46="market","std",ROUND(V46*1000,0)/10)&amp;IF(X46="N","","/"&amp;IF(W46="market","std",ROUND(W46*1000,0)/10))</f>
        <v>0/0/1.9/3.9</v>
      </c>
      <c r="AQ46" s="49">
        <f>SUM(F46*(1-ET46),G46*EM46,H46*ES46,AC46*AD46,AE46*AF46,AI46*AJ46)</f>
        <v>525</v>
      </c>
      <c r="AR46" s="44" t="str">
        <f>IF(U46="market","std",ROUND(U46*1000,0)/10)&amp;"/"&amp;IF(V46="market","std",ROUND(V46*1000,0)/10)</f>
        <v>0/1.9</v>
      </c>
      <c r="AS46" s="368"/>
      <c r="AT46" s="50">
        <v>1</v>
      </c>
      <c r="AU46" s="45" t="s">
        <v>121</v>
      </c>
      <c r="AV46" s="45" t="s">
        <v>116</v>
      </c>
      <c r="AW46" s="45" t="str">
        <f>INDEX(Input!$1:$1048576,AW$10,$C46*2+6)</f>
        <v>Kia</v>
      </c>
      <c r="AX46" s="45" t="str">
        <f>INDEX(Input!$1:$1048576,AX$10,$C46*2+6)</f>
        <v>Kia-LR - L1</v>
      </c>
      <c r="AY46" s="10" t="str">
        <f>IF(D46="Skip","",INDEX(Input!$1:$1048576,AY$10,$C46*2+6))</f>
        <v>Compact Conventional/Sporty Car (43)</v>
      </c>
      <c r="AZ46" s="45" t="str">
        <f>INDEX(Input!$1:$1048576,AZ$10,$C46*2+6)</f>
        <v>Kia Forte</v>
      </c>
      <c r="BA46" s="50">
        <f>INDEX(Input!$1:$1048576,BA$10,$C46*2+6)</f>
        <v>2020</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19695</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E46+F46*I46+AA46*AB46+AC46*AD46</f>
        <v>1100</v>
      </c>
      <c r="CJ46" s="46" t="str">
        <f>INDEX(Input!$1:$1048576,CJ$10,$C46*2+6)</f>
        <v>N</v>
      </c>
      <c r="CK46" s="38" t="str">
        <f t="shared" ref="CK46:CK60" si="61">J46</f>
        <v>Market</v>
      </c>
      <c r="CL46" s="38" t="str">
        <f t="shared" ref="CL46:CL60" si="62">K46</f>
        <v>Market</v>
      </c>
      <c r="CM46" s="38" t="str">
        <f t="shared" ref="CM46:CM60" si="63">L46</f>
        <v>Market</v>
      </c>
      <c r="CN46" s="38" t="str">
        <f t="shared" ref="CN46:CN60" si="64">M46</f>
        <v>Market</v>
      </c>
      <c r="CO46" s="38" t="str">
        <f t="shared" ref="CO46:CO60" si="65">N46</f>
        <v>Market</v>
      </c>
      <c r="CP46" s="49">
        <f t="shared" ref="CP46:CP60" si="66">Q46+G46*I46+AA46*AB46+AC46*AD46</f>
        <v>350</v>
      </c>
      <c r="CQ46" s="38">
        <f t="shared" ref="CQ46:CQ60" si="67">R46</f>
        <v>0</v>
      </c>
      <c r="CR46" s="38">
        <f t="shared" ref="CR46:CR60" si="68">S46</f>
        <v>0</v>
      </c>
      <c r="CS46" s="38">
        <f t="shared" ref="CS46:CS60" si="69">T46</f>
        <v>0</v>
      </c>
      <c r="CT46" s="38">
        <f t="shared" ref="CT46:CT60" si="70">U46</f>
        <v>0</v>
      </c>
      <c r="CU46" s="38">
        <f t="shared" ref="CU46:CU60" si="71">V46</f>
        <v>1.9E-2</v>
      </c>
      <c r="CV46" s="49">
        <f>Y46+H46*I46+AE46*AF46+AI46*AJ46</f>
        <v>3250.3673677825755</v>
      </c>
      <c r="CW46" s="22" t="s">
        <v>122</v>
      </c>
      <c r="CX46" s="22" t="s">
        <v>122</v>
      </c>
      <c r="CY46" s="22" t="s">
        <v>122</v>
      </c>
      <c r="CZ46" s="22" t="s">
        <v>122</v>
      </c>
      <c r="DA46" s="22" t="s">
        <v>122</v>
      </c>
      <c r="DB46" s="502">
        <f t="shared" ref="DB46:DB60" si="72">Z46+AG46*AH46</f>
        <v>500</v>
      </c>
      <c r="DC46" s="29">
        <v>0</v>
      </c>
      <c r="DD46" s="29">
        <v>0</v>
      </c>
      <c r="DE46" s="29">
        <v>0</v>
      </c>
      <c r="DF46" s="49">
        <v>0</v>
      </c>
      <c r="DG46" s="49">
        <v>0</v>
      </c>
      <c r="DH46" s="49">
        <v>0</v>
      </c>
      <c r="DI46" s="49">
        <v>0</v>
      </c>
      <c r="DJ46" s="49">
        <v>0</v>
      </c>
      <c r="DK46" s="29">
        <v>0</v>
      </c>
      <c r="DL46" s="29">
        <v>0</v>
      </c>
      <c r="DM46" s="49">
        <f>INDEX(Input!$1:$1048576,DM$10,$C46*2+6)</f>
        <v>20731.578947368424</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1.5559710329882898E-2</v>
      </c>
      <c r="DZ46" s="37">
        <v>0</v>
      </c>
      <c r="EA46" s="37">
        <v>0.24520304475226229</v>
      </c>
      <c r="EB46" s="37">
        <v>0</v>
      </c>
      <c r="EC46" s="37">
        <v>0</v>
      </c>
      <c r="ED46" s="37">
        <v>0</v>
      </c>
      <c r="EE46" s="37">
        <v>0</v>
      </c>
      <c r="EF46" s="37">
        <v>0</v>
      </c>
      <c r="EG46" s="37">
        <v>0</v>
      </c>
      <c r="EH46" s="37">
        <v>9.965738962283064E-3</v>
      </c>
      <c r="EI46" s="37">
        <v>1.7925313651193715E-2</v>
      </c>
      <c r="EJ46" s="37">
        <v>0.14097560612340293</v>
      </c>
      <c r="EK46" s="37">
        <v>0.75863240724128334</v>
      </c>
      <c r="EL46" s="37">
        <v>7.2500934021836966E-2</v>
      </c>
      <c r="EM46" s="37">
        <v>3.0880055469552737E-2</v>
      </c>
      <c r="EN46" s="37">
        <v>5.3189258847642293E-2</v>
      </c>
      <c r="EO46" s="37">
        <v>0.54491933255880121</v>
      </c>
      <c r="EP46" s="37">
        <v>0.30768689155179979</v>
      </c>
      <c r="EQ46" s="37">
        <v>5.4713976856873361E-2</v>
      </c>
      <c r="ER46" s="37">
        <v>3.9490540184883405E-2</v>
      </c>
      <c r="ES46" s="37">
        <v>0.70835718944830217</v>
      </c>
      <c r="ET46" s="37">
        <v>0.73923724491785481</v>
      </c>
      <c r="EU46" s="36">
        <v>1200</v>
      </c>
      <c r="EV46" s="36">
        <v>0</v>
      </c>
      <c r="EW46" s="36">
        <v>1200</v>
      </c>
      <c r="EX46" s="36">
        <v>0</v>
      </c>
      <c r="EY46" s="36">
        <v>2925.5306458308569</v>
      </c>
      <c r="EZ46" s="36">
        <v>4030.937694188071</v>
      </c>
      <c r="FA46" s="36">
        <v>0</v>
      </c>
      <c r="FB46" s="36">
        <v>0</v>
      </c>
      <c r="FC46" s="36">
        <v>0</v>
      </c>
      <c r="FD46" s="36">
        <v>0</v>
      </c>
      <c r="FE46" s="36">
        <v>0</v>
      </c>
      <c r="FF46" s="36">
        <v>0</v>
      </c>
      <c r="FG46" s="36">
        <v>0</v>
      </c>
      <c r="FH46" s="36">
        <v>1152.1208270377815</v>
      </c>
      <c r="FI46" s="36">
        <v>1531.4299904380614</v>
      </c>
      <c r="FJ46" s="36">
        <v>2070.7205842538224</v>
      </c>
      <c r="FK46" s="36">
        <v>2635.3956133202919</v>
      </c>
      <c r="FL46" s="36">
        <v>2005.2147164707278</v>
      </c>
      <c r="FM46" s="36">
        <v>2475.5306458308569</v>
      </c>
      <c r="FN46" s="36">
        <v>0</v>
      </c>
      <c r="FO46" s="36">
        <v>0</v>
      </c>
      <c r="FP46" s="36">
        <v>0</v>
      </c>
      <c r="FQ46" s="36">
        <v>0</v>
      </c>
      <c r="FR46" s="36">
        <v>0</v>
      </c>
      <c r="FS46" s="36">
        <v>0</v>
      </c>
      <c r="FT46" s="37">
        <v>0.26076275508214519</v>
      </c>
      <c r="FU46" s="37">
        <v>3.0880055469552737E-2</v>
      </c>
      <c r="FV46" s="37">
        <v>0.70835718944830217</v>
      </c>
      <c r="FW46" s="518">
        <v>1200.0000000000002</v>
      </c>
      <c r="FX46" s="518">
        <v>2925.5306458308569</v>
      </c>
      <c r="FY46" s="518">
        <v>4030.937694188071</v>
      </c>
      <c r="FZ46" s="36">
        <v>3077.4375890575293</v>
      </c>
      <c r="GA46" s="36">
        <v>3258.5995506159893</v>
      </c>
      <c r="GB46" s="36">
        <v>16436.400449384011</v>
      </c>
      <c r="GC46" s="37">
        <v>7.0901643973087014E-2</v>
      </c>
      <c r="GD46" s="37">
        <v>7.2513463571027281E-2</v>
      </c>
      <c r="GE46" s="37"/>
      <c r="GF46" s="37"/>
      <c r="GG46" s="37">
        <v>2.2733176660220809E-2</v>
      </c>
      <c r="GH46" s="35">
        <v>2.471434458268265</v>
      </c>
      <c r="GI46" s="36">
        <v>11227.655713165525</v>
      </c>
      <c r="GJ46" s="34">
        <v>0.51074630601039572</v>
      </c>
      <c r="GK46" s="34">
        <v>0.50829519786160982</v>
      </c>
      <c r="GL46" s="34">
        <v>0.48925369398960428</v>
      </c>
      <c r="GM46" s="33">
        <v>0.49170480213839035</v>
      </c>
      <c r="GN46" s="61"/>
      <c r="GO46" s="13">
        <v>338.16872463277008</v>
      </c>
      <c r="GP46" s="27">
        <v>315.27501390194027</v>
      </c>
      <c r="GQ46" s="27">
        <v>527.27910984145694</v>
      </c>
      <c r="GR46" s="27">
        <v>404.20319246551543</v>
      </c>
      <c r="GS46" s="27">
        <v>334.50205195691484</v>
      </c>
      <c r="GT46" s="27">
        <v>289.18266033348181</v>
      </c>
      <c r="GU46" s="27">
        <v>254.29573314828914</v>
      </c>
      <c r="GV46" s="29" t="s">
        <v>392</v>
      </c>
      <c r="GW46" s="27">
        <v>479.875</v>
      </c>
      <c r="GX46" s="27">
        <v>359.90625</v>
      </c>
      <c r="GY46" s="27">
        <v>287.92500000000001</v>
      </c>
      <c r="GZ46" s="27">
        <v>239.9375</v>
      </c>
      <c r="HA46" s="27">
        <v>219.80275574107543</v>
      </c>
      <c r="HB46" s="29">
        <v>249.78441109813838</v>
      </c>
      <c r="HC46" s="27">
        <v>106.76210087927187</v>
      </c>
      <c r="HD46" s="27">
        <v>115.9573247020594</v>
      </c>
      <c r="HE46" s="27">
        <v>125.71111925779189</v>
      </c>
      <c r="HF46" s="27">
        <v>124.48774016400611</v>
      </c>
      <c r="HG46" s="27">
        <v>130.31529507192161</v>
      </c>
      <c r="HH46" s="12">
        <v>119.50308924970423</v>
      </c>
      <c r="HI46" s="94"/>
      <c r="HJ46" s="24">
        <f>INDEX(Input!$1:$1048576,HJ$10,$C46*2+6)</f>
        <v>0.15848670756646213</v>
      </c>
      <c r="HK46" s="18">
        <f>INDEX(Input!$1:$1048576,HK$10,$C46*2+6)</f>
        <v>0.14314928425357873</v>
      </c>
      <c r="HL46" s="43">
        <f>INDEX(Input!$1:$1048576,HL$10,$C46*2+6)</f>
        <v>0.69836400817995914</v>
      </c>
      <c r="HM46" s="49">
        <f>ROUND(IF(HL46&lt;FV47,TREND(Y46:Y47,FV46:FV47,HL46),TREND(Y47:Y48,FV47:FV48,HL46)),0)</f>
        <v>2943</v>
      </c>
    </row>
    <row r="47" spans="1:221" s="26" customFormat="1" ht="15">
      <c r="A47" s="117">
        <f t="shared" ref="A47:A48" si="73">C47*1000+B47</f>
        <v>1002</v>
      </c>
      <c r="B47" s="117">
        <f t="shared" si="60"/>
        <v>2</v>
      </c>
      <c r="C47" s="117">
        <f t="shared" ref="C47:C60" si="74">C46</f>
        <v>1</v>
      </c>
      <c r="D47" s="117" t="s">
        <v>568</v>
      </c>
      <c r="E47" s="115">
        <f>INDEX(Input!$1:$1048576,E$10,$C47*2+6)</f>
        <v>750</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1.9E-2</v>
      </c>
      <c r="W47" s="383">
        <f>INDEX(Input!$1:$1048576,W$10,$C47*2+6)</f>
        <v>3.9E-2</v>
      </c>
      <c r="X47" s="118" t="str">
        <f>INDEX(Input!$1:$1048576,X$10,$C47*2+6)</f>
        <v>Y</v>
      </c>
      <c r="Y47" s="520">
        <f>Y46+500</f>
        <v>3575.3673677825755</v>
      </c>
      <c r="Z47" s="30">
        <f>INDEX(Input!$1:$1048576,Z$10,$C47*2+6)</f>
        <v>0</v>
      </c>
      <c r="AA47" s="115">
        <f>INDEX(Input!$1:$1048576,AA$10,$C47*2+6)</f>
        <v>0</v>
      </c>
      <c r="AB47" s="118">
        <f>INDEX(Input!$1:$1048576,AB$10,$C47*2+6)</f>
        <v>1</v>
      </c>
      <c r="AC47" s="115">
        <f>INDEX(Input!$1:$1048576,AC$10,$C47*2+6)</f>
        <v>1000</v>
      </c>
      <c r="AD47" s="118">
        <f>INDEX(Input!$1:$1048576,AD$10,$C47*2+6)</f>
        <v>0.35</v>
      </c>
      <c r="AE47" s="115">
        <f>INDEX(Input!$1:$1048576,AE$10,$C47*2+6)</f>
        <v>0</v>
      </c>
      <c r="AF47" s="118">
        <f>INDEX(Input!$1:$1048576,AF$10,$C47*2+6)</f>
        <v>1</v>
      </c>
      <c r="AG47" s="115">
        <f>INDEX(Input!$1:$1048576,AG$10,$C47*2+6)</f>
        <v>500</v>
      </c>
      <c r="AH47" s="118">
        <f>INDEX(Input!$1:$1048576,AH$10,$C47*2+6)</f>
        <v>1</v>
      </c>
      <c r="AI47" s="115">
        <f>INDEX(Input!$1:$1048576,AI$10,$C47*2+6)</f>
        <v>500</v>
      </c>
      <c r="AJ47" s="118">
        <f>INDEX(Input!$1:$1048576,AJ$10,$C47*2+6)</f>
        <v>0.35</v>
      </c>
      <c r="AK47" s="150">
        <f>INDEX(Input!$1:$1048576,AK$10,$C46*2+6)+(Y47-VLOOKUP($C47*1000+1,$A:$HH,Y$9,FALSE))</f>
        <v>8189.3282943289778</v>
      </c>
      <c r="AL47" s="150">
        <f>INDEX(Input!$1:$1048576,AL$10,$C46*2+6)-(Y47-VLOOKUP($C47*1000+1,$A:$HH,Y$9,FALSE))/36</f>
        <v>5526.7493329968866</v>
      </c>
      <c r="AM47" s="32" t="str">
        <f t="shared" ref="AM47:AM48" si="75">IF(K47="market","std",ROUND(K47*1000,0)/10)&amp;"/"&amp;IF(L47="market","std",ROUND(L47*1000,0)/10)&amp;"/"&amp;IF(M47="market","std",ROUND(M47*1000,0)/10)&amp;"/"&amp;IF(N47="market","std",ROUND(N47*1000,0)/10)&amp;IF(P47="N","","/"&amp;IF(O47="market","std",ROUND(O47*1000,0)/10))</f>
        <v>std/std/std/std</v>
      </c>
      <c r="AN47" s="32" t="str">
        <f t="shared" ref="AN47:AN48" si="76">"$"&amp;ROUND(Q47,0)&amp;" + "&amp;IF(S47="market","std",ROUND(S47*1000,0)/10)&amp;"/"&amp;IF(T47="market","std",ROUND(T47*1000,0)/10)&amp;"/"&amp;IF(U47="market","std",ROUND(U47*1000,0)/10)&amp;"/"&amp;IF(V47="market","std",ROUND(V47*1000,0)/10)&amp;IF(X47="N","","/"&amp;IF(W47="market","std",ROUND(W47*1000,0)/10))</f>
        <v>$0 + 0/0/0/1.9/3.9</v>
      </c>
      <c r="AO47" s="32" t="str">
        <f t="shared" ref="AO47:AO48" si="77">IF(S47="market","std",ROUND(S47*1000,0)/10)&amp;"/"&amp;IF(T47="market","std",ROUND(T47*1000,0)/10)&amp;"/"&amp;IF(U47="market","std",ROUND(U47*1000,0)/10)&amp;"/"&amp;IF(V47="market","std",ROUND(V47*1000,0)/10)&amp;IF(X47="N","","/"&amp;IF(W47="market","std",ROUND(W47*1000,0)/10))</f>
        <v>0/0/0/1.9/3.9</v>
      </c>
      <c r="AP47" s="32" t="str">
        <f t="shared" ref="AP47:AP48" si="78">IF(T47="market","std",ROUND(T47*1000,0)/10)&amp;"/"&amp;IF(U47="market","std",ROUND(U47*1000,0)/10)&amp;"/"&amp;IF(V47="market","std",ROUND(V47*1000,0)/10)&amp;IF(X47="N","","/"&amp;IF(W47="market","std",ROUND(W47*1000,0)/10))</f>
        <v>0/0/1.9/3.9</v>
      </c>
      <c r="AQ47" s="150">
        <f t="shared" ref="AQ47:AQ60" si="79">SUM(F47*(1-ET47),G47*EM47,H47*ES47,AC47*AD47,AE47*AF47,AI47*AJ47)</f>
        <v>525</v>
      </c>
      <c r="AR47" s="32" t="str">
        <f t="shared" ref="AR47:AR60" si="80">IF(U47="market","std",ROUND(U47*1000,0)/10)&amp;"/"&amp;IF(V47="market","std",ROUND(V47*1000,0)/10)</f>
        <v>0/1.9</v>
      </c>
      <c r="AS47" s="302"/>
      <c r="AT47" s="3">
        <f t="shared" ref="AT47:AT60" si="81">AT46+1</f>
        <v>2</v>
      </c>
      <c r="AU47" s="41" t="s">
        <v>121</v>
      </c>
      <c r="AV47" s="41" t="s">
        <v>116</v>
      </c>
      <c r="AW47" s="41" t="str">
        <f>INDEX(Input!$1:$1048576,AW$10,$C47*2+6)</f>
        <v>Kia</v>
      </c>
      <c r="AX47" s="41" t="str">
        <f>INDEX(Input!$1:$1048576,AX$10,$C47*2+6)</f>
        <v>Kia-LR - L1</v>
      </c>
      <c r="AY47" s="41" t="str">
        <f>IF(D47="Skip","",INDEX(Input!$1:$1048576,AY$10,$C47*2+6))</f>
        <v>Compact Conventional/Sporty Car (43)</v>
      </c>
      <c r="AZ47" s="41" t="str">
        <f>INDEX(Input!$1:$1048576,AZ$10,$C47*2+6)</f>
        <v>Kia Forte</v>
      </c>
      <c r="BA47" s="3">
        <f>INDEX(Input!$1:$1048576,BA$10,$C47*2+6)</f>
        <v>2020</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19695</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ref="CI47:CI60" si="82">E47+F47*I47+AA47*AB47+AC47*AD47</f>
        <v>1100</v>
      </c>
      <c r="CJ47" s="16" t="str">
        <f>INDEX(Input!$1:$1048576,CJ$10,$C47*2+6)</f>
        <v>N</v>
      </c>
      <c r="CK47" s="1" t="str">
        <f t="shared" si="61"/>
        <v>Market</v>
      </c>
      <c r="CL47" s="1" t="str">
        <f t="shared" si="62"/>
        <v>Market</v>
      </c>
      <c r="CM47" s="1" t="str">
        <f t="shared" si="63"/>
        <v>Market</v>
      </c>
      <c r="CN47" s="1" t="str">
        <f t="shared" si="64"/>
        <v>Market</v>
      </c>
      <c r="CO47" s="1" t="str">
        <f t="shared" si="65"/>
        <v>Market</v>
      </c>
      <c r="CP47" s="304">
        <f t="shared" si="66"/>
        <v>350</v>
      </c>
      <c r="CQ47" s="1">
        <f t="shared" si="67"/>
        <v>0</v>
      </c>
      <c r="CR47" s="1">
        <f t="shared" si="68"/>
        <v>0</v>
      </c>
      <c r="CS47" s="1">
        <f t="shared" si="69"/>
        <v>0</v>
      </c>
      <c r="CT47" s="1">
        <f t="shared" si="70"/>
        <v>0</v>
      </c>
      <c r="CU47" s="1">
        <f t="shared" si="71"/>
        <v>1.9E-2</v>
      </c>
      <c r="CV47" s="304">
        <f t="shared" ref="CV47:CV60" si="83">Y47+H47*I47+AE47*AF47+AI47*AJ47</f>
        <v>3750.3673677825755</v>
      </c>
      <c r="CW47" s="20" t="s">
        <v>122</v>
      </c>
      <c r="CX47" s="20" t="s">
        <v>122</v>
      </c>
      <c r="CY47" s="20" t="s">
        <v>122</v>
      </c>
      <c r="CZ47" s="20" t="s">
        <v>122</v>
      </c>
      <c r="DA47" s="20" t="s">
        <v>122</v>
      </c>
      <c r="DB47" s="503">
        <f t="shared" si="72"/>
        <v>500</v>
      </c>
      <c r="DC47" s="127">
        <v>0</v>
      </c>
      <c r="DD47" s="127">
        <v>0</v>
      </c>
      <c r="DE47" s="127">
        <v>0</v>
      </c>
      <c r="DF47" s="127">
        <v>0</v>
      </c>
      <c r="DG47" s="127">
        <v>0</v>
      </c>
      <c r="DH47" s="127">
        <v>0</v>
      </c>
      <c r="DI47" s="127">
        <v>0</v>
      </c>
      <c r="DJ47" s="127">
        <v>0</v>
      </c>
      <c r="DK47" s="127">
        <v>0</v>
      </c>
      <c r="DL47" s="127">
        <v>0</v>
      </c>
      <c r="DM47" s="304">
        <f>INDEX(Input!$1:$1048576,DM$10,$C47*2+6)</f>
        <v>20731.578947368424</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1.3547101036193289E-2</v>
      </c>
      <c r="DZ47" s="7">
        <v>0</v>
      </c>
      <c r="EA47" s="7">
        <v>0.21348664925088762</v>
      </c>
      <c r="EB47" s="7">
        <v>0</v>
      </c>
      <c r="EC47" s="7">
        <v>0</v>
      </c>
      <c r="ED47" s="7">
        <v>0</v>
      </c>
      <c r="EE47" s="7">
        <v>0</v>
      </c>
      <c r="EF47" s="7">
        <v>0</v>
      </c>
      <c r="EG47" s="7">
        <v>0</v>
      </c>
      <c r="EH47" s="7">
        <v>9.9657389622830623E-3</v>
      </c>
      <c r="EI47" s="7">
        <v>1.7925313651193719E-2</v>
      </c>
      <c r="EJ47" s="7">
        <v>0.14097560612340299</v>
      </c>
      <c r="EK47" s="7">
        <v>0.75863240724128356</v>
      </c>
      <c r="EL47" s="7">
        <v>7.2500934021836966E-2</v>
      </c>
      <c r="EM47" s="7">
        <v>2.6885798165911776E-2</v>
      </c>
      <c r="EN47" s="7">
        <v>5.5296864973936641E-2</v>
      </c>
      <c r="EO47" s="7">
        <v>0.54322541649206457</v>
      </c>
      <c r="EP47" s="7">
        <v>0.31023965911131074</v>
      </c>
      <c r="EQ47" s="7">
        <v>5.3002844262032701E-2</v>
      </c>
      <c r="ER47" s="7">
        <v>3.8235215160655318E-2</v>
      </c>
      <c r="ES47" s="7">
        <v>0.74608045154700753</v>
      </c>
      <c r="ET47" s="7">
        <v>0.77296624971291905</v>
      </c>
      <c r="EU47" s="6">
        <v>1200</v>
      </c>
      <c r="EV47" s="6">
        <v>0</v>
      </c>
      <c r="EW47" s="6">
        <v>1200</v>
      </c>
      <c r="EX47" s="6">
        <v>0</v>
      </c>
      <c r="EY47" s="6">
        <v>2925.5306458308569</v>
      </c>
      <c r="EZ47" s="6">
        <v>4530.937694188071</v>
      </c>
      <c r="FA47" s="6">
        <v>0</v>
      </c>
      <c r="FB47" s="6">
        <v>0</v>
      </c>
      <c r="FC47" s="6">
        <v>0</v>
      </c>
      <c r="FD47" s="6">
        <v>0</v>
      </c>
      <c r="FE47" s="6">
        <v>0</v>
      </c>
      <c r="FF47" s="6">
        <v>0</v>
      </c>
      <c r="FG47" s="6">
        <v>0</v>
      </c>
      <c r="FH47" s="6">
        <v>1152.120827037782</v>
      </c>
      <c r="FI47" s="6">
        <v>1531.4299904380618</v>
      </c>
      <c r="FJ47" s="6">
        <v>2070.7205842538215</v>
      </c>
      <c r="FK47" s="6">
        <v>2635.3956133202914</v>
      </c>
      <c r="FL47" s="6">
        <v>2005.2147164707274</v>
      </c>
      <c r="FM47" s="6">
        <v>2475.5306458308569</v>
      </c>
      <c r="FN47" s="6">
        <v>0</v>
      </c>
      <c r="FO47" s="6">
        <v>0</v>
      </c>
      <c r="FP47" s="6">
        <v>0</v>
      </c>
      <c r="FQ47" s="6">
        <v>0</v>
      </c>
      <c r="FR47" s="6">
        <v>0</v>
      </c>
      <c r="FS47" s="6">
        <v>0</v>
      </c>
      <c r="FT47" s="7">
        <v>0.22703375028708089</v>
      </c>
      <c r="FU47" s="7">
        <v>2.6885798165911776E-2</v>
      </c>
      <c r="FV47" s="7">
        <v>0.74608045154700753</v>
      </c>
      <c r="FW47" s="519">
        <v>1200</v>
      </c>
      <c r="FX47" s="519">
        <v>2925.5306458308569</v>
      </c>
      <c r="FY47" s="519">
        <v>4530.937694188071</v>
      </c>
      <c r="FZ47" s="6">
        <v>3077.4375890575293</v>
      </c>
      <c r="GA47" s="6">
        <v>3731.539767627688</v>
      </c>
      <c r="GB47" s="6">
        <v>15963.460232372312</v>
      </c>
      <c r="GC47" s="7">
        <v>7.0901643973087014E-2</v>
      </c>
      <c r="GD47" s="7">
        <v>7.6896596848810325E-2</v>
      </c>
      <c r="GE47" s="7"/>
      <c r="GF47" s="7"/>
      <c r="GG47" s="7">
        <v>8.4553087062394311E-2</v>
      </c>
      <c r="GH47" s="42">
        <v>2.5458913060556938</v>
      </c>
      <c r="GI47" s="6">
        <v>11467.53381935849</v>
      </c>
      <c r="GJ47" s="14">
        <v>0.5107463060103955</v>
      </c>
      <c r="GK47" s="14">
        <v>0.5082951978616097</v>
      </c>
      <c r="GL47" s="14">
        <v>0.48925369398960439</v>
      </c>
      <c r="GM47" s="14">
        <v>0.4917048021383903</v>
      </c>
      <c r="GO47" s="5">
        <v>338.16872463277008</v>
      </c>
      <c r="GP47" s="5">
        <v>315.27501390194027</v>
      </c>
      <c r="GQ47" s="5">
        <v>527.27910984145694</v>
      </c>
      <c r="GR47" s="5">
        <v>404.20319246551543</v>
      </c>
      <c r="GS47" s="5">
        <v>334.50205195691484</v>
      </c>
      <c r="GT47" s="5">
        <v>289.18266033348181</v>
      </c>
      <c r="GU47" s="5">
        <v>254.29573314828914</v>
      </c>
      <c r="GV47" s="39" t="s">
        <v>392</v>
      </c>
      <c r="GW47" s="5">
        <v>479.875</v>
      </c>
      <c r="GX47" s="5">
        <v>359.90625</v>
      </c>
      <c r="GY47" s="5">
        <v>287.92500000000001</v>
      </c>
      <c r="GZ47" s="5">
        <v>239.9375</v>
      </c>
      <c r="HA47" s="5">
        <v>219.80275574107543</v>
      </c>
      <c r="HB47" s="39">
        <v>249.78441109813846</v>
      </c>
      <c r="HC47" s="5">
        <v>84.88710087927187</v>
      </c>
      <c r="HD47" s="5">
        <v>101.02676914650382</v>
      </c>
      <c r="HE47" s="5">
        <v>111.84893977061242</v>
      </c>
      <c r="HF47" s="5">
        <v>112.92524016400611</v>
      </c>
      <c r="HG47" s="5">
        <v>120.73196173858828</v>
      </c>
      <c r="HH47" s="39">
        <v>104.87584769971194</v>
      </c>
      <c r="HI47" s="16"/>
      <c r="HJ47" s="1">
        <f>INDEX(Input!$1:$1048576,HJ$10,$C47*2+6)</f>
        <v>0.15848670756646213</v>
      </c>
      <c r="HK47" s="1">
        <f>INDEX(Input!$1:$1048576,HK$10,$C47*2+6)</f>
        <v>0.14314928425357873</v>
      </c>
      <c r="HL47" s="1">
        <f>INDEX(Input!$1:$1048576,HL$10,$C47*2+6)</f>
        <v>0.69836400817995914</v>
      </c>
      <c r="HM47" s="19"/>
    </row>
    <row r="48" spans="1:221" s="26" customFormat="1" ht="15.75" thickBot="1">
      <c r="A48" s="117">
        <f t="shared" si="73"/>
        <v>1003</v>
      </c>
      <c r="B48" s="117">
        <f t="shared" si="60"/>
        <v>3</v>
      </c>
      <c r="C48" s="117">
        <f t="shared" si="74"/>
        <v>1</v>
      </c>
      <c r="D48" s="117" t="s">
        <v>568</v>
      </c>
      <c r="E48" s="115">
        <f>INDEX(Input!$1:$1048576,E$10,$C48*2+6)</f>
        <v>750</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1.9E-2</v>
      </c>
      <c r="W48" s="383">
        <f>INDEX(Input!$1:$1048576,W$10,$C48*2+6)</f>
        <v>3.9E-2</v>
      </c>
      <c r="X48" s="118" t="str">
        <f>INDEX(Input!$1:$1048576,X$10,$C48*2+6)</f>
        <v>Y</v>
      </c>
      <c r="Y48" s="520">
        <f>Y46+1000</f>
        <v>4075.3673677825755</v>
      </c>
      <c r="Z48" s="30">
        <f>INDEX(Input!$1:$1048576,Z$10,$C48*2+6)</f>
        <v>0</v>
      </c>
      <c r="AA48" s="115">
        <f>INDEX(Input!$1:$1048576,AA$10,$C48*2+6)</f>
        <v>0</v>
      </c>
      <c r="AB48" s="118">
        <f>INDEX(Input!$1:$1048576,AB$10,$C48*2+6)</f>
        <v>1</v>
      </c>
      <c r="AC48" s="115">
        <f>INDEX(Input!$1:$1048576,AC$10,$C48*2+6)</f>
        <v>1000</v>
      </c>
      <c r="AD48" s="118">
        <f>INDEX(Input!$1:$1048576,AD$10,$C48*2+6)</f>
        <v>0.35</v>
      </c>
      <c r="AE48" s="115">
        <f>INDEX(Input!$1:$1048576,AE$10,$C48*2+6)</f>
        <v>0</v>
      </c>
      <c r="AF48" s="118">
        <f>INDEX(Input!$1:$1048576,AF$10,$C48*2+6)</f>
        <v>1</v>
      </c>
      <c r="AG48" s="115">
        <f>INDEX(Input!$1:$1048576,AG$10,$C48*2+6)</f>
        <v>500</v>
      </c>
      <c r="AH48" s="118">
        <f>INDEX(Input!$1:$1048576,AH$10,$C48*2+6)</f>
        <v>1</v>
      </c>
      <c r="AI48" s="115">
        <f>INDEX(Input!$1:$1048576,AI$10,$C48*2+6)</f>
        <v>500</v>
      </c>
      <c r="AJ48" s="118">
        <f>INDEX(Input!$1:$1048576,AJ$10,$C48*2+6)</f>
        <v>0.35</v>
      </c>
      <c r="AK48" s="150">
        <f>INDEX(Input!$1:$1048576,AK$10,$C47*2+6)+(Y48-VLOOKUP($C48*1000+1,$A:$HH,Y$9,FALSE))</f>
        <v>8689.3282943289778</v>
      </c>
      <c r="AL48" s="150">
        <f>INDEX(Input!$1:$1048576,AL$10,$C47*2+6)-(Y48-VLOOKUP($C48*1000+1,$A:$HH,Y$9,FALSE))/36</f>
        <v>5512.8604441079979</v>
      </c>
      <c r="AM48" s="32" t="str">
        <f t="shared" si="75"/>
        <v>std/std/std/std</v>
      </c>
      <c r="AN48" s="32" t="str">
        <f t="shared" si="76"/>
        <v>$0 + 0/0/0/1.9/3.9</v>
      </c>
      <c r="AO48" s="32" t="str">
        <f t="shared" si="77"/>
        <v>0/0/0/1.9/3.9</v>
      </c>
      <c r="AP48" s="32" t="str">
        <f t="shared" si="78"/>
        <v>0/0/1.9/3.9</v>
      </c>
      <c r="AQ48" s="150">
        <f t="shared" si="79"/>
        <v>525</v>
      </c>
      <c r="AR48" s="32" t="str">
        <f t="shared" si="80"/>
        <v>0/1.9</v>
      </c>
      <c r="AS48" s="302"/>
      <c r="AT48" s="3">
        <f t="shared" si="81"/>
        <v>3</v>
      </c>
      <c r="AU48" s="41" t="s">
        <v>121</v>
      </c>
      <c r="AV48" s="41" t="s">
        <v>116</v>
      </c>
      <c r="AW48" s="41" t="str">
        <f>INDEX(Input!$1:$1048576,AW$10,$C48*2+6)</f>
        <v>Kia</v>
      </c>
      <c r="AX48" s="41" t="str">
        <f>INDEX(Input!$1:$1048576,AX$10,$C48*2+6)</f>
        <v>Kia-LR - L1</v>
      </c>
      <c r="AY48" s="41" t="str">
        <f>IF(D48="Skip","",INDEX(Input!$1:$1048576,AY$10,$C48*2+6))</f>
        <v>Compact Conventional/Sporty Car (43)</v>
      </c>
      <c r="AZ48" s="41" t="str">
        <f>INDEX(Input!$1:$1048576,AZ$10,$C48*2+6)</f>
        <v>Kia Forte</v>
      </c>
      <c r="BA48" s="3">
        <f>INDEX(Input!$1:$1048576,BA$10,$C48*2+6)</f>
        <v>2020</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19695</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82"/>
        <v>1100</v>
      </c>
      <c r="CJ48" s="16" t="str">
        <f>INDEX(Input!$1:$1048576,CJ$10,$C48*2+6)</f>
        <v>N</v>
      </c>
      <c r="CK48" s="1" t="str">
        <f t="shared" si="61"/>
        <v>Market</v>
      </c>
      <c r="CL48" s="1" t="str">
        <f t="shared" si="62"/>
        <v>Market</v>
      </c>
      <c r="CM48" s="1" t="str">
        <f t="shared" si="63"/>
        <v>Market</v>
      </c>
      <c r="CN48" s="1" t="str">
        <f t="shared" si="64"/>
        <v>Market</v>
      </c>
      <c r="CO48" s="1" t="str">
        <f t="shared" si="65"/>
        <v>Market</v>
      </c>
      <c r="CP48" s="304">
        <f t="shared" si="66"/>
        <v>350</v>
      </c>
      <c r="CQ48" s="1">
        <f t="shared" si="67"/>
        <v>0</v>
      </c>
      <c r="CR48" s="1">
        <f t="shared" si="68"/>
        <v>0</v>
      </c>
      <c r="CS48" s="1">
        <f t="shared" si="69"/>
        <v>0</v>
      </c>
      <c r="CT48" s="1">
        <f t="shared" si="70"/>
        <v>0</v>
      </c>
      <c r="CU48" s="1">
        <f t="shared" si="71"/>
        <v>1.9E-2</v>
      </c>
      <c r="CV48" s="304">
        <f t="shared" si="83"/>
        <v>4250.3673677825755</v>
      </c>
      <c r="CW48" s="20" t="s">
        <v>122</v>
      </c>
      <c r="CX48" s="20" t="s">
        <v>122</v>
      </c>
      <c r="CY48" s="20" t="s">
        <v>122</v>
      </c>
      <c r="CZ48" s="20" t="s">
        <v>122</v>
      </c>
      <c r="DA48" s="20" t="s">
        <v>122</v>
      </c>
      <c r="DB48" s="503">
        <f t="shared" si="72"/>
        <v>500</v>
      </c>
      <c r="DC48" s="127">
        <v>0</v>
      </c>
      <c r="DD48" s="127">
        <v>0</v>
      </c>
      <c r="DE48" s="127">
        <v>0</v>
      </c>
      <c r="DF48" s="127">
        <v>0</v>
      </c>
      <c r="DG48" s="127">
        <v>0</v>
      </c>
      <c r="DH48" s="127">
        <v>0</v>
      </c>
      <c r="DI48" s="127">
        <v>0</v>
      </c>
      <c r="DJ48" s="127">
        <v>0</v>
      </c>
      <c r="DK48" s="127">
        <v>0</v>
      </c>
      <c r="DL48" s="127">
        <v>0</v>
      </c>
      <c r="DM48" s="304">
        <f>INDEX(Input!$1:$1048576,DM$10,$C48*2+6)</f>
        <v>20731.578947368424</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1.1616302227478476E-2</v>
      </c>
      <c r="DZ48" s="7">
        <v>0</v>
      </c>
      <c r="EA48" s="7">
        <v>0.18305949240390818</v>
      </c>
      <c r="EB48" s="7">
        <v>0</v>
      </c>
      <c r="EC48" s="7">
        <v>0</v>
      </c>
      <c r="ED48" s="7">
        <v>0</v>
      </c>
      <c r="EE48" s="7">
        <v>0</v>
      </c>
      <c r="EF48" s="7">
        <v>0</v>
      </c>
      <c r="EG48" s="7">
        <v>0</v>
      </c>
      <c r="EH48" s="7">
        <v>9.965738962283064E-3</v>
      </c>
      <c r="EI48" s="7">
        <v>1.7925313651193719E-2</v>
      </c>
      <c r="EJ48" s="7">
        <v>0.1409756061234029</v>
      </c>
      <c r="EK48" s="7">
        <v>0.75863240724128356</v>
      </c>
      <c r="EL48" s="7">
        <v>7.250093402183698E-2</v>
      </c>
      <c r="EM48" s="7">
        <v>2.3053903288077732E-2</v>
      </c>
      <c r="EN48" s="7">
        <v>5.775906036656793E-2</v>
      </c>
      <c r="EO48" s="7">
        <v>0.5413839681271968</v>
      </c>
      <c r="EP48" s="7">
        <v>0.31279012642227599</v>
      </c>
      <c r="EQ48" s="7">
        <v>5.1184172646035343E-2</v>
      </c>
      <c r="ER48" s="7">
        <v>3.6882672437924098E-2</v>
      </c>
      <c r="ES48" s="7">
        <v>0.7822703020805355</v>
      </c>
      <c r="ET48" s="7">
        <v>0.80532420536861327</v>
      </c>
      <c r="EU48" s="6">
        <v>1200</v>
      </c>
      <c r="EV48" s="6">
        <v>0</v>
      </c>
      <c r="EW48" s="6">
        <v>1200</v>
      </c>
      <c r="EX48" s="6">
        <v>0</v>
      </c>
      <c r="EY48" s="6">
        <v>2925.5306458308569</v>
      </c>
      <c r="EZ48" s="6">
        <v>5030.937694188071</v>
      </c>
      <c r="FA48" s="6">
        <v>0</v>
      </c>
      <c r="FB48" s="6">
        <v>0</v>
      </c>
      <c r="FC48" s="6">
        <v>0</v>
      </c>
      <c r="FD48" s="6">
        <v>0</v>
      </c>
      <c r="FE48" s="6">
        <v>0</v>
      </c>
      <c r="FF48" s="6">
        <v>0</v>
      </c>
      <c r="FG48" s="6">
        <v>0</v>
      </c>
      <c r="FH48" s="6">
        <v>1152.120827037782</v>
      </c>
      <c r="FI48" s="6">
        <v>1531.4299904380618</v>
      </c>
      <c r="FJ48" s="6">
        <v>2070.7205842538224</v>
      </c>
      <c r="FK48" s="6">
        <v>2635.3956133202914</v>
      </c>
      <c r="FL48" s="6">
        <v>2005.2147164707267</v>
      </c>
      <c r="FM48" s="6">
        <v>2475.5306458308569</v>
      </c>
      <c r="FN48" s="6">
        <v>0</v>
      </c>
      <c r="FO48" s="6">
        <v>0</v>
      </c>
      <c r="FP48" s="6">
        <v>0</v>
      </c>
      <c r="FQ48" s="6">
        <v>0</v>
      </c>
      <c r="FR48" s="6">
        <v>0</v>
      </c>
      <c r="FS48" s="6">
        <v>0</v>
      </c>
      <c r="FT48" s="7">
        <v>0.19467579463138665</v>
      </c>
      <c r="FU48" s="7">
        <v>2.3053903288077732E-2</v>
      </c>
      <c r="FV48" s="7">
        <v>0.7822703020805355</v>
      </c>
      <c r="FW48" s="519">
        <v>1200</v>
      </c>
      <c r="FX48" s="519">
        <v>2925.5306458308569</v>
      </c>
      <c r="FY48" s="519">
        <v>5030.937694188071</v>
      </c>
      <c r="FZ48" s="6">
        <v>3077.4375890575293</v>
      </c>
      <c r="GA48" s="6">
        <v>4236.6090039138116</v>
      </c>
      <c r="GB48" s="6">
        <v>15458.390996086189</v>
      </c>
      <c r="GC48" s="7">
        <v>7.0901643973087014E-2</v>
      </c>
      <c r="GD48" s="7">
        <v>8.2038937276294466E-2</v>
      </c>
      <c r="GE48" s="7"/>
      <c r="GF48" s="7"/>
      <c r="GG48" s="7">
        <v>0.15708088951273072</v>
      </c>
      <c r="GH48" s="42">
        <v>2.6688961436620651</v>
      </c>
      <c r="GI48" s="6">
        <v>11616.064381662589</v>
      </c>
      <c r="GJ48" s="14">
        <v>0.51074630601039539</v>
      </c>
      <c r="GK48" s="14">
        <v>0.5082951978616097</v>
      </c>
      <c r="GL48" s="14">
        <v>0.48925369398960439</v>
      </c>
      <c r="GM48" s="14">
        <v>0.49170480213839024</v>
      </c>
      <c r="GO48" s="5">
        <v>338.16872463277008</v>
      </c>
      <c r="GP48" s="5">
        <v>315.27501390194027</v>
      </c>
      <c r="GQ48" s="5">
        <v>527.27910984145694</v>
      </c>
      <c r="GR48" s="5">
        <v>404.20319246551543</v>
      </c>
      <c r="GS48" s="5">
        <v>334.50205195691484</v>
      </c>
      <c r="GT48" s="5">
        <v>289.18266033348181</v>
      </c>
      <c r="GU48" s="5">
        <v>254.29573314828914</v>
      </c>
      <c r="GV48" s="39" t="s">
        <v>392</v>
      </c>
      <c r="GW48" s="5">
        <v>479.875</v>
      </c>
      <c r="GX48" s="5">
        <v>359.90625</v>
      </c>
      <c r="GY48" s="5">
        <v>287.92500000000001</v>
      </c>
      <c r="GZ48" s="5">
        <v>239.9375</v>
      </c>
      <c r="HA48" s="5">
        <v>219.80275574107543</v>
      </c>
      <c r="HB48" s="39">
        <v>249.78441109813843</v>
      </c>
      <c r="HC48" s="5">
        <v>63.012100879271863</v>
      </c>
      <c r="HD48" s="5">
        <v>86.096213590948281</v>
      </c>
      <c r="HE48" s="5">
        <v>97.986760283432929</v>
      </c>
      <c r="HF48" s="5">
        <v>101.36274016400611</v>
      </c>
      <c r="HG48" s="5">
        <v>111.14862840525495</v>
      </c>
      <c r="HH48" s="39">
        <v>90.187547075693928</v>
      </c>
      <c r="HI48" s="16"/>
      <c r="HJ48" s="1">
        <f>INDEX(Input!$1:$1048576,HJ$10,$C48*2+6)</f>
        <v>0.15848670756646213</v>
      </c>
      <c r="HK48" s="1">
        <f>INDEX(Input!$1:$1048576,HK$10,$C48*2+6)</f>
        <v>0.14314928425357873</v>
      </c>
      <c r="HL48" s="1">
        <f>INDEX(Input!$1:$1048576,HL$10,$C48*2+6)</f>
        <v>0.69836400817995914</v>
      </c>
      <c r="HM48" s="19"/>
    </row>
    <row r="49" spans="1:221" s="60" customFormat="1" ht="15.75" thickBot="1">
      <c r="A49" s="31">
        <f>C49*1000+B49</f>
        <v>2001</v>
      </c>
      <c r="B49" s="31">
        <f t="shared" si="60"/>
        <v>1</v>
      </c>
      <c r="C49" s="508">
        <v>2</v>
      </c>
      <c r="D49" s="31" t="s">
        <v>566</v>
      </c>
      <c r="E49" s="365">
        <f>INDEX(Input!$1:$1048576,E$10,$C49*2+MIN($B49,2)+5)</f>
        <v>750</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1.9E-2</v>
      </c>
      <c r="W49" s="38">
        <f>INDEX(Input!$1:$1048576,W$10,$C49*2+MIN($B49,2)+5)</f>
        <v>3.9E-2</v>
      </c>
      <c r="X49" s="367" t="str">
        <f>INDEX(Input!$1:$1048576,X$10,$C49*2+MIN($B49,2)+5)</f>
        <v>Y</v>
      </c>
      <c r="Y49" s="517">
        <f>HM20-500</f>
        <v>905.79035386284977</v>
      </c>
      <c r="Z49" s="49">
        <f>INDEX(Input!$1:$1048576,Z$10,$C49*2+MIN($B49,2)+5)</f>
        <v>0</v>
      </c>
      <c r="AA49" s="49">
        <f>INDEX(Input!$1:$1048576,AA$10,$C49*2+MIN($B49,2)+5)</f>
        <v>0</v>
      </c>
      <c r="AB49" s="367">
        <f>INDEX(Input!$1:$1048576,AB$10,$C49*2+MIN($B49,2)+5)</f>
        <v>1</v>
      </c>
      <c r="AC49" s="49">
        <f>INDEX(Input!$1:$1048576,AC$10,$C49*2+MIN($B49,2)+5)</f>
        <v>1000</v>
      </c>
      <c r="AD49" s="367">
        <f>INDEX(Input!$1:$1048576,AD$10,$C49*2+MIN($B49,2)+5)</f>
        <v>0.35</v>
      </c>
      <c r="AE49" s="49">
        <f>INDEX(Input!$1:$1048576,AE$10,$C49*2+MIN($B49,2)+5)</f>
        <v>0</v>
      </c>
      <c r="AF49" s="367">
        <f>INDEX(Input!$1:$1048576,AF$10,$C49*2+MIN($B49,2)+5)</f>
        <v>1</v>
      </c>
      <c r="AG49" s="49">
        <f>INDEX(Input!$1:$1048576,AG$10,$C49*2+MIN($B49,2)+5)</f>
        <v>500</v>
      </c>
      <c r="AH49" s="367">
        <f>INDEX(Input!$1:$1048576,AH$10,$C49*2+MIN($B49,2)+5)</f>
        <v>1</v>
      </c>
      <c r="AI49" s="49">
        <f>INDEX(Input!$1:$1048576,AI$10,$C49*2+MIN($B49,2)+5)</f>
        <v>500</v>
      </c>
      <c r="AJ49" s="367">
        <f>INDEX(Input!$1:$1048576,AJ$10,$C49*2+MIN($B49,2)+5)</f>
        <v>0.35</v>
      </c>
      <c r="AK49" s="298">
        <f>INDEX(Input!$1:$1048576,AK$10,$C49*2+MIN($B49,2)+5)</f>
        <v>5098.7109265464023</v>
      </c>
      <c r="AL49" s="49">
        <f>INDEX(Input!$1:$1048576,AL$10,$C49*2+MIN($B49,2)+5)</f>
        <v>5098.7109265464023</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+ 0/0/0/1.9/3.9</v>
      </c>
      <c r="AO49" s="44" t="str">
        <f>IF(S49="market","std",ROUND(S49*1000,0)/10)&amp;"/"&amp;IF(T49="market","std",ROUND(T49*1000,0)/10)&amp;"/"&amp;IF(U49="market","std",ROUND(U49*1000,0)/10)&amp;"/"&amp;IF(V49="market","std",ROUND(V49*1000,0)/10)&amp;IF(X49="N","","/"&amp;IF(W49="market","std",ROUND(W49*1000,0)/10))</f>
        <v>0/0/0/1.9/3.9</v>
      </c>
      <c r="AP49" s="44" t="str">
        <f>IF(T49="market","std",ROUND(T49*1000,0)/10)&amp;"/"&amp;IF(U49="market","std",ROUND(U49*1000,0)/10)&amp;"/"&amp;IF(V49="market","std",ROUND(V49*1000,0)/10)&amp;IF(X49="N","","/"&amp;IF(W49="market","std",ROUND(W49*1000,0)/10))</f>
        <v>0/0/1.9/3.9</v>
      </c>
      <c r="AQ49" s="49">
        <f t="shared" si="79"/>
        <v>525</v>
      </c>
      <c r="AR49" s="44" t="str">
        <f t="shared" si="80"/>
        <v>0/1.9</v>
      </c>
      <c r="AS49" s="368"/>
      <c r="AT49" s="50">
        <f t="shared" si="81"/>
        <v>4</v>
      </c>
      <c r="AU49" s="45" t="s">
        <v>121</v>
      </c>
      <c r="AV49" s="45" t="s">
        <v>116</v>
      </c>
      <c r="AW49" s="45" t="str">
        <f>INDEX(Input!$1:$1048576,AW$10,$C49*2+6)</f>
        <v>Kia</v>
      </c>
      <c r="AX49" s="45" t="str">
        <f>INDEX(Input!$1:$1048576,AX$10,$C49*2+6)</f>
        <v>Kia-LR - L2</v>
      </c>
      <c r="AY49" s="10" t="str">
        <f>IF(D49="Skip","",INDEX(Input!$1:$1048576,AY$10,$C49*2+6))</f>
        <v>Compact Conventional/Sporty Car (43)</v>
      </c>
      <c r="AZ49" s="45" t="str">
        <f>INDEX(Input!$1:$1048576,AZ$10,$C49*2+6)</f>
        <v>Kia Forte</v>
      </c>
      <c r="BA49" s="50">
        <f>INDEX(Input!$1:$1048576,BA$10,$C49*2+6)</f>
        <v>2020</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19695</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82"/>
        <v>1100</v>
      </c>
      <c r="CJ49" s="46" t="str">
        <f>INDEX(Input!$1:$1048576,CJ$10,$C49*2+6)</f>
        <v>N</v>
      </c>
      <c r="CK49" s="38" t="str">
        <f t="shared" si="61"/>
        <v>Market</v>
      </c>
      <c r="CL49" s="38" t="str">
        <f t="shared" si="62"/>
        <v>Market</v>
      </c>
      <c r="CM49" s="38" t="str">
        <f t="shared" si="63"/>
        <v>Market</v>
      </c>
      <c r="CN49" s="38" t="str">
        <f t="shared" si="64"/>
        <v>Market</v>
      </c>
      <c r="CO49" s="38" t="str">
        <f t="shared" si="65"/>
        <v>Market</v>
      </c>
      <c r="CP49" s="49">
        <f t="shared" si="66"/>
        <v>350</v>
      </c>
      <c r="CQ49" s="38">
        <f t="shared" si="67"/>
        <v>0</v>
      </c>
      <c r="CR49" s="38">
        <f t="shared" si="68"/>
        <v>0</v>
      </c>
      <c r="CS49" s="38">
        <f t="shared" si="69"/>
        <v>0</v>
      </c>
      <c r="CT49" s="38">
        <f t="shared" si="70"/>
        <v>0</v>
      </c>
      <c r="CU49" s="38">
        <f t="shared" si="71"/>
        <v>1.9E-2</v>
      </c>
      <c r="CV49" s="49">
        <f t="shared" si="83"/>
        <v>1080.7903538628498</v>
      </c>
      <c r="CW49" s="22" t="s">
        <v>122</v>
      </c>
      <c r="CX49" s="22" t="s">
        <v>122</v>
      </c>
      <c r="CY49" s="22" t="s">
        <v>122</v>
      </c>
      <c r="CZ49" s="22" t="s">
        <v>122</v>
      </c>
      <c r="DA49" s="22" t="s">
        <v>122</v>
      </c>
      <c r="DB49" s="502">
        <f t="shared" si="72"/>
        <v>500</v>
      </c>
      <c r="DC49" s="29">
        <v>0</v>
      </c>
      <c r="DD49" s="29">
        <v>0</v>
      </c>
      <c r="DE49" s="29">
        <v>0</v>
      </c>
      <c r="DF49" s="49">
        <v>0</v>
      </c>
      <c r="DG49" s="49">
        <v>0</v>
      </c>
      <c r="DH49" s="49">
        <v>0</v>
      </c>
      <c r="DI49" s="49">
        <v>0</v>
      </c>
      <c r="DJ49" s="49">
        <v>0</v>
      </c>
      <c r="DK49" s="29">
        <v>0</v>
      </c>
      <c r="DL49" s="29">
        <v>0</v>
      </c>
      <c r="DM49" s="49">
        <f>INDEX(Input!$1:$1048576,DM$10,$C49*2+6)</f>
        <v>20731.578947368424</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2.809064029860241E-2</v>
      </c>
      <c r="DZ49" s="37">
        <v>0</v>
      </c>
      <c r="EA49" s="37">
        <v>0.57603544241556648</v>
      </c>
      <c r="EB49" s="37">
        <v>0</v>
      </c>
      <c r="EC49" s="37">
        <v>0</v>
      </c>
      <c r="ED49" s="37">
        <v>0</v>
      </c>
      <c r="EE49" s="37">
        <v>0</v>
      </c>
      <c r="EF49" s="37">
        <v>0</v>
      </c>
      <c r="EG49" s="37">
        <v>0</v>
      </c>
      <c r="EH49" s="37">
        <v>7.7781196350822914E-3</v>
      </c>
      <c r="EI49" s="37">
        <v>1.2713660625675822E-2</v>
      </c>
      <c r="EJ49" s="37">
        <v>0.127532517626821</v>
      </c>
      <c r="EK49" s="37">
        <v>0.77297209975871461</v>
      </c>
      <c r="EL49" s="37">
        <v>7.9003602353706182E-2</v>
      </c>
      <c r="EM49" s="37">
        <v>7.6912692266771887E-2</v>
      </c>
      <c r="EN49" s="37">
        <v>4.782571068764567E-2</v>
      </c>
      <c r="EO49" s="37">
        <v>0.56403046662817968</v>
      </c>
      <c r="EP49" s="37">
        <v>0.28194680573585906</v>
      </c>
      <c r="EQ49" s="37">
        <v>6.6220490093726853E-2</v>
      </c>
      <c r="ER49" s="37">
        <v>3.9976526854588808E-2</v>
      </c>
      <c r="ES49" s="37">
        <v>0.31896122501905916</v>
      </c>
      <c r="ET49" s="37">
        <v>0.39587391728583105</v>
      </c>
      <c r="EU49" s="36">
        <v>1200</v>
      </c>
      <c r="EV49" s="36">
        <v>0</v>
      </c>
      <c r="EW49" s="36">
        <v>1200</v>
      </c>
      <c r="EX49" s="36">
        <v>0</v>
      </c>
      <c r="EY49" s="36">
        <v>2938.0427539117513</v>
      </c>
      <c r="EZ49" s="36">
        <v>1236.6508718455543</v>
      </c>
      <c r="FA49" s="36">
        <v>0</v>
      </c>
      <c r="FB49" s="36">
        <v>0</v>
      </c>
      <c r="FC49" s="36">
        <v>0</v>
      </c>
      <c r="FD49" s="36">
        <v>0</v>
      </c>
      <c r="FE49" s="36">
        <v>0</v>
      </c>
      <c r="FF49" s="36">
        <v>0</v>
      </c>
      <c r="FG49" s="36">
        <v>0</v>
      </c>
      <c r="FH49" s="36">
        <v>1154.7773413399209</v>
      </c>
      <c r="FI49" s="36">
        <v>1531.4299904380612</v>
      </c>
      <c r="FJ49" s="36">
        <v>2070.7205842538224</v>
      </c>
      <c r="FK49" s="36">
        <v>2635.395613320291</v>
      </c>
      <c r="FL49" s="36">
        <v>2005.214716470728</v>
      </c>
      <c r="FM49" s="36">
        <v>2488.0427539117513</v>
      </c>
      <c r="FN49" s="36">
        <v>0</v>
      </c>
      <c r="FO49" s="36">
        <v>0</v>
      </c>
      <c r="FP49" s="36">
        <v>0</v>
      </c>
      <c r="FQ49" s="36">
        <v>0</v>
      </c>
      <c r="FR49" s="36">
        <v>0</v>
      </c>
      <c r="FS49" s="36">
        <v>0</v>
      </c>
      <c r="FT49" s="37">
        <v>0.6041260827141689</v>
      </c>
      <c r="FU49" s="37">
        <v>7.6912692266771887E-2</v>
      </c>
      <c r="FV49" s="37">
        <v>0.31896122501905916</v>
      </c>
      <c r="FW49" s="518">
        <v>1200</v>
      </c>
      <c r="FX49" s="518">
        <v>2938.0427539117513</v>
      </c>
      <c r="FY49" s="518">
        <v>1236.6508718455543</v>
      </c>
      <c r="FZ49" s="36">
        <v>2594.6978186474794</v>
      </c>
      <c r="GA49" s="36">
        <v>1345.3677544599818</v>
      </c>
      <c r="GB49" s="36">
        <v>18349.632245540019</v>
      </c>
      <c r="GC49" s="37">
        <v>9.6947029492584935E-2</v>
      </c>
      <c r="GD49" s="37">
        <v>8.4786976472059836E-2</v>
      </c>
      <c r="GE49" s="37"/>
      <c r="GF49" s="37"/>
      <c r="GG49" s="37">
        <v>-0.12542986705389639</v>
      </c>
      <c r="GH49" s="35">
        <v>1.977332734110643</v>
      </c>
      <c r="GI49" s="36">
        <v>11305.755128949253</v>
      </c>
      <c r="GJ49" s="34">
        <v>0.51074630601039583</v>
      </c>
      <c r="GK49" s="34">
        <v>0.50829519786160982</v>
      </c>
      <c r="GL49" s="34">
        <v>0.48925369398960433</v>
      </c>
      <c r="GM49" s="33">
        <v>0.4917048021383903</v>
      </c>
      <c r="GN49" s="61"/>
      <c r="GO49" s="13">
        <v>338.16872463277008</v>
      </c>
      <c r="GP49" s="27">
        <v>315.27501390194027</v>
      </c>
      <c r="GQ49" s="27">
        <v>527.27910984145694</v>
      </c>
      <c r="GR49" s="27">
        <v>404.20319246551543</v>
      </c>
      <c r="GS49" s="27">
        <v>334.50205195691484</v>
      </c>
      <c r="GT49" s="27">
        <v>289.18266033348181</v>
      </c>
      <c r="GU49" s="27">
        <v>254.29573314828914</v>
      </c>
      <c r="GV49" s="29" t="s">
        <v>392</v>
      </c>
      <c r="GW49" s="27">
        <v>479.875</v>
      </c>
      <c r="GX49" s="27">
        <v>359.90625</v>
      </c>
      <c r="GY49" s="27">
        <v>287.92500000000001</v>
      </c>
      <c r="GZ49" s="27">
        <v>239.9375</v>
      </c>
      <c r="HA49" s="27">
        <v>219.80275574107543</v>
      </c>
      <c r="HB49" s="29">
        <v>247.8582539138205</v>
      </c>
      <c r="HC49" s="27">
        <v>229.01214935675696</v>
      </c>
      <c r="HD49" s="27">
        <v>199.39783398034285</v>
      </c>
      <c r="HE49" s="27">
        <v>203.18093019773667</v>
      </c>
      <c r="HF49" s="27">
        <v>189.10562293067682</v>
      </c>
      <c r="HG49" s="27">
        <v>183.87245916681985</v>
      </c>
      <c r="HH49" s="12">
        <v>200.57858573101623</v>
      </c>
      <c r="HI49" s="94"/>
      <c r="HJ49" s="24">
        <f>INDEX(Input!$1:$1048576,HJ$10,$C49*2+6)</f>
        <v>0.34665833853841349</v>
      </c>
      <c r="HK49" s="18">
        <f>INDEX(Input!$1:$1048576,HK$10,$C49*2+6)</f>
        <v>0.29981261711430357</v>
      </c>
      <c r="HL49" s="43">
        <f>INDEX(Input!$1:$1048576,HL$10,$C49*2+6)</f>
        <v>0.35352904434728294</v>
      </c>
      <c r="HM49" s="49">
        <f>ROUND(IF(HL49&lt;FV50,TREND(Y49:Y50,FV49:FV50,HL49),TREND(Y50:Y51,FV50:FV51,HL49)),0)</f>
        <v>1475</v>
      </c>
    </row>
    <row r="50" spans="1:221" s="26" customFormat="1" ht="15">
      <c r="A50" s="117">
        <f t="shared" ref="A50:A51" si="84">C50*1000+B50</f>
        <v>2002</v>
      </c>
      <c r="B50" s="117">
        <f t="shared" si="60"/>
        <v>2</v>
      </c>
      <c r="C50" s="117">
        <f t="shared" si="74"/>
        <v>2</v>
      </c>
      <c r="D50" s="117" t="s">
        <v>568</v>
      </c>
      <c r="E50" s="115">
        <f>INDEX(Input!$1:$1048576,E$10,$C50*2+6)</f>
        <v>750</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1.9E-2</v>
      </c>
      <c r="W50" s="383">
        <f>INDEX(Input!$1:$1048576,W$10,$C50*2+6)</f>
        <v>3.9E-2</v>
      </c>
      <c r="X50" s="118" t="str">
        <f>INDEX(Input!$1:$1048576,X$10,$C50*2+6)</f>
        <v>Y</v>
      </c>
      <c r="Y50" s="520">
        <f>Y49+500</f>
        <v>1405.7903538628498</v>
      </c>
      <c r="Z50" s="30">
        <f>INDEX(Input!$1:$1048576,Z$10,$C50*2+6)</f>
        <v>0</v>
      </c>
      <c r="AA50" s="115">
        <f>INDEX(Input!$1:$1048576,AA$10,$C50*2+6)</f>
        <v>0</v>
      </c>
      <c r="AB50" s="118">
        <f>INDEX(Input!$1:$1048576,AB$10,$C50*2+6)</f>
        <v>1</v>
      </c>
      <c r="AC50" s="115">
        <f>INDEX(Input!$1:$1048576,AC$10,$C50*2+6)</f>
        <v>1000</v>
      </c>
      <c r="AD50" s="118">
        <f>INDEX(Input!$1:$1048576,AD$10,$C50*2+6)</f>
        <v>0.35</v>
      </c>
      <c r="AE50" s="115">
        <f>INDEX(Input!$1:$1048576,AE$10,$C50*2+6)</f>
        <v>0</v>
      </c>
      <c r="AF50" s="118">
        <f>INDEX(Input!$1:$1048576,AF$10,$C50*2+6)</f>
        <v>1</v>
      </c>
      <c r="AG50" s="115">
        <f>INDEX(Input!$1:$1048576,AG$10,$C50*2+6)</f>
        <v>500</v>
      </c>
      <c r="AH50" s="118">
        <f>INDEX(Input!$1:$1048576,AH$10,$C50*2+6)</f>
        <v>1</v>
      </c>
      <c r="AI50" s="115">
        <f>INDEX(Input!$1:$1048576,AI$10,$C50*2+6)</f>
        <v>500</v>
      </c>
      <c r="AJ50" s="118">
        <f>INDEX(Input!$1:$1048576,AJ$10,$C50*2+6)</f>
        <v>0.35</v>
      </c>
      <c r="AK50" s="150">
        <f>INDEX(Input!$1:$1048576,AK$10,$C49*2+6)+(Y50-VLOOKUP($C50*1000+1,$A:$HH,Y$9,FALSE))</f>
        <v>5519.7512804092521</v>
      </c>
      <c r="AL50" s="150">
        <f>INDEX(Input!$1:$1048576,AL$10,$C49*2+6)-(Y50-VLOOKUP($C50*1000+1,$A:$HH,Y$9,FALSE))/36</f>
        <v>5087.0153611613232</v>
      </c>
      <c r="AM50" s="32" t="str">
        <f t="shared" ref="AM50:AM51" si="85">IF(K50="market","std",ROUND(K50*1000,0)/10)&amp;"/"&amp;IF(L50="market","std",ROUND(L50*1000,0)/10)&amp;"/"&amp;IF(M50="market","std",ROUND(M50*1000,0)/10)&amp;"/"&amp;IF(N50="market","std",ROUND(N50*1000,0)/10)&amp;IF(P50="N","","/"&amp;IF(O50="market","std",ROUND(O50*1000,0)/10))</f>
        <v>std/std/std/std</v>
      </c>
      <c r="AN50" s="32" t="str">
        <f t="shared" ref="AN50:AN51" si="86">"$"&amp;ROUND(Q50,0)&amp;" + "&amp;IF(S50="market","std",ROUND(S50*1000,0)/10)&amp;"/"&amp;IF(T50="market","std",ROUND(T50*1000,0)/10)&amp;"/"&amp;IF(U50="market","std",ROUND(U50*1000,0)/10)&amp;"/"&amp;IF(V50="market","std",ROUND(V50*1000,0)/10)&amp;IF(X50="N","","/"&amp;IF(W50="market","std",ROUND(W50*1000,0)/10))</f>
        <v>$0 + 0/0/0/1.9/3.9</v>
      </c>
      <c r="AO50" s="32" t="str">
        <f t="shared" ref="AO50:AO51" si="87">IF(S50="market","std",ROUND(S50*1000,0)/10)&amp;"/"&amp;IF(T50="market","std",ROUND(T50*1000,0)/10)&amp;"/"&amp;IF(U50="market","std",ROUND(U50*1000,0)/10)&amp;"/"&amp;IF(V50="market","std",ROUND(V50*1000,0)/10)&amp;IF(X50="N","","/"&amp;IF(W50="market","std",ROUND(W50*1000,0)/10))</f>
        <v>0/0/0/1.9/3.9</v>
      </c>
      <c r="AP50" s="32" t="str">
        <f t="shared" ref="AP50:AP51" si="88">IF(T50="market","std",ROUND(T50*1000,0)/10)&amp;"/"&amp;IF(U50="market","std",ROUND(U50*1000,0)/10)&amp;"/"&amp;IF(V50="market","std",ROUND(V50*1000,0)/10)&amp;IF(X50="N","","/"&amp;IF(W50="market","std",ROUND(W50*1000,0)/10))</f>
        <v>0/0/1.9/3.9</v>
      </c>
      <c r="AQ50" s="150">
        <f t="shared" si="79"/>
        <v>525</v>
      </c>
      <c r="AR50" s="32" t="str">
        <f t="shared" si="80"/>
        <v>0/1.9</v>
      </c>
      <c r="AS50" s="302"/>
      <c r="AT50" s="3">
        <f t="shared" si="81"/>
        <v>5</v>
      </c>
      <c r="AU50" s="41" t="s">
        <v>121</v>
      </c>
      <c r="AV50" s="41" t="s">
        <v>116</v>
      </c>
      <c r="AW50" s="41" t="str">
        <f>INDEX(Input!$1:$1048576,AW$10,$C50*2+6)</f>
        <v>Kia</v>
      </c>
      <c r="AX50" s="41" t="str">
        <f>INDEX(Input!$1:$1048576,AX$10,$C50*2+6)</f>
        <v>Kia-LR - L2</v>
      </c>
      <c r="AY50" s="41" t="str">
        <f>IF(D50="Skip","",INDEX(Input!$1:$1048576,AY$10,$C50*2+6))</f>
        <v>Compact Conventional/Sporty Car (43)</v>
      </c>
      <c r="AZ50" s="41" t="str">
        <f>INDEX(Input!$1:$1048576,AZ$10,$C50*2+6)</f>
        <v>Kia Forte</v>
      </c>
      <c r="BA50" s="3">
        <f>INDEX(Input!$1:$1048576,BA$10,$C50*2+6)</f>
        <v>2020</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19695</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82"/>
        <v>1100</v>
      </c>
      <c r="CJ50" s="16" t="str">
        <f>INDEX(Input!$1:$1048576,CJ$10,$C50*2+6)</f>
        <v>N</v>
      </c>
      <c r="CK50" s="1" t="str">
        <f t="shared" si="61"/>
        <v>Market</v>
      </c>
      <c r="CL50" s="1" t="str">
        <f t="shared" si="62"/>
        <v>Market</v>
      </c>
      <c r="CM50" s="1" t="str">
        <f t="shared" si="63"/>
        <v>Market</v>
      </c>
      <c r="CN50" s="1" t="str">
        <f t="shared" si="64"/>
        <v>Market</v>
      </c>
      <c r="CO50" s="1" t="str">
        <f t="shared" si="65"/>
        <v>Market</v>
      </c>
      <c r="CP50" s="304">
        <f t="shared" si="66"/>
        <v>350</v>
      </c>
      <c r="CQ50" s="1">
        <f t="shared" si="67"/>
        <v>0</v>
      </c>
      <c r="CR50" s="1">
        <f t="shared" si="68"/>
        <v>0</v>
      </c>
      <c r="CS50" s="1">
        <f t="shared" si="69"/>
        <v>0</v>
      </c>
      <c r="CT50" s="1">
        <f t="shared" si="70"/>
        <v>0</v>
      </c>
      <c r="CU50" s="1">
        <f t="shared" si="71"/>
        <v>1.9E-2</v>
      </c>
      <c r="CV50" s="304">
        <f t="shared" si="83"/>
        <v>1580.7903538628498</v>
      </c>
      <c r="CW50" s="20" t="s">
        <v>122</v>
      </c>
      <c r="CX50" s="20" t="s">
        <v>122</v>
      </c>
      <c r="CY50" s="20" t="s">
        <v>122</v>
      </c>
      <c r="CZ50" s="20" t="s">
        <v>122</v>
      </c>
      <c r="DA50" s="20" t="s">
        <v>122</v>
      </c>
      <c r="DB50" s="503">
        <f t="shared" si="72"/>
        <v>500</v>
      </c>
      <c r="DC50" s="127">
        <v>0</v>
      </c>
      <c r="DD50" s="127">
        <v>0</v>
      </c>
      <c r="DE50" s="127">
        <v>0</v>
      </c>
      <c r="DF50" s="127">
        <v>0</v>
      </c>
      <c r="DG50" s="127">
        <v>0</v>
      </c>
      <c r="DH50" s="127">
        <v>0</v>
      </c>
      <c r="DI50" s="127">
        <v>0</v>
      </c>
      <c r="DJ50" s="127">
        <v>0</v>
      </c>
      <c r="DK50" s="127">
        <v>0</v>
      </c>
      <c r="DL50" s="127">
        <v>0</v>
      </c>
      <c r="DM50" s="304">
        <f>INDEX(Input!$1:$1048576,DM$10,$C50*2+6)</f>
        <v>20731.578947368424</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2.6839339580058574E-2</v>
      </c>
      <c r="DZ50" s="7">
        <v>0</v>
      </c>
      <c r="EA50" s="7">
        <v>0.5506335047993749</v>
      </c>
      <c r="EB50" s="7">
        <v>0</v>
      </c>
      <c r="EC50" s="7">
        <v>0</v>
      </c>
      <c r="ED50" s="7">
        <v>0</v>
      </c>
      <c r="EE50" s="7">
        <v>0</v>
      </c>
      <c r="EF50" s="7">
        <v>0</v>
      </c>
      <c r="EG50" s="7">
        <v>0</v>
      </c>
      <c r="EH50" s="7">
        <v>7.7704042053623346E-3</v>
      </c>
      <c r="EI50" s="7">
        <v>1.2694903503074345E-2</v>
      </c>
      <c r="EJ50" s="7">
        <v>0.12746752223639005</v>
      </c>
      <c r="EK50" s="7">
        <v>0.77305945187933367</v>
      </c>
      <c r="EL50" s="7">
        <v>7.9007718175838973E-2</v>
      </c>
      <c r="EM50" s="7">
        <v>7.3508201154550132E-2</v>
      </c>
      <c r="EN50" s="7">
        <v>4.8872840422557344E-2</v>
      </c>
      <c r="EO50" s="7">
        <v>0.56270589265035587</v>
      </c>
      <c r="EP50" s="7">
        <v>0.28424382265084902</v>
      </c>
      <c r="EQ50" s="7">
        <v>6.4907271609664474E-2</v>
      </c>
      <c r="ER50" s="7">
        <v>3.9270172666573851E-2</v>
      </c>
      <c r="ES50" s="7">
        <v>0.34901895446601638</v>
      </c>
      <c r="ET50" s="7">
        <v>0.42252715562056659</v>
      </c>
      <c r="EU50" s="6">
        <v>1200</v>
      </c>
      <c r="EV50" s="6">
        <v>0</v>
      </c>
      <c r="EW50" s="6">
        <v>1200</v>
      </c>
      <c r="EX50" s="6">
        <v>0</v>
      </c>
      <c r="EY50" s="6">
        <v>2938.109033245486</v>
      </c>
      <c r="EZ50" s="6">
        <v>1736.6508718455543</v>
      </c>
      <c r="FA50" s="6">
        <v>0</v>
      </c>
      <c r="FB50" s="6">
        <v>0</v>
      </c>
      <c r="FC50" s="6">
        <v>0</v>
      </c>
      <c r="FD50" s="6">
        <v>0</v>
      </c>
      <c r="FE50" s="6">
        <v>0</v>
      </c>
      <c r="FF50" s="6">
        <v>0</v>
      </c>
      <c r="FG50" s="6">
        <v>0</v>
      </c>
      <c r="FH50" s="6">
        <v>1154.7826110121675</v>
      </c>
      <c r="FI50" s="6">
        <v>1531.4299904380621</v>
      </c>
      <c r="FJ50" s="6">
        <v>2070.7205842538228</v>
      </c>
      <c r="FK50" s="6">
        <v>2635.3956133202905</v>
      </c>
      <c r="FL50" s="6">
        <v>2005.2147164707269</v>
      </c>
      <c r="FM50" s="6">
        <v>2488.109033245486</v>
      </c>
      <c r="FN50" s="6">
        <v>0</v>
      </c>
      <c r="FO50" s="6">
        <v>0</v>
      </c>
      <c r="FP50" s="6">
        <v>0</v>
      </c>
      <c r="FQ50" s="6">
        <v>0</v>
      </c>
      <c r="FR50" s="6">
        <v>0</v>
      </c>
      <c r="FS50" s="6">
        <v>0</v>
      </c>
      <c r="FT50" s="7">
        <v>0.57747284437943347</v>
      </c>
      <c r="FU50" s="7">
        <v>7.3508201154550132E-2</v>
      </c>
      <c r="FV50" s="7">
        <v>0.34901895446601638</v>
      </c>
      <c r="FW50" s="519">
        <v>1200</v>
      </c>
      <c r="FX50" s="519">
        <v>2938.109033245486</v>
      </c>
      <c r="FY50" s="519">
        <v>1736.6508718455543</v>
      </c>
      <c r="FZ50" s="6">
        <v>2594.6978186474794</v>
      </c>
      <c r="GA50" s="6">
        <v>1515.0665946491613</v>
      </c>
      <c r="GB50" s="6">
        <v>18179.933405350839</v>
      </c>
      <c r="GC50" s="7">
        <v>9.6947029492584935E-2</v>
      </c>
      <c r="GD50" s="7">
        <v>8.643420802443734E-2</v>
      </c>
      <c r="GE50" s="7"/>
      <c r="GF50" s="7"/>
      <c r="GG50" s="7">
        <v>-0.10843881987071792</v>
      </c>
      <c r="GH50" s="42">
        <v>1.9781778350614994</v>
      </c>
      <c r="GI50" s="6">
        <v>11471.198773932072</v>
      </c>
      <c r="GJ50" s="14">
        <v>0.51074630601039539</v>
      </c>
      <c r="GK50" s="14">
        <v>0.50829519786160959</v>
      </c>
      <c r="GL50" s="14">
        <v>0.48925369398960422</v>
      </c>
      <c r="GM50" s="14">
        <v>0.49170480213839018</v>
      </c>
      <c r="GO50" s="5">
        <v>338.16872463277008</v>
      </c>
      <c r="GP50" s="5">
        <v>315.27501390194027</v>
      </c>
      <c r="GQ50" s="5">
        <v>527.27910984145694</v>
      </c>
      <c r="GR50" s="5">
        <v>404.20319246551543</v>
      </c>
      <c r="GS50" s="5">
        <v>334.50205195691484</v>
      </c>
      <c r="GT50" s="5">
        <v>289.18266033348181</v>
      </c>
      <c r="GU50" s="5">
        <v>254.29573314828914</v>
      </c>
      <c r="GV50" s="39" t="s">
        <v>392</v>
      </c>
      <c r="GW50" s="5">
        <v>479.875</v>
      </c>
      <c r="GX50" s="5">
        <v>359.90625</v>
      </c>
      <c r="GY50" s="5">
        <v>287.92500000000001</v>
      </c>
      <c r="GZ50" s="5">
        <v>239.9375</v>
      </c>
      <c r="HA50" s="5">
        <v>219.80275574107543</v>
      </c>
      <c r="HB50" s="39">
        <v>247.85095058702547</v>
      </c>
      <c r="HC50" s="5">
        <v>207.13714935675696</v>
      </c>
      <c r="HD50" s="5">
        <v>184.46727842478731</v>
      </c>
      <c r="HE50" s="5">
        <v>189.31875071055717</v>
      </c>
      <c r="HF50" s="5">
        <v>177.54312293067679</v>
      </c>
      <c r="HG50" s="5">
        <v>174.28912583348651</v>
      </c>
      <c r="HH50" s="39">
        <v>186.1050945862265</v>
      </c>
      <c r="HI50" s="16"/>
      <c r="HJ50" s="1">
        <f>INDEX(Input!$1:$1048576,HJ$10,$C50*2+6)</f>
        <v>0.34665833853841349</v>
      </c>
      <c r="HK50" s="1">
        <f>INDEX(Input!$1:$1048576,HK$10,$C50*2+6)</f>
        <v>0.29981261711430357</v>
      </c>
      <c r="HL50" s="1">
        <f>INDEX(Input!$1:$1048576,HL$10,$C50*2+6)</f>
        <v>0.35352904434728294</v>
      </c>
      <c r="HM50" s="19"/>
    </row>
    <row r="51" spans="1:221" s="26" customFormat="1" ht="15.75" thickBot="1">
      <c r="A51" s="117">
        <f t="shared" si="84"/>
        <v>2003</v>
      </c>
      <c r="B51" s="117">
        <f t="shared" si="60"/>
        <v>3</v>
      </c>
      <c r="C51" s="117">
        <f t="shared" si="74"/>
        <v>2</v>
      </c>
      <c r="D51" s="117" t="s">
        <v>568</v>
      </c>
      <c r="E51" s="115">
        <f>INDEX(Input!$1:$1048576,E$10,$C51*2+6)</f>
        <v>750</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1.9E-2</v>
      </c>
      <c r="W51" s="383">
        <f>INDEX(Input!$1:$1048576,W$10,$C51*2+6)</f>
        <v>3.9E-2</v>
      </c>
      <c r="X51" s="118" t="str">
        <f>INDEX(Input!$1:$1048576,X$10,$C51*2+6)</f>
        <v>Y</v>
      </c>
      <c r="Y51" s="520">
        <f>Y49+1000</f>
        <v>1905.7903538628498</v>
      </c>
      <c r="Z51" s="30">
        <f>INDEX(Input!$1:$1048576,Z$10,$C51*2+6)</f>
        <v>0</v>
      </c>
      <c r="AA51" s="115">
        <f>INDEX(Input!$1:$1048576,AA$10,$C51*2+6)</f>
        <v>0</v>
      </c>
      <c r="AB51" s="118">
        <f>INDEX(Input!$1:$1048576,AB$10,$C51*2+6)</f>
        <v>1</v>
      </c>
      <c r="AC51" s="115">
        <f>INDEX(Input!$1:$1048576,AC$10,$C51*2+6)</f>
        <v>1000</v>
      </c>
      <c r="AD51" s="118">
        <f>INDEX(Input!$1:$1048576,AD$10,$C51*2+6)</f>
        <v>0.35</v>
      </c>
      <c r="AE51" s="115">
        <f>INDEX(Input!$1:$1048576,AE$10,$C51*2+6)</f>
        <v>0</v>
      </c>
      <c r="AF51" s="118">
        <f>INDEX(Input!$1:$1048576,AF$10,$C51*2+6)</f>
        <v>1</v>
      </c>
      <c r="AG51" s="115">
        <f>INDEX(Input!$1:$1048576,AG$10,$C51*2+6)</f>
        <v>500</v>
      </c>
      <c r="AH51" s="118">
        <f>INDEX(Input!$1:$1048576,AH$10,$C51*2+6)</f>
        <v>1</v>
      </c>
      <c r="AI51" s="115">
        <f>INDEX(Input!$1:$1048576,AI$10,$C51*2+6)</f>
        <v>500</v>
      </c>
      <c r="AJ51" s="118">
        <f>INDEX(Input!$1:$1048576,AJ$10,$C51*2+6)</f>
        <v>0.35</v>
      </c>
      <c r="AK51" s="150">
        <f>INDEX(Input!$1:$1048576,AK$10,$C50*2+6)+(Y51-VLOOKUP($C51*1000+1,$A:$HH,Y$9,FALSE))</f>
        <v>6019.7512804092521</v>
      </c>
      <c r="AL51" s="150">
        <f>INDEX(Input!$1:$1048576,AL$10,$C50*2+6)-(Y51-VLOOKUP($C51*1000+1,$A:$HH,Y$9,FALSE))/36</f>
        <v>5073.1264722724345</v>
      </c>
      <c r="AM51" s="32" t="str">
        <f t="shared" si="85"/>
        <v>std/std/std/std</v>
      </c>
      <c r="AN51" s="32" t="str">
        <f t="shared" si="86"/>
        <v>$0 + 0/0/0/1.9/3.9</v>
      </c>
      <c r="AO51" s="32" t="str">
        <f t="shared" si="87"/>
        <v>0/0/0/1.9/3.9</v>
      </c>
      <c r="AP51" s="32" t="str">
        <f t="shared" si="88"/>
        <v>0/0/1.9/3.9</v>
      </c>
      <c r="AQ51" s="150">
        <f t="shared" si="79"/>
        <v>525</v>
      </c>
      <c r="AR51" s="32" t="str">
        <f t="shared" si="80"/>
        <v>0/1.9</v>
      </c>
      <c r="AS51" s="302"/>
      <c r="AT51" s="3">
        <f t="shared" si="81"/>
        <v>6</v>
      </c>
      <c r="AU51" s="41" t="s">
        <v>121</v>
      </c>
      <c r="AV51" s="41" t="s">
        <v>116</v>
      </c>
      <c r="AW51" s="41" t="str">
        <f>INDEX(Input!$1:$1048576,AW$10,$C51*2+6)</f>
        <v>Kia</v>
      </c>
      <c r="AX51" s="41" t="str">
        <f>INDEX(Input!$1:$1048576,AX$10,$C51*2+6)</f>
        <v>Kia-LR - L2</v>
      </c>
      <c r="AY51" s="41" t="str">
        <f>IF(D51="Skip","",INDEX(Input!$1:$1048576,AY$10,$C51*2+6))</f>
        <v>Compact Conventional/Sporty Car (43)</v>
      </c>
      <c r="AZ51" s="41" t="str">
        <f>INDEX(Input!$1:$1048576,AZ$10,$C51*2+6)</f>
        <v>Kia Forte</v>
      </c>
      <c r="BA51" s="3">
        <f>INDEX(Input!$1:$1048576,BA$10,$C51*2+6)</f>
        <v>2020</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19695</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82"/>
        <v>1100</v>
      </c>
      <c r="CJ51" s="16" t="str">
        <f>INDEX(Input!$1:$1048576,CJ$10,$C51*2+6)</f>
        <v>N</v>
      </c>
      <c r="CK51" s="1" t="str">
        <f t="shared" si="61"/>
        <v>Market</v>
      </c>
      <c r="CL51" s="1" t="str">
        <f t="shared" si="62"/>
        <v>Market</v>
      </c>
      <c r="CM51" s="1" t="str">
        <f t="shared" si="63"/>
        <v>Market</v>
      </c>
      <c r="CN51" s="1" t="str">
        <f t="shared" si="64"/>
        <v>Market</v>
      </c>
      <c r="CO51" s="1" t="str">
        <f t="shared" si="65"/>
        <v>Market</v>
      </c>
      <c r="CP51" s="304">
        <f t="shared" si="66"/>
        <v>350</v>
      </c>
      <c r="CQ51" s="1">
        <f t="shared" si="67"/>
        <v>0</v>
      </c>
      <c r="CR51" s="1">
        <f t="shared" si="68"/>
        <v>0</v>
      </c>
      <c r="CS51" s="1">
        <f t="shared" si="69"/>
        <v>0</v>
      </c>
      <c r="CT51" s="1">
        <f t="shared" si="70"/>
        <v>0</v>
      </c>
      <c r="CU51" s="1">
        <f t="shared" si="71"/>
        <v>1.9E-2</v>
      </c>
      <c r="CV51" s="304">
        <f t="shared" si="83"/>
        <v>2080.7903538628498</v>
      </c>
      <c r="CW51" s="20" t="s">
        <v>122</v>
      </c>
      <c r="CX51" s="20" t="s">
        <v>122</v>
      </c>
      <c r="CY51" s="20" t="s">
        <v>122</v>
      </c>
      <c r="CZ51" s="20" t="s">
        <v>122</v>
      </c>
      <c r="DA51" s="20" t="s">
        <v>122</v>
      </c>
      <c r="DB51" s="503">
        <f t="shared" si="72"/>
        <v>500</v>
      </c>
      <c r="DC51" s="127">
        <v>0</v>
      </c>
      <c r="DD51" s="127">
        <v>0</v>
      </c>
      <c r="DE51" s="127">
        <v>0</v>
      </c>
      <c r="DF51" s="127">
        <v>0</v>
      </c>
      <c r="DG51" s="127">
        <v>0</v>
      </c>
      <c r="DH51" s="127">
        <v>0</v>
      </c>
      <c r="DI51" s="127">
        <v>0</v>
      </c>
      <c r="DJ51" s="127">
        <v>0</v>
      </c>
      <c r="DK51" s="127">
        <v>0</v>
      </c>
      <c r="DL51" s="127">
        <v>0</v>
      </c>
      <c r="DM51" s="304">
        <f>INDEX(Input!$1:$1048576,DM$10,$C51*2+6)</f>
        <v>20731.578947368424</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2.5484090109670031E-2</v>
      </c>
      <c r="DZ51" s="7">
        <v>0</v>
      </c>
      <c r="EA51" s="7">
        <v>0.52308064204925075</v>
      </c>
      <c r="EB51" s="7">
        <v>0</v>
      </c>
      <c r="EC51" s="7">
        <v>0</v>
      </c>
      <c r="ED51" s="7">
        <v>0</v>
      </c>
      <c r="EE51" s="7">
        <v>0</v>
      </c>
      <c r="EF51" s="7">
        <v>0</v>
      </c>
      <c r="EG51" s="7">
        <v>0</v>
      </c>
      <c r="EH51" s="7">
        <v>7.7619377002318777E-3</v>
      </c>
      <c r="EI51" s="7">
        <v>1.2674331624936115E-2</v>
      </c>
      <c r="EJ51" s="7">
        <v>0.12739510956217964</v>
      </c>
      <c r="EK51" s="7">
        <v>0.77315729860418214</v>
      </c>
      <c r="EL51" s="7">
        <v>7.9011322508471246E-2</v>
      </c>
      <c r="EM51" s="7">
        <v>6.981488681364903E-2</v>
      </c>
      <c r="EN51" s="7">
        <v>5.0039733173117468E-2</v>
      </c>
      <c r="EO51" s="7">
        <v>0.5613206945399658</v>
      </c>
      <c r="EP51" s="7">
        <v>0.28659699201755301</v>
      </c>
      <c r="EQ51" s="7">
        <v>6.3529534097954712E-2</v>
      </c>
      <c r="ER51" s="7">
        <v>3.8513046171409472E-2</v>
      </c>
      <c r="ES51" s="7">
        <v>0.38162038102743029</v>
      </c>
      <c r="ET51" s="7">
        <v>0.45143526784107924</v>
      </c>
      <c r="EU51" s="6">
        <v>1200</v>
      </c>
      <c r="EV51" s="6">
        <v>0</v>
      </c>
      <c r="EW51" s="6">
        <v>1200</v>
      </c>
      <c r="EX51" s="6">
        <v>0</v>
      </c>
      <c r="EY51" s="6">
        <v>2938.1829400759934</v>
      </c>
      <c r="EZ51" s="6">
        <v>2236.6508718455543</v>
      </c>
      <c r="FA51" s="6">
        <v>0</v>
      </c>
      <c r="FB51" s="6">
        <v>0</v>
      </c>
      <c r="FC51" s="6">
        <v>0</v>
      </c>
      <c r="FD51" s="6">
        <v>0</v>
      </c>
      <c r="FE51" s="6">
        <v>0</v>
      </c>
      <c r="FF51" s="6">
        <v>0</v>
      </c>
      <c r="FG51" s="6">
        <v>0</v>
      </c>
      <c r="FH51" s="6">
        <v>1154.7880631709079</v>
      </c>
      <c r="FI51" s="6">
        <v>1531.4299904380614</v>
      </c>
      <c r="FJ51" s="6">
        <v>2070.720584253821</v>
      </c>
      <c r="FK51" s="6">
        <v>2635.3956133202901</v>
      </c>
      <c r="FL51" s="6">
        <v>2005.2147164707278</v>
      </c>
      <c r="FM51" s="6">
        <v>2488.1829400759934</v>
      </c>
      <c r="FN51" s="6">
        <v>0</v>
      </c>
      <c r="FO51" s="6">
        <v>0</v>
      </c>
      <c r="FP51" s="6">
        <v>0</v>
      </c>
      <c r="FQ51" s="6">
        <v>0</v>
      </c>
      <c r="FR51" s="6">
        <v>0</v>
      </c>
      <c r="FS51" s="6">
        <v>0</v>
      </c>
      <c r="FT51" s="7">
        <v>0.54856473215892076</v>
      </c>
      <c r="FU51" s="7">
        <v>6.981488681364903E-2</v>
      </c>
      <c r="FV51" s="7">
        <v>0.38162038102743029</v>
      </c>
      <c r="FW51" s="519">
        <v>1200</v>
      </c>
      <c r="FX51" s="519">
        <v>2938.1829400759934</v>
      </c>
      <c r="FY51" s="519">
        <v>2236.6508718455543</v>
      </c>
      <c r="FZ51" s="6">
        <v>2594.6978186474794</v>
      </c>
      <c r="GA51" s="6">
        <v>1716.9581459289395</v>
      </c>
      <c r="GB51" s="6">
        <v>17978.04185407106</v>
      </c>
      <c r="GC51" s="7">
        <v>9.6947029492584935E-2</v>
      </c>
      <c r="GD51" s="7">
        <v>8.8347258252419514E-2</v>
      </c>
      <c r="GE51" s="7"/>
      <c r="GF51" s="7"/>
      <c r="GG51" s="7">
        <v>-8.870587665425253E-2</v>
      </c>
      <c r="GH51" s="42">
        <v>1.9904104770546527</v>
      </c>
      <c r="GI51" s="6">
        <v>11611.902041694622</v>
      </c>
      <c r="GJ51" s="14">
        <v>0.51074630601039517</v>
      </c>
      <c r="GK51" s="14">
        <v>0.50829519786160937</v>
      </c>
      <c r="GL51" s="14">
        <v>0.48925369398960428</v>
      </c>
      <c r="GM51" s="14">
        <v>0.49170480213838985</v>
      </c>
      <c r="GO51" s="5">
        <v>338.16872463277008</v>
      </c>
      <c r="GP51" s="5">
        <v>315.27501390194027</v>
      </c>
      <c r="GQ51" s="5">
        <v>527.27910984145694</v>
      </c>
      <c r="GR51" s="5">
        <v>404.20319246551543</v>
      </c>
      <c r="GS51" s="5">
        <v>334.50205195691484</v>
      </c>
      <c r="GT51" s="5">
        <v>289.18266033348181</v>
      </c>
      <c r="GU51" s="5">
        <v>254.29573314828914</v>
      </c>
      <c r="GV51" s="39" t="s">
        <v>392</v>
      </c>
      <c r="GW51" s="5">
        <v>479.875</v>
      </c>
      <c r="GX51" s="5">
        <v>359.90625</v>
      </c>
      <c r="GY51" s="5">
        <v>287.92500000000001</v>
      </c>
      <c r="GZ51" s="5">
        <v>239.9375</v>
      </c>
      <c r="HA51" s="5">
        <v>219.80275574107543</v>
      </c>
      <c r="HB51" s="39">
        <v>247.84290369692633</v>
      </c>
      <c r="HC51" s="5">
        <v>185.26214935675696</v>
      </c>
      <c r="HD51" s="5">
        <v>169.53672286923177</v>
      </c>
      <c r="HE51" s="5">
        <v>175.45657122337769</v>
      </c>
      <c r="HF51" s="5">
        <v>165.98062293067682</v>
      </c>
      <c r="HG51" s="5">
        <v>164.70579250015319</v>
      </c>
      <c r="HH51" s="39">
        <v>171.60825852954198</v>
      </c>
      <c r="HI51" s="16"/>
      <c r="HJ51" s="1">
        <f>INDEX(Input!$1:$1048576,HJ$10,$C51*2+6)</f>
        <v>0.34665833853841349</v>
      </c>
      <c r="HK51" s="1">
        <f>INDEX(Input!$1:$1048576,HK$10,$C51*2+6)</f>
        <v>0.29981261711430357</v>
      </c>
      <c r="HL51" s="1">
        <f>INDEX(Input!$1:$1048576,HL$10,$C51*2+6)</f>
        <v>0.35352904434728294</v>
      </c>
      <c r="HM51" s="19"/>
    </row>
    <row r="52" spans="1:221" s="60" customFormat="1" ht="15.75" thickBot="1">
      <c r="A52" s="31">
        <f>C52*1000+B52</f>
        <v>3001</v>
      </c>
      <c r="B52" s="31">
        <f t="shared" si="60"/>
        <v>1</v>
      </c>
      <c r="C52" s="508">
        <v>3</v>
      </c>
      <c r="D52" s="31" t="s">
        <v>566</v>
      </c>
      <c r="E52" s="365">
        <f>INDEX(Input!$1:$1048576,E$10,$C52*2+MIN($B52,2)+5)</f>
        <v>750</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1.9E-2</v>
      </c>
      <c r="W52" s="38">
        <f>INDEX(Input!$1:$1048576,W$10,$C52*2+MIN($B52,2)+5)</f>
        <v>3.9000000000000007E-2</v>
      </c>
      <c r="X52" s="367" t="str">
        <f>INDEX(Input!$1:$1048576,X$10,$C52*2+MIN($B52,2)+5)</f>
        <v>Y</v>
      </c>
      <c r="Y52" s="517">
        <f>HM23-500</f>
        <v>3048.2475732369312</v>
      </c>
      <c r="Z52" s="49">
        <f>INDEX(Input!$1:$1048576,Z$10,$C52*2+MIN($B52,2)+5)</f>
        <v>0</v>
      </c>
      <c r="AA52" s="49">
        <f>INDEX(Input!$1:$1048576,AA$10,$C52*2+MIN($B52,2)+5)</f>
        <v>0</v>
      </c>
      <c r="AB52" s="367">
        <f>INDEX(Input!$1:$1048576,AB$10,$C52*2+MIN($B52,2)+5)</f>
        <v>0.62</v>
      </c>
      <c r="AC52" s="49">
        <f>INDEX(Input!$1:$1048576,AC$10,$C52*2+MIN($B52,2)+5)</f>
        <v>1000</v>
      </c>
      <c r="AD52" s="367">
        <f>INDEX(Input!$1:$1048576,AD$10,$C52*2+MIN($B52,2)+5)</f>
        <v>0.35</v>
      </c>
      <c r="AE52" s="49">
        <f>INDEX(Input!$1:$1048576,AE$10,$C52*2+MIN($B52,2)+5)</f>
        <v>0</v>
      </c>
      <c r="AF52" s="367">
        <f>INDEX(Input!$1:$1048576,AF$10,$C52*2+MIN($B52,2)+5)</f>
        <v>0.97</v>
      </c>
      <c r="AG52" s="49">
        <f>INDEX(Input!$1:$1048576,AG$10,$C52*2+MIN($B52,2)+5)</f>
        <v>500</v>
      </c>
      <c r="AH52" s="367">
        <f>INDEX(Input!$1:$1048576,AH$10,$C52*2+MIN($B52,2)+5)</f>
        <v>1</v>
      </c>
      <c r="AI52" s="49">
        <f>INDEX(Input!$1:$1048576,AI$10,$C52*2+MIN($B52,2)+5)</f>
        <v>500</v>
      </c>
      <c r="AJ52" s="367">
        <f>INDEX(Input!$1:$1048576,AJ$10,$C52*2+MIN($B52,2)+5)</f>
        <v>0.35</v>
      </c>
      <c r="AK52" s="298">
        <f>INDEX(Input!$1:$1048576,AK$10,$C52*2+MIN($B52,2)+5)</f>
        <v>5098.7109265464023</v>
      </c>
      <c r="AL52" s="49">
        <f>INDEX(Input!$1:$1048576,AL$10,$C52*2+MIN($B52,2)+5)</f>
        <v>5098.7109265464023</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+ 0/0/0/1.9/3.9</v>
      </c>
      <c r="AO52" s="44" t="str">
        <f>IF(S52="market","std",ROUND(S52*1000,0)/10)&amp;"/"&amp;IF(T52="market","std",ROUND(T52*1000,0)/10)&amp;"/"&amp;IF(U52="market","std",ROUND(U52*1000,0)/10)&amp;"/"&amp;IF(V52="market","std",ROUND(V52*1000,0)/10)&amp;IF(X52="N","","/"&amp;IF(W52="market","std",ROUND(W52*1000,0)/10))</f>
        <v>0/0/0/1.9/3.9</v>
      </c>
      <c r="AP52" s="44" t="str">
        <f>IF(T52="market","std",ROUND(T52*1000,0)/10)&amp;"/"&amp;IF(U52="market","std",ROUND(U52*1000,0)/10)&amp;"/"&amp;IF(V52="market","std",ROUND(V52*1000,0)/10)&amp;IF(X52="N","","/"&amp;IF(W52="market","std",ROUND(W52*1000,0)/10))</f>
        <v>0/0/1.9/3.9</v>
      </c>
      <c r="AQ52" s="49">
        <f t="shared" si="79"/>
        <v>525</v>
      </c>
      <c r="AR52" s="44" t="str">
        <f t="shared" si="80"/>
        <v>0/1.9</v>
      </c>
      <c r="AS52" s="368"/>
      <c r="AT52" s="50">
        <f t="shared" si="81"/>
        <v>7</v>
      </c>
      <c r="AU52" s="45" t="s">
        <v>121</v>
      </c>
      <c r="AV52" s="45" t="s">
        <v>116</v>
      </c>
      <c r="AW52" s="45" t="str">
        <f>INDEX(Input!$1:$1048576,AW$10,$C52*2+6)</f>
        <v>Kia</v>
      </c>
      <c r="AX52" s="45" t="str">
        <f>INDEX(Input!$1:$1048576,AX$10,$C52*2+6)</f>
        <v>Kia-LR - L3</v>
      </c>
      <c r="AY52" s="10" t="str">
        <f>IF(D52="Skip","",INDEX(Input!$1:$1048576,AY$10,$C52*2+6))</f>
        <v>Compact Conventional/Sporty Car (43)</v>
      </c>
      <c r="AZ52" s="45" t="str">
        <f>INDEX(Input!$1:$1048576,AZ$10,$C52*2+6)</f>
        <v>Kia Forte</v>
      </c>
      <c r="BA52" s="50">
        <f>INDEX(Input!$1:$1048576,BA$10,$C52*2+6)</f>
        <v>2020</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19695</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82"/>
        <v>1100</v>
      </c>
      <c r="CJ52" s="46" t="str">
        <f>INDEX(Input!$1:$1048576,CJ$10,$C52*2+6)</f>
        <v>N</v>
      </c>
      <c r="CK52" s="38" t="str">
        <f t="shared" si="61"/>
        <v>Market</v>
      </c>
      <c r="CL52" s="38" t="str">
        <f t="shared" si="62"/>
        <v>Market</v>
      </c>
      <c r="CM52" s="38" t="str">
        <f t="shared" si="63"/>
        <v>Market</v>
      </c>
      <c r="CN52" s="38" t="str">
        <f t="shared" si="64"/>
        <v>Market</v>
      </c>
      <c r="CO52" s="38" t="str">
        <f t="shared" si="65"/>
        <v>Market</v>
      </c>
      <c r="CP52" s="49">
        <f t="shared" si="66"/>
        <v>350</v>
      </c>
      <c r="CQ52" s="38">
        <f t="shared" si="67"/>
        <v>0</v>
      </c>
      <c r="CR52" s="38">
        <f t="shared" si="68"/>
        <v>0</v>
      </c>
      <c r="CS52" s="38">
        <f t="shared" si="69"/>
        <v>0</v>
      </c>
      <c r="CT52" s="38">
        <f t="shared" si="70"/>
        <v>0</v>
      </c>
      <c r="CU52" s="38">
        <f t="shared" si="71"/>
        <v>1.9E-2</v>
      </c>
      <c r="CV52" s="49">
        <f t="shared" si="83"/>
        <v>3223.2475732369312</v>
      </c>
      <c r="CW52" s="22" t="s">
        <v>122</v>
      </c>
      <c r="CX52" s="22" t="s">
        <v>122</v>
      </c>
      <c r="CY52" s="22" t="s">
        <v>122</v>
      </c>
      <c r="CZ52" s="22" t="s">
        <v>122</v>
      </c>
      <c r="DA52" s="22" t="s">
        <v>122</v>
      </c>
      <c r="DB52" s="502">
        <f t="shared" si="72"/>
        <v>500</v>
      </c>
      <c r="DC52" s="29">
        <v>0</v>
      </c>
      <c r="DD52" s="29">
        <v>0</v>
      </c>
      <c r="DE52" s="29">
        <v>0</v>
      </c>
      <c r="DF52" s="49">
        <v>0</v>
      </c>
      <c r="DG52" s="49">
        <v>0</v>
      </c>
      <c r="DH52" s="49">
        <v>0</v>
      </c>
      <c r="DI52" s="49">
        <v>0</v>
      </c>
      <c r="DJ52" s="49">
        <v>0</v>
      </c>
      <c r="DK52" s="29">
        <v>0</v>
      </c>
      <c r="DL52" s="29">
        <v>0</v>
      </c>
      <c r="DM52" s="49">
        <f>INDEX(Input!$1:$1048576,DM$10,$C52*2+6)</f>
        <v>20731.578947368424</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3.2948657829023897E-2</v>
      </c>
      <c r="DZ52" s="37">
        <v>0</v>
      </c>
      <c r="EA52" s="37">
        <v>0.58661781770403976</v>
      </c>
      <c r="EB52" s="37">
        <v>0</v>
      </c>
      <c r="EC52" s="37">
        <v>0</v>
      </c>
      <c r="ED52" s="37">
        <v>0</v>
      </c>
      <c r="EE52" s="37">
        <v>0</v>
      </c>
      <c r="EF52" s="37">
        <v>0</v>
      </c>
      <c r="EG52" s="37">
        <v>0</v>
      </c>
      <c r="EH52" s="37">
        <v>6.869926917537697E-3</v>
      </c>
      <c r="EI52" s="37">
        <v>8.7116054981683198E-3</v>
      </c>
      <c r="EJ52" s="37">
        <v>0.12513774599503413</v>
      </c>
      <c r="EK52" s="37">
        <v>0.77768603034192885</v>
      </c>
      <c r="EL52" s="37">
        <v>8.1594691247330861E-2</v>
      </c>
      <c r="EM52" s="37">
        <v>9.6137078382313612E-2</v>
      </c>
      <c r="EN52" s="37">
        <v>5.6631153890243868E-2</v>
      </c>
      <c r="EO52" s="37">
        <v>0.57039988877152115</v>
      </c>
      <c r="EP52" s="37">
        <v>0.27056468346689422</v>
      </c>
      <c r="EQ52" s="37">
        <v>6.0820539310232763E-2</v>
      </c>
      <c r="ER52" s="37">
        <v>4.1583734561107803E-2</v>
      </c>
      <c r="ES52" s="37">
        <v>0.28429644608462268</v>
      </c>
      <c r="ET52" s="37">
        <v>0.3804335244669364</v>
      </c>
      <c r="EU52" s="36">
        <v>1200</v>
      </c>
      <c r="EV52" s="36">
        <v>0</v>
      </c>
      <c r="EW52" s="36">
        <v>1200</v>
      </c>
      <c r="EX52" s="36">
        <v>0</v>
      </c>
      <c r="EY52" s="36">
        <v>2943.5219001814953</v>
      </c>
      <c r="EZ52" s="36">
        <v>2950.9927769918718</v>
      </c>
      <c r="FA52" s="36">
        <v>0</v>
      </c>
      <c r="FB52" s="36">
        <v>0</v>
      </c>
      <c r="FC52" s="36">
        <v>0</v>
      </c>
      <c r="FD52" s="36">
        <v>0</v>
      </c>
      <c r="FE52" s="36">
        <v>0</v>
      </c>
      <c r="FF52" s="36">
        <v>0</v>
      </c>
      <c r="FG52" s="36">
        <v>0</v>
      </c>
      <c r="FH52" s="36">
        <v>1154.3283173543412</v>
      </c>
      <c r="FI52" s="36">
        <v>1531.4299904380621</v>
      </c>
      <c r="FJ52" s="36">
        <v>2070.7205842538224</v>
      </c>
      <c r="FK52" s="36">
        <v>2635.395613320291</v>
      </c>
      <c r="FL52" s="36">
        <v>2005.2147164707271</v>
      </c>
      <c r="FM52" s="36">
        <v>2493.5219001814953</v>
      </c>
      <c r="FN52" s="36">
        <v>0</v>
      </c>
      <c r="FO52" s="36">
        <v>0</v>
      </c>
      <c r="FP52" s="36">
        <v>0</v>
      </c>
      <c r="FQ52" s="36">
        <v>0</v>
      </c>
      <c r="FR52" s="36">
        <v>0</v>
      </c>
      <c r="FS52" s="36">
        <v>0</v>
      </c>
      <c r="FT52" s="37">
        <v>0.61956647553306365</v>
      </c>
      <c r="FU52" s="37">
        <v>9.6137078382313612E-2</v>
      </c>
      <c r="FV52" s="37">
        <v>0.28429644608462268</v>
      </c>
      <c r="FW52" s="518">
        <v>1199.9999999999998</v>
      </c>
      <c r="FX52" s="518">
        <v>2943.5219001814953</v>
      </c>
      <c r="FY52" s="518">
        <v>2950.9927769918718</v>
      </c>
      <c r="FZ52" s="36">
        <v>2202.331475193394</v>
      </c>
      <c r="GA52" s="36">
        <v>1865.418125197662</v>
      </c>
      <c r="GB52" s="36">
        <v>17829.581874802338</v>
      </c>
      <c r="GC52" s="37">
        <v>4.8391397220736806E-2</v>
      </c>
      <c r="GD52" s="37">
        <v>4.6704145161954619E-2</v>
      </c>
      <c r="GE52" s="37"/>
      <c r="GF52" s="37"/>
      <c r="GG52" s="37">
        <v>-3.4866777065473156E-2</v>
      </c>
      <c r="GH52" s="35">
        <v>2.0382130132664464</v>
      </c>
      <c r="GI52" s="36">
        <v>11528.294317140299</v>
      </c>
      <c r="GJ52" s="34">
        <v>0.5107463060103955</v>
      </c>
      <c r="GK52" s="34">
        <v>0.5082951978616097</v>
      </c>
      <c r="GL52" s="34">
        <v>0.48925369398960433</v>
      </c>
      <c r="GM52" s="33">
        <v>0.49170480213839041</v>
      </c>
      <c r="GN52" s="61"/>
      <c r="GO52" s="13">
        <v>338.16872463277008</v>
      </c>
      <c r="GP52" s="27">
        <v>315.27501390194027</v>
      </c>
      <c r="GQ52" s="27">
        <v>527.27910984145694</v>
      </c>
      <c r="GR52" s="27">
        <v>404.20319246551543</v>
      </c>
      <c r="GS52" s="27">
        <v>334.50205195691484</v>
      </c>
      <c r="GT52" s="27">
        <v>289.18266033348181</v>
      </c>
      <c r="GU52" s="27">
        <v>254.29573314828914</v>
      </c>
      <c r="GV52" s="29" t="s">
        <v>392</v>
      </c>
      <c r="GW52" s="27">
        <v>479.875</v>
      </c>
      <c r="GX52" s="27">
        <v>359.90625</v>
      </c>
      <c r="GY52" s="27">
        <v>287.92500000000001</v>
      </c>
      <c r="GZ52" s="27">
        <v>239.9375</v>
      </c>
      <c r="HA52" s="27">
        <v>219.80275574107543</v>
      </c>
      <c r="HB52" s="29">
        <v>246.99313285667085</v>
      </c>
      <c r="HC52" s="27">
        <v>154.00969100660558</v>
      </c>
      <c r="HD52" s="27">
        <v>148.20567986833476</v>
      </c>
      <c r="HE52" s="27">
        <v>155.6518998146737</v>
      </c>
      <c r="HF52" s="27">
        <v>149.4614663741682</v>
      </c>
      <c r="HG52" s="27">
        <v>151.01423931818209</v>
      </c>
      <c r="HH52" s="12">
        <v>150.74221986229776</v>
      </c>
      <c r="HI52" s="94"/>
      <c r="HJ52" s="24">
        <f>INDEX(Input!$1:$1048576,HJ$10,$C52*2+6)</f>
        <v>0.25389408099688471</v>
      </c>
      <c r="HK52" s="18">
        <f>INDEX(Input!$1:$1048576,HK$10,$C52*2+6)</f>
        <v>0.38110072689511942</v>
      </c>
      <c r="HL52" s="43">
        <f>INDEX(Input!$1:$1048576,HL$10,$C52*2+6)</f>
        <v>0.36500519210799587</v>
      </c>
      <c r="HM52" s="49">
        <f>ROUND(IF(HL52&lt;FV53,TREND(Y52:Y53,FV52:FV53,HL52),TREND(Y53:Y54,FV53:FV54,HL52)),0)</f>
        <v>4225</v>
      </c>
    </row>
    <row r="53" spans="1:221" s="26" customFormat="1" ht="15">
      <c r="A53" s="117">
        <f t="shared" ref="A53:A54" si="89">C53*1000+B53</f>
        <v>3002</v>
      </c>
      <c r="B53" s="117">
        <f t="shared" si="60"/>
        <v>2</v>
      </c>
      <c r="C53" s="117">
        <f t="shared" si="74"/>
        <v>3</v>
      </c>
      <c r="D53" s="117" t="s">
        <v>568</v>
      </c>
      <c r="E53" s="115">
        <f>INDEX(Input!$1:$1048576,E$10,$C53*2+6)</f>
        <v>750</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1.9E-2</v>
      </c>
      <c r="W53" s="383">
        <f>INDEX(Input!$1:$1048576,W$10,$C53*2+6)</f>
        <v>3.9000000000000007E-2</v>
      </c>
      <c r="X53" s="118" t="str">
        <f>INDEX(Input!$1:$1048576,X$10,$C53*2+6)</f>
        <v>Y</v>
      </c>
      <c r="Y53" s="520">
        <f>Y52+500</f>
        <v>3548.2475732369312</v>
      </c>
      <c r="Z53" s="30">
        <f>INDEX(Input!$1:$1048576,Z$10,$C53*2+6)</f>
        <v>0</v>
      </c>
      <c r="AA53" s="115">
        <f>INDEX(Input!$1:$1048576,AA$10,$C53*2+6)</f>
        <v>0</v>
      </c>
      <c r="AB53" s="118">
        <f>INDEX(Input!$1:$1048576,AB$10,$C53*2+6)</f>
        <v>0.62</v>
      </c>
      <c r="AC53" s="115">
        <f>INDEX(Input!$1:$1048576,AC$10,$C53*2+6)</f>
        <v>1000</v>
      </c>
      <c r="AD53" s="118">
        <f>INDEX(Input!$1:$1048576,AD$10,$C53*2+6)</f>
        <v>0.35</v>
      </c>
      <c r="AE53" s="115">
        <f>INDEX(Input!$1:$1048576,AE$10,$C53*2+6)</f>
        <v>0</v>
      </c>
      <c r="AF53" s="118">
        <f>INDEX(Input!$1:$1048576,AF$10,$C53*2+6)</f>
        <v>0.97</v>
      </c>
      <c r="AG53" s="115">
        <f>INDEX(Input!$1:$1048576,AG$10,$C53*2+6)</f>
        <v>500</v>
      </c>
      <c r="AH53" s="118">
        <f>INDEX(Input!$1:$1048576,AH$10,$C53*2+6)</f>
        <v>1</v>
      </c>
      <c r="AI53" s="115">
        <f>INDEX(Input!$1:$1048576,AI$10,$C53*2+6)</f>
        <v>500</v>
      </c>
      <c r="AJ53" s="118">
        <f>INDEX(Input!$1:$1048576,AJ$10,$C53*2+6)</f>
        <v>0.35</v>
      </c>
      <c r="AK53" s="150">
        <f>INDEX(Input!$1:$1048576,AK$10,$C52*2+6)+(Y53-VLOOKUP($C53*1000+1,$A:$HH,Y$9,FALSE))</f>
        <v>7662.2084997833335</v>
      </c>
      <c r="AL53" s="150">
        <f>INDEX(Input!$1:$1048576,AL$10,$C52*2+6)-(Y53-VLOOKUP($C53*1000+1,$A:$HH,Y$9,FALSE))/36</f>
        <v>5027.502660623154</v>
      </c>
      <c r="AM53" s="32" t="str">
        <f t="shared" ref="AM53:AM54" si="90">IF(K53="market","std",ROUND(K53*1000,0)/10)&amp;"/"&amp;IF(L53="market","std",ROUND(L53*1000,0)/10)&amp;"/"&amp;IF(M53="market","std",ROUND(M53*1000,0)/10)&amp;"/"&amp;IF(N53="market","std",ROUND(N53*1000,0)/10)&amp;IF(P53="N","","/"&amp;IF(O53="market","std",ROUND(O53*1000,0)/10))</f>
        <v>std/std/std/std</v>
      </c>
      <c r="AN53" s="32" t="str">
        <f t="shared" ref="AN53:AN54" si="91">"$"&amp;ROUND(Q53,0)&amp;" + "&amp;IF(S53="market","std",ROUND(S53*1000,0)/10)&amp;"/"&amp;IF(T53="market","std",ROUND(T53*1000,0)/10)&amp;"/"&amp;IF(U53="market","std",ROUND(U53*1000,0)/10)&amp;"/"&amp;IF(V53="market","std",ROUND(V53*1000,0)/10)&amp;IF(X53="N","","/"&amp;IF(W53="market","std",ROUND(W53*1000,0)/10))</f>
        <v>$0 + 0/0/0/1.9/3.9</v>
      </c>
      <c r="AO53" s="32" t="str">
        <f t="shared" ref="AO53:AO54" si="92">IF(S53="market","std",ROUND(S53*1000,0)/10)&amp;"/"&amp;IF(T53="market","std",ROUND(T53*1000,0)/10)&amp;"/"&amp;IF(U53="market","std",ROUND(U53*1000,0)/10)&amp;"/"&amp;IF(V53="market","std",ROUND(V53*1000,0)/10)&amp;IF(X53="N","","/"&amp;IF(W53="market","std",ROUND(W53*1000,0)/10))</f>
        <v>0/0/0/1.9/3.9</v>
      </c>
      <c r="AP53" s="32" t="str">
        <f t="shared" ref="AP53:AP54" si="93">IF(T53="market","std",ROUND(T53*1000,0)/10)&amp;"/"&amp;IF(U53="market","std",ROUND(U53*1000,0)/10)&amp;"/"&amp;IF(V53="market","std",ROUND(V53*1000,0)/10)&amp;IF(X53="N","","/"&amp;IF(W53="market","std",ROUND(W53*1000,0)/10))</f>
        <v>0/0/1.9/3.9</v>
      </c>
      <c r="AQ53" s="150">
        <f t="shared" si="79"/>
        <v>525</v>
      </c>
      <c r="AR53" s="32" t="str">
        <f t="shared" si="80"/>
        <v>0/1.9</v>
      </c>
      <c r="AS53" s="302"/>
      <c r="AT53" s="3">
        <f t="shared" si="81"/>
        <v>8</v>
      </c>
      <c r="AU53" s="41" t="s">
        <v>121</v>
      </c>
      <c r="AV53" s="41" t="s">
        <v>116</v>
      </c>
      <c r="AW53" s="41" t="str">
        <f>INDEX(Input!$1:$1048576,AW$10,$C53*2+6)</f>
        <v>Kia</v>
      </c>
      <c r="AX53" s="41" t="str">
        <f>INDEX(Input!$1:$1048576,AX$10,$C53*2+6)</f>
        <v>Kia-LR - L3</v>
      </c>
      <c r="AY53" s="41" t="str">
        <f>IF(D53="Skip","",INDEX(Input!$1:$1048576,AY$10,$C53*2+6))</f>
        <v>Compact Conventional/Sporty Car (43)</v>
      </c>
      <c r="AZ53" s="41" t="str">
        <f>INDEX(Input!$1:$1048576,AZ$10,$C53*2+6)</f>
        <v>Kia Forte</v>
      </c>
      <c r="BA53" s="3">
        <f>INDEX(Input!$1:$1048576,BA$10,$C53*2+6)</f>
        <v>2020</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19695</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82"/>
        <v>1100</v>
      </c>
      <c r="CJ53" s="16" t="str">
        <f>INDEX(Input!$1:$1048576,CJ$10,$C53*2+6)</f>
        <v>N</v>
      </c>
      <c r="CK53" s="1" t="str">
        <f t="shared" si="61"/>
        <v>Market</v>
      </c>
      <c r="CL53" s="1" t="str">
        <f t="shared" si="62"/>
        <v>Market</v>
      </c>
      <c r="CM53" s="1" t="str">
        <f t="shared" si="63"/>
        <v>Market</v>
      </c>
      <c r="CN53" s="1" t="str">
        <f t="shared" si="64"/>
        <v>Market</v>
      </c>
      <c r="CO53" s="1" t="str">
        <f t="shared" si="65"/>
        <v>Market</v>
      </c>
      <c r="CP53" s="304">
        <f t="shared" si="66"/>
        <v>350</v>
      </c>
      <c r="CQ53" s="1">
        <f t="shared" si="67"/>
        <v>0</v>
      </c>
      <c r="CR53" s="1">
        <f t="shared" si="68"/>
        <v>0</v>
      </c>
      <c r="CS53" s="1">
        <f t="shared" si="69"/>
        <v>0</v>
      </c>
      <c r="CT53" s="1">
        <f t="shared" si="70"/>
        <v>0</v>
      </c>
      <c r="CU53" s="1">
        <f t="shared" si="71"/>
        <v>1.9E-2</v>
      </c>
      <c r="CV53" s="304">
        <f t="shared" si="83"/>
        <v>3723.2475732369312</v>
      </c>
      <c r="CW53" s="20" t="s">
        <v>122</v>
      </c>
      <c r="CX53" s="20" t="s">
        <v>122</v>
      </c>
      <c r="CY53" s="20" t="s">
        <v>122</v>
      </c>
      <c r="CZ53" s="20" t="s">
        <v>122</v>
      </c>
      <c r="DA53" s="20" t="s">
        <v>122</v>
      </c>
      <c r="DB53" s="503">
        <f t="shared" si="72"/>
        <v>500</v>
      </c>
      <c r="DC53" s="127">
        <v>0</v>
      </c>
      <c r="DD53" s="127">
        <v>0</v>
      </c>
      <c r="DE53" s="127">
        <v>0</v>
      </c>
      <c r="DF53" s="127">
        <v>0</v>
      </c>
      <c r="DG53" s="127">
        <v>0</v>
      </c>
      <c r="DH53" s="127">
        <v>0</v>
      </c>
      <c r="DI53" s="127">
        <v>0</v>
      </c>
      <c r="DJ53" s="127">
        <v>0</v>
      </c>
      <c r="DK53" s="127">
        <v>0</v>
      </c>
      <c r="DL53" s="127">
        <v>0</v>
      </c>
      <c r="DM53" s="304">
        <f>INDEX(Input!$1:$1048576,DM$10,$C53*2+6)</f>
        <v>20731.578947368424</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3.1473957600838265E-2</v>
      </c>
      <c r="DZ53" s="7">
        <v>0</v>
      </c>
      <c r="EA53" s="7">
        <v>0.56054306320107583</v>
      </c>
      <c r="EB53" s="7">
        <v>0</v>
      </c>
      <c r="EC53" s="7">
        <v>0</v>
      </c>
      <c r="ED53" s="7">
        <v>0</v>
      </c>
      <c r="EE53" s="7">
        <v>0</v>
      </c>
      <c r="EF53" s="7">
        <v>0</v>
      </c>
      <c r="EG53" s="7">
        <v>0</v>
      </c>
      <c r="EH53" s="7">
        <v>6.8613231147966513E-3</v>
      </c>
      <c r="EI53" s="7">
        <v>8.707542954014276E-3</v>
      </c>
      <c r="EJ53" s="7">
        <v>0.12490215200849029</v>
      </c>
      <c r="EK53" s="7">
        <v>0.77782428194630593</v>
      </c>
      <c r="EL53" s="7">
        <v>8.1704699976393222E-2</v>
      </c>
      <c r="EM53" s="7">
        <v>9.1442847877175146E-2</v>
      </c>
      <c r="EN53" s="7">
        <v>5.824987134544192E-2</v>
      </c>
      <c r="EO53" s="7">
        <v>0.56871633802854549</v>
      </c>
      <c r="EP53" s="7">
        <v>0.27313973820444487</v>
      </c>
      <c r="EQ53" s="7">
        <v>5.9298573220006236E-2</v>
      </c>
      <c r="ER53" s="7">
        <v>4.0595479201561611E-2</v>
      </c>
      <c r="ES53" s="7">
        <v>0.31654013132091086</v>
      </c>
      <c r="ET53" s="7">
        <v>0.40798297919808596</v>
      </c>
      <c r="EU53" s="6">
        <v>1200</v>
      </c>
      <c r="EV53" s="6">
        <v>0</v>
      </c>
      <c r="EW53" s="6">
        <v>1200</v>
      </c>
      <c r="EX53" s="6">
        <v>0</v>
      </c>
      <c r="EY53" s="6">
        <v>2943.6028523670461</v>
      </c>
      <c r="EZ53" s="6">
        <v>3450.9927769918718</v>
      </c>
      <c r="FA53" s="6">
        <v>0</v>
      </c>
      <c r="FB53" s="6">
        <v>0</v>
      </c>
      <c r="FC53" s="6">
        <v>0</v>
      </c>
      <c r="FD53" s="6">
        <v>0</v>
      </c>
      <c r="FE53" s="6">
        <v>0</v>
      </c>
      <c r="FF53" s="6">
        <v>0</v>
      </c>
      <c r="FG53" s="6">
        <v>0</v>
      </c>
      <c r="FH53" s="6">
        <v>1154.3306236068111</v>
      </c>
      <c r="FI53" s="6">
        <v>1531.4299904380621</v>
      </c>
      <c r="FJ53" s="6">
        <v>2070.7205842538215</v>
      </c>
      <c r="FK53" s="6">
        <v>2635.3956133202914</v>
      </c>
      <c r="FL53" s="6">
        <v>2005.2147164707278</v>
      </c>
      <c r="FM53" s="6">
        <v>2493.6028523670461</v>
      </c>
      <c r="FN53" s="6">
        <v>0</v>
      </c>
      <c r="FO53" s="6">
        <v>0</v>
      </c>
      <c r="FP53" s="6">
        <v>0</v>
      </c>
      <c r="FQ53" s="6">
        <v>0</v>
      </c>
      <c r="FR53" s="6">
        <v>0</v>
      </c>
      <c r="FS53" s="6">
        <v>0</v>
      </c>
      <c r="FT53" s="7">
        <v>0.5920170208019141</v>
      </c>
      <c r="FU53" s="7">
        <v>9.1442847877175146E-2</v>
      </c>
      <c r="FV53" s="7">
        <v>0.31654013132091086</v>
      </c>
      <c r="FW53" s="519">
        <v>1200</v>
      </c>
      <c r="FX53" s="519">
        <v>2943.6028523670461</v>
      </c>
      <c r="FY53" s="519">
        <v>3450.9927769918718</v>
      </c>
      <c r="FZ53" s="6">
        <v>2202.331475193394</v>
      </c>
      <c r="GA53" s="6">
        <v>2071.9695596186375</v>
      </c>
      <c r="GB53" s="6">
        <v>17623.030440381364</v>
      </c>
      <c r="GC53" s="7">
        <v>4.8391397220736806E-2</v>
      </c>
      <c r="GD53" s="7">
        <v>4.771142289628115E-2</v>
      </c>
      <c r="GE53" s="7"/>
      <c r="GF53" s="7"/>
      <c r="GG53" s="7">
        <v>-1.4051553860988173E-2</v>
      </c>
      <c r="GH53" s="42">
        <v>2.122900327691652</v>
      </c>
      <c r="GI53" s="6">
        <v>11349.371679300561</v>
      </c>
      <c r="GJ53" s="14">
        <v>0.51074630601039561</v>
      </c>
      <c r="GK53" s="14">
        <v>0.50829519786160993</v>
      </c>
      <c r="GL53" s="14">
        <v>0.48925369398960439</v>
      </c>
      <c r="GM53" s="14">
        <v>0.49170480213839018</v>
      </c>
      <c r="GO53" s="5">
        <v>338.16872463277008</v>
      </c>
      <c r="GP53" s="5">
        <v>315.27501390194027</v>
      </c>
      <c r="GQ53" s="5">
        <v>527.27910984145694</v>
      </c>
      <c r="GR53" s="5">
        <v>404.20319246551543</v>
      </c>
      <c r="GS53" s="5">
        <v>334.50205195691484</v>
      </c>
      <c r="GT53" s="5">
        <v>289.18266033348181</v>
      </c>
      <c r="GU53" s="5">
        <v>254.29573314828914</v>
      </c>
      <c r="GV53" s="39" t="s">
        <v>392</v>
      </c>
      <c r="GW53" s="5">
        <v>479.875</v>
      </c>
      <c r="GX53" s="5">
        <v>359.90625</v>
      </c>
      <c r="GY53" s="5">
        <v>287.92500000000001</v>
      </c>
      <c r="GZ53" s="5">
        <v>239.9375</v>
      </c>
      <c r="HA53" s="5">
        <v>219.80275574107543</v>
      </c>
      <c r="HB53" s="39">
        <v>246.97706053935161</v>
      </c>
      <c r="HC53" s="5">
        <v>132.13469100660558</v>
      </c>
      <c r="HD53" s="5">
        <v>133.27512431277921</v>
      </c>
      <c r="HE53" s="5">
        <v>141.78972032749422</v>
      </c>
      <c r="HF53" s="5">
        <v>137.8989663741682</v>
      </c>
      <c r="HG53" s="5">
        <v>141.43090598484875</v>
      </c>
      <c r="HH53" s="39">
        <v>136.1396438480684</v>
      </c>
      <c r="HI53" s="16"/>
      <c r="HJ53" s="1">
        <f>INDEX(Input!$1:$1048576,HJ$10,$C53*2+6)</f>
        <v>0.25389408099688471</v>
      </c>
      <c r="HK53" s="1">
        <f>INDEX(Input!$1:$1048576,HK$10,$C53*2+6)</f>
        <v>0.38110072689511942</v>
      </c>
      <c r="HL53" s="1">
        <f>INDEX(Input!$1:$1048576,HL$10,$C53*2+6)</f>
        <v>0.36500519210799587</v>
      </c>
      <c r="HM53" s="19"/>
    </row>
    <row r="54" spans="1:221" s="26" customFormat="1" ht="15.75" thickBot="1">
      <c r="A54" s="117">
        <f t="shared" si="89"/>
        <v>3003</v>
      </c>
      <c r="B54" s="117">
        <f t="shared" si="60"/>
        <v>3</v>
      </c>
      <c r="C54" s="117">
        <f t="shared" si="74"/>
        <v>3</v>
      </c>
      <c r="D54" s="117" t="s">
        <v>568</v>
      </c>
      <c r="E54" s="115">
        <f>INDEX(Input!$1:$1048576,E$10,$C54*2+6)</f>
        <v>750</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1.9E-2</v>
      </c>
      <c r="W54" s="383">
        <f>INDEX(Input!$1:$1048576,W$10,$C54*2+6)</f>
        <v>3.9000000000000007E-2</v>
      </c>
      <c r="X54" s="118" t="str">
        <f>INDEX(Input!$1:$1048576,X$10,$C54*2+6)</f>
        <v>Y</v>
      </c>
      <c r="Y54" s="520">
        <f>Y52+1000</f>
        <v>4048.2475732369312</v>
      </c>
      <c r="Z54" s="30">
        <f>INDEX(Input!$1:$1048576,Z$10,$C54*2+6)</f>
        <v>0</v>
      </c>
      <c r="AA54" s="115">
        <f>INDEX(Input!$1:$1048576,AA$10,$C54*2+6)</f>
        <v>0</v>
      </c>
      <c r="AB54" s="118">
        <f>INDEX(Input!$1:$1048576,AB$10,$C54*2+6)</f>
        <v>0.62</v>
      </c>
      <c r="AC54" s="115">
        <f>INDEX(Input!$1:$1048576,AC$10,$C54*2+6)</f>
        <v>1000</v>
      </c>
      <c r="AD54" s="118">
        <f>INDEX(Input!$1:$1048576,AD$10,$C54*2+6)</f>
        <v>0.35</v>
      </c>
      <c r="AE54" s="115">
        <f>INDEX(Input!$1:$1048576,AE$10,$C54*2+6)</f>
        <v>0</v>
      </c>
      <c r="AF54" s="118">
        <f>INDEX(Input!$1:$1048576,AF$10,$C54*2+6)</f>
        <v>0.97</v>
      </c>
      <c r="AG54" s="115">
        <f>INDEX(Input!$1:$1048576,AG$10,$C54*2+6)</f>
        <v>500</v>
      </c>
      <c r="AH54" s="118">
        <f>INDEX(Input!$1:$1048576,AH$10,$C54*2+6)</f>
        <v>1</v>
      </c>
      <c r="AI54" s="115">
        <f>INDEX(Input!$1:$1048576,AI$10,$C54*2+6)</f>
        <v>500</v>
      </c>
      <c r="AJ54" s="118">
        <f>INDEX(Input!$1:$1048576,AJ$10,$C54*2+6)</f>
        <v>0.35</v>
      </c>
      <c r="AK54" s="150">
        <f>INDEX(Input!$1:$1048576,AK$10,$C53*2+6)+(Y54-VLOOKUP($C54*1000+1,$A:$HH,Y$9,FALSE))</f>
        <v>8162.2084997833335</v>
      </c>
      <c r="AL54" s="150">
        <f>INDEX(Input!$1:$1048576,AL$10,$C53*2+6)-(Y54-VLOOKUP($C54*1000+1,$A:$HH,Y$9,FALSE))/36</f>
        <v>5013.6137717342654</v>
      </c>
      <c r="AM54" s="32" t="str">
        <f t="shared" si="90"/>
        <v>std/std/std/std</v>
      </c>
      <c r="AN54" s="32" t="str">
        <f t="shared" si="91"/>
        <v>$0 + 0/0/0/1.9/3.9</v>
      </c>
      <c r="AO54" s="32" t="str">
        <f t="shared" si="92"/>
        <v>0/0/0/1.9/3.9</v>
      </c>
      <c r="AP54" s="32" t="str">
        <f t="shared" si="93"/>
        <v>0/0/1.9/3.9</v>
      </c>
      <c r="AQ54" s="150">
        <f t="shared" si="79"/>
        <v>525</v>
      </c>
      <c r="AR54" s="32" t="str">
        <f t="shared" si="80"/>
        <v>0/1.9</v>
      </c>
      <c r="AS54" s="302"/>
      <c r="AT54" s="3">
        <f t="shared" si="81"/>
        <v>9</v>
      </c>
      <c r="AU54" s="41" t="s">
        <v>121</v>
      </c>
      <c r="AV54" s="41" t="s">
        <v>116</v>
      </c>
      <c r="AW54" s="41" t="str">
        <f>INDEX(Input!$1:$1048576,AW$10,$C54*2+6)</f>
        <v>Kia</v>
      </c>
      <c r="AX54" s="41" t="str">
        <f>INDEX(Input!$1:$1048576,AX$10,$C54*2+6)</f>
        <v>Kia-LR - L3</v>
      </c>
      <c r="AY54" s="41" t="str">
        <f>IF(D54="Skip","",INDEX(Input!$1:$1048576,AY$10,$C54*2+6))</f>
        <v>Compact Conventional/Sporty Car (43)</v>
      </c>
      <c r="AZ54" s="41" t="str">
        <f>INDEX(Input!$1:$1048576,AZ$10,$C54*2+6)</f>
        <v>Kia Forte</v>
      </c>
      <c r="BA54" s="3">
        <f>INDEX(Input!$1:$1048576,BA$10,$C54*2+6)</f>
        <v>2020</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19695</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82"/>
        <v>1100</v>
      </c>
      <c r="CJ54" s="16" t="str">
        <f>INDEX(Input!$1:$1048576,CJ$10,$C54*2+6)</f>
        <v>N</v>
      </c>
      <c r="CK54" s="1" t="str">
        <f t="shared" si="61"/>
        <v>Market</v>
      </c>
      <c r="CL54" s="1" t="str">
        <f t="shared" si="62"/>
        <v>Market</v>
      </c>
      <c r="CM54" s="1" t="str">
        <f t="shared" si="63"/>
        <v>Market</v>
      </c>
      <c r="CN54" s="1" t="str">
        <f t="shared" si="64"/>
        <v>Market</v>
      </c>
      <c r="CO54" s="1" t="str">
        <f t="shared" si="65"/>
        <v>Market</v>
      </c>
      <c r="CP54" s="304">
        <f t="shared" si="66"/>
        <v>350</v>
      </c>
      <c r="CQ54" s="1">
        <f t="shared" si="67"/>
        <v>0</v>
      </c>
      <c r="CR54" s="1">
        <f t="shared" si="68"/>
        <v>0</v>
      </c>
      <c r="CS54" s="1">
        <f t="shared" si="69"/>
        <v>0</v>
      </c>
      <c r="CT54" s="1">
        <f t="shared" si="70"/>
        <v>0</v>
      </c>
      <c r="CU54" s="1">
        <f t="shared" si="71"/>
        <v>1.9E-2</v>
      </c>
      <c r="CV54" s="304">
        <f t="shared" si="83"/>
        <v>4223.2475732369312</v>
      </c>
      <c r="CW54" s="20" t="s">
        <v>122</v>
      </c>
      <c r="CX54" s="20" t="s">
        <v>122</v>
      </c>
      <c r="CY54" s="20" t="s">
        <v>122</v>
      </c>
      <c r="CZ54" s="20" t="s">
        <v>122</v>
      </c>
      <c r="DA54" s="20" t="s">
        <v>122</v>
      </c>
      <c r="DB54" s="503">
        <f t="shared" si="72"/>
        <v>500</v>
      </c>
      <c r="DC54" s="127">
        <v>0</v>
      </c>
      <c r="DD54" s="127">
        <v>0</v>
      </c>
      <c r="DE54" s="127">
        <v>0</v>
      </c>
      <c r="DF54" s="127">
        <v>0</v>
      </c>
      <c r="DG54" s="127">
        <v>0</v>
      </c>
      <c r="DH54" s="127">
        <v>0</v>
      </c>
      <c r="DI54" s="127">
        <v>0</v>
      </c>
      <c r="DJ54" s="127">
        <v>0</v>
      </c>
      <c r="DK54" s="127">
        <v>0</v>
      </c>
      <c r="DL54" s="127">
        <v>0</v>
      </c>
      <c r="DM54" s="304">
        <f>INDEX(Input!$1:$1048576,DM$10,$C54*2+6)</f>
        <v>20731.578947368424</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2.9836375902953689E-2</v>
      </c>
      <c r="DZ54" s="7">
        <v>0</v>
      </c>
      <c r="EA54" s="7">
        <v>0.53157143963033593</v>
      </c>
      <c r="EB54" s="7">
        <v>0</v>
      </c>
      <c r="EC54" s="7">
        <v>0</v>
      </c>
      <c r="ED54" s="7">
        <v>0</v>
      </c>
      <c r="EE54" s="7">
        <v>0</v>
      </c>
      <c r="EF54" s="7">
        <v>0</v>
      </c>
      <c r="EG54" s="7">
        <v>0</v>
      </c>
      <c r="EH54" s="7">
        <v>6.8515318637597383E-3</v>
      </c>
      <c r="EI54" s="7">
        <v>8.7029197204444245E-3</v>
      </c>
      <c r="EJ54" s="7">
        <v>0.12463404266957746</v>
      </c>
      <c r="EK54" s="7">
        <v>0.77798161425684875</v>
      </c>
      <c r="EL54" s="7">
        <v>8.1829891489369408E-2</v>
      </c>
      <c r="EM54" s="7">
        <v>8.6266714235417721E-2</v>
      </c>
      <c r="EN54" s="7">
        <v>6.0095126673431143E-2</v>
      </c>
      <c r="EO54" s="7">
        <v>0.56691434387711326</v>
      </c>
      <c r="EP54" s="7">
        <v>0.27577052024660148</v>
      </c>
      <c r="EQ54" s="7">
        <v>5.7688581615938643E-2</v>
      </c>
      <c r="ER54" s="7">
        <v>3.9531427586915427E-2</v>
      </c>
      <c r="ES54" s="7">
        <v>0.35232547023129251</v>
      </c>
      <c r="ET54" s="7">
        <v>0.43859218446671039</v>
      </c>
      <c r="EU54" s="6">
        <v>1200</v>
      </c>
      <c r="EV54" s="6">
        <v>0</v>
      </c>
      <c r="EW54" s="6">
        <v>1200</v>
      </c>
      <c r="EX54" s="6">
        <v>0</v>
      </c>
      <c r="EY54" s="6">
        <v>2943.6949771163627</v>
      </c>
      <c r="EZ54" s="6">
        <v>3950.9927769918718</v>
      </c>
      <c r="FA54" s="6">
        <v>0</v>
      </c>
      <c r="FB54" s="6">
        <v>0</v>
      </c>
      <c r="FC54" s="6">
        <v>0</v>
      </c>
      <c r="FD54" s="6">
        <v>0</v>
      </c>
      <c r="FE54" s="6">
        <v>0</v>
      </c>
      <c r="FF54" s="6">
        <v>0</v>
      </c>
      <c r="FG54" s="6">
        <v>0</v>
      </c>
      <c r="FH54" s="6">
        <v>1154.33325520164</v>
      </c>
      <c r="FI54" s="6">
        <v>1531.4299904380614</v>
      </c>
      <c r="FJ54" s="6">
        <v>2070.7205842538224</v>
      </c>
      <c r="FK54" s="6">
        <v>2635.3956133202914</v>
      </c>
      <c r="FL54" s="6">
        <v>2005.2147164707267</v>
      </c>
      <c r="FM54" s="6">
        <v>2493.6949771163627</v>
      </c>
      <c r="FN54" s="6">
        <v>0</v>
      </c>
      <c r="FO54" s="6">
        <v>0</v>
      </c>
      <c r="FP54" s="6">
        <v>0</v>
      </c>
      <c r="FQ54" s="6">
        <v>0</v>
      </c>
      <c r="FR54" s="6">
        <v>0</v>
      </c>
      <c r="FS54" s="6">
        <v>0</v>
      </c>
      <c r="FT54" s="7">
        <v>0.56140781553328967</v>
      </c>
      <c r="FU54" s="7">
        <v>8.6266714235417721E-2</v>
      </c>
      <c r="FV54" s="7">
        <v>0.35232547023129251</v>
      </c>
      <c r="FW54" s="519">
        <v>1200</v>
      </c>
      <c r="FX54" s="519">
        <v>2943.6949771163627</v>
      </c>
      <c r="FY54" s="519">
        <v>3950.9927769918718</v>
      </c>
      <c r="FZ54" s="6">
        <v>2202.331475193394</v>
      </c>
      <c r="GA54" s="6">
        <v>2319.6676600611809</v>
      </c>
      <c r="GB54" s="6">
        <v>17375.332339938817</v>
      </c>
      <c r="GC54" s="7">
        <v>4.8391397220736806E-2</v>
      </c>
      <c r="GD54" s="7">
        <v>4.8914600580619014E-2</v>
      </c>
      <c r="GE54" s="7"/>
      <c r="GF54" s="7"/>
      <c r="GG54" s="7">
        <v>1.0811908519516827E-2</v>
      </c>
      <c r="GH54" s="42">
        <v>1.8147900285987906</v>
      </c>
      <c r="GI54" s="6">
        <v>13172.162819077797</v>
      </c>
      <c r="GJ54" s="14">
        <v>0.51074630601039561</v>
      </c>
      <c r="GK54" s="14">
        <v>0.50829519786160993</v>
      </c>
      <c r="GL54" s="14">
        <v>0.48925369398960428</v>
      </c>
      <c r="GM54" s="14">
        <v>0.49170480213839046</v>
      </c>
      <c r="GO54" s="5">
        <v>338.16872463277008</v>
      </c>
      <c r="GP54" s="5">
        <v>315.27501390194027</v>
      </c>
      <c r="GQ54" s="5">
        <v>527.27910984145694</v>
      </c>
      <c r="GR54" s="5">
        <v>404.20319246551543</v>
      </c>
      <c r="GS54" s="5">
        <v>334.50205195691484</v>
      </c>
      <c r="GT54" s="5">
        <v>289.18266033348181</v>
      </c>
      <c r="GU54" s="5">
        <v>254.29573314828914</v>
      </c>
      <c r="GV54" s="39" t="s">
        <v>392</v>
      </c>
      <c r="GW54" s="5">
        <v>479.875</v>
      </c>
      <c r="GX54" s="5">
        <v>359.90625</v>
      </c>
      <c r="GY54" s="5">
        <v>287.92500000000001</v>
      </c>
      <c r="GZ54" s="5">
        <v>239.9375</v>
      </c>
      <c r="HA54" s="5">
        <v>219.80275574107543</v>
      </c>
      <c r="HB54" s="39">
        <v>246.95877001150521</v>
      </c>
      <c r="HC54" s="5">
        <v>110.25969100660558</v>
      </c>
      <c r="HD54" s="5">
        <v>118.34456875722367</v>
      </c>
      <c r="HE54" s="5">
        <v>127.92754084031473</v>
      </c>
      <c r="HF54" s="5">
        <v>126.33646637416821</v>
      </c>
      <c r="HG54" s="5">
        <v>131.84757265151543</v>
      </c>
      <c r="HH54" s="39">
        <v>121.49624246011811</v>
      </c>
      <c r="HI54" s="16"/>
      <c r="HJ54" s="1">
        <f>INDEX(Input!$1:$1048576,HJ$10,$C54*2+6)</f>
        <v>0.25389408099688471</v>
      </c>
      <c r="HK54" s="1">
        <f>INDEX(Input!$1:$1048576,HK$10,$C54*2+6)</f>
        <v>0.38110072689511942</v>
      </c>
      <c r="HL54" s="1">
        <f>INDEX(Input!$1:$1048576,HL$10,$C54*2+6)</f>
        <v>0.36500519210799587</v>
      </c>
      <c r="HM54" s="19"/>
    </row>
    <row r="55" spans="1:221" s="60" customFormat="1" ht="15.75" thickBot="1">
      <c r="A55" s="31">
        <f>C55*1000+B55</f>
        <v>4001</v>
      </c>
      <c r="B55" s="31">
        <f t="shared" si="60"/>
        <v>1</v>
      </c>
      <c r="C55" s="508">
        <v>4</v>
      </c>
      <c r="D55" s="31" t="s">
        <v>566</v>
      </c>
      <c r="E55" s="365">
        <f>INDEX(Input!$1:$1048576,E$10,$C55*2+MIN($B55,2)+5)</f>
        <v>750</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1.8999999999999996E-2</v>
      </c>
      <c r="W55" s="38">
        <f>INDEX(Input!$1:$1048576,W$10,$C55*2+MIN($B55,2)+5)</f>
        <v>3.9E-2</v>
      </c>
      <c r="X55" s="367" t="str">
        <f>INDEX(Input!$1:$1048576,X$10,$C55*2+MIN($B55,2)+5)</f>
        <v>Y</v>
      </c>
      <c r="Y55" s="517">
        <f>HM26-500</f>
        <v>-1099.8625724635178</v>
      </c>
      <c r="Z55" s="49">
        <f>INDEX(Input!$1:$1048576,Z$10,$C55*2+MIN($B55,2)+5)</f>
        <v>0</v>
      </c>
      <c r="AA55" s="49">
        <f>INDEX(Input!$1:$1048576,AA$10,$C55*2+MIN($B55,2)+5)</f>
        <v>0</v>
      </c>
      <c r="AB55" s="367">
        <f>INDEX(Input!$1:$1048576,AB$10,$C55*2+MIN($B55,2)+5)</f>
        <v>1</v>
      </c>
      <c r="AC55" s="49">
        <f>INDEX(Input!$1:$1048576,AC$10,$C55*2+MIN($B55,2)+5)</f>
        <v>1000</v>
      </c>
      <c r="AD55" s="367">
        <f>INDEX(Input!$1:$1048576,AD$10,$C55*2+MIN($B55,2)+5)</f>
        <v>0.35</v>
      </c>
      <c r="AE55" s="49">
        <f>INDEX(Input!$1:$1048576,AE$10,$C55*2+MIN($B55,2)+5)</f>
        <v>0</v>
      </c>
      <c r="AF55" s="367">
        <f>INDEX(Input!$1:$1048576,AF$10,$C55*2+MIN($B55,2)+5)</f>
        <v>1</v>
      </c>
      <c r="AG55" s="49">
        <f>INDEX(Input!$1:$1048576,AG$10,$C55*2+MIN($B55,2)+5)</f>
        <v>500</v>
      </c>
      <c r="AH55" s="367">
        <f>INDEX(Input!$1:$1048576,AH$10,$C55*2+MIN($B55,2)+5)</f>
        <v>1</v>
      </c>
      <c r="AI55" s="49">
        <f>INDEX(Input!$1:$1048576,AI$10,$C55*2+MIN($B55,2)+5)</f>
        <v>500</v>
      </c>
      <c r="AJ55" s="367">
        <f>INDEX(Input!$1:$1048576,AJ$10,$C55*2+MIN($B55,2)+5)</f>
        <v>0.35</v>
      </c>
      <c r="AK55" s="298">
        <f>INDEX(Input!$1:$1048576,AK$10,$C55*2+MIN($B55,2)+5)</f>
        <v>4738.7109265464023</v>
      </c>
      <c r="AL55" s="49">
        <f>INDEX(Input!$1:$1048576,AL$10,$C55*2+MIN($B55,2)+5)</f>
        <v>4738.7109265464023</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+ 0/0/0/1.9/3.9</v>
      </c>
      <c r="AO55" s="44" t="str">
        <f>IF(S55="market","std",ROUND(S55*1000,0)/10)&amp;"/"&amp;IF(T55="market","std",ROUND(T55*1000,0)/10)&amp;"/"&amp;IF(U55="market","std",ROUND(U55*1000,0)/10)&amp;"/"&amp;IF(V55="market","std",ROUND(V55*1000,0)/10)&amp;IF(X55="N","","/"&amp;IF(W55="market","std",ROUND(W55*1000,0)/10))</f>
        <v>0/0/0/1.9/3.9</v>
      </c>
      <c r="AP55" s="44" t="str">
        <f>IF(T55="market","std",ROUND(T55*1000,0)/10)&amp;"/"&amp;IF(U55="market","std",ROUND(U55*1000,0)/10)&amp;"/"&amp;IF(V55="market","std",ROUND(V55*1000,0)/10)&amp;IF(X55="N","","/"&amp;IF(W55="market","std",ROUND(W55*1000,0)/10))</f>
        <v>0/0/1.9/3.9</v>
      </c>
      <c r="AQ55" s="49">
        <f t="shared" si="79"/>
        <v>525</v>
      </c>
      <c r="AR55" s="44" t="str">
        <f t="shared" si="80"/>
        <v>0/1.9</v>
      </c>
      <c r="AS55" s="368"/>
      <c r="AT55" s="50">
        <f t="shared" si="81"/>
        <v>10</v>
      </c>
      <c r="AU55" s="45" t="s">
        <v>121</v>
      </c>
      <c r="AV55" s="45" t="s">
        <v>116</v>
      </c>
      <c r="AW55" s="45" t="str">
        <f>INDEX(Input!$1:$1048576,AW$10,$C55*2+6)</f>
        <v>Kia</v>
      </c>
      <c r="AX55" s="45" t="str">
        <f>INDEX(Input!$1:$1048576,AX$10,$C55*2+6)</f>
        <v>Kia-LR - R1</v>
      </c>
      <c r="AY55" s="10" t="str">
        <f>IF(D55="Skip","",INDEX(Input!$1:$1048576,AY$10,$C55*2+6))</f>
        <v>Compact Conventional/Sporty Car (43)</v>
      </c>
      <c r="AZ55" s="45" t="str">
        <f>INDEX(Input!$1:$1048576,AZ$10,$C55*2+6)</f>
        <v>Kia Forte</v>
      </c>
      <c r="BA55" s="50">
        <f>INDEX(Input!$1:$1048576,BA$10,$C55*2+6)</f>
        <v>2020</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19695</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82"/>
        <v>1100</v>
      </c>
      <c r="CJ55" s="46" t="str">
        <f>INDEX(Input!$1:$1048576,CJ$10,$C55*2+6)</f>
        <v>N</v>
      </c>
      <c r="CK55" s="38" t="str">
        <f t="shared" si="61"/>
        <v>Market</v>
      </c>
      <c r="CL55" s="38" t="str">
        <f t="shared" si="62"/>
        <v>Market</v>
      </c>
      <c r="CM55" s="38" t="str">
        <f t="shared" si="63"/>
        <v>Market</v>
      </c>
      <c r="CN55" s="38" t="str">
        <f t="shared" si="64"/>
        <v>Market</v>
      </c>
      <c r="CO55" s="38" t="str">
        <f t="shared" si="65"/>
        <v>Market</v>
      </c>
      <c r="CP55" s="49">
        <f t="shared" si="66"/>
        <v>350</v>
      </c>
      <c r="CQ55" s="38">
        <f t="shared" si="67"/>
        <v>0</v>
      </c>
      <c r="CR55" s="38">
        <f t="shared" si="68"/>
        <v>0</v>
      </c>
      <c r="CS55" s="38">
        <f t="shared" si="69"/>
        <v>0</v>
      </c>
      <c r="CT55" s="38">
        <f t="shared" si="70"/>
        <v>0</v>
      </c>
      <c r="CU55" s="38">
        <f t="shared" si="71"/>
        <v>1.8999999999999996E-2</v>
      </c>
      <c r="CV55" s="49">
        <f t="shared" si="83"/>
        <v>-924.86257246351784</v>
      </c>
      <c r="CW55" s="22" t="s">
        <v>122</v>
      </c>
      <c r="CX55" s="22" t="s">
        <v>122</v>
      </c>
      <c r="CY55" s="22" t="s">
        <v>122</v>
      </c>
      <c r="CZ55" s="22" t="s">
        <v>122</v>
      </c>
      <c r="DA55" s="22" t="s">
        <v>122</v>
      </c>
      <c r="DB55" s="502">
        <f t="shared" si="72"/>
        <v>500</v>
      </c>
      <c r="DC55" s="29">
        <v>0</v>
      </c>
      <c r="DD55" s="29">
        <v>0</v>
      </c>
      <c r="DE55" s="29">
        <v>0</v>
      </c>
      <c r="DF55" s="49">
        <v>0</v>
      </c>
      <c r="DG55" s="49">
        <v>0</v>
      </c>
      <c r="DH55" s="49">
        <v>0</v>
      </c>
      <c r="DI55" s="49">
        <v>0</v>
      </c>
      <c r="DJ55" s="49">
        <v>0</v>
      </c>
      <c r="DK55" s="29">
        <v>0</v>
      </c>
      <c r="DL55" s="29">
        <v>0</v>
      </c>
      <c r="DM55" s="49">
        <f>INDEX(Input!$1:$1048576,DM$10,$C55*2+6)</f>
        <v>20731.578947368424</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4.3365527802374119E-2</v>
      </c>
      <c r="DZ55" s="37">
        <v>0</v>
      </c>
      <c r="EA55" s="37">
        <v>0.78787068397443327</v>
      </c>
      <c r="EB55" s="37">
        <v>0</v>
      </c>
      <c r="EC55" s="37">
        <v>0</v>
      </c>
      <c r="ED55" s="37">
        <v>0</v>
      </c>
      <c r="EE55" s="37">
        <v>0</v>
      </c>
      <c r="EF55" s="37">
        <v>0</v>
      </c>
      <c r="EG55" s="37">
        <v>0</v>
      </c>
      <c r="EH55" s="37">
        <v>5.4862246355812105E-3</v>
      </c>
      <c r="EI55" s="37">
        <v>8.8057017761191403E-3</v>
      </c>
      <c r="EJ55" s="37">
        <v>8.2691075550901785E-2</v>
      </c>
      <c r="EK55" s="37">
        <v>0.81317670130047492</v>
      </c>
      <c r="EL55" s="37">
        <v>8.9840296736922412E-2</v>
      </c>
      <c r="EM55" s="37">
        <v>6.6443800434522998E-2</v>
      </c>
      <c r="EN55" s="37">
        <v>4.6834393731452012E-2</v>
      </c>
      <c r="EO55" s="37">
        <v>0.57115972938453452</v>
      </c>
      <c r="EP55" s="37">
        <v>0.26876741385797409</v>
      </c>
      <c r="EQ55" s="37">
        <v>6.8146302420255933E-2</v>
      </c>
      <c r="ER55" s="37">
        <v>4.5092160605783978E-2</v>
      </c>
      <c r="ES55" s="37">
        <v>0.1023199877886697</v>
      </c>
      <c r="ET55" s="37">
        <v>0.16876378822319268</v>
      </c>
      <c r="EU55" s="36">
        <v>1199.9999999999998</v>
      </c>
      <c r="EV55" s="36">
        <v>0</v>
      </c>
      <c r="EW55" s="36">
        <v>1199.9999999999998</v>
      </c>
      <c r="EX55" s="36">
        <v>0</v>
      </c>
      <c r="EY55" s="36">
        <v>2964.2338575412068</v>
      </c>
      <c r="EZ55" s="36">
        <v>-346.32668804100877</v>
      </c>
      <c r="FA55" s="36">
        <v>0</v>
      </c>
      <c r="FB55" s="36">
        <v>0</v>
      </c>
      <c r="FC55" s="36">
        <v>0</v>
      </c>
      <c r="FD55" s="36">
        <v>0</v>
      </c>
      <c r="FE55" s="36">
        <v>0</v>
      </c>
      <c r="FF55" s="36">
        <v>0</v>
      </c>
      <c r="FG55" s="36">
        <v>0</v>
      </c>
      <c r="FH55" s="36">
        <v>1153.2580757846724</v>
      </c>
      <c r="FI55" s="36">
        <v>1531.4299904380634</v>
      </c>
      <c r="FJ55" s="36">
        <v>2070.720584253821</v>
      </c>
      <c r="FK55" s="36">
        <v>2635.3956133202923</v>
      </c>
      <c r="FL55" s="36">
        <v>2005.2147164707271</v>
      </c>
      <c r="FM55" s="36">
        <v>2514.2338575412068</v>
      </c>
      <c r="FN55" s="36">
        <v>0</v>
      </c>
      <c r="FO55" s="36">
        <v>0</v>
      </c>
      <c r="FP55" s="36">
        <v>0</v>
      </c>
      <c r="FQ55" s="36">
        <v>0</v>
      </c>
      <c r="FR55" s="36">
        <v>0</v>
      </c>
      <c r="FS55" s="36">
        <v>0</v>
      </c>
      <c r="FT55" s="37">
        <v>0.8312362117768074</v>
      </c>
      <c r="FU55" s="37">
        <v>6.6443800434522998E-2</v>
      </c>
      <c r="FV55" s="37">
        <v>0.1023199877886697</v>
      </c>
      <c r="FW55" s="518">
        <v>1199.9999999999998</v>
      </c>
      <c r="FX55" s="518">
        <v>2964.2338575412068</v>
      </c>
      <c r="FY55" s="518">
        <v>-346.32668804100877</v>
      </c>
      <c r="FZ55" s="36">
        <v>1695.8504614767719</v>
      </c>
      <c r="GA55" s="36">
        <v>1159.0022745126464</v>
      </c>
      <c r="GB55" s="36">
        <v>18535.997725487352</v>
      </c>
      <c r="GC55" s="37">
        <v>8.1891069685915169E-2</v>
      </c>
      <c r="GD55" s="37">
        <v>7.752688158399311E-2</v>
      </c>
      <c r="GE55" s="37"/>
      <c r="GF55" s="37"/>
      <c r="GG55" s="37">
        <v>-5.3292600996182569E-2</v>
      </c>
      <c r="GH55" s="35">
        <v>1.9551109645266518</v>
      </c>
      <c r="GI55" s="36">
        <v>11232.59930166057</v>
      </c>
      <c r="GJ55" s="34">
        <v>0.51074630601039539</v>
      </c>
      <c r="GK55" s="34">
        <v>0.50829519786160959</v>
      </c>
      <c r="GL55" s="34">
        <v>0.48925369398960389</v>
      </c>
      <c r="GM55" s="33">
        <v>0.49170480213838974</v>
      </c>
      <c r="GN55" s="61"/>
      <c r="GO55" s="13">
        <v>338.16872463277008</v>
      </c>
      <c r="GP55" s="27">
        <v>315.27501390194027</v>
      </c>
      <c r="GQ55" s="27">
        <v>527.27910984145694</v>
      </c>
      <c r="GR55" s="27">
        <v>404.20319246551543</v>
      </c>
      <c r="GS55" s="27">
        <v>334.50205195691484</v>
      </c>
      <c r="GT55" s="27">
        <v>289.18266033348181</v>
      </c>
      <c r="GU55" s="27">
        <v>254.29573314828914</v>
      </c>
      <c r="GV55" s="29" t="s">
        <v>392</v>
      </c>
      <c r="GW55" s="27">
        <v>479.875</v>
      </c>
      <c r="GX55" s="27">
        <v>359.90625</v>
      </c>
      <c r="GY55" s="27">
        <v>287.92500000000001</v>
      </c>
      <c r="GZ55" s="27">
        <v>239.9375</v>
      </c>
      <c r="HA55" s="27">
        <v>219.80275574107537</v>
      </c>
      <c r="HB55" s="29">
        <v>244.46948664750852</v>
      </c>
      <c r="HC55" s="27">
        <v>298.26741760179408</v>
      </c>
      <c r="HD55" s="27">
        <v>246.66730278251106</v>
      </c>
      <c r="HE55" s="27">
        <v>247.06796831638655</v>
      </c>
      <c r="HF55" s="27">
        <v>225.71197900305356</v>
      </c>
      <c r="HG55" s="27">
        <v>214.21286239797894</v>
      </c>
      <c r="HH55" s="12">
        <v>246.30018004612788</v>
      </c>
      <c r="HI55" s="94"/>
      <c r="HJ55" s="24">
        <f>INDEX(Input!$1:$1048576,HJ$10,$C55*2+6)</f>
        <v>0.45400753093060786</v>
      </c>
      <c r="HK55" s="18">
        <f>INDEX(Input!$1:$1048576,HK$10,$C55*2+6)</f>
        <v>0.46530392684238836</v>
      </c>
      <c r="HL55" s="43">
        <f>INDEX(Input!$1:$1048576,HL$10,$C55*2+6)</f>
        <v>8.0688542227003765E-2</v>
      </c>
      <c r="HM55" s="49">
        <f>ROUND(IF(HL55&lt;FV56,TREND(Y55:Y56,FV55:FV56,HL55),TREND(Y56:Y57,FV56:FV57,HL55)),0)</f>
        <v>-2070</v>
      </c>
    </row>
    <row r="56" spans="1:221" s="26" customFormat="1" ht="15">
      <c r="A56" s="117">
        <f t="shared" ref="A56:A57" si="94">C56*1000+B56</f>
        <v>4002</v>
      </c>
      <c r="B56" s="117">
        <f t="shared" si="60"/>
        <v>2</v>
      </c>
      <c r="C56" s="117">
        <f t="shared" si="74"/>
        <v>4</v>
      </c>
      <c r="D56" s="117" t="s">
        <v>568</v>
      </c>
      <c r="E56" s="115">
        <f>INDEX(Input!$1:$1048576,E$10,$C56*2+6)</f>
        <v>750</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1.8999999999999996E-2</v>
      </c>
      <c r="W56" s="383">
        <f>INDEX(Input!$1:$1048576,W$10,$C56*2+6)</f>
        <v>3.9E-2</v>
      </c>
      <c r="X56" s="118" t="str">
        <f>INDEX(Input!$1:$1048576,X$10,$C56*2+6)</f>
        <v>Y</v>
      </c>
      <c r="Y56" s="520">
        <f>Y55+500</f>
        <v>-599.86257246351784</v>
      </c>
      <c r="Z56" s="30">
        <f>INDEX(Input!$1:$1048576,Z$10,$C56*2+6)</f>
        <v>0</v>
      </c>
      <c r="AA56" s="115">
        <f>INDEX(Input!$1:$1048576,AA$10,$C56*2+6)</f>
        <v>0</v>
      </c>
      <c r="AB56" s="118">
        <f>INDEX(Input!$1:$1048576,AB$10,$C56*2+6)</f>
        <v>1</v>
      </c>
      <c r="AC56" s="115">
        <f>INDEX(Input!$1:$1048576,AC$10,$C56*2+6)</f>
        <v>1000</v>
      </c>
      <c r="AD56" s="118">
        <f>INDEX(Input!$1:$1048576,AD$10,$C56*2+6)</f>
        <v>0.35</v>
      </c>
      <c r="AE56" s="115">
        <f>INDEX(Input!$1:$1048576,AE$10,$C56*2+6)</f>
        <v>0</v>
      </c>
      <c r="AF56" s="118">
        <f>INDEX(Input!$1:$1048576,AF$10,$C56*2+6)</f>
        <v>1</v>
      </c>
      <c r="AG56" s="115">
        <f>INDEX(Input!$1:$1048576,AG$10,$C56*2+6)</f>
        <v>500</v>
      </c>
      <c r="AH56" s="118">
        <f>INDEX(Input!$1:$1048576,AH$10,$C56*2+6)</f>
        <v>1</v>
      </c>
      <c r="AI56" s="115">
        <f>INDEX(Input!$1:$1048576,AI$10,$C56*2+6)</f>
        <v>500</v>
      </c>
      <c r="AJ56" s="118">
        <f>INDEX(Input!$1:$1048576,AJ$10,$C56*2+6)</f>
        <v>0.35</v>
      </c>
      <c r="AK56" s="150">
        <f>INDEX(Input!$1:$1048576,AK$10,$C55*2+6)+(Y56-VLOOKUP($C56*1000+1,$A:$HH,Y$9,FALSE))</f>
        <v>3154.0983540828847</v>
      </c>
      <c r="AL56" s="150">
        <f>INDEX(Input!$1:$1048576,AL$10,$C55*2+6)-(Y56-VLOOKUP($C56*1000+1,$A:$HH,Y$9,FALSE))/36</f>
        <v>4782.7279424481667</v>
      </c>
      <c r="AM56" s="32" t="str">
        <f t="shared" ref="AM56:AM57" si="95">IF(K56="market","std",ROUND(K56*1000,0)/10)&amp;"/"&amp;IF(L56="market","std",ROUND(L56*1000,0)/10)&amp;"/"&amp;IF(M56="market","std",ROUND(M56*1000,0)/10)&amp;"/"&amp;IF(N56="market","std",ROUND(N56*1000,0)/10)&amp;IF(P56="N","","/"&amp;IF(O56="market","std",ROUND(O56*1000,0)/10))</f>
        <v>std/std/std/std</v>
      </c>
      <c r="AN56" s="32" t="str">
        <f t="shared" ref="AN56:AN57" si="96">"$"&amp;ROUND(Q56,0)&amp;" + "&amp;IF(S56="market","std",ROUND(S56*1000,0)/10)&amp;"/"&amp;IF(T56="market","std",ROUND(T56*1000,0)/10)&amp;"/"&amp;IF(U56="market","std",ROUND(U56*1000,0)/10)&amp;"/"&amp;IF(V56="market","std",ROUND(V56*1000,0)/10)&amp;IF(X56="N","","/"&amp;IF(W56="market","std",ROUND(W56*1000,0)/10))</f>
        <v>$0 + 0/0/0/1.9/3.9</v>
      </c>
      <c r="AO56" s="32" t="str">
        <f t="shared" ref="AO56:AO57" si="97">IF(S56="market","std",ROUND(S56*1000,0)/10)&amp;"/"&amp;IF(T56="market","std",ROUND(T56*1000,0)/10)&amp;"/"&amp;IF(U56="market","std",ROUND(U56*1000,0)/10)&amp;"/"&amp;IF(V56="market","std",ROUND(V56*1000,0)/10)&amp;IF(X56="N","","/"&amp;IF(W56="market","std",ROUND(W56*1000,0)/10))</f>
        <v>0/0/0/1.9/3.9</v>
      </c>
      <c r="AP56" s="32" t="str">
        <f t="shared" ref="AP56:AP57" si="98">IF(T56="market","std",ROUND(T56*1000,0)/10)&amp;"/"&amp;IF(U56="market","std",ROUND(U56*1000,0)/10)&amp;"/"&amp;IF(V56="market","std",ROUND(V56*1000,0)/10)&amp;IF(X56="N","","/"&amp;IF(W56="market","std",ROUND(W56*1000,0)/10))</f>
        <v>0/0/1.9/3.9</v>
      </c>
      <c r="AQ56" s="150">
        <f t="shared" si="79"/>
        <v>525</v>
      </c>
      <c r="AR56" s="32" t="str">
        <f t="shared" si="80"/>
        <v>0/1.9</v>
      </c>
      <c r="AS56" s="302"/>
      <c r="AT56" s="3">
        <f t="shared" si="81"/>
        <v>11</v>
      </c>
      <c r="AU56" s="41" t="s">
        <v>121</v>
      </c>
      <c r="AV56" s="41" t="s">
        <v>116</v>
      </c>
      <c r="AW56" s="41" t="str">
        <f>INDEX(Input!$1:$1048576,AW$10,$C56*2+6)</f>
        <v>Kia</v>
      </c>
      <c r="AX56" s="41" t="str">
        <f>INDEX(Input!$1:$1048576,AX$10,$C56*2+6)</f>
        <v>Kia-LR - R1</v>
      </c>
      <c r="AY56" s="41" t="str">
        <f>IF(D56="Skip","",INDEX(Input!$1:$1048576,AY$10,$C56*2+6))</f>
        <v>Compact Conventional/Sporty Car (43)</v>
      </c>
      <c r="AZ56" s="41" t="str">
        <f>INDEX(Input!$1:$1048576,AZ$10,$C56*2+6)</f>
        <v>Kia Forte</v>
      </c>
      <c r="BA56" s="3">
        <f>INDEX(Input!$1:$1048576,BA$10,$C56*2+6)</f>
        <v>2020</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19695</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82"/>
        <v>1100</v>
      </c>
      <c r="CJ56" s="16" t="str">
        <f>INDEX(Input!$1:$1048576,CJ$10,$C56*2+6)</f>
        <v>N</v>
      </c>
      <c r="CK56" s="1" t="str">
        <f t="shared" si="61"/>
        <v>Market</v>
      </c>
      <c r="CL56" s="1" t="str">
        <f t="shared" si="62"/>
        <v>Market</v>
      </c>
      <c r="CM56" s="1" t="str">
        <f t="shared" si="63"/>
        <v>Market</v>
      </c>
      <c r="CN56" s="1" t="str">
        <f t="shared" si="64"/>
        <v>Market</v>
      </c>
      <c r="CO56" s="1" t="str">
        <f t="shared" si="65"/>
        <v>Market</v>
      </c>
      <c r="CP56" s="304">
        <f t="shared" si="66"/>
        <v>350</v>
      </c>
      <c r="CQ56" s="1">
        <f t="shared" si="67"/>
        <v>0</v>
      </c>
      <c r="CR56" s="1">
        <f t="shared" si="68"/>
        <v>0</v>
      </c>
      <c r="CS56" s="1">
        <f t="shared" si="69"/>
        <v>0</v>
      </c>
      <c r="CT56" s="1">
        <f t="shared" si="70"/>
        <v>0</v>
      </c>
      <c r="CU56" s="1">
        <f t="shared" si="71"/>
        <v>1.8999999999999996E-2</v>
      </c>
      <c r="CV56" s="304">
        <f t="shared" si="83"/>
        <v>-424.86257246351784</v>
      </c>
      <c r="CW56" s="20" t="s">
        <v>122</v>
      </c>
      <c r="CX56" s="20" t="s">
        <v>122</v>
      </c>
      <c r="CY56" s="20" t="s">
        <v>122</v>
      </c>
      <c r="CZ56" s="20" t="s">
        <v>122</v>
      </c>
      <c r="DA56" s="20" t="s">
        <v>122</v>
      </c>
      <c r="DB56" s="503">
        <f t="shared" si="72"/>
        <v>500</v>
      </c>
      <c r="DC56" s="127">
        <v>0</v>
      </c>
      <c r="DD56" s="127">
        <v>0</v>
      </c>
      <c r="DE56" s="127">
        <v>0</v>
      </c>
      <c r="DF56" s="127">
        <v>0</v>
      </c>
      <c r="DG56" s="127">
        <v>0</v>
      </c>
      <c r="DH56" s="127">
        <v>0</v>
      </c>
      <c r="DI56" s="127">
        <v>0</v>
      </c>
      <c r="DJ56" s="127">
        <v>0</v>
      </c>
      <c r="DK56" s="127">
        <v>0</v>
      </c>
      <c r="DL56" s="127">
        <v>0</v>
      </c>
      <c r="DM56" s="304">
        <f>INDEX(Input!$1:$1048576,DM$10,$C56*2+6)</f>
        <v>20731.578947368424</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4.2819286535425459E-2</v>
      </c>
      <c r="DZ56" s="7">
        <v>0</v>
      </c>
      <c r="EA56" s="7">
        <v>0.77814940617339545</v>
      </c>
      <c r="EB56" s="7">
        <v>0</v>
      </c>
      <c r="EC56" s="7">
        <v>0</v>
      </c>
      <c r="ED56" s="7">
        <v>0</v>
      </c>
      <c r="EE56" s="7">
        <v>0</v>
      </c>
      <c r="EF56" s="7">
        <v>0</v>
      </c>
      <c r="EG56" s="7">
        <v>0</v>
      </c>
      <c r="EH56" s="7">
        <v>5.4746157366389507E-3</v>
      </c>
      <c r="EI56" s="7">
        <v>8.7825263445802763E-3</v>
      </c>
      <c r="EJ56" s="7">
        <v>8.2536653158493151E-2</v>
      </c>
      <c r="EK56" s="7">
        <v>0.81332333327930628</v>
      </c>
      <c r="EL56" s="7">
        <v>8.9882871480981202E-2</v>
      </c>
      <c r="EM56" s="7">
        <v>6.556377480972983E-2</v>
      </c>
      <c r="EN56" s="7">
        <v>4.7644812610808801E-2</v>
      </c>
      <c r="EO56" s="7">
        <v>0.57005700284845151</v>
      </c>
      <c r="EP56" s="7">
        <v>0.27079517236166273</v>
      </c>
      <c r="EQ56" s="7">
        <v>6.7050396933604817E-2</v>
      </c>
      <c r="ER56" s="7">
        <v>4.4452615245472421E-2</v>
      </c>
      <c r="ES56" s="7">
        <v>0.11346753248144922</v>
      </c>
      <c r="ET56" s="7">
        <v>0.17903130729117916</v>
      </c>
      <c r="EU56" s="6">
        <v>1199.9999999999998</v>
      </c>
      <c r="EV56" s="6">
        <v>0</v>
      </c>
      <c r="EW56" s="6">
        <v>1199.9999999999998</v>
      </c>
      <c r="EX56" s="6">
        <v>0</v>
      </c>
      <c r="EY56" s="6">
        <v>2964.3370431900939</v>
      </c>
      <c r="EZ56" s="6">
        <v>153.67331195899123</v>
      </c>
      <c r="FA56" s="6">
        <v>0</v>
      </c>
      <c r="FB56" s="6">
        <v>0</v>
      </c>
      <c r="FC56" s="6">
        <v>0</v>
      </c>
      <c r="FD56" s="6">
        <v>0</v>
      </c>
      <c r="FE56" s="6">
        <v>0</v>
      </c>
      <c r="FF56" s="6">
        <v>0</v>
      </c>
      <c r="FG56" s="6">
        <v>0</v>
      </c>
      <c r="FH56" s="6">
        <v>1153.2628442932955</v>
      </c>
      <c r="FI56" s="6">
        <v>1531.429990438063</v>
      </c>
      <c r="FJ56" s="6">
        <v>2070.7205842538219</v>
      </c>
      <c r="FK56" s="6">
        <v>2635.3956133202919</v>
      </c>
      <c r="FL56" s="6">
        <v>2005.2147164707264</v>
      </c>
      <c r="FM56" s="6">
        <v>2514.3370431900939</v>
      </c>
      <c r="FN56" s="6">
        <v>0</v>
      </c>
      <c r="FO56" s="6">
        <v>0</v>
      </c>
      <c r="FP56" s="6">
        <v>0</v>
      </c>
      <c r="FQ56" s="6">
        <v>0</v>
      </c>
      <c r="FR56" s="6">
        <v>0</v>
      </c>
      <c r="FS56" s="6">
        <v>0</v>
      </c>
      <c r="FT56" s="7">
        <v>0.82096869270882089</v>
      </c>
      <c r="FU56" s="7">
        <v>6.556377480972983E-2</v>
      </c>
      <c r="FV56" s="7">
        <v>0.11346753248144922</v>
      </c>
      <c r="FW56" s="519">
        <v>1199.9999999999998</v>
      </c>
      <c r="FX56" s="519">
        <v>2964.3370431900939</v>
      </c>
      <c r="FY56" s="519">
        <v>153.67331195899123</v>
      </c>
      <c r="FZ56" s="6">
        <v>1695.8504614767719</v>
      </c>
      <c r="GA56" s="6">
        <v>1196.9524891266792</v>
      </c>
      <c r="GB56" s="6">
        <v>18498.047510873323</v>
      </c>
      <c r="GC56" s="7">
        <v>8.1891069685915169E-2</v>
      </c>
      <c r="GD56" s="7">
        <v>7.7956134451264272E-2</v>
      </c>
      <c r="GE56" s="7"/>
      <c r="GF56" s="7"/>
      <c r="GG56" s="7">
        <v>-4.8050846688691924E-2</v>
      </c>
      <c r="GH56" s="42">
        <v>1.8969037317908666</v>
      </c>
      <c r="GI56" s="6">
        <v>11579.661780022507</v>
      </c>
      <c r="GJ56" s="14">
        <v>0.5107463060103955</v>
      </c>
      <c r="GK56" s="14">
        <v>0.50829519786160982</v>
      </c>
      <c r="GL56" s="14">
        <v>0.48925369398960439</v>
      </c>
      <c r="GM56" s="14">
        <v>0.4917048021383903</v>
      </c>
      <c r="GO56" s="5">
        <v>338.16872463277008</v>
      </c>
      <c r="GP56" s="5">
        <v>315.27501390194027</v>
      </c>
      <c r="GQ56" s="5">
        <v>527.27910984145694</v>
      </c>
      <c r="GR56" s="5">
        <v>404.20319246551543</v>
      </c>
      <c r="GS56" s="5">
        <v>334.50205195691484</v>
      </c>
      <c r="GT56" s="5">
        <v>289.18266033348181</v>
      </c>
      <c r="GU56" s="5">
        <v>254.29573314828914</v>
      </c>
      <c r="GV56" s="39" t="s">
        <v>392</v>
      </c>
      <c r="GW56" s="5">
        <v>479.875</v>
      </c>
      <c r="GX56" s="5">
        <v>359.90625</v>
      </c>
      <c r="GY56" s="5">
        <v>287.92500000000001</v>
      </c>
      <c r="GZ56" s="5">
        <v>239.9375</v>
      </c>
      <c r="HA56" s="5">
        <v>219.80275574107537</v>
      </c>
      <c r="HB56" s="39">
        <v>244.455653333627</v>
      </c>
      <c r="HC56" s="5">
        <v>276.39241760179408</v>
      </c>
      <c r="HD56" s="5">
        <v>231.73674722695549</v>
      </c>
      <c r="HE56" s="5">
        <v>233.20578882920708</v>
      </c>
      <c r="HF56" s="5">
        <v>214.14947900305356</v>
      </c>
      <c r="HG56" s="5">
        <v>204.62952906464562</v>
      </c>
      <c r="HH56" s="39">
        <v>231.87794759312834</v>
      </c>
      <c r="HI56" s="16"/>
      <c r="HJ56" s="1">
        <f>INDEX(Input!$1:$1048576,HJ$10,$C56*2+6)</f>
        <v>0.45400753093060786</v>
      </c>
      <c r="HK56" s="1">
        <f>INDEX(Input!$1:$1048576,HK$10,$C56*2+6)</f>
        <v>0.46530392684238836</v>
      </c>
      <c r="HL56" s="1">
        <f>INDEX(Input!$1:$1048576,HL$10,$C56*2+6)</f>
        <v>8.0688542227003765E-2</v>
      </c>
      <c r="HM56" s="19"/>
    </row>
    <row r="57" spans="1:221" s="26" customFormat="1" ht="15.75" thickBot="1">
      <c r="A57" s="117">
        <f t="shared" si="94"/>
        <v>4003</v>
      </c>
      <c r="B57" s="117">
        <f t="shared" si="60"/>
        <v>3</v>
      </c>
      <c r="C57" s="117">
        <f t="shared" si="74"/>
        <v>4</v>
      </c>
      <c r="D57" s="117" t="s">
        <v>568</v>
      </c>
      <c r="E57" s="115">
        <f>INDEX(Input!$1:$1048576,E$10,$C57*2+6)</f>
        <v>750</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1.8999999999999996E-2</v>
      </c>
      <c r="W57" s="383">
        <f>INDEX(Input!$1:$1048576,W$10,$C57*2+6)</f>
        <v>3.9E-2</v>
      </c>
      <c r="X57" s="118" t="str">
        <f>INDEX(Input!$1:$1048576,X$10,$C57*2+6)</f>
        <v>Y</v>
      </c>
      <c r="Y57" s="520">
        <f>Y55+1000</f>
        <v>-99.862572463517836</v>
      </c>
      <c r="Z57" s="30">
        <f>INDEX(Input!$1:$1048576,Z$10,$C57*2+6)</f>
        <v>0</v>
      </c>
      <c r="AA57" s="115">
        <f>INDEX(Input!$1:$1048576,AA$10,$C57*2+6)</f>
        <v>0</v>
      </c>
      <c r="AB57" s="118">
        <f>INDEX(Input!$1:$1048576,AB$10,$C57*2+6)</f>
        <v>1</v>
      </c>
      <c r="AC57" s="115">
        <f>INDEX(Input!$1:$1048576,AC$10,$C57*2+6)</f>
        <v>1000</v>
      </c>
      <c r="AD57" s="118">
        <f>INDEX(Input!$1:$1048576,AD$10,$C57*2+6)</f>
        <v>0.35</v>
      </c>
      <c r="AE57" s="115">
        <f>INDEX(Input!$1:$1048576,AE$10,$C57*2+6)</f>
        <v>0</v>
      </c>
      <c r="AF57" s="118">
        <f>INDEX(Input!$1:$1048576,AF$10,$C57*2+6)</f>
        <v>1</v>
      </c>
      <c r="AG57" s="115">
        <f>INDEX(Input!$1:$1048576,AG$10,$C57*2+6)</f>
        <v>500</v>
      </c>
      <c r="AH57" s="118">
        <f>INDEX(Input!$1:$1048576,AH$10,$C57*2+6)</f>
        <v>1</v>
      </c>
      <c r="AI57" s="115">
        <f>INDEX(Input!$1:$1048576,AI$10,$C57*2+6)</f>
        <v>500</v>
      </c>
      <c r="AJ57" s="118">
        <f>INDEX(Input!$1:$1048576,AJ$10,$C57*2+6)</f>
        <v>0.35</v>
      </c>
      <c r="AK57" s="150">
        <f>INDEX(Input!$1:$1048576,AK$10,$C56*2+6)+(Y57-VLOOKUP($C57*1000+1,$A:$HH,Y$9,FALSE))</f>
        <v>3654.0983540828847</v>
      </c>
      <c r="AL57" s="150">
        <f>INDEX(Input!$1:$1048576,AL$10,$C56*2+6)-(Y57-VLOOKUP($C57*1000+1,$A:$HH,Y$9,FALSE))/36</f>
        <v>4768.839053559278</v>
      </c>
      <c r="AM57" s="32" t="str">
        <f t="shared" si="95"/>
        <v>std/std/std/std</v>
      </c>
      <c r="AN57" s="32" t="str">
        <f t="shared" si="96"/>
        <v>$0 + 0/0/0/1.9/3.9</v>
      </c>
      <c r="AO57" s="32" t="str">
        <f t="shared" si="97"/>
        <v>0/0/0/1.9/3.9</v>
      </c>
      <c r="AP57" s="32" t="str">
        <f t="shared" si="98"/>
        <v>0/0/1.9/3.9</v>
      </c>
      <c r="AQ57" s="150">
        <f t="shared" si="79"/>
        <v>525</v>
      </c>
      <c r="AR57" s="32" t="str">
        <f t="shared" si="80"/>
        <v>0/1.9</v>
      </c>
      <c r="AS57" s="302"/>
      <c r="AT57" s="3">
        <f t="shared" si="81"/>
        <v>12</v>
      </c>
      <c r="AU57" s="41" t="s">
        <v>121</v>
      </c>
      <c r="AV57" s="41" t="s">
        <v>116</v>
      </c>
      <c r="AW57" s="41" t="str">
        <f>INDEX(Input!$1:$1048576,AW$10,$C57*2+6)</f>
        <v>Kia</v>
      </c>
      <c r="AX57" s="41" t="str">
        <f>INDEX(Input!$1:$1048576,AX$10,$C57*2+6)</f>
        <v>Kia-LR - R1</v>
      </c>
      <c r="AY57" s="41" t="str">
        <f>IF(D57="Skip","",INDEX(Input!$1:$1048576,AY$10,$C57*2+6))</f>
        <v>Compact Conventional/Sporty Car (43)</v>
      </c>
      <c r="AZ57" s="41" t="str">
        <f>INDEX(Input!$1:$1048576,AZ$10,$C57*2+6)</f>
        <v>Kia Forte</v>
      </c>
      <c r="BA57" s="3">
        <f>INDEX(Input!$1:$1048576,BA$10,$C57*2+6)</f>
        <v>2020</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19695</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82"/>
        <v>1100</v>
      </c>
      <c r="CJ57" s="16" t="str">
        <f>INDEX(Input!$1:$1048576,CJ$10,$C57*2+6)</f>
        <v>N</v>
      </c>
      <c r="CK57" s="1" t="str">
        <f t="shared" si="61"/>
        <v>Market</v>
      </c>
      <c r="CL57" s="1" t="str">
        <f t="shared" si="62"/>
        <v>Market</v>
      </c>
      <c r="CM57" s="1" t="str">
        <f t="shared" si="63"/>
        <v>Market</v>
      </c>
      <c r="CN57" s="1" t="str">
        <f t="shared" si="64"/>
        <v>Market</v>
      </c>
      <c r="CO57" s="1" t="str">
        <f t="shared" si="65"/>
        <v>Market</v>
      </c>
      <c r="CP57" s="304">
        <f t="shared" si="66"/>
        <v>350</v>
      </c>
      <c r="CQ57" s="1">
        <f t="shared" si="67"/>
        <v>0</v>
      </c>
      <c r="CR57" s="1">
        <f t="shared" si="68"/>
        <v>0</v>
      </c>
      <c r="CS57" s="1">
        <f t="shared" si="69"/>
        <v>0</v>
      </c>
      <c r="CT57" s="1">
        <f t="shared" si="70"/>
        <v>0</v>
      </c>
      <c r="CU57" s="1">
        <f t="shared" si="71"/>
        <v>1.8999999999999996E-2</v>
      </c>
      <c r="CV57" s="304">
        <f t="shared" si="83"/>
        <v>75.137427536482164</v>
      </c>
      <c r="CW57" s="20" t="s">
        <v>122</v>
      </c>
      <c r="CX57" s="20" t="s">
        <v>122</v>
      </c>
      <c r="CY57" s="20" t="s">
        <v>122</v>
      </c>
      <c r="CZ57" s="20" t="s">
        <v>122</v>
      </c>
      <c r="DA57" s="20" t="s">
        <v>122</v>
      </c>
      <c r="DB57" s="503">
        <f t="shared" si="72"/>
        <v>500</v>
      </c>
      <c r="DC57" s="127">
        <v>0</v>
      </c>
      <c r="DD57" s="127">
        <v>0</v>
      </c>
      <c r="DE57" s="127">
        <v>0</v>
      </c>
      <c r="DF57" s="127">
        <v>0</v>
      </c>
      <c r="DG57" s="127">
        <v>0</v>
      </c>
      <c r="DH57" s="127">
        <v>0</v>
      </c>
      <c r="DI57" s="127">
        <v>0</v>
      </c>
      <c r="DJ57" s="127">
        <v>0</v>
      </c>
      <c r="DK57" s="127">
        <v>0</v>
      </c>
      <c r="DL57" s="127">
        <v>0</v>
      </c>
      <c r="DM57" s="304">
        <f>INDEX(Input!$1:$1048576,DM$10,$C57*2+6)</f>
        <v>20731.578947368424</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4.2202220848292206E-2</v>
      </c>
      <c r="DZ57" s="7">
        <v>0</v>
      </c>
      <c r="EA57" s="7">
        <v>0.7671532538911664</v>
      </c>
      <c r="EB57" s="7">
        <v>0</v>
      </c>
      <c r="EC57" s="7">
        <v>0</v>
      </c>
      <c r="ED57" s="7">
        <v>0</v>
      </c>
      <c r="EE57" s="7">
        <v>0</v>
      </c>
      <c r="EF57" s="7">
        <v>0</v>
      </c>
      <c r="EG57" s="7">
        <v>0</v>
      </c>
      <c r="EH57" s="7">
        <v>5.461952928554871E-3</v>
      </c>
      <c r="EI57" s="7">
        <v>8.7572597936567895E-3</v>
      </c>
      <c r="EJ57" s="7">
        <v>8.2368142429796593E-2</v>
      </c>
      <c r="EK57" s="7">
        <v>0.81348355048858612</v>
      </c>
      <c r="EL57" s="7">
        <v>8.9929094359405104E-2</v>
      </c>
      <c r="EM57" s="7">
        <v>6.4572554553443531E-2</v>
      </c>
      <c r="EN57" s="7">
        <v>4.8535727329131126E-2</v>
      </c>
      <c r="EO57" s="7">
        <v>0.56892096676175818</v>
      </c>
      <c r="EP57" s="7">
        <v>0.27286628612540809</v>
      </c>
      <c r="EQ57" s="7">
        <v>6.5906428293024386E-2</v>
      </c>
      <c r="ER57" s="7">
        <v>4.3770591490678093E-2</v>
      </c>
      <c r="ES57" s="7">
        <v>0.12607197070709791</v>
      </c>
      <c r="ET57" s="7">
        <v>0.19064452526054135</v>
      </c>
      <c r="EU57" s="6">
        <v>1199.9999999999998</v>
      </c>
      <c r="EV57" s="6">
        <v>0</v>
      </c>
      <c r="EW57" s="6">
        <v>1199.9999999999998</v>
      </c>
      <c r="EX57" s="6">
        <v>0</v>
      </c>
      <c r="EY57" s="6">
        <v>2964.4497579434383</v>
      </c>
      <c r="EZ57" s="6">
        <v>653.67331195899123</v>
      </c>
      <c r="FA57" s="6">
        <v>0</v>
      </c>
      <c r="FB57" s="6">
        <v>0</v>
      </c>
      <c r="FC57" s="6">
        <v>0</v>
      </c>
      <c r="FD57" s="6">
        <v>0</v>
      </c>
      <c r="FE57" s="6">
        <v>0</v>
      </c>
      <c r="FF57" s="6">
        <v>0</v>
      </c>
      <c r="FG57" s="6">
        <v>0</v>
      </c>
      <c r="FH57" s="6">
        <v>1153.2680368065337</v>
      </c>
      <c r="FI57" s="6">
        <v>1531.4299904380616</v>
      </c>
      <c r="FJ57" s="6">
        <v>2070.7205842538242</v>
      </c>
      <c r="FK57" s="6">
        <v>2635.3956133202923</v>
      </c>
      <c r="FL57" s="6">
        <v>2005.2147164707276</v>
      </c>
      <c r="FM57" s="6">
        <v>2514.4497579434383</v>
      </c>
      <c r="FN57" s="6">
        <v>0</v>
      </c>
      <c r="FO57" s="6">
        <v>0</v>
      </c>
      <c r="FP57" s="6">
        <v>0</v>
      </c>
      <c r="FQ57" s="6">
        <v>0</v>
      </c>
      <c r="FR57" s="6">
        <v>0</v>
      </c>
      <c r="FS57" s="6">
        <v>0</v>
      </c>
      <c r="FT57" s="7">
        <v>0.80935547473945857</v>
      </c>
      <c r="FU57" s="7">
        <v>6.4572554553443531E-2</v>
      </c>
      <c r="FV57" s="7">
        <v>0.12607197070709791</v>
      </c>
      <c r="FW57" s="519">
        <v>1200</v>
      </c>
      <c r="FX57" s="519">
        <v>2964.4497579434383</v>
      </c>
      <c r="FY57" s="519">
        <v>653.67331195899123</v>
      </c>
      <c r="FZ57" s="6">
        <v>1695.8504614767719</v>
      </c>
      <c r="GA57" s="6">
        <v>1245.0585460404009</v>
      </c>
      <c r="GB57" s="6">
        <v>18449.9414539596</v>
      </c>
      <c r="GC57" s="7">
        <v>8.1891069685915169E-2</v>
      </c>
      <c r="GD57" s="7">
        <v>7.8452761562731635E-2</v>
      </c>
      <c r="GE57" s="7"/>
      <c r="GF57" s="7"/>
      <c r="GG57" s="7">
        <v>-4.1986362327062196E-2</v>
      </c>
      <c r="GH57" s="42">
        <v>1.8343749692827163</v>
      </c>
      <c r="GI57" s="6">
        <v>11981.685642353868</v>
      </c>
      <c r="GJ57" s="14">
        <v>0.51074630601039539</v>
      </c>
      <c r="GK57" s="14">
        <v>0.50829519786160959</v>
      </c>
      <c r="GL57" s="14">
        <v>0.48925369398960433</v>
      </c>
      <c r="GM57" s="14">
        <v>0.49170480213839046</v>
      </c>
      <c r="GO57" s="5">
        <v>338.16872463277008</v>
      </c>
      <c r="GP57" s="5">
        <v>315.27501390194027</v>
      </c>
      <c r="GQ57" s="5">
        <v>527.27910984145694</v>
      </c>
      <c r="GR57" s="5">
        <v>404.20319246551543</v>
      </c>
      <c r="GS57" s="5">
        <v>334.50205195691484</v>
      </c>
      <c r="GT57" s="5">
        <v>289.18266033348181</v>
      </c>
      <c r="GU57" s="5">
        <v>254.29573314828914</v>
      </c>
      <c r="GV57" s="39" t="s">
        <v>392</v>
      </c>
      <c r="GW57" s="5">
        <v>479.875</v>
      </c>
      <c r="GX57" s="5">
        <v>359.90625</v>
      </c>
      <c r="GY57" s="5">
        <v>287.92500000000001</v>
      </c>
      <c r="GZ57" s="5">
        <v>239.9375</v>
      </c>
      <c r="HA57" s="5">
        <v>219.80275574107537</v>
      </c>
      <c r="HB57" s="39">
        <v>244.44056676015182</v>
      </c>
      <c r="HC57" s="5">
        <v>254.51741760179408</v>
      </c>
      <c r="HD57" s="5">
        <v>216.80619167139994</v>
      </c>
      <c r="HE57" s="5">
        <v>219.34360934202758</v>
      </c>
      <c r="HF57" s="5">
        <v>202.58697900305356</v>
      </c>
      <c r="HG57" s="5">
        <v>195.04619573131231</v>
      </c>
      <c r="HH57" s="39">
        <v>217.43932377329591</v>
      </c>
      <c r="HI57" s="16"/>
      <c r="HJ57" s="1">
        <f>INDEX(Input!$1:$1048576,HJ$10,$C57*2+6)</f>
        <v>0.45400753093060786</v>
      </c>
      <c r="HK57" s="1">
        <f>INDEX(Input!$1:$1048576,HK$10,$C57*2+6)</f>
        <v>0.46530392684238836</v>
      </c>
      <c r="HL57" s="1">
        <f>INDEX(Input!$1:$1048576,HL$10,$C57*2+6)</f>
        <v>8.0688542227003765E-2</v>
      </c>
      <c r="HM57" s="19"/>
    </row>
    <row r="58" spans="1:221" s="60" customFormat="1" ht="15.75" thickBot="1">
      <c r="A58" s="31">
        <f>C58*1000+B58</f>
        <v>5001</v>
      </c>
      <c r="B58" s="31">
        <f t="shared" si="60"/>
        <v>1</v>
      </c>
      <c r="C58" s="508">
        <v>5</v>
      </c>
      <c r="D58" s="31" t="s">
        <v>566</v>
      </c>
      <c r="E58" s="365">
        <f>INDEX(Input!$1:$1048576,E$10,$C58*2+MIN($B58,2)+5)</f>
        <v>750</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1.9E-2</v>
      </c>
      <c r="W58" s="38">
        <f>INDEX(Input!$1:$1048576,W$10,$C58*2+MIN($B58,2)+5)</f>
        <v>3.9E-2</v>
      </c>
      <c r="X58" s="367" t="str">
        <f>INDEX(Input!$1:$1048576,X$10,$C58*2+MIN($B58,2)+5)</f>
        <v>Y</v>
      </c>
      <c r="Y58" s="517">
        <f>HM29-500</f>
        <v>-988.39754039747277</v>
      </c>
      <c r="Z58" s="49">
        <f>INDEX(Input!$1:$1048576,Z$10,$C58*2+MIN($B58,2)+5)</f>
        <v>0</v>
      </c>
      <c r="AA58" s="49">
        <f>INDEX(Input!$1:$1048576,AA$10,$C58*2+MIN($B58,2)+5)</f>
        <v>0</v>
      </c>
      <c r="AB58" s="367">
        <f>INDEX(Input!$1:$1048576,AB$10,$C58*2+MIN($B58,2)+5)</f>
        <v>0.43</v>
      </c>
      <c r="AC58" s="49">
        <f>INDEX(Input!$1:$1048576,AC$10,$C58*2+MIN($B58,2)+5)</f>
        <v>1000</v>
      </c>
      <c r="AD58" s="367">
        <f>INDEX(Input!$1:$1048576,AD$10,$C58*2+MIN($B58,2)+5)</f>
        <v>0.35</v>
      </c>
      <c r="AE58" s="49">
        <f>INDEX(Input!$1:$1048576,AE$10,$C58*2+MIN($B58,2)+5)</f>
        <v>0</v>
      </c>
      <c r="AF58" s="367">
        <f>INDEX(Input!$1:$1048576,AF$10,$C58*2+MIN($B58,2)+5)</f>
        <v>1</v>
      </c>
      <c r="AG58" s="49">
        <f>INDEX(Input!$1:$1048576,AG$10,$C58*2+MIN($B58,2)+5)</f>
        <v>500</v>
      </c>
      <c r="AH58" s="367">
        <f>INDEX(Input!$1:$1048576,AH$10,$C58*2+MIN($B58,2)+5)</f>
        <v>1</v>
      </c>
      <c r="AI58" s="49">
        <f>INDEX(Input!$1:$1048576,AI$10,$C58*2+MIN($B58,2)+5)</f>
        <v>500</v>
      </c>
      <c r="AJ58" s="367">
        <f>INDEX(Input!$1:$1048576,AJ$10,$C58*2+MIN($B58,2)+5)</f>
        <v>0.35</v>
      </c>
      <c r="AK58" s="298">
        <f>INDEX(Input!$1:$1048576,AK$10,$C58*2+MIN($B58,2)+5)</f>
        <v>4738.7109265464023</v>
      </c>
      <c r="AL58" s="49">
        <f>INDEX(Input!$1:$1048576,AL$10,$C58*2+MIN($B58,2)+5)</f>
        <v>4738.7109265464023</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+ 0/0/0/1.9/3.9</v>
      </c>
      <c r="AO58" s="44" t="str">
        <f>IF(S58="market","std",ROUND(S58*1000,0)/10)&amp;"/"&amp;IF(T58="market","std",ROUND(T58*1000,0)/10)&amp;"/"&amp;IF(U58="market","std",ROUND(U58*1000,0)/10)&amp;"/"&amp;IF(V58="market","std",ROUND(V58*1000,0)/10)&amp;IF(X58="N","","/"&amp;IF(W58="market","std",ROUND(W58*1000,0)/10))</f>
        <v>0/0/0/1.9/3.9</v>
      </c>
      <c r="AP58" s="44" t="str">
        <f>IF(T58="market","std",ROUND(T58*1000,0)/10)&amp;"/"&amp;IF(U58="market","std",ROUND(U58*1000,0)/10)&amp;"/"&amp;IF(V58="market","std",ROUND(V58*1000,0)/10)&amp;IF(X58="N","","/"&amp;IF(W58="market","std",ROUND(W58*1000,0)/10))</f>
        <v>0/0/1.9/3.9</v>
      </c>
      <c r="AQ58" s="49">
        <f t="shared" si="79"/>
        <v>525</v>
      </c>
      <c r="AR58" s="44" t="str">
        <f t="shared" si="80"/>
        <v>0/1.9</v>
      </c>
      <c r="AS58" s="368"/>
      <c r="AT58" s="50">
        <f t="shared" si="81"/>
        <v>13</v>
      </c>
      <c r="AU58" s="45" t="s">
        <v>121</v>
      </c>
      <c r="AV58" s="45" t="s">
        <v>116</v>
      </c>
      <c r="AW58" s="45" t="str">
        <f>INDEX(Input!$1:$1048576,AW$10,$C58*2+6)</f>
        <v>Kia</v>
      </c>
      <c r="AX58" s="45" t="str">
        <f>INDEX(Input!$1:$1048576,AX$10,$C58*2+6)</f>
        <v>Kia-LR - R2</v>
      </c>
      <c r="AY58" s="10" t="str">
        <f>IF(D58="Skip","",INDEX(Input!$1:$1048576,AY$10,$C58*2+6))</f>
        <v>Compact Conventional/Sporty Car (43)</v>
      </c>
      <c r="AZ58" s="45" t="str">
        <f>INDEX(Input!$1:$1048576,AZ$10,$C58*2+6)</f>
        <v>Kia Forte</v>
      </c>
      <c r="BA58" s="50">
        <f>INDEX(Input!$1:$1048576,BA$10,$C58*2+6)</f>
        <v>2020</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19695</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82"/>
        <v>1100</v>
      </c>
      <c r="CJ58" s="46" t="str">
        <f>INDEX(Input!$1:$1048576,CJ$10,$C58*2+6)</f>
        <v>N</v>
      </c>
      <c r="CK58" s="38" t="str">
        <f t="shared" si="61"/>
        <v>Market</v>
      </c>
      <c r="CL58" s="38" t="str">
        <f t="shared" si="62"/>
        <v>Market</v>
      </c>
      <c r="CM58" s="38" t="str">
        <f t="shared" si="63"/>
        <v>Market</v>
      </c>
      <c r="CN58" s="38" t="str">
        <f t="shared" si="64"/>
        <v>Market</v>
      </c>
      <c r="CO58" s="38" t="str">
        <f t="shared" si="65"/>
        <v>Market</v>
      </c>
      <c r="CP58" s="49">
        <f t="shared" si="66"/>
        <v>350</v>
      </c>
      <c r="CQ58" s="38">
        <f t="shared" si="67"/>
        <v>0</v>
      </c>
      <c r="CR58" s="38">
        <f t="shared" si="68"/>
        <v>0</v>
      </c>
      <c r="CS58" s="38">
        <f t="shared" si="69"/>
        <v>0</v>
      </c>
      <c r="CT58" s="38">
        <f t="shared" si="70"/>
        <v>0</v>
      </c>
      <c r="CU58" s="38">
        <f t="shared" si="71"/>
        <v>1.9E-2</v>
      </c>
      <c r="CV58" s="49">
        <f t="shared" si="83"/>
        <v>-813.39754039747277</v>
      </c>
      <c r="CW58" s="22" t="s">
        <v>122</v>
      </c>
      <c r="CX58" s="22" t="s">
        <v>122</v>
      </c>
      <c r="CY58" s="22" t="s">
        <v>122</v>
      </c>
      <c r="CZ58" s="22" t="s">
        <v>122</v>
      </c>
      <c r="DA58" s="22" t="s">
        <v>122</v>
      </c>
      <c r="DB58" s="502">
        <f t="shared" si="72"/>
        <v>500</v>
      </c>
      <c r="DC58" s="29">
        <v>0</v>
      </c>
      <c r="DD58" s="29">
        <v>0</v>
      </c>
      <c r="DE58" s="29">
        <v>0</v>
      </c>
      <c r="DF58" s="49">
        <v>0</v>
      </c>
      <c r="DG58" s="49">
        <v>0</v>
      </c>
      <c r="DH58" s="49">
        <v>0</v>
      </c>
      <c r="DI58" s="49">
        <v>0</v>
      </c>
      <c r="DJ58" s="49">
        <v>0</v>
      </c>
      <c r="DK58" s="29">
        <v>0</v>
      </c>
      <c r="DL58" s="29">
        <v>0</v>
      </c>
      <c r="DM58" s="49">
        <f>INDEX(Input!$1:$1048576,DM$10,$C58*2+6)</f>
        <v>20731.578947368424</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3.9526114769895197E-2</v>
      </c>
      <c r="DZ58" s="37">
        <v>0</v>
      </c>
      <c r="EA58" s="37">
        <v>0.70343075479359074</v>
      </c>
      <c r="EB58" s="37">
        <v>0</v>
      </c>
      <c r="EC58" s="37">
        <v>0</v>
      </c>
      <c r="ED58" s="37">
        <v>0</v>
      </c>
      <c r="EE58" s="37">
        <v>0</v>
      </c>
      <c r="EF58" s="37">
        <v>0</v>
      </c>
      <c r="EG58" s="37">
        <v>0</v>
      </c>
      <c r="EH58" s="37">
        <v>7.0711021737189395E-3</v>
      </c>
      <c r="EI58" s="37">
        <v>8.9139937193127104E-3</v>
      </c>
      <c r="EJ58" s="37">
        <v>0.13091366193868648</v>
      </c>
      <c r="EK58" s="37">
        <v>0.77842407296295513</v>
      </c>
      <c r="EL58" s="37">
        <v>7.4677169205326979E-2</v>
      </c>
      <c r="EM58" s="37">
        <v>0.12595572053994464</v>
      </c>
      <c r="EN58" s="37">
        <v>4.8173726879664147E-2</v>
      </c>
      <c r="EO58" s="37">
        <v>0.58122279950719657</v>
      </c>
      <c r="EP58" s="37">
        <v>0.25352649483421763</v>
      </c>
      <c r="EQ58" s="37">
        <v>7.0989376566195084E-2</v>
      </c>
      <c r="ER58" s="37">
        <v>4.6087602212726522E-2</v>
      </c>
      <c r="ES58" s="37">
        <v>0.13108740989656953</v>
      </c>
      <c r="ET58" s="37">
        <v>0.25704313043651411</v>
      </c>
      <c r="EU58" s="36">
        <v>1200</v>
      </c>
      <c r="EV58" s="36">
        <v>0</v>
      </c>
      <c r="EW58" s="36">
        <v>1200</v>
      </c>
      <c r="EX58" s="36">
        <v>0</v>
      </c>
      <c r="EY58" s="36">
        <v>2944.0958255244595</v>
      </c>
      <c r="EZ58" s="36">
        <v>-1108.7736526803492</v>
      </c>
      <c r="FA58" s="36">
        <v>0</v>
      </c>
      <c r="FB58" s="36">
        <v>0</v>
      </c>
      <c r="FC58" s="36">
        <v>0</v>
      </c>
      <c r="FD58" s="36">
        <v>0</v>
      </c>
      <c r="FE58" s="36">
        <v>0</v>
      </c>
      <c r="FF58" s="36">
        <v>0</v>
      </c>
      <c r="FG58" s="36">
        <v>0</v>
      </c>
      <c r="FH58" s="36">
        <v>1153.9796211103696</v>
      </c>
      <c r="FI58" s="36">
        <v>1531.4299904380623</v>
      </c>
      <c r="FJ58" s="36">
        <v>2070.7205842538215</v>
      </c>
      <c r="FK58" s="36">
        <v>2635.3956133202914</v>
      </c>
      <c r="FL58" s="36">
        <v>2005.2147164707274</v>
      </c>
      <c r="FM58" s="36">
        <v>2494.0958255244595</v>
      </c>
      <c r="FN58" s="36">
        <v>0</v>
      </c>
      <c r="FO58" s="36">
        <v>0</v>
      </c>
      <c r="FP58" s="36">
        <v>0</v>
      </c>
      <c r="FQ58" s="36">
        <v>0</v>
      </c>
      <c r="FR58" s="36">
        <v>0</v>
      </c>
      <c r="FS58" s="36">
        <v>0</v>
      </c>
      <c r="FT58" s="37">
        <v>0.74295686956348594</v>
      </c>
      <c r="FU58" s="37">
        <v>0.12595572053994464</v>
      </c>
      <c r="FV58" s="37">
        <v>0.13108740989656953</v>
      </c>
      <c r="FW58" s="518">
        <v>1200</v>
      </c>
      <c r="FX58" s="518">
        <v>2944.0958255244595</v>
      </c>
      <c r="FY58" s="518">
        <v>-1108.7736526803492</v>
      </c>
      <c r="FZ58" s="36">
        <v>2411.9063952864503</v>
      </c>
      <c r="GA58" s="36">
        <v>1117.027688227334</v>
      </c>
      <c r="GB58" s="36">
        <v>18577.972311772664</v>
      </c>
      <c r="GC58" s="37">
        <v>7.6138913542514425E-2</v>
      </c>
      <c r="GD58" s="37">
        <v>6.5459154160540114E-2</v>
      </c>
      <c r="GE58" s="37"/>
      <c r="GF58" s="37"/>
      <c r="GG58" s="37">
        <v>-0.14026676879242503</v>
      </c>
      <c r="GH58" s="35">
        <v>2.133446164730771</v>
      </c>
      <c r="GI58" s="36">
        <v>10348.570684525721</v>
      </c>
      <c r="GJ58" s="34">
        <v>0.5107463060103955</v>
      </c>
      <c r="GK58" s="34">
        <v>0.50829519786161015</v>
      </c>
      <c r="GL58" s="34">
        <v>0.48925369398960455</v>
      </c>
      <c r="GM58" s="33">
        <v>0.49170480213839041</v>
      </c>
      <c r="GN58" s="61"/>
      <c r="GO58" s="13">
        <v>338.16872463277008</v>
      </c>
      <c r="GP58" s="27">
        <v>315.27501390194027</v>
      </c>
      <c r="GQ58" s="27">
        <v>527.27910984145694</v>
      </c>
      <c r="GR58" s="27">
        <v>404.20319246551543</v>
      </c>
      <c r="GS58" s="27">
        <v>334.50205195691484</v>
      </c>
      <c r="GT58" s="27">
        <v>289.18266033348181</v>
      </c>
      <c r="GU58" s="27">
        <v>254.29573314828914</v>
      </c>
      <c r="GV58" s="29" t="s">
        <v>392</v>
      </c>
      <c r="GW58" s="27">
        <v>479.875</v>
      </c>
      <c r="GX58" s="27">
        <v>359.90625</v>
      </c>
      <c r="GY58" s="27">
        <v>287.92500000000001</v>
      </c>
      <c r="GZ58" s="27">
        <v>239.9375</v>
      </c>
      <c r="HA58" s="27">
        <v>219.80275574107543</v>
      </c>
      <c r="HB58" s="29">
        <v>247.48213691017355</v>
      </c>
      <c r="HC58" s="27">
        <v>331.62447230476528</v>
      </c>
      <c r="HD58" s="27">
        <v>269.4348163099358</v>
      </c>
      <c r="HE58" s="27">
        <v>268.20632166295803</v>
      </c>
      <c r="HF58" s="27">
        <v>243.34356506033831</v>
      </c>
      <c r="HG58" s="27">
        <v>228.82642922023302</v>
      </c>
      <c r="HH58" s="12">
        <v>268.39552302006859</v>
      </c>
      <c r="HI58" s="94"/>
      <c r="HJ58" s="24">
        <f>INDEX(Input!$1:$1048576,HJ$10,$C58*2+6)</f>
        <v>0.46495956873315364</v>
      </c>
      <c r="HK58" s="18">
        <f>INDEX(Input!$1:$1048576,HK$10,$C58*2+6)</f>
        <v>0.40296495956873313</v>
      </c>
      <c r="HL58" s="43">
        <f>INDEX(Input!$1:$1048576,HL$10,$C58*2+6)</f>
        <v>0.13207547169811321</v>
      </c>
      <c r="HM58" s="49">
        <f>IF(HL58&lt;FV59,TREND(Y58:Y59,FV58:FV59,HL58),TREND(Y59:Y60,FV59:FV60,HL58))</f>
        <v>-951.3618966787526</v>
      </c>
    </row>
    <row r="59" spans="1:221" s="26" customFormat="1" ht="15">
      <c r="A59" s="117">
        <f t="shared" ref="A59:A60" si="99">C59*1000+B59</f>
        <v>5002</v>
      </c>
      <c r="B59" s="117">
        <f t="shared" si="60"/>
        <v>2</v>
      </c>
      <c r="C59" s="117">
        <f t="shared" si="74"/>
        <v>5</v>
      </c>
      <c r="D59" s="117" t="s">
        <v>568</v>
      </c>
      <c r="E59" s="115">
        <f>INDEX(Input!$1:$1048576,E$10,$C59*2+6)</f>
        <v>750</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1.9E-2</v>
      </c>
      <c r="W59" s="383">
        <f>INDEX(Input!$1:$1048576,W$10,$C59*2+6)</f>
        <v>3.9E-2</v>
      </c>
      <c r="X59" s="118" t="str">
        <f>INDEX(Input!$1:$1048576,X$10,$C59*2+6)</f>
        <v>Y</v>
      </c>
      <c r="Y59" s="520">
        <f>Y58+500</f>
        <v>-488.39754039747277</v>
      </c>
      <c r="Z59" s="30">
        <f>INDEX(Input!$1:$1048576,Z$10,$C59*2+6)</f>
        <v>0</v>
      </c>
      <c r="AA59" s="115">
        <f>INDEX(Input!$1:$1048576,AA$10,$C59*2+6)</f>
        <v>0</v>
      </c>
      <c r="AB59" s="118">
        <f>INDEX(Input!$1:$1048576,AB$10,$C59*2+6)</f>
        <v>0.43</v>
      </c>
      <c r="AC59" s="115">
        <f>INDEX(Input!$1:$1048576,AC$10,$C59*2+6)</f>
        <v>1000</v>
      </c>
      <c r="AD59" s="118">
        <f>INDEX(Input!$1:$1048576,AD$10,$C59*2+6)</f>
        <v>0.35</v>
      </c>
      <c r="AE59" s="115">
        <f>INDEX(Input!$1:$1048576,AE$10,$C59*2+6)</f>
        <v>0</v>
      </c>
      <c r="AF59" s="118">
        <f>INDEX(Input!$1:$1048576,AF$10,$C59*2+6)</f>
        <v>1</v>
      </c>
      <c r="AG59" s="115">
        <f>INDEX(Input!$1:$1048576,AG$10,$C59*2+6)</f>
        <v>500</v>
      </c>
      <c r="AH59" s="118">
        <f>INDEX(Input!$1:$1048576,AH$10,$C59*2+6)</f>
        <v>1</v>
      </c>
      <c r="AI59" s="115">
        <f>INDEX(Input!$1:$1048576,AI$10,$C59*2+6)</f>
        <v>500</v>
      </c>
      <c r="AJ59" s="118">
        <f>INDEX(Input!$1:$1048576,AJ$10,$C59*2+6)</f>
        <v>0.35</v>
      </c>
      <c r="AK59" s="150">
        <f>INDEX(Input!$1:$1048576,AK$10,$C58*2+6)+(Y59-VLOOKUP($C59*1000+1,$A:$HH,Y$9,FALSE))</f>
        <v>3265.5633861489296</v>
      </c>
      <c r="AL59" s="150">
        <f>INDEX(Input!$1:$1048576,AL$10,$C58*2+6)-(Y59-VLOOKUP($C59*1000+1,$A:$HH,Y$9,FALSE))/36</f>
        <v>4779.6316915574434</v>
      </c>
      <c r="AM59" s="32" t="str">
        <f t="shared" ref="AM59:AM60" si="100">IF(K59="market","std",ROUND(K59*1000,0)/10)&amp;"/"&amp;IF(L59="market","std",ROUND(L59*1000,0)/10)&amp;"/"&amp;IF(M59="market","std",ROUND(M59*1000,0)/10)&amp;"/"&amp;IF(N59="market","std",ROUND(N59*1000,0)/10)&amp;IF(P59="N","","/"&amp;IF(O59="market","std",ROUND(O59*1000,0)/10))</f>
        <v>std/std/std/std</v>
      </c>
      <c r="AN59" s="32" t="str">
        <f t="shared" ref="AN59:AN60" si="101">"$"&amp;ROUND(Q59,0)&amp;" + "&amp;IF(S59="market","std",ROUND(S59*1000,0)/10)&amp;"/"&amp;IF(T59="market","std",ROUND(T59*1000,0)/10)&amp;"/"&amp;IF(U59="market","std",ROUND(U59*1000,0)/10)&amp;"/"&amp;IF(V59="market","std",ROUND(V59*1000,0)/10)&amp;IF(X59="N","","/"&amp;IF(W59="market","std",ROUND(W59*1000,0)/10))</f>
        <v>$0 + 0/0/0/1.9/3.9</v>
      </c>
      <c r="AO59" s="32" t="str">
        <f t="shared" ref="AO59:AO60" si="102">IF(S59="market","std",ROUND(S59*1000,0)/10)&amp;"/"&amp;IF(T59="market","std",ROUND(T59*1000,0)/10)&amp;"/"&amp;IF(U59="market","std",ROUND(U59*1000,0)/10)&amp;"/"&amp;IF(V59="market","std",ROUND(V59*1000,0)/10)&amp;IF(X59="N","","/"&amp;IF(W59="market","std",ROUND(W59*1000,0)/10))</f>
        <v>0/0/0/1.9/3.9</v>
      </c>
      <c r="AP59" s="32" t="str">
        <f t="shared" ref="AP59:AP60" si="103">IF(T59="market","std",ROUND(T59*1000,0)/10)&amp;"/"&amp;IF(U59="market","std",ROUND(U59*1000,0)/10)&amp;"/"&amp;IF(V59="market","std",ROUND(V59*1000,0)/10)&amp;IF(X59="N","","/"&amp;IF(W59="market","std",ROUND(W59*1000,0)/10))</f>
        <v>0/0/1.9/3.9</v>
      </c>
      <c r="AQ59" s="150">
        <f t="shared" si="79"/>
        <v>525</v>
      </c>
      <c r="AR59" s="32" t="str">
        <f t="shared" si="80"/>
        <v>0/1.9</v>
      </c>
      <c r="AS59" s="302"/>
      <c r="AT59" s="3">
        <f t="shared" si="81"/>
        <v>14</v>
      </c>
      <c r="AU59" s="41" t="s">
        <v>121</v>
      </c>
      <c r="AV59" s="41" t="s">
        <v>116</v>
      </c>
      <c r="AW59" s="41" t="str">
        <f>INDEX(Input!$1:$1048576,AW$10,$C59*2+6)</f>
        <v>Kia</v>
      </c>
      <c r="AX59" s="41" t="str">
        <f>INDEX(Input!$1:$1048576,AX$10,$C59*2+6)</f>
        <v>Kia-LR - R2</v>
      </c>
      <c r="AY59" s="41" t="str">
        <f>IF(D59="Skip","",INDEX(Input!$1:$1048576,AY$10,$C59*2+6))</f>
        <v>Compact Conventional/Sporty Car (43)</v>
      </c>
      <c r="AZ59" s="41" t="str">
        <f>INDEX(Input!$1:$1048576,AZ$10,$C59*2+6)</f>
        <v>Kia Forte</v>
      </c>
      <c r="BA59" s="3">
        <f>INDEX(Input!$1:$1048576,BA$10,$C59*2+6)</f>
        <v>2020</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19695</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82"/>
        <v>1100</v>
      </c>
      <c r="CJ59" s="16" t="str">
        <f>INDEX(Input!$1:$1048576,CJ$10,$C59*2+6)</f>
        <v>N</v>
      </c>
      <c r="CK59" s="1" t="str">
        <f t="shared" si="61"/>
        <v>Market</v>
      </c>
      <c r="CL59" s="1" t="str">
        <f t="shared" si="62"/>
        <v>Market</v>
      </c>
      <c r="CM59" s="1" t="str">
        <f t="shared" si="63"/>
        <v>Market</v>
      </c>
      <c r="CN59" s="1" t="str">
        <f t="shared" si="64"/>
        <v>Market</v>
      </c>
      <c r="CO59" s="1" t="str">
        <f t="shared" si="65"/>
        <v>Market</v>
      </c>
      <c r="CP59" s="304">
        <f t="shared" si="66"/>
        <v>350</v>
      </c>
      <c r="CQ59" s="1">
        <f t="shared" si="67"/>
        <v>0</v>
      </c>
      <c r="CR59" s="1">
        <f t="shared" si="68"/>
        <v>0</v>
      </c>
      <c r="CS59" s="1">
        <f t="shared" si="69"/>
        <v>0</v>
      </c>
      <c r="CT59" s="1">
        <f t="shared" si="70"/>
        <v>0</v>
      </c>
      <c r="CU59" s="1">
        <f t="shared" si="71"/>
        <v>1.9E-2</v>
      </c>
      <c r="CV59" s="304">
        <f t="shared" si="83"/>
        <v>-313.39754039747277</v>
      </c>
      <c r="CW59" s="20" t="s">
        <v>122</v>
      </c>
      <c r="CX59" s="20" t="s">
        <v>122</v>
      </c>
      <c r="CY59" s="20" t="s">
        <v>122</v>
      </c>
      <c r="CZ59" s="20" t="s">
        <v>122</v>
      </c>
      <c r="DA59" s="20" t="s">
        <v>122</v>
      </c>
      <c r="DB59" s="503">
        <f t="shared" si="72"/>
        <v>500</v>
      </c>
      <c r="DC59" s="127">
        <v>0</v>
      </c>
      <c r="DD59" s="127">
        <v>0</v>
      </c>
      <c r="DE59" s="127">
        <v>0</v>
      </c>
      <c r="DF59" s="127">
        <v>0</v>
      </c>
      <c r="DG59" s="127">
        <v>0</v>
      </c>
      <c r="DH59" s="127">
        <v>0</v>
      </c>
      <c r="DI59" s="127">
        <v>0</v>
      </c>
      <c r="DJ59" s="127">
        <v>0</v>
      </c>
      <c r="DK59" s="127">
        <v>0</v>
      </c>
      <c r="DL59" s="127">
        <v>0</v>
      </c>
      <c r="DM59" s="304">
        <f>INDEX(Input!$1:$1048576,DM$10,$C59*2+6)</f>
        <v>20731.578947368424</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3.8925179091430222E-2</v>
      </c>
      <c r="DZ59" s="7">
        <v>0</v>
      </c>
      <c r="EA59" s="7">
        <v>0.69275704304955454</v>
      </c>
      <c r="EB59" s="7">
        <v>0</v>
      </c>
      <c r="EC59" s="7">
        <v>0</v>
      </c>
      <c r="ED59" s="7">
        <v>0</v>
      </c>
      <c r="EE59" s="7">
        <v>0</v>
      </c>
      <c r="EF59" s="7">
        <v>0</v>
      </c>
      <c r="EG59" s="7">
        <v>0</v>
      </c>
      <c r="EH59" s="7">
        <v>7.0687814059651405E-3</v>
      </c>
      <c r="EI59" s="7">
        <v>8.9121882261020222E-3</v>
      </c>
      <c r="EJ59" s="7">
        <v>0.13085890872387798</v>
      </c>
      <c r="EK59" s="7">
        <v>0.77848162250353559</v>
      </c>
      <c r="EL59" s="7">
        <v>7.4678499140519411E-2</v>
      </c>
      <c r="EM59" s="7">
        <v>0.12389103182118873</v>
      </c>
      <c r="EN59" s="7">
        <v>4.8875655462967245E-2</v>
      </c>
      <c r="EO59" s="7">
        <v>0.58006853378965217</v>
      </c>
      <c r="EP59" s="7">
        <v>0.25557498352925168</v>
      </c>
      <c r="EQ59" s="7">
        <v>6.9947903954970359E-2</v>
      </c>
      <c r="ER59" s="7">
        <v>4.5532923263158283E-2</v>
      </c>
      <c r="ES59" s="7">
        <v>0.14442674603782649</v>
      </c>
      <c r="ET59" s="7">
        <v>0.26831777785901528</v>
      </c>
      <c r="EU59" s="6">
        <v>1200</v>
      </c>
      <c r="EV59" s="6">
        <v>0</v>
      </c>
      <c r="EW59" s="6">
        <v>1200</v>
      </c>
      <c r="EX59" s="6">
        <v>0</v>
      </c>
      <c r="EY59" s="6">
        <v>2944.1313239161846</v>
      </c>
      <c r="EZ59" s="6">
        <v>-608.77365268034919</v>
      </c>
      <c r="FA59" s="6">
        <v>0</v>
      </c>
      <c r="FB59" s="6">
        <v>0</v>
      </c>
      <c r="FC59" s="6">
        <v>0</v>
      </c>
      <c r="FD59" s="6">
        <v>0</v>
      </c>
      <c r="FE59" s="6">
        <v>0</v>
      </c>
      <c r="FF59" s="6">
        <v>0</v>
      </c>
      <c r="FG59" s="6">
        <v>0</v>
      </c>
      <c r="FH59" s="6">
        <v>1153.9778518397832</v>
      </c>
      <c r="FI59" s="6">
        <v>1531.4299904380616</v>
      </c>
      <c r="FJ59" s="6">
        <v>2070.7205842538219</v>
      </c>
      <c r="FK59" s="6">
        <v>2635.3956133202905</v>
      </c>
      <c r="FL59" s="6">
        <v>2005.214716470728</v>
      </c>
      <c r="FM59" s="6">
        <v>2494.1313239161846</v>
      </c>
      <c r="FN59" s="6">
        <v>0</v>
      </c>
      <c r="FO59" s="6">
        <v>0</v>
      </c>
      <c r="FP59" s="6">
        <v>0</v>
      </c>
      <c r="FQ59" s="6">
        <v>0</v>
      </c>
      <c r="FR59" s="6">
        <v>0</v>
      </c>
      <c r="FS59" s="6">
        <v>0</v>
      </c>
      <c r="FT59" s="7">
        <v>0.73168222214098477</v>
      </c>
      <c r="FU59" s="7">
        <v>0.12389103182118873</v>
      </c>
      <c r="FV59" s="7">
        <v>0.14442674603782649</v>
      </c>
      <c r="FW59" s="519">
        <v>1200</v>
      </c>
      <c r="FX59" s="519">
        <v>2944.1313239161846</v>
      </c>
      <c r="FY59" s="519">
        <v>-608.77365268034919</v>
      </c>
      <c r="FZ59" s="6">
        <v>2411.9063952864503</v>
      </c>
      <c r="GA59" s="6">
        <v>1154.8469363760555</v>
      </c>
      <c r="GB59" s="6">
        <v>18540.153063623944</v>
      </c>
      <c r="GC59" s="7">
        <v>7.6138913542514425E-2</v>
      </c>
      <c r="GD59" s="7">
        <v>6.5907762554113264E-2</v>
      </c>
      <c r="GE59" s="7"/>
      <c r="GF59" s="7"/>
      <c r="GG59" s="7">
        <v>-0.13437479617683662</v>
      </c>
      <c r="GH59" s="42">
        <v>2.1053193561717154</v>
      </c>
      <c r="GI59" s="6">
        <v>10509.722215636835</v>
      </c>
      <c r="GJ59" s="14">
        <v>0.51074630601039539</v>
      </c>
      <c r="GK59" s="14">
        <v>0.5082951978616097</v>
      </c>
      <c r="GL59" s="14">
        <v>0.48925369398960433</v>
      </c>
      <c r="GM59" s="14">
        <v>0.49170480213839013</v>
      </c>
      <c r="GO59" s="5">
        <v>338.16872463277008</v>
      </c>
      <c r="GP59" s="5">
        <v>315.27501390194027</v>
      </c>
      <c r="GQ59" s="5">
        <v>527.27910984145694</v>
      </c>
      <c r="GR59" s="5">
        <v>404.20319246551543</v>
      </c>
      <c r="GS59" s="5">
        <v>334.50205195691484</v>
      </c>
      <c r="GT59" s="5">
        <v>289.18266033348181</v>
      </c>
      <c r="GU59" s="5">
        <v>254.29573314828914</v>
      </c>
      <c r="GV59" s="39" t="s">
        <v>392</v>
      </c>
      <c r="GW59" s="5">
        <v>479.875</v>
      </c>
      <c r="GX59" s="5">
        <v>359.90625</v>
      </c>
      <c r="GY59" s="5">
        <v>287.92500000000001</v>
      </c>
      <c r="GZ59" s="5">
        <v>239.9375</v>
      </c>
      <c r="HA59" s="5">
        <v>219.80275574107543</v>
      </c>
      <c r="HB59" s="39">
        <v>247.47870922039641</v>
      </c>
      <c r="HC59" s="5">
        <v>309.74947230476522</v>
      </c>
      <c r="HD59" s="5">
        <v>254.50426075438025</v>
      </c>
      <c r="HE59" s="5">
        <v>254.34414217577853</v>
      </c>
      <c r="HF59" s="5">
        <v>231.78106506033834</v>
      </c>
      <c r="HG59" s="5">
        <v>219.24309588689965</v>
      </c>
      <c r="HH59" s="39">
        <v>253.96850055296926</v>
      </c>
      <c r="HI59" s="16"/>
      <c r="HJ59" s="1">
        <f>INDEX(Input!$1:$1048576,HJ$10,$C59*2+6)</f>
        <v>0.46495956873315364</v>
      </c>
      <c r="HK59" s="1">
        <f>INDEX(Input!$1:$1048576,HK$10,$C59*2+6)</f>
        <v>0.40296495956873313</v>
      </c>
      <c r="HL59" s="1">
        <f>INDEX(Input!$1:$1048576,HL$10,$C59*2+6)</f>
        <v>0.13207547169811321</v>
      </c>
      <c r="HM59" s="19"/>
    </row>
    <row r="60" spans="1:221" s="26" customFormat="1" ht="15">
      <c r="A60" s="117">
        <f t="shared" si="99"/>
        <v>5003</v>
      </c>
      <c r="B60" s="117">
        <f t="shared" si="60"/>
        <v>3</v>
      </c>
      <c r="C60" s="117">
        <f t="shared" si="74"/>
        <v>5</v>
      </c>
      <c r="D60" s="117" t="s">
        <v>568</v>
      </c>
      <c r="E60" s="115">
        <f>INDEX(Input!$1:$1048576,E$10,$C60*2+6)</f>
        <v>750</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1.9E-2</v>
      </c>
      <c r="W60" s="383">
        <f>INDEX(Input!$1:$1048576,W$10,$C60*2+6)</f>
        <v>3.9E-2</v>
      </c>
      <c r="X60" s="118" t="str">
        <f>INDEX(Input!$1:$1048576,X$10,$C60*2+6)</f>
        <v>Y</v>
      </c>
      <c r="Y60" s="520">
        <f>Y58+1000</f>
        <v>11.602459602527233</v>
      </c>
      <c r="Z60" s="30">
        <f>INDEX(Input!$1:$1048576,Z$10,$C60*2+6)</f>
        <v>0</v>
      </c>
      <c r="AA60" s="115">
        <f>INDEX(Input!$1:$1048576,AA$10,$C60*2+6)</f>
        <v>0</v>
      </c>
      <c r="AB60" s="118">
        <f>INDEX(Input!$1:$1048576,AB$10,$C60*2+6)</f>
        <v>0.43</v>
      </c>
      <c r="AC60" s="115">
        <f>INDEX(Input!$1:$1048576,AC$10,$C60*2+6)</f>
        <v>1000</v>
      </c>
      <c r="AD60" s="118">
        <f>INDEX(Input!$1:$1048576,AD$10,$C60*2+6)</f>
        <v>0.35</v>
      </c>
      <c r="AE60" s="115">
        <f>INDEX(Input!$1:$1048576,AE$10,$C60*2+6)</f>
        <v>0</v>
      </c>
      <c r="AF60" s="118">
        <f>INDEX(Input!$1:$1048576,AF$10,$C60*2+6)</f>
        <v>1</v>
      </c>
      <c r="AG60" s="115">
        <f>INDEX(Input!$1:$1048576,AG$10,$C60*2+6)</f>
        <v>500</v>
      </c>
      <c r="AH60" s="118">
        <f>INDEX(Input!$1:$1048576,AH$10,$C60*2+6)</f>
        <v>1</v>
      </c>
      <c r="AI60" s="115">
        <f>INDEX(Input!$1:$1048576,AI$10,$C60*2+6)</f>
        <v>500</v>
      </c>
      <c r="AJ60" s="118">
        <f>INDEX(Input!$1:$1048576,AJ$10,$C60*2+6)</f>
        <v>0.35</v>
      </c>
      <c r="AK60" s="150">
        <f>INDEX(Input!$1:$1048576,AK$10,$C59*2+6)+(Y60-VLOOKUP($C60*1000+1,$A:$HH,Y$9,FALSE))</f>
        <v>3765.5633861489296</v>
      </c>
      <c r="AL60" s="150">
        <f>INDEX(Input!$1:$1048576,AL$10,$C59*2+6)-(Y60-VLOOKUP($C60*1000+1,$A:$HH,Y$9,FALSE))/36</f>
        <v>4765.7428026685548</v>
      </c>
      <c r="AM60" s="32" t="str">
        <f t="shared" si="100"/>
        <v>std/std/std/std</v>
      </c>
      <c r="AN60" s="32" t="str">
        <f t="shared" si="101"/>
        <v>$0 + 0/0/0/1.9/3.9</v>
      </c>
      <c r="AO60" s="32" t="str">
        <f t="shared" si="102"/>
        <v>0/0/0/1.9/3.9</v>
      </c>
      <c r="AP60" s="32" t="str">
        <f t="shared" si="103"/>
        <v>0/0/1.9/3.9</v>
      </c>
      <c r="AQ60" s="150">
        <f t="shared" si="79"/>
        <v>525</v>
      </c>
      <c r="AR60" s="32" t="str">
        <f t="shared" si="80"/>
        <v>0/1.9</v>
      </c>
      <c r="AS60" s="302"/>
      <c r="AT60" s="3">
        <f t="shared" si="81"/>
        <v>15</v>
      </c>
      <c r="AU60" s="41" t="s">
        <v>121</v>
      </c>
      <c r="AV60" s="41" t="s">
        <v>116</v>
      </c>
      <c r="AW60" s="41" t="str">
        <f>INDEX(Input!$1:$1048576,AW$10,$C60*2+6)</f>
        <v>Kia</v>
      </c>
      <c r="AX60" s="41" t="str">
        <f>INDEX(Input!$1:$1048576,AX$10,$C60*2+6)</f>
        <v>Kia-LR - R2</v>
      </c>
      <c r="AY60" s="41" t="str">
        <f>IF(D60="Skip","",INDEX(Input!$1:$1048576,AY$10,$C60*2+6))</f>
        <v>Compact Conventional/Sporty Car (43)</v>
      </c>
      <c r="AZ60" s="41" t="str">
        <f>INDEX(Input!$1:$1048576,AZ$10,$C60*2+6)</f>
        <v>Kia Forte</v>
      </c>
      <c r="BA60" s="3">
        <f>INDEX(Input!$1:$1048576,BA$10,$C60*2+6)</f>
        <v>2020</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19695</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82"/>
        <v>1100</v>
      </c>
      <c r="CJ60" s="16" t="str">
        <f>INDEX(Input!$1:$1048576,CJ$10,$C60*2+6)</f>
        <v>N</v>
      </c>
      <c r="CK60" s="1" t="str">
        <f t="shared" si="61"/>
        <v>Market</v>
      </c>
      <c r="CL60" s="1" t="str">
        <f t="shared" si="62"/>
        <v>Market</v>
      </c>
      <c r="CM60" s="1" t="str">
        <f t="shared" si="63"/>
        <v>Market</v>
      </c>
      <c r="CN60" s="1" t="str">
        <f t="shared" si="64"/>
        <v>Market</v>
      </c>
      <c r="CO60" s="1" t="str">
        <f t="shared" si="65"/>
        <v>Market</v>
      </c>
      <c r="CP60" s="304">
        <f t="shared" si="66"/>
        <v>350</v>
      </c>
      <c r="CQ60" s="1">
        <f t="shared" si="67"/>
        <v>0</v>
      </c>
      <c r="CR60" s="1">
        <f t="shared" si="68"/>
        <v>0</v>
      </c>
      <c r="CS60" s="1">
        <f t="shared" si="69"/>
        <v>0</v>
      </c>
      <c r="CT60" s="1">
        <f t="shared" si="70"/>
        <v>0</v>
      </c>
      <c r="CU60" s="1">
        <f t="shared" si="71"/>
        <v>1.9E-2</v>
      </c>
      <c r="CV60" s="304">
        <f t="shared" si="83"/>
        <v>186.60245960252723</v>
      </c>
      <c r="CW60" s="20" t="s">
        <v>122</v>
      </c>
      <c r="CX60" s="20" t="s">
        <v>122</v>
      </c>
      <c r="CY60" s="20" t="s">
        <v>122</v>
      </c>
      <c r="CZ60" s="20" t="s">
        <v>122</v>
      </c>
      <c r="DA60" s="20" t="s">
        <v>122</v>
      </c>
      <c r="DB60" s="503">
        <f t="shared" si="72"/>
        <v>500</v>
      </c>
      <c r="DC60" s="127">
        <v>0</v>
      </c>
      <c r="DD60" s="127">
        <v>0</v>
      </c>
      <c r="DE60" s="127">
        <v>0</v>
      </c>
      <c r="DF60" s="127">
        <v>0</v>
      </c>
      <c r="DG60" s="127">
        <v>0</v>
      </c>
      <c r="DH60" s="127">
        <v>0</v>
      </c>
      <c r="DI60" s="127">
        <v>0</v>
      </c>
      <c r="DJ60" s="127">
        <v>0</v>
      </c>
      <c r="DK60" s="127">
        <v>0</v>
      </c>
      <c r="DL60" s="127">
        <v>0</v>
      </c>
      <c r="DM60" s="304">
        <f>INDEX(Input!$1:$1048576,DM$10,$C60*2+6)</f>
        <v>20731.578947368424</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3.8250917427474017E-2</v>
      </c>
      <c r="DZ60" s="7">
        <v>0</v>
      </c>
      <c r="EA60" s="7">
        <v>0.68078075819112138</v>
      </c>
      <c r="EB60" s="7">
        <v>0</v>
      </c>
      <c r="EC60" s="7">
        <v>0</v>
      </c>
      <c r="ED60" s="7">
        <v>0</v>
      </c>
      <c r="EE60" s="7">
        <v>0</v>
      </c>
      <c r="EF60" s="7">
        <v>0</v>
      </c>
      <c r="EG60" s="7">
        <v>0</v>
      </c>
      <c r="EH60" s="7">
        <v>7.0661472144486828E-3</v>
      </c>
      <c r="EI60" s="7">
        <v>8.9101457940337116E-3</v>
      </c>
      <c r="EJ60" s="7">
        <v>0.13079672462969683</v>
      </c>
      <c r="EK60" s="7">
        <v>0.77854696354743946</v>
      </c>
      <c r="EL60" s="7">
        <v>7.4680018814381591E-2</v>
      </c>
      <c r="EM60" s="7">
        <v>0.12157833008531696</v>
      </c>
      <c r="EN60" s="7">
        <v>4.9640536922326686E-2</v>
      </c>
      <c r="EO60" s="7">
        <v>0.57887168912662978</v>
      </c>
      <c r="EP60" s="7">
        <v>0.2576835856351915</v>
      </c>
      <c r="EQ60" s="7">
        <v>6.8861960839000147E-2</v>
      </c>
      <c r="ER60" s="7">
        <v>4.4942227476851615E-2</v>
      </c>
      <c r="ES60" s="7">
        <v>0.15938999429608766</v>
      </c>
      <c r="ET60" s="7">
        <v>0.28096832438140457</v>
      </c>
      <c r="EU60" s="6">
        <v>1200</v>
      </c>
      <c r="EV60" s="6">
        <v>0</v>
      </c>
      <c r="EW60" s="6">
        <v>1200</v>
      </c>
      <c r="EX60" s="6">
        <v>0</v>
      </c>
      <c r="EY60" s="6">
        <v>2944.1716229810631</v>
      </c>
      <c r="EZ60" s="6">
        <v>-108.77365268034919</v>
      </c>
      <c r="FA60" s="6">
        <v>0</v>
      </c>
      <c r="FB60" s="6">
        <v>0</v>
      </c>
      <c r="FC60" s="6">
        <v>0</v>
      </c>
      <c r="FD60" s="6">
        <v>0</v>
      </c>
      <c r="FE60" s="6">
        <v>0</v>
      </c>
      <c r="FF60" s="6">
        <v>0</v>
      </c>
      <c r="FG60" s="6">
        <v>0</v>
      </c>
      <c r="FH60" s="6">
        <v>1153.9758445558118</v>
      </c>
      <c r="FI60" s="6">
        <v>1531.4299904380609</v>
      </c>
      <c r="FJ60" s="6">
        <v>2070.7205842538201</v>
      </c>
      <c r="FK60" s="6">
        <v>2635.3956133202914</v>
      </c>
      <c r="FL60" s="6">
        <v>2005.2147164707283</v>
      </c>
      <c r="FM60" s="6">
        <v>2494.1716229810631</v>
      </c>
      <c r="FN60" s="6">
        <v>0</v>
      </c>
      <c r="FO60" s="6">
        <v>0</v>
      </c>
      <c r="FP60" s="6">
        <v>0</v>
      </c>
      <c r="FQ60" s="6">
        <v>0</v>
      </c>
      <c r="FR60" s="6">
        <v>0</v>
      </c>
      <c r="FS60" s="6">
        <v>0</v>
      </c>
      <c r="FT60" s="7">
        <v>0.71903167561859538</v>
      </c>
      <c r="FU60" s="7">
        <v>0.12157833008531696</v>
      </c>
      <c r="FV60" s="7">
        <v>0.15938999429608766</v>
      </c>
      <c r="FW60" s="519">
        <v>1200</v>
      </c>
      <c r="FX60" s="519">
        <v>2944.1716229810631</v>
      </c>
      <c r="FY60" s="519">
        <v>-108.77365268034919</v>
      </c>
      <c r="FZ60" s="6">
        <v>2411.9063952864503</v>
      </c>
      <c r="GA60" s="6">
        <v>1203.4480482686438</v>
      </c>
      <c r="GB60" s="6">
        <v>18491.551951731355</v>
      </c>
      <c r="GC60" s="7">
        <v>7.6138913542514425E-2</v>
      </c>
      <c r="GD60" s="7">
        <v>6.6423390393099524E-2</v>
      </c>
      <c r="GE60" s="7"/>
      <c r="GF60" s="7"/>
      <c r="GG60" s="7">
        <v>-0.12760259763872189</v>
      </c>
      <c r="GH60" s="42">
        <v>2.0796191831488891</v>
      </c>
      <c r="GI60" s="6">
        <v>10673.931952046882</v>
      </c>
      <c r="GJ60" s="14">
        <v>0.51074630601039539</v>
      </c>
      <c r="GK60" s="14">
        <v>0.50829519786160982</v>
      </c>
      <c r="GL60" s="14">
        <v>0.48925369398960444</v>
      </c>
      <c r="GM60" s="14">
        <v>0.49170480213839046</v>
      </c>
      <c r="GO60" s="5">
        <v>338.16872463277008</v>
      </c>
      <c r="GP60" s="5">
        <v>315.27501390194027</v>
      </c>
      <c r="GQ60" s="5">
        <v>527.27910984145694</v>
      </c>
      <c r="GR60" s="5">
        <v>404.20319246551543</v>
      </c>
      <c r="GS60" s="5">
        <v>334.50205195691484</v>
      </c>
      <c r="GT60" s="5">
        <v>289.18266033348181</v>
      </c>
      <c r="GU60" s="5">
        <v>254.29573314828914</v>
      </c>
      <c r="GV60" s="39" t="s">
        <v>392</v>
      </c>
      <c r="GW60" s="5">
        <v>479.875</v>
      </c>
      <c r="GX60" s="5">
        <v>359.90625</v>
      </c>
      <c r="GY60" s="5">
        <v>287.92500000000001</v>
      </c>
      <c r="GZ60" s="5">
        <v>239.9375</v>
      </c>
      <c r="HA60" s="5">
        <v>219.80275574107543</v>
      </c>
      <c r="HB60" s="39">
        <v>247.47481749358317</v>
      </c>
      <c r="HC60" s="5">
        <v>287.87447230476528</v>
      </c>
      <c r="HD60" s="5">
        <v>239.57370519882471</v>
      </c>
      <c r="HE60" s="5">
        <v>240.48196268859905</v>
      </c>
      <c r="HF60" s="5">
        <v>220.21856506033834</v>
      </c>
      <c r="HG60" s="5">
        <v>209.65976255356634</v>
      </c>
      <c r="HH60" s="39">
        <v>239.52819214102635</v>
      </c>
      <c r="HI60" s="16"/>
      <c r="HJ60" s="1">
        <f>INDEX(Input!$1:$1048576,HJ$10,$C60*2+6)</f>
        <v>0.46495956873315364</v>
      </c>
      <c r="HK60" s="1">
        <f>INDEX(Input!$1:$1048576,HK$10,$C60*2+6)</f>
        <v>0.40296495956873313</v>
      </c>
      <c r="HL60" s="1">
        <f>INDEX(Input!$1:$1048576,HL$10,$C60*2+6)</f>
        <v>0.13207547169811321</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N14:AN16"/>
    <mergeCell ref="AO14:AO16"/>
    <mergeCell ref="AP14:AP16"/>
    <mergeCell ref="AQ14:AQ16"/>
    <mergeCell ref="AR14:AR16"/>
    <mergeCell ref="AT14:AT16"/>
    <mergeCell ref="AH14:AH16"/>
    <mergeCell ref="AI14:AI16"/>
    <mergeCell ref="AJ14:AJ16"/>
    <mergeCell ref="AK14:AK16"/>
    <mergeCell ref="AL14:AL16"/>
    <mergeCell ref="AM14:AM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O14:HH14"/>
    <mergeCell ref="GW15:HA15"/>
    <mergeCell ref="GV15:GV16"/>
    <mergeCell ref="HM15:HM16"/>
    <mergeCell ref="HJ15:HJ16"/>
    <mergeCell ref="HK15:HK16"/>
    <mergeCell ref="HL15:HL16"/>
    <mergeCell ref="GQ15:GU15"/>
    <mergeCell ref="GO15:GP15"/>
    <mergeCell ref="HB15:HB16"/>
    <mergeCell ref="HC15:HG15"/>
    <mergeCell ref="HH15:HH16"/>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AP96" zoomScale="55" zoomScaleNormal="55" workbookViewId="0">
      <pane ySplit="1980" topLeftCell="A99" activePane="bottomLeft"/>
      <selection activeCell="A98" sqref="A98:A99"/>
      <selection pane="bottomLeft" activeCell="CI99" sqref="CI99:CI100"/>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135"/>
      <c r="HN6" s="1135"/>
      <c r="HO6" s="1135"/>
      <c r="HP6" s="1135"/>
      <c r="HQ6" s="1135"/>
      <c r="HR6" s="1135"/>
      <c r="HS6" s="1135"/>
      <c r="HT6" s="1135"/>
      <c r="HU6" s="1135"/>
      <c r="HV6" s="1135"/>
      <c r="HW6" s="1135"/>
      <c r="HX6" s="1135"/>
      <c r="HY6" s="1135"/>
      <c r="HZ6" s="1135"/>
      <c r="IA6" s="1135"/>
      <c r="IB6" s="1135"/>
      <c r="IC6" s="1135"/>
      <c r="ID6" s="1135"/>
      <c r="IE6" s="1135"/>
      <c r="IF6" s="1135"/>
      <c r="IG6" s="1135"/>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775</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776</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777</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849</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850</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864</v>
      </c>
      <c r="KC96" s="98" t="s">
        <v>865</v>
      </c>
      <c r="KN96" s="98" t="s">
        <v>880</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1028" t="s">
        <v>10</v>
      </c>
      <c r="AU97" s="1029"/>
      <c r="AV97" s="1029"/>
      <c r="AW97" s="1029"/>
      <c r="AX97" s="1029"/>
      <c r="AY97" s="1029"/>
      <c r="AZ97" s="1029"/>
      <c r="BA97" s="1029"/>
      <c r="BB97" s="1030"/>
      <c r="BC97" s="1031" t="s">
        <v>11</v>
      </c>
      <c r="BD97" s="1032"/>
      <c r="BE97" s="1032"/>
      <c r="BF97" s="1032"/>
      <c r="BG97" s="1032"/>
      <c r="BH97" s="1032"/>
      <c r="BI97" s="1032"/>
      <c r="BJ97" s="1032"/>
      <c r="BK97" s="1032"/>
      <c r="BL97" s="1032"/>
      <c r="BM97" s="1032"/>
      <c r="BN97" s="1032"/>
      <c r="BO97" s="1032"/>
      <c r="BP97" s="1032"/>
      <c r="BQ97" s="1032"/>
      <c r="BR97" s="1032"/>
      <c r="BS97" s="1032"/>
      <c r="BT97" s="1032"/>
      <c r="BU97" s="1032"/>
      <c r="BV97" s="1032"/>
      <c r="BW97" s="1032"/>
      <c r="BX97" s="1032"/>
      <c r="BY97" s="1032"/>
      <c r="BZ97" s="1032"/>
      <c r="CA97" s="1032"/>
      <c r="CB97" s="1032"/>
      <c r="CC97" s="1032"/>
      <c r="CD97" s="1032"/>
      <c r="CE97" s="1032"/>
      <c r="CF97" s="1032"/>
      <c r="CG97" s="1032"/>
      <c r="CH97" s="1033"/>
      <c r="CI97" s="965" t="s">
        <v>12</v>
      </c>
      <c r="CJ97" s="966"/>
      <c r="CK97" s="966"/>
      <c r="CL97" s="966"/>
      <c r="CM97" s="966"/>
      <c r="CN97" s="966"/>
      <c r="CO97" s="966"/>
      <c r="CP97" s="966"/>
      <c r="CQ97" s="966"/>
      <c r="CR97" s="966"/>
      <c r="CS97" s="966"/>
      <c r="CT97" s="966"/>
      <c r="CU97" s="966"/>
      <c r="CV97" s="966"/>
      <c r="CW97" s="966"/>
      <c r="CX97" s="966"/>
      <c r="CY97" s="966"/>
      <c r="CZ97" s="966"/>
      <c r="DA97" s="966"/>
      <c r="DB97" s="966"/>
      <c r="DC97" s="966"/>
      <c r="DD97" s="966"/>
      <c r="DE97" s="966"/>
      <c r="DF97" s="966"/>
      <c r="DG97" s="966"/>
      <c r="DH97" s="966"/>
      <c r="DI97" s="966"/>
      <c r="DJ97" s="966"/>
      <c r="DK97" s="966"/>
      <c r="DL97" s="966"/>
      <c r="DM97" s="966"/>
      <c r="DN97" s="966"/>
      <c r="DO97" s="966"/>
      <c r="DP97" s="966"/>
      <c r="DQ97" s="966"/>
      <c r="DR97" s="966"/>
      <c r="DS97" s="966"/>
      <c r="DT97" s="966"/>
      <c r="DU97" s="966"/>
      <c r="DV97" s="966"/>
      <c r="DW97" s="967"/>
      <c r="DX97" s="575"/>
      <c r="DY97" s="968" t="s">
        <v>13</v>
      </c>
      <c r="DZ97" s="969"/>
      <c r="EA97" s="969"/>
      <c r="EB97" s="969"/>
      <c r="EC97" s="969"/>
      <c r="ED97" s="969"/>
      <c r="EE97" s="969"/>
      <c r="EF97" s="969"/>
      <c r="EG97" s="969"/>
      <c r="EH97" s="969"/>
      <c r="EI97" s="969"/>
      <c r="EJ97" s="969"/>
      <c r="EK97" s="969"/>
      <c r="EL97" s="969"/>
      <c r="EM97" s="969"/>
      <c r="EN97" s="969"/>
      <c r="EO97" s="969"/>
      <c r="EP97" s="969"/>
      <c r="EQ97" s="969"/>
      <c r="ER97" s="969"/>
      <c r="ES97" s="969"/>
      <c r="ET97" s="969"/>
      <c r="EU97" s="969"/>
      <c r="EV97" s="969"/>
      <c r="EW97" s="969"/>
      <c r="EX97" s="969"/>
      <c r="EY97" s="969"/>
      <c r="EZ97" s="969"/>
      <c r="FA97" s="969"/>
      <c r="FB97" s="969"/>
      <c r="FC97" s="969"/>
      <c r="FD97" s="969"/>
      <c r="FE97" s="969"/>
      <c r="FF97" s="969"/>
      <c r="FG97" s="969"/>
      <c r="FH97" s="969"/>
      <c r="FI97" s="969"/>
      <c r="FJ97" s="969"/>
      <c r="FK97" s="969"/>
      <c r="FL97" s="969"/>
      <c r="FM97" s="969"/>
      <c r="FN97" s="969"/>
      <c r="FO97" s="969"/>
      <c r="FP97" s="969"/>
      <c r="FQ97" s="969"/>
      <c r="FR97" s="969"/>
      <c r="FS97" s="969"/>
      <c r="FT97" s="969"/>
      <c r="FU97" s="969"/>
      <c r="FV97" s="969"/>
      <c r="FW97" s="969"/>
      <c r="FX97" s="969"/>
      <c r="FY97" s="969"/>
      <c r="FZ97" s="969"/>
      <c r="GA97" s="969"/>
      <c r="GB97" s="969"/>
      <c r="GC97" s="969"/>
      <c r="GD97" s="969"/>
      <c r="GE97" s="969"/>
      <c r="GF97" s="969"/>
      <c r="GG97" s="969"/>
      <c r="GH97" s="969"/>
      <c r="GI97" s="969"/>
      <c r="GJ97" s="969"/>
      <c r="GK97" s="969"/>
      <c r="GL97" s="969"/>
      <c r="GM97" s="1034"/>
      <c r="GO97" s="923" t="s">
        <v>14</v>
      </c>
      <c r="GP97" s="1035"/>
      <c r="GQ97" s="1035"/>
      <c r="GR97" s="1035"/>
      <c r="GS97" s="1035"/>
      <c r="GT97" s="1035"/>
      <c r="GU97" s="1035"/>
      <c r="GV97" s="1035"/>
      <c r="GW97" s="1035"/>
      <c r="GX97" s="1035"/>
      <c r="GY97" s="1035"/>
      <c r="GZ97" s="1035"/>
      <c r="HA97" s="1035"/>
      <c r="HB97" s="1035"/>
      <c r="HC97" s="1035"/>
      <c r="HD97" s="1035"/>
      <c r="HE97" s="1035"/>
      <c r="HF97" s="1035"/>
      <c r="HG97" s="1035"/>
      <c r="HH97" s="1036"/>
      <c r="HI97" s="72"/>
      <c r="HJ97" s="350"/>
      <c r="HK97" s="57"/>
      <c r="HL97" s="72"/>
      <c r="HM97" s="637" t="s">
        <v>830</v>
      </c>
      <c r="HN97" s="99"/>
      <c r="HO97" s="99"/>
      <c r="HP97" s="100"/>
      <c r="HQ97" s="100"/>
      <c r="HR97" s="100"/>
      <c r="HS97" s="99"/>
      <c r="HT97" s="99"/>
      <c r="HU97" s="99"/>
      <c r="HV97" s="101"/>
      <c r="HW97" s="101"/>
      <c r="HX97" s="101"/>
      <c r="HY97" s="1037" t="s">
        <v>532</v>
      </c>
      <c r="HZ97" s="1038"/>
      <c r="IA97" s="1039"/>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1037" t="s">
        <v>532</v>
      </c>
      <c r="IY97" s="1038"/>
      <c r="IZ97" s="1039"/>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4.0949999999999998</v>
      </c>
      <c r="KC97" s="696">
        <v>3</v>
      </c>
      <c r="KN97" s="696">
        <v>2</v>
      </c>
      <c r="KV97" s="583" t="s">
        <v>772</v>
      </c>
    </row>
    <row r="98" spans="1:310" s="71" customFormat="1" ht="13.5" customHeight="1" thickBot="1">
      <c r="A98" s="917" t="s">
        <v>533</v>
      </c>
      <c r="B98" s="917" t="s">
        <v>309</v>
      </c>
      <c r="C98" s="917" t="s">
        <v>823</v>
      </c>
      <c r="D98" s="917" t="s">
        <v>778</v>
      </c>
      <c r="E98" s="917" t="s">
        <v>155</v>
      </c>
      <c r="F98" s="917" t="s">
        <v>350</v>
      </c>
      <c r="G98" s="917" t="s">
        <v>351</v>
      </c>
      <c r="H98" s="917" t="s">
        <v>352</v>
      </c>
      <c r="I98" s="917" t="s">
        <v>534</v>
      </c>
      <c r="J98" s="917" t="s">
        <v>535</v>
      </c>
      <c r="K98" s="917" t="s">
        <v>536</v>
      </c>
      <c r="L98" s="917" t="s">
        <v>537</v>
      </c>
      <c r="M98" s="917" t="s">
        <v>538</v>
      </c>
      <c r="N98" s="917" t="s">
        <v>539</v>
      </c>
      <c r="O98" s="917" t="s">
        <v>971</v>
      </c>
      <c r="P98" s="917" t="s">
        <v>541</v>
      </c>
      <c r="Q98" s="917" t="s">
        <v>542</v>
      </c>
      <c r="R98" s="917" t="s">
        <v>535</v>
      </c>
      <c r="S98" s="917" t="s">
        <v>536</v>
      </c>
      <c r="T98" s="917" t="s">
        <v>537</v>
      </c>
      <c r="U98" s="917" t="s">
        <v>538</v>
      </c>
      <c r="V98" s="917" t="s">
        <v>539</v>
      </c>
      <c r="W98" s="917" t="s">
        <v>540</v>
      </c>
      <c r="X98" s="917" t="s">
        <v>541</v>
      </c>
      <c r="Y98" s="917" t="s">
        <v>346</v>
      </c>
      <c r="Z98" s="917" t="s">
        <v>7</v>
      </c>
      <c r="AA98" s="919" t="str">
        <f>INDEX(Input!$1:$1048576,AA$93-1,7)</f>
        <v>Misc 1: State Retail Bonus Cash (C, F)</v>
      </c>
      <c r="AB98" s="917" t="s">
        <v>757</v>
      </c>
      <c r="AC98" s="919" t="str">
        <f>INDEX(Input!$1:$1048576,AC$93-1,7)</f>
        <v>Misc 2:  Event Retail Bonus Cash (C, F)</v>
      </c>
      <c r="AD98" s="917" t="s">
        <v>758</v>
      </c>
      <c r="AE98" s="919" t="str">
        <f>INDEX(Input!$1:$1048576,AE$93-1,7)</f>
        <v>Misc 3: State Lease Bonus Cash (L)</v>
      </c>
      <c r="AF98" s="917" t="s">
        <v>543</v>
      </c>
      <c r="AG98" s="919" t="str">
        <f>INDEX(Input!$1:$1048576,AG$93-1,7)</f>
        <v>Misc 4: Stackable Bonus Cash</v>
      </c>
      <c r="AH98" s="917" t="s">
        <v>759</v>
      </c>
      <c r="AI98" s="919" t="str">
        <f>INDEX(Input!$1:$1048576,AI$93-1,7)</f>
        <v>Misc 5: Event Lease Bonus Cash (L)</v>
      </c>
      <c r="AJ98" s="921" t="s">
        <v>760</v>
      </c>
      <c r="AK98" s="1124" t="s">
        <v>544</v>
      </c>
      <c r="AL98" s="1126" t="s">
        <v>545</v>
      </c>
      <c r="AM98" s="1126" t="s">
        <v>546</v>
      </c>
      <c r="AN98" s="1128" t="s">
        <v>547</v>
      </c>
      <c r="AO98" s="1133" t="s">
        <v>548</v>
      </c>
      <c r="AP98" s="1133" t="s">
        <v>1056</v>
      </c>
      <c r="AQ98" s="1133" t="s">
        <v>736</v>
      </c>
      <c r="AR98" s="1133" t="s">
        <v>345</v>
      </c>
      <c r="AS98" s="93"/>
      <c r="AT98" s="1130" t="s">
        <v>90</v>
      </c>
      <c r="AU98" s="994" t="s">
        <v>91</v>
      </c>
      <c r="AV98" s="994" t="s">
        <v>92</v>
      </c>
      <c r="AW98" s="994" t="s">
        <v>93</v>
      </c>
      <c r="AX98" s="994" t="s">
        <v>94</v>
      </c>
      <c r="AY98" s="994" t="s">
        <v>3</v>
      </c>
      <c r="AZ98" s="994" t="s">
        <v>4</v>
      </c>
      <c r="BA98" s="975" t="s">
        <v>95</v>
      </c>
      <c r="BB98" s="978" t="s">
        <v>96</v>
      </c>
      <c r="BC98" s="207" t="s">
        <v>1</v>
      </c>
      <c r="BD98" s="981" t="s">
        <v>15</v>
      </c>
      <c r="BE98" s="982"/>
      <c r="BF98" s="982"/>
      <c r="BG98" s="982"/>
      <c r="BH98" s="982"/>
      <c r="BI98" s="982"/>
      <c r="BJ98" s="982"/>
      <c r="BK98" s="982"/>
      <c r="BL98" s="982"/>
      <c r="BM98" s="983"/>
      <c r="BN98" s="981" t="s">
        <v>16</v>
      </c>
      <c r="BO98" s="982"/>
      <c r="BP98" s="982"/>
      <c r="BQ98" s="982"/>
      <c r="BR98" s="982"/>
      <c r="BS98" s="982"/>
      <c r="BT98" s="982"/>
      <c r="BU98" s="982"/>
      <c r="BV98" s="982"/>
      <c r="BW98" s="984"/>
      <c r="BX98" s="985" t="s">
        <v>17</v>
      </c>
      <c r="BY98" s="988" t="s">
        <v>18</v>
      </c>
      <c r="BZ98" s="989"/>
      <c r="CA98" s="989"/>
      <c r="CB98" s="989"/>
      <c r="CC98" s="989"/>
      <c r="CD98" s="989"/>
      <c r="CE98" s="989"/>
      <c r="CF98" s="989"/>
      <c r="CG98" s="989"/>
      <c r="CH98" s="990"/>
      <c r="CI98" s="965" t="s">
        <v>19</v>
      </c>
      <c r="CJ98" s="966"/>
      <c r="CK98" s="966"/>
      <c r="CL98" s="966"/>
      <c r="CM98" s="966"/>
      <c r="CN98" s="966"/>
      <c r="CO98" s="966"/>
      <c r="CP98" s="966"/>
      <c r="CQ98" s="966"/>
      <c r="CR98" s="966"/>
      <c r="CS98" s="966"/>
      <c r="CT98" s="966"/>
      <c r="CU98" s="966"/>
      <c r="CV98" s="966"/>
      <c r="CW98" s="966"/>
      <c r="CX98" s="966"/>
      <c r="CY98" s="966"/>
      <c r="CZ98" s="966"/>
      <c r="DA98" s="966"/>
      <c r="DB98" s="966"/>
      <c r="DC98" s="966"/>
      <c r="DD98" s="966"/>
      <c r="DE98" s="966"/>
      <c r="DF98" s="966"/>
      <c r="DG98" s="966"/>
      <c r="DH98" s="966"/>
      <c r="DI98" s="966"/>
      <c r="DJ98" s="966"/>
      <c r="DK98" s="966"/>
      <c r="DL98" s="966"/>
      <c r="DM98" s="966"/>
      <c r="DN98" s="966"/>
      <c r="DO98" s="966"/>
      <c r="DP98" s="966"/>
      <c r="DQ98" s="966"/>
      <c r="DR98" s="966"/>
      <c r="DS98" s="966"/>
      <c r="DT98" s="966"/>
      <c r="DU98" s="966"/>
      <c r="DV98" s="966"/>
      <c r="DW98" s="967"/>
      <c r="DX98" s="575"/>
      <c r="DY98" s="968" t="s">
        <v>20</v>
      </c>
      <c r="DZ98" s="969"/>
      <c r="EA98" s="969"/>
      <c r="EB98" s="969"/>
      <c r="EC98" s="969"/>
      <c r="ED98" s="969"/>
      <c r="EE98" s="969"/>
      <c r="EF98" s="969"/>
      <c r="EG98" s="969"/>
      <c r="EH98" s="969"/>
      <c r="EI98" s="969"/>
      <c r="EJ98" s="969"/>
      <c r="EK98" s="969"/>
      <c r="EL98" s="969"/>
      <c r="EM98" s="969"/>
      <c r="EN98" s="969"/>
      <c r="EO98" s="969"/>
      <c r="EP98" s="969"/>
      <c r="EQ98" s="969"/>
      <c r="ER98" s="969"/>
      <c r="ES98" s="969"/>
      <c r="ET98" s="970"/>
      <c r="EU98" s="952" t="s">
        <v>21</v>
      </c>
      <c r="EV98" s="953"/>
      <c r="EW98" s="953"/>
      <c r="EX98" s="953"/>
      <c r="EY98" s="953"/>
      <c r="EZ98" s="954"/>
      <c r="FA98" s="948" t="s">
        <v>22</v>
      </c>
      <c r="FB98" s="949"/>
      <c r="FC98" s="949"/>
      <c r="FD98" s="949"/>
      <c r="FE98" s="949"/>
      <c r="FF98" s="949"/>
      <c r="FG98" s="949"/>
      <c r="FH98" s="949"/>
      <c r="FI98" s="949"/>
      <c r="FJ98" s="949"/>
      <c r="FK98" s="949"/>
      <c r="FL98" s="949"/>
      <c r="FM98" s="949"/>
      <c r="FN98" s="949"/>
      <c r="FO98" s="949"/>
      <c r="FP98" s="949"/>
      <c r="FQ98" s="949"/>
      <c r="FR98" s="949"/>
      <c r="FS98" s="950"/>
      <c r="FT98" s="952" t="s">
        <v>23</v>
      </c>
      <c r="FU98" s="953"/>
      <c r="FV98" s="953"/>
      <c r="FW98" s="953"/>
      <c r="FX98" s="953"/>
      <c r="FY98" s="954"/>
      <c r="FZ98" s="955" t="s">
        <v>24</v>
      </c>
      <c r="GA98" s="956"/>
      <c r="GB98" s="957"/>
      <c r="GC98" s="948" t="s">
        <v>25</v>
      </c>
      <c r="GD98" s="949"/>
      <c r="GE98" s="949"/>
      <c r="GF98" s="950"/>
      <c r="GG98" s="948" t="s">
        <v>26</v>
      </c>
      <c r="GH98" s="949"/>
      <c r="GI98" s="950"/>
      <c r="GJ98" s="948" t="s">
        <v>27</v>
      </c>
      <c r="GK98" s="949"/>
      <c r="GL98" s="949"/>
      <c r="GM98" s="951"/>
      <c r="GO98" s="923" t="s">
        <v>28</v>
      </c>
      <c r="GP98" s="1035"/>
      <c r="GQ98" s="1035"/>
      <c r="GR98" s="1035"/>
      <c r="GS98" s="1035"/>
      <c r="GT98" s="1035"/>
      <c r="GU98" s="1035"/>
      <c r="GV98" s="1035"/>
      <c r="GW98" s="1035"/>
      <c r="GX98" s="1035"/>
      <c r="GY98" s="1035"/>
      <c r="GZ98" s="1035"/>
      <c r="HA98" s="1035"/>
      <c r="HB98" s="1035"/>
      <c r="HC98" s="1035"/>
      <c r="HD98" s="1035"/>
      <c r="HE98" s="1035"/>
      <c r="HF98" s="1035"/>
      <c r="HG98" s="1035"/>
      <c r="HH98" s="1036"/>
      <c r="HI98" s="72"/>
      <c r="HJ98" s="353" t="s">
        <v>767</v>
      </c>
      <c r="HK98" s="354"/>
      <c r="HL98" s="72"/>
      <c r="HM98" s="77" t="s">
        <v>827</v>
      </c>
      <c r="HN98" s="73"/>
      <c r="HO98" s="74"/>
      <c r="HP98" s="79" t="s">
        <v>828</v>
      </c>
      <c r="HQ98" s="75"/>
      <c r="HR98" s="76"/>
      <c r="HS98" s="79" t="s">
        <v>829</v>
      </c>
      <c r="HT98" s="78"/>
      <c r="HU98" s="74"/>
      <c r="HV98" s="79" t="s">
        <v>833</v>
      </c>
      <c r="HW98" s="80"/>
      <c r="HX98" s="81"/>
      <c r="HY98" s="77" t="s">
        <v>831</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918"/>
      <c r="B99" s="918"/>
      <c r="C99" s="918"/>
      <c r="D99" s="918"/>
      <c r="E99" s="918"/>
      <c r="F99" s="918"/>
      <c r="G99" s="918"/>
      <c r="H99" s="918"/>
      <c r="I99" s="918"/>
      <c r="J99" s="918"/>
      <c r="K99" s="918"/>
      <c r="L99" s="918"/>
      <c r="M99" s="918"/>
      <c r="N99" s="918"/>
      <c r="O99" s="918"/>
      <c r="P99" s="918"/>
      <c r="Q99" s="918"/>
      <c r="R99" s="918"/>
      <c r="S99" s="918"/>
      <c r="T99" s="918"/>
      <c r="U99" s="918"/>
      <c r="V99" s="918"/>
      <c r="W99" s="918"/>
      <c r="X99" s="918"/>
      <c r="Y99" s="918"/>
      <c r="Z99" s="918"/>
      <c r="AA99" s="920"/>
      <c r="AB99" s="918"/>
      <c r="AC99" s="920"/>
      <c r="AD99" s="918"/>
      <c r="AE99" s="920"/>
      <c r="AF99" s="918"/>
      <c r="AG99" s="920"/>
      <c r="AH99" s="918"/>
      <c r="AI99" s="920"/>
      <c r="AJ99" s="922"/>
      <c r="AK99" s="1125"/>
      <c r="AL99" s="1127"/>
      <c r="AM99" s="1127"/>
      <c r="AN99" s="1129"/>
      <c r="AO99" s="1134"/>
      <c r="AP99" s="1134"/>
      <c r="AQ99" s="1134"/>
      <c r="AR99" s="1134"/>
      <c r="AS99" s="93"/>
      <c r="AT99" s="1131"/>
      <c r="AU99" s="995"/>
      <c r="AV99" s="995"/>
      <c r="AW99" s="995"/>
      <c r="AX99" s="995"/>
      <c r="AY99" s="995"/>
      <c r="AZ99" s="995"/>
      <c r="BA99" s="976"/>
      <c r="BB99" s="979"/>
      <c r="BC99" s="997" t="s">
        <v>29</v>
      </c>
      <c r="BD99" s="991" t="s">
        <v>30</v>
      </c>
      <c r="BE99" s="992"/>
      <c r="BF99" s="992"/>
      <c r="BG99" s="992"/>
      <c r="BH99" s="999"/>
      <c r="BI99" s="991" t="s">
        <v>31</v>
      </c>
      <c r="BJ99" s="992"/>
      <c r="BK99" s="992"/>
      <c r="BL99" s="992"/>
      <c r="BM99" s="999"/>
      <c r="BN99" s="991" t="s">
        <v>32</v>
      </c>
      <c r="BO99" s="992"/>
      <c r="BP99" s="992"/>
      <c r="BQ99" s="992"/>
      <c r="BR99" s="999"/>
      <c r="BS99" s="991" t="s">
        <v>33</v>
      </c>
      <c r="BT99" s="992"/>
      <c r="BU99" s="992"/>
      <c r="BV99" s="992"/>
      <c r="BW99" s="993"/>
      <c r="BX99" s="986"/>
      <c r="BY99" s="1000" t="s">
        <v>34</v>
      </c>
      <c r="BZ99" s="992"/>
      <c r="CA99" s="992"/>
      <c r="CB99" s="992"/>
      <c r="CC99" s="999"/>
      <c r="CD99" s="991" t="s">
        <v>35</v>
      </c>
      <c r="CE99" s="992"/>
      <c r="CF99" s="992"/>
      <c r="CG99" s="992"/>
      <c r="CH99" s="993"/>
      <c r="CI99" s="971" t="s">
        <v>5</v>
      </c>
      <c r="CJ99" s="973" t="s">
        <v>36</v>
      </c>
      <c r="CK99" s="960" t="s">
        <v>37</v>
      </c>
      <c r="CL99" s="962"/>
      <c r="CM99" s="962"/>
      <c r="CN99" s="962"/>
      <c r="CO99" s="961"/>
      <c r="CP99" s="958" t="s">
        <v>38</v>
      </c>
      <c r="CQ99" s="960" t="s">
        <v>39</v>
      </c>
      <c r="CR99" s="962"/>
      <c r="CS99" s="962"/>
      <c r="CT99" s="962"/>
      <c r="CU99" s="961"/>
      <c r="CV99" s="958" t="s">
        <v>6</v>
      </c>
      <c r="CW99" s="960" t="s">
        <v>40</v>
      </c>
      <c r="CX99" s="962"/>
      <c r="CY99" s="962"/>
      <c r="CZ99" s="962"/>
      <c r="DA99" s="961"/>
      <c r="DB99" s="958" t="s">
        <v>7</v>
      </c>
      <c r="DC99" s="960" t="s">
        <v>0</v>
      </c>
      <c r="DD99" s="962"/>
      <c r="DE99" s="961"/>
      <c r="DF99" s="958" t="s">
        <v>41</v>
      </c>
      <c r="DG99" s="958" t="s">
        <v>42</v>
      </c>
      <c r="DH99" s="958" t="s">
        <v>43</v>
      </c>
      <c r="DI99" s="958" t="s">
        <v>44</v>
      </c>
      <c r="DJ99" s="958" t="s">
        <v>45</v>
      </c>
      <c r="DK99" s="960" t="s">
        <v>46</v>
      </c>
      <c r="DL99" s="961"/>
      <c r="DM99" s="958" t="s">
        <v>47</v>
      </c>
      <c r="DN99" s="960" t="s">
        <v>48</v>
      </c>
      <c r="DO99" s="962"/>
      <c r="DP99" s="962"/>
      <c r="DQ99" s="962"/>
      <c r="DR99" s="961"/>
      <c r="DS99" s="212" t="s">
        <v>49</v>
      </c>
      <c r="DT99" s="213"/>
      <c r="DU99" s="213"/>
      <c r="DV99" s="213"/>
      <c r="DW99" s="214"/>
      <c r="DX99" s="358"/>
      <c r="DY99" s="963" t="s">
        <v>50</v>
      </c>
      <c r="DZ99" s="217" t="s">
        <v>51</v>
      </c>
      <c r="EA99" s="218"/>
      <c r="EB99" s="217" t="s">
        <v>52</v>
      </c>
      <c r="EC99" s="219"/>
      <c r="ED99" s="219"/>
      <c r="EE99" s="219"/>
      <c r="EF99" s="218"/>
      <c r="EG99" s="942" t="s">
        <v>53</v>
      </c>
      <c r="EH99" s="217" t="s">
        <v>54</v>
      </c>
      <c r="EI99" s="219"/>
      <c r="EJ99" s="219"/>
      <c r="EK99" s="219"/>
      <c r="EL99" s="218"/>
      <c r="EM99" s="942" t="s">
        <v>55</v>
      </c>
      <c r="EN99" s="217" t="s">
        <v>56</v>
      </c>
      <c r="EO99" s="219"/>
      <c r="EP99" s="219"/>
      <c r="EQ99" s="219"/>
      <c r="ER99" s="218"/>
      <c r="ES99" s="942" t="s">
        <v>57</v>
      </c>
      <c r="ET99" s="942" t="s">
        <v>58</v>
      </c>
      <c r="EU99" s="946" t="s">
        <v>59</v>
      </c>
      <c r="EV99" s="223" t="s">
        <v>60</v>
      </c>
      <c r="EW99" s="224"/>
      <c r="EX99" s="946" t="s">
        <v>61</v>
      </c>
      <c r="EY99" s="946" t="s">
        <v>62</v>
      </c>
      <c r="EZ99" s="946" t="s">
        <v>63</v>
      </c>
      <c r="FA99" s="942" t="s">
        <v>64</v>
      </c>
      <c r="FB99" s="217" t="s">
        <v>65</v>
      </c>
      <c r="FC99" s="219"/>
      <c r="FD99" s="219"/>
      <c r="FE99" s="219"/>
      <c r="FF99" s="218"/>
      <c r="FG99" s="942" t="s">
        <v>65</v>
      </c>
      <c r="FH99" s="217" t="s">
        <v>66</v>
      </c>
      <c r="FI99" s="219"/>
      <c r="FJ99" s="219"/>
      <c r="FK99" s="219"/>
      <c r="FL99" s="218"/>
      <c r="FM99" s="942" t="s">
        <v>67</v>
      </c>
      <c r="FN99" s="217" t="s">
        <v>68</v>
      </c>
      <c r="FO99" s="219"/>
      <c r="FP99" s="219"/>
      <c r="FQ99" s="219"/>
      <c r="FR99" s="218"/>
      <c r="FS99" s="942" t="s">
        <v>69</v>
      </c>
      <c r="FT99" s="946" t="s">
        <v>70</v>
      </c>
      <c r="FU99" s="946" t="s">
        <v>71</v>
      </c>
      <c r="FV99" s="946" t="s">
        <v>72</v>
      </c>
      <c r="FW99" s="946" t="s">
        <v>73</v>
      </c>
      <c r="FX99" s="946" t="s">
        <v>74</v>
      </c>
      <c r="FY99" s="946" t="s">
        <v>75</v>
      </c>
      <c r="FZ99" s="217" t="s">
        <v>76</v>
      </c>
      <c r="GA99" s="217"/>
      <c r="GB99" s="942" t="s">
        <v>77</v>
      </c>
      <c r="GC99" s="217" t="s">
        <v>78</v>
      </c>
      <c r="GD99" s="218"/>
      <c r="GE99" s="217" t="s">
        <v>79</v>
      </c>
      <c r="GF99" s="218"/>
      <c r="GG99" s="942" t="s">
        <v>80</v>
      </c>
      <c r="GH99" s="942" t="s">
        <v>81</v>
      </c>
      <c r="GI99" s="942" t="s">
        <v>82</v>
      </c>
      <c r="GJ99" s="942" t="s">
        <v>42</v>
      </c>
      <c r="GK99" s="942" t="s">
        <v>43</v>
      </c>
      <c r="GL99" s="942" t="s">
        <v>44</v>
      </c>
      <c r="GM99" s="944" t="s">
        <v>45</v>
      </c>
      <c r="GO99" s="935" t="s">
        <v>83</v>
      </c>
      <c r="GP99" s="1119"/>
      <c r="GQ99" s="934" t="s">
        <v>84</v>
      </c>
      <c r="GR99" s="938"/>
      <c r="GS99" s="938"/>
      <c r="GT99" s="938"/>
      <c r="GU99" s="939"/>
      <c r="GV99" s="925" t="s">
        <v>85</v>
      </c>
      <c r="GW99" s="924" t="s">
        <v>86</v>
      </c>
      <c r="GX99" s="1121"/>
      <c r="GY99" s="1121"/>
      <c r="GZ99" s="1121"/>
      <c r="HA99" s="1119"/>
      <c r="HB99" s="936" t="s">
        <v>87</v>
      </c>
      <c r="HC99" s="934" t="s">
        <v>88</v>
      </c>
      <c r="HD99" s="938"/>
      <c r="HE99" s="938"/>
      <c r="HF99" s="938"/>
      <c r="HG99" s="939"/>
      <c r="HH99" s="940" t="s">
        <v>89</v>
      </c>
      <c r="HI99" s="91"/>
      <c r="HJ99" s="1122" t="s">
        <v>695</v>
      </c>
      <c r="HK99" s="1122" t="s">
        <v>696</v>
      </c>
      <c r="HL99" s="91"/>
      <c r="HM99" s="1113" t="s">
        <v>70</v>
      </c>
      <c r="HN99" s="1115" t="s">
        <v>71</v>
      </c>
      <c r="HO99" s="1117" t="s">
        <v>72</v>
      </c>
      <c r="HP99" s="1111" t="s">
        <v>835</v>
      </c>
      <c r="HQ99" s="930" t="s">
        <v>836</v>
      </c>
      <c r="HR99" s="932" t="s">
        <v>837</v>
      </c>
      <c r="HS99" s="1099" t="s">
        <v>835</v>
      </c>
      <c r="HT99" s="1101" t="s">
        <v>836</v>
      </c>
      <c r="HU99" s="1103" t="s">
        <v>837</v>
      </c>
      <c r="HV99" s="1099" t="s">
        <v>835</v>
      </c>
      <c r="HW99" s="1101" t="s">
        <v>836</v>
      </c>
      <c r="HX99" s="1103" t="s">
        <v>837</v>
      </c>
      <c r="HY99" s="928" t="s">
        <v>835</v>
      </c>
      <c r="HZ99" s="930" t="s">
        <v>836</v>
      </c>
      <c r="IA99" s="932" t="s">
        <v>837</v>
      </c>
      <c r="IB99" s="1099" t="s">
        <v>835</v>
      </c>
      <c r="IC99" s="1101" t="s">
        <v>836</v>
      </c>
      <c r="ID99" s="1103" t="s">
        <v>837</v>
      </c>
      <c r="IE99" s="1105" t="s">
        <v>70</v>
      </c>
      <c r="IF99" s="1107" t="s">
        <v>71</v>
      </c>
      <c r="IG99" s="1109" t="s">
        <v>72</v>
      </c>
      <c r="IH99" s="53"/>
      <c r="II99" s="1093" t="s">
        <v>698</v>
      </c>
      <c r="IJ99" s="1095" t="s">
        <v>74</v>
      </c>
      <c r="IK99" s="1097" t="s">
        <v>75</v>
      </c>
      <c r="IL99" s="1085" t="s">
        <v>73</v>
      </c>
      <c r="IM99" s="1087" t="s">
        <v>74</v>
      </c>
      <c r="IN99" s="1089" t="s">
        <v>75</v>
      </c>
      <c r="IO99" s="1085" t="s">
        <v>73</v>
      </c>
      <c r="IP99" s="1087" t="s">
        <v>74</v>
      </c>
      <c r="IQ99" s="1091" t="s">
        <v>75</v>
      </c>
      <c r="IR99" s="1085" t="s">
        <v>73</v>
      </c>
      <c r="IS99" s="1087" t="s">
        <v>74</v>
      </c>
      <c r="IT99" s="1089" t="s">
        <v>75</v>
      </c>
      <c r="IU99" s="1079" t="s">
        <v>348</v>
      </c>
      <c r="IV99" s="1081" t="s">
        <v>74</v>
      </c>
      <c r="IW99" s="1083" t="s">
        <v>75</v>
      </c>
      <c r="IX99" s="1085" t="s">
        <v>73</v>
      </c>
      <c r="IY99" s="1087" t="s">
        <v>74</v>
      </c>
      <c r="IZ99" s="1089" t="s">
        <v>75</v>
      </c>
      <c r="JA99" s="1068" t="s">
        <v>73</v>
      </c>
      <c r="JB99" s="1070" t="s">
        <v>74</v>
      </c>
      <c r="JC99" s="1072" t="s">
        <v>75</v>
      </c>
      <c r="JD99" s="1074" t="s">
        <v>145</v>
      </c>
      <c r="JE99" s="53"/>
      <c r="JF99" s="1055" t="s">
        <v>144</v>
      </c>
      <c r="JG99" s="1077" t="s">
        <v>315</v>
      </c>
      <c r="JH99" s="1058" t="s">
        <v>148</v>
      </c>
      <c r="JI99" s="1058" t="s">
        <v>556</v>
      </c>
      <c r="JJ99" s="1060" t="s">
        <v>834</v>
      </c>
      <c r="JK99" s="1062" t="s">
        <v>126</v>
      </c>
      <c r="JL99" s="1064" t="s">
        <v>127</v>
      </c>
      <c r="JM99" s="1066" t="s">
        <v>128</v>
      </c>
      <c r="JN99" s="53"/>
      <c r="JO99" s="1055" t="s">
        <v>154</v>
      </c>
      <c r="JP99" s="1056" t="s">
        <v>557</v>
      </c>
      <c r="JQ99" s="1057" t="s">
        <v>316</v>
      </c>
      <c r="JR99" s="1053" t="s">
        <v>133</v>
      </c>
      <c r="JS99" s="1052" t="s">
        <v>124</v>
      </c>
      <c r="JT99" s="1053" t="s">
        <v>132</v>
      </c>
      <c r="JU99" s="1052" t="s">
        <v>123</v>
      </c>
      <c r="JV99" s="1053" t="s">
        <v>129</v>
      </c>
      <c r="JW99" s="1052" t="s">
        <v>149</v>
      </c>
      <c r="JX99" s="1054"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832</v>
      </c>
      <c r="KU99" s="359" t="s">
        <v>774</v>
      </c>
      <c r="KV99" s="359" t="s">
        <v>773</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753</v>
      </c>
      <c r="AB100" s="552"/>
      <c r="AC100" s="552" t="s">
        <v>1078</v>
      </c>
      <c r="AD100" s="552"/>
      <c r="AE100" s="552" t="s">
        <v>1077</v>
      </c>
      <c r="AF100" s="552"/>
      <c r="AG100" s="552" t="s">
        <v>1145</v>
      </c>
      <c r="AH100" s="552"/>
      <c r="AI100" s="552" t="s">
        <v>1077</v>
      </c>
      <c r="AJ100" s="555"/>
      <c r="AK100" s="556"/>
      <c r="AL100" s="557"/>
      <c r="AM100" s="557"/>
      <c r="AN100" s="554"/>
      <c r="AO100" s="554"/>
      <c r="AP100" s="554"/>
      <c r="AQ100" s="554"/>
      <c r="AR100" s="554"/>
      <c r="AS100" s="93"/>
      <c r="AT100" s="1132"/>
      <c r="AU100" s="996"/>
      <c r="AV100" s="996"/>
      <c r="AW100" s="996"/>
      <c r="AX100" s="996"/>
      <c r="AY100" s="996"/>
      <c r="AZ100" s="996"/>
      <c r="BA100" s="977"/>
      <c r="BB100" s="980"/>
      <c r="BC100" s="998"/>
      <c r="BD100" s="208">
        <v>36</v>
      </c>
      <c r="BE100" s="209">
        <v>48</v>
      </c>
      <c r="BF100" s="209">
        <v>60</v>
      </c>
      <c r="BG100" s="209">
        <v>72</v>
      </c>
      <c r="BH100" s="869" t="s">
        <v>1064</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87"/>
      <c r="BY100" s="208">
        <v>24</v>
      </c>
      <c r="BZ100" s="209">
        <v>36</v>
      </c>
      <c r="CA100" s="209">
        <v>48</v>
      </c>
      <c r="CB100" s="209">
        <v>60</v>
      </c>
      <c r="CC100" s="209">
        <v>72</v>
      </c>
      <c r="CD100" s="209">
        <v>24</v>
      </c>
      <c r="CE100" s="209">
        <v>36</v>
      </c>
      <c r="CF100" s="209">
        <v>39</v>
      </c>
      <c r="CG100" s="209">
        <v>48</v>
      </c>
      <c r="CH100" s="211">
        <v>60</v>
      </c>
      <c r="CI100" s="972"/>
      <c r="CJ100" s="974"/>
      <c r="CK100" s="215">
        <v>36</v>
      </c>
      <c r="CL100" s="215">
        <v>48</v>
      </c>
      <c r="CM100" s="215">
        <v>60</v>
      </c>
      <c r="CN100" s="215">
        <v>72</v>
      </c>
      <c r="CO100" s="870" t="s">
        <v>1064</v>
      </c>
      <c r="CP100" s="959"/>
      <c r="CQ100" s="215">
        <v>36</v>
      </c>
      <c r="CR100" s="215">
        <v>48</v>
      </c>
      <c r="CS100" s="215">
        <v>60</v>
      </c>
      <c r="CT100" s="215">
        <v>72</v>
      </c>
      <c r="CU100" s="215" t="s">
        <v>1064</v>
      </c>
      <c r="CV100" s="959"/>
      <c r="CW100" s="215">
        <v>24</v>
      </c>
      <c r="CX100" s="215">
        <v>36</v>
      </c>
      <c r="CY100" s="215">
        <v>39</v>
      </c>
      <c r="CZ100" s="215">
        <v>48</v>
      </c>
      <c r="DA100" s="215">
        <v>60</v>
      </c>
      <c r="DB100" s="959"/>
      <c r="DC100" s="215" t="s">
        <v>97</v>
      </c>
      <c r="DD100" s="215" t="s">
        <v>98</v>
      </c>
      <c r="DE100" s="215" t="s">
        <v>99</v>
      </c>
      <c r="DF100" s="959"/>
      <c r="DG100" s="959"/>
      <c r="DH100" s="959"/>
      <c r="DI100" s="959"/>
      <c r="DJ100" s="959"/>
      <c r="DK100" s="215" t="s">
        <v>98</v>
      </c>
      <c r="DL100" s="215" t="s">
        <v>99</v>
      </c>
      <c r="DM100" s="959"/>
      <c r="DN100" s="570" t="s">
        <v>100</v>
      </c>
      <c r="DO100" s="570" t="s">
        <v>101</v>
      </c>
      <c r="DP100" s="570" t="s">
        <v>102</v>
      </c>
      <c r="DQ100" s="570" t="s">
        <v>103</v>
      </c>
      <c r="DR100" s="570" t="s">
        <v>104</v>
      </c>
      <c r="DS100" s="570" t="s">
        <v>105</v>
      </c>
      <c r="DT100" s="570" t="s">
        <v>106</v>
      </c>
      <c r="DU100" s="570" t="s">
        <v>107</v>
      </c>
      <c r="DV100" s="570" t="s">
        <v>108</v>
      </c>
      <c r="DW100" s="216" t="s">
        <v>109</v>
      </c>
      <c r="DX100" s="576"/>
      <c r="DY100" s="964"/>
      <c r="DZ100" s="572" t="s">
        <v>110</v>
      </c>
      <c r="EA100" s="572" t="s">
        <v>111</v>
      </c>
      <c r="EB100" s="220">
        <v>24</v>
      </c>
      <c r="EC100" s="220">
        <v>36</v>
      </c>
      <c r="ED100" s="220">
        <v>48</v>
      </c>
      <c r="EE100" s="220">
        <v>60</v>
      </c>
      <c r="EF100" s="220">
        <v>72</v>
      </c>
      <c r="EG100" s="943"/>
      <c r="EH100" s="220">
        <v>24</v>
      </c>
      <c r="EI100" s="220">
        <v>36</v>
      </c>
      <c r="EJ100" s="220">
        <v>48</v>
      </c>
      <c r="EK100" s="220">
        <v>60</v>
      </c>
      <c r="EL100" s="220">
        <v>72</v>
      </c>
      <c r="EM100" s="943"/>
      <c r="EN100" s="220">
        <v>24</v>
      </c>
      <c r="EO100" s="220">
        <v>36</v>
      </c>
      <c r="EP100" s="221">
        <v>39</v>
      </c>
      <c r="EQ100" s="221">
        <v>48</v>
      </c>
      <c r="ER100" s="221">
        <v>60</v>
      </c>
      <c r="ES100" s="943"/>
      <c r="ET100" s="943"/>
      <c r="EU100" s="947"/>
      <c r="EV100" s="571" t="s">
        <v>110</v>
      </c>
      <c r="EW100" s="571" t="s">
        <v>111</v>
      </c>
      <c r="EX100" s="947"/>
      <c r="EY100" s="947"/>
      <c r="EZ100" s="947"/>
      <c r="FA100" s="943"/>
      <c r="FB100" s="221">
        <v>24</v>
      </c>
      <c r="FC100" s="221">
        <v>36</v>
      </c>
      <c r="FD100" s="221">
        <v>48</v>
      </c>
      <c r="FE100" s="221">
        <v>60</v>
      </c>
      <c r="FF100" s="221">
        <v>72</v>
      </c>
      <c r="FG100" s="943"/>
      <c r="FH100" s="221">
        <v>24</v>
      </c>
      <c r="FI100" s="221">
        <v>36</v>
      </c>
      <c r="FJ100" s="221">
        <v>48</v>
      </c>
      <c r="FK100" s="221">
        <v>60</v>
      </c>
      <c r="FL100" s="221" t="s">
        <v>112</v>
      </c>
      <c r="FM100" s="943"/>
      <c r="FN100" s="221">
        <v>24</v>
      </c>
      <c r="FO100" s="221">
        <v>36</v>
      </c>
      <c r="FP100" s="221" t="s">
        <v>113</v>
      </c>
      <c r="FQ100" s="221" t="s">
        <v>114</v>
      </c>
      <c r="FR100" s="221" t="s">
        <v>115</v>
      </c>
      <c r="FS100" s="943"/>
      <c r="FT100" s="947"/>
      <c r="FU100" s="947"/>
      <c r="FV100" s="947"/>
      <c r="FW100" s="947"/>
      <c r="FX100" s="947"/>
      <c r="FY100" s="947"/>
      <c r="FZ100" s="572" t="s">
        <v>116</v>
      </c>
      <c r="GA100" s="572" t="s">
        <v>117</v>
      </c>
      <c r="GB100" s="943"/>
      <c r="GC100" s="222" t="s">
        <v>116</v>
      </c>
      <c r="GD100" s="222" t="s">
        <v>117</v>
      </c>
      <c r="GE100" s="222" t="s">
        <v>116</v>
      </c>
      <c r="GF100" s="222" t="s">
        <v>117</v>
      </c>
      <c r="GG100" s="943"/>
      <c r="GH100" s="943"/>
      <c r="GI100" s="943"/>
      <c r="GJ100" s="943"/>
      <c r="GK100" s="943"/>
      <c r="GL100" s="943"/>
      <c r="GM100" s="945"/>
      <c r="GO100" s="225" t="s">
        <v>118</v>
      </c>
      <c r="GP100" s="306" t="s">
        <v>119</v>
      </c>
      <c r="GQ100" s="227">
        <v>24</v>
      </c>
      <c r="GR100" s="227">
        <v>36</v>
      </c>
      <c r="GS100" s="227">
        <v>48</v>
      </c>
      <c r="GT100" s="227">
        <v>60</v>
      </c>
      <c r="GU100" s="227">
        <v>72</v>
      </c>
      <c r="GV100" s="1120"/>
      <c r="GW100" s="226">
        <v>24</v>
      </c>
      <c r="GX100" s="226">
        <v>36</v>
      </c>
      <c r="GY100" s="226">
        <v>48</v>
      </c>
      <c r="GZ100" s="226">
        <v>60</v>
      </c>
      <c r="HA100" s="226">
        <v>72</v>
      </c>
      <c r="HB100" s="937"/>
      <c r="HC100" s="227">
        <v>24</v>
      </c>
      <c r="HD100" s="227">
        <v>36</v>
      </c>
      <c r="HE100" s="228">
        <v>39</v>
      </c>
      <c r="HF100" s="228">
        <v>48</v>
      </c>
      <c r="HG100" s="228">
        <v>60</v>
      </c>
      <c r="HH100" s="941"/>
      <c r="HI100" s="93"/>
      <c r="HJ100" s="1123"/>
      <c r="HK100" s="1123"/>
      <c r="HL100" s="93"/>
      <c r="HM100" s="1114"/>
      <c r="HN100" s="1116"/>
      <c r="HO100" s="1118"/>
      <c r="HP100" s="1112"/>
      <c r="HQ100" s="931"/>
      <c r="HR100" s="933"/>
      <c r="HS100" s="1100"/>
      <c r="HT100" s="1102"/>
      <c r="HU100" s="1104"/>
      <c r="HV100" s="1100"/>
      <c r="HW100" s="1102"/>
      <c r="HX100" s="1104"/>
      <c r="HY100" s="929"/>
      <c r="HZ100" s="931"/>
      <c r="IA100" s="933"/>
      <c r="IB100" s="1100"/>
      <c r="IC100" s="1102"/>
      <c r="ID100" s="1104"/>
      <c r="IE100" s="1106"/>
      <c r="IF100" s="1108"/>
      <c r="IG100" s="1110"/>
      <c r="IH100" s="53"/>
      <c r="II100" s="1094"/>
      <c r="IJ100" s="1096"/>
      <c r="IK100" s="1098"/>
      <c r="IL100" s="1086"/>
      <c r="IM100" s="1088"/>
      <c r="IN100" s="1090"/>
      <c r="IO100" s="1086"/>
      <c r="IP100" s="1088"/>
      <c r="IQ100" s="1092"/>
      <c r="IR100" s="1086"/>
      <c r="IS100" s="1088"/>
      <c r="IT100" s="1090"/>
      <c r="IU100" s="1080"/>
      <c r="IV100" s="1082"/>
      <c r="IW100" s="1084"/>
      <c r="IX100" s="1086"/>
      <c r="IY100" s="1088"/>
      <c r="IZ100" s="1090"/>
      <c r="JA100" s="1069"/>
      <c r="JB100" s="1071"/>
      <c r="JC100" s="1073"/>
      <c r="JD100" s="1075"/>
      <c r="JE100" s="53"/>
      <c r="JF100" s="1076"/>
      <c r="JG100" s="1078"/>
      <c r="JH100" s="1059"/>
      <c r="JI100" s="1059"/>
      <c r="JJ100" s="1061"/>
      <c r="JK100" s="1063"/>
      <c r="JL100" s="1065"/>
      <c r="JM100" s="1067"/>
      <c r="JN100" s="53"/>
      <c r="JO100" s="1055"/>
      <c r="JP100" s="1056"/>
      <c r="JQ100" s="1057"/>
      <c r="JR100" s="1053"/>
      <c r="JS100" s="1052"/>
      <c r="JT100" s="1053"/>
      <c r="JU100" s="1052"/>
      <c r="JV100" s="1053"/>
      <c r="JW100" s="1052"/>
      <c r="JX100" s="1054"/>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750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22">
        <f>INDEX(Input!$1:$1048576,W$93,$C101*2+MIN($B101,1)+5)</f>
        <v>3.9E-2</v>
      </c>
      <c r="X101" s="367" t="str">
        <f>INDEX(Input!$1:$1048576,X$93,$C101*2+MIN($B101,1)+5)</f>
        <v>Y</v>
      </c>
      <c r="Y101" s="49">
        <f>INDEX(Input!$1:$1048576,Y$93,$C101*2+MIN($B101,1)+5)</f>
        <v>2943</v>
      </c>
      <c r="Z101" s="584">
        <f>INDEX(Input!$1:$1048576,Z$93,$C101*2+MIN($B101,1)+5)</f>
        <v>0</v>
      </c>
      <c r="AA101" s="49">
        <f>INDEX(Input!$1:$1048576,AA$93,$C101*2+MIN($B101,1)+5)</f>
        <v>0</v>
      </c>
      <c r="AB101" s="367">
        <f>INDEX(Input!$1:$1048576,AB$93,$C101*2+MIN($B101,1)+5)</f>
        <v>1</v>
      </c>
      <c r="AC101" s="49">
        <f>INDEX(Input!$1:$1048576,AC$93,$C101*2+MIN($B101,1)+5)</f>
        <v>1000</v>
      </c>
      <c r="AD101" s="367">
        <f>INDEX(Input!$1:$1048576,AD$93,$C101*2+MIN($B101,1)+5)</f>
        <v>0.35</v>
      </c>
      <c r="AE101" s="49">
        <f>INDEX(Input!$1:$1048576,AE$93,$C101*2+MIN($B101,1)+5)</f>
        <v>0</v>
      </c>
      <c r="AF101" s="367">
        <f>INDEX(Input!$1:$1048576,AF$93,$C101*2+MIN($B101,1)+5)</f>
        <v>1</v>
      </c>
      <c r="AG101" s="49">
        <f>INDEX(Input!$1:$1048576,AG$93,$C101*2+MIN($B101,1)+5)</f>
        <v>500</v>
      </c>
      <c r="AH101" s="367">
        <f>INDEX(Input!$1:$1048576,AH$93,$C101*2+MIN($B101,1)+5)</f>
        <v>1</v>
      </c>
      <c r="AI101" s="49">
        <f>INDEX(Input!$1:$1048576,AI$93,$C101*2+MIN($B101,1)+5)</f>
        <v>500</v>
      </c>
      <c r="AJ101" s="367">
        <f>INDEX(Input!$1:$1048576,AJ$93,$C101*2+MIN($B101,1)+5)</f>
        <v>0.35</v>
      </c>
      <c r="AK101" s="298">
        <f>ROUND(INDEX(Input!$1:$1048576,AK$93,$C101*2+MIN($B101,1)+5),0)</f>
        <v>5599</v>
      </c>
      <c r="AL101" s="49">
        <f>ROUND(INDEX(Input!$1:$1048576,AL$93,$C101*2+MIN($B101,1)+5),0)</f>
        <v>5599</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+ 0/0/0/1.9/3.9</v>
      </c>
      <c r="AO101" s="44" t="str">
        <f>IF(S101="market","std",ROUND(S101*1000,0)/10)&amp;"/"&amp;IF(T101="market","std",ROUND(T101*1000,0)/10)&amp;"/"&amp;IF(U101="market","std",ROUND(U101*1000,0)/10)&amp;"/"&amp;IF(V101="market","std",ROUND(V101*1000,0)/10)&amp;IF(X101="N","","/"&amp;IF(W101="market","std",ROUND(W101*1000,0)/10))</f>
        <v>0/0/0/1.9/3.9</v>
      </c>
      <c r="AP101" s="868"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0/0.9/1.9/3.9</v>
      </c>
      <c r="AQ101" s="507">
        <f t="shared" ref="AQ101:AQ164" si="39">SUM(IE101,G101*IF101,H101*IG101,AC101*AD101,AE101*AF101,AI101)</f>
        <v>850.15848670756645</v>
      </c>
      <c r="AR101" s="44"/>
      <c r="AS101" s="368"/>
      <c r="AT101" s="579">
        <v>1</v>
      </c>
      <c r="AU101" s="45" t="s">
        <v>121</v>
      </c>
      <c r="AV101" s="45" t="s">
        <v>116</v>
      </c>
      <c r="AW101" s="45" t="str">
        <f>INDEX(Input!$1:$1048576,AW$93,$C101*2+6)</f>
        <v>Kia</v>
      </c>
      <c r="AX101" s="45" t="str">
        <f>INDEX(Input!$1:$1048576,AX$93,$C101*2+6)</f>
        <v>Kia-LR - L1</v>
      </c>
      <c r="AY101" s="10" t="str">
        <f>IF(LEN(D101)=0,"",INDEX(Input!$1:$1048576,AY$93,$C101*2+6))</f>
        <v>Compact Conventional/Sporty Car (43)</v>
      </c>
      <c r="AZ101" s="45" t="str">
        <f>INDEX(Input!$1:$1048576,AZ$93,$C101*2+6)</f>
        <v>Kia Forte</v>
      </c>
      <c r="BA101" s="50">
        <f>INDEX(Input!$1:$1048576,BA$93,$C101*2+6)</f>
        <v>2020</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19695</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E101+F101*I101+AA17*AB17+AC101*AD101</f>
        <v>1100</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Q101+G101*I101+AA101*AB101+AC101*AD101</f>
        <v>350</v>
      </c>
      <c r="CQ101" s="38">
        <f>S101</f>
        <v>0</v>
      </c>
      <c r="CR101" s="38">
        <f t="shared" ref="CR101:CU101" si="41">T101</f>
        <v>0</v>
      </c>
      <c r="CS101" s="38">
        <f t="shared" si="41"/>
        <v>0</v>
      </c>
      <c r="CT101" s="38">
        <f t="shared" si="41"/>
        <v>1.9E-2</v>
      </c>
      <c r="CU101" s="38">
        <f t="shared" si="41"/>
        <v>3.9E-2</v>
      </c>
      <c r="CV101" s="49">
        <f>Y101+H101*I101+AE101*AF101+AI101*AJ101</f>
        <v>3118</v>
      </c>
      <c r="CW101" s="22" t="s">
        <v>122</v>
      </c>
      <c r="CX101" s="22" t="s">
        <v>122</v>
      </c>
      <c r="CY101" s="22" t="s">
        <v>122</v>
      </c>
      <c r="CZ101" s="22" t="s">
        <v>122</v>
      </c>
      <c r="DA101" s="22" t="s">
        <v>122</v>
      </c>
      <c r="DB101" s="502">
        <f>Z101+AG101*AH101</f>
        <v>500</v>
      </c>
      <c r="DC101" s="29">
        <v>0</v>
      </c>
      <c r="DD101" s="29">
        <v>0</v>
      </c>
      <c r="DE101" s="29">
        <v>0</v>
      </c>
      <c r="DF101" s="49">
        <v>0</v>
      </c>
      <c r="DG101" s="49">
        <v>0</v>
      </c>
      <c r="DH101" s="49">
        <v>0</v>
      </c>
      <c r="DI101" s="49">
        <v>0</v>
      </c>
      <c r="DJ101" s="49">
        <v>0</v>
      </c>
      <c r="DK101" s="29">
        <v>0</v>
      </c>
      <c r="DL101" s="29">
        <v>0</v>
      </c>
      <c r="DM101" s="49">
        <f>INDEX(Input!$1:$1048576,DM$93,$C101*2+6)</f>
        <v>20731.578947368424</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1.3863907853720341E-2</v>
      </c>
      <c r="DZ101" s="37">
        <v>0</v>
      </c>
      <c r="EA101" s="37">
        <v>0.21856215341262439</v>
      </c>
      <c r="EB101" s="37">
        <v>0</v>
      </c>
      <c r="EC101" s="37">
        <v>0</v>
      </c>
      <c r="ED101" s="37">
        <v>0</v>
      </c>
      <c r="EE101" s="37">
        <v>0</v>
      </c>
      <c r="EF101" s="37">
        <v>0</v>
      </c>
      <c r="EG101" s="37">
        <v>0</v>
      </c>
      <c r="EH101" s="37">
        <v>1.9867163211649864E-2</v>
      </c>
      <c r="EI101" s="37">
        <v>3.5734944822064241E-2</v>
      </c>
      <c r="EJ101" s="37">
        <v>0.28104141462213039</v>
      </c>
      <c r="EK101" s="37">
        <v>0.62010092925970739</v>
      </c>
      <c r="EL101" s="37">
        <v>4.3255548084448148E-2</v>
      </c>
      <c r="EM101" s="37">
        <v>1.3801804615806169E-2</v>
      </c>
      <c r="EN101" s="37">
        <v>5.5147996525916392E-2</v>
      </c>
      <c r="EO101" s="37">
        <v>0.54334117986155328</v>
      </c>
      <c r="EP101" s="37">
        <v>0.31007127393148909</v>
      </c>
      <c r="EQ101" s="37">
        <v>5.3118751914307587E-2</v>
      </c>
      <c r="ER101" s="37">
        <v>3.8320797766733465E-2</v>
      </c>
      <c r="ES101" s="37">
        <v>0.75377213411784916</v>
      </c>
      <c r="ET101" s="37">
        <v>0.7675739387336552</v>
      </c>
      <c r="EU101" s="36">
        <v>1200</v>
      </c>
      <c r="EV101" s="36">
        <v>0</v>
      </c>
      <c r="EW101" s="36">
        <v>1200</v>
      </c>
      <c r="EX101" s="36">
        <v>0</v>
      </c>
      <c r="EY101" s="36">
        <v>2231.5502763133163</v>
      </c>
      <c r="EZ101" s="36">
        <v>4498</v>
      </c>
      <c r="FA101" s="36">
        <v>0</v>
      </c>
      <c r="FB101" s="36">
        <v>0</v>
      </c>
      <c r="FC101" s="36">
        <v>0</v>
      </c>
      <c r="FD101" s="36">
        <v>0</v>
      </c>
      <c r="FE101" s="36">
        <v>0</v>
      </c>
      <c r="FF101" s="36">
        <v>0</v>
      </c>
      <c r="FG101" s="36">
        <v>0</v>
      </c>
      <c r="FH101" s="36">
        <v>1152.1208270377822</v>
      </c>
      <c r="FI101" s="36">
        <v>1531.4299904380618</v>
      </c>
      <c r="FJ101" s="36">
        <v>2070.7205842538219</v>
      </c>
      <c r="FK101" s="36">
        <v>1746.9903521590431</v>
      </c>
      <c r="FL101" s="36">
        <v>893.91433563489363</v>
      </c>
      <c r="FM101" s="36">
        <v>1781.5502763133163</v>
      </c>
      <c r="FN101" s="36">
        <v>0</v>
      </c>
      <c r="FO101" s="36">
        <v>0</v>
      </c>
      <c r="FP101" s="36">
        <v>0</v>
      </c>
      <c r="FQ101" s="36">
        <v>0</v>
      </c>
      <c r="FR101" s="36">
        <v>0</v>
      </c>
      <c r="FS101" s="36">
        <v>0</v>
      </c>
      <c r="FT101" s="37">
        <v>0.23242606126634474</v>
      </c>
      <c r="FU101" s="37">
        <v>1.3801804615806169E-2</v>
      </c>
      <c r="FV101" s="37">
        <v>0.75377213411784916</v>
      </c>
      <c r="FW101" s="36">
        <v>1200</v>
      </c>
      <c r="FX101" s="36">
        <v>2231.5502763133163</v>
      </c>
      <c r="FY101" s="36">
        <v>4498</v>
      </c>
      <c r="FZ101" s="36">
        <v>3077.4375890575293</v>
      </c>
      <c r="GA101" s="36">
        <v>3700.1777536857239</v>
      </c>
      <c r="GB101" s="36">
        <v>15994.822246314276</v>
      </c>
      <c r="GC101" s="37">
        <v>7.0901643973087014E-2</v>
      </c>
      <c r="GD101" s="37">
        <v>7.6148954918618686E-2</v>
      </c>
      <c r="GE101" s="37"/>
      <c r="GF101" s="37"/>
      <c r="GG101" s="37">
        <v>7.4008311394351545E-2</v>
      </c>
      <c r="GH101" s="35">
        <v>2.3406129485513532</v>
      </c>
      <c r="GI101" s="36">
        <v>12114.640303843616</v>
      </c>
      <c r="GJ101" s="34">
        <v>0.51074630601039561</v>
      </c>
      <c r="GK101" s="34">
        <v>0.5082951978616097</v>
      </c>
      <c r="GL101" s="34">
        <v>0.48925369398960433</v>
      </c>
      <c r="GM101" s="33">
        <v>0.4917048021383903</v>
      </c>
      <c r="GN101" s="61"/>
      <c r="GO101" s="13">
        <v>338.16872463277008</v>
      </c>
      <c r="GP101" s="27">
        <v>315.27501390194027</v>
      </c>
      <c r="GQ101" s="27">
        <v>527.27910984145694</v>
      </c>
      <c r="GR101" s="27">
        <v>404.20319246551543</v>
      </c>
      <c r="GS101" s="27">
        <v>334.50205195691484</v>
      </c>
      <c r="GT101" s="27">
        <v>289.18266033348181</v>
      </c>
      <c r="GU101" s="27">
        <v>254.29573314828914</v>
      </c>
      <c r="GV101" s="29" t="s">
        <v>392</v>
      </c>
      <c r="GW101" s="27">
        <v>479.875</v>
      </c>
      <c r="GX101" s="27">
        <v>359.90625</v>
      </c>
      <c r="GY101" s="27">
        <v>287.92500000000001</v>
      </c>
      <c r="GZ101" s="27">
        <v>254.06342861438094</v>
      </c>
      <c r="HA101" s="27">
        <v>235.34107974463737</v>
      </c>
      <c r="HB101" s="29">
        <v>271.0386098019585</v>
      </c>
      <c r="HC101" s="27">
        <v>86.328124999999972</v>
      </c>
      <c r="HD101" s="27">
        <v>102.01032529239761</v>
      </c>
      <c r="HE101" s="27">
        <v>112.76211622807014</v>
      </c>
      <c r="HF101" s="27">
        <v>113.68692434210524</v>
      </c>
      <c r="HG101" s="27">
        <v>121.36326754385965</v>
      </c>
      <c r="HH101" s="12">
        <v>105.84117143195655</v>
      </c>
      <c r="HI101" s="94"/>
      <c r="HJ101" s="335" t="s">
        <v>353</v>
      </c>
      <c r="HK101" s="335" t="s">
        <v>353</v>
      </c>
      <c r="HL101" s="94"/>
      <c r="HM101" s="640">
        <f t="shared" ref="HM101:HM118" si="42">VLOOKUP($C101*1000+1,$A:$HH,FT$92,FALSE)*$JF101</f>
        <v>1.7699001661282989E-2</v>
      </c>
      <c r="HN101" s="22">
        <f t="shared" ref="HN101:HN118" si="43">VLOOKUP($C101*1000+1,$A:$HH,FU$92,FALSE)*$JF101</f>
        <v>1.0509929974846072E-3</v>
      </c>
      <c r="HO101" s="638">
        <f t="shared" ref="HO101:HO118" si="44">VLOOKUP($C101*1000+1,$A:$HH,FV$92,FALSE)*$JF101</f>
        <v>5.7398960259851091E-2</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 t="shared" ref="HV101:HV118" si="48">IL101/1000*0+IM101/1000*0+IN101/1000*0
+(CP101-INDEX(CP:CP,MATCH(C101*1000+1,A:A,0)))/1000*0+IF(FU101&gt;0,0,0)</f>
        <v>0</v>
      </c>
      <c r="HW101" s="650">
        <f t="shared" ref="HW101:HW118" si="49">IL101/1000*0+IM101/1000*0+IN101/1000*0
+(CP101-INDEX(CP:CP,MATCH(C101*1000+1,A:A,0)))/1000*0+IF(FU101&gt;0,0,0)</f>
        <v>0</v>
      </c>
      <c r="HX101" s="651">
        <f t="shared" ref="HX101:HX118" si="50">IL101/1000*0+IM101/1000*0+IN101/1000*0
+(CP101-INDEX(CP:CP,MATCH(C101*1000+1,A:A,0)))/1000*0+IF(FU101&gt;0,0,0)</f>
        <v>0</v>
      </c>
      <c r="HY101" s="641">
        <f>INDEX(Input!$1:$1048576,HY$93,$C101*2+6)*INDEX(Input!$1:$1048576,$JG$93,$C101*2+6)</f>
        <v>154.99999999999997</v>
      </c>
      <c r="HZ101" s="641">
        <f>INDEX(Input!$1:$1048576,HZ$93,$C101*2+6)*INDEX(Input!$1:$1048576,$JG$93,$C101*2+6)</f>
        <v>140</v>
      </c>
      <c r="IA101" s="642">
        <f>INDEX(Input!$1:$1048576,IA$93,$C101*2+6)*INDEX(Input!$1:$1048576,$JG$93,$C101*2+6)</f>
        <v>683</v>
      </c>
      <c r="IB101" s="649">
        <f>SUM(HP101:IA101)-IC101-ID101</f>
        <v>155</v>
      </c>
      <c r="IC101" s="650">
        <f>IF(FU101=0,0,1)*MAX(HZ101+HQ101+HT101+HW101,0%)</f>
        <v>140</v>
      </c>
      <c r="ID101" s="651">
        <f>IF(AND(INDEX(Input!$1:$1048576,IA$93,$C101*2+7)="TOS",Y101&lt;=INDEX(Y:Y,MATCH(C101*1000+2,A:A))),0,1)*MAX(IA101+HR101+HU101+HX101,0%)</f>
        <v>683</v>
      </c>
      <c r="IE101" s="129">
        <f>IB101/SUM($IB101:$ID101)</f>
        <v>0.15848670756646216</v>
      </c>
      <c r="IF101" s="652">
        <f t="shared" ref="IF101:IF111" si="51">IC101/SUM($IB101:$ID101)</f>
        <v>0.14314928425357873</v>
      </c>
      <c r="IG101" s="653">
        <f t="shared" ref="IG101:IG111" si="52">ID101/SUM($IB101:$ID101)</f>
        <v>0.69836400817995914</v>
      </c>
      <c r="IH101" s="95"/>
      <c r="II101" s="298">
        <f t="shared" ref="II101:II118" si="53">VLOOKUP($C101*1000+1,$A:$HH,FW$92,FALSE)-VLOOKUP($C101*1000+1,$A:$HH,FA$92,FALSE)*VLOOKUP($C101*1000+1,$A:$HH,DZ$92,FALSE)/VLOOKUP($C101*1000+1,$A:$HH,FT$92,FALSE)</f>
        <v>1200</v>
      </c>
      <c r="IJ101" s="49">
        <f t="shared" ref="IJ101:IJ118" si="54">VLOOKUP($C101*1000+1,$A:$HH,FX$92,FALSE)</f>
        <v>2231.5502763133163</v>
      </c>
      <c r="IK101" s="40">
        <f t="shared" ref="IK101:IK118" si="55">VLOOKUP($C101*1000+1,$A:$HH,FY$92,FALSE)</f>
        <v>4498</v>
      </c>
      <c r="IL101" s="298">
        <f>(FW101-FA101*DZ101/FT101)-II101</f>
        <v>0</v>
      </c>
      <c r="IM101" s="49">
        <f>FX101-IJ101</f>
        <v>0</v>
      </c>
      <c r="IN101" s="40">
        <f t="shared" ref="IM101:IN111" si="56">FY101-IK101</f>
        <v>0</v>
      </c>
      <c r="IO101" s="25">
        <f t="shared" ref="IO101:IO118" si="57">(F101-VLOOKUP($C101*1000+1,$A:$HH,F$92,FALSE))*(1-$I101)</f>
        <v>0</v>
      </c>
      <c r="IP101" s="29">
        <f t="shared" ref="IP101:IP118" si="58">(G101-VLOOKUP($C101*1000+1,$A:$HH,G$92,FALSE))*(1-$I101)</f>
        <v>0</v>
      </c>
      <c r="IQ101" s="29">
        <f t="shared" ref="IQ101:IQ118" si="59">(H101-VLOOKUP($C101*1000+1,$A:$HH,H$92,FALSE))*(1-$I101)</f>
        <v>0</v>
      </c>
      <c r="IR101" s="17">
        <v>0</v>
      </c>
      <c r="IS101" s="29">
        <v>0</v>
      </c>
      <c r="IT101" s="12">
        <v>0</v>
      </c>
      <c r="IU101" s="25">
        <v>0</v>
      </c>
      <c r="IV101" s="29">
        <v>0</v>
      </c>
      <c r="IW101" s="12">
        <v>0</v>
      </c>
      <c r="IX101" s="372">
        <f>INDEX(Input!$1:$1048576,IX$93,$C101*2+6)+INDEX(Input!$1:$1048576,IX$94,$C101*2+6)</f>
        <v>1600</v>
      </c>
      <c r="IY101" s="373">
        <f>INDEX(Input!$1:$1048576,IY$93,$C101*2+6)+INDEX(Input!$1:$1048576,IY$94,$C101*2+6)</f>
        <v>2503.5492916397525</v>
      </c>
      <c r="IZ101" s="374">
        <f>INDEX(Input!$1:$1048576,IZ$93,$C101*2+6)+INDEX(Input!$1:$1048576,IZ$94,$C101*2+6)</f>
        <v>6273.7109265464023</v>
      </c>
      <c r="JA101" s="298">
        <f>(IL101+IO101+IR101+IU101+IX101)</f>
        <v>1600</v>
      </c>
      <c r="JB101" s="49">
        <f>(IM101+IP101+IS101+IV101+IY101)</f>
        <v>2503.5492916397525</v>
      </c>
      <c r="JC101" s="49">
        <f>(IN101+IQ101+IT101+IW101+IZ101)</f>
        <v>6273.7109265464023</v>
      </c>
      <c r="JD101" s="40">
        <f>SUMPRODUCT(IE101:IG101,JA101:JC101)</f>
        <v>4993.2939301234746</v>
      </c>
      <c r="JE101" s="95"/>
      <c r="JF101" s="28">
        <f t="shared" ref="JF101:JF118" si="60">VLOOKUP($C101*1000+1,$A:$HH,GD$92,FALSE)</f>
        <v>7.6148954918618686E-2</v>
      </c>
      <c r="JG101" s="23">
        <f>INDEX(Input!$1:$1048576,JG$93,$C101*2+6)/(1+VLOOKUP(C101*1000+INDEX(Input!$1:$1048576,JG$93+1,$C101*2+6),$A:$KK,$JK$92,FALSE))</f>
        <v>978</v>
      </c>
      <c r="JH101" s="38">
        <f>SUM(HP101:HR101)/SUM(HY101:IA101)</f>
        <v>0</v>
      </c>
      <c r="JI101" s="38">
        <f>SUM(HS101:HU101)/SUM(HY101:IA101)</f>
        <v>0</v>
      </c>
      <c r="JJ101" s="11">
        <f>SUM(HV101:HX101)/SUM(HY101:IA101)</f>
        <v>0</v>
      </c>
      <c r="JK101" s="2">
        <f>SUM(JH101:JJ101)</f>
        <v>0</v>
      </c>
      <c r="JL101" s="9">
        <f>JG101*JK101</f>
        <v>0</v>
      </c>
      <c r="JM101" s="8">
        <f>JG101+JL101</f>
        <v>978</v>
      </c>
      <c r="JN101" s="95"/>
      <c r="JO101" s="375">
        <f>INDEX(Input!$1:$1048576,JO$93,$C101*2+6)</f>
        <v>5908.5</v>
      </c>
      <c r="JP101" s="375">
        <f>INDEX(Input!$1:$1048576,JP$93,$C101*2+6)</f>
        <v>4993.2939301234746</v>
      </c>
      <c r="JQ101" s="25">
        <f>JO101-JD101</f>
        <v>915.20606987652536</v>
      </c>
      <c r="JR101" s="29">
        <f t="shared" ref="JR101:JR111" si="61">JD101-JP101</f>
        <v>0</v>
      </c>
      <c r="JS101" s="29">
        <f t="shared" ref="JS101:JS111" si="62">JM101*JD101/1000000</f>
        <v>4.8834414636607582</v>
      </c>
      <c r="JT101" s="29">
        <f>(JD101*JM101-JP101*JG101)/1000000</f>
        <v>0</v>
      </c>
      <c r="JU101" s="376">
        <f>(JQ101*JM101-INDEX(Input!$1:$1048576,Input!A$18,$C101*2+6)*JL101*INDEX(Input!$1:$1048576,Input!A$19,$C101*2+6))/1000000</f>
        <v>0.89507153633924175</v>
      </c>
      <c r="JV101" s="29">
        <f t="shared" ref="JV101:JV111" si="63">JU101-(JO101-JP101)*JG101/1000000</f>
        <v>0</v>
      </c>
      <c r="JW101" s="38">
        <f>JV101/(JU101-JV101)</f>
        <v>0</v>
      </c>
      <c r="JX101" s="40">
        <f>IF(JL101=0,0,JT101/JL101)*1000000</f>
        <v>0</v>
      </c>
      <c r="JZ101" s="377"/>
      <c r="KA101" s="378"/>
      <c r="KB101" s="474">
        <f>KA106</f>
        <v>3.2656316020464753</v>
      </c>
      <c r="KC101" s="379"/>
      <c r="KD101" s="379"/>
      <c r="KE101" s="379"/>
      <c r="KF101" s="379"/>
      <c r="KG101" s="380"/>
      <c r="KI101" s="381"/>
      <c r="KJ101" s="379"/>
      <c r="KK101" s="379"/>
      <c r="KL101" s="380"/>
      <c r="KN101" s="656">
        <f>C101*1000+$KN$97</f>
        <v>1002</v>
      </c>
      <c r="KO101" s="657">
        <f t="shared" ref="KO101:KO118" si="64">JM101/INDEX(JM:JM,MATCH(KN101,A:A,0))-1</f>
        <v>-7.5710006423020393E-2</v>
      </c>
      <c r="KP101" s="658">
        <f t="shared" ref="KP101:KP118" si="65">(IL101-INDEX(IL:IL,MATCH(KN101,A:A,0)))*IE101
+(IM101-IF(HN101=0,INDEX(IX:IX,MATCH(KN101,A:A,0)),INDEX(IM:IM,MATCH(KN101,A:A,0))))*IF101
+(IN101-INDEX(IN:IN,MATCH(KN101,A:A,0)))*IG101</f>
        <v>-347.62269938650235</v>
      </c>
      <c r="KQ101" s="658">
        <f t="shared" ref="KQ101:KQ118" si="66">JD101-INDEX(JD:JD,MATCH(KN101,A:A,0))</f>
        <v>-361.1599698519658</v>
      </c>
      <c r="KR101" s="659">
        <f t="shared" ref="KR101:KR118" si="67">KO101/(KP101/(BX101-INDEX(JD:JD,MATCH(KN101,A:A,0))))</f>
        <v>3.1232794614926012</v>
      </c>
      <c r="KS101" s="659">
        <f t="shared" ref="KS101:KS118" si="68">KO101/(KQ101/(BX101-INDEX(JD:JD,MATCH(KN101,A:A,0))))</f>
        <v>3.0062103443731631</v>
      </c>
      <c r="KT101" s="661">
        <f>(1+JK106/(JD106-JD101)*(0-JD101))*JM101</f>
        <v>-82.310573396665475</v>
      </c>
      <c r="KU101" s="662">
        <f>IF(D101="",0,IFERROR((JM101/KT101-1)/(JD101/BX101)+B101*10^-6,0))</f>
        <v>-50.8096625010499</v>
      </c>
      <c r="KV101" s="660"/>
      <c r="KW101" s="26"/>
    </row>
    <row r="102" spans="1:310" s="60" customFormat="1" ht="15.75" thickBot="1">
      <c r="A102" s="560">
        <f t="shared" ref="A102:A106" si="69">C102*1000+B102</f>
        <v>1002</v>
      </c>
      <c r="B102" s="560">
        <f>B101+1</f>
        <v>2</v>
      </c>
      <c r="C102" s="560">
        <f>C101</f>
        <v>1</v>
      </c>
      <c r="D102" s="560" t="s">
        <v>567</v>
      </c>
      <c r="E102" s="365">
        <f>INDEX(Input!$1:$1048576,E$93,$C102*2+MIN($B102,2)+5)</f>
        <v>1250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22">
        <f>INDEX(Input!$1:$1048576,W$93,$C102*2+MIN($B102,2)+5)</f>
        <v>3.9E-2</v>
      </c>
      <c r="X102" s="367" t="str">
        <f>INDEX(Input!$1:$1048576,X$93,$C102*2+MIN($B102,2)+5)</f>
        <v>Y</v>
      </c>
      <c r="Y102" s="49">
        <f>INDEX(Input!$1:$1048576,Y$93,$C102*2+MIN($B102,2)+5)</f>
        <v>2826</v>
      </c>
      <c r="Z102" s="584">
        <f>INDEX(Input!$1:$1048576,Z$93,$C102*2+MIN($B102,2)+5)</f>
        <v>0</v>
      </c>
      <c r="AA102" s="49">
        <f>INDEX(Input!$1:$1048576,AA$93,$C102*2+MIN($B102,2)+5)</f>
        <v>0</v>
      </c>
      <c r="AB102" s="367">
        <f>INDEX(Input!$1:$1048576,AB$93,$C102*2+MIN($B102,2)+5)</f>
        <v>1</v>
      </c>
      <c r="AC102" s="49">
        <f>INDEX(Input!$1:$1048576,AC$93,$C102*2+MIN($B102,2)+5)</f>
        <v>0</v>
      </c>
      <c r="AD102" s="367">
        <f>INDEX(Input!$1:$1048576,AD$93,$C102*2+MIN($B102,2)+5)</f>
        <v>0.35</v>
      </c>
      <c r="AE102" s="49">
        <f>INDEX(Input!$1:$1048576,AE$93,$C102*2+MIN($B102,2)+5)</f>
        <v>0</v>
      </c>
      <c r="AF102" s="367">
        <f>INDEX(Input!$1:$1048576,AF$93,$C102*2+MIN($B102,2)+5)</f>
        <v>1</v>
      </c>
      <c r="AG102" s="49">
        <f>INDEX(Input!$1:$1048576,AG$93,$C102*2+MIN($B102,2)+5)</f>
        <v>0</v>
      </c>
      <c r="AH102" s="367">
        <f>INDEX(Input!$1:$1048576,AH$93,$C102*2+MIN($B102,2)+5)</f>
        <v>1</v>
      </c>
      <c r="AI102" s="49">
        <f>INDEX(Input!$1:$1048576,AI$93,$C102*2+MIN($B102,2)+5)</f>
        <v>0</v>
      </c>
      <c r="AJ102" s="367">
        <f>INDEX(Input!$1:$1048576,AJ$93,$C102*2+MIN($B102,2)+5)</f>
        <v>0.35</v>
      </c>
      <c r="AK102" s="298">
        <f>ROUND(INDEX(Input!$1:$1048576,AK$93,$C102*2+MIN($B102,2)+5),0)</f>
        <v>5482</v>
      </c>
      <c r="AL102" s="49">
        <f>ROUND(INDEX(Input!$1:$1048576,AL$93,$C101*2+6)-(Y102-VLOOKUP($C102*1000+1,$A:$HH,Y$92,FALSE))/36,0)</f>
        <v>5602</v>
      </c>
      <c r="AM102" s="46" t="str">
        <f t="shared" ref="AM102:AM105" si="70">IF(K102="market","std",ROUND(K102*1000,0)/10)&amp;"/"&amp;IF(L102="market","std",ROUND(L102*1000,0)/10)&amp;"/"&amp;IF(M102="market","std",ROUND(M102*1000,0)/10)&amp;"/"&amp;IF(N102="market","std",ROUND(N102*1000,0)/10)&amp;IF(P102="N","","/"&amp;IF(O102="market","std",ROUND(O102*1000,0)/10))</f>
        <v>std/std/std/std</v>
      </c>
      <c r="AN102" s="46" t="str">
        <f t="shared" ref="AN102:AN105" si="71">"$"&amp;ROUND(Q102,0)&amp;" + "&amp;IF(S102="market","std",ROUND(S102*1000,0)/10)&amp;"/"&amp;IF(T102="market","std",ROUND(T102*1000,0)/10)&amp;"/"&amp;IF(U102="market","std",ROUND(U102*1000,0)/10)&amp;"/"&amp;IF(V102="market","std",ROUND(V102*1000,0)/10)&amp;IF(X102="N","","/"&amp;IF(W102="market","std",ROUND(W102*1000,0)/10))</f>
        <v>$0 + 0/0/0/1.9/3.9</v>
      </c>
      <c r="AO102" s="44" t="str">
        <f t="shared" ref="AO102:AO105" si="72">IF(S102="market","std",ROUND(S102*1000,0)/10)&amp;"/"&amp;IF(T102="market","std",ROUND(T102*1000,0)/10)&amp;"/"&amp;IF(U102="market","std",ROUND(U102*1000,0)/10)&amp;"/"&amp;IF(V102="market","std",ROUND(V102*1000,0)/10)&amp;IF(X102="N","","/"&amp;IF(W102="market","std",ROUND(W102*1000,0)/10))</f>
        <v>0/0/0/1.9/3.9</v>
      </c>
      <c r="AP102" s="44" t="str">
        <f t="shared" ref="AP102:AP165" si="73">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0/0.9/1.9/3.9</v>
      </c>
      <c r="AQ102" s="507">
        <f t="shared" si="39"/>
        <v>0.1572391033170549</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Compact Conventional/Sporty Car (43)</v>
      </c>
      <c r="AZ102" s="45" t="str">
        <f>INDEX(Input!$1:$1048576,AZ$93,$C102*2+6)</f>
        <v>Kia Forte</v>
      </c>
      <c r="BA102" s="50">
        <f>INDEX(Input!$1:$1048576,BA$93,$C102*2+6)</f>
        <v>2020</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19695</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5" si="74">E102+F102*I102+AA18*AB18+AC102*AD102</f>
        <v>1250</v>
      </c>
      <c r="CJ102" s="46" t="str">
        <f>INDEX(Input!$1:$1048576,CJ$93,$C102*2+6)</f>
        <v>N</v>
      </c>
      <c r="CK102" s="38" t="str">
        <f t="shared" ref="CK102:CK165" si="75">K102</f>
        <v>Market</v>
      </c>
      <c r="CL102" s="38" t="str">
        <f t="shared" ref="CL102:CL165" si="76">L102</f>
        <v>Market</v>
      </c>
      <c r="CM102" s="38" t="str">
        <f t="shared" ref="CM102:CM165" si="77">M102</f>
        <v>Market</v>
      </c>
      <c r="CN102" s="38" t="str">
        <f t="shared" ref="CN102:CN165" si="78">N102</f>
        <v>Market</v>
      </c>
      <c r="CO102" s="38" t="str">
        <f t="shared" ref="CO102:CO165" si="79">O102</f>
        <v>Market</v>
      </c>
      <c r="CP102" s="49">
        <f t="shared" ref="CP102:CP165" si="80">Q102+G102*I102+AA102*AB102+AC102*AD102</f>
        <v>0</v>
      </c>
      <c r="CQ102" s="38">
        <f t="shared" ref="CQ102:CQ165" si="81">S102</f>
        <v>0</v>
      </c>
      <c r="CR102" s="38">
        <f t="shared" ref="CR102:CR165" si="82">T102</f>
        <v>0</v>
      </c>
      <c r="CS102" s="38">
        <f t="shared" ref="CS102:CS165" si="83">U102</f>
        <v>0</v>
      </c>
      <c r="CT102" s="38">
        <f t="shared" ref="CT102:CT165" si="84">V102</f>
        <v>1.9E-2</v>
      </c>
      <c r="CU102" s="38">
        <f t="shared" ref="CU102:CU165" si="85">W102</f>
        <v>3.9E-2</v>
      </c>
      <c r="CV102" s="49">
        <f t="shared" ref="CV102:CV165" si="86">Y102+H102*I102+AE102*AF102+AI102*AJ102</f>
        <v>2826</v>
      </c>
      <c r="CW102" s="22" t="s">
        <v>122</v>
      </c>
      <c r="CX102" s="22" t="s">
        <v>122</v>
      </c>
      <c r="CY102" s="22" t="s">
        <v>122</v>
      </c>
      <c r="CZ102" s="22" t="s">
        <v>122</v>
      </c>
      <c r="DA102" s="22" t="s">
        <v>122</v>
      </c>
      <c r="DB102" s="502">
        <f t="shared" ref="DB102:DB165" si="87">Z102+AG102*AH102</f>
        <v>0</v>
      </c>
      <c r="DC102" s="29">
        <v>0</v>
      </c>
      <c r="DD102" s="29">
        <v>0</v>
      </c>
      <c r="DE102" s="29">
        <v>0</v>
      </c>
      <c r="DF102" s="49">
        <v>0</v>
      </c>
      <c r="DG102" s="49">
        <v>0</v>
      </c>
      <c r="DH102" s="49">
        <v>0</v>
      </c>
      <c r="DI102" s="49">
        <v>0</v>
      </c>
      <c r="DJ102" s="49">
        <v>0</v>
      </c>
      <c r="DK102" s="29">
        <v>0</v>
      </c>
      <c r="DL102" s="29">
        <v>0</v>
      </c>
      <c r="DM102" s="49">
        <f>INDEX(Input!$1:$1048576,DM$93,$C102*2+6)</f>
        <v>20731.578947368424</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1.3901062774011642E-2</v>
      </c>
      <c r="DZ102" s="37">
        <v>0</v>
      </c>
      <c r="EA102" s="37">
        <v>0.2175136780680382</v>
      </c>
      <c r="EB102" s="37">
        <v>0</v>
      </c>
      <c r="EC102" s="37">
        <v>0</v>
      </c>
      <c r="ED102" s="37">
        <v>0</v>
      </c>
      <c r="EE102" s="37">
        <v>0</v>
      </c>
      <c r="EF102" s="37">
        <v>0</v>
      </c>
      <c r="EG102" s="37">
        <v>0</v>
      </c>
      <c r="EH102" s="37">
        <v>1.9867163211649868E-2</v>
      </c>
      <c r="EI102" s="37">
        <v>3.5734944822064241E-2</v>
      </c>
      <c r="EJ102" s="37">
        <v>0.28104141462213034</v>
      </c>
      <c r="EK102" s="37">
        <v>0.62010092925970717</v>
      </c>
      <c r="EL102" s="37">
        <v>4.3255548084448155E-2</v>
      </c>
      <c r="EM102" s="37">
        <v>1.3735595294455149E-2</v>
      </c>
      <c r="EN102" s="37">
        <v>5.6686594175933767E-2</v>
      </c>
      <c r="EO102" s="37">
        <v>0.54216995014193581</v>
      </c>
      <c r="EP102" s="37">
        <v>0.3117315538121922</v>
      </c>
      <c r="EQ102" s="37">
        <v>5.1954312326603497E-2</v>
      </c>
      <c r="ER102" s="37">
        <v>3.7457589543334752E-2</v>
      </c>
      <c r="ES102" s="37">
        <v>0.75484966386349484</v>
      </c>
      <c r="ET102" s="37">
        <v>0.76858525915795017</v>
      </c>
      <c r="EU102" s="36">
        <v>1600</v>
      </c>
      <c r="EV102" s="36">
        <v>0</v>
      </c>
      <c r="EW102" s="36">
        <v>1600</v>
      </c>
      <c r="EX102" s="36">
        <v>0</v>
      </c>
      <c r="EY102" s="36">
        <v>2631.5502763133163</v>
      </c>
      <c r="EZ102" s="36">
        <v>4822.9999999999991</v>
      </c>
      <c r="FA102" s="36">
        <v>0</v>
      </c>
      <c r="FB102" s="36">
        <v>0</v>
      </c>
      <c r="FC102" s="36">
        <v>0</v>
      </c>
      <c r="FD102" s="36">
        <v>0</v>
      </c>
      <c r="FE102" s="36">
        <v>0</v>
      </c>
      <c r="FF102" s="36">
        <v>0</v>
      </c>
      <c r="FG102" s="36">
        <v>0</v>
      </c>
      <c r="FH102" s="36">
        <v>1152.1208270377822</v>
      </c>
      <c r="FI102" s="36">
        <v>1531.4299904380621</v>
      </c>
      <c r="FJ102" s="36">
        <v>2070.7205842538215</v>
      </c>
      <c r="FK102" s="36">
        <v>1746.9903521590438</v>
      </c>
      <c r="FL102" s="36">
        <v>893.91433563489352</v>
      </c>
      <c r="FM102" s="36">
        <v>1781.5502763133161</v>
      </c>
      <c r="FN102" s="36">
        <v>0</v>
      </c>
      <c r="FO102" s="36">
        <v>0</v>
      </c>
      <c r="FP102" s="36">
        <v>0</v>
      </c>
      <c r="FQ102" s="36">
        <v>0</v>
      </c>
      <c r="FR102" s="36">
        <v>0</v>
      </c>
      <c r="FS102" s="36">
        <v>0</v>
      </c>
      <c r="FT102" s="37">
        <v>0.23141474084204985</v>
      </c>
      <c r="FU102" s="37">
        <v>1.3735595294455149E-2</v>
      </c>
      <c r="FV102" s="37">
        <v>0.75484966386349484</v>
      </c>
      <c r="FW102" s="36">
        <v>1599.9999999999998</v>
      </c>
      <c r="FX102" s="36">
        <v>2631.5502763133159</v>
      </c>
      <c r="FY102" s="36">
        <v>4822.9999999999991</v>
      </c>
      <c r="FZ102" s="36">
        <v>3077.4375890575293</v>
      </c>
      <c r="GA102" s="36">
        <v>4047.0494237533658</v>
      </c>
      <c r="GB102" s="36">
        <v>15647.950576246634</v>
      </c>
      <c r="GC102" s="37">
        <v>7.0901643973087014E-2</v>
      </c>
      <c r="GD102" s="37">
        <v>8.035620362409325E-2</v>
      </c>
      <c r="GE102" s="37"/>
      <c r="GF102" s="37"/>
      <c r="GG102" s="37">
        <v>0.13334753781724745</v>
      </c>
      <c r="GH102" s="35">
        <v>2.7085888015532964</v>
      </c>
      <c r="GI102" s="36">
        <v>11318.363544488671</v>
      </c>
      <c r="GJ102" s="34">
        <v>0.51074630601039561</v>
      </c>
      <c r="GK102" s="34">
        <v>0.50829519786160982</v>
      </c>
      <c r="GL102" s="34">
        <v>0.48925369398960433</v>
      </c>
      <c r="GM102" s="33">
        <v>0.49170480213839046</v>
      </c>
      <c r="GN102" s="61"/>
      <c r="GO102" s="13">
        <v>338.16872463277008</v>
      </c>
      <c r="GP102" s="27">
        <v>307.64377699166363</v>
      </c>
      <c r="GQ102" s="27">
        <v>527.27910984145694</v>
      </c>
      <c r="GR102" s="27">
        <v>404.20319246551543</v>
      </c>
      <c r="GS102" s="27">
        <v>334.50205195691484</v>
      </c>
      <c r="GT102" s="27">
        <v>289.18266033348181</v>
      </c>
      <c r="GU102" s="27">
        <v>254.29573314828914</v>
      </c>
      <c r="GV102" s="29" t="s">
        <v>392</v>
      </c>
      <c r="GW102" s="27">
        <v>468.76388888888891</v>
      </c>
      <c r="GX102" s="27">
        <v>351.57291666666669</v>
      </c>
      <c r="GY102" s="27">
        <v>281.25833333333333</v>
      </c>
      <c r="GZ102" s="27">
        <v>248.18079879493993</v>
      </c>
      <c r="HA102" s="27">
        <v>229.8919505212948</v>
      </c>
      <c r="HB102" s="29">
        <v>264.76293361772156</v>
      </c>
      <c r="HC102" s="27">
        <v>72.109375000000014</v>
      </c>
      <c r="HD102" s="27">
        <v>92.305464181286524</v>
      </c>
      <c r="HE102" s="27">
        <v>103.7516995614035</v>
      </c>
      <c r="HF102" s="27">
        <v>106.17129934210527</v>
      </c>
      <c r="HG102" s="27">
        <v>115.13410087719299</v>
      </c>
      <c r="HH102" s="12">
        <v>96.304265044073475</v>
      </c>
      <c r="HI102" s="94"/>
      <c r="HJ102" s="370" t="str">
        <f>HJ101</f>
        <v>On</v>
      </c>
      <c r="HK102" s="371" t="str">
        <f>HK101</f>
        <v>On</v>
      </c>
      <c r="HL102" s="94"/>
      <c r="HM102" s="640">
        <f t="shared" si="42"/>
        <v>1.7699001661282989E-2</v>
      </c>
      <c r="HN102" s="22">
        <f t="shared" si="43"/>
        <v>1.0509929974846072E-3</v>
      </c>
      <c r="HO102" s="638">
        <f t="shared" si="44"/>
        <v>5.7398960259851091E-2</v>
      </c>
      <c r="HP102" s="650">
        <f>(FT102*$GD102-HM102)/$JF102*INDEX(Input!$1:$1048576,$JG$93,$C102*2+6)</f>
        <v>11.515364749457802</v>
      </c>
      <c r="HQ102" s="650">
        <f>(FU102*$GD102-HN102)/$JF102*INDEX(Input!$1:$1048576,$JG$93,$C102*2+6)</f>
        <v>0.67744664995356019</v>
      </c>
      <c r="HR102" s="651">
        <f>(FV102*$GD102-HO102)/$JF102*INDEX(Input!$1:$1048576,$JG$93,$C102*2+6)</f>
        <v>41.84193193162362</v>
      </c>
      <c r="HS102" s="650">
        <f t="shared" si="45"/>
        <v>-0.13917966391394979</v>
      </c>
      <c r="HT102" s="650">
        <f t="shared" si="46"/>
        <v>8.5566663779365015</v>
      </c>
      <c r="HU102" s="651">
        <f t="shared" si="47"/>
        <v>17.657245115615794</v>
      </c>
      <c r="HV102" s="645">
        <f t="shared" si="48"/>
        <v>0</v>
      </c>
      <c r="HW102" s="646">
        <f t="shared" si="49"/>
        <v>0</v>
      </c>
      <c r="HX102" s="647">
        <f t="shared" si="50"/>
        <v>0</v>
      </c>
      <c r="HY102" s="643">
        <f>INDEX(Input!$1:$1048576,HY$93,$C102*2+6)*INDEX(Input!$1:$1048576,$JG$93,$C102*2+6)</f>
        <v>154.99999999999997</v>
      </c>
      <c r="HZ102" s="641">
        <f>INDEX(Input!$1:$1048576,HZ$93,$C102*2+6)*INDEX(Input!$1:$1048576,$JG$93,$C102*2+6)</f>
        <v>140</v>
      </c>
      <c r="IA102" s="642">
        <f>INDEX(Input!$1:$1048576,IA$93,$C102*2+6)*INDEX(Input!$1:$1048576,$JG$93,$C102*2+6)</f>
        <v>683</v>
      </c>
      <c r="IB102" s="649">
        <f t="shared" ref="IB102:IB114" si="88">SUM(HP102:IA102)-IC102-ID102</f>
        <v>166.37618508554385</v>
      </c>
      <c r="IC102" s="650">
        <f t="shared" ref="IC102:IC111" si="89">MAX(HZ102+HQ102+HT102+HW102,0%)</f>
        <v>149.23411302789006</v>
      </c>
      <c r="ID102" s="651">
        <f>IF(AND(INDEX(Input!$1:$1048576,IA$93,$C102*2+7)="TOS",Y102&lt;=INDEX(Y:Y,MATCH(C102*1000+2,A:A))),0,1)*MAX(IA102+HR102+HU102+HX102,0%)</f>
        <v>742.49917704723941</v>
      </c>
      <c r="IE102" s="129">
        <f t="shared" ref="IE102:IE111" si="90">IB102/SUM($IB102:$ID102)</f>
        <v>0.1572391033170549</v>
      </c>
      <c r="IF102" s="652">
        <f t="shared" si="51"/>
        <v>0.14103844312066949</v>
      </c>
      <c r="IG102" s="653">
        <f t="shared" si="52"/>
        <v>0.70172245356227558</v>
      </c>
      <c r="IH102" s="95"/>
      <c r="II102" s="298">
        <f t="shared" si="53"/>
        <v>1200</v>
      </c>
      <c r="IJ102" s="49">
        <f t="shared" si="54"/>
        <v>2231.5502763133163</v>
      </c>
      <c r="IK102" s="40">
        <f t="shared" si="55"/>
        <v>4498</v>
      </c>
      <c r="IL102" s="298">
        <f t="shared" ref="IL102:IL111" si="91">(FW102-FA102*DZ102/FT102)-II102</f>
        <v>399.99999999999977</v>
      </c>
      <c r="IM102" s="49">
        <f t="shared" si="56"/>
        <v>399.99999999999955</v>
      </c>
      <c r="IN102" s="40">
        <f t="shared" si="56"/>
        <v>324.99999999999909</v>
      </c>
      <c r="IO102" s="25">
        <f t="shared" si="57"/>
        <v>0</v>
      </c>
      <c r="IP102" s="29">
        <f t="shared" si="58"/>
        <v>0</v>
      </c>
      <c r="IQ102" s="29">
        <f t="shared" si="59"/>
        <v>0</v>
      </c>
      <c r="IR102" s="17">
        <v>0</v>
      </c>
      <c r="IS102" s="29">
        <v>0</v>
      </c>
      <c r="IT102" s="12">
        <v>0</v>
      </c>
      <c r="IU102" s="25">
        <v>0</v>
      </c>
      <c r="IV102" s="29">
        <v>0</v>
      </c>
      <c r="IW102" s="12">
        <v>0</v>
      </c>
      <c r="IX102" s="372">
        <f>INDEX(Input!$1:$1048576,IX$93,$C102*2+6)+INDEX(Input!$1:$1048576,IX$94,$C102*2+6)</f>
        <v>1600</v>
      </c>
      <c r="IY102" s="373">
        <f>INDEX(Input!$1:$1048576,IY$93,$C102*2+6)+INDEX(Input!$1:$1048576,IY$94,$C102*2+6)</f>
        <v>2503.5492916397525</v>
      </c>
      <c r="IZ102" s="374">
        <f>INDEX(Input!$1:$1048576,IZ$93,$C102*2+6)+INDEX(Input!$1:$1048576,IZ$94,$C102*2+6)</f>
        <v>6273.7109265464023</v>
      </c>
      <c r="JA102" s="298">
        <f t="shared" ref="JA102:JC111" si="92">(IL102+IO102+IR102+IU102+IX102)</f>
        <v>1999.9999999999998</v>
      </c>
      <c r="JB102" s="49">
        <f t="shared" si="92"/>
        <v>2903.549291639752</v>
      </c>
      <c r="JC102" s="49">
        <f t="shared" si="92"/>
        <v>6598.7109265464014</v>
      </c>
      <c r="JD102" s="40">
        <f t="shared" ref="JD102:JD111" si="93">SUMPRODUCT(IE102:IG102,JA102:JC102)</f>
        <v>5354.4538999754404</v>
      </c>
      <c r="JE102" s="382"/>
      <c r="JF102" s="28">
        <f t="shared" si="60"/>
        <v>7.6148954918618686E-2</v>
      </c>
      <c r="JG102" s="23">
        <f>INDEX(Input!$1:$1048576,JG$93,$C102*2+6)/(1+VLOOKUP(C102*1000+INDEX(Input!$1:$1048576,JG$93+1,$C102*2+6),$A:$KK,$JK$92,FALSE))</f>
        <v>978</v>
      </c>
      <c r="JH102" s="38">
        <f t="shared" ref="JH102:JH114" si="94">SUM(HP102:HR102)/SUM(HY102:IA102)</f>
        <v>5.5250248804739242E-2</v>
      </c>
      <c r="JI102" s="38">
        <f t="shared" ref="JI102:JI114" si="95">SUM(HS102:HU102)/SUM(HY102:IA102)</f>
        <v>2.6661279989405262E-2</v>
      </c>
      <c r="JJ102" s="11">
        <f t="shared" ref="JJ102:JJ114" si="96">SUM(HV102:HX102)/SUM(HY102:IA102)</f>
        <v>0</v>
      </c>
      <c r="JK102" s="2">
        <f t="shared" ref="JK102:JK111" si="97">SUM(JH102:JJ102)</f>
        <v>8.1911528794144511E-2</v>
      </c>
      <c r="JL102" s="9">
        <f t="shared" ref="JL102:JL111" si="98">JG102*JK102</f>
        <v>80.109475160673327</v>
      </c>
      <c r="JM102" s="8">
        <f t="shared" ref="JM102:JM111" si="99">JG102+JL102</f>
        <v>1058.1094751606734</v>
      </c>
      <c r="JN102" s="95"/>
      <c r="JO102" s="375">
        <f>INDEX(Input!$1:$1048576,JO$93,$C102*2+6)</f>
        <v>5908.5</v>
      </c>
      <c r="JP102" s="375">
        <f>INDEX(Input!$1:$1048576,JP$93,$C102*2+6)</f>
        <v>4993.2939301234746</v>
      </c>
      <c r="JQ102" s="25">
        <f>JO102-JD102</f>
        <v>554.04610002455956</v>
      </c>
      <c r="JR102" s="29">
        <f>JD102-JP102</f>
        <v>361.1599698519658</v>
      </c>
      <c r="JS102" s="29">
        <f>JM102*JD102/1000000</f>
        <v>5.6655984058750333</v>
      </c>
      <c r="JT102" s="29">
        <f t="shared" ref="JT102:JT111" si="100">(JD102*JM102-JP102*JG102)/1000000</f>
        <v>0.78215694221427567</v>
      </c>
      <c r="JU102" s="376">
        <f>(JQ102*JM102-INDEX(Input!$1:$1048576,Input!A$18,$C102*2+6)*JL102*INDEX(Input!$1:$1048576,Input!A$19,$C102*2+6))/1000000</f>
        <v>0.58624142811180469</v>
      </c>
      <c r="JV102" s="29">
        <f t="shared" si="63"/>
        <v>-0.30883010822743706</v>
      </c>
      <c r="JW102" s="38">
        <f>JV102/(JU102-JV102)</f>
        <v>-0.34503399526089623</v>
      </c>
      <c r="JX102" s="40">
        <f>IF(JL102=0,0,JT102/JL102)*1000000</f>
        <v>9763.6008804891735</v>
      </c>
      <c r="JZ102" s="377"/>
      <c r="KA102" s="378"/>
      <c r="KB102" s="474">
        <f>KB101</f>
        <v>3.2656316020464753</v>
      </c>
      <c r="KC102" s="379"/>
      <c r="KD102" s="379"/>
      <c r="KE102" s="379"/>
      <c r="KF102" s="379"/>
      <c r="KG102" s="380"/>
      <c r="KI102" s="513">
        <f>$JM102*IE102-$JG102*HY102/SUM($HY102:$IA102)</f>
        <v>11.376185085543881</v>
      </c>
      <c r="KJ102" s="514">
        <f t="shared" ref="KJ102:KJ114" si="101">$JM102*IF102-$JG102*HZ102/SUM($HY102:$IA102)</f>
        <v>9.2341130278900607</v>
      </c>
      <c r="KK102" s="514">
        <f t="shared" ref="KK102:KK114" si="102">$JM102*IG102-$JG102*IA102/SUM($HY102:$IA102)</f>
        <v>59.499177047239414</v>
      </c>
      <c r="KL102" s="380"/>
      <c r="KN102" s="543">
        <f>KM102+(KN101-KM101)</f>
        <v>1002</v>
      </c>
      <c r="KO102" s="540">
        <f t="shared" si="64"/>
        <v>0</v>
      </c>
      <c r="KP102" s="545">
        <f t="shared" si="65"/>
        <v>0</v>
      </c>
      <c r="KQ102" s="545">
        <f t="shared" si="66"/>
        <v>0</v>
      </c>
      <c r="KR102" s="547" t="e">
        <f t="shared" si="67"/>
        <v>#DIV/0!</v>
      </c>
      <c r="KS102" s="547" t="e">
        <f t="shared" si="68"/>
        <v>#DIV/0!</v>
      </c>
      <c r="KT102" s="661">
        <f>KT101</f>
        <v>-82.310573396665475</v>
      </c>
      <c r="KU102" s="662">
        <f t="shared" ref="KU102:KU118" si="103">IF(D102="",0,IFERROR((JM102/KT102-1)/(JD102/BX102)+B102*10^-6,0))</f>
        <v>-50.962415081217735</v>
      </c>
      <c r="KV102" s="568"/>
      <c r="KW102" s="26"/>
      <c r="KX102" s="582"/>
    </row>
    <row r="103" spans="1:310" s="26" customFormat="1" ht="15">
      <c r="A103" s="561">
        <f t="shared" si="69"/>
        <v>1003</v>
      </c>
      <c r="B103" s="561">
        <f t="shared" ref="B103:B166" si="104">B102+1</f>
        <v>3</v>
      </c>
      <c r="C103" s="561">
        <f t="shared" ref="C103:C247" si="105">C102</f>
        <v>1</v>
      </c>
      <c r="D103" s="561" t="s">
        <v>740</v>
      </c>
      <c r="E103" s="475">
        <f>INDEX(Input!$1:$1048576,E$93,$C103*2+MIN($B103,1)+5)+500</f>
        <v>1250</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1.9E-2</v>
      </c>
      <c r="W103" s="862">
        <f>INDEX(Input!$1:$1048576,W$93,$C103*2+MIN($B103,1)+5)</f>
        <v>3.9E-2</v>
      </c>
      <c r="X103" s="118" t="str">
        <f>INDEX(Input!$1:$1048576,X$93,$C103*2+MIN($B103,1)+5)</f>
        <v>Y</v>
      </c>
      <c r="Y103" s="150">
        <f>INDEX(Input!$1:$1048576,Y$93,$C103*2+MIN($B103,1)+5)</f>
        <v>2943</v>
      </c>
      <c r="Z103" s="30">
        <f>INDEX(Input!$1:$1048576,Z$93,$C103*2+MIN($B103,1)+5)</f>
        <v>0</v>
      </c>
      <c r="AA103" s="115">
        <f>INDEX(Input!$1:$1048576,AA$93,$C103*2+MIN($B103,1)+5)</f>
        <v>0</v>
      </c>
      <c r="AB103" s="118">
        <f>INDEX(Input!$1:$1048576,AB$93,$C103*2+MIN($B103,1)+5)</f>
        <v>1</v>
      </c>
      <c r="AC103" s="115">
        <f>INDEX(Input!$1:$1048576,AC$93,$C103*2+MIN($B103,1)+5)</f>
        <v>1000</v>
      </c>
      <c r="AD103" s="118">
        <f>INDEX(Input!$1:$1048576,AD$93,$C103*2+MIN($B103,1)+5)</f>
        <v>0.35</v>
      </c>
      <c r="AE103" s="115">
        <f>INDEX(Input!$1:$1048576,AE$93,$C103*2+MIN($B103,1)+5)</f>
        <v>0</v>
      </c>
      <c r="AF103" s="118">
        <f>INDEX(Input!$1:$1048576,AF$93,$C103*2+MIN($B103,1)+5)</f>
        <v>1</v>
      </c>
      <c r="AG103" s="115">
        <f>INDEX(Input!$1:$1048576,AG$93,$C103*2+MIN($B103,1)+5)</f>
        <v>500</v>
      </c>
      <c r="AH103" s="118">
        <f>INDEX(Input!$1:$1048576,AH$93,$C103*2+MIN($B103,1)+5)</f>
        <v>1</v>
      </c>
      <c r="AI103" s="115">
        <f>INDEX(Input!$1:$1048576,AI$93,$C103*2+MIN($B103,1)+5)</f>
        <v>500</v>
      </c>
      <c r="AJ103" s="118">
        <f>INDEX(Input!$1:$1048576,AJ$93,$C103*2+MIN($B103,1)+5)</f>
        <v>0.35</v>
      </c>
      <c r="AK103" s="150">
        <f>ROUND(INDEX(Input!$1:$1048576,AK$93,$C102*2+MIN($B103,1)+5)+(Y103-VLOOKUP($C103*1000+1,$A:$HH,Y$92,FALSE)),0)</f>
        <v>5599</v>
      </c>
      <c r="AL103" s="150">
        <f>ROUND(INDEX(Input!$1:$1048576,AL$93,$C102*2+MIN($B103,1)+5)-(Y103-VLOOKUP($C103*1000+1,$A:$HH,Y$92,FALSE))/36,0)</f>
        <v>5599</v>
      </c>
      <c r="AM103" s="32" t="str">
        <f t="shared" si="70"/>
        <v>std/std/std/std</v>
      </c>
      <c r="AN103" s="32" t="str">
        <f t="shared" si="71"/>
        <v>$0 + 0/0/0/1.9/3.9</v>
      </c>
      <c r="AO103" s="32" t="str">
        <f t="shared" si="72"/>
        <v>0/0/0/1.9/3.9</v>
      </c>
      <c r="AP103" s="32" t="str">
        <f t="shared" si="73"/>
        <v>0/0.9/1.9/3.9</v>
      </c>
      <c r="AQ103" s="536">
        <f t="shared" si="39"/>
        <v>850.18843116545258</v>
      </c>
      <c r="AR103" s="32"/>
      <c r="AS103" s="302"/>
      <c r="AT103" s="3">
        <f t="shared" ref="AT103:AT215" si="106">AT102+1</f>
        <v>3</v>
      </c>
      <c r="AU103" s="41" t="s">
        <v>121</v>
      </c>
      <c r="AV103" s="41" t="s">
        <v>116</v>
      </c>
      <c r="AW103" s="41" t="str">
        <f>INDEX(Input!$1:$1048576,AW$93,$C103*2+6)</f>
        <v>Kia</v>
      </c>
      <c r="AX103" s="41" t="str">
        <f>INDEX(Input!$1:$1048576,AX$93,$C103*2+6)</f>
        <v>Kia-LR - L1</v>
      </c>
      <c r="AY103" s="41" t="str">
        <f>IF(LEN(D103)=0,"",INDEX(Input!$1:$1048576,AY$93,$C103*2+6))</f>
        <v>Compact Conventional/Sporty Car (43)</v>
      </c>
      <c r="AZ103" s="41" t="str">
        <f>INDEX(Input!$1:$1048576,AZ$93,$C103*2+6)</f>
        <v>Kia Forte</v>
      </c>
      <c r="BA103" s="3">
        <f>INDEX(Input!$1:$1048576,BA$93,$C103*2+6)</f>
        <v>2020</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19695</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4"/>
        <v>1600</v>
      </c>
      <c r="CJ103" s="16" t="str">
        <f>INDEX(Input!$1:$1048576,CJ$93,$C103*2+6)</f>
        <v>N</v>
      </c>
      <c r="CK103" s="1" t="str">
        <f t="shared" si="75"/>
        <v>Market</v>
      </c>
      <c r="CL103" s="1" t="str">
        <f t="shared" si="76"/>
        <v>Market</v>
      </c>
      <c r="CM103" s="1" t="str">
        <f t="shared" si="77"/>
        <v>Market</v>
      </c>
      <c r="CN103" s="1" t="str">
        <f t="shared" si="78"/>
        <v>Market</v>
      </c>
      <c r="CO103" s="1" t="str">
        <f t="shared" si="79"/>
        <v>Market</v>
      </c>
      <c r="CP103" s="304">
        <f t="shared" si="80"/>
        <v>350</v>
      </c>
      <c r="CQ103" s="1">
        <f t="shared" si="81"/>
        <v>0</v>
      </c>
      <c r="CR103" s="1">
        <f t="shared" si="82"/>
        <v>0</v>
      </c>
      <c r="CS103" s="1">
        <f t="shared" si="83"/>
        <v>0</v>
      </c>
      <c r="CT103" s="1">
        <f t="shared" si="84"/>
        <v>1.9E-2</v>
      </c>
      <c r="CU103" s="1">
        <f t="shared" si="85"/>
        <v>3.9E-2</v>
      </c>
      <c r="CV103" s="304">
        <f t="shared" si="86"/>
        <v>3118</v>
      </c>
      <c r="CW103" s="20" t="s">
        <v>122</v>
      </c>
      <c r="CX103" s="20" t="s">
        <v>122</v>
      </c>
      <c r="CY103" s="20" t="s">
        <v>122</v>
      </c>
      <c r="CZ103" s="20" t="s">
        <v>122</v>
      </c>
      <c r="DA103" s="20" t="s">
        <v>122</v>
      </c>
      <c r="DB103" s="503">
        <f t="shared" si="87"/>
        <v>500</v>
      </c>
      <c r="DC103" s="127">
        <v>0</v>
      </c>
      <c r="DD103" s="127">
        <v>0</v>
      </c>
      <c r="DE103" s="127">
        <v>0</v>
      </c>
      <c r="DF103" s="127">
        <v>0</v>
      </c>
      <c r="DG103" s="127">
        <v>0</v>
      </c>
      <c r="DH103" s="127">
        <v>0</v>
      </c>
      <c r="DI103" s="127">
        <v>0</v>
      </c>
      <c r="DJ103" s="127">
        <v>0</v>
      </c>
      <c r="DK103" s="127">
        <v>0</v>
      </c>
      <c r="DL103" s="127">
        <v>0</v>
      </c>
      <c r="DM103" s="304">
        <f>INDEX(Input!$1:$1048576,DM$93,$C103*2+6)</f>
        <v>20731.578947368424</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1.5703152571045587E-2</v>
      </c>
      <c r="DZ103" s="7">
        <v>0</v>
      </c>
      <c r="EA103" s="7">
        <v>0.24548386308831577</v>
      </c>
      <c r="EB103" s="7">
        <v>0</v>
      </c>
      <c r="EC103" s="7">
        <v>0</v>
      </c>
      <c r="ED103" s="7">
        <v>0</v>
      </c>
      <c r="EE103" s="7">
        <v>0</v>
      </c>
      <c r="EF103" s="7">
        <v>0</v>
      </c>
      <c r="EG103" s="7">
        <v>0</v>
      </c>
      <c r="EH103" s="7">
        <v>1.9867163211649871E-2</v>
      </c>
      <c r="EI103" s="7">
        <v>3.5734944822064248E-2</v>
      </c>
      <c r="EJ103" s="7">
        <v>0.28104141462213034</v>
      </c>
      <c r="EK103" s="7">
        <v>0.6201009292597075</v>
      </c>
      <c r="EL103" s="7">
        <v>4.3255548084448155E-2</v>
      </c>
      <c r="EM103" s="7">
        <v>1.328465173571826E-2</v>
      </c>
      <c r="EN103" s="7">
        <v>5.5147996525916392E-2</v>
      </c>
      <c r="EO103" s="7">
        <v>0.54334117986155361</v>
      </c>
      <c r="EP103" s="7">
        <v>0.31007127393148909</v>
      </c>
      <c r="EQ103" s="7">
        <v>5.3118751914307587E-2</v>
      </c>
      <c r="ER103" s="7">
        <v>3.8320797766733458E-2</v>
      </c>
      <c r="ES103" s="7">
        <v>0.72552833260492033</v>
      </c>
      <c r="ET103" s="7">
        <v>0.73881298434063869</v>
      </c>
      <c r="EU103" s="6">
        <v>1700</v>
      </c>
      <c r="EV103" s="6">
        <v>0</v>
      </c>
      <c r="EW103" s="6">
        <v>1700</v>
      </c>
      <c r="EX103" s="6">
        <v>0</v>
      </c>
      <c r="EY103" s="6">
        <v>2231.5502763133163</v>
      </c>
      <c r="EZ103" s="6">
        <v>4498</v>
      </c>
      <c r="FA103" s="6">
        <v>0</v>
      </c>
      <c r="FB103" s="6">
        <v>0</v>
      </c>
      <c r="FC103" s="6">
        <v>0</v>
      </c>
      <c r="FD103" s="6">
        <v>0</v>
      </c>
      <c r="FE103" s="6">
        <v>0</v>
      </c>
      <c r="FF103" s="6">
        <v>0</v>
      </c>
      <c r="FG103" s="6">
        <v>0</v>
      </c>
      <c r="FH103" s="6">
        <v>1152.1208270377822</v>
      </c>
      <c r="FI103" s="6">
        <v>1531.4299904380618</v>
      </c>
      <c r="FJ103" s="6">
        <v>2070.7205842538219</v>
      </c>
      <c r="FK103" s="6">
        <v>1746.9903521590431</v>
      </c>
      <c r="FL103" s="6">
        <v>893.91433563489397</v>
      </c>
      <c r="FM103" s="6">
        <v>1781.5502763133163</v>
      </c>
      <c r="FN103" s="6">
        <v>0</v>
      </c>
      <c r="FO103" s="6">
        <v>0</v>
      </c>
      <c r="FP103" s="6">
        <v>0</v>
      </c>
      <c r="FQ103" s="6">
        <v>0</v>
      </c>
      <c r="FR103" s="6">
        <v>0</v>
      </c>
      <c r="FS103" s="6">
        <v>0</v>
      </c>
      <c r="FT103" s="7">
        <v>0.26118701565936137</v>
      </c>
      <c r="FU103" s="7">
        <v>1.328465173571826E-2</v>
      </c>
      <c r="FV103" s="7">
        <v>0.72552833260492033</v>
      </c>
      <c r="FW103" s="6">
        <v>1700</v>
      </c>
      <c r="FX103" s="6">
        <v>2231.5502763133163</v>
      </c>
      <c r="FY103" s="6">
        <v>4498</v>
      </c>
      <c r="FZ103" s="6">
        <v>3077.4375890575293</v>
      </c>
      <c r="GA103" s="6">
        <v>3737.0897349294146</v>
      </c>
      <c r="GB103" s="6">
        <v>15957.910265070586</v>
      </c>
      <c r="GC103" s="7">
        <v>7.0901643973087014E-2</v>
      </c>
      <c r="GD103" s="7">
        <v>7.7387653303541248E-2</v>
      </c>
      <c r="GE103" s="7"/>
      <c r="GF103" s="7"/>
      <c r="GG103" s="7">
        <v>9.1478969555574857E-2</v>
      </c>
      <c r="GH103" s="42">
        <v>2.7312551269210315</v>
      </c>
      <c r="GI103" s="6">
        <v>10948.060180668172</v>
      </c>
      <c r="GJ103" s="14">
        <v>0.51074630601039561</v>
      </c>
      <c r="GK103" s="14">
        <v>0.5082951978616097</v>
      </c>
      <c r="GL103" s="14">
        <v>0.48925369398960428</v>
      </c>
      <c r="GM103" s="14">
        <v>0.4917048021383903</v>
      </c>
      <c r="GO103" s="5">
        <v>338.16872463277008</v>
      </c>
      <c r="GP103" s="5">
        <v>305.73596776409454</v>
      </c>
      <c r="GQ103" s="5">
        <v>527.27910984145694</v>
      </c>
      <c r="GR103" s="5">
        <v>404.20319246551543</v>
      </c>
      <c r="GS103" s="5">
        <v>334.50205195691484</v>
      </c>
      <c r="GT103" s="5">
        <v>289.18266033348181</v>
      </c>
      <c r="GU103" s="5">
        <v>254.29573314828914</v>
      </c>
      <c r="GV103" s="39" t="s">
        <v>392</v>
      </c>
      <c r="GW103" s="5">
        <v>479.875</v>
      </c>
      <c r="GX103" s="5">
        <v>359.90625</v>
      </c>
      <c r="GY103" s="5">
        <v>287.92500000000001</v>
      </c>
      <c r="GZ103" s="5">
        <v>254.06342861438094</v>
      </c>
      <c r="HA103" s="5">
        <v>235.34107974463737</v>
      </c>
      <c r="HB103" s="39">
        <v>271.0386098019585</v>
      </c>
      <c r="HC103" s="5">
        <v>86.328124999999972</v>
      </c>
      <c r="HD103" s="5">
        <v>102.01032529239761</v>
      </c>
      <c r="HE103" s="5">
        <v>112.76211622807014</v>
      </c>
      <c r="HF103" s="5">
        <v>113.68692434210524</v>
      </c>
      <c r="HG103" s="5">
        <v>121.36326754385965</v>
      </c>
      <c r="HH103" s="39">
        <v>105.84117143195658</v>
      </c>
      <c r="HI103" s="16"/>
      <c r="HJ103" s="19" t="str">
        <f t="shared" ref="HJ103:HJ118" si="107">HJ102</f>
        <v>On</v>
      </c>
      <c r="HK103" s="1" t="str">
        <f t="shared" ref="HK103:HK166" si="108">HK102</f>
        <v>On</v>
      </c>
      <c r="HL103" s="16"/>
      <c r="HM103" s="639">
        <f t="shared" si="42"/>
        <v>1.7699001661282989E-2</v>
      </c>
      <c r="HN103" s="639">
        <f t="shared" si="43"/>
        <v>1.0509929974846072E-3</v>
      </c>
      <c r="HO103" s="639">
        <f t="shared" si="44"/>
        <v>5.7398960259851091E-2</v>
      </c>
      <c r="HP103" s="644">
        <f>(FT103*$GD103-HM103)/$JF103*INDEX(Input!$1:$1048576,$JG$93,$C103*2+6)</f>
        <v>32.283414636361435</v>
      </c>
      <c r="HQ103" s="644">
        <f>(FU103*$GD103-HN103)/$JF103*INDEX(Input!$1:$1048576,$JG$93,$C103*2+6)</f>
        <v>-0.29443116170222033</v>
      </c>
      <c r="HR103" s="644">
        <f>(FV103*$GD103-HO103)/$JF103*INDEX(Input!$1:$1048576,$JG$93,$C103*2+6)</f>
        <v>-16.080071504049148</v>
      </c>
      <c r="HS103" s="644">
        <f t="shared" si="45"/>
        <v>0</v>
      </c>
      <c r="HT103" s="644">
        <f t="shared" si="46"/>
        <v>-3.2160143008098299</v>
      </c>
      <c r="HU103" s="644">
        <f t="shared" si="47"/>
        <v>3.2160143008098299</v>
      </c>
      <c r="HV103" s="648">
        <f t="shared" si="48"/>
        <v>0</v>
      </c>
      <c r="HW103" s="648">
        <f t="shared" si="49"/>
        <v>0</v>
      </c>
      <c r="HX103" s="648">
        <f t="shared" si="50"/>
        <v>0</v>
      </c>
      <c r="HY103" s="644">
        <f>INDEX(Input!$1:$1048576,HY$93,$C103*2+6)*INDEX(Input!$1:$1048576,$JG$93,$C103*2+6)</f>
        <v>154.99999999999997</v>
      </c>
      <c r="HZ103" s="644">
        <f>INDEX(Input!$1:$1048576,HZ$93,$C103*2+6)*INDEX(Input!$1:$1048576,$JG$93,$C103*2+6)</f>
        <v>140</v>
      </c>
      <c r="IA103" s="644">
        <f>INDEX(Input!$1:$1048576,IA$93,$C103*2+6)*INDEX(Input!$1:$1048576,$JG$93,$C103*2+6)</f>
        <v>683</v>
      </c>
      <c r="IB103" s="644">
        <f t="shared" si="88"/>
        <v>187.28341463636139</v>
      </c>
      <c r="IC103" s="644">
        <f t="shared" si="89"/>
        <v>136.48955453748795</v>
      </c>
      <c r="ID103" s="644">
        <f>IF(AND(INDEX(Input!$1:$1048576,IA$93,$C103*2+7)="TOS",Y103&lt;=INDEX(Y:Y,MATCH(C103*1000+2,A:A))),0,1)*MAX(IA103+HR103+HU103+HX103,0%)</f>
        <v>670.13594279676067</v>
      </c>
      <c r="IE103" s="128">
        <f t="shared" si="90"/>
        <v>0.18843116545261382</v>
      </c>
      <c r="IF103" s="128">
        <f t="shared" si="51"/>
        <v>0.13732601941044267</v>
      </c>
      <c r="IG103" s="128">
        <f t="shared" si="52"/>
        <v>0.67424281513694351</v>
      </c>
      <c r="IH103" s="21"/>
      <c r="II103" s="19">
        <f t="shared" si="53"/>
        <v>1200</v>
      </c>
      <c r="IJ103" s="19">
        <f t="shared" si="54"/>
        <v>2231.5502763133163</v>
      </c>
      <c r="IK103" s="19">
        <f t="shared" si="55"/>
        <v>4498</v>
      </c>
      <c r="IL103" s="19">
        <f t="shared" si="91"/>
        <v>500</v>
      </c>
      <c r="IM103" s="19">
        <f t="shared" si="56"/>
        <v>0</v>
      </c>
      <c r="IN103" s="19">
        <f t="shared" si="56"/>
        <v>0</v>
      </c>
      <c r="IO103" s="39">
        <f t="shared" si="57"/>
        <v>0</v>
      </c>
      <c r="IP103" s="39">
        <f t="shared" si="58"/>
        <v>0</v>
      </c>
      <c r="IQ103" s="39">
        <f t="shared" si="59"/>
        <v>0</v>
      </c>
      <c r="IR103" s="39">
        <v>0</v>
      </c>
      <c r="IS103" s="39">
        <v>0</v>
      </c>
      <c r="IT103" s="39">
        <v>0</v>
      </c>
      <c r="IU103" s="39">
        <v>0</v>
      </c>
      <c r="IV103" s="39">
        <v>0</v>
      </c>
      <c r="IW103" s="39">
        <v>0</v>
      </c>
      <c r="IX103" s="39">
        <f>INDEX(Input!$1:$1048576,IX$93,$C103*2+6)+INDEX(Input!$1:$1048576,IX$94,$C103*2+6)</f>
        <v>1600</v>
      </c>
      <c r="IY103" s="39">
        <f>INDEX(Input!$1:$1048576,IY$93,$C103*2+6)+INDEX(Input!$1:$1048576,IY$94,$C103*2+6)</f>
        <v>2503.5492916397525</v>
      </c>
      <c r="IZ103" s="39">
        <f>INDEX(Input!$1:$1048576,IZ$93,$C103*2+6)+INDEX(Input!$1:$1048576,IZ$94,$C103*2+6)</f>
        <v>6273.7109265464023</v>
      </c>
      <c r="JA103" s="19">
        <f t="shared" si="92"/>
        <v>2100</v>
      </c>
      <c r="JB103" s="19">
        <f t="shared" si="92"/>
        <v>2503.5492916397525</v>
      </c>
      <c r="JC103" s="19">
        <f t="shared" si="92"/>
        <v>6273.7109265464023</v>
      </c>
      <c r="JD103" s="19">
        <f t="shared" si="93"/>
        <v>4969.5124225392583</v>
      </c>
      <c r="JE103" s="21"/>
      <c r="JF103" s="1">
        <f t="shared" si="60"/>
        <v>7.6148954918618686E-2</v>
      </c>
      <c r="JG103" s="15">
        <f>INDEX(Input!$1:$1048576,JG$93,$C103*2+6)/(1+VLOOKUP(C103*1000+INDEX(Input!$1:$1048576,JG$93+1,$C103*2+6),$A:$KK,$JK$92,FALSE))</f>
        <v>978</v>
      </c>
      <c r="JH103" s="1">
        <f t="shared" si="94"/>
        <v>1.6266781156043013E-2</v>
      </c>
      <c r="JI103" s="1">
        <f t="shared" si="95"/>
        <v>0</v>
      </c>
      <c r="JJ103" s="1">
        <f t="shared" si="96"/>
        <v>0</v>
      </c>
      <c r="JK103" s="1">
        <f t="shared" si="97"/>
        <v>1.6266781156043013E-2</v>
      </c>
      <c r="JL103" s="15">
        <f t="shared" si="98"/>
        <v>15.908911970610067</v>
      </c>
      <c r="JM103" s="15">
        <f t="shared" si="99"/>
        <v>993.90891197061012</v>
      </c>
      <c r="JN103" s="21"/>
      <c r="JO103" s="19">
        <f>INDEX(Input!$1:$1048576,JO$93,$C103*2+6)</f>
        <v>5908.5</v>
      </c>
      <c r="JP103" s="19">
        <f>INDEX(Input!$1:$1048576,JP$93,$C103*2+6)</f>
        <v>4993.2939301234746</v>
      </c>
      <c r="JQ103" s="39">
        <f t="shared" ref="JQ103:JQ111" si="109">JO103-JD103</f>
        <v>938.9875774607417</v>
      </c>
      <c r="JR103" s="39">
        <f t="shared" si="61"/>
        <v>-23.781507584216342</v>
      </c>
      <c r="JS103" s="39">
        <f t="shared" si="62"/>
        <v>4.9392426849104254</v>
      </c>
      <c r="JT103" s="39">
        <f t="shared" si="100"/>
        <v>5.5801221249666993E-2</v>
      </c>
      <c r="JU103" s="385">
        <f>(JQ103*JM103-INDEX(Input!$1:$1048576,Input!A$18,$C103*2+6)*JL103*INDEX(Input!$1:$1048576,Input!A$19,$C103*2+6))/1000000</f>
        <v>0.93326812146792482</v>
      </c>
      <c r="JV103" s="39">
        <f t="shared" si="63"/>
        <v>3.8196585128683069E-2</v>
      </c>
      <c r="JW103" s="1">
        <f>JV103/(JU103-JV103)</f>
        <v>4.2674337835502514E-2</v>
      </c>
      <c r="JX103" s="19">
        <f>IF(JL103=0,0,JT103/JL103)*1000000</f>
        <v>3507.5447870195962</v>
      </c>
      <c r="JZ103" s="468">
        <f>(HY103+HP103)/SUM(HP103:HR103,HY103:IA103)*IL103</f>
        <v>94.21558272630692</v>
      </c>
      <c r="KA103" s="469">
        <f>JH103/(JZ103/BX103)</f>
        <v>3.4004380761401594</v>
      </c>
      <c r="KB103" s="469">
        <f t="shared" ref="KB103:KB166" si="110">KB102</f>
        <v>3.2656316020464753</v>
      </c>
      <c r="KC103" s="469">
        <f>MIN(AVERAGE(KB103*0.8,VLOOKUP(AZ101,Lookup!$B:$E,4,FALSE)*0.8),$KC$97)</f>
        <v>2.9442526408185898</v>
      </c>
      <c r="KD103" s="469">
        <f>AVERAGE(KB103,VLOOKUP(AZ101,Lookup!$B:$E,4,FALSE))</f>
        <v>3.6803158010232373</v>
      </c>
      <c r="KE103" s="469">
        <f>MIN(MAX(KA103,KC103),KD103)</f>
        <v>3.4004380761401594</v>
      </c>
      <c r="KF103" s="470">
        <f>A103</f>
        <v>1003</v>
      </c>
      <c r="KG103" s="471">
        <f>(JH103/KA103*KE103-JH103)/MAX(IL103:IN103)*1000</f>
        <v>0</v>
      </c>
      <c r="KH103" s="472"/>
      <c r="KI103" s="473">
        <f t="shared" ref="KI103:KI114" si="111">$JM103*IE103-$JG103*HY103/SUM($HY103:$IA103)</f>
        <v>32.283414636361442</v>
      </c>
      <c r="KJ103" s="473">
        <f t="shared" si="101"/>
        <v>-3.5104454625120241</v>
      </c>
      <c r="KK103" s="473">
        <f t="shared" si="102"/>
        <v>-12.864057203239213</v>
      </c>
      <c r="KL103" s="472" t="str">
        <f>IF(OR(KJ103&gt;0,KK103&gt;0),"Error - Adjust TR","ok")</f>
        <v>ok</v>
      </c>
      <c r="KN103" s="544">
        <f>KM103+(KN102-KM102)</f>
        <v>1002</v>
      </c>
      <c r="KO103" s="541">
        <f t="shared" si="64"/>
        <v>-6.0674783372783203E-2</v>
      </c>
      <c r="KP103" s="546">
        <f t="shared" si="65"/>
        <v>-255.21620613842163</v>
      </c>
      <c r="KQ103" s="546">
        <f t="shared" si="66"/>
        <v>-384.94147743618214</v>
      </c>
      <c r="KR103" s="548">
        <f t="shared" si="67"/>
        <v>3.4093035909893583</v>
      </c>
      <c r="KS103" s="548">
        <f t="shared" si="68"/>
        <v>2.2603683392643834</v>
      </c>
      <c r="KT103" s="473">
        <f t="shared" ref="KT103:KT166" si="112">KT102</f>
        <v>-82.310573396665475</v>
      </c>
      <c r="KU103" s="663">
        <f t="shared" si="103"/>
        <v>-51.818806161409</v>
      </c>
      <c r="KV103" s="117"/>
    </row>
    <row r="104" spans="1:310" s="26" customFormat="1" ht="15">
      <c r="A104" s="561">
        <f t="shared" si="69"/>
        <v>1004</v>
      </c>
      <c r="B104" s="561">
        <f t="shared" si="104"/>
        <v>4</v>
      </c>
      <c r="C104" s="561">
        <f t="shared" si="105"/>
        <v>1</v>
      </c>
      <c r="D104" s="561" t="s">
        <v>741</v>
      </c>
      <c r="E104" s="115">
        <f>INDEX(Input!$1:$1048576,E$93,$C104*2+MIN($B104,1)+5)</f>
        <v>750</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1.9E-2</v>
      </c>
      <c r="W104" s="863">
        <f>INDEX(Input!$1:$1048576,W$93,$C104*2+MIN($B104,1)+5)</f>
        <v>3.9E-2</v>
      </c>
      <c r="X104" s="476" t="str">
        <f>INDEX(Input!$1:$1048576,X$93,$C104*2+MIN($B104,1)+5)</f>
        <v>Y</v>
      </c>
      <c r="Y104" s="150">
        <f>INDEX(Input!$1:$1048576,Y$93,$C104*2+MIN($B104,1)+5)</f>
        <v>2943</v>
      </c>
      <c r="Z104" s="30">
        <f>INDEX(Input!$1:$1048576,Z$93,$C104*2+MIN($B104,1)+5)</f>
        <v>0</v>
      </c>
      <c r="AA104" s="115">
        <f>INDEX(Input!$1:$1048576,AA$93,$C104*2+MIN($B104,1)+5)</f>
        <v>0</v>
      </c>
      <c r="AB104" s="118">
        <f>INDEX(Input!$1:$1048576,AB$93,$C104*2+MIN($B104,1)+5)</f>
        <v>1</v>
      </c>
      <c r="AC104" s="115">
        <f>INDEX(Input!$1:$1048576,AC$93,$C104*2+MIN($B104,1)+5)</f>
        <v>1000</v>
      </c>
      <c r="AD104" s="118">
        <f>INDEX(Input!$1:$1048576,AD$93,$C104*2+MIN($B104,1)+5)</f>
        <v>0.35</v>
      </c>
      <c r="AE104" s="115">
        <f>INDEX(Input!$1:$1048576,AE$93,$C104*2+MIN($B104,1)+5)</f>
        <v>0</v>
      </c>
      <c r="AF104" s="118">
        <f>INDEX(Input!$1:$1048576,AF$93,$C104*2+MIN($B104,1)+5)</f>
        <v>1</v>
      </c>
      <c r="AG104" s="115">
        <f>INDEX(Input!$1:$1048576,AG$93,$C104*2+MIN($B104,1)+5)</f>
        <v>500</v>
      </c>
      <c r="AH104" s="118">
        <f>INDEX(Input!$1:$1048576,AH$93,$C104*2+MIN($B104,1)+5)</f>
        <v>1</v>
      </c>
      <c r="AI104" s="115">
        <f>INDEX(Input!$1:$1048576,AI$93,$C104*2+MIN($B104,1)+5)</f>
        <v>500</v>
      </c>
      <c r="AJ104" s="118">
        <f>INDEX(Input!$1:$1048576,AJ$93,$C104*2+MIN($B104,1)+5)</f>
        <v>0.35</v>
      </c>
      <c r="AK104" s="150">
        <f>ROUND(INDEX(Input!$1:$1048576,AK$93,$C103*2+MIN($B104,1)+5)+(Y104-VLOOKUP($C104*1000+1,$A:$HH,Y$92,FALSE)),0)</f>
        <v>5599</v>
      </c>
      <c r="AL104" s="150">
        <f>ROUND(INDEX(Input!$1:$1048576,AL$93,$C103*2+MIN($B104,1)+5)-(Y104-VLOOKUP($C104*1000+1,$A:$HH,Y$92,FALSE))/36,0)</f>
        <v>5599</v>
      </c>
      <c r="AM104" s="32" t="str">
        <f t="shared" si="70"/>
        <v>3.5/4/4.5/4.5</v>
      </c>
      <c r="AN104" s="32" t="str">
        <f t="shared" si="71"/>
        <v>$500 + 0/0/0/1.9/3.9</v>
      </c>
      <c r="AO104" s="32" t="str">
        <f t="shared" si="72"/>
        <v>0/0/0/1.9/3.9</v>
      </c>
      <c r="AP104" s="32" t="str">
        <f t="shared" si="73"/>
        <v>0/0.9/1.9/3.9</v>
      </c>
      <c r="AQ104" s="536">
        <f t="shared" si="39"/>
        <v>850.15544858721182</v>
      </c>
      <c r="AR104" s="32"/>
      <c r="AS104" s="302"/>
      <c r="AT104" s="3">
        <f t="shared" si="106"/>
        <v>4</v>
      </c>
      <c r="AU104" s="41" t="s">
        <v>121</v>
      </c>
      <c r="AV104" s="41" t="s">
        <v>116</v>
      </c>
      <c r="AW104" s="41" t="str">
        <f>INDEX(Input!$1:$1048576,AW$93,$C104*2+6)</f>
        <v>Kia</v>
      </c>
      <c r="AX104" s="41" t="str">
        <f>INDEX(Input!$1:$1048576,AX$93,$C104*2+6)</f>
        <v>Kia-LR - L1</v>
      </c>
      <c r="AY104" s="41" t="str">
        <f>IF(LEN(D104)=0,"",INDEX(Input!$1:$1048576,AY$93,$C104*2+6))</f>
        <v>Compact Conventional/Sporty Car (43)</v>
      </c>
      <c r="AZ104" s="41" t="str">
        <f>INDEX(Input!$1:$1048576,AZ$93,$C104*2+6)</f>
        <v>Kia Forte</v>
      </c>
      <c r="BA104" s="3">
        <f>INDEX(Input!$1:$1048576,BA$93,$C104*2+6)</f>
        <v>2020</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19695</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4"/>
        <v>1100</v>
      </c>
      <c r="CJ104" s="16" t="str">
        <f>INDEX(Input!$1:$1048576,CJ$93,$C104*2+6)</f>
        <v>N</v>
      </c>
      <c r="CK104" s="1">
        <f t="shared" si="75"/>
        <v>3.4999999999999996E-2</v>
      </c>
      <c r="CL104" s="1">
        <f t="shared" si="76"/>
        <v>0.04</v>
      </c>
      <c r="CM104" s="1">
        <f t="shared" si="77"/>
        <v>4.4499999999999998E-2</v>
      </c>
      <c r="CN104" s="1">
        <f t="shared" si="78"/>
        <v>4.4499999999999998E-2</v>
      </c>
      <c r="CO104" s="1" t="str">
        <f t="shared" si="79"/>
        <v>Market</v>
      </c>
      <c r="CP104" s="304">
        <f t="shared" si="80"/>
        <v>850</v>
      </c>
      <c r="CQ104" s="1">
        <f t="shared" si="81"/>
        <v>0</v>
      </c>
      <c r="CR104" s="1">
        <f t="shared" si="82"/>
        <v>0</v>
      </c>
      <c r="CS104" s="1">
        <f t="shared" si="83"/>
        <v>0</v>
      </c>
      <c r="CT104" s="1">
        <f t="shared" si="84"/>
        <v>1.9E-2</v>
      </c>
      <c r="CU104" s="1">
        <f t="shared" si="85"/>
        <v>3.9E-2</v>
      </c>
      <c r="CV104" s="304">
        <f t="shared" si="86"/>
        <v>3118</v>
      </c>
      <c r="CW104" s="20" t="s">
        <v>122</v>
      </c>
      <c r="CX104" s="20" t="s">
        <v>122</v>
      </c>
      <c r="CY104" s="20" t="s">
        <v>122</v>
      </c>
      <c r="CZ104" s="20" t="s">
        <v>122</v>
      </c>
      <c r="DA104" s="20" t="s">
        <v>122</v>
      </c>
      <c r="DB104" s="503">
        <f t="shared" si="87"/>
        <v>500</v>
      </c>
      <c r="DC104" s="127">
        <v>0</v>
      </c>
      <c r="DD104" s="127">
        <v>0</v>
      </c>
      <c r="DE104" s="127">
        <v>0</v>
      </c>
      <c r="DF104" s="127">
        <v>0</v>
      </c>
      <c r="DG104" s="127">
        <v>0</v>
      </c>
      <c r="DH104" s="127">
        <v>0</v>
      </c>
      <c r="DI104" s="127">
        <v>0</v>
      </c>
      <c r="DJ104" s="127">
        <v>0</v>
      </c>
      <c r="DK104" s="127">
        <v>0</v>
      </c>
      <c r="DL104" s="127">
        <v>0</v>
      </c>
      <c r="DM104" s="304">
        <f>INDEX(Input!$1:$1048576,DM$93,$C104*2+6)</f>
        <v>20731.578947368424</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1.38355751967608E-2</v>
      </c>
      <c r="DZ104" s="7">
        <v>0</v>
      </c>
      <c r="EA104" s="7">
        <v>0.21787547949433364</v>
      </c>
      <c r="EB104" s="7">
        <v>0</v>
      </c>
      <c r="EC104" s="7">
        <v>0</v>
      </c>
      <c r="ED104" s="7">
        <v>0</v>
      </c>
      <c r="EE104" s="7">
        <v>0</v>
      </c>
      <c r="EF104" s="7">
        <v>0</v>
      </c>
      <c r="EG104" s="7">
        <v>0</v>
      </c>
      <c r="EH104" s="7">
        <v>1.9867163211649868E-2</v>
      </c>
      <c r="EI104" s="7">
        <v>3.5734944822064234E-2</v>
      </c>
      <c r="EJ104" s="7">
        <v>0.28104141462213028</v>
      </c>
      <c r="EK104" s="7">
        <v>0.62010092925970739</v>
      </c>
      <c r="EL104" s="7">
        <v>4.3255548084448148E-2</v>
      </c>
      <c r="EM104" s="7">
        <v>1.6057240305773365E-2</v>
      </c>
      <c r="EN104" s="7">
        <v>5.5147996525916378E-2</v>
      </c>
      <c r="EO104" s="7">
        <v>0.5433411798615535</v>
      </c>
      <c r="EP104" s="7">
        <v>0.31007127393148903</v>
      </c>
      <c r="EQ104" s="7">
        <v>5.3118751914307573E-2</v>
      </c>
      <c r="ER104" s="7">
        <v>3.8320797766733465E-2</v>
      </c>
      <c r="ES104" s="7">
        <v>0.75223170500313208</v>
      </c>
      <c r="ET104" s="7">
        <v>0.76828894530890546</v>
      </c>
      <c r="EU104" s="6">
        <v>1200</v>
      </c>
      <c r="EV104" s="6">
        <v>0</v>
      </c>
      <c r="EW104" s="6">
        <v>1200</v>
      </c>
      <c r="EX104" s="6">
        <v>0</v>
      </c>
      <c r="EY104" s="6">
        <v>2731.5502763133163</v>
      </c>
      <c r="EZ104" s="6">
        <v>4498</v>
      </c>
      <c r="FA104" s="6">
        <v>0</v>
      </c>
      <c r="FB104" s="6">
        <v>0</v>
      </c>
      <c r="FC104" s="6">
        <v>0</v>
      </c>
      <c r="FD104" s="6">
        <v>0</v>
      </c>
      <c r="FE104" s="6">
        <v>0</v>
      </c>
      <c r="FF104" s="6">
        <v>0</v>
      </c>
      <c r="FG104" s="6">
        <v>0</v>
      </c>
      <c r="FH104" s="6">
        <v>1152.1208270377815</v>
      </c>
      <c r="FI104" s="6">
        <v>1531.4299904380618</v>
      </c>
      <c r="FJ104" s="6">
        <v>2070.7205842538224</v>
      </c>
      <c r="FK104" s="6">
        <v>1746.9903521590436</v>
      </c>
      <c r="FL104" s="6">
        <v>893.91433563489363</v>
      </c>
      <c r="FM104" s="6">
        <v>1781.5502763133163</v>
      </c>
      <c r="FN104" s="6">
        <v>0</v>
      </c>
      <c r="FO104" s="6">
        <v>0</v>
      </c>
      <c r="FP104" s="6">
        <v>0</v>
      </c>
      <c r="FQ104" s="6">
        <v>0</v>
      </c>
      <c r="FR104" s="6">
        <v>0</v>
      </c>
      <c r="FS104" s="6">
        <v>0</v>
      </c>
      <c r="FT104" s="7">
        <v>0.23171105469109443</v>
      </c>
      <c r="FU104" s="7">
        <v>1.6057240305773365E-2</v>
      </c>
      <c r="FV104" s="7">
        <v>0.75223170500313208</v>
      </c>
      <c r="FW104" s="6">
        <v>1200</v>
      </c>
      <c r="FX104" s="6">
        <v>2731.5502763133163</v>
      </c>
      <c r="FY104" s="6">
        <v>4498</v>
      </c>
      <c r="FZ104" s="6">
        <v>3077.4375890575293</v>
      </c>
      <c r="GA104" s="6">
        <v>3705.4526339274662</v>
      </c>
      <c r="GB104" s="6">
        <v>15989.547366072533</v>
      </c>
      <c r="GC104" s="7">
        <v>7.0901643973087014E-2</v>
      </c>
      <c r="GD104" s="7">
        <v>7.6214854953543243E-2</v>
      </c>
      <c r="GE104" s="7"/>
      <c r="GF104" s="7"/>
      <c r="GG104" s="7">
        <v>7.4937768473648192E-2</v>
      </c>
      <c r="GH104" s="42">
        <v>2.3501018998584065</v>
      </c>
      <c r="GI104" s="6">
        <v>12085.940306052073</v>
      </c>
      <c r="GJ104" s="14">
        <v>0.51074630601039561</v>
      </c>
      <c r="GK104" s="14">
        <v>0.50829519786160982</v>
      </c>
      <c r="GL104" s="14">
        <v>0.48925369398960444</v>
      </c>
      <c r="GM104" s="14">
        <v>0.49170480213839041</v>
      </c>
      <c r="GO104" s="5">
        <v>338.16872463277008</v>
      </c>
      <c r="GP104" s="5">
        <v>315.27501390194027</v>
      </c>
      <c r="GQ104" s="5">
        <v>519.39401419935825</v>
      </c>
      <c r="GR104" s="5">
        <v>400.22503305126548</v>
      </c>
      <c r="GS104" s="5">
        <v>330.05398937228341</v>
      </c>
      <c r="GT104" s="5">
        <v>280.96783041547633</v>
      </c>
      <c r="GU104" s="5">
        <v>254.29573314828914</v>
      </c>
      <c r="GV104" s="39" t="s">
        <v>392</v>
      </c>
      <c r="GW104" s="5">
        <v>465.98611111111109</v>
      </c>
      <c r="GX104" s="5">
        <v>349.48958333333331</v>
      </c>
      <c r="GY104" s="5">
        <v>279.59166666666664</v>
      </c>
      <c r="GZ104" s="5">
        <v>246.7101413400797</v>
      </c>
      <c r="HA104" s="5">
        <v>228.52966821545914</v>
      </c>
      <c r="HB104" s="39">
        <v>263.19401457166236</v>
      </c>
      <c r="HC104" s="5">
        <v>86.328124999999972</v>
      </c>
      <c r="HD104" s="5">
        <v>102.01032529239761</v>
      </c>
      <c r="HE104" s="5">
        <v>112.76211622807014</v>
      </c>
      <c r="HF104" s="5">
        <v>113.68692434210524</v>
      </c>
      <c r="HG104" s="5">
        <v>121.36326754385965</v>
      </c>
      <c r="HH104" s="39">
        <v>105.84117143195655</v>
      </c>
      <c r="HI104" s="16"/>
      <c r="HJ104" s="19" t="str">
        <f t="shared" si="107"/>
        <v>On</v>
      </c>
      <c r="HK104" s="1" t="str">
        <f t="shared" si="108"/>
        <v>On</v>
      </c>
      <c r="HL104" s="16"/>
      <c r="HM104" s="639">
        <f t="shared" si="42"/>
        <v>1.7699001661282989E-2</v>
      </c>
      <c r="HN104" s="639">
        <f t="shared" si="43"/>
        <v>1.0509929974846072E-3</v>
      </c>
      <c r="HO104" s="639">
        <f t="shared" si="44"/>
        <v>5.7398960259851091E-2</v>
      </c>
      <c r="HP104" s="644">
        <f>(FT104*$GD104-HM104)/$JF104*INDEX(Input!$1:$1048576,$JG$93,$C104*2+6)</f>
        <v>-0.50316301383964734</v>
      </c>
      <c r="HQ104" s="644">
        <f>(FU104*$GD104-HN104)/$JF104*INDEX(Input!$1:$1048576,$JG$93,$C104*2+6)</f>
        <v>2.2194064803710853</v>
      </c>
      <c r="HR104" s="644">
        <f>(FV104*$GD104-HO104)/$JF104*INDEX(Input!$1:$1048576,$JG$93,$C104*2+6)</f>
        <v>-0.86987289946218715</v>
      </c>
      <c r="HS104" s="644">
        <f t="shared" si="45"/>
        <v>-0.17397457989243745</v>
      </c>
      <c r="HT104" s="644">
        <f t="shared" si="46"/>
        <v>13.911847273230469</v>
      </c>
      <c r="HU104" s="644">
        <f t="shared" si="47"/>
        <v>0.17397457989243745</v>
      </c>
      <c r="HV104" s="648">
        <f t="shared" si="48"/>
        <v>0</v>
      </c>
      <c r="HW104" s="648">
        <f t="shared" si="49"/>
        <v>0</v>
      </c>
      <c r="HX104" s="648">
        <f t="shared" si="50"/>
        <v>0</v>
      </c>
      <c r="HY104" s="644">
        <f>INDEX(Input!$1:$1048576,HY$93,$C104*2+6)*INDEX(Input!$1:$1048576,$JG$93,$C104*2+6)</f>
        <v>154.99999999999997</v>
      </c>
      <c r="HZ104" s="644">
        <f>INDEX(Input!$1:$1048576,HZ$93,$C104*2+6)*INDEX(Input!$1:$1048576,$JG$93,$C104*2+6)</f>
        <v>140</v>
      </c>
      <c r="IA104" s="644">
        <f>INDEX(Input!$1:$1048576,IA$93,$C104*2+6)*INDEX(Input!$1:$1048576,$JG$93,$C104*2+6)</f>
        <v>683</v>
      </c>
      <c r="IB104" s="644">
        <f t="shared" si="88"/>
        <v>154.32286240626797</v>
      </c>
      <c r="IC104" s="644">
        <f t="shared" si="89"/>
        <v>156.13125375360156</v>
      </c>
      <c r="ID104" s="644">
        <f>IF(AND(INDEX(Input!$1:$1048576,IA$93,$C104*2+7)="TOS",Y104&lt;=INDEX(Y:Y,MATCH(C104*1000+2,A:A))),0,1)*MAX(IA104+HR104+HU104+HX104,0%)</f>
        <v>682.30410168043022</v>
      </c>
      <c r="IE104" s="128">
        <f t="shared" si="90"/>
        <v>0.15544858721188964</v>
      </c>
      <c r="IF104" s="128">
        <f t="shared" si="51"/>
        <v>0.15727017006543445</v>
      </c>
      <c r="IG104" s="128">
        <f t="shared" si="52"/>
        <v>0.68728124272267588</v>
      </c>
      <c r="IH104" s="21"/>
      <c r="II104" s="19">
        <f t="shared" si="53"/>
        <v>1200</v>
      </c>
      <c r="IJ104" s="19">
        <f t="shared" si="54"/>
        <v>2231.5502763133163</v>
      </c>
      <c r="IK104" s="19">
        <f t="shared" si="55"/>
        <v>4498</v>
      </c>
      <c r="IL104" s="19">
        <f t="shared" si="91"/>
        <v>0</v>
      </c>
      <c r="IM104" s="19">
        <f t="shared" si="56"/>
        <v>500</v>
      </c>
      <c r="IN104" s="19">
        <f t="shared" si="56"/>
        <v>0</v>
      </c>
      <c r="IO104" s="39">
        <f t="shared" si="57"/>
        <v>0</v>
      </c>
      <c r="IP104" s="39">
        <f t="shared" si="58"/>
        <v>0</v>
      </c>
      <c r="IQ104" s="39">
        <f t="shared" si="59"/>
        <v>0</v>
      </c>
      <c r="IR104" s="39">
        <v>0</v>
      </c>
      <c r="IS104" s="39">
        <v>0</v>
      </c>
      <c r="IT104" s="39">
        <v>0</v>
      </c>
      <c r="IU104" s="39">
        <v>0</v>
      </c>
      <c r="IV104" s="39">
        <v>0</v>
      </c>
      <c r="IW104" s="39">
        <v>0</v>
      </c>
      <c r="IX104" s="39">
        <f>INDEX(Input!$1:$1048576,IX$93,$C104*2+6)+INDEX(Input!$1:$1048576,IX$94,$C104*2+6)</f>
        <v>1600</v>
      </c>
      <c r="IY104" s="39">
        <f>INDEX(Input!$1:$1048576,IY$93,$C104*2+6)+INDEX(Input!$1:$1048576,IY$94,$C104*2+6)</f>
        <v>2503.5492916397525</v>
      </c>
      <c r="IZ104" s="39">
        <f>INDEX(Input!$1:$1048576,IZ$93,$C104*2+6)+INDEX(Input!$1:$1048576,IZ$94,$C104*2+6)</f>
        <v>6273.7109265464023</v>
      </c>
      <c r="JA104" s="19">
        <f t="shared" si="92"/>
        <v>1600</v>
      </c>
      <c r="JB104" s="19">
        <f t="shared" si="92"/>
        <v>3003.5492916397525</v>
      </c>
      <c r="JC104" s="19">
        <f t="shared" si="92"/>
        <v>6273.7109265464023</v>
      </c>
      <c r="JD104" s="19">
        <f t="shared" si="93"/>
        <v>5032.8902895147648</v>
      </c>
      <c r="JE104" s="21"/>
      <c r="JF104" s="1">
        <f t="shared" si="60"/>
        <v>7.6148954918618686E-2</v>
      </c>
      <c r="JG104" s="15">
        <f>INDEX(Input!$1:$1048576,JG$93,$C104*2+6)/(1+VLOOKUP(C104*1000+INDEX(Input!$1:$1048576,JG$93+1,$C104*2+6),$A:$KK,$JK$92,FALSE))</f>
        <v>978</v>
      </c>
      <c r="JH104" s="1">
        <f t="shared" si="94"/>
        <v>8.6540957778042001E-4</v>
      </c>
      <c r="JI104" s="1">
        <f t="shared" si="95"/>
        <v>1.422479271291459E-2</v>
      </c>
      <c r="JJ104" s="1">
        <f t="shared" si="96"/>
        <v>0</v>
      </c>
      <c r="JK104" s="1">
        <f t="shared" si="97"/>
        <v>1.509020229069501E-2</v>
      </c>
      <c r="JL104" s="15">
        <f t="shared" si="98"/>
        <v>14.75821784029972</v>
      </c>
      <c r="JM104" s="15">
        <f t="shared" si="99"/>
        <v>992.75821784029972</v>
      </c>
      <c r="JN104" s="21"/>
      <c r="JO104" s="19">
        <f>INDEX(Input!$1:$1048576,JO$93,$C104*2+6)</f>
        <v>5908.5</v>
      </c>
      <c r="JP104" s="19">
        <f>INDEX(Input!$1:$1048576,JP$93,$C104*2+6)</f>
        <v>4993.2939301234746</v>
      </c>
      <c r="JQ104" s="39">
        <f t="shared" si="109"/>
        <v>875.60971048523515</v>
      </c>
      <c r="JR104" s="39">
        <f t="shared" si="61"/>
        <v>39.596359391290207</v>
      </c>
      <c r="JS104" s="39">
        <f t="shared" si="62"/>
        <v>4.9964431944044279</v>
      </c>
      <c r="JT104" s="39">
        <f t="shared" si="100"/>
        <v>0.1130017307436699</v>
      </c>
      <c r="JU104" s="385">
        <f>(JQ104*JM104-INDEX(Input!$1:$1048576,Input!A$18,$C104*2+6)*JL104*INDEX(Input!$1:$1048576,Input!A$19,$C104*2+6))/1000000</f>
        <v>0.86926873570498286</v>
      </c>
      <c r="JV104" s="39">
        <f t="shared" si="63"/>
        <v>-2.5802800634258882E-2</v>
      </c>
      <c r="JW104" s="1">
        <f>JV104/(JU104-JV104)</f>
        <v>-2.8827640681983818E-2</v>
      </c>
      <c r="JX104" s="19">
        <f t="shared" ref="JX104:JX111" si="113">IF(JL104=0,0,JT104/JL104)*1000000</f>
        <v>7656.868326953424</v>
      </c>
      <c r="JZ104" s="468">
        <f>(HZ104+HQ104)/SUM(HP104:HR104,HY104:IA104)*IM104</f>
        <v>72.646439092367459</v>
      </c>
      <c r="KA104" s="469">
        <f>JH104/(JZ104/BX104)</f>
        <v>0.23461909279151594</v>
      </c>
      <c r="KB104" s="469">
        <f t="shared" si="110"/>
        <v>3.2656316020464753</v>
      </c>
      <c r="KC104" s="469">
        <f>MIN(KE103+0.5,KE103*1.1)</f>
        <v>3.7404818837541756</v>
      </c>
      <c r="KD104" s="469">
        <f>KC104+2</f>
        <v>5.7404818837541756</v>
      </c>
      <c r="KE104" s="469">
        <f>MIN(MAX(KA104,KC104),KD104)</f>
        <v>3.7404818837541756</v>
      </c>
      <c r="KF104" s="470">
        <f>A104</f>
        <v>1004</v>
      </c>
      <c r="KG104" s="471">
        <f>IF(HK104="Off",0,(JH104/KA104*KE104-JH104)/MAX(IL104:IN104)*1000)</f>
        <v>2.5863259478026528E-2</v>
      </c>
      <c r="KH104" s="472"/>
      <c r="KI104" s="473">
        <f t="shared" si="111"/>
        <v>-0.67713759373199878</v>
      </c>
      <c r="KJ104" s="473">
        <f t="shared" si="101"/>
        <v>16.131253753601555</v>
      </c>
      <c r="KK104" s="473">
        <f t="shared" si="102"/>
        <v>-0.69589831956977832</v>
      </c>
      <c r="KL104" s="472" t="str">
        <f>IF(OR(KI104&gt;0,KK104&gt;0),"Error - Adjust TR","ok")</f>
        <v>ok</v>
      </c>
      <c r="KN104" s="544">
        <f t="shared" ref="KN104:KN114" si="114">KM104+(KN103-KM103)</f>
        <v>1002</v>
      </c>
      <c r="KO104" s="541">
        <f t="shared" si="64"/>
        <v>-6.1762283444678601E-2</v>
      </c>
      <c r="KP104" s="546">
        <f t="shared" si="65"/>
        <v>-269.81882176308136</v>
      </c>
      <c r="KQ104" s="546">
        <f t="shared" si="66"/>
        <v>-321.56361046067559</v>
      </c>
      <c r="KR104" s="548">
        <f t="shared" si="67"/>
        <v>3.2825911372443253</v>
      </c>
      <c r="KS104" s="548">
        <f t="shared" si="68"/>
        <v>2.7543691020023271</v>
      </c>
      <c r="KT104" s="473">
        <f t="shared" si="112"/>
        <v>-82.310573396665475</v>
      </c>
      <c r="KU104" s="663">
        <f t="shared" si="103"/>
        <v>-51.111557506468081</v>
      </c>
      <c r="KV104" s="117"/>
    </row>
    <row r="105" spans="1:310" s="26" customFormat="1" ht="15">
      <c r="A105" s="561">
        <f t="shared" si="69"/>
        <v>1005</v>
      </c>
      <c r="B105" s="561">
        <f t="shared" si="104"/>
        <v>5</v>
      </c>
      <c r="C105" s="561">
        <f t="shared" si="105"/>
        <v>1</v>
      </c>
      <c r="D105" s="561" t="s">
        <v>568</v>
      </c>
      <c r="E105" s="115">
        <f>INDEX(Input!$1:$1048576,E$93,$C105*2+MIN($B105,1)+5)</f>
        <v>750</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1.9E-2</v>
      </c>
      <c r="W105" s="862">
        <f>INDEX(Input!$1:$1048576,W$93,$C105*2+MIN($B105,1)+5)</f>
        <v>3.9E-2</v>
      </c>
      <c r="X105" s="118" t="str">
        <f>INDEX(Input!$1:$1048576,X$93,$C105*2+MIN($B105,1)+5)</f>
        <v>Y</v>
      </c>
      <c r="Y105" s="475">
        <f>INDEX(Input!$1:$1048576,Y$93,$C105*2+MIN($B105,1)+5)+500</f>
        <v>3443</v>
      </c>
      <c r="Z105" s="30">
        <f>INDEX(Input!$1:$1048576,Z$93,$C105*2+MIN($B105,1)+5)</f>
        <v>0</v>
      </c>
      <c r="AA105" s="115">
        <f>INDEX(Input!$1:$1048576,AA$93,$C105*2+MIN($B105,1)+5)</f>
        <v>0</v>
      </c>
      <c r="AB105" s="118">
        <f>INDEX(Input!$1:$1048576,AB$93,$C105*2+MIN($B105,1)+5)</f>
        <v>1</v>
      </c>
      <c r="AC105" s="115">
        <f>INDEX(Input!$1:$1048576,AC$93,$C105*2+MIN($B105,1)+5)</f>
        <v>1000</v>
      </c>
      <c r="AD105" s="118">
        <f>INDEX(Input!$1:$1048576,AD$93,$C105*2+MIN($B105,1)+5)</f>
        <v>0.35</v>
      </c>
      <c r="AE105" s="115">
        <f>INDEX(Input!$1:$1048576,AE$93,$C105*2+MIN($B105,1)+5)</f>
        <v>0</v>
      </c>
      <c r="AF105" s="118">
        <f>INDEX(Input!$1:$1048576,AF$93,$C105*2+MIN($B105,1)+5)</f>
        <v>1</v>
      </c>
      <c r="AG105" s="115">
        <f>INDEX(Input!$1:$1048576,AG$93,$C105*2+MIN($B105,1)+5)</f>
        <v>500</v>
      </c>
      <c r="AH105" s="118">
        <f>INDEX(Input!$1:$1048576,AH$93,$C105*2+MIN($B105,1)+5)</f>
        <v>1</v>
      </c>
      <c r="AI105" s="115">
        <f>INDEX(Input!$1:$1048576,AI$93,$C105*2+MIN($B105,1)+5)</f>
        <v>500</v>
      </c>
      <c r="AJ105" s="118">
        <f>INDEX(Input!$1:$1048576,AJ$93,$C105*2+MIN($B105,1)+5)</f>
        <v>0.35</v>
      </c>
      <c r="AK105" s="150">
        <f>ROUND(INDEX(Input!$1:$1048576,AK$93,$C104*2+MIN($B105,1)+5)+(Y105-VLOOKUP($C105*1000+1,$A:$HH,Y$92,FALSE)),0)</f>
        <v>6099</v>
      </c>
      <c r="AL105" s="150">
        <f>ROUND(INDEX(Input!$1:$1048576,AL$93,$C104*2+MIN($B105,1)+5)-(Y105-VLOOKUP($C105*1000+1,$A:$HH,Y$92,FALSE))/36,0)</f>
        <v>5585</v>
      </c>
      <c r="AM105" s="32" t="str">
        <f t="shared" si="70"/>
        <v>std/std/std/std</v>
      </c>
      <c r="AN105" s="32" t="str">
        <f t="shared" si="71"/>
        <v>$0 + 0/0/0/1.9/3.9</v>
      </c>
      <c r="AO105" s="32" t="str">
        <f t="shared" si="72"/>
        <v>0/0/0/1.9/3.9</v>
      </c>
      <c r="AP105" s="32" t="str">
        <f t="shared" si="73"/>
        <v>0/0.9/1.9/3.9</v>
      </c>
      <c r="AQ105" s="536">
        <f t="shared" si="39"/>
        <v>850.12705124154138</v>
      </c>
      <c r="AR105" s="32"/>
      <c r="AS105" s="302"/>
      <c r="AT105" s="3">
        <f t="shared" si="106"/>
        <v>5</v>
      </c>
      <c r="AU105" s="41" t="s">
        <v>121</v>
      </c>
      <c r="AV105" s="41" t="s">
        <v>116</v>
      </c>
      <c r="AW105" s="41" t="str">
        <f>INDEX(Input!$1:$1048576,AW$93,$C105*2+6)</f>
        <v>Kia</v>
      </c>
      <c r="AX105" s="41" t="str">
        <f>INDEX(Input!$1:$1048576,AX$93,$C105*2+6)</f>
        <v>Kia-LR - L1</v>
      </c>
      <c r="AY105" s="41" t="str">
        <f>IF(LEN(D105)=0,"",INDEX(Input!$1:$1048576,AY$93,$C105*2+6))</f>
        <v>Compact Conventional/Sporty Car (43)</v>
      </c>
      <c r="AZ105" s="41" t="str">
        <f>INDEX(Input!$1:$1048576,AZ$93,$C105*2+6)</f>
        <v>Kia Forte</v>
      </c>
      <c r="BA105" s="3">
        <f>INDEX(Input!$1:$1048576,BA$93,$C105*2+6)</f>
        <v>2020</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19695</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4"/>
        <v>1100</v>
      </c>
      <c r="CJ105" s="16" t="str">
        <f>INDEX(Input!$1:$1048576,CJ$93,$C105*2+6)</f>
        <v>N</v>
      </c>
      <c r="CK105" s="1" t="str">
        <f t="shared" si="75"/>
        <v>Market</v>
      </c>
      <c r="CL105" s="1" t="str">
        <f t="shared" si="76"/>
        <v>Market</v>
      </c>
      <c r="CM105" s="1" t="str">
        <f t="shared" si="77"/>
        <v>Market</v>
      </c>
      <c r="CN105" s="1" t="str">
        <f t="shared" si="78"/>
        <v>Market</v>
      </c>
      <c r="CO105" s="1" t="str">
        <f t="shared" si="79"/>
        <v>Market</v>
      </c>
      <c r="CP105" s="304">
        <f t="shared" si="80"/>
        <v>350</v>
      </c>
      <c r="CQ105" s="1">
        <f t="shared" si="81"/>
        <v>0</v>
      </c>
      <c r="CR105" s="1">
        <f t="shared" si="82"/>
        <v>0</v>
      </c>
      <c r="CS105" s="1">
        <f t="shared" si="83"/>
        <v>0</v>
      </c>
      <c r="CT105" s="1">
        <f t="shared" si="84"/>
        <v>1.9E-2</v>
      </c>
      <c r="CU105" s="1">
        <f t="shared" si="85"/>
        <v>3.9E-2</v>
      </c>
      <c r="CV105" s="304">
        <f t="shared" si="86"/>
        <v>3618</v>
      </c>
      <c r="CW105" s="20" t="s">
        <v>122</v>
      </c>
      <c r="CX105" s="20" t="s">
        <v>122</v>
      </c>
      <c r="CY105" s="20" t="s">
        <v>122</v>
      </c>
      <c r="CZ105" s="20" t="s">
        <v>122</v>
      </c>
      <c r="DA105" s="20" t="s">
        <v>122</v>
      </c>
      <c r="DB105" s="503">
        <f t="shared" si="87"/>
        <v>500</v>
      </c>
      <c r="DC105" s="127">
        <v>0</v>
      </c>
      <c r="DD105" s="127">
        <v>0</v>
      </c>
      <c r="DE105" s="127">
        <v>0</v>
      </c>
      <c r="DF105" s="127">
        <v>0</v>
      </c>
      <c r="DG105" s="127">
        <v>0</v>
      </c>
      <c r="DH105" s="127">
        <v>0</v>
      </c>
      <c r="DI105" s="127">
        <v>0</v>
      </c>
      <c r="DJ105" s="127">
        <v>0</v>
      </c>
      <c r="DK105" s="127">
        <v>0</v>
      </c>
      <c r="DL105" s="127">
        <v>0</v>
      </c>
      <c r="DM105" s="304">
        <f>INDEX(Input!$1:$1048576,DM$93,$C105*2+6)</f>
        <v>20731.578947368424</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1.187749351152975E-2</v>
      </c>
      <c r="DZ105" s="7">
        <v>0</v>
      </c>
      <c r="EA105" s="7">
        <v>0.1872466685738822</v>
      </c>
      <c r="EB105" s="7">
        <v>0</v>
      </c>
      <c r="EC105" s="7">
        <v>0</v>
      </c>
      <c r="ED105" s="7">
        <v>0</v>
      </c>
      <c r="EE105" s="7">
        <v>0</v>
      </c>
      <c r="EF105" s="7">
        <v>0</v>
      </c>
      <c r="EG105" s="7">
        <v>0</v>
      </c>
      <c r="EH105" s="7">
        <v>1.9867163211649868E-2</v>
      </c>
      <c r="EI105" s="7">
        <v>3.5734944822064248E-2</v>
      </c>
      <c r="EJ105" s="7">
        <v>0.28104141462213039</v>
      </c>
      <c r="EK105" s="7">
        <v>0.62010092925970739</v>
      </c>
      <c r="EL105" s="7">
        <v>4.3255548084448148E-2</v>
      </c>
      <c r="EM105" s="7">
        <v>1.1824288396986763E-2</v>
      </c>
      <c r="EN105" s="7">
        <v>5.758422551736922E-2</v>
      </c>
      <c r="EO105" s="7">
        <v>0.54151053057832643</v>
      </c>
      <c r="EP105" s="7">
        <v>0.31262276922106436</v>
      </c>
      <c r="EQ105" s="7">
        <v>5.1307518110827371E-2</v>
      </c>
      <c r="ER105" s="7">
        <v>3.6974956572412516E-2</v>
      </c>
      <c r="ES105" s="7">
        <v>0.78905154951760104</v>
      </c>
      <c r="ET105" s="7">
        <v>0.80087583791458805</v>
      </c>
      <c r="EU105" s="6">
        <v>1200</v>
      </c>
      <c r="EV105" s="6">
        <v>0</v>
      </c>
      <c r="EW105" s="6">
        <v>1200</v>
      </c>
      <c r="EX105" s="6">
        <v>0</v>
      </c>
      <c r="EY105" s="6">
        <v>2231.5502763133168</v>
      </c>
      <c r="EZ105" s="6">
        <v>4998</v>
      </c>
      <c r="FA105" s="6">
        <v>0</v>
      </c>
      <c r="FB105" s="6">
        <v>0</v>
      </c>
      <c r="FC105" s="6">
        <v>0</v>
      </c>
      <c r="FD105" s="6">
        <v>0</v>
      </c>
      <c r="FE105" s="6">
        <v>0</v>
      </c>
      <c r="FF105" s="6">
        <v>0</v>
      </c>
      <c r="FG105" s="6">
        <v>0</v>
      </c>
      <c r="FH105" s="6">
        <v>1152.1208270377817</v>
      </c>
      <c r="FI105" s="6">
        <v>1531.4299904380621</v>
      </c>
      <c r="FJ105" s="6">
        <v>2070.7205842538219</v>
      </c>
      <c r="FK105" s="6">
        <v>1746.9903521590438</v>
      </c>
      <c r="FL105" s="6">
        <v>893.91433563489386</v>
      </c>
      <c r="FM105" s="6">
        <v>1781.5502763133168</v>
      </c>
      <c r="FN105" s="6">
        <v>0</v>
      </c>
      <c r="FO105" s="6">
        <v>0</v>
      </c>
      <c r="FP105" s="6">
        <v>0</v>
      </c>
      <c r="FQ105" s="6">
        <v>0</v>
      </c>
      <c r="FR105" s="6">
        <v>0</v>
      </c>
      <c r="FS105" s="6">
        <v>0</v>
      </c>
      <c r="FT105" s="7">
        <v>0.19912416208541195</v>
      </c>
      <c r="FU105" s="7">
        <v>1.1824288396986763E-2</v>
      </c>
      <c r="FV105" s="7">
        <v>0.78905154951760104</v>
      </c>
      <c r="FW105" s="6">
        <v>1200</v>
      </c>
      <c r="FX105" s="6">
        <v>2231.5502763133168</v>
      </c>
      <c r="FY105" s="6">
        <v>4998</v>
      </c>
      <c r="FZ105" s="6">
        <v>3077.4375890575293</v>
      </c>
      <c r="GA105" s="6">
        <v>4209.0151330309691</v>
      </c>
      <c r="GB105" s="6">
        <v>15485.984866969031</v>
      </c>
      <c r="GC105" s="7">
        <v>7.0901643973087014E-2</v>
      </c>
      <c r="GD105" s="7">
        <v>8.1276832711214012E-2</v>
      </c>
      <c r="GE105" s="7"/>
      <c r="GF105" s="7"/>
      <c r="GG105" s="7">
        <v>0.14633213218674071</v>
      </c>
      <c r="GH105" s="42">
        <v>2.5468969040317968</v>
      </c>
      <c r="GI105" s="6">
        <v>11941.954761966226</v>
      </c>
      <c r="GJ105" s="14">
        <v>0.5107463060103955</v>
      </c>
      <c r="GK105" s="14">
        <v>0.5082951978616097</v>
      </c>
      <c r="GL105" s="14">
        <v>0.48925369398960433</v>
      </c>
      <c r="GM105" s="14">
        <v>0.49170480213839041</v>
      </c>
      <c r="GO105" s="5">
        <v>338.16872463277008</v>
      </c>
      <c r="GP105" s="5">
        <v>315.27501390194027</v>
      </c>
      <c r="GQ105" s="5">
        <v>527.27910984145694</v>
      </c>
      <c r="GR105" s="5">
        <v>404.20319246551543</v>
      </c>
      <c r="GS105" s="5">
        <v>334.50205195691484</v>
      </c>
      <c r="GT105" s="5">
        <v>289.18266033348181</v>
      </c>
      <c r="GU105" s="5">
        <v>254.29573314828914</v>
      </c>
      <c r="GV105" s="39" t="s">
        <v>392</v>
      </c>
      <c r="GW105" s="5">
        <v>479.875</v>
      </c>
      <c r="GX105" s="5">
        <v>359.90625</v>
      </c>
      <c r="GY105" s="5">
        <v>287.92500000000001</v>
      </c>
      <c r="GZ105" s="5">
        <v>254.06342861438094</v>
      </c>
      <c r="HA105" s="5">
        <v>235.34107974463737</v>
      </c>
      <c r="HB105" s="39">
        <v>271.0386098019585</v>
      </c>
      <c r="HC105" s="5">
        <v>64.453124999999972</v>
      </c>
      <c r="HD105" s="5">
        <v>87.079769736842053</v>
      </c>
      <c r="HE105" s="5">
        <v>98.899936740890666</v>
      </c>
      <c r="HF105" s="5">
        <v>102.12442434210524</v>
      </c>
      <c r="HG105" s="5">
        <v>111.77993421052631</v>
      </c>
      <c r="HH105" s="39">
        <v>91.157276662452077</v>
      </c>
      <c r="HI105" s="16"/>
      <c r="HJ105" s="19" t="str">
        <f t="shared" si="107"/>
        <v>On</v>
      </c>
      <c r="HK105" s="1" t="str">
        <f t="shared" si="108"/>
        <v>On</v>
      </c>
      <c r="HL105" s="16"/>
      <c r="HM105" s="639">
        <f t="shared" si="42"/>
        <v>1.7699001661282989E-2</v>
      </c>
      <c r="HN105" s="639">
        <f t="shared" si="43"/>
        <v>1.0509929974846072E-3</v>
      </c>
      <c r="HO105" s="639">
        <f t="shared" si="44"/>
        <v>5.7398960259851091E-2</v>
      </c>
      <c r="HP105" s="644">
        <f>(FT105*$GD105-HM105)/$JF105*INDEX(Input!$1:$1048576,$JG$93,$C105*2+6)</f>
        <v>-19.455216455354524</v>
      </c>
      <c r="HQ105" s="644">
        <f>(FU105*$GD105-HN105)/$JF105*INDEX(Input!$1:$1048576,$JG$93,$C105*2+6)</f>
        <v>-1.1552796395207907</v>
      </c>
      <c r="HR105" s="644">
        <f>(FV105*$GD105-HO105)/$JF105*INDEX(Input!$1:$1048576,$JG$93,$C105*2+6)</f>
        <v>86.469108160108107</v>
      </c>
      <c r="HS105" s="644">
        <f t="shared" si="45"/>
        <v>0</v>
      </c>
      <c r="HT105" s="644">
        <f t="shared" si="46"/>
        <v>0</v>
      </c>
      <c r="HU105" s="644">
        <f t="shared" si="47"/>
        <v>22.992698478544657</v>
      </c>
      <c r="HV105" s="648">
        <f t="shared" si="48"/>
        <v>0</v>
      </c>
      <c r="HW105" s="648">
        <f t="shared" si="49"/>
        <v>0</v>
      </c>
      <c r="HX105" s="648">
        <f t="shared" si="50"/>
        <v>0</v>
      </c>
      <c r="HY105" s="644">
        <f>INDEX(Input!$1:$1048576,HY$93,$C105*2+6)*INDEX(Input!$1:$1048576,$JG$93,$C105*2+6)</f>
        <v>154.99999999999997</v>
      </c>
      <c r="HZ105" s="644">
        <f>INDEX(Input!$1:$1048576,HZ$93,$C105*2+6)*INDEX(Input!$1:$1048576,$JG$93,$C105*2+6)</f>
        <v>140</v>
      </c>
      <c r="IA105" s="644">
        <f>INDEX(Input!$1:$1048576,IA$93,$C105*2+6)*INDEX(Input!$1:$1048576,$JG$93,$C105*2+6)</f>
        <v>683</v>
      </c>
      <c r="IB105" s="644">
        <f t="shared" si="88"/>
        <v>135.54478354464538</v>
      </c>
      <c r="IC105" s="644">
        <f t="shared" si="89"/>
        <v>138.84472036047922</v>
      </c>
      <c r="ID105" s="644">
        <f>IF(AND(INDEX(Input!$1:$1048576,IA$93,$C105*2+7)="TOS",Y105&lt;=INDEX(Y:Y,MATCH(C105*1000+2,A:A))),0,1)*MAX(IA105+HR105+HU105+HX105,0%)</f>
        <v>792.46180663865277</v>
      </c>
      <c r="IE105" s="128">
        <f t="shared" ref="IE105:IE106" si="115">IB105/SUM($IB105:$ID105)</f>
        <v>0.1270512415413895</v>
      </c>
      <c r="IF105" s="128">
        <f t="shared" ref="IF105:IF106" si="116">IC105/SUM($IB105:$ID105)</f>
        <v>0.13014439686980339</v>
      </c>
      <c r="IG105" s="128">
        <f t="shared" si="52"/>
        <v>0.74280436158880714</v>
      </c>
      <c r="IH105" s="21"/>
      <c r="II105" s="19">
        <f t="shared" si="53"/>
        <v>1200</v>
      </c>
      <c r="IJ105" s="19">
        <f t="shared" si="54"/>
        <v>2231.5502763133163</v>
      </c>
      <c r="IK105" s="19">
        <f t="shared" si="55"/>
        <v>4498</v>
      </c>
      <c r="IL105" s="19">
        <f t="shared" si="91"/>
        <v>0</v>
      </c>
      <c r="IM105" s="19">
        <f t="shared" si="56"/>
        <v>0</v>
      </c>
      <c r="IN105" s="19">
        <f t="shared" si="56"/>
        <v>500</v>
      </c>
      <c r="IO105" s="39">
        <f t="shared" si="57"/>
        <v>0</v>
      </c>
      <c r="IP105" s="39">
        <f t="shared" si="58"/>
        <v>0</v>
      </c>
      <c r="IQ105" s="39">
        <f t="shared" si="59"/>
        <v>0</v>
      </c>
      <c r="IR105" s="39">
        <v>0</v>
      </c>
      <c r="IS105" s="39">
        <v>0</v>
      </c>
      <c r="IT105" s="39">
        <v>0</v>
      </c>
      <c r="IU105" s="39">
        <v>0</v>
      </c>
      <c r="IV105" s="39">
        <v>0</v>
      </c>
      <c r="IW105" s="39">
        <v>0</v>
      </c>
      <c r="IX105" s="39">
        <f>INDEX(Input!$1:$1048576,IX$93,$C105*2+6)+INDEX(Input!$1:$1048576,IX$94,$C105*2+6)</f>
        <v>1600</v>
      </c>
      <c r="IY105" s="39">
        <f>INDEX(Input!$1:$1048576,IY$93,$C105*2+6)+INDEX(Input!$1:$1048576,IY$94,$C105*2+6)</f>
        <v>2503.5492916397525</v>
      </c>
      <c r="IZ105" s="39">
        <f>INDEX(Input!$1:$1048576,IZ$93,$C105*2+6)+INDEX(Input!$1:$1048576,IZ$94,$C105*2+6)</f>
        <v>6273.7109265464023</v>
      </c>
      <c r="JA105" s="19">
        <f t="shared" si="92"/>
        <v>1600</v>
      </c>
      <c r="JB105" s="19">
        <f t="shared" si="92"/>
        <v>2503.5492916397525</v>
      </c>
      <c r="JC105" s="19">
        <f t="shared" si="92"/>
        <v>6773.7109265464023</v>
      </c>
      <c r="JD105" s="19">
        <f t="shared" si="93"/>
        <v>5560.6469194409301</v>
      </c>
      <c r="JE105" s="21"/>
      <c r="JF105" s="1">
        <f t="shared" si="60"/>
        <v>7.6148954918618686E-2</v>
      </c>
      <c r="JG105" s="15">
        <f>INDEX(Input!$1:$1048576,JG$93,$C105*2+6)/(1+VLOOKUP(C105*1000+INDEX(Input!$1:$1048576,JG$93+1,$C105*2+6),$A:$KK,$JK$92,FALSE))</f>
        <v>978</v>
      </c>
      <c r="JH105" s="1">
        <f t="shared" si="94"/>
        <v>6.734009413622985E-2</v>
      </c>
      <c r="JI105" s="1">
        <f t="shared" si="95"/>
        <v>2.3509916644728689E-2</v>
      </c>
      <c r="JJ105" s="1">
        <f t="shared" si="96"/>
        <v>0</v>
      </c>
      <c r="JK105" s="1">
        <f>SUM(JH105:JJ105)</f>
        <v>9.0850010780958543E-2</v>
      </c>
      <c r="JL105" s="15">
        <f t="shared" si="98"/>
        <v>88.851310543777458</v>
      </c>
      <c r="JM105" s="15">
        <f t="shared" si="99"/>
        <v>1066.8513105437773</v>
      </c>
      <c r="JN105" s="21"/>
      <c r="JO105" s="19">
        <f>INDEX(Input!$1:$1048576,JO$93,$C105*2+6)</f>
        <v>5908.5</v>
      </c>
      <c r="JP105" s="19">
        <f>INDEX(Input!$1:$1048576,JP$93,$C105*2+6)</f>
        <v>4993.2939301234746</v>
      </c>
      <c r="JQ105" s="39">
        <f t="shared" si="109"/>
        <v>347.85308055906989</v>
      </c>
      <c r="JR105" s="39">
        <f t="shared" si="61"/>
        <v>567.35298931745547</v>
      </c>
      <c r="JS105" s="39">
        <f t="shared" si="62"/>
        <v>5.9323834534767741</v>
      </c>
      <c r="JT105" s="39">
        <f t="shared" si="100"/>
        <v>1.0489419898160166</v>
      </c>
      <c r="JU105" s="385">
        <f>(JQ105*JM105-INDEX(Input!$1:$1048576,Input!A$18,$C105*2+6)*JL105*INDEX(Input!$1:$1048576,Input!A$19,$C105*2+6))/1000000</f>
        <v>0.37110751487113391</v>
      </c>
      <c r="JV105" s="39">
        <f t="shared" si="63"/>
        <v>-0.52396402146810783</v>
      </c>
      <c r="JW105" s="1">
        <f t="shared" ref="JW105:JW111" si="117">JV105/(JU105-JV105)</f>
        <v>-0.58538787146675597</v>
      </c>
      <c r="JX105" s="19">
        <f t="shared" si="113"/>
        <v>11805.5882732219</v>
      </c>
      <c r="JZ105" s="468">
        <f>(IA105+HR105)/SUM(HP105:HR105,HY105:IA105)*IN105</f>
        <v>368.56960284963503</v>
      </c>
      <c r="KA105" s="469">
        <f>JH105/(JZ105/BX105)</f>
        <v>3.5984062270976835</v>
      </c>
      <c r="KB105" s="469">
        <f>KB104</f>
        <v>3.2656316020464753</v>
      </c>
      <c r="KC105" s="469">
        <f>MIN(KE104+1)</f>
        <v>4.7404818837541756</v>
      </c>
      <c r="KD105" s="469">
        <f>KC105+2</f>
        <v>6.7404818837541756</v>
      </c>
      <c r="KE105" s="469">
        <f>MIN(MAX(KA105,KC105),KD105)</f>
        <v>4.7404818837541756</v>
      </c>
      <c r="KF105" s="470">
        <f>A105</f>
        <v>1005</v>
      </c>
      <c r="KG105" s="471">
        <f>(JH105/KA105*KE105-JH105)/MAX(IL105:IN105)*1000</f>
        <v>4.274530299041579E-2</v>
      </c>
      <c r="KH105" s="472"/>
      <c r="KI105" s="473">
        <f t="shared" si="111"/>
        <v>-19.455216455354588</v>
      </c>
      <c r="KJ105" s="473">
        <f t="shared" si="101"/>
        <v>-1.1552796395207849</v>
      </c>
      <c r="KK105" s="473">
        <f t="shared" si="102"/>
        <v>109.46180663865277</v>
      </c>
      <c r="KL105" s="472" t="str">
        <f>IF(OR(KI105&gt;0,KJ105&gt;0),"Error - Adjust TR","ok")</f>
        <v>ok</v>
      </c>
      <c r="KN105" s="544">
        <f t="shared" si="114"/>
        <v>1002</v>
      </c>
      <c r="KO105" s="541">
        <f t="shared" si="64"/>
        <v>8.2617494581802564E-3</v>
      </c>
      <c r="KP105" s="546">
        <f t="shared" si="65"/>
        <v>27.112507913564855</v>
      </c>
      <c r="KQ105" s="546">
        <f t="shared" si="66"/>
        <v>206.19301946548967</v>
      </c>
      <c r="KR105" s="548">
        <f t="shared" si="67"/>
        <v>4.3698649844417492</v>
      </c>
      <c r="KS105" s="548">
        <f t="shared" si="68"/>
        <v>0.57459752652643237</v>
      </c>
      <c r="KT105" s="473">
        <f t="shared" si="112"/>
        <v>-82.310573396665475</v>
      </c>
      <c r="KU105" s="663">
        <f t="shared" si="103"/>
        <v>-49.448851247513652</v>
      </c>
      <c r="KV105" s="117"/>
    </row>
    <row r="106" spans="1:310" s="26" customFormat="1" ht="15">
      <c r="A106" s="561">
        <f t="shared" si="69"/>
        <v>1006</v>
      </c>
      <c r="B106" s="561">
        <f t="shared" si="104"/>
        <v>6</v>
      </c>
      <c r="C106" s="561">
        <f t="shared" si="105"/>
        <v>1</v>
      </c>
      <c r="D106" s="561" t="s">
        <v>742</v>
      </c>
      <c r="E106" s="115">
        <f>INDEX(Input!$1:$1048576,E$93,$C106*2+MIN($B106,1)+5)</f>
        <v>750</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1.9E-2</v>
      </c>
      <c r="W106" s="862">
        <f>INDEX(Input!$1:$1048576,W$93,$C106*2+MIN($B106,1)+5)</f>
        <v>3.9E-2</v>
      </c>
      <c r="X106" s="118" t="str">
        <f>INDEX(Input!$1:$1048576,X$93,$C106*2+MIN($B106,1)+5)</f>
        <v>Y</v>
      </c>
      <c r="Y106" s="150">
        <f>INDEX(Input!$1:$1048576,Y$93,$C106*2+MIN($B106,1)+5)</f>
        <v>2943</v>
      </c>
      <c r="Z106" s="477">
        <f>INDEX(Input!$1:$1048576,Z$93,$C106*2+MIN($B106,1)+5)+500</f>
        <v>500</v>
      </c>
      <c r="AA106" s="115">
        <f>INDEX(Input!$1:$1048576,AA$93,$C106*2+MIN($B106,1)+5)</f>
        <v>0</v>
      </c>
      <c r="AB106" s="118">
        <f>INDEX(Input!$1:$1048576,AB$93,$C106*2+MIN($B106,1)+5)</f>
        <v>1</v>
      </c>
      <c r="AC106" s="115">
        <f>INDEX(Input!$1:$1048576,AC$93,$C106*2+MIN($B106,1)+5)</f>
        <v>1000</v>
      </c>
      <c r="AD106" s="118">
        <f>INDEX(Input!$1:$1048576,AD$93,$C106*2+MIN($B106,1)+5)</f>
        <v>0.35</v>
      </c>
      <c r="AE106" s="115">
        <f>INDEX(Input!$1:$1048576,AE$93,$C106*2+MIN($B106,1)+5)</f>
        <v>0</v>
      </c>
      <c r="AF106" s="118">
        <f>INDEX(Input!$1:$1048576,AF$93,$C106*2+MIN($B106,1)+5)</f>
        <v>1</v>
      </c>
      <c r="AG106" s="115">
        <f>INDEX(Input!$1:$1048576,AG$93,$C106*2+MIN($B106,1)+5)</f>
        <v>500</v>
      </c>
      <c r="AH106" s="118">
        <f>INDEX(Input!$1:$1048576,AH$93,$C106*2+MIN($B106,1)+5)</f>
        <v>1</v>
      </c>
      <c r="AI106" s="115">
        <f>INDEX(Input!$1:$1048576,AI$93,$C106*2+MIN($B106,1)+5)</f>
        <v>500</v>
      </c>
      <c r="AJ106" s="118">
        <f>INDEX(Input!$1:$1048576,AJ$93,$C106*2+MIN($B106,1)+5)</f>
        <v>0.35</v>
      </c>
      <c r="AK106" s="150">
        <f>ROUND(INDEX(Input!$1:$1048576,AK$93,$C105*2+MIN($B106,1)+5)+(Y106-VLOOKUP($C106*1000+1,$A:$HH,Y$92,FALSE)),0)</f>
        <v>5599</v>
      </c>
      <c r="AL106" s="150">
        <f>ROUND(INDEX(Input!$1:$1048576,AL$93,$C105*2+MIN($B106,1)+5)-(Y106-VLOOKUP($C106*1000+1,$A:$HH,Y$92,FALSE))/36,0)</f>
        <v>5599</v>
      </c>
      <c r="AM106" s="32" t="str">
        <f t="shared" ref="AM106:AM111" si="118">IF(K106="market","std",ROUND(K106*1000,0)/10)&amp;"/"&amp;IF(L106="market","std",ROUND(L106*1000,0)/10)&amp;"/"&amp;IF(M106="market","std",ROUND(M106*1000,0)/10)&amp;"/"&amp;IF(N106="market","std",ROUND(N106*1000,0)/10)&amp;IF(P106="N","","/"&amp;IF(O106="market","std",ROUND(O106*1000,0)/10))</f>
        <v>std/std/std/std</v>
      </c>
      <c r="AN106" s="32" t="str">
        <f t="shared" ref="AN106:AN111" si="119">"$"&amp;ROUND(Q106,0)&amp;" + "&amp;IF(S106="market","std",ROUND(S106*1000,0)/10)&amp;"/"&amp;IF(T106="market","std",ROUND(T106*1000,0)/10)&amp;"/"&amp;IF(U106="market","std",ROUND(U106*1000,0)/10)&amp;"/"&amp;IF(V106="market","std",ROUND(V106*1000,0)/10)&amp;IF(X106="N","","/"&amp;IF(W106="market","std",ROUND(W106*1000,0)/10))</f>
        <v>$0 + 0/0/0/1.9/3.9</v>
      </c>
      <c r="AO106" s="32" t="str">
        <f t="shared" ref="AO106:AO111" si="120">IF(S106="market","std",ROUND(S106*1000,0)/10)&amp;"/"&amp;IF(T106="market","std",ROUND(T106*1000,0)/10)&amp;"/"&amp;IF(U106="market","std",ROUND(U106*1000,0)/10)&amp;"/"&amp;IF(V106="market","std",ROUND(V106*1000,0)/10)&amp;IF(X106="N","","/"&amp;IF(W106="market","std",ROUND(W106*1000,0)/10))</f>
        <v>0/0/0/1.9/3.9</v>
      </c>
      <c r="AP106" s="32" t="str">
        <f t="shared" si="73"/>
        <v>0/0.9/1.9/3.9</v>
      </c>
      <c r="AQ106" s="536">
        <f t="shared" si="39"/>
        <v>850.15069737565966</v>
      </c>
      <c r="AR106" s="32"/>
      <c r="AS106" s="302"/>
      <c r="AT106" s="3">
        <f t="shared" si="106"/>
        <v>6</v>
      </c>
      <c r="AU106" s="41" t="s">
        <v>121</v>
      </c>
      <c r="AV106" s="41" t="s">
        <v>116</v>
      </c>
      <c r="AW106" s="41" t="str">
        <f>INDEX(Input!$1:$1048576,AW$93,$C106*2+6)</f>
        <v>Kia</v>
      </c>
      <c r="AX106" s="41" t="str">
        <f>INDEX(Input!$1:$1048576,AX$93,$C106*2+6)</f>
        <v>Kia-LR - L1</v>
      </c>
      <c r="AY106" s="41" t="str">
        <f>IF(LEN(D106)=0,"",INDEX(Input!$1:$1048576,AY$93,$C106*2+6))</f>
        <v>Compact Conventional/Sporty Car (43)</v>
      </c>
      <c r="AZ106" s="41" t="str">
        <f>INDEX(Input!$1:$1048576,AZ$93,$C106*2+6)</f>
        <v>Kia Forte</v>
      </c>
      <c r="BA106" s="3">
        <f>INDEX(Input!$1:$1048576,BA$93,$C106*2+6)</f>
        <v>2020</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19695</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4"/>
        <v>1100</v>
      </c>
      <c r="CJ106" s="16" t="str">
        <f>INDEX(Input!$1:$1048576,CJ$93,$C106*2+6)</f>
        <v>N</v>
      </c>
      <c r="CK106" s="1" t="str">
        <f t="shared" si="75"/>
        <v>Market</v>
      </c>
      <c r="CL106" s="1" t="str">
        <f t="shared" si="76"/>
        <v>Market</v>
      </c>
      <c r="CM106" s="1" t="str">
        <f t="shared" si="77"/>
        <v>Market</v>
      </c>
      <c r="CN106" s="1" t="str">
        <f t="shared" si="78"/>
        <v>Market</v>
      </c>
      <c r="CO106" s="1" t="str">
        <f t="shared" si="79"/>
        <v>Market</v>
      </c>
      <c r="CP106" s="304">
        <f t="shared" si="80"/>
        <v>350</v>
      </c>
      <c r="CQ106" s="1">
        <f t="shared" si="81"/>
        <v>0</v>
      </c>
      <c r="CR106" s="1">
        <f t="shared" si="82"/>
        <v>0</v>
      </c>
      <c r="CS106" s="1">
        <f t="shared" si="83"/>
        <v>0</v>
      </c>
      <c r="CT106" s="1">
        <f t="shared" si="84"/>
        <v>1.9E-2</v>
      </c>
      <c r="CU106" s="1">
        <f t="shared" si="85"/>
        <v>3.9E-2</v>
      </c>
      <c r="CV106" s="304">
        <f t="shared" si="86"/>
        <v>3118</v>
      </c>
      <c r="CW106" s="20" t="s">
        <v>122</v>
      </c>
      <c r="CX106" s="20" t="s">
        <v>122</v>
      </c>
      <c r="CY106" s="20" t="s">
        <v>122</v>
      </c>
      <c r="CZ106" s="20" t="s">
        <v>122</v>
      </c>
      <c r="DA106" s="20" t="s">
        <v>122</v>
      </c>
      <c r="DB106" s="503">
        <f t="shared" si="87"/>
        <v>1000</v>
      </c>
      <c r="DC106" s="127">
        <v>0</v>
      </c>
      <c r="DD106" s="127">
        <v>0</v>
      </c>
      <c r="DE106" s="127">
        <v>0</v>
      </c>
      <c r="DF106" s="127">
        <v>0</v>
      </c>
      <c r="DG106" s="127">
        <v>0</v>
      </c>
      <c r="DH106" s="127">
        <v>0</v>
      </c>
      <c r="DI106" s="127">
        <v>0</v>
      </c>
      <c r="DJ106" s="127">
        <v>0</v>
      </c>
      <c r="DK106" s="127">
        <v>0</v>
      </c>
      <c r="DL106" s="127">
        <v>0</v>
      </c>
      <c r="DM106" s="304">
        <f>INDEX(Input!$1:$1048576,DM$93,$C106*2+6)</f>
        <v>20731.578947368424</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1.3502906049350723E-2</v>
      </c>
      <c r="DZ106" s="7">
        <v>0</v>
      </c>
      <c r="EA106" s="7">
        <v>0.21088861328617872</v>
      </c>
      <c r="EB106" s="7">
        <v>0</v>
      </c>
      <c r="EC106" s="7">
        <v>0</v>
      </c>
      <c r="ED106" s="7">
        <v>0</v>
      </c>
      <c r="EE106" s="7">
        <v>0</v>
      </c>
      <c r="EF106" s="7">
        <v>0</v>
      </c>
      <c r="EG106" s="7">
        <v>0</v>
      </c>
      <c r="EH106" s="7">
        <v>1.9867163211649871E-2</v>
      </c>
      <c r="EI106" s="7">
        <v>3.5734944822064255E-2</v>
      </c>
      <c r="EJ106" s="7">
        <v>0.28104141462213034</v>
      </c>
      <c r="EK106" s="7">
        <v>0.6201009292597075</v>
      </c>
      <c r="EL106" s="7">
        <v>4.3255548084448148E-2</v>
      </c>
      <c r="EM106" s="7">
        <v>1.3317234438018775E-2</v>
      </c>
      <c r="EN106" s="7">
        <v>5.7584225517369206E-2</v>
      </c>
      <c r="EO106" s="7">
        <v>0.54151053057832654</v>
      </c>
      <c r="EP106" s="7">
        <v>0.31262276922106436</v>
      </c>
      <c r="EQ106" s="7">
        <v>5.1307518110827371E-2</v>
      </c>
      <c r="ER106" s="7">
        <v>3.6974956572412516E-2</v>
      </c>
      <c r="ES106" s="7">
        <v>0.76229124622645161</v>
      </c>
      <c r="ET106" s="7">
        <v>0.77560848066447052</v>
      </c>
      <c r="EU106" s="6">
        <v>1700</v>
      </c>
      <c r="EV106" s="6">
        <v>0</v>
      </c>
      <c r="EW106" s="6">
        <v>1700</v>
      </c>
      <c r="EX106" s="6">
        <v>0</v>
      </c>
      <c r="EY106" s="6">
        <v>2731.5502763133168</v>
      </c>
      <c r="EZ106" s="6">
        <v>4998</v>
      </c>
      <c r="FA106" s="6">
        <v>0</v>
      </c>
      <c r="FB106" s="6">
        <v>0</v>
      </c>
      <c r="FC106" s="6">
        <v>0</v>
      </c>
      <c r="FD106" s="6">
        <v>0</v>
      </c>
      <c r="FE106" s="6">
        <v>0</v>
      </c>
      <c r="FF106" s="6">
        <v>0</v>
      </c>
      <c r="FG106" s="6">
        <v>0</v>
      </c>
      <c r="FH106" s="6">
        <v>1152.1208270377815</v>
      </c>
      <c r="FI106" s="6">
        <v>1531.4299904380612</v>
      </c>
      <c r="FJ106" s="6">
        <v>2070.7205842538219</v>
      </c>
      <c r="FK106" s="6">
        <v>1746.9903521590434</v>
      </c>
      <c r="FL106" s="6">
        <v>893.91433563489397</v>
      </c>
      <c r="FM106" s="6">
        <v>1781.5502763133168</v>
      </c>
      <c r="FN106" s="6">
        <v>0</v>
      </c>
      <c r="FO106" s="6">
        <v>0</v>
      </c>
      <c r="FP106" s="6">
        <v>0</v>
      </c>
      <c r="FQ106" s="6">
        <v>0</v>
      </c>
      <c r="FR106" s="6">
        <v>0</v>
      </c>
      <c r="FS106" s="6">
        <v>0</v>
      </c>
      <c r="FT106" s="7">
        <v>0.22439151933552945</v>
      </c>
      <c r="FU106" s="7">
        <v>1.3317234438018775E-2</v>
      </c>
      <c r="FV106" s="7">
        <v>0.76229124622645161</v>
      </c>
      <c r="FW106" s="6">
        <v>1700</v>
      </c>
      <c r="FX106" s="6">
        <v>2731.5502763133168</v>
      </c>
      <c r="FY106" s="6">
        <v>4998</v>
      </c>
      <c r="FZ106" s="6">
        <v>3077.4375890575293</v>
      </c>
      <c r="GA106" s="6">
        <v>4227.7739269191043</v>
      </c>
      <c r="GB106" s="6">
        <v>15467.226073080896</v>
      </c>
      <c r="GC106" s="7">
        <v>7.0901643973087014E-2</v>
      </c>
      <c r="GD106" s="7">
        <v>8.2462091086302217E-2</v>
      </c>
      <c r="GE106" s="7"/>
      <c r="GF106" s="7"/>
      <c r="GG106" s="7">
        <v>0.16304907002725269</v>
      </c>
      <c r="GH106" s="42">
        <v>2.7915761056077892</v>
      </c>
      <c r="GI106" s="6">
        <v>11282.928167720989</v>
      </c>
      <c r="GJ106" s="14">
        <v>0.51074630601039572</v>
      </c>
      <c r="GK106" s="14">
        <v>0.50829519786160993</v>
      </c>
      <c r="GL106" s="14">
        <v>0.48925369398960455</v>
      </c>
      <c r="GM106" s="14">
        <v>0.49170480213839041</v>
      </c>
      <c r="GO106" s="5">
        <v>338.16872463277008</v>
      </c>
      <c r="GP106" s="5">
        <v>305.73596776409454</v>
      </c>
      <c r="GQ106" s="5">
        <v>527.27910984145694</v>
      </c>
      <c r="GR106" s="5">
        <v>404.20319246551543</v>
      </c>
      <c r="GS106" s="5">
        <v>334.50205195691484</v>
      </c>
      <c r="GT106" s="5">
        <v>289.18266033348181</v>
      </c>
      <c r="GU106" s="5">
        <v>254.29573314828914</v>
      </c>
      <c r="GV106" s="39" t="s">
        <v>392</v>
      </c>
      <c r="GW106" s="5">
        <v>465.98611111111109</v>
      </c>
      <c r="GX106" s="5">
        <v>349.48958333333331</v>
      </c>
      <c r="GY106" s="5">
        <v>279.59166666666664</v>
      </c>
      <c r="GZ106" s="5">
        <v>246.7101413400797</v>
      </c>
      <c r="HA106" s="5">
        <v>228.52966821545914</v>
      </c>
      <c r="HB106" s="39">
        <v>263.19401457166242</v>
      </c>
      <c r="HC106" s="5">
        <v>64.453124999999972</v>
      </c>
      <c r="HD106" s="5">
        <v>87.079769736842053</v>
      </c>
      <c r="HE106" s="5">
        <v>98.899936740890666</v>
      </c>
      <c r="HF106" s="5">
        <v>102.12442434210524</v>
      </c>
      <c r="HG106" s="5">
        <v>111.77993421052631</v>
      </c>
      <c r="HH106" s="39">
        <v>91.157276662452091</v>
      </c>
      <c r="HI106" s="16"/>
      <c r="HJ106" s="19" t="str">
        <f t="shared" si="107"/>
        <v>On</v>
      </c>
      <c r="HK106" s="1" t="str">
        <f t="shared" si="108"/>
        <v>On</v>
      </c>
      <c r="HL106" s="16"/>
      <c r="HM106" s="639">
        <f t="shared" si="42"/>
        <v>1.7699001661282989E-2</v>
      </c>
      <c r="HN106" s="639">
        <f t="shared" si="43"/>
        <v>1.0509929974846072E-3</v>
      </c>
      <c r="HO106" s="639">
        <f t="shared" si="44"/>
        <v>5.7398960259851091E-2</v>
      </c>
      <c r="HP106" s="644">
        <f>(FT106*$GD106-HM106)/$JF106*INDEX(Input!$1:$1048576,$JG$93,$C106*2+6)</f>
        <v>10.336147312919739</v>
      </c>
      <c r="HQ106" s="644">
        <f>(FU106*$GD106-HN106)/$JF106*INDEX(Input!$1:$1048576,$JG$93,$C106*2+6)</f>
        <v>0.60586745768872718</v>
      </c>
      <c r="HR106" s="644">
        <f>(FV106*$GD106-HO106)/$JF106*INDEX(Input!$1:$1048576,$JG$93,$C106*2+6)</f>
        <v>70.13916590472671</v>
      </c>
      <c r="HS106" s="644">
        <f t="shared" si="45"/>
        <v>-0.17397457989243759</v>
      </c>
      <c r="HT106" s="644">
        <f t="shared" si="46"/>
        <v>10.695832972420654</v>
      </c>
      <c r="HU106" s="644">
        <f t="shared" si="47"/>
        <v>26.382687359246923</v>
      </c>
      <c r="HV106" s="648">
        <f t="shared" si="48"/>
        <v>0</v>
      </c>
      <c r="HW106" s="648">
        <f t="shared" si="49"/>
        <v>0</v>
      </c>
      <c r="HX106" s="648">
        <f t="shared" si="50"/>
        <v>0</v>
      </c>
      <c r="HY106" s="644">
        <f>INDEX(Input!$1:$1048576,HY$93,$C106*2+6)*INDEX(Input!$1:$1048576,$JG$93,$C106*2+6)</f>
        <v>154.99999999999997</v>
      </c>
      <c r="HZ106" s="644">
        <f>INDEX(Input!$1:$1048576,HZ$93,$C106*2+6)*INDEX(Input!$1:$1048576,$JG$93,$C106*2+6)</f>
        <v>140</v>
      </c>
      <c r="IA106" s="644">
        <f>INDEX(Input!$1:$1048576,IA$93,$C106*2+6)*INDEX(Input!$1:$1048576,$JG$93,$C106*2+6)</f>
        <v>683</v>
      </c>
      <c r="IB106" s="644">
        <f t="shared" si="88"/>
        <v>165.16217273302743</v>
      </c>
      <c r="IC106" s="644">
        <f t="shared" si="89"/>
        <v>151.30170043010938</v>
      </c>
      <c r="ID106" s="644">
        <f>IF(AND(INDEX(Input!$1:$1048576,IA$93,$C106*2+7)="TOS",Y106&lt;=INDEX(Y:Y,MATCH(C106*1000+2,A:A))),0,1)*MAX(IA106+HR106+HU106+HX106,0%)</f>
        <v>779.52185326397364</v>
      </c>
      <c r="IE106" s="128">
        <f t="shared" si="115"/>
        <v>0.15069737565967442</v>
      </c>
      <c r="IF106" s="128">
        <f t="shared" si="116"/>
        <v>0.13805079462425995</v>
      </c>
      <c r="IG106" s="128">
        <f t="shared" si="52"/>
        <v>0.7112518297160656</v>
      </c>
      <c r="IH106" s="21"/>
      <c r="II106" s="19">
        <f t="shared" si="53"/>
        <v>1200</v>
      </c>
      <c r="IJ106" s="19">
        <f t="shared" si="54"/>
        <v>2231.5502763133163</v>
      </c>
      <c r="IK106" s="19">
        <f t="shared" si="55"/>
        <v>4498</v>
      </c>
      <c r="IL106" s="19">
        <f t="shared" si="91"/>
        <v>500</v>
      </c>
      <c r="IM106" s="19">
        <f t="shared" si="56"/>
        <v>500.00000000000045</v>
      </c>
      <c r="IN106" s="19">
        <f t="shared" si="56"/>
        <v>500</v>
      </c>
      <c r="IO106" s="39">
        <f t="shared" si="57"/>
        <v>0</v>
      </c>
      <c r="IP106" s="39">
        <f t="shared" si="58"/>
        <v>0</v>
      </c>
      <c r="IQ106" s="39">
        <f t="shared" si="59"/>
        <v>0</v>
      </c>
      <c r="IR106" s="39">
        <v>0</v>
      </c>
      <c r="IS106" s="39">
        <v>0</v>
      </c>
      <c r="IT106" s="39">
        <v>0</v>
      </c>
      <c r="IU106" s="39">
        <v>0</v>
      </c>
      <c r="IV106" s="39">
        <v>0</v>
      </c>
      <c r="IW106" s="39">
        <v>0</v>
      </c>
      <c r="IX106" s="39">
        <f>INDEX(Input!$1:$1048576,IX$93,$C106*2+6)+INDEX(Input!$1:$1048576,IX$94,$C106*2+6)</f>
        <v>1600</v>
      </c>
      <c r="IY106" s="39">
        <f>INDEX(Input!$1:$1048576,IY$93,$C106*2+6)+INDEX(Input!$1:$1048576,IY$94,$C106*2+6)</f>
        <v>2503.5492916397525</v>
      </c>
      <c r="IZ106" s="39">
        <f>INDEX(Input!$1:$1048576,IZ$93,$C106*2+6)+INDEX(Input!$1:$1048576,IZ$94,$C106*2+6)</f>
        <v>6273.7109265464023</v>
      </c>
      <c r="JA106" s="19">
        <f t="shared" si="92"/>
        <v>2100</v>
      </c>
      <c r="JB106" s="19">
        <f t="shared" si="92"/>
        <v>3003.5492916397529</v>
      </c>
      <c r="JC106" s="19">
        <f t="shared" si="92"/>
        <v>6773.7109265464023</v>
      </c>
      <c r="JD106" s="19">
        <f t="shared" si="93"/>
        <v>5548.9211457631518</v>
      </c>
      <c r="JE106" s="21"/>
      <c r="JF106" s="1">
        <f t="shared" si="60"/>
        <v>7.6148954918618686E-2</v>
      </c>
      <c r="JG106" s="15">
        <f>INDEX(Input!$1:$1048576,JG$93,$C106*2+6)/(1+VLOOKUP(C106*1000+INDEX(Input!$1:$1048576,JG$93+1,$C106*2+6),$A:$KK,$JK$92,FALSE))</f>
        <v>978</v>
      </c>
      <c r="JH106" s="1">
        <f t="shared" si="94"/>
        <v>8.2905092715066644E-2</v>
      </c>
      <c r="JI106" s="1">
        <f t="shared" si="95"/>
        <v>3.7734709357643288E-2</v>
      </c>
      <c r="JJ106" s="1">
        <f t="shared" si="96"/>
        <v>0</v>
      </c>
      <c r="JK106" s="1">
        <f t="shared" ref="JK106" si="121">SUM(JH106:JJ106)</f>
        <v>0.12063980207270994</v>
      </c>
      <c r="JL106" s="15">
        <f t="shared" si="98"/>
        <v>117.98572642711032</v>
      </c>
      <c r="JM106" s="15">
        <f>JG106+JL106</f>
        <v>1095.9857264271104</v>
      </c>
      <c r="JN106" s="21"/>
      <c r="JO106" s="19">
        <f>INDEX(Input!$1:$1048576,JO$93,$C106*2+6)</f>
        <v>5908.5</v>
      </c>
      <c r="JP106" s="19">
        <f>INDEX(Input!$1:$1048576,JP$93,$C106*2+6)</f>
        <v>4993.2939301234746</v>
      </c>
      <c r="JQ106" s="39">
        <f t="shared" si="109"/>
        <v>359.5788542368482</v>
      </c>
      <c r="JR106" s="39">
        <f>JD106-JP106</f>
        <v>555.62721563967716</v>
      </c>
      <c r="JS106" s="39">
        <f t="shared" si="62"/>
        <v>6.0815383728259818</v>
      </c>
      <c r="JT106" s="39">
        <f t="shared" si="100"/>
        <v>1.198096909165224</v>
      </c>
      <c r="JU106" s="385">
        <f>(JQ106*JM106-INDEX(Input!$1:$1048576,Input!A$18,$C106*2+6)*JL106*INDEX(Input!$1:$1048576,Input!A$19,$C106*2+6))/1000000</f>
        <v>0.39409329176860014</v>
      </c>
      <c r="JV106" s="39">
        <f t="shared" si="63"/>
        <v>-0.50097824457064166</v>
      </c>
      <c r="JW106" s="1">
        <f>JV106/(JU106-JV106)</f>
        <v>-0.55970749178283052</v>
      </c>
      <c r="JX106" s="19">
        <f t="shared" si="113"/>
        <v>10154.59196164198</v>
      </c>
      <c r="JZ106" s="468">
        <f>DB106-DB101</f>
        <v>500</v>
      </c>
      <c r="KA106" s="469">
        <f>JH106/(JZ106/BX106)</f>
        <v>3.2656316020464753</v>
      </c>
      <c r="KB106" s="469">
        <f t="shared" si="110"/>
        <v>3.2656316020464753</v>
      </c>
      <c r="KI106" s="473">
        <f t="shared" si="111"/>
        <v>10.162172733027461</v>
      </c>
      <c r="KJ106" s="473">
        <f t="shared" si="101"/>
        <v>11.301700430109378</v>
      </c>
      <c r="KK106" s="473">
        <f t="shared" si="102"/>
        <v>96.52185326397364</v>
      </c>
      <c r="KN106" s="544">
        <f t="shared" si="114"/>
        <v>1002</v>
      </c>
      <c r="KO106" s="541">
        <f t="shared" si="64"/>
        <v>3.5796155459892898E-2</v>
      </c>
      <c r="KP106" s="546">
        <f t="shared" si="65"/>
        <v>153.34388722870574</v>
      </c>
      <c r="KQ106" s="546">
        <f t="shared" si="66"/>
        <v>194.46724578771136</v>
      </c>
      <c r="KR106" s="548">
        <f t="shared" si="67"/>
        <v>3.3476157860183955</v>
      </c>
      <c r="KS106" s="548">
        <f t="shared" si="68"/>
        <v>2.6397063191639973</v>
      </c>
      <c r="KT106" s="473">
        <f t="shared" si="112"/>
        <v>-82.310573396665475</v>
      </c>
      <c r="KU106" s="663">
        <f t="shared" si="103"/>
        <v>-50.809657501049905</v>
      </c>
      <c r="KV106" s="117"/>
    </row>
    <row r="107" spans="1:310" s="26" customFormat="1" ht="15">
      <c r="A107" s="561">
        <f t="shared" ref="A107:A111" si="122">C107*1000+B107</f>
        <v>1007</v>
      </c>
      <c r="B107" s="561">
        <f t="shared" si="104"/>
        <v>7</v>
      </c>
      <c r="C107" s="561">
        <f t="shared" si="105"/>
        <v>1</v>
      </c>
      <c r="D107" s="561" t="s">
        <v>634</v>
      </c>
      <c r="E107" s="475">
        <f>INDEX(Input!$1:$1048576,E$93,$C107*2+MIN($B107,1)+5)</f>
        <v>750</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1.9E-2</v>
      </c>
      <c r="W107" s="863">
        <f>IFERROR(MAX(0,INDEX(Input!$1:$1048576,W$93,$C107*2+MIN($B107,1)+5)-0%),"Market")</f>
        <v>3.9E-2</v>
      </c>
      <c r="X107" s="476" t="str">
        <f>INDEX(Input!$1:$1048576,X$93,$C107*2+MIN($B107,1)+5)</f>
        <v>Y</v>
      </c>
      <c r="Y107" s="475">
        <f>INDEX(Input!$1:$1048576,Y$93,$C107*2+MIN($B107,1)+5)</f>
        <v>2943</v>
      </c>
      <c r="Z107" s="477">
        <f>INDEX(Input!$1:$1048576,Z$93,$C107*2+MIN($B107,1)+5)</f>
        <v>0</v>
      </c>
      <c r="AA107" s="475">
        <f>INDEX(Input!$1:$1048576,AA$93,$C107*2+MIN($B107,1)+5)</f>
        <v>0</v>
      </c>
      <c r="AB107" s="476">
        <f>INDEX(Input!$1:$1048576,AB$93,$C107*2+MIN($B107,1)+5)</f>
        <v>1</v>
      </c>
      <c r="AC107" s="475">
        <f>INDEX(Input!$1:$1048576,AC$93,$C107*2+MIN($B107,1)+5)</f>
        <v>1000</v>
      </c>
      <c r="AD107" s="476">
        <f>INDEX(Input!$1:$1048576,AD$93,$C107*2+MIN($B107,1)+5)</f>
        <v>0.35</v>
      </c>
      <c r="AE107" s="475">
        <f>INDEX(Input!$1:$1048576,AE$93,$C107*2+MIN($B107,1)+5)</f>
        <v>0</v>
      </c>
      <c r="AF107" s="476">
        <f>INDEX(Input!$1:$1048576,AF$93,$C107*2+MIN($B107,1)+5)</f>
        <v>1</v>
      </c>
      <c r="AG107" s="475">
        <f>INDEX(Input!$1:$1048576,AG$93,$C107*2+MIN($B107,1)+5)</f>
        <v>500</v>
      </c>
      <c r="AH107" s="476">
        <f>INDEX(Input!$1:$1048576,AH$93,$C107*2+MIN($B107,1)+5)</f>
        <v>1</v>
      </c>
      <c r="AI107" s="475">
        <f>INDEX(Input!$1:$1048576,AI$93,$C107*2+MIN($B107,1)+5)</f>
        <v>500</v>
      </c>
      <c r="AJ107" s="476">
        <f>INDEX(Input!$1:$1048576,AJ$93,$C107*2+MIN($B107,1)+5)</f>
        <v>0.35</v>
      </c>
      <c r="AK107" s="150">
        <f>ROUND(INDEX(Input!$1:$1048576,AK$93,$C106*2+MIN($B107,1)+5)+(Y107-VLOOKUP($C107*1000+1,$A:$HH,Y$92,FALSE)),0)</f>
        <v>5599</v>
      </c>
      <c r="AL107" s="150">
        <f>ROUND(INDEX(Input!$1:$1048576,AL$93,$C106*2+MIN($B107,1)+5)-(Y107-VLOOKUP($C107*1000+1,$A:$HH,Y$92,FALSE))/36,0)</f>
        <v>5599</v>
      </c>
      <c r="AM107" s="32" t="str">
        <f t="shared" si="118"/>
        <v>std/std/std/std</v>
      </c>
      <c r="AN107" s="32" t="str">
        <f t="shared" si="119"/>
        <v>$0 + 0/0/0/1.9/3.9</v>
      </c>
      <c r="AO107" s="32" t="str">
        <f t="shared" si="120"/>
        <v>0/0/0/1.9/3.9</v>
      </c>
      <c r="AP107" s="32" t="str">
        <f t="shared" si="73"/>
        <v>0/0.9/1.9/3.9</v>
      </c>
      <c r="AQ107" s="536">
        <f t="shared" si="39"/>
        <v>850.15848670756645</v>
      </c>
      <c r="AR107" s="32"/>
      <c r="AS107" s="302"/>
      <c r="AT107" s="3">
        <f t="shared" si="106"/>
        <v>7</v>
      </c>
      <c r="AU107" s="41" t="s">
        <v>121</v>
      </c>
      <c r="AV107" s="41" t="s">
        <v>116</v>
      </c>
      <c r="AW107" s="41" t="str">
        <f>INDEX(Input!$1:$1048576,AW$93,$C107*2+6)</f>
        <v>Kia</v>
      </c>
      <c r="AX107" s="41" t="str">
        <f>INDEX(Input!$1:$1048576,AX$93,$C107*2+6)</f>
        <v>Kia-LR - L1</v>
      </c>
      <c r="AY107" s="41" t="str">
        <f>IF(LEN(D107)=0,"",INDEX(Input!$1:$1048576,AY$93,$C107*2+6))</f>
        <v>Compact Conventional/Sporty Car (43)</v>
      </c>
      <c r="AZ107" s="41" t="str">
        <f>INDEX(Input!$1:$1048576,AZ$93,$C107*2+6)</f>
        <v>Kia Forte</v>
      </c>
      <c r="BA107" s="3">
        <f>INDEX(Input!$1:$1048576,BA$93,$C107*2+6)</f>
        <v>2020</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19695</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4"/>
        <v>1100</v>
      </c>
      <c r="CJ107" s="16" t="str">
        <f>INDEX(Input!$1:$1048576,CJ$93,$C107*2+6)</f>
        <v>N</v>
      </c>
      <c r="CK107" s="1" t="str">
        <f t="shared" si="75"/>
        <v>Market</v>
      </c>
      <c r="CL107" s="1" t="str">
        <f t="shared" si="76"/>
        <v>Market</v>
      </c>
      <c r="CM107" s="1" t="str">
        <f t="shared" si="77"/>
        <v>Market</v>
      </c>
      <c r="CN107" s="1" t="str">
        <f t="shared" si="78"/>
        <v>Market</v>
      </c>
      <c r="CO107" s="1" t="str">
        <f t="shared" si="79"/>
        <v>Market</v>
      </c>
      <c r="CP107" s="304">
        <f t="shared" si="80"/>
        <v>350</v>
      </c>
      <c r="CQ107" s="1">
        <f t="shared" si="81"/>
        <v>0</v>
      </c>
      <c r="CR107" s="1">
        <f t="shared" si="82"/>
        <v>0</v>
      </c>
      <c r="CS107" s="1">
        <f t="shared" si="83"/>
        <v>0</v>
      </c>
      <c r="CT107" s="1">
        <f t="shared" si="84"/>
        <v>1.9E-2</v>
      </c>
      <c r="CU107" s="1">
        <f t="shared" si="85"/>
        <v>3.9E-2</v>
      </c>
      <c r="CV107" s="304">
        <f t="shared" si="86"/>
        <v>3118</v>
      </c>
      <c r="CW107" s="20" t="s">
        <v>122</v>
      </c>
      <c r="CX107" s="20" t="s">
        <v>122</v>
      </c>
      <c r="CY107" s="20" t="s">
        <v>122</v>
      </c>
      <c r="CZ107" s="20" t="s">
        <v>122</v>
      </c>
      <c r="DA107" s="20" t="s">
        <v>122</v>
      </c>
      <c r="DB107" s="503">
        <f t="shared" si="87"/>
        <v>500</v>
      </c>
      <c r="DC107" s="127">
        <v>0</v>
      </c>
      <c r="DD107" s="127">
        <v>0</v>
      </c>
      <c r="DE107" s="127">
        <v>0</v>
      </c>
      <c r="DF107" s="127">
        <v>0</v>
      </c>
      <c r="DG107" s="127">
        <v>0</v>
      </c>
      <c r="DH107" s="127">
        <v>0</v>
      </c>
      <c r="DI107" s="127">
        <v>0</v>
      </c>
      <c r="DJ107" s="127">
        <v>0</v>
      </c>
      <c r="DK107" s="127">
        <v>0</v>
      </c>
      <c r="DL107" s="127">
        <v>0</v>
      </c>
      <c r="DM107" s="304">
        <f>INDEX(Input!$1:$1048576,DM$93,$C107*2+6)</f>
        <v>20731.578947368424</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1.3863907853720341E-2</v>
      </c>
      <c r="DZ107" s="7">
        <v>0</v>
      </c>
      <c r="EA107" s="7">
        <v>0.21856215341262439</v>
      </c>
      <c r="EB107" s="7">
        <v>0</v>
      </c>
      <c r="EC107" s="7">
        <v>0</v>
      </c>
      <c r="ED107" s="7">
        <v>0</v>
      </c>
      <c r="EE107" s="7">
        <v>0</v>
      </c>
      <c r="EF107" s="7">
        <v>0</v>
      </c>
      <c r="EG107" s="7">
        <v>0</v>
      </c>
      <c r="EH107" s="7">
        <v>1.9867163211649864E-2</v>
      </c>
      <c r="EI107" s="7">
        <v>3.5734944822064241E-2</v>
      </c>
      <c r="EJ107" s="7">
        <v>0.28104141462213039</v>
      </c>
      <c r="EK107" s="7">
        <v>0.62010092925970739</v>
      </c>
      <c r="EL107" s="7">
        <v>4.3255548084448148E-2</v>
      </c>
      <c r="EM107" s="7">
        <v>1.3801804615806169E-2</v>
      </c>
      <c r="EN107" s="7">
        <v>5.5147996525916392E-2</v>
      </c>
      <c r="EO107" s="7">
        <v>0.54334117986155328</v>
      </c>
      <c r="EP107" s="7">
        <v>0.31007127393148909</v>
      </c>
      <c r="EQ107" s="7">
        <v>5.3118751914307587E-2</v>
      </c>
      <c r="ER107" s="7">
        <v>3.8320797766733465E-2</v>
      </c>
      <c r="ES107" s="7">
        <v>0.75377213411784916</v>
      </c>
      <c r="ET107" s="7">
        <v>0.7675739387336552</v>
      </c>
      <c r="EU107" s="6">
        <v>1200</v>
      </c>
      <c r="EV107" s="6">
        <v>0</v>
      </c>
      <c r="EW107" s="6">
        <v>1200</v>
      </c>
      <c r="EX107" s="6">
        <v>0</v>
      </c>
      <c r="EY107" s="6">
        <v>2231.5502763133163</v>
      </c>
      <c r="EZ107" s="6">
        <v>4498</v>
      </c>
      <c r="FA107" s="6">
        <v>0</v>
      </c>
      <c r="FB107" s="6">
        <v>0</v>
      </c>
      <c r="FC107" s="6">
        <v>0</v>
      </c>
      <c r="FD107" s="6">
        <v>0</v>
      </c>
      <c r="FE107" s="6">
        <v>0</v>
      </c>
      <c r="FF107" s="6">
        <v>0</v>
      </c>
      <c r="FG107" s="6">
        <v>0</v>
      </c>
      <c r="FH107" s="6">
        <v>1152.1208270377822</v>
      </c>
      <c r="FI107" s="6">
        <v>1531.4299904380618</v>
      </c>
      <c r="FJ107" s="6">
        <v>2070.7205842538219</v>
      </c>
      <c r="FK107" s="6">
        <v>1746.9903521590431</v>
      </c>
      <c r="FL107" s="6">
        <v>893.91433563489363</v>
      </c>
      <c r="FM107" s="6">
        <v>1781.5502763133163</v>
      </c>
      <c r="FN107" s="6">
        <v>0</v>
      </c>
      <c r="FO107" s="6">
        <v>0</v>
      </c>
      <c r="FP107" s="6">
        <v>0</v>
      </c>
      <c r="FQ107" s="6">
        <v>0</v>
      </c>
      <c r="FR107" s="6">
        <v>0</v>
      </c>
      <c r="FS107" s="6">
        <v>0</v>
      </c>
      <c r="FT107" s="7">
        <v>0.23242606126634474</v>
      </c>
      <c r="FU107" s="7">
        <v>1.3801804615806169E-2</v>
      </c>
      <c r="FV107" s="7">
        <v>0.75377213411784916</v>
      </c>
      <c r="FW107" s="6">
        <v>1200</v>
      </c>
      <c r="FX107" s="6">
        <v>2231.5502763133163</v>
      </c>
      <c r="FY107" s="6">
        <v>4498</v>
      </c>
      <c r="FZ107" s="6">
        <v>3077.4375890575293</v>
      </c>
      <c r="GA107" s="6">
        <v>3700.1777536857239</v>
      </c>
      <c r="GB107" s="6">
        <v>15994.822246314276</v>
      </c>
      <c r="GC107" s="7">
        <v>7.0901643973087014E-2</v>
      </c>
      <c r="GD107" s="7">
        <v>7.6148954918618686E-2</v>
      </c>
      <c r="GE107" s="7"/>
      <c r="GF107" s="7"/>
      <c r="GG107" s="7">
        <v>7.4008311394351545E-2</v>
      </c>
      <c r="GH107" s="42">
        <v>2.3406129485513532</v>
      </c>
      <c r="GI107" s="6">
        <v>12114.640303843616</v>
      </c>
      <c r="GJ107" s="14">
        <v>0.51074630601039561</v>
      </c>
      <c r="GK107" s="14">
        <v>0.5082951978616097</v>
      </c>
      <c r="GL107" s="14">
        <v>0.48925369398960433</v>
      </c>
      <c r="GM107" s="14">
        <v>0.4917048021383903</v>
      </c>
      <c r="GO107" s="5">
        <v>338.16872463277008</v>
      </c>
      <c r="GP107" s="5">
        <v>315.27501390194027</v>
      </c>
      <c r="GQ107" s="5">
        <v>527.27910984145694</v>
      </c>
      <c r="GR107" s="5">
        <v>404.20319246551543</v>
      </c>
      <c r="GS107" s="5">
        <v>334.50205195691484</v>
      </c>
      <c r="GT107" s="5">
        <v>289.18266033348181</v>
      </c>
      <c r="GU107" s="5">
        <v>254.29573314828914</v>
      </c>
      <c r="GV107" s="39" t="s">
        <v>392</v>
      </c>
      <c r="GW107" s="5">
        <v>479.875</v>
      </c>
      <c r="GX107" s="5">
        <v>359.90625</v>
      </c>
      <c r="GY107" s="5">
        <v>287.92500000000001</v>
      </c>
      <c r="GZ107" s="5">
        <v>254.06342861438094</v>
      </c>
      <c r="HA107" s="5">
        <v>235.34107974463737</v>
      </c>
      <c r="HB107" s="39">
        <v>271.0386098019585</v>
      </c>
      <c r="HC107" s="5">
        <v>86.328124999999972</v>
      </c>
      <c r="HD107" s="5">
        <v>102.01032529239761</v>
      </c>
      <c r="HE107" s="5">
        <v>112.76211622807014</v>
      </c>
      <c r="HF107" s="5">
        <v>113.68692434210524</v>
      </c>
      <c r="HG107" s="5">
        <v>121.36326754385965</v>
      </c>
      <c r="HH107" s="39">
        <v>105.84117143195655</v>
      </c>
      <c r="HI107" s="16"/>
      <c r="HJ107" s="19" t="str">
        <f t="shared" si="107"/>
        <v>On</v>
      </c>
      <c r="HK107" s="1" t="str">
        <f t="shared" si="108"/>
        <v>On</v>
      </c>
      <c r="HL107" s="16"/>
      <c r="HM107" s="639">
        <f t="shared" si="42"/>
        <v>1.7699001661282989E-2</v>
      </c>
      <c r="HN107" s="639">
        <f t="shared" si="43"/>
        <v>1.0509929974846072E-3</v>
      </c>
      <c r="HO107" s="639">
        <f t="shared" si="44"/>
        <v>5.7398960259851091E-2</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48"/>
        <v>0</v>
      </c>
      <c r="HW107" s="648">
        <f t="shared" si="49"/>
        <v>0</v>
      </c>
      <c r="HX107" s="648">
        <f t="shared" si="50"/>
        <v>0</v>
      </c>
      <c r="HY107" s="644">
        <f>INDEX(Input!$1:$1048576,HY$93,$C107*2+6)*INDEX(Input!$1:$1048576,$JG$93,$C107*2+6)</f>
        <v>154.99999999999997</v>
      </c>
      <c r="HZ107" s="644">
        <f>INDEX(Input!$1:$1048576,HZ$93,$C107*2+6)*INDEX(Input!$1:$1048576,$JG$93,$C107*2+6)</f>
        <v>140</v>
      </c>
      <c r="IA107" s="644">
        <f>INDEX(Input!$1:$1048576,IA$93,$C107*2+6)*INDEX(Input!$1:$1048576,$JG$93,$C107*2+6)</f>
        <v>683</v>
      </c>
      <c r="IB107" s="644">
        <f t="shared" si="88"/>
        <v>155</v>
      </c>
      <c r="IC107" s="644">
        <f t="shared" ref="IC107" si="123">MAX(HZ107+HQ107+HT107+HW107,0%)</f>
        <v>140</v>
      </c>
      <c r="ID107" s="644">
        <f>IF(AND(INDEX(Input!$1:$1048576,IA$93,$C107*2+7)="TOS",Y107&lt;=INDEX(Y:Y,MATCH(C107*1000+2,A:A))),0,1)*MAX(IA107+HR107+HU107+HX107,0%)</f>
        <v>683</v>
      </c>
      <c r="IE107" s="128">
        <f t="shared" ref="IE107" si="124">IB107/SUM($IB107:$ID107)</f>
        <v>0.15848670756646216</v>
      </c>
      <c r="IF107" s="128">
        <f t="shared" ref="IF107" si="125">IC107/SUM($IB107:$ID107)</f>
        <v>0.14314928425357873</v>
      </c>
      <c r="IG107" s="128">
        <f t="shared" ref="IG107" si="126">ID107/SUM($IB107:$ID107)</f>
        <v>0.69836400817995914</v>
      </c>
      <c r="IH107" s="21"/>
      <c r="II107" s="19">
        <f t="shared" si="53"/>
        <v>1200</v>
      </c>
      <c r="IJ107" s="19">
        <f t="shared" si="54"/>
        <v>2231.5502763133163</v>
      </c>
      <c r="IK107" s="19">
        <f t="shared" si="55"/>
        <v>4498</v>
      </c>
      <c r="IL107" s="19">
        <f t="shared" si="91"/>
        <v>0</v>
      </c>
      <c r="IM107" s="19">
        <f t="shared" ref="IM107" si="127">FX107-IJ107</f>
        <v>0</v>
      </c>
      <c r="IN107" s="19">
        <f t="shared" ref="IN107" si="128">FY107-IK107</f>
        <v>0</v>
      </c>
      <c r="IO107" s="39">
        <f t="shared" si="57"/>
        <v>0</v>
      </c>
      <c r="IP107" s="39">
        <f t="shared" si="58"/>
        <v>0</v>
      </c>
      <c r="IQ107" s="39">
        <f t="shared" si="59"/>
        <v>0</v>
      </c>
      <c r="IR107" s="39">
        <v>0</v>
      </c>
      <c r="IS107" s="39">
        <v>0</v>
      </c>
      <c r="IT107" s="39">
        <v>0</v>
      </c>
      <c r="IU107" s="39">
        <v>0</v>
      </c>
      <c r="IV107" s="39">
        <v>0</v>
      </c>
      <c r="IW107" s="39">
        <v>0</v>
      </c>
      <c r="IX107" s="39">
        <f>INDEX(Input!$1:$1048576,IX$93,$C107*2+6)+INDEX(Input!$1:$1048576,IX$94,$C107*2+6)</f>
        <v>1600</v>
      </c>
      <c r="IY107" s="39">
        <f>INDEX(Input!$1:$1048576,IY$93,$C107*2+6)+INDEX(Input!$1:$1048576,IY$94,$C107*2+6)</f>
        <v>2503.5492916397525</v>
      </c>
      <c r="IZ107" s="39">
        <f>INDEX(Input!$1:$1048576,IZ$93,$C107*2+6)+INDEX(Input!$1:$1048576,IZ$94,$C107*2+6)</f>
        <v>6273.7109265464023</v>
      </c>
      <c r="JA107" s="19">
        <f t="shared" ref="JA107" si="129">(IL107+IO107+IR107+IU107+IX107)</f>
        <v>1600</v>
      </c>
      <c r="JB107" s="19">
        <f t="shared" ref="JB107" si="130">(IM107+IP107+IS107+IV107+IY107)</f>
        <v>2503.5492916397525</v>
      </c>
      <c r="JC107" s="19">
        <f t="shared" ref="JC107" si="131">(IN107+IQ107+IT107+IW107+IZ107)</f>
        <v>6273.7109265464023</v>
      </c>
      <c r="JD107" s="19">
        <f t="shared" ref="JD107" si="132">SUMPRODUCT(IE107:IG107,JA107:JC107)</f>
        <v>4993.2939301234746</v>
      </c>
      <c r="JE107" s="21"/>
      <c r="JF107" s="1">
        <f t="shared" si="60"/>
        <v>7.6148954918618686E-2</v>
      </c>
      <c r="JG107" s="15">
        <f>INDEX(Input!$1:$1048576,JG$93,$C107*2+6)/(1+VLOOKUP(C107*1000+INDEX(Input!$1:$1048576,JG$93+1,$C107*2+6),$A:$KK,$JK$92,FALSE))</f>
        <v>978</v>
      </c>
      <c r="JH107" s="1">
        <f t="shared" si="94"/>
        <v>0</v>
      </c>
      <c r="JI107" s="1">
        <f t="shared" si="95"/>
        <v>0</v>
      </c>
      <c r="JJ107" s="1">
        <f t="shared" si="96"/>
        <v>0</v>
      </c>
      <c r="JK107" s="1">
        <f t="shared" ref="JK107" si="133">SUM(JH107:JJ107)</f>
        <v>0</v>
      </c>
      <c r="JL107" s="15">
        <f t="shared" ref="JL107" si="134">JG107*JK107</f>
        <v>0</v>
      </c>
      <c r="JM107" s="15">
        <f>JG107+JL107</f>
        <v>978</v>
      </c>
      <c r="JN107" s="21"/>
      <c r="JO107" s="19">
        <f>INDEX(Input!$1:$1048576,JO$93,$C107*2+6)</f>
        <v>5908.5</v>
      </c>
      <c r="JP107" s="19">
        <f>INDEX(Input!$1:$1048576,JP$93,$C107*2+6)</f>
        <v>4993.2939301234746</v>
      </c>
      <c r="JQ107" s="39">
        <f t="shared" ref="JQ107" si="135">JO107-JD107</f>
        <v>915.20606987652536</v>
      </c>
      <c r="JR107" s="39">
        <f>JD107-JP107</f>
        <v>0</v>
      </c>
      <c r="JS107" s="39">
        <f t="shared" ref="JS107" si="136">JM107*JD107/1000000</f>
        <v>4.8834414636607582</v>
      </c>
      <c r="JT107" s="39">
        <f t="shared" ref="JT107" si="137">(JD107*JM107-JP107*JG107)/1000000</f>
        <v>0</v>
      </c>
      <c r="JU107" s="385">
        <f>(JQ107*JM107-INDEX(Input!$1:$1048576,Input!A$18,$C107*2+6)*JL107*INDEX(Input!$1:$1048576,Input!A$19,$C107*2+6))/1000000</f>
        <v>0.89507153633924175</v>
      </c>
      <c r="JV107" s="39">
        <f t="shared" ref="JV107" si="138">JU107-(JO107-JP107)*JG107/1000000</f>
        <v>0</v>
      </c>
      <c r="JW107" s="1">
        <f>JV107/(JU107-JV107)</f>
        <v>0</v>
      </c>
      <c r="JX107" s="19">
        <f t="shared" ref="JX107" si="139">IF(JL107=0,0,JT107/JL107)*1000000</f>
        <v>0</v>
      </c>
      <c r="JZ107" s="468"/>
      <c r="KA107" s="469"/>
      <c r="KB107" s="469">
        <f t="shared" si="110"/>
        <v>3.2656316020464753</v>
      </c>
      <c r="KI107" s="473">
        <f t="shared" si="111"/>
        <v>0</v>
      </c>
      <c r="KJ107" s="473">
        <f t="shared" si="101"/>
        <v>0</v>
      </c>
      <c r="KK107" s="473">
        <f t="shared" si="102"/>
        <v>0</v>
      </c>
      <c r="KN107" s="544">
        <f t="shared" si="114"/>
        <v>1002</v>
      </c>
      <c r="KO107" s="541">
        <f t="shared" si="64"/>
        <v>-7.5710006423020393E-2</v>
      </c>
      <c r="KP107" s="546">
        <f t="shared" si="65"/>
        <v>-347.62269938650235</v>
      </c>
      <c r="KQ107" s="546">
        <f t="shared" si="66"/>
        <v>-361.1599698519658</v>
      </c>
      <c r="KR107" s="548">
        <f t="shared" si="67"/>
        <v>3.1232794614926012</v>
      </c>
      <c r="KS107" s="548">
        <f t="shared" si="68"/>
        <v>3.0062103443731631</v>
      </c>
      <c r="KT107" s="473">
        <f t="shared" si="112"/>
        <v>-82.310573396665475</v>
      </c>
      <c r="KU107" s="663">
        <f t="shared" si="103"/>
        <v>-50.809656501049901</v>
      </c>
      <c r="KV107" s="117"/>
    </row>
    <row r="108" spans="1:310" s="26" customFormat="1" ht="15">
      <c r="A108" s="561">
        <f t="shared" si="122"/>
        <v>1008</v>
      </c>
      <c r="B108" s="561">
        <f t="shared" si="104"/>
        <v>8</v>
      </c>
      <c r="C108" s="561">
        <f t="shared" si="105"/>
        <v>1</v>
      </c>
      <c r="D108" s="561" t="s">
        <v>569</v>
      </c>
      <c r="E108" s="475">
        <f>INDEX(Input!$1:$1048576,E$93,$C108*2+MIN($B108,2)+5)</f>
        <v>1250</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1.9E-2</v>
      </c>
      <c r="W108" s="863">
        <f>IFERROR(MAX(0,INDEX(Input!$1:$1048576,W$93,$C108*2+MIN($B108,2)+5)-0%,),"Market")</f>
        <v>3.9E-2</v>
      </c>
      <c r="X108" s="476" t="str">
        <f>INDEX(Input!$1:$1048576,X$93,$C108*2+MIN($B108,2)+5)</f>
        <v>Y</v>
      </c>
      <c r="Y108" s="475">
        <f>INDEX(Input!$1:$1048576,Y$93,$C108*2+MIN($B108,2)+5)</f>
        <v>2826</v>
      </c>
      <c r="Z108" s="477">
        <f>INDEX(Input!$1:$1048576,Z$93,$C108*2+MIN($B108,2)+5)</f>
        <v>0</v>
      </c>
      <c r="AA108" s="475">
        <f>INDEX(Input!$1:$1048576,AA$93,$C108*2+MIN($B108,2)+5)</f>
        <v>0</v>
      </c>
      <c r="AB108" s="476">
        <f>INDEX(Input!$1:$1048576,AB$93,$C108*2+MIN($B108,2)+5)</f>
        <v>1</v>
      </c>
      <c r="AC108" s="475">
        <f>INDEX(Input!$1:$1048576,AC$93,$C108*2+MIN($B108,2)+5)</f>
        <v>0</v>
      </c>
      <c r="AD108" s="476">
        <f>INDEX(Input!$1:$1048576,AD$93,$C108*2+MIN($B108,2)+5)</f>
        <v>0.35</v>
      </c>
      <c r="AE108" s="475">
        <f>INDEX(Input!$1:$1048576,AE$93,$C108*2+MIN($B108,2)+5)</f>
        <v>0</v>
      </c>
      <c r="AF108" s="476">
        <f>INDEX(Input!$1:$1048576,AF$93,$C108*2+MIN($B108,2)+5)</f>
        <v>1</v>
      </c>
      <c r="AG108" s="475">
        <f>INDEX(Input!$1:$1048576,AG$93,$C108*2+MIN($B108,2)+5)</f>
        <v>0</v>
      </c>
      <c r="AH108" s="476">
        <f>INDEX(Input!$1:$1048576,AH$93,$C108*2+MIN($B108,2)+5)</f>
        <v>1</v>
      </c>
      <c r="AI108" s="475">
        <f>INDEX(Input!$1:$1048576,AI$93,$C108*2+MIN($B108,2)+5)</f>
        <v>0</v>
      </c>
      <c r="AJ108" s="476">
        <f>INDEX(Input!$1:$1048576,AJ$93,$C108*2+MIN($B108,2)+5)</f>
        <v>0.35</v>
      </c>
      <c r="AK108" s="150">
        <f>ROUND(INDEX(Input!$1:$1048576,AK$93,$C107*2+MIN($B108,1)+5)+(Y108-VLOOKUP($C108*1000+1,$A:$HH,Y$92,FALSE)),0)</f>
        <v>5482</v>
      </c>
      <c r="AL108" s="150">
        <f>ROUND(INDEX(Input!$1:$1048576,AL$93,$C107*2+MIN($B108,1)+5)-(Y108-VLOOKUP($C108*1000+1,$A:$HH,Y$92,FALSE))/36,0)</f>
        <v>5602</v>
      </c>
      <c r="AM108" s="32" t="str">
        <f t="shared" si="118"/>
        <v>std/std/std/std</v>
      </c>
      <c r="AN108" s="32" t="str">
        <f t="shared" si="119"/>
        <v>$0 + 0/0/0/1.9/3.9</v>
      </c>
      <c r="AO108" s="32" t="str">
        <f t="shared" si="120"/>
        <v>0/0/0/1.9/3.9</v>
      </c>
      <c r="AP108" s="32" t="str">
        <f t="shared" si="73"/>
        <v>0/0.9/1.9/3.9</v>
      </c>
      <c r="AQ108" s="536">
        <f t="shared" si="39"/>
        <v>0.1572391033170549</v>
      </c>
      <c r="AR108" s="32"/>
      <c r="AS108" s="302"/>
      <c r="AT108" s="3">
        <f t="shared" si="106"/>
        <v>8</v>
      </c>
      <c r="AU108" s="41" t="s">
        <v>121</v>
      </c>
      <c r="AV108" s="41" t="s">
        <v>116</v>
      </c>
      <c r="AW108" s="41" t="str">
        <f>INDEX(Input!$1:$1048576,AW$93,$C108*2+6)</f>
        <v>Kia</v>
      </c>
      <c r="AX108" s="41" t="str">
        <f>INDEX(Input!$1:$1048576,AX$93,$C108*2+6)</f>
        <v>Kia-LR - L1</v>
      </c>
      <c r="AY108" s="41" t="str">
        <f>IF(LEN(D108)=0,"",INDEX(Input!$1:$1048576,AY$93,$C108*2+6))</f>
        <v>Compact Conventional/Sporty Car (43)</v>
      </c>
      <c r="AZ108" s="41" t="str">
        <f>INDEX(Input!$1:$1048576,AZ$93,$C108*2+6)</f>
        <v>Kia Forte</v>
      </c>
      <c r="BA108" s="3">
        <f>INDEX(Input!$1:$1048576,BA$93,$C108*2+6)</f>
        <v>2020</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19695</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4"/>
        <v>1250</v>
      </c>
      <c r="CJ108" s="16" t="str">
        <f>INDEX(Input!$1:$1048576,CJ$93,$C108*2+6)</f>
        <v>N</v>
      </c>
      <c r="CK108" s="1" t="str">
        <f t="shared" si="75"/>
        <v>Market</v>
      </c>
      <c r="CL108" s="1" t="str">
        <f t="shared" si="76"/>
        <v>Market</v>
      </c>
      <c r="CM108" s="1" t="str">
        <f t="shared" si="77"/>
        <v>Market</v>
      </c>
      <c r="CN108" s="1" t="str">
        <f t="shared" si="78"/>
        <v>Market</v>
      </c>
      <c r="CO108" s="1" t="str">
        <f t="shared" si="79"/>
        <v>Market</v>
      </c>
      <c r="CP108" s="304">
        <f t="shared" si="80"/>
        <v>0</v>
      </c>
      <c r="CQ108" s="1">
        <f t="shared" si="81"/>
        <v>0</v>
      </c>
      <c r="CR108" s="1">
        <f t="shared" si="82"/>
        <v>0</v>
      </c>
      <c r="CS108" s="1">
        <f t="shared" si="83"/>
        <v>0</v>
      </c>
      <c r="CT108" s="1">
        <f t="shared" si="84"/>
        <v>1.9E-2</v>
      </c>
      <c r="CU108" s="1">
        <f t="shared" si="85"/>
        <v>3.9E-2</v>
      </c>
      <c r="CV108" s="304">
        <f t="shared" si="86"/>
        <v>2826</v>
      </c>
      <c r="CW108" s="20" t="s">
        <v>122</v>
      </c>
      <c r="CX108" s="20" t="s">
        <v>122</v>
      </c>
      <c r="CY108" s="20" t="s">
        <v>122</v>
      </c>
      <c r="CZ108" s="20" t="s">
        <v>122</v>
      </c>
      <c r="DA108" s="20" t="s">
        <v>122</v>
      </c>
      <c r="DB108" s="503">
        <f t="shared" si="87"/>
        <v>0</v>
      </c>
      <c r="DC108" s="127">
        <v>0</v>
      </c>
      <c r="DD108" s="127">
        <v>0</v>
      </c>
      <c r="DE108" s="127">
        <v>0</v>
      </c>
      <c r="DF108" s="127">
        <v>0</v>
      </c>
      <c r="DG108" s="127">
        <v>0</v>
      </c>
      <c r="DH108" s="127">
        <v>0</v>
      </c>
      <c r="DI108" s="127">
        <v>0</v>
      </c>
      <c r="DJ108" s="127">
        <v>0</v>
      </c>
      <c r="DK108" s="127">
        <v>0</v>
      </c>
      <c r="DL108" s="127">
        <v>0</v>
      </c>
      <c r="DM108" s="304">
        <f>INDEX(Input!$1:$1048576,DM$93,$C108*2+6)</f>
        <v>20731.578947368424</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1.3901062774011642E-2</v>
      </c>
      <c r="DZ108" s="7">
        <v>0</v>
      </c>
      <c r="EA108" s="7">
        <v>0.2175136780680382</v>
      </c>
      <c r="EB108" s="7">
        <v>0</v>
      </c>
      <c r="EC108" s="7">
        <v>0</v>
      </c>
      <c r="ED108" s="7">
        <v>0</v>
      </c>
      <c r="EE108" s="7">
        <v>0</v>
      </c>
      <c r="EF108" s="7">
        <v>0</v>
      </c>
      <c r="EG108" s="7">
        <v>0</v>
      </c>
      <c r="EH108" s="7">
        <v>1.9867163211649868E-2</v>
      </c>
      <c r="EI108" s="7">
        <v>3.5734944822064241E-2</v>
      </c>
      <c r="EJ108" s="7">
        <v>0.28104141462213034</v>
      </c>
      <c r="EK108" s="7">
        <v>0.62010092925970717</v>
      </c>
      <c r="EL108" s="7">
        <v>4.3255548084448155E-2</v>
      </c>
      <c r="EM108" s="7">
        <v>1.3735595294455149E-2</v>
      </c>
      <c r="EN108" s="7">
        <v>5.6686594175933767E-2</v>
      </c>
      <c r="EO108" s="7">
        <v>0.54216995014193581</v>
      </c>
      <c r="EP108" s="7">
        <v>0.3117315538121922</v>
      </c>
      <c r="EQ108" s="7">
        <v>5.1954312326603497E-2</v>
      </c>
      <c r="ER108" s="7">
        <v>3.7457589543334752E-2</v>
      </c>
      <c r="ES108" s="7">
        <v>0.75484966386349484</v>
      </c>
      <c r="ET108" s="7">
        <v>0.76858525915795017</v>
      </c>
      <c r="EU108" s="6">
        <v>1600</v>
      </c>
      <c r="EV108" s="6">
        <v>0</v>
      </c>
      <c r="EW108" s="6">
        <v>1600</v>
      </c>
      <c r="EX108" s="6">
        <v>0</v>
      </c>
      <c r="EY108" s="6">
        <v>2631.5502763133163</v>
      </c>
      <c r="EZ108" s="6">
        <v>4822.9999999999991</v>
      </c>
      <c r="FA108" s="6">
        <v>0</v>
      </c>
      <c r="FB108" s="6">
        <v>0</v>
      </c>
      <c r="FC108" s="6">
        <v>0</v>
      </c>
      <c r="FD108" s="6">
        <v>0</v>
      </c>
      <c r="FE108" s="6">
        <v>0</v>
      </c>
      <c r="FF108" s="6">
        <v>0</v>
      </c>
      <c r="FG108" s="6">
        <v>0</v>
      </c>
      <c r="FH108" s="6">
        <v>1152.1208270377822</v>
      </c>
      <c r="FI108" s="6">
        <v>1531.4299904380621</v>
      </c>
      <c r="FJ108" s="6">
        <v>2070.7205842538215</v>
      </c>
      <c r="FK108" s="6">
        <v>1746.9903521590438</v>
      </c>
      <c r="FL108" s="6">
        <v>893.91433563489352</v>
      </c>
      <c r="FM108" s="6">
        <v>1781.5502763133161</v>
      </c>
      <c r="FN108" s="6">
        <v>0</v>
      </c>
      <c r="FO108" s="6">
        <v>0</v>
      </c>
      <c r="FP108" s="6">
        <v>0</v>
      </c>
      <c r="FQ108" s="6">
        <v>0</v>
      </c>
      <c r="FR108" s="6">
        <v>0</v>
      </c>
      <c r="FS108" s="6">
        <v>0</v>
      </c>
      <c r="FT108" s="7">
        <v>0.23141474084204985</v>
      </c>
      <c r="FU108" s="7">
        <v>1.3735595294455149E-2</v>
      </c>
      <c r="FV108" s="7">
        <v>0.75484966386349484</v>
      </c>
      <c r="FW108" s="6">
        <v>1599.9999999999998</v>
      </c>
      <c r="FX108" s="6">
        <v>2631.5502763133159</v>
      </c>
      <c r="FY108" s="6">
        <v>4822.9999999999991</v>
      </c>
      <c r="FZ108" s="6">
        <v>3077.4375890575293</v>
      </c>
      <c r="GA108" s="6">
        <v>4047.0494237533658</v>
      </c>
      <c r="GB108" s="6">
        <v>15647.950576246634</v>
      </c>
      <c r="GC108" s="7">
        <v>7.0901643973087014E-2</v>
      </c>
      <c r="GD108" s="7">
        <v>8.035620362409325E-2</v>
      </c>
      <c r="GE108" s="7"/>
      <c r="GF108" s="7"/>
      <c r="GG108" s="7">
        <v>0.13334753781724745</v>
      </c>
      <c r="GH108" s="42">
        <v>2.7085888015532964</v>
      </c>
      <c r="GI108" s="6">
        <v>11318.363544488671</v>
      </c>
      <c r="GJ108" s="14">
        <v>0.51074630601039561</v>
      </c>
      <c r="GK108" s="14">
        <v>0.50829519786160982</v>
      </c>
      <c r="GL108" s="14">
        <v>0.48925369398960433</v>
      </c>
      <c r="GM108" s="14">
        <v>0.49170480213839046</v>
      </c>
      <c r="GO108" s="5">
        <v>338.16872463277008</v>
      </c>
      <c r="GP108" s="5">
        <v>307.64377699166363</v>
      </c>
      <c r="GQ108" s="5">
        <v>527.27910984145694</v>
      </c>
      <c r="GR108" s="5">
        <v>404.20319246551543</v>
      </c>
      <c r="GS108" s="5">
        <v>334.50205195691484</v>
      </c>
      <c r="GT108" s="5">
        <v>289.18266033348181</v>
      </c>
      <c r="GU108" s="5">
        <v>254.29573314828914</v>
      </c>
      <c r="GV108" s="39" t="s">
        <v>392</v>
      </c>
      <c r="GW108" s="5">
        <v>468.76388888888891</v>
      </c>
      <c r="GX108" s="5">
        <v>351.57291666666669</v>
      </c>
      <c r="GY108" s="5">
        <v>281.25833333333333</v>
      </c>
      <c r="GZ108" s="5">
        <v>248.18079879493993</v>
      </c>
      <c r="HA108" s="5">
        <v>229.8919505212948</v>
      </c>
      <c r="HB108" s="39">
        <v>264.76293361772156</v>
      </c>
      <c r="HC108" s="5">
        <v>72.109375000000014</v>
      </c>
      <c r="HD108" s="5">
        <v>92.305464181286524</v>
      </c>
      <c r="HE108" s="5">
        <v>103.7516995614035</v>
      </c>
      <c r="HF108" s="5">
        <v>106.17129934210527</v>
      </c>
      <c r="HG108" s="5">
        <v>115.13410087719299</v>
      </c>
      <c r="HH108" s="39">
        <v>96.304265044073475</v>
      </c>
      <c r="HI108" s="16"/>
      <c r="HJ108" s="19" t="str">
        <f t="shared" si="107"/>
        <v>On</v>
      </c>
      <c r="HK108" s="1" t="str">
        <f t="shared" si="108"/>
        <v>On</v>
      </c>
      <c r="HL108" s="16"/>
      <c r="HM108" s="639">
        <f t="shared" si="42"/>
        <v>1.7699001661282989E-2</v>
      </c>
      <c r="HN108" s="639">
        <f t="shared" si="43"/>
        <v>1.0509929974846072E-3</v>
      </c>
      <c r="HO108" s="639">
        <f t="shared" si="44"/>
        <v>5.7398960259851091E-2</v>
      </c>
      <c r="HP108" s="644">
        <f>(FT108*$GD108-HM108)/$JF108*INDEX(Input!$1:$1048576,$JG$93,$C108*2+6)</f>
        <v>11.515364749457802</v>
      </c>
      <c r="HQ108" s="644">
        <f>(FU108*$GD108-HN108)/$JF108*INDEX(Input!$1:$1048576,$JG$93,$C108*2+6)</f>
        <v>0.67744664995356019</v>
      </c>
      <c r="HR108" s="644">
        <f>(FV108*$GD108-HO108)/$JF108*INDEX(Input!$1:$1048576,$JG$93,$C108*2+6)</f>
        <v>41.84193193162362</v>
      </c>
      <c r="HS108" s="644">
        <f t="shared" si="45"/>
        <v>-0.13917966391394979</v>
      </c>
      <c r="HT108" s="644">
        <f t="shared" si="46"/>
        <v>8.5566663779365015</v>
      </c>
      <c r="HU108" s="644">
        <f t="shared" si="47"/>
        <v>17.657245115615794</v>
      </c>
      <c r="HV108" s="648">
        <f t="shared" si="48"/>
        <v>0</v>
      </c>
      <c r="HW108" s="648">
        <f t="shared" si="49"/>
        <v>0</v>
      </c>
      <c r="HX108" s="648">
        <f t="shared" si="50"/>
        <v>0</v>
      </c>
      <c r="HY108" s="644">
        <f>INDEX(Input!$1:$1048576,HY$93,$C108*2+6)*INDEX(Input!$1:$1048576,$JG$93,$C108*2+6)</f>
        <v>154.99999999999997</v>
      </c>
      <c r="HZ108" s="644">
        <f>INDEX(Input!$1:$1048576,HZ$93,$C108*2+6)*INDEX(Input!$1:$1048576,$JG$93,$C108*2+6)</f>
        <v>140</v>
      </c>
      <c r="IA108" s="644">
        <f>INDEX(Input!$1:$1048576,IA$93,$C108*2+6)*INDEX(Input!$1:$1048576,$JG$93,$C108*2+6)</f>
        <v>683</v>
      </c>
      <c r="IB108" s="644">
        <f t="shared" si="88"/>
        <v>166.37618508554385</v>
      </c>
      <c r="IC108" s="644">
        <f t="shared" si="89"/>
        <v>149.23411302789006</v>
      </c>
      <c r="ID108" s="644">
        <f>IF(AND(INDEX(Input!$1:$1048576,IA$93,$C108*2+7)="TOS",Y108&lt;=INDEX(Y:Y,MATCH(C108*1000+2,A:A))),0,1)*MAX(IA108+HR108+HU108+HX108,0%)</f>
        <v>742.49917704723941</v>
      </c>
      <c r="IE108" s="128">
        <f t="shared" si="90"/>
        <v>0.1572391033170549</v>
      </c>
      <c r="IF108" s="128">
        <f t="shared" si="51"/>
        <v>0.14103844312066949</v>
      </c>
      <c r="IG108" s="128">
        <f t="shared" si="52"/>
        <v>0.70172245356227558</v>
      </c>
      <c r="IH108" s="21"/>
      <c r="II108" s="19">
        <f t="shared" si="53"/>
        <v>1200</v>
      </c>
      <c r="IJ108" s="19">
        <f t="shared" si="54"/>
        <v>2231.5502763133163</v>
      </c>
      <c r="IK108" s="19">
        <f t="shared" si="55"/>
        <v>4498</v>
      </c>
      <c r="IL108" s="19">
        <f t="shared" si="91"/>
        <v>399.99999999999977</v>
      </c>
      <c r="IM108" s="19">
        <f t="shared" si="56"/>
        <v>399.99999999999955</v>
      </c>
      <c r="IN108" s="19">
        <f t="shared" si="56"/>
        <v>324.99999999999909</v>
      </c>
      <c r="IO108" s="39">
        <f t="shared" si="57"/>
        <v>0</v>
      </c>
      <c r="IP108" s="39">
        <f t="shared" si="58"/>
        <v>0</v>
      </c>
      <c r="IQ108" s="39">
        <f t="shared" si="59"/>
        <v>0</v>
      </c>
      <c r="IR108" s="39">
        <v>0</v>
      </c>
      <c r="IS108" s="39">
        <v>0</v>
      </c>
      <c r="IT108" s="39">
        <v>0</v>
      </c>
      <c r="IU108" s="39">
        <v>0</v>
      </c>
      <c r="IV108" s="39">
        <v>0</v>
      </c>
      <c r="IW108" s="39">
        <v>0</v>
      </c>
      <c r="IX108" s="39">
        <f>INDEX(Input!$1:$1048576,IX$93,$C108*2+6)+INDEX(Input!$1:$1048576,IX$94,$C108*2+6)</f>
        <v>1600</v>
      </c>
      <c r="IY108" s="39">
        <f>INDEX(Input!$1:$1048576,IY$93,$C108*2+6)+INDEX(Input!$1:$1048576,IY$94,$C108*2+6)</f>
        <v>2503.5492916397525</v>
      </c>
      <c r="IZ108" s="39">
        <f>INDEX(Input!$1:$1048576,IZ$93,$C108*2+6)+INDEX(Input!$1:$1048576,IZ$94,$C108*2+6)</f>
        <v>6273.7109265464023</v>
      </c>
      <c r="JA108" s="19">
        <f t="shared" si="92"/>
        <v>1999.9999999999998</v>
      </c>
      <c r="JB108" s="19">
        <f t="shared" si="92"/>
        <v>2903.549291639752</v>
      </c>
      <c r="JC108" s="19">
        <f t="shared" si="92"/>
        <v>6598.7109265464014</v>
      </c>
      <c r="JD108" s="19">
        <f t="shared" si="93"/>
        <v>5354.4538999754404</v>
      </c>
      <c r="JE108" s="21"/>
      <c r="JF108" s="1">
        <f t="shared" si="60"/>
        <v>7.6148954918618686E-2</v>
      </c>
      <c r="JG108" s="15">
        <f>INDEX(Input!$1:$1048576,JG$93,$C108*2+6)/(1+VLOOKUP(C108*1000+INDEX(Input!$1:$1048576,JG$93+1,$C108*2+6),$A:$KK,$JK$92,FALSE))</f>
        <v>978</v>
      </c>
      <c r="JH108" s="1">
        <f t="shared" si="94"/>
        <v>5.5250248804739242E-2</v>
      </c>
      <c r="JI108" s="1">
        <f t="shared" si="95"/>
        <v>2.6661279989405262E-2</v>
      </c>
      <c r="JJ108" s="1">
        <f t="shared" si="96"/>
        <v>0</v>
      </c>
      <c r="JK108" s="1">
        <f t="shared" si="97"/>
        <v>8.1911528794144511E-2</v>
      </c>
      <c r="JL108" s="15">
        <f t="shared" si="98"/>
        <v>80.109475160673327</v>
      </c>
      <c r="JM108" s="15">
        <f t="shared" ref="JM108" si="140">JG108+JL108</f>
        <v>1058.1094751606734</v>
      </c>
      <c r="JN108" s="21"/>
      <c r="JO108" s="19">
        <f>INDEX(Input!$1:$1048576,JO$93,$C108*2+6)</f>
        <v>5908.5</v>
      </c>
      <c r="JP108" s="19">
        <f>INDEX(Input!$1:$1048576,JP$93,$C108*2+6)</f>
        <v>4993.2939301234746</v>
      </c>
      <c r="JQ108" s="39">
        <f t="shared" si="109"/>
        <v>554.04610002455956</v>
      </c>
      <c r="JR108" s="39">
        <f>JD108-JP108</f>
        <v>361.1599698519658</v>
      </c>
      <c r="JS108" s="39">
        <f t="shared" si="62"/>
        <v>5.6655984058750333</v>
      </c>
      <c r="JT108" s="39">
        <f t="shared" si="100"/>
        <v>0.78215694221427567</v>
      </c>
      <c r="JU108" s="385">
        <f>(JQ108*JM108-INDEX(Input!$1:$1048576,Input!A$18,$C108*2+6)*JL108*INDEX(Input!$1:$1048576,Input!A$19,$C108*2+6))/1000000</f>
        <v>0.58624142811180469</v>
      </c>
      <c r="JV108" s="39">
        <f t="shared" si="63"/>
        <v>-0.30883010822743706</v>
      </c>
      <c r="JW108" s="1">
        <f t="shared" si="117"/>
        <v>-0.34503399526089623</v>
      </c>
      <c r="JX108" s="19">
        <f t="shared" si="113"/>
        <v>9763.6008804891735</v>
      </c>
      <c r="JZ108" s="341"/>
      <c r="KA108" s="342"/>
      <c r="KB108" s="469">
        <f t="shared" si="110"/>
        <v>3.2656316020464753</v>
      </c>
      <c r="KI108" s="473">
        <f t="shared" si="111"/>
        <v>11.376185085543881</v>
      </c>
      <c r="KJ108" s="473">
        <f t="shared" si="101"/>
        <v>9.2341130278900607</v>
      </c>
      <c r="KK108" s="473">
        <f t="shared" si="102"/>
        <v>59.499177047239414</v>
      </c>
      <c r="KN108" s="544">
        <f t="shared" si="114"/>
        <v>1002</v>
      </c>
      <c r="KO108" s="541">
        <f t="shared" si="64"/>
        <v>0</v>
      </c>
      <c r="KP108" s="546">
        <f t="shared" si="65"/>
        <v>0</v>
      </c>
      <c r="KQ108" s="546">
        <f t="shared" si="66"/>
        <v>0</v>
      </c>
      <c r="KR108" s="548" t="e">
        <f t="shared" si="67"/>
        <v>#DIV/0!</v>
      </c>
      <c r="KS108" s="548" t="e">
        <f t="shared" si="68"/>
        <v>#DIV/0!</v>
      </c>
      <c r="KT108" s="473">
        <f>KT107</f>
        <v>-82.310573396665475</v>
      </c>
      <c r="KU108" s="663">
        <f t="shared" si="103"/>
        <v>-50.962409081217736</v>
      </c>
      <c r="KV108" s="117"/>
    </row>
    <row r="109" spans="1:310" s="26" customFormat="1" ht="15">
      <c r="A109" s="561">
        <f t="shared" si="122"/>
        <v>1009</v>
      </c>
      <c r="B109" s="561">
        <f t="shared" si="104"/>
        <v>9</v>
      </c>
      <c r="C109" s="561">
        <f t="shared" si="105"/>
        <v>1</v>
      </c>
      <c r="D109" s="561" t="str">
        <f t="shared" ref="D109:D118" si="141">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1500</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1.9E-2</v>
      </c>
      <c r="W109" s="862">
        <f>INDEX(Input!$1:$1048576,W$93,$C109*2+MIN($B109,2)+5)</f>
        <v>3.9E-2</v>
      </c>
      <c r="X109" s="118" t="str">
        <f>INDEX(Input!$1:$1048576,X$93,$C109*2+MIN($B109,2)+5)</f>
        <v>Y</v>
      </c>
      <c r="Y109" s="150">
        <f>INDEX(Input!$1:$1048576,Y$93,$C109*2+MIN($B109,2)+5)</f>
        <v>2826</v>
      </c>
      <c r="Z109" s="30">
        <f>INDEX(Input!$1:$1048576,Z$93,$C109*2+MIN($B109,2)+5)</f>
        <v>0</v>
      </c>
      <c r="AA109" s="115">
        <f>INDEX(Input!$1:$1048576,AA$93,$C109*2+MIN($B109,2)+5)</f>
        <v>0</v>
      </c>
      <c r="AB109" s="118">
        <f>INDEX(Input!$1:$1048576,AB$93,$C109*2+MIN($B109,2)+5)</f>
        <v>1</v>
      </c>
      <c r="AC109" s="115">
        <f>INDEX(Input!$1:$1048576,AC$93,$C109*2+MIN($B109,2)+5)</f>
        <v>0</v>
      </c>
      <c r="AD109" s="118">
        <f>INDEX(Input!$1:$1048576,AD$93,$C109*2+MIN($B109,2)+5)</f>
        <v>0.35</v>
      </c>
      <c r="AE109" s="115">
        <f>INDEX(Input!$1:$1048576,AE$93,$C109*2+MIN($B109,2)+5)</f>
        <v>0</v>
      </c>
      <c r="AF109" s="118">
        <f>INDEX(Input!$1:$1048576,AF$93,$C109*2+MIN($B109,2)+5)</f>
        <v>1</v>
      </c>
      <c r="AG109" s="115">
        <f>INDEX(Input!$1:$1048576,AG$93,$C109*2+MIN($B109,2)+5)</f>
        <v>0</v>
      </c>
      <c r="AH109" s="118">
        <f>INDEX(Input!$1:$1048576,AH$93,$C109*2+MIN($B109,2)+5)</f>
        <v>1</v>
      </c>
      <c r="AI109" s="115">
        <f>INDEX(Input!$1:$1048576,AI$93,$C109*2+MIN($B109,2)+5)</f>
        <v>0</v>
      </c>
      <c r="AJ109" s="118">
        <f>INDEX(Input!$1:$1048576,AJ$93,$C109*2+MIN($B109,2)+5)</f>
        <v>0.35</v>
      </c>
      <c r="AK109" s="150">
        <f>ROUND(INDEX(Input!$1:$1048576,AK$93,$C108*2+MIN($B109,1)+5)+(Y109-VLOOKUP($C109*1000+1,$A:$HH,Y$92,FALSE)),0)</f>
        <v>5482</v>
      </c>
      <c r="AL109" s="150">
        <f>ROUND(INDEX(Input!$1:$1048576,AL$93,$C108*2+MIN($B109,1)+5)-(Y109-VLOOKUP($C109*1000+1,$A:$HH,Y$92,FALSE))/36,0)</f>
        <v>5602</v>
      </c>
      <c r="AM109" s="32" t="str">
        <f t="shared" si="118"/>
        <v>std/std/std/std</v>
      </c>
      <c r="AN109" s="32" t="str">
        <f t="shared" si="119"/>
        <v>$0 + 0/0/0/1.9/3.9</v>
      </c>
      <c r="AO109" s="32" t="str">
        <f t="shared" si="120"/>
        <v>0/0/0/1.9/3.9</v>
      </c>
      <c r="AP109" s="32" t="str">
        <f t="shared" si="73"/>
        <v>0/0.9/1.9/3.9</v>
      </c>
      <c r="AQ109" s="536">
        <f t="shared" si="39"/>
        <v>0.17151461518690828</v>
      </c>
      <c r="AR109" s="32"/>
      <c r="AS109" s="302"/>
      <c r="AT109" s="3">
        <f t="shared" si="106"/>
        <v>9</v>
      </c>
      <c r="AU109" s="41" t="s">
        <v>121</v>
      </c>
      <c r="AV109" s="41" t="s">
        <v>116</v>
      </c>
      <c r="AW109" s="41" t="str">
        <f>INDEX(Input!$1:$1048576,AW$93,$C109*2+6)</f>
        <v>Kia</v>
      </c>
      <c r="AX109" s="41" t="str">
        <f>INDEX(Input!$1:$1048576,AX$93,$C109*2+6)</f>
        <v>Kia-LR - L1</v>
      </c>
      <c r="AY109" s="41" t="str">
        <f>IF(LEN(D109)=0,"",INDEX(Input!$1:$1048576,AY$93,$C109*2+6))</f>
        <v>Compact Conventional/Sporty Car (43)</v>
      </c>
      <c r="AZ109" s="41" t="str">
        <f>INDEX(Input!$1:$1048576,AZ$93,$C109*2+6)</f>
        <v>Kia Forte</v>
      </c>
      <c r="BA109" s="3">
        <f>INDEX(Input!$1:$1048576,BA$93,$C109*2+6)</f>
        <v>2020</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19695</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4"/>
        <v>1500</v>
      </c>
      <c r="CJ109" s="16" t="str">
        <f>INDEX(Input!$1:$1048576,CJ$93,$C109*2+6)</f>
        <v>N</v>
      </c>
      <c r="CK109" s="1" t="str">
        <f t="shared" si="75"/>
        <v>Market</v>
      </c>
      <c r="CL109" s="1" t="str">
        <f t="shared" si="76"/>
        <v>Market</v>
      </c>
      <c r="CM109" s="1" t="str">
        <f t="shared" si="77"/>
        <v>Market</v>
      </c>
      <c r="CN109" s="1" t="str">
        <f t="shared" si="78"/>
        <v>Market</v>
      </c>
      <c r="CO109" s="1" t="str">
        <f t="shared" si="79"/>
        <v>Market</v>
      </c>
      <c r="CP109" s="304">
        <f t="shared" si="80"/>
        <v>0</v>
      </c>
      <c r="CQ109" s="1">
        <f t="shared" si="81"/>
        <v>0</v>
      </c>
      <c r="CR109" s="1">
        <f t="shared" si="82"/>
        <v>0</v>
      </c>
      <c r="CS109" s="1">
        <f t="shared" si="83"/>
        <v>0</v>
      </c>
      <c r="CT109" s="1">
        <f t="shared" si="84"/>
        <v>1.9E-2</v>
      </c>
      <c r="CU109" s="1">
        <f t="shared" si="85"/>
        <v>3.9E-2</v>
      </c>
      <c r="CV109" s="304">
        <f t="shared" si="86"/>
        <v>2826</v>
      </c>
      <c r="CW109" s="20" t="s">
        <v>122</v>
      </c>
      <c r="CX109" s="20" t="s">
        <v>122</v>
      </c>
      <c r="CY109" s="20" t="s">
        <v>122</v>
      </c>
      <c r="CZ109" s="20" t="s">
        <v>122</v>
      </c>
      <c r="DA109" s="20" t="s">
        <v>122</v>
      </c>
      <c r="DB109" s="503">
        <f t="shared" si="87"/>
        <v>0</v>
      </c>
      <c r="DC109" s="127">
        <v>0</v>
      </c>
      <c r="DD109" s="127">
        <v>0</v>
      </c>
      <c r="DE109" s="127">
        <v>0</v>
      </c>
      <c r="DF109" s="127">
        <v>0</v>
      </c>
      <c r="DG109" s="127">
        <v>0</v>
      </c>
      <c r="DH109" s="127">
        <v>0</v>
      </c>
      <c r="DI109" s="127">
        <v>0</v>
      </c>
      <c r="DJ109" s="127">
        <v>0</v>
      </c>
      <c r="DK109" s="127">
        <v>0</v>
      </c>
      <c r="DL109" s="127">
        <v>0</v>
      </c>
      <c r="DM109" s="304">
        <f>INDEX(Input!$1:$1048576,DM$93,$C109*2+6)</f>
        <v>20731.578947368424</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1.4803798132145433E-2</v>
      </c>
      <c r="DZ109" s="7">
        <v>0</v>
      </c>
      <c r="EA109" s="7">
        <v>0.23067098935061003</v>
      </c>
      <c r="EB109" s="7">
        <v>0</v>
      </c>
      <c r="EC109" s="7">
        <v>0</v>
      </c>
      <c r="ED109" s="7">
        <v>0</v>
      </c>
      <c r="EE109" s="7">
        <v>0</v>
      </c>
      <c r="EF109" s="7">
        <v>0</v>
      </c>
      <c r="EG109" s="7">
        <v>0</v>
      </c>
      <c r="EH109" s="7">
        <v>1.9867163211649868E-2</v>
      </c>
      <c r="EI109" s="7">
        <v>3.5734944822064255E-2</v>
      </c>
      <c r="EJ109" s="7">
        <v>0.28104141462213039</v>
      </c>
      <c r="EK109" s="7">
        <v>0.62010092925970739</v>
      </c>
      <c r="EL109" s="7">
        <v>4.3255548084448162E-2</v>
      </c>
      <c r="EM109" s="7">
        <v>1.3484324393567095E-2</v>
      </c>
      <c r="EN109" s="7">
        <v>5.668659417593376E-2</v>
      </c>
      <c r="EO109" s="7">
        <v>0.54216995014193581</v>
      </c>
      <c r="EP109" s="7">
        <v>0.31173155381219214</v>
      </c>
      <c r="EQ109" s="7">
        <v>5.1954312326603483E-2</v>
      </c>
      <c r="ER109" s="7">
        <v>3.7457589543334738E-2</v>
      </c>
      <c r="ES109" s="7">
        <v>0.74104088812367752</v>
      </c>
      <c r="ET109" s="7">
        <v>0.75452521251724447</v>
      </c>
      <c r="EU109" s="6">
        <v>1850</v>
      </c>
      <c r="EV109" s="6">
        <v>0</v>
      </c>
      <c r="EW109" s="6">
        <v>1850</v>
      </c>
      <c r="EX109" s="6">
        <v>0</v>
      </c>
      <c r="EY109" s="6">
        <v>2631.5502763133168</v>
      </c>
      <c r="EZ109" s="6">
        <v>4822.9999999999991</v>
      </c>
      <c r="FA109" s="6">
        <v>0</v>
      </c>
      <c r="FB109" s="6">
        <v>0</v>
      </c>
      <c r="FC109" s="6">
        <v>0</v>
      </c>
      <c r="FD109" s="6">
        <v>0</v>
      </c>
      <c r="FE109" s="6">
        <v>0</v>
      </c>
      <c r="FF109" s="6">
        <v>0</v>
      </c>
      <c r="FG109" s="6">
        <v>0</v>
      </c>
      <c r="FH109" s="6">
        <v>1152.1208270377822</v>
      </c>
      <c r="FI109" s="6">
        <v>1531.4299904380621</v>
      </c>
      <c r="FJ109" s="6">
        <v>2070.7205842538219</v>
      </c>
      <c r="FK109" s="6">
        <v>1746.9903521590438</v>
      </c>
      <c r="FL109" s="6">
        <v>893.91433563489363</v>
      </c>
      <c r="FM109" s="6">
        <v>1781.5502763133168</v>
      </c>
      <c r="FN109" s="6">
        <v>0</v>
      </c>
      <c r="FO109" s="6">
        <v>0</v>
      </c>
      <c r="FP109" s="6">
        <v>0</v>
      </c>
      <c r="FQ109" s="6">
        <v>0</v>
      </c>
      <c r="FR109" s="6">
        <v>0</v>
      </c>
      <c r="FS109" s="6">
        <v>0</v>
      </c>
      <c r="FT109" s="7">
        <v>0.24547478748275547</v>
      </c>
      <c r="FU109" s="7">
        <v>1.3484324393567095E-2</v>
      </c>
      <c r="FV109" s="7">
        <v>0.74104088812367752</v>
      </c>
      <c r="FW109" s="6">
        <v>1850</v>
      </c>
      <c r="FX109" s="6">
        <v>2631.5502763133163</v>
      </c>
      <c r="FY109" s="6">
        <v>4822.9999999999991</v>
      </c>
      <c r="FZ109" s="6">
        <v>3077.4375890575293</v>
      </c>
      <c r="GA109" s="6">
        <v>4063.6532378473835</v>
      </c>
      <c r="GB109" s="6">
        <v>15631.346762152616</v>
      </c>
      <c r="GC109" s="7">
        <v>7.0901643973087014E-2</v>
      </c>
      <c r="GD109" s="7">
        <v>8.0982169180716587E-2</v>
      </c>
      <c r="GE109" s="7"/>
      <c r="GF109" s="7"/>
      <c r="GG109" s="7">
        <v>0.14217618439786756</v>
      </c>
      <c r="GH109" s="42">
        <v>2.8392978301976508</v>
      </c>
      <c r="GI109" s="6">
        <v>11000.227411409509</v>
      </c>
      <c r="GJ109" s="14">
        <v>0.51074630601039539</v>
      </c>
      <c r="GK109" s="14">
        <v>0.5082951978616097</v>
      </c>
      <c r="GL109" s="14">
        <v>0.48925369398960444</v>
      </c>
      <c r="GM109" s="14">
        <v>0.49170480213839018</v>
      </c>
      <c r="GO109" s="5">
        <v>338.16872463277008</v>
      </c>
      <c r="GP109" s="5">
        <v>302.87425392274076</v>
      </c>
      <c r="GQ109" s="5">
        <v>527.27910984145694</v>
      </c>
      <c r="GR109" s="5">
        <v>404.20319246551543</v>
      </c>
      <c r="GS109" s="5">
        <v>334.50205195691484</v>
      </c>
      <c r="GT109" s="5">
        <v>289.18266033348181</v>
      </c>
      <c r="GU109" s="5">
        <v>254.29573314828914</v>
      </c>
      <c r="GV109" s="39" t="s">
        <v>392</v>
      </c>
      <c r="GW109" s="5">
        <v>468.76388888888891</v>
      </c>
      <c r="GX109" s="5">
        <v>351.57291666666669</v>
      </c>
      <c r="GY109" s="5">
        <v>281.25833333333333</v>
      </c>
      <c r="GZ109" s="5">
        <v>248.18079879493993</v>
      </c>
      <c r="HA109" s="5">
        <v>229.8919505212948</v>
      </c>
      <c r="HB109" s="39">
        <v>264.76293361772167</v>
      </c>
      <c r="HC109" s="5">
        <v>72.109375000000014</v>
      </c>
      <c r="HD109" s="5">
        <v>92.305464181286524</v>
      </c>
      <c r="HE109" s="5">
        <v>103.7516995614035</v>
      </c>
      <c r="HF109" s="5">
        <v>106.17129934210527</v>
      </c>
      <c r="HG109" s="5">
        <v>115.13410087719299</v>
      </c>
      <c r="HH109" s="39">
        <v>96.304265044073475</v>
      </c>
      <c r="HI109" s="16"/>
      <c r="HJ109" s="19" t="str">
        <f t="shared" si="107"/>
        <v>On</v>
      </c>
      <c r="HK109" s="1" t="str">
        <f t="shared" si="108"/>
        <v>On</v>
      </c>
      <c r="HL109" s="16"/>
      <c r="HM109" s="639">
        <f t="shared" si="42"/>
        <v>1.7699001661282989E-2</v>
      </c>
      <c r="HN109" s="639">
        <f t="shared" si="43"/>
        <v>1.0509929974846072E-3</v>
      </c>
      <c r="HO109" s="639">
        <f t="shared" si="44"/>
        <v>5.7398960259851091E-2</v>
      </c>
      <c r="HP109" s="644">
        <f>(FT109*$GD109-HM109)/$JF109*INDEX(Input!$1:$1048576,$JG$93,$C109*2+6)</f>
        <v>27.999299138683838</v>
      </c>
      <c r="HQ109" s="644">
        <f>(FU109*$GD109-HN109)/$JF109*INDEX(Input!$1:$1048576,$JG$93,$C109*2+6)</f>
        <v>0.52653265386521364</v>
      </c>
      <c r="HR109" s="644">
        <f>(FV109*$GD109-HO109)/$JF109*INDEX(Input!$1:$1048576,$JG$93,$C109*2+6)</f>
        <v>33.54834313714543</v>
      </c>
      <c r="HS109" s="644">
        <f t="shared" si="45"/>
        <v>-0.13917966391394995</v>
      </c>
      <c r="HT109" s="644">
        <f t="shared" si="46"/>
        <v>6.9486592275315981</v>
      </c>
      <c r="HU109" s="644">
        <f t="shared" si="47"/>
        <v>19.26525226602071</v>
      </c>
      <c r="HV109" s="648">
        <f t="shared" si="48"/>
        <v>0</v>
      </c>
      <c r="HW109" s="648">
        <f t="shared" si="49"/>
        <v>0</v>
      </c>
      <c r="HX109" s="648">
        <f t="shared" si="50"/>
        <v>0</v>
      </c>
      <c r="HY109" s="644">
        <f>INDEX(Input!$1:$1048576,HY$93,$C109*2+6)*INDEX(Input!$1:$1048576,$JG$93,$C109*2+6)</f>
        <v>154.99999999999997</v>
      </c>
      <c r="HZ109" s="644">
        <f>INDEX(Input!$1:$1048576,HZ$93,$C109*2+6)*INDEX(Input!$1:$1048576,$JG$93,$C109*2+6)</f>
        <v>140</v>
      </c>
      <c r="IA109" s="644">
        <f>INDEX(Input!$1:$1048576,IA$93,$C109*2+6)*INDEX(Input!$1:$1048576,$JG$93,$C109*2+6)</f>
        <v>683</v>
      </c>
      <c r="IB109" s="644">
        <f t="shared" si="88"/>
        <v>182.86011947476993</v>
      </c>
      <c r="IC109" s="644">
        <f t="shared" si="89"/>
        <v>147.47519188139682</v>
      </c>
      <c r="ID109" s="644">
        <f>IF(AND(INDEX(Input!$1:$1048576,IA$93,$C109*2+7)="TOS",Y109&lt;=INDEX(Y:Y,MATCH(C109*1000+2,A:A))),0,1)*MAX(IA109+HR109+HU109+HX109,0%)</f>
        <v>735.81359540316623</v>
      </c>
      <c r="IE109" s="128">
        <f t="shared" si="90"/>
        <v>0.17151461518690828</v>
      </c>
      <c r="IF109" s="128">
        <f t="shared" si="51"/>
        <v>0.13832513539751454</v>
      </c>
      <c r="IG109" s="128">
        <f t="shared" si="52"/>
        <v>0.6901602494155773</v>
      </c>
      <c r="IH109" s="21"/>
      <c r="II109" s="19">
        <f t="shared" si="53"/>
        <v>1200</v>
      </c>
      <c r="IJ109" s="19">
        <f t="shared" si="54"/>
        <v>2231.5502763133163</v>
      </c>
      <c r="IK109" s="19">
        <f t="shared" si="55"/>
        <v>4498</v>
      </c>
      <c r="IL109" s="19">
        <f t="shared" si="91"/>
        <v>650</v>
      </c>
      <c r="IM109" s="19">
        <f t="shared" si="56"/>
        <v>400</v>
      </c>
      <c r="IN109" s="19">
        <f t="shared" si="56"/>
        <v>324.99999999999909</v>
      </c>
      <c r="IO109" s="39">
        <f t="shared" si="57"/>
        <v>0</v>
      </c>
      <c r="IP109" s="39">
        <f t="shared" si="58"/>
        <v>0</v>
      </c>
      <c r="IQ109" s="39">
        <f t="shared" si="59"/>
        <v>0</v>
      </c>
      <c r="IR109" s="39">
        <v>0</v>
      </c>
      <c r="IS109" s="39">
        <v>0</v>
      </c>
      <c r="IT109" s="39">
        <v>0</v>
      </c>
      <c r="IU109" s="39">
        <v>0</v>
      </c>
      <c r="IV109" s="39">
        <v>0</v>
      </c>
      <c r="IW109" s="39">
        <v>0</v>
      </c>
      <c r="IX109" s="39">
        <f>INDEX(Input!$1:$1048576,IX$93,$C109*2+6)+INDEX(Input!$1:$1048576,IX$94,$C109*2+6)</f>
        <v>1600</v>
      </c>
      <c r="IY109" s="39">
        <f>INDEX(Input!$1:$1048576,IY$93,$C109*2+6)+INDEX(Input!$1:$1048576,IY$94,$C109*2+6)</f>
        <v>2503.5492916397525</v>
      </c>
      <c r="IZ109" s="39">
        <f>INDEX(Input!$1:$1048576,IZ$93,$C109*2+6)+INDEX(Input!$1:$1048576,IZ$94,$C109*2+6)</f>
        <v>6273.7109265464023</v>
      </c>
      <c r="JA109" s="19">
        <f t="shared" si="92"/>
        <v>2250</v>
      </c>
      <c r="JB109" s="19">
        <f t="shared" si="92"/>
        <v>2903.5492916397525</v>
      </c>
      <c r="JC109" s="19">
        <f t="shared" si="92"/>
        <v>6598.7109265464014</v>
      </c>
      <c r="JD109" s="19">
        <f t="shared" si="93"/>
        <v>5341.7097119565296</v>
      </c>
      <c r="JE109" s="21"/>
      <c r="JF109" s="1">
        <f t="shared" si="60"/>
        <v>7.6148954918618686E-2</v>
      </c>
      <c r="JG109" s="15">
        <f>INDEX(Input!$1:$1048576,JG$93,$C109*2+6)/(1+VLOOKUP(C109*1000+INDEX(Input!$1:$1048576,JG$93+1,$C109*2+6),$A:$KK,$JK$92,FALSE))</f>
        <v>978</v>
      </c>
      <c r="JH109" s="1">
        <f t="shared" si="94"/>
        <v>6.3470526512980047E-2</v>
      </c>
      <c r="JI109" s="1">
        <f t="shared" si="95"/>
        <v>2.6661279989405276E-2</v>
      </c>
      <c r="JJ109" s="1">
        <f t="shared" si="96"/>
        <v>0</v>
      </c>
      <c r="JK109" s="1">
        <f t="shared" si="97"/>
        <v>9.0131806502385323E-2</v>
      </c>
      <c r="JL109" s="15">
        <f t="shared" si="98"/>
        <v>88.148906759332846</v>
      </c>
      <c r="JM109" s="15">
        <f t="shared" si="99"/>
        <v>1066.1489067593329</v>
      </c>
      <c r="JN109" s="21"/>
      <c r="JO109" s="19">
        <f>INDEX(Input!$1:$1048576,JO$93,$C109*2+6)</f>
        <v>5908.5</v>
      </c>
      <c r="JP109" s="19">
        <f>INDEX(Input!$1:$1048576,JP$93,$C109*2+6)</f>
        <v>4993.2939301234746</v>
      </c>
      <c r="JQ109" s="39">
        <f t="shared" si="109"/>
        <v>566.79028804347035</v>
      </c>
      <c r="JR109" s="39">
        <f t="shared" si="61"/>
        <v>348.41578183305501</v>
      </c>
      <c r="JS109" s="39">
        <f t="shared" si="62"/>
        <v>5.6950579696281656</v>
      </c>
      <c r="JT109" s="39">
        <f t="shared" si="100"/>
        <v>0.81161650596740753</v>
      </c>
      <c r="JU109" s="385">
        <f>(JQ109*JM109-INDEX(Input!$1:$1048576,Input!A$18,$C109*2+6)*JL109*INDEX(Input!$1:$1048576,Input!A$19,$C109*2+6))/1000000</f>
        <v>0.60428284595935333</v>
      </c>
      <c r="JV109" s="39">
        <f t="shared" si="63"/>
        <v>-0.29078869037988841</v>
      </c>
      <c r="JW109" s="1">
        <f t="shared" si="117"/>
        <v>-0.32487759757078943</v>
      </c>
      <c r="JX109" s="19">
        <f t="shared" si="113"/>
        <v>9207.3349041447636</v>
      </c>
      <c r="JZ109" s="341"/>
      <c r="KA109" s="342"/>
      <c r="KB109" s="469">
        <f t="shared" si="110"/>
        <v>3.2656316020464753</v>
      </c>
      <c r="KI109" s="473">
        <f t="shared" si="111"/>
        <v>27.860119474769959</v>
      </c>
      <c r="KJ109" s="473">
        <f t="shared" si="101"/>
        <v>7.4751918813968246</v>
      </c>
      <c r="KK109" s="473">
        <f t="shared" si="102"/>
        <v>52.813595403166232</v>
      </c>
      <c r="KN109" s="544">
        <f t="shared" si="114"/>
        <v>1002</v>
      </c>
      <c r="KO109" s="541">
        <f t="shared" si="64"/>
        <v>7.5979204301508396E-3</v>
      </c>
      <c r="KP109" s="546">
        <f t="shared" si="65"/>
        <v>42.878653796727171</v>
      </c>
      <c r="KQ109" s="546">
        <f t="shared" si="66"/>
        <v>-12.744188018910791</v>
      </c>
      <c r="KR109" s="548">
        <f t="shared" si="67"/>
        <v>2.5410855646128772</v>
      </c>
      <c r="KS109" s="548">
        <f t="shared" si="68"/>
        <v>-8.5496485167368785</v>
      </c>
      <c r="KT109" s="473">
        <f t="shared" si="112"/>
        <v>-82.310573396665475</v>
      </c>
      <c r="KU109" s="663">
        <f t="shared" si="103"/>
        <v>-51.444112103810632</v>
      </c>
      <c r="KV109" s="117">
        <f>RANK(KU109,$KU$109:$KU$200)</f>
        <v>30</v>
      </c>
    </row>
    <row r="110" spans="1:310" s="26" customFormat="1" ht="15">
      <c r="A110" s="561">
        <f t="shared" si="122"/>
        <v>1010</v>
      </c>
      <c r="B110" s="561">
        <f t="shared" si="104"/>
        <v>10</v>
      </c>
      <c r="C110" s="561">
        <f t="shared" si="105"/>
        <v>1</v>
      </c>
      <c r="D110" s="561" t="str">
        <f t="shared" si="141"/>
        <v xml:space="preserve">500 CC, </v>
      </c>
      <c r="E110" s="475">
        <f>INDEX(Input!$1:$1048576,E$93,$C110*2+MIN($B110,2)+5)+IF(OR(BX110&gt;50000,INDEX(Input!$1:$1048576,E$93,$C110*2+MIN($B110,2)+5)&gt;0),0,250)+IF(BX110&gt;50000,500,250)*2</f>
        <v>1750</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1.9E-2</v>
      </c>
      <c r="W110" s="862">
        <f>INDEX(Input!$1:$1048576,W$93,$C110*2+MIN($B110,2)+5)</f>
        <v>3.9E-2</v>
      </c>
      <c r="X110" s="118" t="str">
        <f>INDEX(Input!$1:$1048576,X$93,$C110*2+MIN($B110,2)+5)</f>
        <v>Y</v>
      </c>
      <c r="Y110" s="150">
        <f>INDEX(Input!$1:$1048576,Y$93,$C110*2+MIN($B110,2)+5)</f>
        <v>2826</v>
      </c>
      <c r="Z110" s="30">
        <f>INDEX(Input!$1:$1048576,Z$93,$C110*2+MIN($B110,2)+5)</f>
        <v>0</v>
      </c>
      <c r="AA110" s="115">
        <f>INDEX(Input!$1:$1048576,AA$93,$C110*2+MIN($B110,2)+5)</f>
        <v>0</v>
      </c>
      <c r="AB110" s="118">
        <f>INDEX(Input!$1:$1048576,AB$93,$C110*2+MIN($B110,2)+5)</f>
        <v>1</v>
      </c>
      <c r="AC110" s="115">
        <f>INDEX(Input!$1:$1048576,AC$93,$C110*2+MIN($B110,2)+5)</f>
        <v>0</v>
      </c>
      <c r="AD110" s="118">
        <f>INDEX(Input!$1:$1048576,AD$93,$C110*2+MIN($B110,2)+5)</f>
        <v>0.35</v>
      </c>
      <c r="AE110" s="115">
        <f>INDEX(Input!$1:$1048576,AE$93,$C110*2+MIN($B110,2)+5)</f>
        <v>0</v>
      </c>
      <c r="AF110" s="118">
        <f>INDEX(Input!$1:$1048576,AF$93,$C110*2+MIN($B110,2)+5)</f>
        <v>1</v>
      </c>
      <c r="AG110" s="115">
        <f>INDEX(Input!$1:$1048576,AG$93,$C110*2+MIN($B110,2)+5)</f>
        <v>0</v>
      </c>
      <c r="AH110" s="118">
        <f>INDEX(Input!$1:$1048576,AH$93,$C110*2+MIN($B110,2)+5)</f>
        <v>1</v>
      </c>
      <c r="AI110" s="115">
        <f>INDEX(Input!$1:$1048576,AI$93,$C110*2+MIN($B110,2)+5)</f>
        <v>0</v>
      </c>
      <c r="AJ110" s="118">
        <f>INDEX(Input!$1:$1048576,AJ$93,$C110*2+MIN($B110,2)+5)</f>
        <v>0.35</v>
      </c>
      <c r="AK110" s="150">
        <f>ROUND(INDEX(Input!$1:$1048576,AK$93,$C109*2+MIN($B110,1)+5)+(Y110-VLOOKUP($C110*1000+1,$A:$HH,Y$92,FALSE)),0)</f>
        <v>5482</v>
      </c>
      <c r="AL110" s="150">
        <f>ROUND(INDEX(Input!$1:$1048576,AL$93,$C109*2+MIN($B110,1)+5)-(Y110-VLOOKUP($C110*1000+1,$A:$HH,Y$92,FALSE))/36,0)</f>
        <v>5602</v>
      </c>
      <c r="AM110" s="32" t="str">
        <f t="shared" si="118"/>
        <v>std/std/std/std</v>
      </c>
      <c r="AN110" s="32" t="str">
        <f t="shared" si="119"/>
        <v>$0 + 0/0/0/1.9/3.9</v>
      </c>
      <c r="AO110" s="32" t="str">
        <f t="shared" si="120"/>
        <v>0/0/0/1.9/3.9</v>
      </c>
      <c r="AP110" s="32" t="str">
        <f t="shared" si="73"/>
        <v>0/0.9/1.9/3.9</v>
      </c>
      <c r="AQ110" s="536">
        <f t="shared" si="39"/>
        <v>0.18636925933749426</v>
      </c>
      <c r="AR110" s="32"/>
      <c r="AS110" s="302"/>
      <c r="AT110" s="3">
        <f t="shared" si="106"/>
        <v>10</v>
      </c>
      <c r="AU110" s="41" t="s">
        <v>121</v>
      </c>
      <c r="AV110" s="41" t="s">
        <v>116</v>
      </c>
      <c r="AW110" s="41" t="str">
        <f>INDEX(Input!$1:$1048576,AW$93,$C110*2+6)</f>
        <v>Kia</v>
      </c>
      <c r="AX110" s="41" t="str">
        <f>INDEX(Input!$1:$1048576,AX$93,$C110*2+6)</f>
        <v>Kia-LR - L1</v>
      </c>
      <c r="AY110" s="41" t="str">
        <f>IF(LEN(D110)=0,"",INDEX(Input!$1:$1048576,AY$93,$C110*2+6))</f>
        <v>Compact Conventional/Sporty Car (43)</v>
      </c>
      <c r="AZ110" s="41" t="str">
        <f>INDEX(Input!$1:$1048576,AZ$93,$C110*2+6)</f>
        <v>Kia Forte</v>
      </c>
      <c r="BA110" s="3">
        <f>INDEX(Input!$1:$1048576,BA$93,$C110*2+6)</f>
        <v>2020</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19695</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4"/>
        <v>1750</v>
      </c>
      <c r="CJ110" s="16" t="str">
        <f>INDEX(Input!$1:$1048576,CJ$93,$C110*2+6)</f>
        <v>N</v>
      </c>
      <c r="CK110" s="1" t="str">
        <f t="shared" si="75"/>
        <v>Market</v>
      </c>
      <c r="CL110" s="1" t="str">
        <f t="shared" si="76"/>
        <v>Market</v>
      </c>
      <c r="CM110" s="1" t="str">
        <f t="shared" si="77"/>
        <v>Market</v>
      </c>
      <c r="CN110" s="1" t="str">
        <f t="shared" si="78"/>
        <v>Market</v>
      </c>
      <c r="CO110" s="1" t="str">
        <f t="shared" si="79"/>
        <v>Market</v>
      </c>
      <c r="CP110" s="304">
        <f t="shared" si="80"/>
        <v>0</v>
      </c>
      <c r="CQ110" s="1">
        <f t="shared" si="81"/>
        <v>0</v>
      </c>
      <c r="CR110" s="1">
        <f t="shared" si="82"/>
        <v>0</v>
      </c>
      <c r="CS110" s="1">
        <f t="shared" si="83"/>
        <v>0</v>
      </c>
      <c r="CT110" s="1">
        <f t="shared" si="84"/>
        <v>1.9E-2</v>
      </c>
      <c r="CU110" s="1">
        <f t="shared" si="85"/>
        <v>3.9E-2</v>
      </c>
      <c r="CV110" s="304">
        <f t="shared" si="86"/>
        <v>2826</v>
      </c>
      <c r="CW110" s="20" t="s">
        <v>122</v>
      </c>
      <c r="CX110" s="20" t="s">
        <v>122</v>
      </c>
      <c r="CY110" s="20" t="s">
        <v>122</v>
      </c>
      <c r="CZ110" s="20" t="s">
        <v>122</v>
      </c>
      <c r="DA110" s="20" t="s">
        <v>122</v>
      </c>
      <c r="DB110" s="503">
        <f t="shared" si="87"/>
        <v>0</v>
      </c>
      <c r="DC110" s="127">
        <v>0</v>
      </c>
      <c r="DD110" s="127">
        <v>0</v>
      </c>
      <c r="DE110" s="127">
        <v>0</v>
      </c>
      <c r="DF110" s="127">
        <v>0</v>
      </c>
      <c r="DG110" s="127">
        <v>0</v>
      </c>
      <c r="DH110" s="127">
        <v>0</v>
      </c>
      <c r="DI110" s="127">
        <v>0</v>
      </c>
      <c r="DJ110" s="127">
        <v>0</v>
      </c>
      <c r="DK110" s="127">
        <v>0</v>
      </c>
      <c r="DL110" s="127">
        <v>0</v>
      </c>
      <c r="DM110" s="304">
        <f>INDEX(Input!$1:$1048576,DM$93,$C110*2+6)</f>
        <v>20731.578947368424</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1.5747789533307747E-2</v>
      </c>
      <c r="DZ110" s="7">
        <v>0</v>
      </c>
      <c r="EA110" s="7">
        <v>0.244345851782727</v>
      </c>
      <c r="EB110" s="7">
        <v>0</v>
      </c>
      <c r="EC110" s="7">
        <v>0</v>
      </c>
      <c r="ED110" s="7">
        <v>0</v>
      </c>
      <c r="EE110" s="7">
        <v>0</v>
      </c>
      <c r="EF110" s="7">
        <v>0</v>
      </c>
      <c r="EG110" s="7">
        <v>0</v>
      </c>
      <c r="EH110" s="7">
        <v>1.9867163211649871E-2</v>
      </c>
      <c r="EI110" s="7">
        <v>3.5734944822064234E-2</v>
      </c>
      <c r="EJ110" s="7">
        <v>0.28104141462213039</v>
      </c>
      <c r="EK110" s="7">
        <v>0.6201009292597075</v>
      </c>
      <c r="EL110" s="7">
        <v>4.3255548084448155E-2</v>
      </c>
      <c r="EM110" s="7">
        <v>1.3223066898019095E-2</v>
      </c>
      <c r="EN110" s="7">
        <v>5.6686594175933754E-2</v>
      </c>
      <c r="EO110" s="7">
        <v>0.54216995014193581</v>
      </c>
      <c r="EP110" s="7">
        <v>0.3117315538121922</v>
      </c>
      <c r="EQ110" s="7">
        <v>5.1954312326603483E-2</v>
      </c>
      <c r="ER110" s="7">
        <v>3.7457589543334745E-2</v>
      </c>
      <c r="ES110" s="7">
        <v>0.72668329178594615</v>
      </c>
      <c r="ET110" s="7">
        <v>0.73990635868396526</v>
      </c>
      <c r="EU110" s="6">
        <v>2100</v>
      </c>
      <c r="EV110" s="6">
        <v>0</v>
      </c>
      <c r="EW110" s="6">
        <v>2100</v>
      </c>
      <c r="EX110" s="6">
        <v>0</v>
      </c>
      <c r="EY110" s="6">
        <v>2631.5502763133163</v>
      </c>
      <c r="EZ110" s="6">
        <v>4822.9999999999991</v>
      </c>
      <c r="FA110" s="6">
        <v>0</v>
      </c>
      <c r="FB110" s="6">
        <v>0</v>
      </c>
      <c r="FC110" s="6">
        <v>0</v>
      </c>
      <c r="FD110" s="6">
        <v>0</v>
      </c>
      <c r="FE110" s="6">
        <v>0</v>
      </c>
      <c r="FF110" s="6">
        <v>0</v>
      </c>
      <c r="FG110" s="6">
        <v>0</v>
      </c>
      <c r="FH110" s="6">
        <v>1152.1208270377815</v>
      </c>
      <c r="FI110" s="6">
        <v>1531.4299904380623</v>
      </c>
      <c r="FJ110" s="6">
        <v>2070.720584253821</v>
      </c>
      <c r="FK110" s="6">
        <v>1746.9903521590431</v>
      </c>
      <c r="FL110" s="6">
        <v>893.91433563489386</v>
      </c>
      <c r="FM110" s="6">
        <v>1781.5502763133163</v>
      </c>
      <c r="FN110" s="6">
        <v>0</v>
      </c>
      <c r="FO110" s="6">
        <v>0</v>
      </c>
      <c r="FP110" s="6">
        <v>0</v>
      </c>
      <c r="FQ110" s="6">
        <v>0</v>
      </c>
      <c r="FR110" s="6">
        <v>0</v>
      </c>
      <c r="FS110" s="6">
        <v>0</v>
      </c>
      <c r="FT110" s="7">
        <v>0.26009364131603474</v>
      </c>
      <c r="FU110" s="7">
        <v>1.3223066898019095E-2</v>
      </c>
      <c r="FV110" s="7">
        <v>0.72668329178594615</v>
      </c>
      <c r="FW110" s="6">
        <v>2100.0000000000005</v>
      </c>
      <c r="FX110" s="6">
        <v>2631.5502763133163</v>
      </c>
      <c r="FY110" s="6">
        <v>4822.9999999999991</v>
      </c>
      <c r="FZ110" s="6">
        <v>3077.4375890575293</v>
      </c>
      <c r="GA110" s="6">
        <v>4085.7873283964818</v>
      </c>
      <c r="GB110" s="6">
        <v>15609.212671603518</v>
      </c>
      <c r="GC110" s="7">
        <v>7.0901643973087014E-2</v>
      </c>
      <c r="GD110" s="7">
        <v>8.1650240360989348E-2</v>
      </c>
      <c r="GE110" s="7"/>
      <c r="GF110" s="7"/>
      <c r="GG110" s="7">
        <v>0.15159869060274975</v>
      </c>
      <c r="GH110" s="42">
        <v>2.9610125286277418</v>
      </c>
      <c r="GI110" s="6">
        <v>10737.228282997066</v>
      </c>
      <c r="GJ110" s="14">
        <v>0.5107463060103955</v>
      </c>
      <c r="GK110" s="14">
        <v>0.5082951978616097</v>
      </c>
      <c r="GL110" s="14">
        <v>0.48925369398960428</v>
      </c>
      <c r="GM110" s="14">
        <v>0.49170480213839035</v>
      </c>
      <c r="GO110" s="5">
        <v>338.16872463277008</v>
      </c>
      <c r="GP110" s="5">
        <v>298.1047308538179</v>
      </c>
      <c r="GQ110" s="5">
        <v>527.27910984145694</v>
      </c>
      <c r="GR110" s="5">
        <v>404.20319246551543</v>
      </c>
      <c r="GS110" s="5">
        <v>334.50205195691484</v>
      </c>
      <c r="GT110" s="5">
        <v>289.18266033348181</v>
      </c>
      <c r="GU110" s="5">
        <v>254.29573314828914</v>
      </c>
      <c r="GV110" s="39" t="s">
        <v>392</v>
      </c>
      <c r="GW110" s="5">
        <v>468.76388888888891</v>
      </c>
      <c r="GX110" s="5">
        <v>351.57291666666669</v>
      </c>
      <c r="GY110" s="5">
        <v>281.25833333333333</v>
      </c>
      <c r="GZ110" s="5">
        <v>248.18079879493993</v>
      </c>
      <c r="HA110" s="5">
        <v>229.8919505212948</v>
      </c>
      <c r="HB110" s="39">
        <v>264.76293361772167</v>
      </c>
      <c r="HC110" s="5">
        <v>72.109375000000014</v>
      </c>
      <c r="HD110" s="5">
        <v>92.305464181286524</v>
      </c>
      <c r="HE110" s="5">
        <v>103.7516995614035</v>
      </c>
      <c r="HF110" s="5">
        <v>106.17129934210527</v>
      </c>
      <c r="HG110" s="5">
        <v>115.13410087719299</v>
      </c>
      <c r="HH110" s="39">
        <v>96.304265044073475</v>
      </c>
      <c r="HI110" s="16"/>
      <c r="HJ110" s="19" t="str">
        <f t="shared" si="107"/>
        <v>On</v>
      </c>
      <c r="HK110" s="1" t="str">
        <f t="shared" si="108"/>
        <v>On</v>
      </c>
      <c r="HL110" s="16"/>
      <c r="HM110" s="639">
        <f t="shared" si="42"/>
        <v>1.7699001661282989E-2</v>
      </c>
      <c r="HN110" s="639">
        <f t="shared" si="43"/>
        <v>1.0509929974846072E-3</v>
      </c>
      <c r="HO110" s="639">
        <f t="shared" si="44"/>
        <v>5.7398960259851091E-2</v>
      </c>
      <c r="HP110" s="644">
        <f>(FT110*$GD110-HM110)/$JF110*INDEX(Input!$1:$1048576,$JG$93,$C110*2+6)</f>
        <v>45.435648138914232</v>
      </c>
      <c r="HQ110" s="644">
        <f>(FU110*$GD110-HN110)/$JF110*INDEX(Input!$1:$1048576,$JG$93,$C110*2+6)</f>
        <v>0.36826209934207771</v>
      </c>
      <c r="HR110" s="644">
        <f>(FV110*$GD110-HO110)/$JF110*INDEX(Input!$1:$1048576,$JG$93,$C110*2+6)</f>
        <v>24.850469304948824</v>
      </c>
      <c r="HS110" s="644">
        <f t="shared" si="45"/>
        <v>-0.13917966391394995</v>
      </c>
      <c r="HT110" s="644">
        <f t="shared" si="46"/>
        <v>5.3406520771266806</v>
      </c>
      <c r="HU110" s="644">
        <f t="shared" si="47"/>
        <v>20.873259416425629</v>
      </c>
      <c r="HV110" s="648">
        <f t="shared" si="48"/>
        <v>0</v>
      </c>
      <c r="HW110" s="648">
        <f t="shared" si="49"/>
        <v>0</v>
      </c>
      <c r="HX110" s="648">
        <f t="shared" si="50"/>
        <v>0</v>
      </c>
      <c r="HY110" s="644">
        <f>INDEX(Input!$1:$1048576,HY$93,$C110*2+6)*INDEX(Input!$1:$1048576,$JG$93,$C110*2+6)</f>
        <v>154.99999999999997</v>
      </c>
      <c r="HZ110" s="644">
        <f>INDEX(Input!$1:$1048576,HZ$93,$C110*2+6)*INDEX(Input!$1:$1048576,$JG$93,$C110*2+6)</f>
        <v>140</v>
      </c>
      <c r="IA110" s="644">
        <f>INDEX(Input!$1:$1048576,IA$93,$C110*2+6)*INDEX(Input!$1:$1048576,$JG$93,$C110*2+6)</f>
        <v>683</v>
      </c>
      <c r="IB110" s="644">
        <f t="shared" si="88"/>
        <v>200.29646847500021</v>
      </c>
      <c r="IC110" s="644">
        <f t="shared" si="89"/>
        <v>145.70891417646877</v>
      </c>
      <c r="ID110" s="644">
        <f>IF(AND(INDEX(Input!$1:$1048576,IA$93,$C110*2+7)="TOS",Y110&lt;=INDEX(Y:Y,MATCH(C110*1000+2,A:A))),0,1)*MAX(IA110+HR110+HU110+HX110,0%)</f>
        <v>728.72372872137441</v>
      </c>
      <c r="IE110" s="128">
        <f t="shared" si="90"/>
        <v>0.18636925933749426</v>
      </c>
      <c r="IF110" s="128">
        <f t="shared" si="51"/>
        <v>0.13557734003347346</v>
      </c>
      <c r="IG110" s="128">
        <f t="shared" si="52"/>
        <v>0.6780534006290323</v>
      </c>
      <c r="IH110" s="21"/>
      <c r="II110" s="19">
        <f t="shared" si="53"/>
        <v>1200</v>
      </c>
      <c r="IJ110" s="19">
        <f t="shared" si="54"/>
        <v>2231.5502763133163</v>
      </c>
      <c r="IK110" s="19">
        <f t="shared" si="55"/>
        <v>4498</v>
      </c>
      <c r="IL110" s="19">
        <f t="shared" si="91"/>
        <v>900.00000000000045</v>
      </c>
      <c r="IM110" s="19">
        <f t="shared" si="56"/>
        <v>400</v>
      </c>
      <c r="IN110" s="19">
        <f t="shared" si="56"/>
        <v>324.99999999999909</v>
      </c>
      <c r="IO110" s="39">
        <f t="shared" si="57"/>
        <v>0</v>
      </c>
      <c r="IP110" s="39">
        <f t="shared" si="58"/>
        <v>0</v>
      </c>
      <c r="IQ110" s="39">
        <f t="shared" si="59"/>
        <v>0</v>
      </c>
      <c r="IR110" s="39">
        <v>0</v>
      </c>
      <c r="IS110" s="39">
        <v>0</v>
      </c>
      <c r="IT110" s="39">
        <v>0</v>
      </c>
      <c r="IU110" s="39">
        <v>0</v>
      </c>
      <c r="IV110" s="39">
        <v>0</v>
      </c>
      <c r="IW110" s="39">
        <v>0</v>
      </c>
      <c r="IX110" s="39">
        <f>INDEX(Input!$1:$1048576,IX$93,$C110*2+6)+INDEX(Input!$1:$1048576,IX$94,$C110*2+6)</f>
        <v>1600</v>
      </c>
      <c r="IY110" s="39">
        <f>INDEX(Input!$1:$1048576,IY$93,$C110*2+6)+INDEX(Input!$1:$1048576,IY$94,$C110*2+6)</f>
        <v>2503.5492916397525</v>
      </c>
      <c r="IZ110" s="39">
        <f>INDEX(Input!$1:$1048576,IZ$93,$C110*2+6)+INDEX(Input!$1:$1048576,IZ$94,$C110*2+6)</f>
        <v>6273.7109265464023</v>
      </c>
      <c r="JA110" s="19">
        <f t="shared" si="92"/>
        <v>2500.0000000000005</v>
      </c>
      <c r="JB110" s="19">
        <f t="shared" si="92"/>
        <v>2903.5492916397525</v>
      </c>
      <c r="JC110" s="19">
        <f t="shared" si="92"/>
        <v>6598.7109265464014</v>
      </c>
      <c r="JD110" s="19">
        <f t="shared" si="93"/>
        <v>5333.8570214730698</v>
      </c>
      <c r="JE110" s="21"/>
      <c r="JF110" s="1">
        <f t="shared" si="60"/>
        <v>7.6148954918618686E-2</v>
      </c>
      <c r="JG110" s="15">
        <f>INDEX(Input!$1:$1048576,JG$93,$C110*2+6)/(1+VLOOKUP(C110*1000+INDEX(Input!$1:$1048576,JG$93+1,$C110*2+6),$A:$KK,$JK$92,FALSE))</f>
        <v>978</v>
      </c>
      <c r="JH110" s="1">
        <f t="shared" si="94"/>
        <v>7.224374186421792E-2</v>
      </c>
      <c r="JI110" s="1">
        <f t="shared" si="95"/>
        <v>2.6661279989405276E-2</v>
      </c>
      <c r="JJ110" s="1">
        <f t="shared" si="96"/>
        <v>0</v>
      </c>
      <c r="JK110" s="1">
        <f t="shared" si="97"/>
        <v>9.8905021853623196E-2</v>
      </c>
      <c r="JL110" s="15">
        <f t="shared" si="98"/>
        <v>96.729111372843491</v>
      </c>
      <c r="JM110" s="15">
        <f t="shared" si="99"/>
        <v>1074.7291113728436</v>
      </c>
      <c r="JN110" s="21"/>
      <c r="JO110" s="19">
        <f>INDEX(Input!$1:$1048576,JO$93,$C110*2+6)</f>
        <v>5908.5</v>
      </c>
      <c r="JP110" s="19">
        <f>INDEX(Input!$1:$1048576,JP$93,$C110*2+6)</f>
        <v>4993.2939301234746</v>
      </c>
      <c r="JQ110" s="39">
        <f t="shared" si="109"/>
        <v>574.64297852693016</v>
      </c>
      <c r="JR110" s="39">
        <f t="shared" si="61"/>
        <v>340.5630913495952</v>
      </c>
      <c r="JS110" s="39">
        <f t="shared" si="62"/>
        <v>5.7324514168775549</v>
      </c>
      <c r="JT110" s="39">
        <f t="shared" si="100"/>
        <v>0.84900995321679673</v>
      </c>
      <c r="JU110" s="385">
        <f>(JQ110*JM110-INDEX(Input!$1:$1048576,Input!A$18,$C110*2+6)*JL110*INDEX(Input!$1:$1048576,Input!A$19,$C110*2+6))/1000000</f>
        <v>0.61758553766889168</v>
      </c>
      <c r="JV110" s="39">
        <f t="shared" si="63"/>
        <v>-0.27748599867035006</v>
      </c>
      <c r="JW110" s="1">
        <f t="shared" si="117"/>
        <v>-0.31001544279381471</v>
      </c>
      <c r="JX110" s="19">
        <f t="shared" si="113"/>
        <v>8777.1916971745759</v>
      </c>
      <c r="JZ110" s="341"/>
      <c r="KA110" s="342"/>
      <c r="KB110" s="469">
        <f t="shared" si="110"/>
        <v>3.2656316020464753</v>
      </c>
      <c r="KI110" s="473">
        <f t="shared" si="111"/>
        <v>45.296468475000268</v>
      </c>
      <c r="KJ110" s="473">
        <f t="shared" si="101"/>
        <v>5.7089141764687952</v>
      </c>
      <c r="KK110" s="473">
        <f t="shared" si="102"/>
        <v>45.723728721374641</v>
      </c>
      <c r="KN110" s="544">
        <f t="shared" si="114"/>
        <v>1002</v>
      </c>
      <c r="KO110" s="541">
        <f t="shared" si="64"/>
        <v>1.5706915590796067E-2</v>
      </c>
      <c r="KP110" s="546">
        <f t="shared" si="65"/>
        <v>93.18462966874732</v>
      </c>
      <c r="KQ110" s="546">
        <f t="shared" si="66"/>
        <v>-20.5968785023706</v>
      </c>
      <c r="KR110" s="548">
        <f t="shared" si="67"/>
        <v>2.4171985006509011</v>
      </c>
      <c r="KS110" s="548">
        <f t="shared" si="68"/>
        <v>-10.935916677523771</v>
      </c>
      <c r="KT110" s="473">
        <f t="shared" si="112"/>
        <v>-82.310573396665475</v>
      </c>
      <c r="KU110" s="663">
        <f t="shared" si="103"/>
        <v>-51.904756664376833</v>
      </c>
      <c r="KV110" s="117">
        <f t="shared" ref="KV110:KV114" si="142">RANK(KU110,$KU$109:$KU$200)</f>
        <v>41</v>
      </c>
    </row>
    <row r="111" spans="1:310" s="26" customFormat="1" ht="15">
      <c r="A111" s="561">
        <f t="shared" si="122"/>
        <v>1011</v>
      </c>
      <c r="B111" s="561">
        <f t="shared" si="104"/>
        <v>11</v>
      </c>
      <c r="C111" s="561">
        <f t="shared" si="105"/>
        <v>1</v>
      </c>
      <c r="D111" s="561" t="str">
        <f t="shared" si="141"/>
        <v xml:space="preserve">750 CC, </v>
      </c>
      <c r="E111" s="475">
        <f>INDEX(Input!$1:$1048576,E$93,$C111*2+MIN($B111,2)+5)+IF(OR(BX111&gt;50000,INDEX(Input!$1:$1048576,E$93,$C111*2+MIN($B111,2)+5)&gt;0),0,250)+IF(BX111&gt;50000,500,250)*3</f>
        <v>2000</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1.9E-2</v>
      </c>
      <c r="W111" s="862">
        <f>INDEX(Input!$1:$1048576,W$93,$C111*2+MIN($B111,2)+5)</f>
        <v>3.9E-2</v>
      </c>
      <c r="X111" s="118" t="str">
        <f>INDEX(Input!$1:$1048576,X$93,$C111*2+MIN($B111,2)+5)</f>
        <v>Y</v>
      </c>
      <c r="Y111" s="150">
        <f>INDEX(Input!$1:$1048576,Y$93,$C111*2+MIN($B111,2)+5)</f>
        <v>2826</v>
      </c>
      <c r="Z111" s="30">
        <f>INDEX(Input!$1:$1048576,Z$93,$C111*2+MIN($B111,2)+5)</f>
        <v>0</v>
      </c>
      <c r="AA111" s="115">
        <f>INDEX(Input!$1:$1048576,AA$93,$C111*2+MIN($B111,2)+5)</f>
        <v>0</v>
      </c>
      <c r="AB111" s="118">
        <f>INDEX(Input!$1:$1048576,AB$93,$C111*2+MIN($B111,2)+5)</f>
        <v>1</v>
      </c>
      <c r="AC111" s="115">
        <f>INDEX(Input!$1:$1048576,AC$93,$C111*2+MIN($B111,2)+5)</f>
        <v>0</v>
      </c>
      <c r="AD111" s="118">
        <f>INDEX(Input!$1:$1048576,AD$93,$C111*2+MIN($B111,2)+5)</f>
        <v>0.35</v>
      </c>
      <c r="AE111" s="115">
        <f>INDEX(Input!$1:$1048576,AE$93,$C111*2+MIN($B111,2)+5)</f>
        <v>0</v>
      </c>
      <c r="AF111" s="118">
        <f>INDEX(Input!$1:$1048576,AF$93,$C111*2+MIN($B111,2)+5)</f>
        <v>1</v>
      </c>
      <c r="AG111" s="115">
        <f>INDEX(Input!$1:$1048576,AG$93,$C111*2+MIN($B111,2)+5)</f>
        <v>0</v>
      </c>
      <c r="AH111" s="118">
        <f>INDEX(Input!$1:$1048576,AH$93,$C111*2+MIN($B111,2)+5)</f>
        <v>1</v>
      </c>
      <c r="AI111" s="115">
        <f>INDEX(Input!$1:$1048576,AI$93,$C111*2+MIN($B111,2)+5)</f>
        <v>0</v>
      </c>
      <c r="AJ111" s="118">
        <f>INDEX(Input!$1:$1048576,AJ$93,$C111*2+MIN($B111,2)+5)</f>
        <v>0.35</v>
      </c>
      <c r="AK111" s="150">
        <f>ROUND(INDEX(Input!$1:$1048576,AK$93,$C110*2+MIN($B111,1)+5)+(Y111-VLOOKUP($C111*1000+1,$A:$HH,Y$92,FALSE)),0)</f>
        <v>5482</v>
      </c>
      <c r="AL111" s="150">
        <f>ROUND(INDEX(Input!$1:$1048576,AL$93,$C110*2+MIN($B111,1)+5)-(Y111-VLOOKUP($C111*1000+1,$A:$HH,Y$92,FALSE))/36,0)</f>
        <v>5602</v>
      </c>
      <c r="AM111" s="32" t="str">
        <f t="shared" si="118"/>
        <v>std/std/std/std</v>
      </c>
      <c r="AN111" s="32" t="str">
        <f t="shared" si="119"/>
        <v>$0 + 0/0/0/1.9/3.9</v>
      </c>
      <c r="AO111" s="32" t="str">
        <f t="shared" si="120"/>
        <v>0/0/0/1.9/3.9</v>
      </c>
      <c r="AP111" s="32" t="str">
        <f t="shared" si="73"/>
        <v>0/0.9/1.9/3.9</v>
      </c>
      <c r="AQ111" s="536">
        <f t="shared" si="39"/>
        <v>0.20179261325514311</v>
      </c>
      <c r="AR111" s="32"/>
      <c r="AS111" s="302"/>
      <c r="AT111" s="3">
        <f t="shared" si="106"/>
        <v>11</v>
      </c>
      <c r="AU111" s="41" t="s">
        <v>121</v>
      </c>
      <c r="AV111" s="41" t="s">
        <v>116</v>
      </c>
      <c r="AW111" s="41" t="str">
        <f>INDEX(Input!$1:$1048576,AW$93,$C111*2+6)</f>
        <v>Kia</v>
      </c>
      <c r="AX111" s="41" t="str">
        <f>INDEX(Input!$1:$1048576,AX$93,$C111*2+6)</f>
        <v>Kia-LR - L1</v>
      </c>
      <c r="AY111" s="41" t="str">
        <f>IF(LEN(D111)=0,"",INDEX(Input!$1:$1048576,AY$93,$C111*2+6))</f>
        <v>Compact Conventional/Sporty Car (43)</v>
      </c>
      <c r="AZ111" s="41" t="str">
        <f>INDEX(Input!$1:$1048576,AZ$93,$C111*2+6)</f>
        <v>Kia Forte</v>
      </c>
      <c r="BA111" s="3">
        <f>INDEX(Input!$1:$1048576,BA$93,$C111*2+6)</f>
        <v>2020</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19695</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4"/>
        <v>2000</v>
      </c>
      <c r="CJ111" s="16" t="str">
        <f>INDEX(Input!$1:$1048576,CJ$93,$C111*2+6)</f>
        <v>N</v>
      </c>
      <c r="CK111" s="1" t="str">
        <f t="shared" si="75"/>
        <v>Market</v>
      </c>
      <c r="CL111" s="1" t="str">
        <f t="shared" si="76"/>
        <v>Market</v>
      </c>
      <c r="CM111" s="1" t="str">
        <f t="shared" si="77"/>
        <v>Market</v>
      </c>
      <c r="CN111" s="1" t="str">
        <f t="shared" si="78"/>
        <v>Market</v>
      </c>
      <c r="CO111" s="1" t="str">
        <f t="shared" si="79"/>
        <v>Market</v>
      </c>
      <c r="CP111" s="304">
        <f t="shared" si="80"/>
        <v>0</v>
      </c>
      <c r="CQ111" s="1">
        <f t="shared" si="81"/>
        <v>0</v>
      </c>
      <c r="CR111" s="1">
        <f t="shared" si="82"/>
        <v>0</v>
      </c>
      <c r="CS111" s="1">
        <f t="shared" si="83"/>
        <v>0</v>
      </c>
      <c r="CT111" s="1">
        <f t="shared" si="84"/>
        <v>1.9E-2</v>
      </c>
      <c r="CU111" s="1">
        <f t="shared" si="85"/>
        <v>3.9E-2</v>
      </c>
      <c r="CV111" s="304">
        <f t="shared" si="86"/>
        <v>2826</v>
      </c>
      <c r="CW111" s="20" t="s">
        <v>122</v>
      </c>
      <c r="CX111" s="20" t="s">
        <v>122</v>
      </c>
      <c r="CY111" s="20" t="s">
        <v>122</v>
      </c>
      <c r="CZ111" s="20" t="s">
        <v>122</v>
      </c>
      <c r="DA111" s="20" t="s">
        <v>122</v>
      </c>
      <c r="DB111" s="503">
        <f t="shared" si="87"/>
        <v>0</v>
      </c>
      <c r="DC111" s="127">
        <v>0</v>
      </c>
      <c r="DD111" s="127">
        <v>0</v>
      </c>
      <c r="DE111" s="127">
        <v>0</v>
      </c>
      <c r="DF111" s="127">
        <v>0</v>
      </c>
      <c r="DG111" s="127">
        <v>0</v>
      </c>
      <c r="DH111" s="127">
        <v>0</v>
      </c>
      <c r="DI111" s="127">
        <v>0</v>
      </c>
      <c r="DJ111" s="127">
        <v>0</v>
      </c>
      <c r="DK111" s="127">
        <v>0</v>
      </c>
      <c r="DL111" s="127">
        <v>0</v>
      </c>
      <c r="DM111" s="304">
        <f>INDEX(Input!$1:$1048576,DM$93,$C111*2+6)</f>
        <v>20731.578947368424</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1.6732809728724967E-2</v>
      </c>
      <c r="DZ111" s="7">
        <v>0</v>
      </c>
      <c r="EA111" s="7">
        <v>0.25852659872357175</v>
      </c>
      <c r="EB111" s="7">
        <v>0</v>
      </c>
      <c r="EC111" s="7">
        <v>0</v>
      </c>
      <c r="ED111" s="7">
        <v>0</v>
      </c>
      <c r="EE111" s="7">
        <v>0</v>
      </c>
      <c r="EF111" s="7">
        <v>0</v>
      </c>
      <c r="EG111" s="7">
        <v>0</v>
      </c>
      <c r="EH111" s="7">
        <v>1.9867163211649868E-2</v>
      </c>
      <c r="EI111" s="7">
        <v>3.5734944822064248E-2</v>
      </c>
      <c r="EJ111" s="7">
        <v>0.28104141462213034</v>
      </c>
      <c r="EK111" s="7">
        <v>0.62010092925970739</v>
      </c>
      <c r="EL111" s="7">
        <v>4.3255548084448148E-2</v>
      </c>
      <c r="EM111" s="7">
        <v>1.2952035366732813E-2</v>
      </c>
      <c r="EN111" s="7">
        <v>5.6686594175933747E-2</v>
      </c>
      <c r="EO111" s="7">
        <v>0.54216995014193581</v>
      </c>
      <c r="EP111" s="7">
        <v>0.3117315538121922</v>
      </c>
      <c r="EQ111" s="7">
        <v>5.1954312326603483E-2</v>
      </c>
      <c r="ER111" s="7">
        <v>3.7457589543334731E-2</v>
      </c>
      <c r="ES111" s="7">
        <v>0.71178855618097048</v>
      </c>
      <c r="ET111" s="7">
        <v>0.72474059154770332</v>
      </c>
      <c r="EU111" s="6">
        <v>2350</v>
      </c>
      <c r="EV111" s="6">
        <v>0</v>
      </c>
      <c r="EW111" s="6">
        <v>2350</v>
      </c>
      <c r="EX111" s="6">
        <v>0</v>
      </c>
      <c r="EY111" s="6">
        <v>2631.5502763133163</v>
      </c>
      <c r="EZ111" s="6">
        <v>4822.9999999999991</v>
      </c>
      <c r="FA111" s="6">
        <v>0</v>
      </c>
      <c r="FB111" s="6">
        <v>0</v>
      </c>
      <c r="FC111" s="6">
        <v>0</v>
      </c>
      <c r="FD111" s="6">
        <v>0</v>
      </c>
      <c r="FE111" s="6">
        <v>0</v>
      </c>
      <c r="FF111" s="6">
        <v>0</v>
      </c>
      <c r="FG111" s="6">
        <v>0</v>
      </c>
      <c r="FH111" s="6">
        <v>1152.1208270377817</v>
      </c>
      <c r="FI111" s="6">
        <v>1531.4299904380616</v>
      </c>
      <c r="FJ111" s="6">
        <v>2070.7205842538215</v>
      </c>
      <c r="FK111" s="6">
        <v>1746.9903521590436</v>
      </c>
      <c r="FL111" s="6">
        <v>893.91433563489363</v>
      </c>
      <c r="FM111" s="6">
        <v>1781.5502763133163</v>
      </c>
      <c r="FN111" s="6">
        <v>0</v>
      </c>
      <c r="FO111" s="6">
        <v>0</v>
      </c>
      <c r="FP111" s="6">
        <v>0</v>
      </c>
      <c r="FQ111" s="6">
        <v>0</v>
      </c>
      <c r="FR111" s="6">
        <v>0</v>
      </c>
      <c r="FS111" s="6">
        <v>0</v>
      </c>
      <c r="FT111" s="7">
        <v>0.27525940845229674</v>
      </c>
      <c r="FU111" s="7">
        <v>1.2952035366732813E-2</v>
      </c>
      <c r="FV111" s="7">
        <v>0.71178855618097048</v>
      </c>
      <c r="FW111" s="6">
        <v>2350</v>
      </c>
      <c r="FX111" s="6">
        <v>2631.5502763133163</v>
      </c>
      <c r="FY111" s="6">
        <v>4822.9999999999991</v>
      </c>
      <c r="FZ111" s="6">
        <v>3077.4375890575293</v>
      </c>
      <c r="GA111" s="6">
        <v>4113.8997485718628</v>
      </c>
      <c r="GB111" s="6">
        <v>15581.100251428137</v>
      </c>
      <c r="GC111" s="7">
        <v>7.0901643973087014E-2</v>
      </c>
      <c r="GD111" s="7">
        <v>8.2362738528743623E-2</v>
      </c>
      <c r="GE111" s="7"/>
      <c r="GF111" s="7"/>
      <c r="GG111" s="7">
        <v>0.16164779705259069</v>
      </c>
      <c r="GH111" s="42">
        <v>3.0716542169205416</v>
      </c>
      <c r="GI111" s="6">
        <v>10525.754276828315</v>
      </c>
      <c r="GJ111" s="14">
        <v>0.5107463060103955</v>
      </c>
      <c r="GK111" s="14">
        <v>0.50829519786160982</v>
      </c>
      <c r="GL111" s="14">
        <v>0.48925369398960439</v>
      </c>
      <c r="GM111" s="14">
        <v>0.49170480213839018</v>
      </c>
      <c r="GO111" s="5">
        <v>338.16872463277008</v>
      </c>
      <c r="GP111" s="5">
        <v>293.33520778489498</v>
      </c>
      <c r="GQ111" s="5">
        <v>527.27910984145694</v>
      </c>
      <c r="GR111" s="5">
        <v>404.20319246551543</v>
      </c>
      <c r="GS111" s="5">
        <v>334.50205195691484</v>
      </c>
      <c r="GT111" s="5">
        <v>289.18266033348181</v>
      </c>
      <c r="GU111" s="5">
        <v>254.29573314828914</v>
      </c>
      <c r="GV111" s="39" t="s">
        <v>392</v>
      </c>
      <c r="GW111" s="5">
        <v>468.76388888888891</v>
      </c>
      <c r="GX111" s="5">
        <v>351.57291666666669</v>
      </c>
      <c r="GY111" s="5">
        <v>281.25833333333333</v>
      </c>
      <c r="GZ111" s="5">
        <v>248.18079879493993</v>
      </c>
      <c r="HA111" s="5">
        <v>229.8919505212948</v>
      </c>
      <c r="HB111" s="39">
        <v>264.76293361772161</v>
      </c>
      <c r="HC111" s="5">
        <v>72.109375000000014</v>
      </c>
      <c r="HD111" s="5">
        <v>92.305464181286524</v>
      </c>
      <c r="HE111" s="5">
        <v>103.7516995614035</v>
      </c>
      <c r="HF111" s="5">
        <v>106.17129934210527</v>
      </c>
      <c r="HG111" s="5">
        <v>115.13410087719299</v>
      </c>
      <c r="HH111" s="39">
        <v>96.304265044073475</v>
      </c>
      <c r="HI111" s="16"/>
      <c r="HJ111" s="19" t="str">
        <f t="shared" si="107"/>
        <v>On</v>
      </c>
      <c r="HK111" s="1" t="str">
        <f t="shared" si="108"/>
        <v>On</v>
      </c>
      <c r="HL111" s="16"/>
      <c r="HM111" s="639">
        <f t="shared" si="42"/>
        <v>1.7699001661282989E-2</v>
      </c>
      <c r="HN111" s="639">
        <f t="shared" si="43"/>
        <v>1.0509929974846072E-3</v>
      </c>
      <c r="HO111" s="639">
        <f t="shared" si="44"/>
        <v>5.7398960259851091E-2</v>
      </c>
      <c r="HP111" s="644">
        <f>(FT111*$GD111-HM111)/$JF111*INDEX(Input!$1:$1048576,$JG$93,$C111*2+6)</f>
        <v>63.858137715806137</v>
      </c>
      <c r="HQ111" s="644">
        <f>(FU111*$GD111-HN111)/$JF111*INDEX(Input!$1:$1048576,$JG$93,$C111*2+6)</f>
        <v>0.20256507197818102</v>
      </c>
      <c r="HR111" s="644">
        <f>(FV111*$GD111-HO111)/$JF111*INDEX(Input!$1:$1048576,$JG$93,$C111*2+6)</f>
        <v>15.744468237830391</v>
      </c>
      <c r="HS111" s="644">
        <f t="shared" si="45"/>
        <v>-0.13917966391394995</v>
      </c>
      <c r="HT111" s="644">
        <f t="shared" si="46"/>
        <v>3.7326449267217683</v>
      </c>
      <c r="HU111" s="644">
        <f t="shared" si="47"/>
        <v>22.481266566830541</v>
      </c>
      <c r="HV111" s="648">
        <f t="shared" si="48"/>
        <v>0</v>
      </c>
      <c r="HW111" s="648">
        <f t="shared" si="49"/>
        <v>0</v>
      </c>
      <c r="HX111" s="648">
        <f t="shared" si="50"/>
        <v>0</v>
      </c>
      <c r="HY111" s="644">
        <f>INDEX(Input!$1:$1048576,HY$93,$C111*2+6)*INDEX(Input!$1:$1048576,$JG$93,$C111*2+6)</f>
        <v>154.99999999999997</v>
      </c>
      <c r="HZ111" s="644">
        <f>INDEX(Input!$1:$1048576,HZ$93,$C111*2+6)*INDEX(Input!$1:$1048576,$JG$93,$C111*2+6)</f>
        <v>140</v>
      </c>
      <c r="IA111" s="644">
        <f>INDEX(Input!$1:$1048576,IA$93,$C111*2+6)*INDEX(Input!$1:$1048576,$JG$93,$C111*2+6)</f>
        <v>683</v>
      </c>
      <c r="IB111" s="644">
        <f t="shared" si="88"/>
        <v>218.71895805189217</v>
      </c>
      <c r="IC111" s="644">
        <f t="shared" si="89"/>
        <v>143.93520999869995</v>
      </c>
      <c r="ID111" s="644">
        <f>IF(AND(INDEX(Input!$1:$1048576,IA$93,$C111*2+7)="TOS",Y111&lt;=INDEX(Y:Y,MATCH(C111*1000+2,A:A))),0,1)*MAX(IA111+HR111+HU111+HX111,0%)</f>
        <v>721.22573480466087</v>
      </c>
      <c r="IE111" s="128">
        <f t="shared" si="90"/>
        <v>0.20179261325514311</v>
      </c>
      <c r="IF111" s="128">
        <f t="shared" si="51"/>
        <v>0.13279627163446153</v>
      </c>
      <c r="IG111" s="128">
        <f t="shared" si="52"/>
        <v>0.6654111151103953</v>
      </c>
      <c r="IH111" s="21"/>
      <c r="II111" s="19">
        <f t="shared" si="53"/>
        <v>1200</v>
      </c>
      <c r="IJ111" s="19">
        <f t="shared" si="54"/>
        <v>2231.5502763133163</v>
      </c>
      <c r="IK111" s="19">
        <f t="shared" si="55"/>
        <v>4498</v>
      </c>
      <c r="IL111" s="19">
        <f t="shared" si="91"/>
        <v>1150</v>
      </c>
      <c r="IM111" s="19">
        <f t="shared" si="56"/>
        <v>400</v>
      </c>
      <c r="IN111" s="19">
        <f t="shared" si="56"/>
        <v>324.99999999999909</v>
      </c>
      <c r="IO111" s="39">
        <f t="shared" si="57"/>
        <v>0</v>
      </c>
      <c r="IP111" s="39">
        <f t="shared" si="58"/>
        <v>0</v>
      </c>
      <c r="IQ111" s="39">
        <f t="shared" si="59"/>
        <v>0</v>
      </c>
      <c r="IR111" s="39">
        <v>0</v>
      </c>
      <c r="IS111" s="39">
        <v>0</v>
      </c>
      <c r="IT111" s="39">
        <v>0</v>
      </c>
      <c r="IU111" s="39">
        <v>0</v>
      </c>
      <c r="IV111" s="39">
        <v>0</v>
      </c>
      <c r="IW111" s="39">
        <v>0</v>
      </c>
      <c r="IX111" s="39">
        <f>INDEX(Input!$1:$1048576,IX$93,$C111*2+6)+INDEX(Input!$1:$1048576,IX$94,$C111*2+6)</f>
        <v>1600</v>
      </c>
      <c r="IY111" s="39">
        <f>INDEX(Input!$1:$1048576,IY$93,$C111*2+6)+INDEX(Input!$1:$1048576,IY$94,$C111*2+6)</f>
        <v>2503.5492916397525</v>
      </c>
      <c r="IZ111" s="39">
        <f>INDEX(Input!$1:$1048576,IZ$93,$C111*2+6)+INDEX(Input!$1:$1048576,IZ$94,$C111*2+6)</f>
        <v>6273.7109265464023</v>
      </c>
      <c r="JA111" s="19">
        <f t="shared" si="92"/>
        <v>2750</v>
      </c>
      <c r="JB111" s="19">
        <f t="shared" si="92"/>
        <v>2903.5492916397525</v>
      </c>
      <c r="JC111" s="19">
        <f t="shared" si="92"/>
        <v>6598.7109265464014</v>
      </c>
      <c r="JD111" s="19">
        <f t="shared" si="93"/>
        <v>5331.3658028126747</v>
      </c>
      <c r="JE111" s="21"/>
      <c r="JF111" s="1">
        <f t="shared" si="60"/>
        <v>7.6148954918618686E-2</v>
      </c>
      <c r="JG111" s="15">
        <f>INDEX(Input!$1:$1048576,JG$93,$C111*2+6)/(1+VLOOKUP(C111*1000+INDEX(Input!$1:$1048576,JG$93+1,$C111*2+6),$A:$KK,$JK$92,FALSE))</f>
        <v>978</v>
      </c>
      <c r="JH111" s="1">
        <f t="shared" si="94"/>
        <v>8.1600379371794179E-2</v>
      </c>
      <c r="JI111" s="1">
        <f t="shared" si="95"/>
        <v>2.6661279989405276E-2</v>
      </c>
      <c r="JJ111" s="1">
        <f t="shared" si="96"/>
        <v>0</v>
      </c>
      <c r="JK111" s="1">
        <f t="shared" si="97"/>
        <v>0.10826165936119946</v>
      </c>
      <c r="JL111" s="15">
        <f t="shared" si="98"/>
        <v>105.87990285525306</v>
      </c>
      <c r="JM111" s="15">
        <f t="shared" si="99"/>
        <v>1083.879902855253</v>
      </c>
      <c r="JN111" s="21"/>
      <c r="JO111" s="19">
        <f>INDEX(Input!$1:$1048576,JO$93,$C111*2+6)</f>
        <v>5908.5</v>
      </c>
      <c r="JP111" s="19">
        <f>INDEX(Input!$1:$1048576,JP$93,$C111*2+6)</f>
        <v>4993.2939301234746</v>
      </c>
      <c r="JQ111" s="39">
        <f t="shared" si="109"/>
        <v>577.1341971873253</v>
      </c>
      <c r="JR111" s="39">
        <f t="shared" si="61"/>
        <v>338.07187268920006</v>
      </c>
      <c r="JS111" s="39">
        <f t="shared" si="62"/>
        <v>5.7785602484384198</v>
      </c>
      <c r="JT111" s="39">
        <f t="shared" si="100"/>
        <v>0.89511878477766182</v>
      </c>
      <c r="JU111" s="385">
        <f>(JQ111*JM111-INDEX(Input!$1:$1048576,Input!A$18,$C111*2+6)*JL111*INDEX(Input!$1:$1048576,Input!A$19,$C111*2+6))/1000000</f>
        <v>0.62554415758184267</v>
      </c>
      <c r="JV111" s="39">
        <f t="shared" si="63"/>
        <v>-0.26952737875739907</v>
      </c>
      <c r="JW111" s="1">
        <f t="shared" si="117"/>
        <v>-0.30112384073762488</v>
      </c>
      <c r="JX111" s="19">
        <f t="shared" si="113"/>
        <v>8454.0952592425983</v>
      </c>
      <c r="JZ111" s="341"/>
      <c r="KA111" s="342"/>
      <c r="KB111" s="469">
        <f t="shared" si="110"/>
        <v>3.2656316020464753</v>
      </c>
      <c r="KI111" s="473">
        <f t="shared" si="111"/>
        <v>63.718958051892173</v>
      </c>
      <c r="KJ111" s="473">
        <f t="shared" si="101"/>
        <v>3.9352099986999463</v>
      </c>
      <c r="KK111" s="473">
        <f t="shared" si="102"/>
        <v>38.225734804660874</v>
      </c>
      <c r="KN111" s="544">
        <f t="shared" si="114"/>
        <v>1002</v>
      </c>
      <c r="KO111" s="541">
        <f t="shared" si="64"/>
        <v>2.4355162012575704E-2</v>
      </c>
      <c r="KP111" s="546">
        <f t="shared" si="65"/>
        <v>151.34445994135743</v>
      </c>
      <c r="KQ111" s="546">
        <f t="shared" si="66"/>
        <v>-23.088097162765735</v>
      </c>
      <c r="KR111" s="548">
        <f t="shared" si="67"/>
        <v>2.3077575733544631</v>
      </c>
      <c r="KS111" s="548">
        <f t="shared" si="68"/>
        <v>-15.12754910691263</v>
      </c>
      <c r="KT111" s="473">
        <f t="shared" si="112"/>
        <v>-82.310573396665475</v>
      </c>
      <c r="KU111" s="663">
        <f t="shared" si="103"/>
        <v>-52.339705568966302</v>
      </c>
      <c r="KV111" s="117">
        <f t="shared" si="142"/>
        <v>55</v>
      </c>
    </row>
    <row r="112" spans="1:310" s="26" customFormat="1" ht="15">
      <c r="A112" s="561">
        <f t="shared" ref="A112" si="143">C112*1000+B112</f>
        <v>1012</v>
      </c>
      <c r="B112" s="561">
        <f t="shared" si="104"/>
        <v>12</v>
      </c>
      <c r="C112" s="561">
        <f t="shared" si="105"/>
        <v>1</v>
      </c>
      <c r="D112" s="561" t="str">
        <f t="shared" si="141"/>
        <v xml:space="preserve">1000 CC, </v>
      </c>
      <c r="E112" s="475">
        <f>INDEX(Input!$1:$1048576,E$93,$C112*2+MIN($B112,2)+5)+IF(OR(BX112&gt;50000,INDEX(Input!$1:$1048576,E$93,$C112*2+MIN($B112,2)+5)&gt;0),0,250)+IF(BX112&gt;50000,500,250)*4</f>
        <v>2250</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1.9E-2</v>
      </c>
      <c r="W112" s="862">
        <f>INDEX(Input!$1:$1048576,W$93,$C112*2+MIN($B112,2)+5)</f>
        <v>3.9E-2</v>
      </c>
      <c r="X112" s="118" t="str">
        <f>INDEX(Input!$1:$1048576,X$93,$C112*2+MIN($B112,2)+5)</f>
        <v>Y</v>
      </c>
      <c r="Y112" s="150">
        <f>INDEX(Input!$1:$1048576,Y$93,$C112*2+MIN($B112,2)+5)</f>
        <v>2826</v>
      </c>
      <c r="Z112" s="30">
        <f>INDEX(Input!$1:$1048576,Z$93,$C112*2+MIN($B112,2)+5)</f>
        <v>0</v>
      </c>
      <c r="AA112" s="115">
        <f>INDEX(Input!$1:$1048576,AA$93,$C112*2+MIN($B112,2)+5)</f>
        <v>0</v>
      </c>
      <c r="AB112" s="118">
        <f>INDEX(Input!$1:$1048576,AB$93,$C112*2+MIN($B112,2)+5)</f>
        <v>1</v>
      </c>
      <c r="AC112" s="115">
        <f>INDEX(Input!$1:$1048576,AC$93,$C112*2+MIN($B112,2)+5)</f>
        <v>0</v>
      </c>
      <c r="AD112" s="118">
        <f>INDEX(Input!$1:$1048576,AD$93,$C112*2+MIN($B112,2)+5)</f>
        <v>0.35</v>
      </c>
      <c r="AE112" s="115">
        <f>INDEX(Input!$1:$1048576,AE$93,$C112*2+MIN($B112,2)+5)</f>
        <v>0</v>
      </c>
      <c r="AF112" s="118">
        <f>INDEX(Input!$1:$1048576,AF$93,$C112*2+MIN($B112,2)+5)</f>
        <v>1</v>
      </c>
      <c r="AG112" s="115">
        <f>INDEX(Input!$1:$1048576,AG$93,$C112*2+MIN($B112,2)+5)</f>
        <v>0</v>
      </c>
      <c r="AH112" s="118">
        <f>INDEX(Input!$1:$1048576,AH$93,$C112*2+MIN($B112,2)+5)</f>
        <v>1</v>
      </c>
      <c r="AI112" s="115">
        <f>INDEX(Input!$1:$1048576,AI$93,$C112*2+MIN($B112,2)+5)</f>
        <v>0</v>
      </c>
      <c r="AJ112" s="118">
        <f>INDEX(Input!$1:$1048576,AJ$93,$C112*2+MIN($B112,2)+5)</f>
        <v>0.35</v>
      </c>
      <c r="AK112" s="150">
        <f>ROUND(INDEX(Input!$1:$1048576,AK$93,$C111*2+MIN($B112,1)+5)+(Y112-VLOOKUP($C112*1000+1,$A:$HH,Y$92,FALSE)),0)</f>
        <v>5482</v>
      </c>
      <c r="AL112" s="150">
        <f>ROUND(INDEX(Input!$1:$1048576,AL$93,$C111*2+MIN($B112,1)+5)-(Y112-VLOOKUP($C112*1000+1,$A:$HH,Y$92,FALSE))/36,0)</f>
        <v>5602</v>
      </c>
      <c r="AM112" s="32" t="str">
        <f t="shared" ref="AM112" si="144">IF(K112="market","std",ROUND(K112*1000,0)/10)&amp;"/"&amp;IF(L112="market","std",ROUND(L112*1000,0)/10)&amp;"/"&amp;IF(M112="market","std",ROUND(M112*1000,0)/10)&amp;"/"&amp;IF(N112="market","std",ROUND(N112*1000,0)/10)&amp;IF(P112="N","","/"&amp;IF(O112="market","std",ROUND(O112*1000,0)/10))</f>
        <v>std/std/std/std</v>
      </c>
      <c r="AN112" s="32" t="str">
        <f t="shared" ref="AN112" si="145">"$"&amp;ROUND(Q112,0)&amp;" + "&amp;IF(S112="market","std",ROUND(S112*1000,0)/10)&amp;"/"&amp;IF(T112="market","std",ROUND(T112*1000,0)/10)&amp;"/"&amp;IF(U112="market","std",ROUND(U112*1000,0)/10)&amp;"/"&amp;IF(V112="market","std",ROUND(V112*1000,0)/10)&amp;IF(X112="N","","/"&amp;IF(W112="market","std",ROUND(W112*1000,0)/10))</f>
        <v>$0 + 0/0/0/1.9/3.9</v>
      </c>
      <c r="AO112" s="32" t="str">
        <f t="shared" ref="AO112" si="146">IF(S112="market","std",ROUND(S112*1000,0)/10)&amp;"/"&amp;IF(T112="market","std",ROUND(T112*1000,0)/10)&amp;"/"&amp;IF(U112="market","std",ROUND(U112*1000,0)/10)&amp;"/"&amp;IF(V112="market","std",ROUND(V112*1000,0)/10)&amp;IF(X112="N","","/"&amp;IF(W112="market","std",ROUND(W112*1000,0)/10))</f>
        <v>0/0/0/1.9/3.9</v>
      </c>
      <c r="AP112" s="32" t="str">
        <f t="shared" si="73"/>
        <v>0/0.9/1.9/3.9</v>
      </c>
      <c r="AQ112" s="536">
        <f t="shared" si="39"/>
        <v>0.21777000781412975</v>
      </c>
      <c r="AR112" s="32"/>
      <c r="AS112" s="302"/>
      <c r="AT112" s="3">
        <f t="shared" si="106"/>
        <v>12</v>
      </c>
      <c r="AU112" s="41" t="s">
        <v>121</v>
      </c>
      <c r="AV112" s="41" t="s">
        <v>116</v>
      </c>
      <c r="AW112" s="41" t="str">
        <f>INDEX(Input!$1:$1048576,AW$93,$C112*2+6)</f>
        <v>Kia</v>
      </c>
      <c r="AX112" s="41" t="str">
        <f>INDEX(Input!$1:$1048576,AX$93,$C112*2+6)</f>
        <v>Kia-LR - L1</v>
      </c>
      <c r="AY112" s="41" t="str">
        <f>IF(LEN(D112)=0,"",INDEX(Input!$1:$1048576,AY$93,$C112*2+6))</f>
        <v>Compact Conventional/Sporty Car (43)</v>
      </c>
      <c r="AZ112" s="41" t="str">
        <f>INDEX(Input!$1:$1048576,AZ$93,$C112*2+6)</f>
        <v>Kia Forte</v>
      </c>
      <c r="BA112" s="3">
        <f>INDEX(Input!$1:$1048576,BA$93,$C112*2+6)</f>
        <v>2020</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19695</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4"/>
        <v>2250</v>
      </c>
      <c r="CJ112" s="16" t="str">
        <f>INDEX(Input!$1:$1048576,CJ$93,$C112*2+6)</f>
        <v>N</v>
      </c>
      <c r="CK112" s="1" t="str">
        <f t="shared" si="75"/>
        <v>Market</v>
      </c>
      <c r="CL112" s="1" t="str">
        <f t="shared" si="76"/>
        <v>Market</v>
      </c>
      <c r="CM112" s="1" t="str">
        <f t="shared" si="77"/>
        <v>Market</v>
      </c>
      <c r="CN112" s="1" t="str">
        <f t="shared" si="78"/>
        <v>Market</v>
      </c>
      <c r="CO112" s="1" t="str">
        <f t="shared" si="79"/>
        <v>Market</v>
      </c>
      <c r="CP112" s="304">
        <f t="shared" si="80"/>
        <v>0</v>
      </c>
      <c r="CQ112" s="1">
        <f t="shared" si="81"/>
        <v>0</v>
      </c>
      <c r="CR112" s="1">
        <f t="shared" si="82"/>
        <v>0</v>
      </c>
      <c r="CS112" s="1">
        <f t="shared" si="83"/>
        <v>0</v>
      </c>
      <c r="CT112" s="1">
        <f t="shared" si="84"/>
        <v>1.9E-2</v>
      </c>
      <c r="CU112" s="1">
        <f t="shared" si="85"/>
        <v>3.9E-2</v>
      </c>
      <c r="CV112" s="304">
        <f t="shared" si="86"/>
        <v>2826</v>
      </c>
      <c r="CW112" s="20" t="s">
        <v>122</v>
      </c>
      <c r="CX112" s="20" t="s">
        <v>122</v>
      </c>
      <c r="CY112" s="20" t="s">
        <v>122</v>
      </c>
      <c r="CZ112" s="20" t="s">
        <v>122</v>
      </c>
      <c r="DA112" s="20" t="s">
        <v>122</v>
      </c>
      <c r="DB112" s="503">
        <f t="shared" si="87"/>
        <v>0</v>
      </c>
      <c r="DC112" s="127">
        <v>0</v>
      </c>
      <c r="DD112" s="127">
        <v>0</v>
      </c>
      <c r="DE112" s="127">
        <v>0</v>
      </c>
      <c r="DF112" s="127">
        <v>0</v>
      </c>
      <c r="DG112" s="127">
        <v>0</v>
      </c>
      <c r="DH112" s="127">
        <v>0</v>
      </c>
      <c r="DI112" s="127">
        <v>0</v>
      </c>
      <c r="DJ112" s="127">
        <v>0</v>
      </c>
      <c r="DK112" s="127">
        <v>0</v>
      </c>
      <c r="DL112" s="127">
        <v>0</v>
      </c>
      <c r="DM112" s="304">
        <f>INDEX(Input!$1:$1048576,DM$93,$C112*2+6)</f>
        <v>20731.578947368424</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1.7758364200327253E-2</v>
      </c>
      <c r="DZ112" s="7">
        <v>0</v>
      </c>
      <c r="EA112" s="7">
        <v>0.2731975681758817</v>
      </c>
      <c r="EB112" s="7">
        <v>0</v>
      </c>
      <c r="EC112" s="7">
        <v>0</v>
      </c>
      <c r="ED112" s="7">
        <v>0</v>
      </c>
      <c r="EE112" s="7">
        <v>0</v>
      </c>
      <c r="EF112" s="7">
        <v>0</v>
      </c>
      <c r="EG112" s="7">
        <v>0</v>
      </c>
      <c r="EH112" s="7">
        <v>1.9867163211649864E-2</v>
      </c>
      <c r="EI112" s="7">
        <v>3.5734944822064241E-2</v>
      </c>
      <c r="EJ112" s="7">
        <v>0.28104141462213034</v>
      </c>
      <c r="EK112" s="7">
        <v>0.62010092925970728</v>
      </c>
      <c r="EL112" s="7">
        <v>4.3255548084448141E-2</v>
      </c>
      <c r="EM112" s="7">
        <v>1.2671518537168847E-2</v>
      </c>
      <c r="EN112" s="7">
        <v>5.668659417593376E-2</v>
      </c>
      <c r="EO112" s="7">
        <v>0.54216995014193603</v>
      </c>
      <c r="EP112" s="7">
        <v>0.31173155381219225</v>
      </c>
      <c r="EQ112" s="7">
        <v>5.1954312326603504E-2</v>
      </c>
      <c r="ER112" s="7">
        <v>3.7457589543334745E-2</v>
      </c>
      <c r="ES112" s="7">
        <v>0.69637254908662205</v>
      </c>
      <c r="ET112" s="7">
        <v>0.70904406762379113</v>
      </c>
      <c r="EU112" s="6">
        <v>2600</v>
      </c>
      <c r="EV112" s="6">
        <v>0</v>
      </c>
      <c r="EW112" s="6">
        <v>2600</v>
      </c>
      <c r="EX112" s="6">
        <v>0</v>
      </c>
      <c r="EY112" s="6">
        <v>2631.5502763133159</v>
      </c>
      <c r="EZ112" s="6">
        <v>4822.9999999999991</v>
      </c>
      <c r="FA112" s="6">
        <v>0</v>
      </c>
      <c r="FB112" s="6">
        <v>0</v>
      </c>
      <c r="FC112" s="6">
        <v>0</v>
      </c>
      <c r="FD112" s="6">
        <v>0</v>
      </c>
      <c r="FE112" s="6">
        <v>0</v>
      </c>
      <c r="FF112" s="6">
        <v>0</v>
      </c>
      <c r="FG112" s="6">
        <v>0</v>
      </c>
      <c r="FH112" s="6">
        <v>1152.1208270377817</v>
      </c>
      <c r="FI112" s="6">
        <v>1531.4299904380614</v>
      </c>
      <c r="FJ112" s="6">
        <v>2070.7205842538215</v>
      </c>
      <c r="FK112" s="6">
        <v>1746.9903521590431</v>
      </c>
      <c r="FL112" s="6">
        <v>893.91433563489363</v>
      </c>
      <c r="FM112" s="6">
        <v>1781.5502763133159</v>
      </c>
      <c r="FN112" s="6">
        <v>0</v>
      </c>
      <c r="FO112" s="6">
        <v>0</v>
      </c>
      <c r="FP112" s="6">
        <v>0</v>
      </c>
      <c r="FQ112" s="6">
        <v>0</v>
      </c>
      <c r="FR112" s="6">
        <v>0</v>
      </c>
      <c r="FS112" s="6">
        <v>0</v>
      </c>
      <c r="FT112" s="7">
        <v>0.29095593237620898</v>
      </c>
      <c r="FU112" s="7">
        <v>1.2671518537168847E-2</v>
      </c>
      <c r="FV112" s="7">
        <v>0.69637254908662205</v>
      </c>
      <c r="FW112" s="6">
        <v>2599.9999999999995</v>
      </c>
      <c r="FX112" s="6">
        <v>2631.5502763133154</v>
      </c>
      <c r="FY112" s="6">
        <v>4822.9999999999991</v>
      </c>
      <c r="FZ112" s="6">
        <v>3077.4375890575293</v>
      </c>
      <c r="GA112" s="6">
        <v>4148.4359665307165</v>
      </c>
      <c r="GB112" s="6">
        <v>15546.564033469283</v>
      </c>
      <c r="GC112" s="7">
        <v>7.0901643973087014E-2</v>
      </c>
      <c r="GD112" s="7">
        <v>8.3122051723518164E-2</v>
      </c>
      <c r="GE112" s="7"/>
      <c r="GF112" s="7"/>
      <c r="GG112" s="7">
        <v>0.17235718476527565</v>
      </c>
      <c r="GH112" s="42">
        <v>3.1695423871331569</v>
      </c>
      <c r="GI112" s="6">
        <v>10362.266732748702</v>
      </c>
      <c r="GJ112" s="14">
        <v>0.51074630601039539</v>
      </c>
      <c r="GK112" s="14">
        <v>0.50829519786160948</v>
      </c>
      <c r="GL112" s="14">
        <v>0.48925369398960433</v>
      </c>
      <c r="GM112" s="14">
        <v>0.49170480213839035</v>
      </c>
      <c r="GO112" s="5">
        <v>338.16872463277008</v>
      </c>
      <c r="GP112" s="5">
        <v>288.56568471597211</v>
      </c>
      <c r="GQ112" s="5">
        <v>527.27910984145694</v>
      </c>
      <c r="GR112" s="5">
        <v>404.20319246551543</v>
      </c>
      <c r="GS112" s="5">
        <v>334.50205195691484</v>
      </c>
      <c r="GT112" s="5">
        <v>289.18266033348181</v>
      </c>
      <c r="GU112" s="5">
        <v>254.29573314828914</v>
      </c>
      <c r="GV112" s="39" t="s">
        <v>392</v>
      </c>
      <c r="GW112" s="5">
        <v>468.76388888888891</v>
      </c>
      <c r="GX112" s="5">
        <v>351.57291666666669</v>
      </c>
      <c r="GY112" s="5">
        <v>281.25833333333333</v>
      </c>
      <c r="GZ112" s="5">
        <v>248.18079879493993</v>
      </c>
      <c r="HA112" s="5">
        <v>229.8919505212948</v>
      </c>
      <c r="HB112" s="39">
        <v>264.76293361772161</v>
      </c>
      <c r="HC112" s="5">
        <v>72.109375000000014</v>
      </c>
      <c r="HD112" s="5">
        <v>92.305464181286524</v>
      </c>
      <c r="HE112" s="5">
        <v>103.7516995614035</v>
      </c>
      <c r="HF112" s="5">
        <v>106.17129934210527</v>
      </c>
      <c r="HG112" s="5">
        <v>115.13410087719299</v>
      </c>
      <c r="HH112" s="39">
        <v>96.304265044073503</v>
      </c>
      <c r="HI112" s="16"/>
      <c r="HJ112" s="19" t="str">
        <f t="shared" si="107"/>
        <v>On</v>
      </c>
      <c r="HK112" s="1" t="str">
        <f t="shared" si="108"/>
        <v>On</v>
      </c>
      <c r="HL112" s="16"/>
      <c r="HM112" s="639">
        <f t="shared" si="42"/>
        <v>1.7699001661282989E-2</v>
      </c>
      <c r="HN112" s="639">
        <f t="shared" si="43"/>
        <v>1.0509929974846072E-3</v>
      </c>
      <c r="HO112" s="639">
        <f t="shared" si="44"/>
        <v>5.7398960259851091E-2</v>
      </c>
      <c r="HP112" s="644">
        <f>(FT112*$GD112-HM112)/$JF112*INDEX(Input!$1:$1048576,$JG$93,$C112*2+6)</f>
        <v>83.299418264619348</v>
      </c>
      <c r="HQ112" s="644">
        <f>(FU112*$GD112-HN112)/$JF112*INDEX(Input!$1:$1048576,$JG$93,$C112*2+6)</f>
        <v>2.9406182931201237E-2</v>
      </c>
      <c r="HR112" s="644">
        <f>(FV112*$GD112-HO112)/$JF112*INDEX(Input!$1:$1048576,$JG$93,$C112*2+6)</f>
        <v>6.2283951161317495</v>
      </c>
      <c r="HS112" s="644">
        <f t="shared" si="45"/>
        <v>-0.13917966391394962</v>
      </c>
      <c r="HT112" s="644">
        <f t="shared" si="46"/>
        <v>2.1246377763168294</v>
      </c>
      <c r="HU112" s="644">
        <f t="shared" si="47"/>
        <v>24.089273717235454</v>
      </c>
      <c r="HV112" s="648">
        <f t="shared" si="48"/>
        <v>0</v>
      </c>
      <c r="HW112" s="648">
        <f t="shared" si="49"/>
        <v>0</v>
      </c>
      <c r="HX112" s="648">
        <f t="shared" si="50"/>
        <v>0</v>
      </c>
      <c r="HY112" s="644">
        <f>INDEX(Input!$1:$1048576,HY$93,$C112*2+6)*INDEX(Input!$1:$1048576,$JG$93,$C112*2+6)</f>
        <v>154.99999999999997</v>
      </c>
      <c r="HZ112" s="644">
        <f>INDEX(Input!$1:$1048576,HZ$93,$C112*2+6)*INDEX(Input!$1:$1048576,$JG$93,$C112*2+6)</f>
        <v>140</v>
      </c>
      <c r="IA112" s="644">
        <f>INDEX(Input!$1:$1048576,IA$93,$C112*2+6)*INDEX(Input!$1:$1048576,$JG$93,$C112*2+6)</f>
        <v>683</v>
      </c>
      <c r="IB112" s="644">
        <f t="shared" si="88"/>
        <v>238.16023860070538</v>
      </c>
      <c r="IC112" s="644">
        <f t="shared" ref="IC112" si="147">MAX(HZ112+HQ112+HT112+HW112,0%)</f>
        <v>142.15404395924804</v>
      </c>
      <c r="ID112" s="644">
        <f>IF(AND(INDEX(Input!$1:$1048576,IA$93,$C112*2+7)="TOS",Y112&lt;=INDEX(Y:Y,MATCH(C112*1000+2,A:A))),0,1)*MAX(IA112+HR112+HU112+HX112,0%)</f>
        <v>713.31766883336718</v>
      </c>
      <c r="IE112" s="128">
        <f t="shared" ref="IE112" si="148">IB112/SUM($IB112:$ID112)</f>
        <v>0.21777000781412975</v>
      </c>
      <c r="IF112" s="128">
        <f t="shared" ref="IF112" si="149">IC112/SUM($IB112:$ID112)</f>
        <v>0.12998344075274998</v>
      </c>
      <c r="IG112" s="128">
        <f t="shared" ref="IG112" si="150">ID112/SUM($IB112:$ID112)</f>
        <v>0.65224655143312027</v>
      </c>
      <c r="IH112" s="21"/>
      <c r="II112" s="19">
        <f t="shared" si="53"/>
        <v>1200</v>
      </c>
      <c r="IJ112" s="19">
        <f t="shared" si="54"/>
        <v>2231.5502763133163</v>
      </c>
      <c r="IK112" s="19">
        <f t="shared" si="55"/>
        <v>4498</v>
      </c>
      <c r="IL112" s="19">
        <f t="shared" ref="IL112" si="151">(FW112-FA112*DZ112/FT112)-II112</f>
        <v>1399.9999999999995</v>
      </c>
      <c r="IM112" s="19">
        <f t="shared" ref="IM112" si="152">FX112-IJ112</f>
        <v>399.99999999999909</v>
      </c>
      <c r="IN112" s="19">
        <f t="shared" ref="IN112" si="153">FY112-IK112</f>
        <v>324.99999999999909</v>
      </c>
      <c r="IO112" s="39">
        <f t="shared" si="57"/>
        <v>0</v>
      </c>
      <c r="IP112" s="39">
        <f t="shared" si="58"/>
        <v>0</v>
      </c>
      <c r="IQ112" s="39">
        <f t="shared" si="59"/>
        <v>0</v>
      </c>
      <c r="IR112" s="39">
        <v>0</v>
      </c>
      <c r="IS112" s="39">
        <v>0</v>
      </c>
      <c r="IT112" s="39">
        <v>0</v>
      </c>
      <c r="IU112" s="39">
        <v>0</v>
      </c>
      <c r="IV112" s="39">
        <v>0</v>
      </c>
      <c r="IW112" s="39">
        <v>0</v>
      </c>
      <c r="IX112" s="39">
        <f>INDEX(Input!$1:$1048576,IX$93,$C112*2+6)+INDEX(Input!$1:$1048576,IX$94,$C112*2+6)</f>
        <v>1600</v>
      </c>
      <c r="IY112" s="39">
        <f>INDEX(Input!$1:$1048576,IY$93,$C112*2+6)+INDEX(Input!$1:$1048576,IY$94,$C112*2+6)</f>
        <v>2503.5492916397525</v>
      </c>
      <c r="IZ112" s="39">
        <f>INDEX(Input!$1:$1048576,IZ$93,$C112*2+6)+INDEX(Input!$1:$1048576,IZ$94,$C112*2+6)</f>
        <v>6273.7109265464023</v>
      </c>
      <c r="JA112" s="19">
        <f t="shared" ref="JA112" si="154">(IL112+IO112+IR112+IU112+IX112)</f>
        <v>2999.9999999999995</v>
      </c>
      <c r="JB112" s="19">
        <f t="shared" ref="JB112" si="155">(IM112+IP112+IS112+IV112+IY112)</f>
        <v>2903.5492916397516</v>
      </c>
      <c r="JC112" s="19">
        <f t="shared" ref="JC112" si="156">(IN112+IQ112+IT112+IW112+IZ112)</f>
        <v>6598.7109265464014</v>
      </c>
      <c r="JD112" s="19">
        <f t="shared" ref="JD112" si="157">SUMPRODUCT(IE112:IG112,JA112:JC112)</f>
        <v>5334.7097965088742</v>
      </c>
      <c r="JE112" s="21"/>
      <c r="JF112" s="1">
        <f t="shared" si="60"/>
        <v>7.6148954918618686E-2</v>
      </c>
      <c r="JG112" s="15">
        <f>INDEX(Input!$1:$1048576,JG$93,$C112*2+6)/(1+VLOOKUP(C112*1000+INDEX(Input!$1:$1048576,JG$93+1,$C112*2+6),$A:$KK,$JK$92,FALSE))</f>
        <v>978</v>
      </c>
      <c r="JH112" s="1">
        <f t="shared" si="94"/>
        <v>9.1571799144869417E-2</v>
      </c>
      <c r="JI112" s="1">
        <f t="shared" si="95"/>
        <v>2.6661279989405252E-2</v>
      </c>
      <c r="JJ112" s="1">
        <f t="shared" si="96"/>
        <v>0</v>
      </c>
      <c r="JK112" s="1">
        <f t="shared" ref="JK112" si="158">SUM(JH112:JJ112)</f>
        <v>0.11823307913427467</v>
      </c>
      <c r="JL112" s="15">
        <f t="shared" ref="JL112" si="159">JG112*JK112</f>
        <v>115.63195139332062</v>
      </c>
      <c r="JM112" s="15">
        <f t="shared" ref="JM112" si="160">JG112+JL112</f>
        <v>1093.6319513933206</v>
      </c>
      <c r="JN112" s="21"/>
      <c r="JO112" s="19">
        <f>INDEX(Input!$1:$1048576,JO$93,$C112*2+6)</f>
        <v>5908.5</v>
      </c>
      <c r="JP112" s="19">
        <f>INDEX(Input!$1:$1048576,JP$93,$C112*2+6)</f>
        <v>4993.2939301234746</v>
      </c>
      <c r="JQ112" s="39">
        <f t="shared" ref="JQ112" si="161">JO112-JD112</f>
        <v>573.79020349112579</v>
      </c>
      <c r="JR112" s="39">
        <f t="shared" ref="JR112" si="162">JD112-JP112</f>
        <v>341.41586638539957</v>
      </c>
      <c r="JS112" s="39">
        <f t="shared" ref="JS112" si="163">JM112*JD112/1000000</f>
        <v>5.8342090848730646</v>
      </c>
      <c r="JT112" s="39">
        <f t="shared" ref="JT112" si="164">(JD112*JM112-JP112*JG112)/1000000</f>
        <v>0.9507676212123064</v>
      </c>
      <c r="JU112" s="385">
        <f>(JQ112*JM112-INDEX(Input!$1:$1048576,Input!A$18,$C112*2+6)*JL112*INDEX(Input!$1:$1048576,Input!A$19,$C112*2+6))/1000000</f>
        <v>0.6275152999343705</v>
      </c>
      <c r="JV112" s="39">
        <f t="shared" ref="JV112" si="165">JU112-(JO112-JP112)*JG112/1000000</f>
        <v>-0.26755623640487125</v>
      </c>
      <c r="JW112" s="1">
        <f t="shared" ref="JW112" si="166">JV112/(JU112-JV112)</f>
        <v>-0.29892162306842091</v>
      </c>
      <c r="JX112" s="19">
        <f t="shared" ref="JX112" si="167">IF(JL112=0,0,JT112/JL112)*1000000</f>
        <v>8222.360772744225</v>
      </c>
      <c r="JZ112" s="341"/>
      <c r="KA112" s="342"/>
      <c r="KB112" s="469">
        <f t="shared" si="110"/>
        <v>3.2656316020464753</v>
      </c>
      <c r="KI112" s="473">
        <f t="shared" si="111"/>
        <v>83.160238600705412</v>
      </c>
      <c r="KJ112" s="473">
        <f t="shared" si="101"/>
        <v>2.1540439592480425</v>
      </c>
      <c r="KK112" s="473">
        <f t="shared" si="102"/>
        <v>30.317668833367179</v>
      </c>
      <c r="KN112" s="544">
        <f t="shared" si="114"/>
        <v>1002</v>
      </c>
      <c r="KO112" s="541">
        <f t="shared" si="64"/>
        <v>3.3571645530584782E-2</v>
      </c>
      <c r="KP112" s="546">
        <f t="shared" si="65"/>
        <v>217.77000781412966</v>
      </c>
      <c r="KQ112" s="546">
        <f t="shared" si="66"/>
        <v>-19.74410346656623</v>
      </c>
      <c r="KR112" s="548">
        <f t="shared" si="67"/>
        <v>2.210753148321269</v>
      </c>
      <c r="KS112" s="548">
        <f t="shared" si="68"/>
        <v>-24.383772664090621</v>
      </c>
      <c r="KT112" s="473">
        <f t="shared" si="112"/>
        <v>-82.310573396665475</v>
      </c>
      <c r="KU112" s="663">
        <f t="shared" si="103"/>
        <v>-52.744302777831408</v>
      </c>
      <c r="KV112" s="117">
        <f>RANK(KU112,$KU$109:$KU$200)</f>
        <v>67</v>
      </c>
    </row>
    <row r="113" spans="1:308" s="26" customFormat="1" ht="15">
      <c r="A113" s="561">
        <f t="shared" ref="A113:A161" si="168">C113*1000+B113</f>
        <v>1013</v>
      </c>
      <c r="B113" s="561">
        <f t="shared" si="104"/>
        <v>13</v>
      </c>
      <c r="C113" s="561">
        <f t="shared" si="105"/>
        <v>1</v>
      </c>
      <c r="D113" s="561" t="str">
        <f t="shared" si="141"/>
        <v xml:space="preserve">0/0/0.9/3.9, </v>
      </c>
      <c r="E113" s="115">
        <f>INDEX(Input!$1:$1048576,E$93,$C113*2+MIN($B113,2)+5)</f>
        <v>1250</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8.9999999999999993E-3</v>
      </c>
      <c r="W113" s="863">
        <f>IFERROR(MAX(0,INDEX(Input!$1:$1048576,W$93,$C113*2+MIN($B113,2)+5)-0%,),"Market")</f>
        <v>3.9E-2</v>
      </c>
      <c r="X113" s="476" t="str">
        <f>INDEX(Input!$1:$1048576,X$93,$C113*2+MIN($B113,2)+5)</f>
        <v>Y</v>
      </c>
      <c r="Y113" s="150">
        <f>INDEX(Input!$1:$1048576,Y$93,$C113*2+MIN($B113,2)+5)</f>
        <v>2826</v>
      </c>
      <c r="Z113" s="30">
        <f>INDEX(Input!$1:$1048576,Z$93,$C113*2+MIN($B113,2)+5)</f>
        <v>0</v>
      </c>
      <c r="AA113" s="475">
        <f>INDEX(Input!$1:$1048576,AA$93,$C113*2+MIN($B113,2)+5)</f>
        <v>0</v>
      </c>
      <c r="AB113" s="118">
        <f>INDEX(Input!$1:$1048576,AB$93,$C113*2+MIN($B113,2)+5)</f>
        <v>1</v>
      </c>
      <c r="AC113" s="115">
        <f>INDEX(Input!$1:$1048576,AC$93,$C113*2+MIN($B113,2)+5)</f>
        <v>0</v>
      </c>
      <c r="AD113" s="118">
        <f>INDEX(Input!$1:$1048576,AD$93,$C113*2+MIN($B113,2)+5)</f>
        <v>0.35</v>
      </c>
      <c r="AE113" s="115">
        <f>INDEX(Input!$1:$1048576,AE$93,$C113*2+MIN($B113,2)+5)</f>
        <v>0</v>
      </c>
      <c r="AF113" s="118">
        <f>INDEX(Input!$1:$1048576,AF$93,$C113*2+MIN($B113,2)+5)</f>
        <v>1</v>
      </c>
      <c r="AG113" s="115">
        <f>INDEX(Input!$1:$1048576,AG$93,$C113*2+MIN($B113,2)+5)</f>
        <v>0</v>
      </c>
      <c r="AH113" s="118">
        <f>INDEX(Input!$1:$1048576,AH$93,$C113*2+MIN($B113,2)+5)</f>
        <v>1</v>
      </c>
      <c r="AI113" s="115">
        <f>INDEX(Input!$1:$1048576,AI$93,$C113*2+MIN($B113,2)+5)</f>
        <v>0</v>
      </c>
      <c r="AJ113" s="118">
        <f>INDEX(Input!$1:$1048576,AJ$93,$C113*2+MIN($B113,2)+5)</f>
        <v>0.35</v>
      </c>
      <c r="AK113" s="150">
        <f>ROUND(INDEX(Input!$1:$1048576,AK$93,$C112*2+MIN($B113,1)+5)+(Y113-VLOOKUP($C113*1000+1,$A:$HH,Y$92,FALSE)),0)</f>
        <v>5482</v>
      </c>
      <c r="AL113" s="150">
        <f>ROUND(INDEX(Input!$1:$1048576,AL$93,$C112*2+MIN($B113,1)+5)-(Y113-VLOOKUP($C113*1000+1,$A:$HH,Y$92,FALSE))/36,0)</f>
        <v>5602</v>
      </c>
      <c r="AM113" s="32" t="str">
        <f t="shared" ref="AM113:AM161" si="169">IF(K113="market","std",ROUND(K113*1000,0)/10)&amp;"/"&amp;IF(L113="market","std",ROUND(L113*1000,0)/10)&amp;"/"&amp;IF(M113="market","std",ROUND(M113*1000,0)/10)&amp;"/"&amp;IF(N113="market","std",ROUND(N113*1000,0)/10)&amp;IF(P113="N","","/"&amp;IF(O113="market","std",ROUND(O113*1000,0)/10))</f>
        <v>std/std/std/std</v>
      </c>
      <c r="AN113" s="32" t="str">
        <f t="shared" ref="AN113:AN161" si="170">"$"&amp;ROUND(Q113,0)&amp;" + "&amp;IF(S113="market","std",ROUND(S113*1000,0)/10)&amp;"/"&amp;IF(T113="market","std",ROUND(T113*1000,0)/10)&amp;"/"&amp;IF(U113="market","std",ROUND(U113*1000,0)/10)&amp;"/"&amp;IF(V113="market","std",ROUND(V113*1000,0)/10)&amp;IF(X113="N","","/"&amp;IF(W113="market","std",ROUND(W113*1000,0)/10))</f>
        <v>$0 + 0/0/0/0.9/3.9</v>
      </c>
      <c r="AO113" s="32" t="str">
        <f t="shared" ref="AO113:AO161" si="171">IF(S113="market","std",ROUND(S113*1000,0)/10)&amp;"/"&amp;IF(T113="market","std",ROUND(T113*1000,0)/10)&amp;"/"&amp;IF(U113="market","std",ROUND(U113*1000,0)/10)&amp;"/"&amp;IF(V113="market","std",ROUND(V113*1000,0)/10)&amp;IF(X113="N","","/"&amp;IF(W113="market","std",ROUND(W113*1000,0)/10))</f>
        <v>0/0/0/0.9/3.9</v>
      </c>
      <c r="AP113" s="32" t="str">
        <f t="shared" si="73"/>
        <v>0/0/0.9/3.9</v>
      </c>
      <c r="AQ113" s="536">
        <f t="shared" si="39"/>
        <v>0.15477631859961941</v>
      </c>
      <c r="AR113" s="32"/>
      <c r="AS113" s="302"/>
      <c r="AT113" s="3">
        <f t="shared" si="106"/>
        <v>13</v>
      </c>
      <c r="AU113" s="41" t="s">
        <v>121</v>
      </c>
      <c r="AV113" s="41" t="s">
        <v>116</v>
      </c>
      <c r="AW113" s="41" t="str">
        <f>INDEX(Input!$1:$1048576,AW$93,$C113*2+6)</f>
        <v>Kia</v>
      </c>
      <c r="AX113" s="41" t="str">
        <f>INDEX(Input!$1:$1048576,AX$93,$C113*2+6)</f>
        <v>Kia-LR - L1</v>
      </c>
      <c r="AY113" s="41" t="str">
        <f>IF(LEN(D113)=0,"",INDEX(Input!$1:$1048576,AY$93,$C113*2+6))</f>
        <v>Compact Conventional/Sporty Car (43)</v>
      </c>
      <c r="AZ113" s="41" t="str">
        <f>INDEX(Input!$1:$1048576,AZ$93,$C113*2+6)</f>
        <v>Kia Forte</v>
      </c>
      <c r="BA113" s="3">
        <f>INDEX(Input!$1:$1048576,BA$93,$C113*2+6)</f>
        <v>2020</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19695</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4"/>
        <v>1250</v>
      </c>
      <c r="CJ113" s="16" t="str">
        <f>INDEX(Input!$1:$1048576,CJ$93,$C113*2+6)</f>
        <v>N</v>
      </c>
      <c r="CK113" s="1" t="str">
        <f t="shared" si="75"/>
        <v>Market</v>
      </c>
      <c r="CL113" s="1" t="str">
        <f t="shared" si="76"/>
        <v>Market</v>
      </c>
      <c r="CM113" s="1" t="str">
        <f t="shared" si="77"/>
        <v>Market</v>
      </c>
      <c r="CN113" s="1" t="str">
        <f t="shared" si="78"/>
        <v>Market</v>
      </c>
      <c r="CO113" s="1" t="str">
        <f t="shared" si="79"/>
        <v>Market</v>
      </c>
      <c r="CP113" s="304">
        <f t="shared" si="80"/>
        <v>0</v>
      </c>
      <c r="CQ113" s="1">
        <f t="shared" si="81"/>
        <v>0</v>
      </c>
      <c r="CR113" s="1">
        <f t="shared" si="82"/>
        <v>0</v>
      </c>
      <c r="CS113" s="1">
        <f t="shared" si="83"/>
        <v>0</v>
      </c>
      <c r="CT113" s="1">
        <f t="shared" si="84"/>
        <v>8.9999999999999993E-3</v>
      </c>
      <c r="CU113" s="1">
        <f t="shared" si="85"/>
        <v>3.9E-2</v>
      </c>
      <c r="CV113" s="304">
        <f t="shared" si="86"/>
        <v>2826</v>
      </c>
      <c r="CW113" s="20" t="s">
        <v>122</v>
      </c>
      <c r="CX113" s="20" t="s">
        <v>122</v>
      </c>
      <c r="CY113" s="20" t="s">
        <v>122</v>
      </c>
      <c r="CZ113" s="20" t="s">
        <v>122</v>
      </c>
      <c r="DA113" s="20" t="s">
        <v>122</v>
      </c>
      <c r="DB113" s="503">
        <f t="shared" si="87"/>
        <v>0</v>
      </c>
      <c r="DC113" s="127">
        <v>0</v>
      </c>
      <c r="DD113" s="127">
        <v>0</v>
      </c>
      <c r="DE113" s="127">
        <v>0</v>
      </c>
      <c r="DF113" s="127">
        <v>0</v>
      </c>
      <c r="DG113" s="127">
        <v>0</v>
      </c>
      <c r="DH113" s="127">
        <v>0</v>
      </c>
      <c r="DI113" s="127">
        <v>0</v>
      </c>
      <c r="DJ113" s="127">
        <v>0</v>
      </c>
      <c r="DK113" s="127">
        <v>0</v>
      </c>
      <c r="DL113" s="127">
        <v>0</v>
      </c>
      <c r="DM113" s="304">
        <f>INDEX(Input!$1:$1048576,DM$93,$C113*2+6)</f>
        <v>20731.578947368424</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1.383056367740579E-2</v>
      </c>
      <c r="DZ113" s="7">
        <v>0</v>
      </c>
      <c r="EA113" s="7">
        <v>0.21639369772908046</v>
      </c>
      <c r="EB113" s="7">
        <v>0</v>
      </c>
      <c r="EC113" s="7">
        <v>0</v>
      </c>
      <c r="ED113" s="7">
        <v>0</v>
      </c>
      <c r="EE113" s="7">
        <v>0</v>
      </c>
      <c r="EF113" s="7">
        <v>0</v>
      </c>
      <c r="EG113" s="7">
        <v>0</v>
      </c>
      <c r="EH113" s="7">
        <v>1.4476869635993298E-2</v>
      </c>
      <c r="EI113" s="7">
        <v>2.603945677232276E-2</v>
      </c>
      <c r="EJ113" s="7">
        <v>0.20479017957701892</v>
      </c>
      <c r="EK113" s="7">
        <v>0.7231738993961041</v>
      </c>
      <c r="EL113" s="7">
        <v>3.1519594618561166E-2</v>
      </c>
      <c r="EM113" s="7">
        <v>1.8754287021462784E-2</v>
      </c>
      <c r="EN113" s="7">
        <v>5.6686594175933754E-2</v>
      </c>
      <c r="EO113" s="7">
        <v>0.54216995014193592</v>
      </c>
      <c r="EP113" s="7">
        <v>0.3117315538121922</v>
      </c>
      <c r="EQ113" s="7">
        <v>5.1954312326603476E-2</v>
      </c>
      <c r="ER113" s="7">
        <v>3.7457589543334731E-2</v>
      </c>
      <c r="ES113" s="7">
        <v>0.75102145157205091</v>
      </c>
      <c r="ET113" s="7">
        <v>0.76977573859351378</v>
      </c>
      <c r="EU113" s="6">
        <v>1600</v>
      </c>
      <c r="EV113" s="6">
        <v>0</v>
      </c>
      <c r="EW113" s="6">
        <v>1600</v>
      </c>
      <c r="EX113" s="6">
        <v>0</v>
      </c>
      <c r="EY113" s="6">
        <v>2963.2578502881047</v>
      </c>
      <c r="EZ113" s="6">
        <v>4822.9999999999991</v>
      </c>
      <c r="FA113" s="6">
        <v>0</v>
      </c>
      <c r="FB113" s="6">
        <v>0</v>
      </c>
      <c r="FC113" s="6">
        <v>0</v>
      </c>
      <c r="FD113" s="6">
        <v>0</v>
      </c>
      <c r="FE113" s="6">
        <v>0</v>
      </c>
      <c r="FF113" s="6">
        <v>0</v>
      </c>
      <c r="FG113" s="6">
        <v>0</v>
      </c>
      <c r="FH113" s="6">
        <v>1152.120827037782</v>
      </c>
      <c r="FI113" s="6">
        <v>1531.4299904380616</v>
      </c>
      <c r="FJ113" s="6">
        <v>2070.7205842538224</v>
      </c>
      <c r="FK113" s="6">
        <v>2218.6393698501015</v>
      </c>
      <c r="FL113" s="6">
        <v>893.91433563489386</v>
      </c>
      <c r="FM113" s="6">
        <v>2113.2578502881047</v>
      </c>
      <c r="FN113" s="6">
        <v>0</v>
      </c>
      <c r="FO113" s="6">
        <v>0</v>
      </c>
      <c r="FP113" s="6">
        <v>0</v>
      </c>
      <c r="FQ113" s="6">
        <v>0</v>
      </c>
      <c r="FR113" s="6">
        <v>0</v>
      </c>
      <c r="FS113" s="6">
        <v>0</v>
      </c>
      <c r="FT113" s="7">
        <v>0.23022426140648625</v>
      </c>
      <c r="FU113" s="7">
        <v>1.8754287021462784E-2</v>
      </c>
      <c r="FV113" s="7">
        <v>0.75102145157205091</v>
      </c>
      <c r="FW113" s="6">
        <v>1600.0000000000002</v>
      </c>
      <c r="FX113" s="6">
        <v>2963.2578502881047</v>
      </c>
      <c r="FY113" s="6">
        <v>4822.9999999999991</v>
      </c>
      <c r="FZ113" s="6">
        <v>3077.4375890575293</v>
      </c>
      <c r="GA113" s="6">
        <v>4046.1090674252846</v>
      </c>
      <c r="GB113" s="6">
        <v>15648.890932574715</v>
      </c>
      <c r="GC113" s="7">
        <v>7.0901643973087014E-2</v>
      </c>
      <c r="GD113" s="7">
        <v>8.052815407047284E-2</v>
      </c>
      <c r="GE113" s="7"/>
      <c r="GF113" s="7"/>
      <c r="GG113" s="7">
        <v>0.13577273470612156</v>
      </c>
      <c r="GH113" s="42">
        <v>2.7605272476308689</v>
      </c>
      <c r="GI113" s="6">
        <v>11180.615715350094</v>
      </c>
      <c r="GJ113" s="14">
        <v>0.51074630601039561</v>
      </c>
      <c r="GK113" s="14">
        <v>0.50829519786160993</v>
      </c>
      <c r="GL113" s="14">
        <v>0.4892536939896045</v>
      </c>
      <c r="GM113" s="14">
        <v>0.4917048021383903</v>
      </c>
      <c r="GO113" s="5">
        <v>338.16872463277008</v>
      </c>
      <c r="GP113" s="5">
        <v>307.64377699166363</v>
      </c>
      <c r="GQ113" s="5">
        <v>527.27910984145694</v>
      </c>
      <c r="GR113" s="5">
        <v>404.20319246551543</v>
      </c>
      <c r="GS113" s="5">
        <v>334.50205195691484</v>
      </c>
      <c r="GT113" s="5">
        <v>289.18266033348181</v>
      </c>
      <c r="GU113" s="5">
        <v>254.29573314828914</v>
      </c>
      <c r="GV113" s="39" t="s">
        <v>392</v>
      </c>
      <c r="GW113" s="5">
        <v>468.76388888888891</v>
      </c>
      <c r="GX113" s="5">
        <v>351.57291666666669</v>
      </c>
      <c r="GY113" s="5">
        <v>281.25833333333333</v>
      </c>
      <c r="GZ113" s="5">
        <v>240.8550698915011</v>
      </c>
      <c r="HA113" s="5">
        <v>229.8919505212948</v>
      </c>
      <c r="HB113" s="39">
        <v>254.96614723549274</v>
      </c>
      <c r="HC113" s="5">
        <v>72.109375000000014</v>
      </c>
      <c r="HD113" s="5">
        <v>92.305464181286524</v>
      </c>
      <c r="HE113" s="5">
        <v>103.7516995614035</v>
      </c>
      <c r="HF113" s="5">
        <v>106.17129934210527</v>
      </c>
      <c r="HG113" s="5">
        <v>115.13410087719299</v>
      </c>
      <c r="HH113" s="39">
        <v>96.304265044073475</v>
      </c>
      <c r="HI113" s="16"/>
      <c r="HJ113" s="19" t="str">
        <f t="shared" si="107"/>
        <v>On</v>
      </c>
      <c r="HK113" s="1" t="str">
        <f t="shared" si="108"/>
        <v>On</v>
      </c>
      <c r="HL113" s="16"/>
      <c r="HM113" s="639">
        <f t="shared" si="42"/>
        <v>1.7699001661282989E-2</v>
      </c>
      <c r="HN113" s="639">
        <f t="shared" si="43"/>
        <v>1.0509929974846072E-3</v>
      </c>
      <c r="HO113" s="639">
        <f t="shared" si="44"/>
        <v>5.7398960259851091E-2</v>
      </c>
      <c r="HP113" s="644">
        <f>(FT113*$GD113-HM113)/$JF113*INDEX(Input!$1:$1048576,$JG$93,$C113*2+6)</f>
        <v>10.795176427482836</v>
      </c>
      <c r="HQ113" s="644">
        <f>(FU113*$GD113-HN113)/$JF113*INDEX(Input!$1:$1048576,$JG$93,$C113*2+6)</f>
        <v>5.8983278911952919</v>
      </c>
      <c r="HR113" s="644">
        <f>(FV113*$GD113-HO113)/$JF113*INDEX(Input!$1:$1048576,$JG$93,$C113*2+6)</f>
        <v>39.54964143546254</v>
      </c>
      <c r="HS113" s="644">
        <f t="shared" si="45"/>
        <v>-0.25459703557275681</v>
      </c>
      <c r="HT113" s="644">
        <f t="shared" si="46"/>
        <v>17.785996594958618</v>
      </c>
      <c r="HU113" s="644">
        <f t="shared" si="47"/>
        <v>17.772662487274605</v>
      </c>
      <c r="HV113" s="648">
        <f t="shared" si="48"/>
        <v>0</v>
      </c>
      <c r="HW113" s="648">
        <f t="shared" si="49"/>
        <v>0</v>
      </c>
      <c r="HX113" s="648">
        <f t="shared" si="50"/>
        <v>0</v>
      </c>
      <c r="HY113" s="644">
        <f>INDEX(Input!$1:$1048576,HY$93,$C113*2+6)*INDEX(Input!$1:$1048576,$JG$93,$C113*2+6)</f>
        <v>154.99999999999997</v>
      </c>
      <c r="HZ113" s="644">
        <f>INDEX(Input!$1:$1048576,HZ$93,$C113*2+6)*INDEX(Input!$1:$1048576,$JG$93,$C113*2+6)</f>
        <v>140</v>
      </c>
      <c r="IA113" s="644">
        <f>INDEX(Input!$1:$1048576,IA$93,$C113*2+6)*INDEX(Input!$1:$1048576,$JG$93,$C113*2+6)</f>
        <v>683</v>
      </c>
      <c r="IB113" s="644">
        <f t="shared" si="88"/>
        <v>165.54057939191011</v>
      </c>
      <c r="IC113" s="644">
        <f t="shared" ref="IC113:IC161" si="172">MAX(HZ113+HQ113+HT113+HW113,0%)</f>
        <v>163.68432448615391</v>
      </c>
      <c r="ID113" s="644">
        <f>IF(AND(INDEX(Input!$1:$1048576,IA$93,$C113*2+7)="TOS",Y113&lt;=INDEX(Y:Y,MATCH(C113*1000+2,A:A))),0,1)*MAX(IA113+HR113+HU113+HX113,0%)</f>
        <v>740.32230392273709</v>
      </c>
      <c r="IE113" s="128">
        <f t="shared" ref="IE113:IE114" si="173">IB113/SUM($IB113:$ID113)</f>
        <v>0.15477631859961941</v>
      </c>
      <c r="IF113" s="128">
        <f t="shared" ref="IF113:IF161" si="174">IC113/SUM($IB113:$ID113)</f>
        <v>0.15304076649661963</v>
      </c>
      <c r="IG113" s="128">
        <f t="shared" ref="IG113:IG161" si="175">ID113/SUM($IB113:$ID113)</f>
        <v>0.69218291490376105</v>
      </c>
      <c r="IH113" s="21"/>
      <c r="II113" s="19">
        <f t="shared" si="53"/>
        <v>1200</v>
      </c>
      <c r="IJ113" s="19">
        <f t="shared" si="54"/>
        <v>2231.5502763133163</v>
      </c>
      <c r="IK113" s="19">
        <f t="shared" si="55"/>
        <v>4498</v>
      </c>
      <c r="IL113" s="19">
        <f t="shared" ref="IL113:IL161" si="176">(FW113-FA113*DZ113/FT113)-II113</f>
        <v>400.00000000000023</v>
      </c>
      <c r="IM113" s="19">
        <f t="shared" ref="IM113:IM161" si="177">FX113-IJ113</f>
        <v>731.70757397478837</v>
      </c>
      <c r="IN113" s="19">
        <f t="shared" ref="IN113:IN161" si="178">FY113-IK113</f>
        <v>324.99999999999909</v>
      </c>
      <c r="IO113" s="39">
        <f t="shared" si="57"/>
        <v>0</v>
      </c>
      <c r="IP113" s="39">
        <f t="shared" si="58"/>
        <v>0</v>
      </c>
      <c r="IQ113" s="39">
        <f t="shared" si="59"/>
        <v>0</v>
      </c>
      <c r="IR113" s="39">
        <v>0</v>
      </c>
      <c r="IS113" s="39">
        <v>0</v>
      </c>
      <c r="IT113" s="39">
        <v>0</v>
      </c>
      <c r="IU113" s="39">
        <v>0</v>
      </c>
      <c r="IV113" s="39">
        <v>0</v>
      </c>
      <c r="IW113" s="39">
        <v>0</v>
      </c>
      <c r="IX113" s="39">
        <f>INDEX(Input!$1:$1048576,IX$93,$C113*2+6)+INDEX(Input!$1:$1048576,IX$94,$C113*2+6)</f>
        <v>1600</v>
      </c>
      <c r="IY113" s="39">
        <f>INDEX(Input!$1:$1048576,IY$93,$C113*2+6)+INDEX(Input!$1:$1048576,IY$94,$C113*2+6)</f>
        <v>2503.5492916397525</v>
      </c>
      <c r="IZ113" s="39">
        <f>INDEX(Input!$1:$1048576,IZ$93,$C113*2+6)+INDEX(Input!$1:$1048576,IZ$94,$C113*2+6)</f>
        <v>6273.7109265464023</v>
      </c>
      <c r="JA113" s="19">
        <f t="shared" ref="JA113:JA161" si="179">(IL113+IO113+IR113+IU113+IX113)</f>
        <v>2000.0000000000002</v>
      </c>
      <c r="JB113" s="19">
        <f t="shared" ref="JB113:JB161" si="180">(IM113+IP113+IS113+IV113+IY113)</f>
        <v>3235.2568656145409</v>
      </c>
      <c r="JC113" s="19">
        <f t="shared" ref="JC113:JC161" si="181">(IN113+IQ113+IT113+IW113+IZ113)</f>
        <v>6598.7109265464014</v>
      </c>
      <c r="JD113" s="19">
        <f t="shared" ref="JD113:JD161" si="182">SUMPRODUCT(IE113:IG113,JA113:JC113)</f>
        <v>5372.1937914705259</v>
      </c>
      <c r="JE113" s="21"/>
      <c r="JF113" s="1">
        <f t="shared" si="60"/>
        <v>7.6148954918618686E-2</v>
      </c>
      <c r="JG113" s="15">
        <f>INDEX(Input!$1:$1048576,JG$93,$C113*2+6)/(1+VLOOKUP(C113*1000+INDEX(Input!$1:$1048576,JG$93+1,$C113*2+6),$A:$KK,$JK$92,FALSE))</f>
        <v>978</v>
      </c>
      <c r="JH113" s="1">
        <f t="shared" si="94"/>
        <v>5.7508328991963877E-2</v>
      </c>
      <c r="JI113" s="1">
        <f t="shared" si="95"/>
        <v>3.6098222951595565E-2</v>
      </c>
      <c r="JJ113" s="1">
        <f>SUM(HV113:HX113)/SUM(HY113:IA113)</f>
        <v>0</v>
      </c>
      <c r="JK113" s="1">
        <f t="shared" ref="JK113:JK114" si="183">SUM(JH113:JJ113)</f>
        <v>9.3606551943559435E-2</v>
      </c>
      <c r="JL113" s="15">
        <f t="shared" ref="JL113:JL161" si="184">JG113*JK113</f>
        <v>91.547207800801132</v>
      </c>
      <c r="JM113" s="15">
        <f t="shared" ref="JM113:JM161" si="185">JG113+JL113</f>
        <v>1069.5472078008011</v>
      </c>
      <c r="JN113" s="21"/>
      <c r="JO113" s="19">
        <f>INDEX(Input!$1:$1048576,JO$93,$C113*2+6)</f>
        <v>5908.5</v>
      </c>
      <c r="JP113" s="19">
        <f>INDEX(Input!$1:$1048576,JP$93,$C113*2+6)</f>
        <v>4993.2939301234746</v>
      </c>
      <c r="JQ113" s="39">
        <f t="shared" ref="JQ113:JQ161" si="186">JO113-JD113</f>
        <v>536.30620852947413</v>
      </c>
      <c r="JR113" s="39">
        <f t="shared" ref="JR113:JR161" si="187">JD113-JP113</f>
        <v>378.89986134705123</v>
      </c>
      <c r="JS113" s="39">
        <f t="shared" ref="JS113:JS161" si="188">JM113*JD113/1000000</f>
        <v>5.7458148694320998</v>
      </c>
      <c r="JT113" s="39">
        <f t="shared" ref="JT113:JT161" si="189">(JD113*JM113-JP113*JG113)/1000000</f>
        <v>0.86237340577134214</v>
      </c>
      <c r="JU113" s="385">
        <f>(JQ113*JM113-INDEX(Input!$1:$1048576,Input!A$18,$C113*2+6)*JL113*INDEX(Input!$1:$1048576,Input!A$19,$C113*2+6))/1000000</f>
        <v>0.5736048078589332</v>
      </c>
      <c r="JV113" s="39">
        <f>JU113-(JO113-JP113)*JG113/1000000</f>
        <v>-0.32146672848030855</v>
      </c>
      <c r="JW113" s="1">
        <f t="shared" ref="JW113:JW161" si="190">JV113/(JU113-JV113)</f>
        <v>-0.35915199559923128</v>
      </c>
      <c r="JX113" s="19">
        <f t="shared" ref="JX113:JX161" si="191">IF(JL113=0,0,JT113/JL113)*1000000</f>
        <v>9419.9858902064243</v>
      </c>
      <c r="JZ113" s="341"/>
      <c r="KA113" s="342"/>
      <c r="KB113" s="469">
        <f t="shared" si="110"/>
        <v>3.2656316020464753</v>
      </c>
      <c r="KI113" s="473">
        <f t="shared" si="111"/>
        <v>10.540579391910143</v>
      </c>
      <c r="KJ113" s="473">
        <f t="shared" si="101"/>
        <v>23.684324486153912</v>
      </c>
      <c r="KK113" s="473">
        <f t="shared" si="102"/>
        <v>57.322303922737092</v>
      </c>
      <c r="KN113" s="544">
        <f t="shared" si="114"/>
        <v>1002</v>
      </c>
      <c r="KO113" s="541">
        <f t="shared" si="64"/>
        <v>1.0809592871655171E-2</v>
      </c>
      <c r="KP113" s="546">
        <f t="shared" si="65"/>
        <v>50.764781373835909</v>
      </c>
      <c r="KQ113" s="546">
        <f t="shared" si="66"/>
        <v>17.739891495085431</v>
      </c>
      <c r="KR113" s="548">
        <f t="shared" si="67"/>
        <v>3.0536025311903061</v>
      </c>
      <c r="KS113" s="548">
        <f t="shared" si="68"/>
        <v>8.7382419977829375</v>
      </c>
      <c r="KT113" s="473">
        <f t="shared" si="112"/>
        <v>-82.310573396665475</v>
      </c>
      <c r="KU113" s="663">
        <f t="shared" si="103"/>
        <v>-51.303552392882487</v>
      </c>
      <c r="KV113" s="117">
        <f>RANK(KU113,$KU$109:$KU$200)</f>
        <v>26</v>
      </c>
    </row>
    <row r="114" spans="1:308" s="26" customFormat="1" ht="15">
      <c r="A114" s="561">
        <f t="shared" si="168"/>
        <v>1014</v>
      </c>
      <c r="B114" s="561">
        <f t="shared" si="104"/>
        <v>14</v>
      </c>
      <c r="C114" s="561">
        <f t="shared" si="105"/>
        <v>1</v>
      </c>
      <c r="D114" s="561" t="str">
        <f t="shared" si="141"/>
        <v xml:space="preserve">0/0/0/3.9, </v>
      </c>
      <c r="E114" s="115">
        <f>INDEX(Input!$1:$1048576,E$93,$C114*2+MIN($B114,2)+5)</f>
        <v>1250</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63">
        <f>IFERROR(MAX(0,INDEX(Input!$1:$1048576,W$93,$C114*2+MIN($B114,2)+5)-0%,),"Market")</f>
        <v>3.9E-2</v>
      </c>
      <c r="X114" s="476" t="str">
        <f>INDEX(Input!$1:$1048576,X$93,$C114*2+MIN($B114,2)+5)</f>
        <v>Y</v>
      </c>
      <c r="Y114" s="150">
        <f>INDEX(Input!$1:$1048576,Y$93,$C114*2+MIN($B114,2)+5)</f>
        <v>2826</v>
      </c>
      <c r="Z114" s="30">
        <f>INDEX(Input!$1:$1048576,Z$93,$C114*2+MIN($B114,2)+5)</f>
        <v>0</v>
      </c>
      <c r="AA114" s="475">
        <f>INDEX(Input!$1:$1048576,AA$93,$C114*2+MIN($B114,2)+5)</f>
        <v>0</v>
      </c>
      <c r="AB114" s="118">
        <f>INDEX(Input!$1:$1048576,AB$93,$C114*2+MIN($B114,2)+5)</f>
        <v>1</v>
      </c>
      <c r="AC114" s="115">
        <f>INDEX(Input!$1:$1048576,AC$93,$C114*2+MIN($B114,2)+5)</f>
        <v>0</v>
      </c>
      <c r="AD114" s="118">
        <f>INDEX(Input!$1:$1048576,AD$93,$C114*2+MIN($B114,2)+5)</f>
        <v>0.35</v>
      </c>
      <c r="AE114" s="115">
        <f>INDEX(Input!$1:$1048576,AE$93,$C114*2+MIN($B114,2)+5)</f>
        <v>0</v>
      </c>
      <c r="AF114" s="118">
        <f>INDEX(Input!$1:$1048576,AF$93,$C114*2+MIN($B114,2)+5)</f>
        <v>1</v>
      </c>
      <c r="AG114" s="115">
        <f>INDEX(Input!$1:$1048576,AG$93,$C114*2+MIN($B114,2)+5)</f>
        <v>0</v>
      </c>
      <c r="AH114" s="118">
        <f>INDEX(Input!$1:$1048576,AH$93,$C114*2+MIN($B114,2)+5)</f>
        <v>1</v>
      </c>
      <c r="AI114" s="115">
        <f>INDEX(Input!$1:$1048576,AI$93,$C114*2+MIN($B114,2)+5)</f>
        <v>0</v>
      </c>
      <c r="AJ114" s="118">
        <f>INDEX(Input!$1:$1048576,AJ$93,$C114*2+MIN($B114,2)+5)</f>
        <v>0.35</v>
      </c>
      <c r="AK114" s="150">
        <f>ROUND(INDEX(Input!$1:$1048576,AK$93,$C113*2+MIN($B114,1)+5)+(Y114-VLOOKUP($C114*1000+1,$A:$HH,Y$92,FALSE)),0)</f>
        <v>5482</v>
      </c>
      <c r="AL114" s="150">
        <f>ROUND(INDEX(Input!$1:$1048576,AL$93,$C113*2+MIN($B114,1)+5)-(Y114-VLOOKUP($C114*1000+1,$A:$HH,Y$92,FALSE))/36,0)</f>
        <v>5602</v>
      </c>
      <c r="AM114" s="32" t="str">
        <f t="shared" si="169"/>
        <v>std/std/std/std</v>
      </c>
      <c r="AN114" s="32" t="str">
        <f t="shared" si="170"/>
        <v>$0 + 0/0/0/0/3.9</v>
      </c>
      <c r="AO114" s="32" t="str">
        <f t="shared" si="171"/>
        <v>0/0/0/0/3.9</v>
      </c>
      <c r="AP114" s="32" t="str">
        <f t="shared" si="73"/>
        <v>0/0/0/3.9</v>
      </c>
      <c r="AQ114" s="536">
        <f t="shared" si="39"/>
        <v>0.15181711608527743</v>
      </c>
      <c r="AR114" s="32"/>
      <c r="AS114" s="302"/>
      <c r="AT114" s="3">
        <f t="shared" si="106"/>
        <v>14</v>
      </c>
      <c r="AU114" s="41" t="s">
        <v>121</v>
      </c>
      <c r="AV114" s="41" t="s">
        <v>116</v>
      </c>
      <c r="AW114" s="41" t="str">
        <f>INDEX(Input!$1:$1048576,AW$93,$C114*2+6)</f>
        <v>Kia</v>
      </c>
      <c r="AX114" s="41" t="str">
        <f>INDEX(Input!$1:$1048576,AX$93,$C114*2+6)</f>
        <v>Kia-LR - L1</v>
      </c>
      <c r="AY114" s="41" t="str">
        <f>IF(LEN(D114)=0,"",INDEX(Input!$1:$1048576,AY$93,$C114*2+6))</f>
        <v>Compact Conventional/Sporty Car (43)</v>
      </c>
      <c r="AZ114" s="41" t="str">
        <f>INDEX(Input!$1:$1048576,AZ$93,$C114*2+6)</f>
        <v>Kia Forte</v>
      </c>
      <c r="BA114" s="3">
        <f>INDEX(Input!$1:$1048576,BA$93,$C114*2+6)</f>
        <v>2020</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19695</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4"/>
        <v>1250</v>
      </c>
      <c r="CJ114" s="16" t="str">
        <f>INDEX(Input!$1:$1048576,CJ$93,$C114*2+6)</f>
        <v>N</v>
      </c>
      <c r="CK114" s="1" t="str">
        <f t="shared" si="75"/>
        <v>Market</v>
      </c>
      <c r="CL114" s="1" t="str">
        <f t="shared" si="76"/>
        <v>Market</v>
      </c>
      <c r="CM114" s="1" t="str">
        <f t="shared" si="77"/>
        <v>Market</v>
      </c>
      <c r="CN114" s="1" t="str">
        <f t="shared" si="78"/>
        <v>Market</v>
      </c>
      <c r="CO114" s="1" t="str">
        <f t="shared" si="79"/>
        <v>Market</v>
      </c>
      <c r="CP114" s="304">
        <f t="shared" si="80"/>
        <v>0</v>
      </c>
      <c r="CQ114" s="1">
        <f t="shared" si="81"/>
        <v>0</v>
      </c>
      <c r="CR114" s="1">
        <f t="shared" si="82"/>
        <v>0</v>
      </c>
      <c r="CS114" s="1">
        <f t="shared" si="83"/>
        <v>0</v>
      </c>
      <c r="CT114" s="1">
        <f t="shared" si="84"/>
        <v>0</v>
      </c>
      <c r="CU114" s="1">
        <f t="shared" si="85"/>
        <v>3.9E-2</v>
      </c>
      <c r="CV114" s="304">
        <f t="shared" si="86"/>
        <v>2826</v>
      </c>
      <c r="CW114" s="20" t="s">
        <v>122</v>
      </c>
      <c r="CX114" s="20" t="s">
        <v>122</v>
      </c>
      <c r="CY114" s="20" t="s">
        <v>122</v>
      </c>
      <c r="CZ114" s="20" t="s">
        <v>122</v>
      </c>
      <c r="DA114" s="20" t="s">
        <v>122</v>
      </c>
      <c r="DB114" s="503">
        <f t="shared" si="87"/>
        <v>0</v>
      </c>
      <c r="DC114" s="127">
        <v>0</v>
      </c>
      <c r="DD114" s="127">
        <v>0</v>
      </c>
      <c r="DE114" s="127">
        <v>0</v>
      </c>
      <c r="DF114" s="127">
        <v>0</v>
      </c>
      <c r="DG114" s="127">
        <v>0</v>
      </c>
      <c r="DH114" s="127">
        <v>0</v>
      </c>
      <c r="DI114" s="127">
        <v>0</v>
      </c>
      <c r="DJ114" s="127">
        <v>0</v>
      </c>
      <c r="DK114" s="127">
        <v>0</v>
      </c>
      <c r="DL114" s="127">
        <v>0</v>
      </c>
      <c r="DM114" s="304">
        <f>INDEX(Input!$1:$1048576,DM$93,$C114*2+6)</f>
        <v>20731.578947368424</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1.3734081822135801E-2</v>
      </c>
      <c r="DZ114" s="7">
        <v>0</v>
      </c>
      <c r="EA114" s="7">
        <v>0.21480436806221395</v>
      </c>
      <c r="EB114" s="7">
        <v>0</v>
      </c>
      <c r="EC114" s="7">
        <v>0</v>
      </c>
      <c r="ED114" s="7">
        <v>0</v>
      </c>
      <c r="EE114" s="7">
        <v>0</v>
      </c>
      <c r="EF114" s="7">
        <v>0</v>
      </c>
      <c r="EG114" s="7">
        <v>0</v>
      </c>
      <c r="EH114" s="7">
        <v>1.0499127675873871E-2</v>
      </c>
      <c r="EI114" s="7">
        <v>1.8884716664387988E-2</v>
      </c>
      <c r="EJ114" s="7">
        <v>0.14852093692952109</v>
      </c>
      <c r="EK114" s="7">
        <v>0.79923611614015944</v>
      </c>
      <c r="EL114" s="7">
        <v>2.2859102590057599E-2</v>
      </c>
      <c r="EM114" s="7">
        <v>2.5679215667481312E-2</v>
      </c>
      <c r="EN114" s="7">
        <v>5.6686594175933767E-2</v>
      </c>
      <c r="EO114" s="7">
        <v>0.54216995014193592</v>
      </c>
      <c r="EP114" s="7">
        <v>0.31173155381219231</v>
      </c>
      <c r="EQ114" s="7">
        <v>5.1954312326603497E-2</v>
      </c>
      <c r="ER114" s="7">
        <v>3.7457589543334752E-2</v>
      </c>
      <c r="ES114" s="7">
        <v>0.74578233444816877</v>
      </c>
      <c r="ET114" s="7">
        <v>0.77146155011565032</v>
      </c>
      <c r="EU114" s="6">
        <v>1600</v>
      </c>
      <c r="EV114" s="6">
        <v>0</v>
      </c>
      <c r="EW114" s="6">
        <v>1600</v>
      </c>
      <c r="EX114" s="6">
        <v>0</v>
      </c>
      <c r="EY114" s="6">
        <v>3325.2996804024187</v>
      </c>
      <c r="EZ114" s="6">
        <v>4822.9999999999991</v>
      </c>
      <c r="FA114" s="6">
        <v>0</v>
      </c>
      <c r="FB114" s="6">
        <v>0</v>
      </c>
      <c r="FC114" s="6">
        <v>0</v>
      </c>
      <c r="FD114" s="6">
        <v>0</v>
      </c>
      <c r="FE114" s="6">
        <v>0</v>
      </c>
      <c r="FF114" s="6">
        <v>0</v>
      </c>
      <c r="FG114" s="6">
        <v>0</v>
      </c>
      <c r="FH114" s="6">
        <v>1152.1208270377815</v>
      </c>
      <c r="FI114" s="6">
        <v>1531.4299904380621</v>
      </c>
      <c r="FJ114" s="6">
        <v>2070.7205842538215</v>
      </c>
      <c r="FK114" s="6">
        <v>2635.3956133202905</v>
      </c>
      <c r="FL114" s="6">
        <v>893.91433563489363</v>
      </c>
      <c r="FM114" s="6">
        <v>2475.2996804024187</v>
      </c>
      <c r="FN114" s="6">
        <v>0</v>
      </c>
      <c r="FO114" s="6">
        <v>0</v>
      </c>
      <c r="FP114" s="6">
        <v>0</v>
      </c>
      <c r="FQ114" s="6">
        <v>0</v>
      </c>
      <c r="FR114" s="6">
        <v>0</v>
      </c>
      <c r="FS114" s="6">
        <v>0</v>
      </c>
      <c r="FT114" s="7">
        <v>0.22853844988434976</v>
      </c>
      <c r="FU114" s="7">
        <v>2.5679215667481312E-2</v>
      </c>
      <c r="FV114" s="7">
        <v>0.74578233444816877</v>
      </c>
      <c r="FW114" s="6">
        <v>1600</v>
      </c>
      <c r="FX114" s="6">
        <v>3325.2996804024187</v>
      </c>
      <c r="FY114" s="6">
        <v>4822.9999999999991</v>
      </c>
      <c r="FZ114" s="6">
        <v>3077.4375890575293</v>
      </c>
      <c r="GA114" s="6">
        <v>4047.9608065105376</v>
      </c>
      <c r="GB114" s="6">
        <v>15647.039193489461</v>
      </c>
      <c r="GC114" s="7">
        <v>7.0901643973087014E-2</v>
      </c>
      <c r="GD114" s="7">
        <v>8.076544002435683E-2</v>
      </c>
      <c r="GE114" s="7"/>
      <c r="GF114" s="7"/>
      <c r="GG114" s="7">
        <v>0.13911942655397291</v>
      </c>
      <c r="GH114" s="42">
        <v>2.8231752282764551</v>
      </c>
      <c r="GI114" s="6">
        <v>11024.148399380489</v>
      </c>
      <c r="GJ114" s="14">
        <v>0.51074630601039572</v>
      </c>
      <c r="GK114" s="14">
        <v>0.50829519786160982</v>
      </c>
      <c r="GL114" s="14">
        <v>0.4892536939896045</v>
      </c>
      <c r="GM114" s="14">
        <v>0.49170480213839041</v>
      </c>
      <c r="GO114" s="5">
        <v>338.16872463277008</v>
      </c>
      <c r="GP114" s="5">
        <v>307.64377699166363</v>
      </c>
      <c r="GQ114" s="5">
        <v>527.27910984145694</v>
      </c>
      <c r="GR114" s="5">
        <v>404.20319246551543</v>
      </c>
      <c r="GS114" s="5">
        <v>334.50205195691484</v>
      </c>
      <c r="GT114" s="5">
        <v>289.18266033348181</v>
      </c>
      <c r="GU114" s="5">
        <v>254.29573314828914</v>
      </c>
      <c r="GV114" s="39" t="s">
        <v>392</v>
      </c>
      <c r="GW114" s="5">
        <v>468.76388888888891</v>
      </c>
      <c r="GX114" s="5">
        <v>351.57291666666669</v>
      </c>
      <c r="GY114" s="5">
        <v>281.25833333333333</v>
      </c>
      <c r="GZ114" s="5">
        <v>234.38194444444446</v>
      </c>
      <c r="HA114" s="5">
        <v>229.8919505212948</v>
      </c>
      <c r="HB114" s="39">
        <v>245.91535667605942</v>
      </c>
      <c r="HC114" s="5">
        <v>72.109375000000014</v>
      </c>
      <c r="HD114" s="5">
        <v>92.305464181286524</v>
      </c>
      <c r="HE114" s="5">
        <v>103.7516995614035</v>
      </c>
      <c r="HF114" s="5">
        <v>106.17129934210527</v>
      </c>
      <c r="HG114" s="5">
        <v>115.13410087719299</v>
      </c>
      <c r="HH114" s="39">
        <v>96.304265044073503</v>
      </c>
      <c r="HI114" s="16"/>
      <c r="HJ114" s="19" t="str">
        <f t="shared" si="107"/>
        <v>On</v>
      </c>
      <c r="HK114" s="1" t="str">
        <f t="shared" si="108"/>
        <v>On</v>
      </c>
      <c r="HL114" s="16"/>
      <c r="HM114" s="639">
        <f t="shared" si="42"/>
        <v>1.7699001661282989E-2</v>
      </c>
      <c r="HN114" s="639">
        <f t="shared" si="43"/>
        <v>1.0509929974846072E-3</v>
      </c>
      <c r="HO114" s="639">
        <f t="shared" si="44"/>
        <v>5.7398960259851091E-2</v>
      </c>
      <c r="HP114" s="644">
        <f>(FT114*$GD114-HM114)/$JF114*INDEX(Input!$1:$1048576,$JG$93,$C114*2+6)</f>
        <v>9.7481135121265297</v>
      </c>
      <c r="HQ114" s="644">
        <f>(FU114*$GD114-HN114)/$JF114*INDEX(Input!$1:$1048576,$JG$93,$C114*2+6)</f>
        <v>13.138645868886337</v>
      </c>
      <c r="HR114" s="644">
        <f>(FV114*$GD114-HO114)/$JF114*INDEX(Input!$1:$1048576,$JG$93,$C114*2+6)</f>
        <v>36.403908996997622</v>
      </c>
      <c r="HS114" s="644">
        <f t="shared" si="45"/>
        <v>-0.38056918616801078</v>
      </c>
      <c r="HT114" s="644">
        <f t="shared" si="46"/>
        <v>27.859337889100999</v>
      </c>
      <c r="HU114" s="644">
        <f t="shared" si="47"/>
        <v>17.898634637869858</v>
      </c>
      <c r="HV114" s="648">
        <f t="shared" si="48"/>
        <v>0</v>
      </c>
      <c r="HW114" s="648">
        <f t="shared" si="49"/>
        <v>0</v>
      </c>
      <c r="HX114" s="648">
        <f t="shared" si="50"/>
        <v>0</v>
      </c>
      <c r="HY114" s="644">
        <f>INDEX(Input!$1:$1048576,HY$93,$C114*2+6)*INDEX(Input!$1:$1048576,$JG$93,$C114*2+6)</f>
        <v>154.99999999999997</v>
      </c>
      <c r="HZ114" s="644">
        <f>INDEX(Input!$1:$1048576,HZ$93,$C114*2+6)*INDEX(Input!$1:$1048576,$JG$93,$C114*2+6)</f>
        <v>140</v>
      </c>
      <c r="IA114" s="644">
        <f>INDEX(Input!$1:$1048576,IA$93,$C114*2+6)*INDEX(Input!$1:$1048576,$JG$93,$C114*2+6)</f>
        <v>683</v>
      </c>
      <c r="IB114" s="644">
        <f t="shared" si="88"/>
        <v>164.36754432595853</v>
      </c>
      <c r="IC114" s="644">
        <f t="shared" si="172"/>
        <v>180.99798375798733</v>
      </c>
      <c r="ID114" s="644">
        <f>IF(AND(INDEX(Input!$1:$1048576,IA$93,$C114*2+7)="TOS",Y114&lt;=INDEX(Y:Y,MATCH(C114*1000+2,A:A))),0,1)*MAX(IA114+HR114+HU114+HX114,0%)</f>
        <v>737.30254363486745</v>
      </c>
      <c r="IE114" s="128">
        <f t="shared" si="173"/>
        <v>0.15181711608527743</v>
      </c>
      <c r="IF114" s="128">
        <f t="shared" si="174"/>
        <v>0.16717772370495793</v>
      </c>
      <c r="IG114" s="128">
        <f t="shared" si="175"/>
        <v>0.68100516020976465</v>
      </c>
      <c r="IH114" s="21"/>
      <c r="II114" s="19">
        <f t="shared" si="53"/>
        <v>1200</v>
      </c>
      <c r="IJ114" s="19">
        <f t="shared" si="54"/>
        <v>2231.5502763133163</v>
      </c>
      <c r="IK114" s="19">
        <f t="shared" si="55"/>
        <v>4498</v>
      </c>
      <c r="IL114" s="19">
        <f t="shared" si="176"/>
        <v>400</v>
      </c>
      <c r="IM114" s="19">
        <f t="shared" si="177"/>
        <v>1093.7494040891024</v>
      </c>
      <c r="IN114" s="19">
        <f t="shared" si="178"/>
        <v>324.99999999999909</v>
      </c>
      <c r="IO114" s="39">
        <f t="shared" si="57"/>
        <v>0</v>
      </c>
      <c r="IP114" s="39">
        <f t="shared" si="58"/>
        <v>0</v>
      </c>
      <c r="IQ114" s="39">
        <f t="shared" si="59"/>
        <v>0</v>
      </c>
      <c r="IR114" s="39">
        <v>0</v>
      </c>
      <c r="IS114" s="39">
        <v>0</v>
      </c>
      <c r="IT114" s="39">
        <v>0</v>
      </c>
      <c r="IU114" s="39">
        <v>0</v>
      </c>
      <c r="IV114" s="39">
        <v>0</v>
      </c>
      <c r="IW114" s="39">
        <v>0</v>
      </c>
      <c r="IX114" s="39">
        <f>INDEX(Input!$1:$1048576,IX$93,$C114*2+6)+INDEX(Input!$1:$1048576,IX$94,$C114*2+6)</f>
        <v>1600</v>
      </c>
      <c r="IY114" s="39">
        <f>INDEX(Input!$1:$1048576,IY$93,$C114*2+6)+INDEX(Input!$1:$1048576,IY$94,$C114*2+6)</f>
        <v>2503.5492916397525</v>
      </c>
      <c r="IZ114" s="39">
        <f>INDEX(Input!$1:$1048576,IZ$93,$C114*2+6)+INDEX(Input!$1:$1048576,IZ$94,$C114*2+6)</f>
        <v>6273.7109265464023</v>
      </c>
      <c r="JA114" s="19">
        <f t="shared" si="179"/>
        <v>2000</v>
      </c>
      <c r="JB114" s="19">
        <f t="shared" si="180"/>
        <v>3597.2986957288549</v>
      </c>
      <c r="JC114" s="19">
        <f t="shared" si="181"/>
        <v>6598.7109265464014</v>
      </c>
      <c r="JD114" s="19">
        <f t="shared" si="182"/>
        <v>5398.7786313199758</v>
      </c>
      <c r="JE114" s="21"/>
      <c r="JF114" s="1">
        <f t="shared" si="60"/>
        <v>7.6148954918618686E-2</v>
      </c>
      <c r="JG114" s="15">
        <f>INDEX(Input!$1:$1048576,JG$93,$C114*2+6)/(1+VLOOKUP(C114*1000+INDEX(Input!$1:$1048576,JG$93+1,$C114*2+6),$A:$KK,$JK$92,FALSE))</f>
        <v>978</v>
      </c>
      <c r="JH114" s="1">
        <f t="shared" si="94"/>
        <v>6.0624405294489252E-2</v>
      </c>
      <c r="JI114" s="1">
        <f t="shared" si="95"/>
        <v>4.6398162925156278E-2</v>
      </c>
      <c r="JJ114" s="1">
        <f t="shared" si="96"/>
        <v>0</v>
      </c>
      <c r="JK114" s="1">
        <f t="shared" si="183"/>
        <v>0.10702256821964554</v>
      </c>
      <c r="JL114" s="15">
        <f t="shared" si="184"/>
        <v>104.66807171881334</v>
      </c>
      <c r="JM114" s="15">
        <f t="shared" si="185"/>
        <v>1082.6680717188133</v>
      </c>
      <c r="JN114" s="21"/>
      <c r="JO114" s="19">
        <f>INDEX(Input!$1:$1048576,JO$93,$C114*2+6)</f>
        <v>5908.5</v>
      </c>
      <c r="JP114" s="19">
        <f>INDEX(Input!$1:$1048576,JP$93,$C114*2+6)</f>
        <v>4993.2939301234746</v>
      </c>
      <c r="JQ114" s="39">
        <f t="shared" si="186"/>
        <v>509.72136868002417</v>
      </c>
      <c r="JR114" s="39">
        <f t="shared" si="187"/>
        <v>405.48470119650119</v>
      </c>
      <c r="JS114" s="39">
        <f t="shared" si="188"/>
        <v>5.8450852504079327</v>
      </c>
      <c r="JT114" s="39">
        <f t="shared" si="189"/>
        <v>0.96164378674717432</v>
      </c>
      <c r="JU114" s="385">
        <f>(JQ114*JM114-INDEX(Input!$1:$1048576,Input!A$18,$C114*2+6)*JL114*INDEX(Input!$1:$1048576,Input!A$19,$C114*2+6))/1000000</f>
        <v>0.5518590513426761</v>
      </c>
      <c r="JV114" s="39">
        <f t="shared" ref="JV114:JV161" si="192">JU114-(JO114-JP114)*JG114/1000000</f>
        <v>-0.34321248499656565</v>
      </c>
      <c r="JW114" s="1">
        <f t="shared" si="190"/>
        <v>-0.38344698838293123</v>
      </c>
      <c r="JX114" s="19">
        <f t="shared" si="191"/>
        <v>9187.5561568631219</v>
      </c>
      <c r="JZ114" s="341"/>
      <c r="KA114" s="342"/>
      <c r="KB114" s="469">
        <f t="shared" si="110"/>
        <v>3.2656316020464753</v>
      </c>
      <c r="KI114" s="473">
        <f t="shared" si="111"/>
        <v>9.367544325958562</v>
      </c>
      <c r="KJ114" s="473">
        <f t="shared" si="101"/>
        <v>40.997983757987328</v>
      </c>
      <c r="KK114" s="473">
        <f t="shared" si="102"/>
        <v>54.302543634867448</v>
      </c>
      <c r="KN114" s="544">
        <f t="shared" si="114"/>
        <v>1002</v>
      </c>
      <c r="KO114" s="541">
        <f t="shared" si="64"/>
        <v>2.3209882469307441E-2</v>
      </c>
      <c r="KP114" s="546">
        <f t="shared" si="65"/>
        <v>115.97944619728727</v>
      </c>
      <c r="KQ114" s="546">
        <f t="shared" si="66"/>
        <v>44.324731344535394</v>
      </c>
      <c r="KR114" s="548">
        <f t="shared" si="67"/>
        <v>2.8698394451812814</v>
      </c>
      <c r="KS114" s="548">
        <f t="shared" si="68"/>
        <v>7.5091800769208703</v>
      </c>
      <c r="KT114" s="473">
        <f t="shared" si="112"/>
        <v>-82.310573396665475</v>
      </c>
      <c r="KU114" s="663">
        <f t="shared" si="103"/>
        <v>-51.632444220695618</v>
      </c>
      <c r="KV114" s="117">
        <f t="shared" si="142"/>
        <v>38</v>
      </c>
    </row>
    <row r="115" spans="1:308" s="26" customFormat="1" ht="15">
      <c r="A115" s="561">
        <f t="shared" ref="A115" si="193">C115*1000+B115</f>
        <v>1015</v>
      </c>
      <c r="B115" s="561">
        <f t="shared" si="104"/>
        <v>15</v>
      </c>
      <c r="C115" s="561">
        <f t="shared" si="105"/>
        <v>1</v>
      </c>
      <c r="D115" s="561" t="str">
        <f t="shared" si="141"/>
        <v xml:space="preserve">500 Combo, </v>
      </c>
      <c r="E115" s="115">
        <f>INDEX(Input!$1:$1048576,E$93,$C115*2+MIN($B115,2)+5)</f>
        <v>1250</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1.9E-2</v>
      </c>
      <c r="W115" s="863">
        <f>IFERROR(MAX(0,INDEX(Input!$1:$1048576,W$93,$C115*2+MIN($B115,2)+5)-0%,),"Market")</f>
        <v>3.9E-2</v>
      </c>
      <c r="X115" s="476" t="str">
        <f>INDEX(Input!$1:$1048576,X$93,$C115*2+MIN($B115,2)+5)</f>
        <v>Y</v>
      </c>
      <c r="Y115" s="150">
        <f>INDEX(Input!$1:$1048576,Y$93,$C115*2+MIN($B115,2)+5)</f>
        <v>2826</v>
      </c>
      <c r="Z115" s="30">
        <f>INDEX(Input!$1:$1048576,Z$93,$C115*2+MIN($B115,2)+5)</f>
        <v>0</v>
      </c>
      <c r="AA115" s="475">
        <f>INDEX(Input!$1:$1048576,AA$93,$C115*2+MIN($B115,2)+5)</f>
        <v>0</v>
      </c>
      <c r="AB115" s="118">
        <f>INDEX(Input!$1:$1048576,AB$93,$C115*2+MIN($B115,2)+5)</f>
        <v>1</v>
      </c>
      <c r="AC115" s="115">
        <f>INDEX(Input!$1:$1048576,AC$93,$C115*2+MIN($B115,2)+5)</f>
        <v>0</v>
      </c>
      <c r="AD115" s="118">
        <f>INDEX(Input!$1:$1048576,AD$93,$C115*2+MIN($B115,2)+5)</f>
        <v>0.35</v>
      </c>
      <c r="AE115" s="115">
        <f>INDEX(Input!$1:$1048576,AE$93,$C115*2+MIN($B115,2)+5)</f>
        <v>0</v>
      </c>
      <c r="AF115" s="118">
        <f>INDEX(Input!$1:$1048576,AF$93,$C115*2+MIN($B115,2)+5)</f>
        <v>1</v>
      </c>
      <c r="AG115" s="115">
        <f>INDEX(Input!$1:$1048576,AG$93,$C115*2+MIN($B115,2)+5)</f>
        <v>0</v>
      </c>
      <c r="AH115" s="118">
        <f>INDEX(Input!$1:$1048576,AH$93,$C115*2+MIN($B115,2)+5)</f>
        <v>1</v>
      </c>
      <c r="AI115" s="115">
        <f>INDEX(Input!$1:$1048576,AI$93,$C115*2+MIN($B115,2)+5)</f>
        <v>0</v>
      </c>
      <c r="AJ115" s="118">
        <f>INDEX(Input!$1:$1048576,AJ$93,$C115*2+MIN($B115,2)+5)</f>
        <v>0.35</v>
      </c>
      <c r="AK115" s="150">
        <f>ROUND(INDEX(Input!$1:$1048576,AK$93,$C114*2+MIN($B115,1)+5)+(Y115-VLOOKUP($C115*1000+1,$A:$HH,Y$92,FALSE)),0)</f>
        <v>5482</v>
      </c>
      <c r="AL115" s="150">
        <f>ROUND(INDEX(Input!$1:$1048576,AL$93,$C114*2+MIN($B115,1)+5)-(Y115-VLOOKUP($C115*1000+1,$A:$HH,Y$92,FALSE))/36,0)</f>
        <v>5602</v>
      </c>
      <c r="AM115" s="32" t="str">
        <f t="shared" ref="AM115" si="194">IF(K115="market","std",ROUND(K115*1000,0)/10)&amp;"/"&amp;IF(L115="market","std",ROUND(L115*1000,0)/10)&amp;"/"&amp;IF(M115="market","std",ROUND(M115*1000,0)/10)&amp;"/"&amp;IF(N115="market","std",ROUND(N115*1000,0)/10)&amp;IF(P115="N","","/"&amp;IF(O115="market","std",ROUND(O115*1000,0)/10))</f>
        <v>std/std/std/std</v>
      </c>
      <c r="AN115" s="32" t="str">
        <f t="shared" ref="AN115" si="195">"$"&amp;ROUND(Q115,0)&amp;" + "&amp;IF(S115="market","std",ROUND(S115*1000,0)/10)&amp;"/"&amp;IF(T115="market","std",ROUND(T115*1000,0)/10)&amp;"/"&amp;IF(U115="market","std",ROUND(U115*1000,0)/10)&amp;"/"&amp;IF(V115="market","std",ROUND(V115*1000,0)/10)&amp;IF(X115="N","","/"&amp;IF(W115="market","std",ROUND(W115*1000,0)/10))</f>
        <v>$500 + 0/0/0/1.9/3.9</v>
      </c>
      <c r="AO115" s="32" t="str">
        <f t="shared" ref="AO115" si="196">IF(S115="market","std",ROUND(S115*1000,0)/10)&amp;"/"&amp;IF(T115="market","std",ROUND(T115*1000,0)/10)&amp;"/"&amp;IF(U115="market","std",ROUND(U115*1000,0)/10)&amp;"/"&amp;IF(V115="market","std",ROUND(V115*1000,0)/10)&amp;IF(X115="N","","/"&amp;IF(W115="market","std",ROUND(W115*1000,0)/10))</f>
        <v>0/0/0/1.9/3.9</v>
      </c>
      <c r="AP115" s="32" t="str">
        <f t="shared" si="73"/>
        <v>0/0.9/1.9/3.9</v>
      </c>
      <c r="AQ115" s="536">
        <f t="shared" si="39"/>
        <v>0.15441612457464846</v>
      </c>
      <c r="AR115" s="32"/>
      <c r="AS115" s="302"/>
      <c r="AT115" s="3">
        <f t="shared" si="106"/>
        <v>15</v>
      </c>
      <c r="AU115" s="41" t="s">
        <v>121</v>
      </c>
      <c r="AV115" s="41" t="s">
        <v>116</v>
      </c>
      <c r="AW115" s="41" t="str">
        <f>INDEX(Input!$1:$1048576,AW$93,$C115*2+6)</f>
        <v>Kia</v>
      </c>
      <c r="AX115" s="41" t="str">
        <f>INDEX(Input!$1:$1048576,AX$93,$C115*2+6)</f>
        <v>Kia-LR - L1</v>
      </c>
      <c r="AY115" s="41" t="str">
        <f>IF(LEN(D115)=0,"",INDEX(Input!$1:$1048576,AY$93,$C115*2+6))</f>
        <v>Compact Conventional/Sporty Car (43)</v>
      </c>
      <c r="AZ115" s="41" t="str">
        <f>INDEX(Input!$1:$1048576,AZ$93,$C115*2+6)</f>
        <v>Kia Forte</v>
      </c>
      <c r="BA115" s="3">
        <f>INDEX(Input!$1:$1048576,BA$93,$C115*2+6)</f>
        <v>2020</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19695</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4"/>
        <v>1250</v>
      </c>
      <c r="CJ115" s="16" t="str">
        <f>INDEX(Input!$1:$1048576,CJ$93,$C115*2+6)</f>
        <v>N</v>
      </c>
      <c r="CK115" s="1" t="str">
        <f t="shared" si="75"/>
        <v>Market</v>
      </c>
      <c r="CL115" s="1" t="str">
        <f t="shared" si="76"/>
        <v>Market</v>
      </c>
      <c r="CM115" s="1" t="str">
        <f t="shared" si="77"/>
        <v>Market</v>
      </c>
      <c r="CN115" s="1" t="str">
        <f t="shared" si="78"/>
        <v>Market</v>
      </c>
      <c r="CO115" s="1" t="str">
        <f t="shared" si="79"/>
        <v>Market</v>
      </c>
      <c r="CP115" s="304">
        <f t="shared" si="80"/>
        <v>500</v>
      </c>
      <c r="CQ115" s="1">
        <f t="shared" si="81"/>
        <v>0</v>
      </c>
      <c r="CR115" s="1">
        <f t="shared" si="82"/>
        <v>0</v>
      </c>
      <c r="CS115" s="1">
        <f t="shared" si="83"/>
        <v>0</v>
      </c>
      <c r="CT115" s="1">
        <f t="shared" si="84"/>
        <v>1.9E-2</v>
      </c>
      <c r="CU115" s="1">
        <f t="shared" si="85"/>
        <v>3.9E-2</v>
      </c>
      <c r="CV115" s="304">
        <f t="shared" si="86"/>
        <v>2826</v>
      </c>
      <c r="CW115" s="20" t="s">
        <v>122</v>
      </c>
      <c r="CX115" s="20" t="s">
        <v>122</v>
      </c>
      <c r="CY115" s="20" t="s">
        <v>122</v>
      </c>
      <c r="CZ115" s="20" t="s">
        <v>122</v>
      </c>
      <c r="DA115" s="20" t="s">
        <v>122</v>
      </c>
      <c r="DB115" s="503">
        <f t="shared" si="87"/>
        <v>0</v>
      </c>
      <c r="DC115" s="127">
        <v>0</v>
      </c>
      <c r="DD115" s="127">
        <v>0</v>
      </c>
      <c r="DE115" s="127">
        <v>0</v>
      </c>
      <c r="DF115" s="127">
        <v>0</v>
      </c>
      <c r="DG115" s="127">
        <v>0</v>
      </c>
      <c r="DH115" s="127">
        <v>0</v>
      </c>
      <c r="DI115" s="127">
        <v>0</v>
      </c>
      <c r="DJ115" s="127">
        <v>0</v>
      </c>
      <c r="DK115" s="127">
        <v>0</v>
      </c>
      <c r="DL115" s="127">
        <v>0</v>
      </c>
      <c r="DM115" s="304">
        <f>INDEX(Input!$1:$1048576,DM$93,$C115*2+6)</f>
        <v>20731.578947368424</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1.3872790189324793E-2</v>
      </c>
      <c r="DZ115" s="7">
        <v>0</v>
      </c>
      <c r="EA115" s="7">
        <v>0.21683242396226829</v>
      </c>
      <c r="EB115" s="7">
        <v>0</v>
      </c>
      <c r="EC115" s="7">
        <v>0</v>
      </c>
      <c r="ED115" s="7">
        <v>0</v>
      </c>
      <c r="EE115" s="7">
        <v>0</v>
      </c>
      <c r="EF115" s="7">
        <v>0</v>
      </c>
      <c r="EG115" s="7">
        <v>0</v>
      </c>
      <c r="EH115" s="7">
        <v>1.9867163211649871E-2</v>
      </c>
      <c r="EI115" s="7">
        <v>3.5734944822064248E-2</v>
      </c>
      <c r="EJ115" s="7">
        <v>0.28104141462213034</v>
      </c>
      <c r="EK115" s="7">
        <v>0.6201009292597075</v>
      </c>
      <c r="EL115" s="7">
        <v>4.3255548084448148E-2</v>
      </c>
      <c r="EM115" s="7">
        <v>1.5980367986917137E-2</v>
      </c>
      <c r="EN115" s="7">
        <v>5.668659417593376E-2</v>
      </c>
      <c r="EO115" s="7">
        <v>0.54216995014193581</v>
      </c>
      <c r="EP115" s="7">
        <v>0.31173155381219231</v>
      </c>
      <c r="EQ115" s="7">
        <v>5.1954312326603497E-2</v>
      </c>
      <c r="ER115" s="7">
        <v>3.7457589543334745E-2</v>
      </c>
      <c r="ES115" s="7">
        <v>0.75331441786148978</v>
      </c>
      <c r="ET115" s="7">
        <v>0.76929478584840694</v>
      </c>
      <c r="EU115" s="6">
        <v>1600</v>
      </c>
      <c r="EV115" s="6">
        <v>0</v>
      </c>
      <c r="EW115" s="6">
        <v>1600</v>
      </c>
      <c r="EX115" s="6">
        <v>0</v>
      </c>
      <c r="EY115" s="6">
        <v>3131.5502763133168</v>
      </c>
      <c r="EZ115" s="6">
        <v>4822.9999999999991</v>
      </c>
      <c r="FA115" s="6">
        <v>0</v>
      </c>
      <c r="FB115" s="6">
        <v>0</v>
      </c>
      <c r="FC115" s="6">
        <v>0</v>
      </c>
      <c r="FD115" s="6">
        <v>0</v>
      </c>
      <c r="FE115" s="6">
        <v>0</v>
      </c>
      <c r="FF115" s="6">
        <v>0</v>
      </c>
      <c r="FG115" s="6">
        <v>0</v>
      </c>
      <c r="FH115" s="6">
        <v>1152.1208270377815</v>
      </c>
      <c r="FI115" s="6">
        <v>1531.4299904380618</v>
      </c>
      <c r="FJ115" s="6">
        <v>2070.7205842538224</v>
      </c>
      <c r="FK115" s="6">
        <v>1746.9903521590434</v>
      </c>
      <c r="FL115" s="6">
        <v>893.91433563489363</v>
      </c>
      <c r="FM115" s="6">
        <v>1781.5502763133168</v>
      </c>
      <c r="FN115" s="6">
        <v>0</v>
      </c>
      <c r="FO115" s="6">
        <v>0</v>
      </c>
      <c r="FP115" s="6">
        <v>0</v>
      </c>
      <c r="FQ115" s="6">
        <v>0</v>
      </c>
      <c r="FR115" s="6">
        <v>0</v>
      </c>
      <c r="FS115" s="6">
        <v>0</v>
      </c>
      <c r="FT115" s="7">
        <v>0.23070521415159309</v>
      </c>
      <c r="FU115" s="7">
        <v>1.5980367986917137E-2</v>
      </c>
      <c r="FV115" s="7">
        <v>0.75331441786148978</v>
      </c>
      <c r="FW115" s="6">
        <v>1599.9999999999998</v>
      </c>
      <c r="FX115" s="6">
        <v>3131.5502763133168</v>
      </c>
      <c r="FY115" s="6">
        <v>4822.9999999999991</v>
      </c>
      <c r="FZ115" s="6">
        <v>3077.4375890575293</v>
      </c>
      <c r="GA115" s="6">
        <v>4052.4071057735318</v>
      </c>
      <c r="GB115" s="6">
        <v>15642.592894226469</v>
      </c>
      <c r="GC115" s="7">
        <v>7.0901643973087014E-2</v>
      </c>
      <c r="GD115" s="7">
        <v>8.0425017439866631E-2</v>
      </c>
      <c r="GE115" s="7"/>
      <c r="GF115" s="7"/>
      <c r="GG115" s="7">
        <v>0.13431809099369427</v>
      </c>
      <c r="GH115" s="42">
        <v>2.7133102694649494</v>
      </c>
      <c r="GI115" s="6">
        <v>11311.068314424674</v>
      </c>
      <c r="GJ115" s="14">
        <v>0.5107463060103955</v>
      </c>
      <c r="GK115" s="14">
        <v>0.50829519786160982</v>
      </c>
      <c r="GL115" s="14">
        <v>0.48925369398960444</v>
      </c>
      <c r="GM115" s="14">
        <v>0.49170480213839035</v>
      </c>
      <c r="GO115" s="5">
        <v>338.16872463277008</v>
      </c>
      <c r="GP115" s="5">
        <v>307.64377699166363</v>
      </c>
      <c r="GQ115" s="5">
        <v>527.27910984145694</v>
      </c>
      <c r="GR115" s="5">
        <v>404.20319246551543</v>
      </c>
      <c r="GS115" s="5">
        <v>334.50205195691484</v>
      </c>
      <c r="GT115" s="5">
        <v>289.18266033348181</v>
      </c>
      <c r="GU115" s="5">
        <v>254.29573314828914</v>
      </c>
      <c r="GV115" s="39" t="s">
        <v>392</v>
      </c>
      <c r="GW115" s="5">
        <v>454.875</v>
      </c>
      <c r="GX115" s="5">
        <v>341.15625</v>
      </c>
      <c r="GY115" s="5">
        <v>272.92500000000001</v>
      </c>
      <c r="GZ115" s="5">
        <v>240.82751152063875</v>
      </c>
      <c r="HA115" s="5">
        <v>223.08053899211657</v>
      </c>
      <c r="HB115" s="39">
        <v>256.91833838742559</v>
      </c>
      <c r="HC115" s="5">
        <v>72.109375000000014</v>
      </c>
      <c r="HD115" s="5">
        <v>92.305464181286524</v>
      </c>
      <c r="HE115" s="5">
        <v>103.7516995614035</v>
      </c>
      <c r="HF115" s="5">
        <v>106.17129934210527</v>
      </c>
      <c r="HG115" s="5">
        <v>115.13410087719299</v>
      </c>
      <c r="HH115" s="39">
        <v>96.304265044073489</v>
      </c>
      <c r="HI115" s="16"/>
      <c r="HJ115" s="19" t="str">
        <f t="shared" si="107"/>
        <v>On</v>
      </c>
      <c r="HK115" s="1" t="str">
        <f t="shared" si="108"/>
        <v>On</v>
      </c>
      <c r="HL115" s="16"/>
      <c r="HM115" s="639">
        <f t="shared" ref="HM115" si="197">VLOOKUP($C115*1000+1,$A:$HH,FT$92,FALSE)*$JF115</f>
        <v>1.7699001661282989E-2</v>
      </c>
      <c r="HN115" s="639">
        <f t="shared" ref="HN115" si="198">VLOOKUP($C115*1000+1,$A:$HH,FU$92,FALSE)*$JF115</f>
        <v>1.0509929974846072E-3</v>
      </c>
      <c r="HO115" s="639">
        <f t="shared" ref="HO115" si="199">VLOOKUP($C115*1000+1,$A:$HH,FV$92,FALSE)*$JF115</f>
        <v>5.7398960259851091E-2</v>
      </c>
      <c r="HP115" s="644">
        <f>(FT115*$GD115-HM115)/$JF115*INDEX(Input!$1:$1048576,$JG$93,$C115*2+6)</f>
        <v>10.98700420240821</v>
      </c>
      <c r="HQ115" s="644">
        <f>(FU115*$GD115-HN115)/$JF115*INDEX(Input!$1:$1048576,$JG$93,$C115*2+6)</f>
        <v>3.008253396507075</v>
      </c>
      <c r="HR115" s="644">
        <f>(FV115*$GD115-HO115)/$JF115*INDEX(Input!$1:$1048576,$JG$93,$C115*2+6)</f>
        <v>40.923278712578842</v>
      </c>
      <c r="HS115" s="644">
        <f t="shared" ref="HS115" si="200">IF(AND(HJ115="On",HK115="On"),IL115/1000*INDEX(KG:KG,MATCH(C115*1000+3,$KF:$KF,0))*SUM(HY115:IA115)*1.1
+INDEX(HR:HR,MATCH(C115*1000+4,$KF:$KF,0))/INDEX(IM:IM,MATCH(C115*1000+4,$KF:$KF,0))*IM115*20%,0)</f>
        <v>-0.31315424380638757</v>
      </c>
      <c r="HT115" s="644">
        <f t="shared" ref="HT115" si="201">IF(AND(HJ115="On",HK115="On"),IM115/1000*INDEX(KG:KG,MATCH(C115*1000+4,$KF:$KF,0))*SUM(HY115:IA115)*1.1
+INDEX(HR:HR,MATCH(C115*1000+3,$KF:$KF,0))/INDEX(IL:IL,MATCH(C115*1000+3,$KF:$KF,0))*IL115*20%,0)</f>
        <v>22.468513651166997</v>
      </c>
      <c r="HU115" s="644">
        <f t="shared" ref="HU115" si="202">IF(HJ115="On",IN115/1000*INDEX(KG:KG,MATCH(C115*1000+5,$KF:$KF,0))*SUM(HY115:IA115)*1.1
-INDEX(HR:HR,MATCH(C115*1000+3,$KF:$KF,0))/INDEX(IL:IL,MATCH(C115*1000+3,$KF:$KF,0))*IL115*20%
-INDEX(HR:HR,MATCH(C115*1000+4,$KF:$KF,0))/INDEX(IM:IM,MATCH(C115*1000+4,$KF:$KF,0))*IM115*20%,0)</f>
        <v>17.831219695508231</v>
      </c>
      <c r="HV115" s="648">
        <f t="shared" ref="HV115" si="203">IL115/1000*0+IM115/1000*0+IN115/1000*0
+(CP115-INDEX(CP:CP,MATCH(C115*1000+1,A:A,0)))/1000*0+IF(FU115&gt;0,0,0)</f>
        <v>0</v>
      </c>
      <c r="HW115" s="648">
        <f t="shared" ref="HW115" si="204">IL115/1000*0+IM115/1000*0+IN115/1000*0
+(CP115-INDEX(CP:CP,MATCH(C115*1000+1,A:A,0)))/1000*0+IF(FU115&gt;0,0,0)</f>
        <v>0</v>
      </c>
      <c r="HX115" s="648">
        <f t="shared" ref="HX115" si="205">IL115/1000*0+IM115/1000*0+IN115/1000*0
+(CP115-INDEX(CP:CP,MATCH(C115*1000+1,A:A,0)))/1000*0+IF(FU115&gt;0,0,0)</f>
        <v>0</v>
      </c>
      <c r="HY115" s="644">
        <f>INDEX(Input!$1:$1048576,HY$93,$C115*2+6)*INDEX(Input!$1:$1048576,$JG$93,$C115*2+6)</f>
        <v>154.99999999999997</v>
      </c>
      <c r="HZ115" s="644">
        <f>INDEX(Input!$1:$1048576,HZ$93,$C115*2+6)*INDEX(Input!$1:$1048576,$JG$93,$C115*2+6)</f>
        <v>140</v>
      </c>
      <c r="IA115" s="644">
        <f>INDEX(Input!$1:$1048576,IA$93,$C115*2+6)*INDEX(Input!$1:$1048576,$JG$93,$C115*2+6)</f>
        <v>683</v>
      </c>
      <c r="IB115" s="644">
        <f t="shared" ref="IB115" si="206">SUM(HP115:IA115)-IC115-ID115</f>
        <v>165.67384995860186</v>
      </c>
      <c r="IC115" s="644">
        <f t="shared" ref="IC115" si="207">MAX(HZ115+HQ115+HT115+HW115,0%)</f>
        <v>165.47676704767409</v>
      </c>
      <c r="ID115" s="644">
        <f>IF(AND(INDEX(Input!$1:$1048576,IA$93,$C115*2+7)="TOS",Y115&lt;=INDEX(Y:Y,MATCH(C115*1000+2,A:A))),0,1)*MAX(IA115+HR115+HU115+HX115,0%)</f>
        <v>741.7544984080871</v>
      </c>
      <c r="IE115" s="128">
        <f t="shared" ref="IE115" si="208">IB115/SUM($IB115:$ID115)</f>
        <v>0.15441612457464846</v>
      </c>
      <c r="IF115" s="128">
        <f t="shared" ref="IF115" si="209">IC115/SUM($IB115:$ID115)</f>
        <v>0.15423243367030259</v>
      </c>
      <c r="IG115" s="128">
        <f t="shared" ref="IG115" si="210">ID115/SUM($IB115:$ID115)</f>
        <v>0.69135144175504892</v>
      </c>
      <c r="IH115" s="21"/>
      <c r="II115" s="19">
        <f t="shared" ref="II115" si="211">VLOOKUP($C115*1000+1,$A:$HH,FW$92,FALSE)-VLOOKUP($C115*1000+1,$A:$HH,FA$92,FALSE)*VLOOKUP($C115*1000+1,$A:$HH,DZ$92,FALSE)/VLOOKUP($C115*1000+1,$A:$HH,FT$92,FALSE)</f>
        <v>1200</v>
      </c>
      <c r="IJ115" s="19">
        <f t="shared" ref="IJ115" si="212">VLOOKUP($C115*1000+1,$A:$HH,FX$92,FALSE)</f>
        <v>2231.5502763133163</v>
      </c>
      <c r="IK115" s="19">
        <f t="shared" ref="IK115" si="213">VLOOKUP($C115*1000+1,$A:$HH,FY$92,FALSE)</f>
        <v>4498</v>
      </c>
      <c r="IL115" s="19">
        <f t="shared" ref="IL115" si="214">(FW115-FA115*DZ115/FT115)-II115</f>
        <v>399.99999999999977</v>
      </c>
      <c r="IM115" s="19">
        <f t="shared" ref="IM115" si="215">FX115-IJ115</f>
        <v>900.00000000000045</v>
      </c>
      <c r="IN115" s="19">
        <f t="shared" ref="IN115" si="216">FY115-IK115</f>
        <v>324.99999999999909</v>
      </c>
      <c r="IO115" s="39">
        <f t="shared" ref="IO115" si="217">(F115-VLOOKUP($C115*1000+1,$A:$HH,F$92,FALSE))*(1-$I115)</f>
        <v>0</v>
      </c>
      <c r="IP115" s="39">
        <f t="shared" ref="IP115" si="218">(G115-VLOOKUP($C115*1000+1,$A:$HH,G$92,FALSE))*(1-$I115)</f>
        <v>0</v>
      </c>
      <c r="IQ115" s="39">
        <f t="shared" ref="IQ115" si="219">(H115-VLOOKUP($C115*1000+1,$A:$HH,H$92,FALSE))*(1-$I115)</f>
        <v>0</v>
      </c>
      <c r="IR115" s="39">
        <v>0</v>
      </c>
      <c r="IS115" s="39">
        <v>0</v>
      </c>
      <c r="IT115" s="39">
        <v>0</v>
      </c>
      <c r="IU115" s="39">
        <v>0</v>
      </c>
      <c r="IV115" s="39">
        <v>0</v>
      </c>
      <c r="IW115" s="39">
        <v>0</v>
      </c>
      <c r="IX115" s="39">
        <f>INDEX(Input!$1:$1048576,IX$93,$C115*2+6)+INDEX(Input!$1:$1048576,IX$94,$C115*2+6)</f>
        <v>1600</v>
      </c>
      <c r="IY115" s="39">
        <f>INDEX(Input!$1:$1048576,IY$93,$C115*2+6)+INDEX(Input!$1:$1048576,IY$94,$C115*2+6)</f>
        <v>2503.5492916397525</v>
      </c>
      <c r="IZ115" s="39">
        <f>INDEX(Input!$1:$1048576,IZ$93,$C115*2+6)+INDEX(Input!$1:$1048576,IZ$94,$C115*2+6)</f>
        <v>6273.7109265464023</v>
      </c>
      <c r="JA115" s="19">
        <f t="shared" ref="JA115" si="220">(IL115+IO115+IR115+IU115+IX115)</f>
        <v>1999.9999999999998</v>
      </c>
      <c r="JB115" s="19">
        <f t="shared" ref="JB115" si="221">(IM115+IP115+IS115+IV115+IY115)</f>
        <v>3403.5492916397529</v>
      </c>
      <c r="JC115" s="19">
        <f t="shared" ref="JC115" si="222">(IN115+IQ115+IT115+IW115+IZ115)</f>
        <v>6598.7109265464014</v>
      </c>
      <c r="JD115" s="19">
        <f t="shared" ref="JD115" si="223">SUMPRODUCT(IE115:IG115,JA115:JC115)</f>
        <v>5395.7982523083801</v>
      </c>
      <c r="JE115" s="21"/>
      <c r="JF115" s="1">
        <f t="shared" ref="JF115" si="224">VLOOKUP($C115*1000+1,$A:$HH,GD$92,FALSE)</f>
        <v>7.6148954918618686E-2</v>
      </c>
      <c r="JG115" s="15">
        <f>INDEX(Input!$1:$1048576,JG$93,$C115*2+6)/(1+VLOOKUP(C115*1000+INDEX(Input!$1:$1048576,JG$93+1,$C115*2+6),$A:$KK,$JK$92,FALSE))</f>
        <v>978</v>
      </c>
      <c r="JH115" s="1">
        <f t="shared" ref="JH115" si="225">SUM(HP115:HR115)/SUM(HY115:IA115)</f>
        <v>5.6153922608889698E-2</v>
      </c>
      <c r="JI115" s="1">
        <f t="shared" ref="JI115" si="226">SUM(HS115:HU115)/SUM(HY115:IA115)</f>
        <v>4.0886072702319885E-2</v>
      </c>
      <c r="JJ115" s="1">
        <f t="shared" ref="JJ115" si="227">SUM(HV115:HX115)/SUM(HY115:IA115)</f>
        <v>0</v>
      </c>
      <c r="JK115" s="1">
        <f t="shared" ref="JK115" si="228">SUM(JH115:JJ115)</f>
        <v>9.7039995311209576E-2</v>
      </c>
      <c r="JL115" s="15">
        <f t="shared" ref="JL115" si="229">JG115*JK115</f>
        <v>94.905115414362967</v>
      </c>
      <c r="JM115" s="15">
        <f t="shared" ref="JM115" si="230">JG115+JL115</f>
        <v>1072.9051154143631</v>
      </c>
      <c r="JN115" s="21"/>
      <c r="JO115" s="19">
        <f>INDEX(Input!$1:$1048576,JO$93,$C115*2+6)</f>
        <v>5908.5</v>
      </c>
      <c r="JP115" s="19">
        <f>INDEX(Input!$1:$1048576,JP$93,$C115*2+6)</f>
        <v>4993.2939301234746</v>
      </c>
      <c r="JQ115" s="39">
        <f t="shared" ref="JQ115" si="231">JO115-JD115</f>
        <v>512.70174769161986</v>
      </c>
      <c r="JR115" s="39">
        <f t="shared" ref="JR115" si="232">JD115-JP115</f>
        <v>402.5043221849055</v>
      </c>
      <c r="JS115" s="39">
        <f t="shared" ref="JS115" si="233">JM115*JD115/1000000</f>
        <v>5.7891795466455411</v>
      </c>
      <c r="JT115" s="39">
        <f t="shared" ref="JT115" si="234">(JD115*JM115-JP115*JG115)/1000000</f>
        <v>0.90573808298478276</v>
      </c>
      <c r="JU115" s="385">
        <f>(JQ115*JM115-INDEX(Input!$1:$1048576,Input!A$18,$C115*2+6)*JL115*INDEX(Input!$1:$1048576,Input!A$19,$C115*2+6))/1000000</f>
        <v>0.55008032778022309</v>
      </c>
      <c r="JV115" s="39">
        <f t="shared" ref="JV115" si="235">JU115-(JO115-JP115)*JG115/1000000</f>
        <v>-0.34499120855901866</v>
      </c>
      <c r="JW115" s="1">
        <f t="shared" ref="JW115" si="236">JV115/(JU115-JV115)</f>
        <v>-0.3854342301733783</v>
      </c>
      <c r="JX115" s="19">
        <f t="shared" ref="JX115" si="237">IF(JL115=0,0,JT115/JL115)*1000000</f>
        <v>9543.6171067308787</v>
      </c>
      <c r="JZ115" s="341"/>
      <c r="KA115" s="342"/>
      <c r="KB115" s="469">
        <f t="shared" si="110"/>
        <v>3.2656316020464753</v>
      </c>
      <c r="KI115" s="473">
        <f t="shared" ref="KI115" si="238">$JM115*IE115-$JG115*HY115/SUM($HY115:$IA115)</f>
        <v>10.673849958601892</v>
      </c>
      <c r="KJ115" s="473">
        <f t="shared" ref="KJ115" si="239">$JM115*IF115-$JG115*HZ115/SUM($HY115:$IA115)</f>
        <v>25.476767047674116</v>
      </c>
      <c r="KK115" s="473">
        <f t="shared" ref="KK115" si="240">$JM115*IG115-$JG115*IA115/SUM($HY115:$IA115)</f>
        <v>58.754498408087102</v>
      </c>
      <c r="KN115" s="544">
        <f t="shared" ref="KN115" si="241">KM115+(KN114-KM114)</f>
        <v>1002</v>
      </c>
      <c r="KO115" s="541">
        <f t="shared" ref="KO115" si="242">JM115/INDEX(JM:JM,MATCH(KN115,A:A,0))-1</f>
        <v>1.3983090219887639E-2</v>
      </c>
      <c r="KP115" s="546">
        <f t="shared" ref="KP115" si="243">(IL115-INDEX(IL:IL,MATCH(KN115,A:A,0)))*IE115
+(IM115-IF(HN115=0,INDEX(IX:IX,MATCH(KN115,A:A,0)),INDEX(IM:IM,MATCH(KN115,A:A,0))))*IF115
+(IN115-INDEX(IN:IN,MATCH(KN115,A:A,0)))*IG115</f>
        <v>77.116216835151434</v>
      </c>
      <c r="KQ115" s="546">
        <f t="shared" ref="KQ115" si="244">JD115-INDEX(JD:JD,MATCH(KN115,A:A,0))</f>
        <v>41.344352332939707</v>
      </c>
      <c r="KR115" s="548">
        <f t="shared" ref="KR115" si="245">KO115/(KP115/(BX115-INDEX(JD:JD,MATCH(KN115,A:A,0))))</f>
        <v>2.6002980715166131</v>
      </c>
      <c r="KS115" s="548">
        <f t="shared" ref="KS115" si="246">KO115/(KQ115/(BX115-INDEX(JD:JD,MATCH(KN115,A:A,0))))</f>
        <v>4.8501219296967841</v>
      </c>
      <c r="KT115" s="473">
        <f t="shared" si="112"/>
        <v>-82.310573396665475</v>
      </c>
      <c r="KU115" s="663">
        <f t="shared" ref="KU115" si="247">IF(D115="",0,IFERROR((JM115/KT115-1)/(JD115/BX115)+B115*10^-6,0))</f>
        <v>-51.228024210209483</v>
      </c>
      <c r="KV115" s="117">
        <f t="shared" ref="KV115" si="248">RANK(KU115,$KU$109:$KU$200)</f>
        <v>23</v>
      </c>
    </row>
    <row r="116" spans="1:308" s="26" customFormat="1" ht="15">
      <c r="A116" s="561">
        <f t="shared" si="168"/>
        <v>1016</v>
      </c>
      <c r="B116" s="561">
        <f t="shared" si="104"/>
        <v>16</v>
      </c>
      <c r="C116" s="561">
        <f t="shared" si="105"/>
        <v>1</v>
      </c>
      <c r="D116" s="561" t="str">
        <f t="shared" si="141"/>
        <v xml:space="preserve">-360 Lease, </v>
      </c>
      <c r="E116" s="115">
        <f>INDEX(Input!$1:$1048576,E$93,$C116*2+MIN($B116,2)+5)</f>
        <v>1250</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1.9E-2</v>
      </c>
      <c r="W116" s="862">
        <f>INDEX(Input!$1:$1048576,W$93,$C116*2+MIN($B116,2)+5)</f>
        <v>3.9E-2</v>
      </c>
      <c r="X116" s="118" t="str">
        <f>INDEX(Input!$1:$1048576,X$93,$C116*2+MIN($B116,2)+5)</f>
        <v>Y</v>
      </c>
      <c r="Y116" s="475">
        <f>INDEX(Input!$1:$1048576,Y$93,$C116*2+MIN($B116,2)+5)-360</f>
        <v>2466</v>
      </c>
      <c r="Z116" s="30">
        <f>INDEX(Input!$1:$1048576,Z$93,$C116*2+MIN($B116,2)+5)</f>
        <v>0</v>
      </c>
      <c r="AA116" s="115">
        <f>INDEX(Input!$1:$1048576,AA$93,$C116*2+MIN($B116,2)+5)</f>
        <v>0</v>
      </c>
      <c r="AB116" s="118">
        <f>INDEX(Input!$1:$1048576,AB$93,$C116*2+MIN($B116,2)+5)</f>
        <v>1</v>
      </c>
      <c r="AC116" s="115">
        <f>INDEX(Input!$1:$1048576,AC$93,$C116*2+MIN($B116,2)+5)</f>
        <v>0</v>
      </c>
      <c r="AD116" s="118">
        <f>INDEX(Input!$1:$1048576,AD$93,$C116*2+MIN($B116,2)+5)</f>
        <v>0.35</v>
      </c>
      <c r="AE116" s="115">
        <f>INDEX(Input!$1:$1048576,AE$93,$C116*2+MIN($B116,2)+5)</f>
        <v>0</v>
      </c>
      <c r="AF116" s="118">
        <f>INDEX(Input!$1:$1048576,AF$93,$C116*2+MIN($B116,2)+5)</f>
        <v>1</v>
      </c>
      <c r="AG116" s="115">
        <f>INDEX(Input!$1:$1048576,AG$93,$C116*2+MIN($B116,2)+5)</f>
        <v>0</v>
      </c>
      <c r="AH116" s="118">
        <f>INDEX(Input!$1:$1048576,AH$93,$C116*2+MIN($B116,2)+5)</f>
        <v>1</v>
      </c>
      <c r="AI116" s="115">
        <f>INDEX(Input!$1:$1048576,AI$93,$C116*2+MIN($B116,2)+5)</f>
        <v>0</v>
      </c>
      <c r="AJ116" s="118">
        <f>INDEX(Input!$1:$1048576,AJ$93,$C116*2+MIN($B116,2)+5)</f>
        <v>0.35</v>
      </c>
      <c r="AK116" s="150">
        <f>ROUND(INDEX(Input!$1:$1048576,AK$93,$C115*2+MIN($B116,1)+5)+(Y116-VLOOKUP($C116*1000+1,$A:$HH,Y$92,FALSE)),0)</f>
        <v>5122</v>
      </c>
      <c r="AL116" s="150">
        <f>ROUND(INDEX(Input!$1:$1048576,AL$93,$C115*2+MIN($B116,1)+5)-(Y116-VLOOKUP($C116*1000+1,$A:$HH,Y$92,FALSE))/36,0)</f>
        <v>5612</v>
      </c>
      <c r="AM116" s="32" t="str">
        <f t="shared" si="169"/>
        <v>std/std/std/std</v>
      </c>
      <c r="AN116" s="32" t="str">
        <f t="shared" si="170"/>
        <v>$0 + 0/0/0/1.9/3.9</v>
      </c>
      <c r="AO116" s="32" t="str">
        <f t="shared" si="171"/>
        <v>0/0/0/1.9/3.9</v>
      </c>
      <c r="AP116" s="32" t="str">
        <f t="shared" si="73"/>
        <v>0/0.9/1.9/3.9</v>
      </c>
      <c r="AQ116" s="536">
        <f t="shared" si="39"/>
        <v>0.18205723985825611</v>
      </c>
      <c r="AR116" s="32"/>
      <c r="AS116" s="302"/>
      <c r="AT116" s="3">
        <f t="shared" si="106"/>
        <v>16</v>
      </c>
      <c r="AU116" s="41" t="s">
        <v>121</v>
      </c>
      <c r="AV116" s="41" t="s">
        <v>116</v>
      </c>
      <c r="AW116" s="41" t="str">
        <f>INDEX(Input!$1:$1048576,AW$93,$C116*2+6)</f>
        <v>Kia</v>
      </c>
      <c r="AX116" s="41" t="str">
        <f>INDEX(Input!$1:$1048576,AX$93,$C116*2+6)</f>
        <v>Kia-LR - L1</v>
      </c>
      <c r="AY116" s="41" t="str">
        <f>IF(LEN(D116)=0,"",INDEX(Input!$1:$1048576,AY$93,$C116*2+6))</f>
        <v>Compact Conventional/Sporty Car (43)</v>
      </c>
      <c r="AZ116" s="41" t="str">
        <f>INDEX(Input!$1:$1048576,AZ$93,$C116*2+6)</f>
        <v>Kia Forte</v>
      </c>
      <c r="BA116" s="3">
        <f>INDEX(Input!$1:$1048576,BA$93,$C116*2+6)</f>
        <v>2020</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19695</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4"/>
        <v>1250</v>
      </c>
      <c r="CJ116" s="16" t="str">
        <f>INDEX(Input!$1:$1048576,CJ$93,$C116*2+6)</f>
        <v>N</v>
      </c>
      <c r="CK116" s="1" t="str">
        <f t="shared" si="75"/>
        <v>Market</v>
      </c>
      <c r="CL116" s="1" t="str">
        <f t="shared" si="76"/>
        <v>Market</v>
      </c>
      <c r="CM116" s="1" t="str">
        <f t="shared" si="77"/>
        <v>Market</v>
      </c>
      <c r="CN116" s="1" t="str">
        <f t="shared" si="78"/>
        <v>Market</v>
      </c>
      <c r="CO116" s="1" t="str">
        <f t="shared" si="79"/>
        <v>Market</v>
      </c>
      <c r="CP116" s="304">
        <f t="shared" si="80"/>
        <v>0</v>
      </c>
      <c r="CQ116" s="1">
        <f t="shared" si="81"/>
        <v>0</v>
      </c>
      <c r="CR116" s="1">
        <f t="shared" si="82"/>
        <v>0</v>
      </c>
      <c r="CS116" s="1">
        <f t="shared" si="83"/>
        <v>0</v>
      </c>
      <c r="CT116" s="1">
        <f t="shared" si="84"/>
        <v>1.9E-2</v>
      </c>
      <c r="CU116" s="1">
        <f t="shared" si="85"/>
        <v>3.9E-2</v>
      </c>
      <c r="CV116" s="304">
        <f t="shared" si="86"/>
        <v>2466</v>
      </c>
      <c r="CW116" s="20" t="s">
        <v>122</v>
      </c>
      <c r="CX116" s="20" t="s">
        <v>122</v>
      </c>
      <c r="CY116" s="20" t="s">
        <v>122</v>
      </c>
      <c r="CZ116" s="20" t="s">
        <v>122</v>
      </c>
      <c r="DA116" s="20" t="s">
        <v>122</v>
      </c>
      <c r="DB116" s="503">
        <f t="shared" si="87"/>
        <v>0</v>
      </c>
      <c r="DC116" s="127">
        <v>0</v>
      </c>
      <c r="DD116" s="127">
        <v>0</v>
      </c>
      <c r="DE116" s="127">
        <v>0</v>
      </c>
      <c r="DF116" s="127">
        <v>0</v>
      </c>
      <c r="DG116" s="127">
        <v>0</v>
      </c>
      <c r="DH116" s="127">
        <v>0</v>
      </c>
      <c r="DI116" s="127">
        <v>0</v>
      </c>
      <c r="DJ116" s="127">
        <v>0</v>
      </c>
      <c r="DK116" s="127">
        <v>0</v>
      </c>
      <c r="DL116" s="127">
        <v>0</v>
      </c>
      <c r="DM116" s="304">
        <f>INDEX(Input!$1:$1048576,DM$93,$C116*2+6)</f>
        <v>20731.578947368424</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1.5450834767681727E-2</v>
      </c>
      <c r="DZ116" s="7">
        <v>0</v>
      </c>
      <c r="EA116" s="7">
        <v>0.24176337839600362</v>
      </c>
      <c r="EB116" s="7">
        <v>0</v>
      </c>
      <c r="EC116" s="7">
        <v>0</v>
      </c>
      <c r="ED116" s="7">
        <v>0</v>
      </c>
      <c r="EE116" s="7">
        <v>0</v>
      </c>
      <c r="EF116" s="7">
        <v>0</v>
      </c>
      <c r="EG116" s="7">
        <v>0</v>
      </c>
      <c r="EH116" s="7">
        <v>1.9867163211649864E-2</v>
      </c>
      <c r="EI116" s="7">
        <v>3.5734944822064241E-2</v>
      </c>
      <c r="EJ116" s="7">
        <v>0.28104141462213045</v>
      </c>
      <c r="EK116" s="7">
        <v>0.62010092925970728</v>
      </c>
      <c r="EL116" s="7">
        <v>4.3255548084448155E-2</v>
      </c>
      <c r="EM116" s="7">
        <v>1.5266920003205463E-2</v>
      </c>
      <c r="EN116" s="7">
        <v>5.4991458321761215E-2</v>
      </c>
      <c r="EO116" s="7">
        <v>0.54346350462336079</v>
      </c>
      <c r="EP116" s="7">
        <v>0.30989234739924154</v>
      </c>
      <c r="EQ116" s="7">
        <v>5.3241409624822621E-2</v>
      </c>
      <c r="ER116" s="7">
        <v>3.841128003081401E-2</v>
      </c>
      <c r="ES116" s="7">
        <v>0.72751886683310918</v>
      </c>
      <c r="ET116" s="7">
        <v>0.74278578683631469</v>
      </c>
      <c r="EU116" s="6">
        <v>1600</v>
      </c>
      <c r="EV116" s="6">
        <v>0</v>
      </c>
      <c r="EW116" s="6">
        <v>1600</v>
      </c>
      <c r="EX116" s="6">
        <v>0</v>
      </c>
      <c r="EY116" s="6">
        <v>2631.5502763133163</v>
      </c>
      <c r="EZ116" s="6">
        <v>4462.9999999999991</v>
      </c>
      <c r="FA116" s="6">
        <v>0</v>
      </c>
      <c r="FB116" s="6">
        <v>0</v>
      </c>
      <c r="FC116" s="6">
        <v>0</v>
      </c>
      <c r="FD116" s="6">
        <v>0</v>
      </c>
      <c r="FE116" s="6">
        <v>0</v>
      </c>
      <c r="FF116" s="6">
        <v>0</v>
      </c>
      <c r="FG116" s="6">
        <v>0</v>
      </c>
      <c r="FH116" s="6">
        <v>1152.1208270377815</v>
      </c>
      <c r="FI116" s="6">
        <v>1531.4299904380616</v>
      </c>
      <c r="FJ116" s="6">
        <v>2070.7205842538215</v>
      </c>
      <c r="FK116" s="6">
        <v>1746.9903521590436</v>
      </c>
      <c r="FL116" s="6">
        <v>893.91433563489375</v>
      </c>
      <c r="FM116" s="6">
        <v>1781.5502763133165</v>
      </c>
      <c r="FN116" s="6">
        <v>0</v>
      </c>
      <c r="FO116" s="6">
        <v>0</v>
      </c>
      <c r="FP116" s="6">
        <v>0</v>
      </c>
      <c r="FQ116" s="6">
        <v>0</v>
      </c>
      <c r="FR116" s="6">
        <v>0</v>
      </c>
      <c r="FS116" s="6">
        <v>0</v>
      </c>
      <c r="FT116" s="7">
        <v>0.25721421316368537</v>
      </c>
      <c r="FU116" s="7">
        <v>1.5266920003205463E-2</v>
      </c>
      <c r="FV116" s="7">
        <v>0.72751886683310918</v>
      </c>
      <c r="FW116" s="6">
        <v>1599.9999999999998</v>
      </c>
      <c r="FX116" s="6">
        <v>2631.5502763133163</v>
      </c>
      <c r="FY116" s="6">
        <v>4462.9999999999991</v>
      </c>
      <c r="FZ116" s="6">
        <v>3077.4375890575293</v>
      </c>
      <c r="GA116" s="6">
        <v>3698.6351112909506</v>
      </c>
      <c r="GB116" s="6">
        <v>15996.364888709049</v>
      </c>
      <c r="GC116" s="7">
        <v>7.0901643973087014E-2</v>
      </c>
      <c r="GD116" s="7">
        <v>7.6855014203569882E-2</v>
      </c>
      <c r="GE116" s="7"/>
      <c r="GF116" s="7"/>
      <c r="GG116" s="7">
        <v>8.3966603549314886E-2</v>
      </c>
      <c r="GH116" s="42">
        <v>2.6621520494126405</v>
      </c>
      <c r="GI116" s="6">
        <v>11096.785042037915</v>
      </c>
      <c r="GJ116" s="14">
        <v>0.5107463060103955</v>
      </c>
      <c r="GK116" s="14">
        <v>0.5082951978616097</v>
      </c>
      <c r="GL116" s="14">
        <v>0.48925369398960433</v>
      </c>
      <c r="GM116" s="14">
        <v>0.49170480213839024</v>
      </c>
      <c r="GO116" s="5">
        <v>338.16872463277008</v>
      </c>
      <c r="GP116" s="5">
        <v>307.64377699166363</v>
      </c>
      <c r="GQ116" s="5">
        <v>527.27910984145694</v>
      </c>
      <c r="GR116" s="5">
        <v>404.20319246551543</v>
      </c>
      <c r="GS116" s="5">
        <v>334.50205195691484</v>
      </c>
      <c r="GT116" s="5">
        <v>289.18266033348181</v>
      </c>
      <c r="GU116" s="5">
        <v>254.29573314828914</v>
      </c>
      <c r="GV116" s="39" t="s">
        <v>392</v>
      </c>
      <c r="GW116" s="5">
        <v>468.76388888888891</v>
      </c>
      <c r="GX116" s="5">
        <v>351.57291666666669</v>
      </c>
      <c r="GY116" s="5">
        <v>281.25833333333333</v>
      </c>
      <c r="GZ116" s="5">
        <v>248.18079879493993</v>
      </c>
      <c r="HA116" s="5">
        <v>229.8919505212948</v>
      </c>
      <c r="HB116" s="39">
        <v>264.76293361772161</v>
      </c>
      <c r="HC116" s="5">
        <v>87.859375</v>
      </c>
      <c r="HD116" s="5">
        <v>103.05546418128652</v>
      </c>
      <c r="HE116" s="5">
        <v>113.73246879217274</v>
      </c>
      <c r="HF116" s="5">
        <v>114.49629934210526</v>
      </c>
      <c r="HG116" s="5">
        <v>122.034100877193</v>
      </c>
      <c r="HH116" s="39">
        <v>106.86665101845688</v>
      </c>
      <c r="HI116" s="16"/>
      <c r="HJ116" s="19" t="str">
        <f t="shared" si="107"/>
        <v>On</v>
      </c>
      <c r="HK116" s="1" t="str">
        <f t="shared" si="108"/>
        <v>On</v>
      </c>
      <c r="HL116" s="16"/>
      <c r="HM116" s="639">
        <f t="shared" si="42"/>
        <v>1.7699001661282989E-2</v>
      </c>
      <c r="HN116" s="639">
        <f t="shared" si="43"/>
        <v>1.0509929974846072E-3</v>
      </c>
      <c r="HO116" s="639">
        <f t="shared" si="44"/>
        <v>5.7398960259851091E-2</v>
      </c>
      <c r="HP116" s="644">
        <f>(FT116*$GD116-HM116)/$JF116*INDEX(Input!$1:$1048576,$JG$93,$C116*2+6)</f>
        <v>26.5752555547196</v>
      </c>
      <c r="HQ116" s="644">
        <f>(FU116*$GD116-HN116)/$JF116*INDEX(Input!$1:$1048576,$JG$93,$C116*2+6)</f>
        <v>1.5713247345002577</v>
      </c>
      <c r="HR116" s="644">
        <f>(FV116*$GD116-HO116)/$JF116*INDEX(Input!$1:$1048576,$JG$93,$C116*2+6)</f>
        <v>-19.07848498285302</v>
      </c>
      <c r="HS116" s="644">
        <f t="shared" si="45"/>
        <v>-0.13917966391394995</v>
      </c>
      <c r="HT116" s="644">
        <f t="shared" si="46"/>
        <v>8.556666377936514</v>
      </c>
      <c r="HU116" s="644">
        <f t="shared" si="47"/>
        <v>1.1025022110636447</v>
      </c>
      <c r="HV116" s="648">
        <f t="shared" si="48"/>
        <v>0</v>
      </c>
      <c r="HW116" s="648">
        <f t="shared" si="49"/>
        <v>0</v>
      </c>
      <c r="HX116" s="648">
        <f t="shared" si="50"/>
        <v>0</v>
      </c>
      <c r="HY116" s="644">
        <f>INDEX(Input!$1:$1048576,HY$93,$C116*2+6)*INDEX(Input!$1:$1048576,$JG$93,$C116*2+6)</f>
        <v>154.99999999999997</v>
      </c>
      <c r="HZ116" s="644">
        <f>INDEX(Input!$1:$1048576,HZ$93,$C116*2+6)*INDEX(Input!$1:$1048576,$JG$93,$C116*2+6)</f>
        <v>140</v>
      </c>
      <c r="IA116" s="644">
        <f>INDEX(Input!$1:$1048576,IA$93,$C116*2+6)*INDEX(Input!$1:$1048576,$JG$93,$C116*2+6)</f>
        <v>683</v>
      </c>
      <c r="IB116" s="644">
        <f t="shared" ref="IB116:IB161" si="249">SUM(HP116:IA116)-IC116-ID116</f>
        <v>181.43607589080557</v>
      </c>
      <c r="IC116" s="644">
        <f t="shared" si="172"/>
        <v>150.12799111243677</v>
      </c>
      <c r="ID116" s="644">
        <f>IF(AND(INDEX(Input!$1:$1048576,IA$93,$C116*2+7)="TOS",Y116&lt;=INDEX(Y:Y,MATCH(C116*1000+2,A:A))),0,1)*MAX(IA116+HR116+HU116+HX116,0%)</f>
        <v>665.0240172282106</v>
      </c>
      <c r="IE116" s="128">
        <f t="shared" ref="IE116:IE118" si="250">IB116/SUM($IB116:$ID116)</f>
        <v>0.18205723985825611</v>
      </c>
      <c r="IF116" s="128">
        <f t="shared" si="174"/>
        <v>0.15064196882126302</v>
      </c>
      <c r="IG116" s="128">
        <f t="shared" si="175"/>
        <v>0.66730079132048081</v>
      </c>
      <c r="IH116" s="21"/>
      <c r="II116" s="19">
        <f t="shared" si="53"/>
        <v>1200</v>
      </c>
      <c r="IJ116" s="19">
        <f t="shared" si="54"/>
        <v>2231.5502763133163</v>
      </c>
      <c r="IK116" s="19">
        <f t="shared" si="55"/>
        <v>4498</v>
      </c>
      <c r="IL116" s="19">
        <f t="shared" si="176"/>
        <v>399.99999999999977</v>
      </c>
      <c r="IM116" s="19">
        <f t="shared" si="177"/>
        <v>400</v>
      </c>
      <c r="IN116" s="19">
        <f t="shared" si="178"/>
        <v>-35.000000000000909</v>
      </c>
      <c r="IO116" s="39">
        <f t="shared" si="57"/>
        <v>0</v>
      </c>
      <c r="IP116" s="39">
        <f t="shared" si="58"/>
        <v>0</v>
      </c>
      <c r="IQ116" s="39">
        <f t="shared" si="59"/>
        <v>0</v>
      </c>
      <c r="IR116" s="39">
        <v>0</v>
      </c>
      <c r="IS116" s="39">
        <v>0</v>
      </c>
      <c r="IT116" s="39">
        <v>0</v>
      </c>
      <c r="IU116" s="39">
        <v>0</v>
      </c>
      <c r="IV116" s="39">
        <v>0</v>
      </c>
      <c r="IW116" s="39">
        <v>0</v>
      </c>
      <c r="IX116" s="39">
        <f>INDEX(Input!$1:$1048576,IX$93,$C116*2+6)+INDEX(Input!$1:$1048576,IX$94,$C116*2+6)</f>
        <v>1600</v>
      </c>
      <c r="IY116" s="39">
        <f>INDEX(Input!$1:$1048576,IY$93,$C116*2+6)+INDEX(Input!$1:$1048576,IY$94,$C116*2+6)</f>
        <v>2503.5492916397525</v>
      </c>
      <c r="IZ116" s="39">
        <f>INDEX(Input!$1:$1048576,IZ$93,$C116*2+6)+INDEX(Input!$1:$1048576,IZ$94,$C116*2+6)</f>
        <v>6273.7109265464023</v>
      </c>
      <c r="JA116" s="19">
        <f t="shared" si="179"/>
        <v>1999.9999999999998</v>
      </c>
      <c r="JB116" s="19">
        <f t="shared" si="180"/>
        <v>2903.5492916397525</v>
      </c>
      <c r="JC116" s="19">
        <f t="shared" si="181"/>
        <v>6238.7109265464014</v>
      </c>
      <c r="JD116" s="19">
        <f t="shared" si="182"/>
        <v>4964.6075996828513</v>
      </c>
      <c r="JE116" s="21"/>
      <c r="JF116" s="1">
        <f t="shared" si="60"/>
        <v>7.6148954918618686E-2</v>
      </c>
      <c r="JG116" s="15">
        <f>INDEX(Input!$1:$1048576,JG$93,$C116*2+6)/(1+VLOOKUP(C116*1000+INDEX(Input!$1:$1048576,JG$93+1,$C116*2+6),$A:$KK,$JK$92,FALSE))</f>
        <v>978</v>
      </c>
      <c r="JH116" s="1">
        <f t="shared" ref="JH116:JH161" si="251">SUM(HP116:HR116)/SUM(HY116:IA116)</f>
        <v>9.2720810903546419E-3</v>
      </c>
      <c r="JI116" s="1">
        <f t="shared" ref="JI116:JI161" si="252">SUM(HS116:HU116)/SUM(HY116:IA116)</f>
        <v>9.7341400052006217E-3</v>
      </c>
      <c r="JJ116" s="1">
        <f t="shared" ref="JJ116:JJ161" si="253">SUM(HV116:HX116)/SUM(HY116:IA116)</f>
        <v>0</v>
      </c>
      <c r="JK116" s="1">
        <f t="shared" ref="JK116:JK161" si="254">SUM(JH116:JJ116)</f>
        <v>1.9006221095555262E-2</v>
      </c>
      <c r="JL116" s="15">
        <f t="shared" si="184"/>
        <v>18.588084231453045</v>
      </c>
      <c r="JM116" s="15">
        <f t="shared" si="185"/>
        <v>996.58808423145308</v>
      </c>
      <c r="JN116" s="21"/>
      <c r="JO116" s="19">
        <f>INDEX(Input!$1:$1048576,JO$93,$C116*2+6)</f>
        <v>5908.5</v>
      </c>
      <c r="JP116" s="19">
        <f>INDEX(Input!$1:$1048576,JP$93,$C116*2+6)</f>
        <v>4993.2939301234746</v>
      </c>
      <c r="JQ116" s="39">
        <f t="shared" si="186"/>
        <v>943.89240031714871</v>
      </c>
      <c r="JR116" s="39">
        <f t="shared" si="187"/>
        <v>-28.686330440623351</v>
      </c>
      <c r="JS116" s="39">
        <f t="shared" si="188"/>
        <v>4.947668776728845</v>
      </c>
      <c r="JT116" s="39">
        <f t="shared" si="189"/>
        <v>6.4227313068087211E-2</v>
      </c>
      <c r="JU116" s="385">
        <f>(JQ116*JM116-INDEX(Input!$1:$1048576,Input!A$18,$C116*2+6)*JL116*INDEX(Input!$1:$1048576,Input!A$19,$C116*2+6))/1000000</f>
        <v>0.94067191895269497</v>
      </c>
      <c r="JV116" s="39">
        <f t="shared" si="192"/>
        <v>4.5600382613453228E-2</v>
      </c>
      <c r="JW116" s="1">
        <f t="shared" si="190"/>
        <v>5.0946076109128102E-2</v>
      </c>
      <c r="JX116" s="19">
        <f t="shared" si="191"/>
        <v>3455.2949227230024</v>
      </c>
      <c r="JZ116" s="341"/>
      <c r="KA116" s="342"/>
      <c r="KB116" s="469">
        <f t="shared" si="110"/>
        <v>3.2656316020464753</v>
      </c>
      <c r="KI116" s="473">
        <f t="shared" ref="KI116:KI118" si="255">$JM116*IE116-$JG116*HY116/SUM($HY116:$IA116)</f>
        <v>26.436075890805625</v>
      </c>
      <c r="KJ116" s="473">
        <f t="shared" ref="KJ116:KJ118" si="256">$JM116*IF116-$JG116*HZ116/SUM($HY116:$IA116)</f>
        <v>10.127991112436803</v>
      </c>
      <c r="KK116" s="473">
        <f t="shared" ref="KK116:KK161" si="257">$JM116*IG116-$JG116*IA116/SUM($HY116:$IA116)</f>
        <v>-17.975982771789404</v>
      </c>
      <c r="KN116" s="544">
        <f t="shared" ref="KN116:KN161" si="258">KM116+(KN115-KM115)</f>
        <v>1002</v>
      </c>
      <c r="KO116" s="541">
        <f t="shared" si="64"/>
        <v>-5.8142746448686999E-2</v>
      </c>
      <c r="KP116" s="546">
        <f t="shared" si="65"/>
        <v>-240.22828487537305</v>
      </c>
      <c r="KQ116" s="546">
        <f t="shared" si="66"/>
        <v>-389.84630029258915</v>
      </c>
      <c r="KR116" s="548">
        <f t="shared" si="67"/>
        <v>3.4708599624810952</v>
      </c>
      <c r="KS116" s="548">
        <f t="shared" si="68"/>
        <v>2.1387883768645461</v>
      </c>
      <c r="KT116" s="473">
        <f t="shared" si="112"/>
        <v>-82.310573396665475</v>
      </c>
      <c r="KU116" s="663">
        <f t="shared" si="103"/>
        <v>-51.999114663463786</v>
      </c>
      <c r="KV116" s="117">
        <f t="shared" ref="KV116:KV118" si="259">RANK(KU116,$KU$109:$KU$200)</f>
        <v>44</v>
      </c>
    </row>
    <row r="117" spans="1:308" s="26" customFormat="1" ht="15">
      <c r="A117" s="561">
        <f t="shared" si="168"/>
        <v>1017</v>
      </c>
      <c r="B117" s="561">
        <f t="shared" si="104"/>
        <v>17</v>
      </c>
      <c r="C117" s="561">
        <f t="shared" si="105"/>
        <v>1</v>
      </c>
      <c r="D117" s="561" t="str">
        <f t="shared" si="141"/>
        <v xml:space="preserve">360 Lease, </v>
      </c>
      <c r="E117" s="115">
        <f>INDEX(Input!$1:$1048576,E$93,$C117*2+MIN($B117,2)+5)</f>
        <v>1250</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1.9E-2</v>
      </c>
      <c r="W117" s="862">
        <f>INDEX(Input!$1:$1048576,W$93,$C117*2+MIN($B117,2)+5)</f>
        <v>3.9E-2</v>
      </c>
      <c r="X117" s="118" t="str">
        <f>INDEX(Input!$1:$1048576,X$93,$C117*2+MIN($B117,2)+5)</f>
        <v>Y</v>
      </c>
      <c r="Y117" s="475">
        <f>INDEX(Input!$1:$1048576,Y$93,$C117*2+MIN($B117,2)+5)+360</f>
        <v>3186</v>
      </c>
      <c r="Z117" s="30">
        <f>INDEX(Input!$1:$1048576,Z$93,$C117*2+MIN($B117,2)+5)</f>
        <v>0</v>
      </c>
      <c r="AA117" s="115">
        <f>INDEX(Input!$1:$1048576,AA$93,$C117*2+MIN($B117,2)+5)</f>
        <v>0</v>
      </c>
      <c r="AB117" s="118">
        <f>INDEX(Input!$1:$1048576,AB$93,$C117*2+MIN($B117,2)+5)</f>
        <v>1</v>
      </c>
      <c r="AC117" s="115">
        <f>INDEX(Input!$1:$1048576,AC$93,$C117*2+MIN($B117,2)+5)</f>
        <v>0</v>
      </c>
      <c r="AD117" s="118">
        <f>INDEX(Input!$1:$1048576,AD$93,$C117*2+MIN($B117,2)+5)</f>
        <v>0.35</v>
      </c>
      <c r="AE117" s="115">
        <f>INDEX(Input!$1:$1048576,AE$93,$C117*2+MIN($B117,2)+5)</f>
        <v>0</v>
      </c>
      <c r="AF117" s="118">
        <f>INDEX(Input!$1:$1048576,AF$93,$C117*2+MIN($B117,2)+5)</f>
        <v>1</v>
      </c>
      <c r="AG117" s="115">
        <f>INDEX(Input!$1:$1048576,AG$93,$C117*2+MIN($B117,2)+5)</f>
        <v>0</v>
      </c>
      <c r="AH117" s="118">
        <f>INDEX(Input!$1:$1048576,AH$93,$C117*2+MIN($B117,2)+5)</f>
        <v>1</v>
      </c>
      <c r="AI117" s="115">
        <f>INDEX(Input!$1:$1048576,AI$93,$C117*2+MIN($B117,2)+5)</f>
        <v>0</v>
      </c>
      <c r="AJ117" s="118">
        <f>INDEX(Input!$1:$1048576,AJ$93,$C117*2+MIN($B117,2)+5)</f>
        <v>0.35</v>
      </c>
      <c r="AK117" s="150">
        <f>ROUND(INDEX(Input!$1:$1048576,AK$93,$C116*2+MIN($B117,1)+5)+(Y117-VLOOKUP($C117*1000+1,$A:$HH,Y$92,FALSE)),0)</f>
        <v>5842</v>
      </c>
      <c r="AL117" s="150">
        <f>ROUND(INDEX(Input!$1:$1048576,AL$93,$C116*2+MIN($B117,1)+5)-(Y117-VLOOKUP($C117*1000+1,$A:$HH,Y$92,FALSE))/36,0)</f>
        <v>5592</v>
      </c>
      <c r="AM117" s="32" t="str">
        <f t="shared" si="169"/>
        <v>std/std/std/std</v>
      </c>
      <c r="AN117" s="32" t="str">
        <f t="shared" si="170"/>
        <v>$0 + 0/0/0/1.9/3.9</v>
      </c>
      <c r="AO117" s="32" t="str">
        <f t="shared" si="171"/>
        <v>0/0/0/1.9/3.9</v>
      </c>
      <c r="AP117" s="32" t="str">
        <f t="shared" si="73"/>
        <v>0/0.9/1.9/3.9</v>
      </c>
      <c r="AQ117" s="536">
        <f t="shared" si="39"/>
        <v>0.13425210966659953</v>
      </c>
      <c r="AR117" s="32"/>
      <c r="AS117" s="302"/>
      <c r="AT117" s="3">
        <f t="shared" si="106"/>
        <v>17</v>
      </c>
      <c r="AU117" s="41" t="s">
        <v>121</v>
      </c>
      <c r="AV117" s="41" t="s">
        <v>116</v>
      </c>
      <c r="AW117" s="41" t="str">
        <f>INDEX(Input!$1:$1048576,AW$93,$C117*2+6)</f>
        <v>Kia</v>
      </c>
      <c r="AX117" s="41" t="str">
        <f>INDEX(Input!$1:$1048576,AX$93,$C117*2+6)</f>
        <v>Kia-LR - L1</v>
      </c>
      <c r="AY117" s="41" t="str">
        <f>IF(LEN(D117)=0,"",INDEX(Input!$1:$1048576,AY$93,$C117*2+6))</f>
        <v>Compact Conventional/Sporty Car (43)</v>
      </c>
      <c r="AZ117" s="41" t="str">
        <f>INDEX(Input!$1:$1048576,AZ$93,$C117*2+6)</f>
        <v>Kia Forte</v>
      </c>
      <c r="BA117" s="3">
        <f>INDEX(Input!$1:$1048576,BA$93,$C117*2+6)</f>
        <v>2020</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19695</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4"/>
        <v>1250</v>
      </c>
      <c r="CJ117" s="16" t="str">
        <f>INDEX(Input!$1:$1048576,CJ$93,$C117*2+6)</f>
        <v>N</v>
      </c>
      <c r="CK117" s="1" t="str">
        <f t="shared" si="75"/>
        <v>Market</v>
      </c>
      <c r="CL117" s="1" t="str">
        <f t="shared" si="76"/>
        <v>Market</v>
      </c>
      <c r="CM117" s="1" t="str">
        <f t="shared" si="77"/>
        <v>Market</v>
      </c>
      <c r="CN117" s="1" t="str">
        <f t="shared" si="78"/>
        <v>Market</v>
      </c>
      <c r="CO117" s="1" t="str">
        <f t="shared" si="79"/>
        <v>Market</v>
      </c>
      <c r="CP117" s="304">
        <f t="shared" si="80"/>
        <v>0</v>
      </c>
      <c r="CQ117" s="1">
        <f t="shared" si="81"/>
        <v>0</v>
      </c>
      <c r="CR117" s="1">
        <f t="shared" si="82"/>
        <v>0</v>
      </c>
      <c r="CS117" s="1">
        <f t="shared" si="83"/>
        <v>0</v>
      </c>
      <c r="CT117" s="1">
        <f t="shared" si="84"/>
        <v>1.9E-2</v>
      </c>
      <c r="CU117" s="1">
        <f t="shared" si="85"/>
        <v>3.9E-2</v>
      </c>
      <c r="CV117" s="304">
        <f t="shared" si="86"/>
        <v>3186</v>
      </c>
      <c r="CW117" s="20" t="s">
        <v>122</v>
      </c>
      <c r="CX117" s="20" t="s">
        <v>122</v>
      </c>
      <c r="CY117" s="20" t="s">
        <v>122</v>
      </c>
      <c r="CZ117" s="20" t="s">
        <v>122</v>
      </c>
      <c r="DA117" s="20" t="s">
        <v>122</v>
      </c>
      <c r="DB117" s="503">
        <f t="shared" si="87"/>
        <v>0</v>
      </c>
      <c r="DC117" s="127">
        <v>0</v>
      </c>
      <c r="DD117" s="127">
        <v>0</v>
      </c>
      <c r="DE117" s="127">
        <v>0</v>
      </c>
      <c r="DF117" s="127">
        <v>0</v>
      </c>
      <c r="DG117" s="127">
        <v>0</v>
      </c>
      <c r="DH117" s="127">
        <v>0</v>
      </c>
      <c r="DI117" s="127">
        <v>0</v>
      </c>
      <c r="DJ117" s="127">
        <v>0</v>
      </c>
      <c r="DK117" s="127">
        <v>0</v>
      </c>
      <c r="DL117" s="127">
        <v>0</v>
      </c>
      <c r="DM117" s="304">
        <f>INDEX(Input!$1:$1048576,DM$93,$C117*2+6)</f>
        <v>20731.578947368424</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1.2402121587815071E-2</v>
      </c>
      <c r="DZ117" s="7">
        <v>0</v>
      </c>
      <c r="EA117" s="7">
        <v>0.19405934109267953</v>
      </c>
      <c r="EB117" s="7">
        <v>0</v>
      </c>
      <c r="EC117" s="7">
        <v>0</v>
      </c>
      <c r="ED117" s="7">
        <v>0</v>
      </c>
      <c r="EE117" s="7">
        <v>0</v>
      </c>
      <c r="EF117" s="7">
        <v>0</v>
      </c>
      <c r="EG117" s="7">
        <v>0</v>
      </c>
      <c r="EH117" s="7">
        <v>1.9867163211649875E-2</v>
      </c>
      <c r="EI117" s="7">
        <v>3.5734944822064241E-2</v>
      </c>
      <c r="EJ117" s="7">
        <v>0.28104141462213039</v>
      </c>
      <c r="EK117" s="7">
        <v>0.62010092925970739</v>
      </c>
      <c r="EL117" s="7">
        <v>4.3255548084448141E-2</v>
      </c>
      <c r="EM117" s="7">
        <v>1.2254496342634143E-2</v>
      </c>
      <c r="EN117" s="7">
        <v>5.8591856591889833E-2</v>
      </c>
      <c r="EO117" s="7">
        <v>0.54078899147893777</v>
      </c>
      <c r="EP117" s="7">
        <v>0.3135606592379041</v>
      </c>
      <c r="EQ117" s="7">
        <v>5.0607944637769298E-2</v>
      </c>
      <c r="ER117" s="7">
        <v>3.6450548053498996E-2</v>
      </c>
      <c r="ES117" s="7">
        <v>0.78128404097687132</v>
      </c>
      <c r="ET117" s="7">
        <v>0.79353853731950541</v>
      </c>
      <c r="EU117" s="6">
        <v>1600</v>
      </c>
      <c r="EV117" s="6">
        <v>0</v>
      </c>
      <c r="EW117" s="6">
        <v>1600</v>
      </c>
      <c r="EX117" s="6">
        <v>0</v>
      </c>
      <c r="EY117" s="6">
        <v>2631.5502763133163</v>
      </c>
      <c r="EZ117" s="6">
        <v>5182.9999999999991</v>
      </c>
      <c r="FA117" s="6">
        <v>0</v>
      </c>
      <c r="FB117" s="6">
        <v>0</v>
      </c>
      <c r="FC117" s="6">
        <v>0</v>
      </c>
      <c r="FD117" s="6">
        <v>0</v>
      </c>
      <c r="FE117" s="6">
        <v>0</v>
      </c>
      <c r="FF117" s="6">
        <v>0</v>
      </c>
      <c r="FG117" s="6">
        <v>0</v>
      </c>
      <c r="FH117" s="6">
        <v>1152.1208270377813</v>
      </c>
      <c r="FI117" s="6">
        <v>1531.4299904380621</v>
      </c>
      <c r="FJ117" s="6">
        <v>2070.7205842538215</v>
      </c>
      <c r="FK117" s="6">
        <v>1746.9903521590436</v>
      </c>
      <c r="FL117" s="6">
        <v>893.91433563489397</v>
      </c>
      <c r="FM117" s="6">
        <v>1781.5502763133163</v>
      </c>
      <c r="FN117" s="6">
        <v>0</v>
      </c>
      <c r="FO117" s="6">
        <v>0</v>
      </c>
      <c r="FP117" s="6">
        <v>0</v>
      </c>
      <c r="FQ117" s="6">
        <v>0</v>
      </c>
      <c r="FR117" s="6">
        <v>0</v>
      </c>
      <c r="FS117" s="6">
        <v>0</v>
      </c>
      <c r="FT117" s="7">
        <v>0.20646146268049459</v>
      </c>
      <c r="FU117" s="7">
        <v>1.2254496342634143E-2</v>
      </c>
      <c r="FV117" s="7">
        <v>0.78128404097687132</v>
      </c>
      <c r="FW117" s="6">
        <v>1600</v>
      </c>
      <c r="FX117" s="6">
        <v>2631.5502763133163</v>
      </c>
      <c r="FY117" s="6">
        <v>5182.9999999999991</v>
      </c>
      <c r="FZ117" s="6">
        <v>3077.4375890575293</v>
      </c>
      <c r="GA117" s="6">
        <v>4411.9818479084543</v>
      </c>
      <c r="GB117" s="6">
        <v>15283.018152091547</v>
      </c>
      <c r="GC117" s="7">
        <v>7.0901643973087014E-2</v>
      </c>
      <c r="GD117" s="7">
        <v>8.4294517963145896E-2</v>
      </c>
      <c r="GE117" s="7"/>
      <c r="GF117" s="7"/>
      <c r="GG117" s="7">
        <v>0.18889370174748804</v>
      </c>
      <c r="GH117" s="42">
        <v>2.7876643515142856</v>
      </c>
      <c r="GI117" s="6">
        <v>11477.036143021669</v>
      </c>
      <c r="GJ117" s="14">
        <v>0.5107463060103955</v>
      </c>
      <c r="GK117" s="14">
        <v>0.5082951978616097</v>
      </c>
      <c r="GL117" s="14">
        <v>0.48925369398960439</v>
      </c>
      <c r="GM117" s="14">
        <v>0.49170480213839035</v>
      </c>
      <c r="GO117" s="5">
        <v>338.16872463277008</v>
      </c>
      <c r="GP117" s="5">
        <v>307.64377699166363</v>
      </c>
      <c r="GQ117" s="5">
        <v>527.27910984145694</v>
      </c>
      <c r="GR117" s="5">
        <v>404.20319246551543</v>
      </c>
      <c r="GS117" s="5">
        <v>334.50205195691484</v>
      </c>
      <c r="GT117" s="5">
        <v>289.18266033348181</v>
      </c>
      <c r="GU117" s="5">
        <v>254.29573314828914</v>
      </c>
      <c r="GV117" s="39" t="s">
        <v>392</v>
      </c>
      <c r="GW117" s="5">
        <v>468.76388888888891</v>
      </c>
      <c r="GX117" s="5">
        <v>351.57291666666669</v>
      </c>
      <c r="GY117" s="5">
        <v>281.25833333333333</v>
      </c>
      <c r="GZ117" s="5">
        <v>248.18079879493993</v>
      </c>
      <c r="HA117" s="5">
        <v>229.8919505212948</v>
      </c>
      <c r="HB117" s="39">
        <v>264.76293361772167</v>
      </c>
      <c r="HC117" s="5">
        <v>56.359375000000007</v>
      </c>
      <c r="HD117" s="5">
        <v>81.555464181286524</v>
      </c>
      <c r="HE117" s="5">
        <v>93.770930330634272</v>
      </c>
      <c r="HF117" s="5">
        <v>97.846299342105254</v>
      </c>
      <c r="HG117" s="5">
        <v>108.23410087719299</v>
      </c>
      <c r="HH117" s="39">
        <v>85.706364768795623</v>
      </c>
      <c r="HI117" s="16"/>
      <c r="HJ117" s="19" t="str">
        <f t="shared" si="107"/>
        <v>On</v>
      </c>
      <c r="HK117" s="1" t="str">
        <f t="shared" si="108"/>
        <v>On</v>
      </c>
      <c r="HL117" s="16"/>
      <c r="HM117" s="639">
        <f t="shared" si="42"/>
        <v>1.7699001661282989E-2</v>
      </c>
      <c r="HN117" s="639">
        <f t="shared" si="43"/>
        <v>1.0509929974846072E-3</v>
      </c>
      <c r="HO117" s="639">
        <f t="shared" si="44"/>
        <v>5.7398960259851091E-2</v>
      </c>
      <c r="HP117" s="644">
        <f>(FT117*$GD117-HM117)/$JF117*INDEX(Input!$1:$1048576,$JG$93,$C117*2+6)</f>
        <v>-3.7943091781998119</v>
      </c>
      <c r="HQ117" s="644">
        <f>(FU117*$GD117-HN117)/$JF117*INDEX(Input!$1:$1048576,$JG$93,$C117*2+6)</f>
        <v>-0.23125728305953647</v>
      </c>
      <c r="HR117" s="644">
        <f>(FV117*$GD117-HO117)/$JF117*INDEX(Input!$1:$1048576,$JG$93,$C117*2+6)</f>
        <v>108.6410620522542</v>
      </c>
      <c r="HS117" s="644">
        <f t="shared" si="45"/>
        <v>-0.13917966391394995</v>
      </c>
      <c r="HT117" s="644">
        <f t="shared" si="46"/>
        <v>8.5566663779365122</v>
      </c>
      <c r="HU117" s="644">
        <f t="shared" si="47"/>
        <v>34.211988020167944</v>
      </c>
      <c r="HV117" s="648">
        <f t="shared" si="48"/>
        <v>0</v>
      </c>
      <c r="HW117" s="648">
        <f t="shared" si="49"/>
        <v>0</v>
      </c>
      <c r="HX117" s="648">
        <f t="shared" si="50"/>
        <v>0</v>
      </c>
      <c r="HY117" s="644">
        <f>INDEX(Input!$1:$1048576,HY$93,$C117*2+6)*INDEX(Input!$1:$1048576,$JG$93,$C117*2+6)</f>
        <v>154.99999999999997</v>
      </c>
      <c r="HZ117" s="644">
        <f>INDEX(Input!$1:$1048576,HZ$93,$C117*2+6)*INDEX(Input!$1:$1048576,$JG$93,$C117*2+6)</f>
        <v>140</v>
      </c>
      <c r="IA117" s="644">
        <f>INDEX(Input!$1:$1048576,IA$93,$C117*2+6)*INDEX(Input!$1:$1048576,$JG$93,$C117*2+6)</f>
        <v>683</v>
      </c>
      <c r="IB117" s="644">
        <f t="shared" si="249"/>
        <v>151.06651115788634</v>
      </c>
      <c r="IC117" s="644">
        <f t="shared" si="172"/>
        <v>148.32540909487699</v>
      </c>
      <c r="ID117" s="644">
        <f>IF(AND(INDEX(Input!$1:$1048576,IA$93,$C117*2+7)="TOS",Y117&lt;=INDEX(Y:Y,MATCH(C117*1000+2,A:A))),0,1)*MAX(IA117+HR117+HU117+HX117,0%)</f>
        <v>825.85305007242221</v>
      </c>
      <c r="IE117" s="128">
        <f t="shared" si="250"/>
        <v>0.13425210966659953</v>
      </c>
      <c r="IF117" s="128">
        <f t="shared" si="174"/>
        <v>0.13181610494291951</v>
      </c>
      <c r="IG117" s="128">
        <f t="shared" si="175"/>
        <v>0.73393178539048098</v>
      </c>
      <c r="IH117" s="21"/>
      <c r="II117" s="19">
        <f t="shared" si="53"/>
        <v>1200</v>
      </c>
      <c r="IJ117" s="19">
        <f t="shared" si="54"/>
        <v>2231.5502763133163</v>
      </c>
      <c r="IK117" s="19">
        <f t="shared" si="55"/>
        <v>4498</v>
      </c>
      <c r="IL117" s="19">
        <f t="shared" si="176"/>
        <v>400</v>
      </c>
      <c r="IM117" s="19">
        <f t="shared" si="177"/>
        <v>400</v>
      </c>
      <c r="IN117" s="19">
        <f t="shared" si="178"/>
        <v>684.99999999999909</v>
      </c>
      <c r="IO117" s="39">
        <f t="shared" si="57"/>
        <v>0</v>
      </c>
      <c r="IP117" s="39">
        <f t="shared" si="58"/>
        <v>0</v>
      </c>
      <c r="IQ117" s="39">
        <f t="shared" si="59"/>
        <v>0</v>
      </c>
      <c r="IR117" s="39">
        <v>0</v>
      </c>
      <c r="IS117" s="39">
        <v>0</v>
      </c>
      <c r="IT117" s="39">
        <v>0</v>
      </c>
      <c r="IU117" s="39">
        <v>0</v>
      </c>
      <c r="IV117" s="39">
        <v>0</v>
      </c>
      <c r="IW117" s="39">
        <v>0</v>
      </c>
      <c r="IX117" s="39">
        <f>INDEX(Input!$1:$1048576,IX$93,$C117*2+6)+INDEX(Input!$1:$1048576,IX$94,$C117*2+6)</f>
        <v>1600</v>
      </c>
      <c r="IY117" s="39">
        <f>INDEX(Input!$1:$1048576,IY$93,$C117*2+6)+INDEX(Input!$1:$1048576,IY$94,$C117*2+6)</f>
        <v>2503.5492916397525</v>
      </c>
      <c r="IZ117" s="39">
        <f>INDEX(Input!$1:$1048576,IZ$93,$C117*2+6)+INDEX(Input!$1:$1048576,IZ$94,$C117*2+6)</f>
        <v>6273.7109265464023</v>
      </c>
      <c r="JA117" s="19">
        <f t="shared" si="179"/>
        <v>2000</v>
      </c>
      <c r="JB117" s="19">
        <f t="shared" si="180"/>
        <v>2903.5492916397525</v>
      </c>
      <c r="JC117" s="19">
        <f t="shared" si="181"/>
        <v>6958.7109265464014</v>
      </c>
      <c r="JD117" s="19">
        <f t="shared" si="182"/>
        <v>5758.4579118033726</v>
      </c>
      <c r="JE117" s="21"/>
      <c r="JF117" s="1">
        <f t="shared" si="60"/>
        <v>7.6148954918618686E-2</v>
      </c>
      <c r="JG117" s="15">
        <f>INDEX(Input!$1:$1048576,JG$93,$C117*2+6)/(1+VLOOKUP(C117*1000+INDEX(Input!$1:$1048576,JG$93+1,$C117*2+6),$A:$KK,$JK$92,FALSE))</f>
        <v>978</v>
      </c>
      <c r="JH117" s="1">
        <f t="shared" si="251"/>
        <v>0.10696880939774525</v>
      </c>
      <c r="JI117" s="1">
        <f t="shared" si="252"/>
        <v>4.3588419973609925E-2</v>
      </c>
      <c r="JJ117" s="1">
        <f t="shared" si="253"/>
        <v>0</v>
      </c>
      <c r="JK117" s="1">
        <f t="shared" si="254"/>
        <v>0.15055722937135518</v>
      </c>
      <c r="JL117" s="15">
        <f t="shared" si="184"/>
        <v>147.24497032518536</v>
      </c>
      <c r="JM117" s="15">
        <f t="shared" si="185"/>
        <v>1125.2449703251855</v>
      </c>
      <c r="JN117" s="21"/>
      <c r="JO117" s="19">
        <f>INDEX(Input!$1:$1048576,JO$93,$C117*2+6)</f>
        <v>5908.5</v>
      </c>
      <c r="JP117" s="19">
        <f>INDEX(Input!$1:$1048576,JP$93,$C117*2+6)</f>
        <v>4993.2939301234746</v>
      </c>
      <c r="JQ117" s="39">
        <f t="shared" si="186"/>
        <v>150.04208819662745</v>
      </c>
      <c r="JR117" s="39">
        <f t="shared" si="187"/>
        <v>765.16398167989792</v>
      </c>
      <c r="JS117" s="39">
        <f t="shared" si="188"/>
        <v>6.4796758020860148</v>
      </c>
      <c r="JT117" s="39">
        <f t="shared" si="189"/>
        <v>1.5962343384252573</v>
      </c>
      <c r="JU117" s="385">
        <f>(JQ117*JM117-INDEX(Input!$1:$1048576,Input!A$18,$C117*2+6)*JL117*INDEX(Input!$1:$1048576,Input!A$19,$C117*2+6))/1000000</f>
        <v>0.16883410508034291</v>
      </c>
      <c r="JV117" s="39">
        <f t="shared" si="192"/>
        <v>-0.72623743125889884</v>
      </c>
      <c r="JW117" s="1">
        <f t="shared" si="190"/>
        <v>-0.81137361850332268</v>
      </c>
      <c r="JX117" s="19">
        <f t="shared" si="191"/>
        <v>10840.671398826253</v>
      </c>
      <c r="JZ117" s="341"/>
      <c r="KA117" s="342"/>
      <c r="KB117" s="469">
        <f t="shared" si="110"/>
        <v>3.2656316020464753</v>
      </c>
      <c r="KI117" s="473">
        <f t="shared" si="255"/>
        <v>-3.9334888421136327</v>
      </c>
      <c r="KJ117" s="473">
        <f t="shared" si="256"/>
        <v>8.3254090948769885</v>
      </c>
      <c r="KK117" s="473">
        <f t="shared" si="257"/>
        <v>142.85305007242221</v>
      </c>
      <c r="KN117" s="544">
        <f t="shared" si="258"/>
        <v>1002</v>
      </c>
      <c r="KO117" s="541">
        <f t="shared" si="64"/>
        <v>6.3448534145597479E-2</v>
      </c>
      <c r="KP117" s="546">
        <f t="shared" si="65"/>
        <v>264.21544274057328</v>
      </c>
      <c r="KQ117" s="546">
        <f t="shared" si="66"/>
        <v>404.00401182793212</v>
      </c>
      <c r="KR117" s="548">
        <f t="shared" si="67"/>
        <v>3.4437299328764768</v>
      </c>
      <c r="KS117" s="548">
        <f t="shared" si="68"/>
        <v>2.2521722613028148</v>
      </c>
      <c r="KT117" s="473">
        <f t="shared" si="112"/>
        <v>-82.310573396665475</v>
      </c>
      <c r="KU117" s="663">
        <f t="shared" si="103"/>
        <v>-50.176588458404808</v>
      </c>
      <c r="KV117" s="117">
        <f t="shared" si="259"/>
        <v>5</v>
      </c>
    </row>
    <row r="118" spans="1:308" s="26" customFormat="1" ht="15">
      <c r="A118" s="561">
        <f t="shared" si="168"/>
        <v>1018</v>
      </c>
      <c r="B118" s="561">
        <f t="shared" si="104"/>
        <v>18</v>
      </c>
      <c r="C118" s="561">
        <f t="shared" si="105"/>
        <v>1</v>
      </c>
      <c r="D118" s="561" t="str">
        <f t="shared" si="141"/>
        <v xml:space="preserve">720 Lease, </v>
      </c>
      <c r="E118" s="115">
        <f>INDEX(Input!$1:$1048576,E$93,$C118*2+MIN($B118,2)+5)</f>
        <v>1250</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1.9E-2</v>
      </c>
      <c r="W118" s="862">
        <f>INDEX(Input!$1:$1048576,W$93,$C118*2+MIN($B118,2)+5)</f>
        <v>3.9E-2</v>
      </c>
      <c r="X118" s="118" t="str">
        <f>INDEX(Input!$1:$1048576,X$93,$C118*2+MIN($B118,2)+5)</f>
        <v>Y</v>
      </c>
      <c r="Y118" s="475">
        <f>INDEX(Input!$1:$1048576,Y$93,$C118*2+MIN($B118,2)+5)+720</f>
        <v>3546</v>
      </c>
      <c r="Z118" s="30">
        <f>INDEX(Input!$1:$1048576,Z$93,$C118*2+MIN($B118,2)+5)</f>
        <v>0</v>
      </c>
      <c r="AA118" s="115">
        <f>INDEX(Input!$1:$1048576,AA$93,$C118*2+MIN($B118,2)+5)</f>
        <v>0</v>
      </c>
      <c r="AB118" s="118">
        <f>INDEX(Input!$1:$1048576,AB$93,$C118*2+MIN($B118,2)+5)</f>
        <v>1</v>
      </c>
      <c r="AC118" s="115">
        <f>INDEX(Input!$1:$1048576,AC$93,$C118*2+MIN($B118,2)+5)</f>
        <v>0</v>
      </c>
      <c r="AD118" s="118">
        <f>INDEX(Input!$1:$1048576,AD$93,$C118*2+MIN($B118,2)+5)</f>
        <v>0.35</v>
      </c>
      <c r="AE118" s="115">
        <f>INDEX(Input!$1:$1048576,AE$93,$C118*2+MIN($B118,2)+5)</f>
        <v>0</v>
      </c>
      <c r="AF118" s="118">
        <f>INDEX(Input!$1:$1048576,AF$93,$C118*2+MIN($B118,2)+5)</f>
        <v>1</v>
      </c>
      <c r="AG118" s="115">
        <f>INDEX(Input!$1:$1048576,AG$93,$C118*2+MIN($B118,2)+5)</f>
        <v>0</v>
      </c>
      <c r="AH118" s="118">
        <f>INDEX(Input!$1:$1048576,AH$93,$C118*2+MIN($B118,2)+5)</f>
        <v>1</v>
      </c>
      <c r="AI118" s="115">
        <f>INDEX(Input!$1:$1048576,AI$93,$C118*2+MIN($B118,2)+5)</f>
        <v>0</v>
      </c>
      <c r="AJ118" s="118">
        <f>INDEX(Input!$1:$1048576,AJ$93,$C118*2+MIN($B118,2)+5)</f>
        <v>0.35</v>
      </c>
      <c r="AK118" s="150">
        <f>ROUND(INDEX(Input!$1:$1048576,AK$93,$C117*2+MIN($B118,1)+5)+(Y118-VLOOKUP($C118*1000+1,$A:$HH,Y$92,FALSE)),0)</f>
        <v>6202</v>
      </c>
      <c r="AL118" s="150">
        <f>ROUND(INDEX(Input!$1:$1048576,AL$93,$C117*2+MIN($B118,1)+5)-(Y118-VLOOKUP($C118*1000+1,$A:$HH,Y$92,FALSE))/36,0)</f>
        <v>5582</v>
      </c>
      <c r="AM118" s="32" t="str">
        <f t="shared" si="169"/>
        <v>std/std/std/std</v>
      </c>
      <c r="AN118" s="32" t="str">
        <f t="shared" si="170"/>
        <v>$0 + 0/0/0/1.9/3.9</v>
      </c>
      <c r="AO118" s="32" t="str">
        <f t="shared" si="171"/>
        <v>0/0/0/1.9/3.9</v>
      </c>
      <c r="AP118" s="32" t="str">
        <f t="shared" si="73"/>
        <v>0/0.9/1.9/3.9</v>
      </c>
      <c r="AQ118" s="536">
        <f t="shared" si="39"/>
        <v>0.11310262580769648</v>
      </c>
      <c r="AR118" s="32"/>
      <c r="AS118" s="302"/>
      <c r="AT118" s="3">
        <f t="shared" si="106"/>
        <v>18</v>
      </c>
      <c r="AU118" s="41" t="s">
        <v>121</v>
      </c>
      <c r="AV118" s="41" t="s">
        <v>116</v>
      </c>
      <c r="AW118" s="41" t="str">
        <f>INDEX(Input!$1:$1048576,AW$93,$C118*2+6)</f>
        <v>Kia</v>
      </c>
      <c r="AX118" s="41" t="str">
        <f>INDEX(Input!$1:$1048576,AX$93,$C118*2+6)</f>
        <v>Kia-LR - L1</v>
      </c>
      <c r="AY118" s="41" t="str">
        <f>IF(LEN(D118)=0,"",INDEX(Input!$1:$1048576,AY$93,$C118*2+6))</f>
        <v>Compact Conventional/Sporty Car (43)</v>
      </c>
      <c r="AZ118" s="41" t="str">
        <f>INDEX(Input!$1:$1048576,AZ$93,$C118*2+6)</f>
        <v>Kia Forte</v>
      </c>
      <c r="BA118" s="3">
        <f>INDEX(Input!$1:$1048576,BA$93,$C118*2+6)</f>
        <v>2020</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19695</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4"/>
        <v>1250</v>
      </c>
      <c r="CJ118" s="16" t="str">
        <f>INDEX(Input!$1:$1048576,CJ$93,$C118*2+6)</f>
        <v>N</v>
      </c>
      <c r="CK118" s="1" t="str">
        <f t="shared" si="75"/>
        <v>Market</v>
      </c>
      <c r="CL118" s="1" t="str">
        <f t="shared" si="76"/>
        <v>Market</v>
      </c>
      <c r="CM118" s="1" t="str">
        <f t="shared" si="77"/>
        <v>Market</v>
      </c>
      <c r="CN118" s="1" t="str">
        <f t="shared" si="78"/>
        <v>Market</v>
      </c>
      <c r="CO118" s="1" t="str">
        <f t="shared" si="79"/>
        <v>Market</v>
      </c>
      <c r="CP118" s="304">
        <f t="shared" si="80"/>
        <v>0</v>
      </c>
      <c r="CQ118" s="1">
        <f t="shared" si="81"/>
        <v>0</v>
      </c>
      <c r="CR118" s="1">
        <f t="shared" si="82"/>
        <v>0</v>
      </c>
      <c r="CS118" s="1">
        <f t="shared" si="83"/>
        <v>0</v>
      </c>
      <c r="CT118" s="1">
        <f t="shared" si="84"/>
        <v>1.9E-2</v>
      </c>
      <c r="CU118" s="1">
        <f t="shared" si="85"/>
        <v>3.9E-2</v>
      </c>
      <c r="CV118" s="304">
        <f t="shared" si="86"/>
        <v>3546</v>
      </c>
      <c r="CW118" s="20" t="s">
        <v>122</v>
      </c>
      <c r="CX118" s="20" t="s">
        <v>122</v>
      </c>
      <c r="CY118" s="20" t="s">
        <v>122</v>
      </c>
      <c r="CZ118" s="20" t="s">
        <v>122</v>
      </c>
      <c r="DA118" s="20" t="s">
        <v>122</v>
      </c>
      <c r="DB118" s="503">
        <f t="shared" si="87"/>
        <v>0</v>
      </c>
      <c r="DC118" s="127">
        <v>0</v>
      </c>
      <c r="DD118" s="127">
        <v>0</v>
      </c>
      <c r="DE118" s="127">
        <v>0</v>
      </c>
      <c r="DF118" s="127">
        <v>0</v>
      </c>
      <c r="DG118" s="127">
        <v>0</v>
      </c>
      <c r="DH118" s="127">
        <v>0</v>
      </c>
      <c r="DI118" s="127">
        <v>0</v>
      </c>
      <c r="DJ118" s="127">
        <v>0</v>
      </c>
      <c r="DK118" s="127">
        <v>0</v>
      </c>
      <c r="DL118" s="127">
        <v>0</v>
      </c>
      <c r="DM118" s="304">
        <f>INDEX(Input!$1:$1048576,DM$93,$C118*2+6)</f>
        <v>20731.578947368424</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1.0965836366857216E-2</v>
      </c>
      <c r="DZ118" s="7">
        <v>0</v>
      </c>
      <c r="EA118" s="7">
        <v>0.1715853989024918</v>
      </c>
      <c r="EB118" s="7">
        <v>0</v>
      </c>
      <c r="EC118" s="7">
        <v>0</v>
      </c>
      <c r="ED118" s="7">
        <v>0</v>
      </c>
      <c r="EE118" s="7">
        <v>0</v>
      </c>
      <c r="EF118" s="7">
        <v>0</v>
      </c>
      <c r="EG118" s="7">
        <v>0</v>
      </c>
      <c r="EH118" s="7">
        <v>1.9867163211649864E-2</v>
      </c>
      <c r="EI118" s="7">
        <v>3.5734944822064241E-2</v>
      </c>
      <c r="EJ118" s="7">
        <v>0.28104141462213045</v>
      </c>
      <c r="EK118" s="7">
        <v>0.62010092925970739</v>
      </c>
      <c r="EL118" s="7">
        <v>4.3255548084448148E-2</v>
      </c>
      <c r="EM118" s="7">
        <v>1.0835307547992735E-2</v>
      </c>
      <c r="EN118" s="7">
        <v>6.0747828296114421E-2</v>
      </c>
      <c r="EO118" s="7">
        <v>0.53930344106078731</v>
      </c>
      <c r="EP118" s="7">
        <v>0.31536507596782881</v>
      </c>
      <c r="EQ118" s="7">
        <v>4.9197464135323027E-2</v>
      </c>
      <c r="ER118" s="7">
        <v>3.5386190539946683E-2</v>
      </c>
      <c r="ES118" s="7">
        <v>0.8066134571826582</v>
      </c>
      <c r="ET118" s="7">
        <v>0.81744876473065098</v>
      </c>
      <c r="EU118" s="6">
        <v>1600</v>
      </c>
      <c r="EV118" s="6">
        <v>0</v>
      </c>
      <c r="EW118" s="6">
        <v>1600</v>
      </c>
      <c r="EX118" s="6">
        <v>0</v>
      </c>
      <c r="EY118" s="6">
        <v>2631.5502763133168</v>
      </c>
      <c r="EZ118" s="6">
        <v>5542.9999999999991</v>
      </c>
      <c r="FA118" s="6">
        <v>0</v>
      </c>
      <c r="FB118" s="6">
        <v>0</v>
      </c>
      <c r="FC118" s="6">
        <v>0</v>
      </c>
      <c r="FD118" s="6">
        <v>0</v>
      </c>
      <c r="FE118" s="6">
        <v>0</v>
      </c>
      <c r="FF118" s="6">
        <v>0</v>
      </c>
      <c r="FG118" s="6">
        <v>0</v>
      </c>
      <c r="FH118" s="6">
        <v>1152.1208270377817</v>
      </c>
      <c r="FI118" s="6">
        <v>1531.4299904380621</v>
      </c>
      <c r="FJ118" s="6">
        <v>2070.7205842538215</v>
      </c>
      <c r="FK118" s="6">
        <v>1746.9903521590438</v>
      </c>
      <c r="FL118" s="6">
        <v>893.91433563489397</v>
      </c>
      <c r="FM118" s="6">
        <v>1781.5502763133168</v>
      </c>
      <c r="FN118" s="6">
        <v>0</v>
      </c>
      <c r="FO118" s="6">
        <v>0</v>
      </c>
      <c r="FP118" s="6">
        <v>0</v>
      </c>
      <c r="FQ118" s="6">
        <v>0</v>
      </c>
      <c r="FR118" s="6">
        <v>0</v>
      </c>
      <c r="FS118" s="6">
        <v>0</v>
      </c>
      <c r="FT118" s="7">
        <v>0.18255123526934902</v>
      </c>
      <c r="FU118" s="7">
        <v>1.0835307547992735E-2</v>
      </c>
      <c r="FV118" s="7">
        <v>0.8066134571826582</v>
      </c>
      <c r="FW118" s="6">
        <v>1600</v>
      </c>
      <c r="FX118" s="6">
        <v>2631.5502763133168</v>
      </c>
      <c r="FY118" s="6">
        <v>5542.9999999999991</v>
      </c>
      <c r="FZ118" s="6">
        <v>3077.4375890575293</v>
      </c>
      <c r="GA118" s="6">
        <v>4791.6540261662922</v>
      </c>
      <c r="GB118" s="6">
        <v>14903.345973833708</v>
      </c>
      <c r="GC118" s="7">
        <v>7.0901643973087014E-2</v>
      </c>
      <c r="GD118" s="7">
        <v>8.8733820530781757E-2</v>
      </c>
      <c r="GE118" s="7"/>
      <c r="GF118" s="7"/>
      <c r="GG118" s="7">
        <v>0.25150582635944968</v>
      </c>
      <c r="GH118" s="42">
        <v>2.8896043363718369</v>
      </c>
      <c r="GI118" s="6">
        <v>11607.466056933412</v>
      </c>
      <c r="GJ118" s="14">
        <v>0.51074630601039539</v>
      </c>
      <c r="GK118" s="14">
        <v>0.50829519786160948</v>
      </c>
      <c r="GL118" s="14">
        <v>0.48925369398960417</v>
      </c>
      <c r="GM118" s="14">
        <v>0.49170480213839024</v>
      </c>
      <c r="GO118" s="5">
        <v>338.16872463277008</v>
      </c>
      <c r="GP118" s="5">
        <v>307.64377699166363</v>
      </c>
      <c r="GQ118" s="5">
        <v>527.27910984145694</v>
      </c>
      <c r="GR118" s="5">
        <v>404.20319246551543</v>
      </c>
      <c r="GS118" s="5">
        <v>334.50205195691484</v>
      </c>
      <c r="GT118" s="5">
        <v>289.18266033348181</v>
      </c>
      <c r="GU118" s="5">
        <v>254.29573314828914</v>
      </c>
      <c r="GV118" s="39" t="s">
        <v>392</v>
      </c>
      <c r="GW118" s="5">
        <v>468.76388888888891</v>
      </c>
      <c r="GX118" s="5">
        <v>351.57291666666669</v>
      </c>
      <c r="GY118" s="5">
        <v>281.25833333333333</v>
      </c>
      <c r="GZ118" s="5">
        <v>248.18079879493993</v>
      </c>
      <c r="HA118" s="5">
        <v>229.8919505212948</v>
      </c>
      <c r="HB118" s="39">
        <v>264.76293361772167</v>
      </c>
      <c r="HC118" s="5">
        <v>40.609375000000007</v>
      </c>
      <c r="HD118" s="5">
        <v>70.805464181286524</v>
      </c>
      <c r="HE118" s="5">
        <v>83.790161099865031</v>
      </c>
      <c r="HF118" s="5">
        <v>89.521299342105266</v>
      </c>
      <c r="HG118" s="5">
        <v>101.33410087719298</v>
      </c>
      <c r="HH118" s="39">
        <v>75.067101054767491</v>
      </c>
      <c r="HI118" s="16"/>
      <c r="HJ118" s="19" t="str">
        <f t="shared" si="107"/>
        <v>On</v>
      </c>
      <c r="HK118" s="1" t="str">
        <f t="shared" si="108"/>
        <v>On</v>
      </c>
      <c r="HL118" s="16"/>
      <c r="HM118" s="639">
        <f t="shared" si="42"/>
        <v>1.7699001661282989E-2</v>
      </c>
      <c r="HN118" s="639">
        <f t="shared" si="43"/>
        <v>1.0509929974846072E-3</v>
      </c>
      <c r="HO118" s="639">
        <f t="shared" si="44"/>
        <v>5.7398960259851091E-2</v>
      </c>
      <c r="HP118" s="644">
        <f>(FT118*$GD118-HM118)/$JF118*INDEX(Input!$1:$1048576,$JG$93,$C118*2+6)</f>
        <v>-19.271720620428386</v>
      </c>
      <c r="HQ118" s="644">
        <f>(FU118*$GD118-HN118)/$JF118*INDEX(Input!$1:$1048576,$JG$93,$C118*2+6)</f>
        <v>-1.1499172569344178</v>
      </c>
      <c r="HR118" s="644">
        <f>(FV118*$GD118-HO118)/$JF118*INDEX(Input!$1:$1048576,$JG$93,$C118*2+6)</f>
        <v>182.05220236572887</v>
      </c>
      <c r="HS118" s="644">
        <f t="shared" si="45"/>
        <v>-0.13917966391395012</v>
      </c>
      <c r="HT118" s="644">
        <f t="shared" si="46"/>
        <v>8.5566663779365264</v>
      </c>
      <c r="HU118" s="644">
        <f t="shared" si="47"/>
        <v>50.7667309247201</v>
      </c>
      <c r="HV118" s="648">
        <f t="shared" si="48"/>
        <v>0</v>
      </c>
      <c r="HW118" s="648">
        <f t="shared" si="49"/>
        <v>0</v>
      </c>
      <c r="HX118" s="648">
        <f t="shared" si="50"/>
        <v>0</v>
      </c>
      <c r="HY118" s="644">
        <f>INDEX(Input!$1:$1048576,HY$93,$C118*2+6)*INDEX(Input!$1:$1048576,$JG$93,$C118*2+6)</f>
        <v>154.99999999999997</v>
      </c>
      <c r="HZ118" s="644">
        <f>INDEX(Input!$1:$1048576,HZ$93,$C118*2+6)*INDEX(Input!$1:$1048576,$JG$93,$C118*2+6)</f>
        <v>140</v>
      </c>
      <c r="IA118" s="644">
        <f>INDEX(Input!$1:$1048576,IA$93,$C118*2+6)*INDEX(Input!$1:$1048576,$JG$93,$C118*2+6)</f>
        <v>683</v>
      </c>
      <c r="IB118" s="644">
        <f t="shared" si="249"/>
        <v>135.58909971565754</v>
      </c>
      <c r="IC118" s="644">
        <f t="shared" si="172"/>
        <v>147.40674912100209</v>
      </c>
      <c r="ID118" s="644">
        <f>IF(AND(INDEX(Input!$1:$1048576,IA$93,$C118*2+7)="TOS",Y118&lt;=INDEX(Y:Y,MATCH(C118*1000+2,A:A))),0,1)*MAX(IA118+HR118+HU118+HX118,0%)</f>
        <v>915.81893329044897</v>
      </c>
      <c r="IE118" s="128">
        <f t="shared" si="250"/>
        <v>0.11310262580769648</v>
      </c>
      <c r="IF118" s="128">
        <f t="shared" si="174"/>
        <v>0.1229604033238996</v>
      </c>
      <c r="IG118" s="128">
        <f t="shared" si="175"/>
        <v>0.76393697086840395</v>
      </c>
      <c r="IH118" s="21"/>
      <c r="II118" s="19">
        <f t="shared" si="53"/>
        <v>1200</v>
      </c>
      <c r="IJ118" s="19">
        <f t="shared" si="54"/>
        <v>2231.5502763133163</v>
      </c>
      <c r="IK118" s="19">
        <f t="shared" si="55"/>
        <v>4498</v>
      </c>
      <c r="IL118" s="19">
        <f t="shared" si="176"/>
        <v>400</v>
      </c>
      <c r="IM118" s="19">
        <f t="shared" si="177"/>
        <v>400.00000000000045</v>
      </c>
      <c r="IN118" s="19">
        <f t="shared" si="178"/>
        <v>1044.9999999999991</v>
      </c>
      <c r="IO118" s="39">
        <f t="shared" si="57"/>
        <v>0</v>
      </c>
      <c r="IP118" s="39">
        <f t="shared" si="58"/>
        <v>0</v>
      </c>
      <c r="IQ118" s="39">
        <f t="shared" si="59"/>
        <v>0</v>
      </c>
      <c r="IR118" s="39">
        <v>0</v>
      </c>
      <c r="IS118" s="39">
        <v>0</v>
      </c>
      <c r="IT118" s="39">
        <v>0</v>
      </c>
      <c r="IU118" s="39">
        <v>0</v>
      </c>
      <c r="IV118" s="39">
        <v>0</v>
      </c>
      <c r="IW118" s="39">
        <v>0</v>
      </c>
      <c r="IX118" s="39">
        <f>INDEX(Input!$1:$1048576,IX$93,$C118*2+6)+INDEX(Input!$1:$1048576,IX$94,$C118*2+6)</f>
        <v>1600</v>
      </c>
      <c r="IY118" s="39">
        <f>INDEX(Input!$1:$1048576,IY$93,$C118*2+6)+INDEX(Input!$1:$1048576,IY$94,$C118*2+6)</f>
        <v>2503.5492916397525</v>
      </c>
      <c r="IZ118" s="39">
        <f>INDEX(Input!$1:$1048576,IZ$93,$C118*2+6)+INDEX(Input!$1:$1048576,IZ$94,$C118*2+6)</f>
        <v>6273.7109265464023</v>
      </c>
      <c r="JA118" s="19">
        <f t="shared" si="179"/>
        <v>2000</v>
      </c>
      <c r="JB118" s="19">
        <f t="shared" si="180"/>
        <v>2903.5492916397529</v>
      </c>
      <c r="JC118" s="19">
        <f t="shared" si="181"/>
        <v>7318.7109265464014</v>
      </c>
      <c r="JD118" s="19">
        <f t="shared" si="182"/>
        <v>6174.2606994735879</v>
      </c>
      <c r="JE118" s="21"/>
      <c r="JF118" s="1">
        <f t="shared" si="60"/>
        <v>7.6148954918618686E-2</v>
      </c>
      <c r="JG118" s="15">
        <f>INDEX(Input!$1:$1048576,JG$93,$C118*2+6)/(1+VLOOKUP(C118*1000+INDEX(Input!$1:$1048576,JG$93+1,$C118*2+6),$A:$KK,$JK$92,FALSE))</f>
        <v>978</v>
      </c>
      <c r="JH118" s="1">
        <f t="shared" si="251"/>
        <v>0.16526642585722504</v>
      </c>
      <c r="JI118" s="1">
        <f t="shared" si="252"/>
        <v>6.0515559957814602E-2</v>
      </c>
      <c r="JJ118" s="1">
        <f t="shared" si="253"/>
        <v>0</v>
      </c>
      <c r="JK118" s="1">
        <f t="shared" si="254"/>
        <v>0.22578198581503964</v>
      </c>
      <c r="JL118" s="15">
        <f t="shared" si="184"/>
        <v>220.81478212710877</v>
      </c>
      <c r="JM118" s="15">
        <f t="shared" si="185"/>
        <v>1198.8147821271089</v>
      </c>
      <c r="JN118" s="21"/>
      <c r="JO118" s="19">
        <f>INDEX(Input!$1:$1048576,JO$93,$C118*2+6)</f>
        <v>5908.5</v>
      </c>
      <c r="JP118" s="19">
        <f>INDEX(Input!$1:$1048576,JP$93,$C118*2+6)</f>
        <v>4993.2939301234746</v>
      </c>
      <c r="JQ118" s="39">
        <f t="shared" si="186"/>
        <v>-265.76069947358792</v>
      </c>
      <c r="JR118" s="39">
        <f t="shared" si="187"/>
        <v>1180.9667693501133</v>
      </c>
      <c r="JS118" s="39">
        <f t="shared" si="188"/>
        <v>7.4017949952354005</v>
      </c>
      <c r="JT118" s="39">
        <f t="shared" si="189"/>
        <v>2.5183535315746424</v>
      </c>
      <c r="JU118" s="385">
        <f>(JQ118*JM118-INDEX(Input!$1:$1048576,Input!A$18,$C118*2+6)*JL118*INDEX(Input!$1:$1048576,Input!A$19,$C118*2+6))/1000000</f>
        <v>-0.31859785503737731</v>
      </c>
      <c r="JV118" s="39">
        <f t="shared" si="192"/>
        <v>-1.213669391376619</v>
      </c>
      <c r="JW118" s="1">
        <f t="shared" si="190"/>
        <v>-1.3559468065987359</v>
      </c>
      <c r="JX118" s="19">
        <f t="shared" si="191"/>
        <v>11404.823116076483</v>
      </c>
      <c r="JZ118" s="341"/>
      <c r="KA118" s="342"/>
      <c r="KB118" s="469">
        <f t="shared" si="110"/>
        <v>3.2656316020464753</v>
      </c>
      <c r="KI118" s="473">
        <f t="shared" si="255"/>
        <v>-19.410900284342404</v>
      </c>
      <c r="KJ118" s="473">
        <f t="shared" si="256"/>
        <v>7.4067491210021217</v>
      </c>
      <c r="KK118" s="473">
        <f t="shared" si="257"/>
        <v>232.81893329044919</v>
      </c>
      <c r="KN118" s="544">
        <f t="shared" si="258"/>
        <v>1002</v>
      </c>
      <c r="KO118" s="541">
        <f t="shared" si="64"/>
        <v>0.13297802379576029</v>
      </c>
      <c r="KP118" s="546">
        <f t="shared" si="65"/>
        <v>550.034619025251</v>
      </c>
      <c r="KQ118" s="546">
        <f t="shared" si="66"/>
        <v>819.80679949814748</v>
      </c>
      <c r="KR118" s="548">
        <f t="shared" si="67"/>
        <v>3.4670135561880295</v>
      </c>
      <c r="KS118" s="548">
        <f t="shared" si="68"/>
        <v>2.326130353762176</v>
      </c>
      <c r="KT118" s="473">
        <f t="shared" si="112"/>
        <v>-82.310573396665475</v>
      </c>
      <c r="KU118" s="663">
        <f t="shared" si="103"/>
        <v>-49.648583714876558</v>
      </c>
      <c r="KV118" s="117">
        <f t="shared" si="259"/>
        <v>2</v>
      </c>
    </row>
    <row r="119" spans="1:308" s="26" customFormat="1" ht="15">
      <c r="A119" s="561">
        <f t="shared" si="168"/>
        <v>1019</v>
      </c>
      <c r="B119" s="561">
        <f t="shared" si="104"/>
        <v>19</v>
      </c>
      <c r="C119" s="561">
        <f t="shared" si="105"/>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v>
      </c>
      <c r="E119" s="475">
        <f>INDEX(Input!$1:$1048576,E$93,$C119*2+MIN($B119,2)+5)</f>
        <v>1250</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1.9E-2</v>
      </c>
      <c r="W119" s="863">
        <f>IFERROR(MAX(0,INDEX(Input!$1:$1048576,W$93,$C119*2+MIN($B119,2)+5)-0%,),"Market")</f>
        <v>3.9E-2</v>
      </c>
      <c r="X119" s="476" t="str">
        <f>INDEX(Input!$1:$1048576,X$93,$C119*2+MIN($B119,2)+5)</f>
        <v>Y</v>
      </c>
      <c r="Y119" s="475">
        <f>INDEX(Input!$1:$1048576,Y$93,$C119*2+MIN($B119,2)+5)</f>
        <v>2826</v>
      </c>
      <c r="Z119" s="477">
        <f>INDEX(Input!$1:$1048576,Z$93,$C119*2+MIN($B119,2)+5)</f>
        <v>0</v>
      </c>
      <c r="AA119" s="475">
        <f>INDEX(Input!$1:$1048576,AA$93,$C119*2+MIN($B119,2)+5)</f>
        <v>0</v>
      </c>
      <c r="AB119" s="476">
        <f>INDEX(Input!$1:$1048576,AB$93,$C119*2+MIN($B119,2)+5)</f>
        <v>1</v>
      </c>
      <c r="AC119" s="475">
        <f>INDEX(Input!$1:$1048576,AC$93,$C119*2+MIN($B119,2)+5)-AC$102</f>
        <v>0</v>
      </c>
      <c r="AD119" s="476">
        <f>INDEX(Input!$1:$1048576,AD$93,$C119*2+MIN($B119,2)+5)</f>
        <v>0.35</v>
      </c>
      <c r="AE119" s="475">
        <f>INDEX(Input!$1:$1048576,AE$93,$C119*2+MIN($B119,2)+5)-AE$102</f>
        <v>0</v>
      </c>
      <c r="AF119" s="476">
        <f>INDEX(Input!$1:$1048576,AF$93,$C119*2+MIN($B119,2)+5)</f>
        <v>1</v>
      </c>
      <c r="AG119" s="475">
        <f>INDEX(Input!$1:$1048576,AG$93,$C119*2+MIN($B119,2)+5)</f>
        <v>0</v>
      </c>
      <c r="AH119" s="476">
        <f>INDEX(Input!$1:$1048576,AH$93,$C119*2+MIN($B119,2)+5)</f>
        <v>1</v>
      </c>
      <c r="AI119" s="475">
        <f>INDEX(Input!$1:$1048576,AI$93,$C119*2+MIN($B119,2)+5)-AI$102</f>
        <v>0</v>
      </c>
      <c r="AJ119" s="476">
        <f>INDEX(Input!$1:$1048576,AJ$93,$C119*2+MIN($B119,2)+5)</f>
        <v>0.35</v>
      </c>
      <c r="AK119" s="150">
        <f>ROUND(INDEX(Input!$1:$1048576,AK$93,$C118*2+MIN($B119,1)+5)+(Y119-VLOOKUP($C119*1000+1,$A:$HH,Y$92,FALSE)),0)</f>
        <v>5482</v>
      </c>
      <c r="AL119" s="150">
        <f>ROUND(INDEX(Input!$1:$1048576,AL$93,$C118*2+MIN($B119,1)+5)-(Y119-VLOOKUP($C119*1000+1,$A:$HH,Y$92,FALSE))/36,0)</f>
        <v>5602</v>
      </c>
      <c r="AM119" s="32" t="str">
        <f t="shared" si="169"/>
        <v>std/std/std/std</v>
      </c>
      <c r="AN119" s="32" t="str">
        <f t="shared" si="170"/>
        <v>$0 + 0/0/0/1.9/3.9</v>
      </c>
      <c r="AO119" s="32" t="str">
        <f t="shared" si="171"/>
        <v>0/0/0/1.9/3.9</v>
      </c>
      <c r="AP119" s="32" t="str">
        <f t="shared" si="73"/>
        <v>0/0.9/1.9/3.9</v>
      </c>
      <c r="AQ119" s="536">
        <f t="shared" si="39"/>
        <v>0.15116584827741619</v>
      </c>
      <c r="AR119" s="32"/>
      <c r="AS119" s="302"/>
      <c r="AT119" s="3">
        <f t="shared" si="106"/>
        <v>19</v>
      </c>
      <c r="AU119" s="41" t="s">
        <v>121</v>
      </c>
      <c r="AV119" s="41" t="s">
        <v>116</v>
      </c>
      <c r="AW119" s="41" t="str">
        <f>INDEX(Input!$1:$1048576,AW$93,$C119*2+6)</f>
        <v>Kia</v>
      </c>
      <c r="AX119" s="41" t="str">
        <f>INDEX(Input!$1:$1048576,AX$93,$C119*2+6)</f>
        <v>Kia-LR - L1</v>
      </c>
      <c r="AY119" s="41" t="str">
        <f>IF(LEN(D119)=0,"",INDEX(Input!$1:$1048576,AY$93,$C119*2+6))</f>
        <v>Compact Conventional/Sporty Car (43)</v>
      </c>
      <c r="AZ119" s="41" t="str">
        <f>INDEX(Input!$1:$1048576,AZ$93,$C119*2+6)</f>
        <v>Kia Forte</v>
      </c>
      <c r="BA119" s="3">
        <f>INDEX(Input!$1:$1048576,BA$93,$C119*2+6)</f>
        <v>2020</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19695</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4"/>
        <v>1250</v>
      </c>
      <c r="CJ119" s="16" t="str">
        <f>INDEX(Input!$1:$1048576,CJ$93,$C119*2+6)</f>
        <v>N</v>
      </c>
      <c r="CK119" s="1" t="str">
        <f t="shared" si="75"/>
        <v>Market</v>
      </c>
      <c r="CL119" s="1" t="str">
        <f t="shared" si="76"/>
        <v>Market</v>
      </c>
      <c r="CM119" s="1" t="str">
        <f t="shared" si="77"/>
        <v>Market</v>
      </c>
      <c r="CN119" s="1" t="str">
        <f t="shared" si="78"/>
        <v>Market</v>
      </c>
      <c r="CO119" s="1" t="str">
        <f t="shared" si="79"/>
        <v>Market</v>
      </c>
      <c r="CP119" s="304">
        <f t="shared" si="80"/>
        <v>0</v>
      </c>
      <c r="CQ119" s="1">
        <f t="shared" si="81"/>
        <v>0</v>
      </c>
      <c r="CR119" s="1">
        <f t="shared" si="82"/>
        <v>0</v>
      </c>
      <c r="CS119" s="1">
        <f t="shared" si="83"/>
        <v>0</v>
      </c>
      <c r="CT119" s="1">
        <f t="shared" si="84"/>
        <v>1.9E-2</v>
      </c>
      <c r="CU119" s="1">
        <f t="shared" si="85"/>
        <v>3.9E-2</v>
      </c>
      <c r="CV119" s="304">
        <f t="shared" si="86"/>
        <v>2826</v>
      </c>
      <c r="CW119" s="20" t="s">
        <v>122</v>
      </c>
      <c r="CX119" s="20" t="s">
        <v>122</v>
      </c>
      <c r="CY119" s="20" t="s">
        <v>122</v>
      </c>
      <c r="CZ119" s="20" t="s">
        <v>122</v>
      </c>
      <c r="DA119" s="20" t="s">
        <v>122</v>
      </c>
      <c r="DB119" s="503">
        <f t="shared" si="87"/>
        <v>0</v>
      </c>
      <c r="DC119" s="127">
        <v>0</v>
      </c>
      <c r="DD119" s="127">
        <v>0</v>
      </c>
      <c r="DE119" s="127">
        <v>0</v>
      </c>
      <c r="DF119" s="127">
        <v>0</v>
      </c>
      <c r="DG119" s="127">
        <v>0</v>
      </c>
      <c r="DH119" s="127">
        <v>0</v>
      </c>
      <c r="DI119" s="127">
        <v>0</v>
      </c>
      <c r="DJ119" s="127">
        <v>0</v>
      </c>
      <c r="DK119" s="127">
        <v>0</v>
      </c>
      <c r="DL119" s="127">
        <v>0</v>
      </c>
      <c r="DM119" s="304">
        <f>INDEX(Input!$1:$1048576,DM$93,$C119*2+6)</f>
        <v>20731.578947368424</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1.3425705448090613E-2</v>
      </c>
      <c r="DZ119" s="7">
        <v>0</v>
      </c>
      <c r="EA119" s="7">
        <v>0.21145602857214987</v>
      </c>
      <c r="EB119" s="7">
        <v>0</v>
      </c>
      <c r="EC119" s="7">
        <v>0</v>
      </c>
      <c r="ED119" s="7">
        <v>0</v>
      </c>
      <c r="EE119" s="7">
        <v>0</v>
      </c>
      <c r="EF119" s="7">
        <v>0</v>
      </c>
      <c r="EG119" s="7">
        <v>0</v>
      </c>
      <c r="EH119" s="7">
        <v>1.9867163211649868E-2</v>
      </c>
      <c r="EI119" s="7">
        <v>3.5734944822064255E-2</v>
      </c>
      <c r="EJ119" s="7">
        <v>0.28104141462213034</v>
      </c>
      <c r="EK119" s="7">
        <v>0.62010092925970728</v>
      </c>
      <c r="EL119" s="7">
        <v>4.3255548084448148E-2</v>
      </c>
      <c r="EM119" s="7">
        <v>1.3353065686891086E-2</v>
      </c>
      <c r="EN119" s="7">
        <v>5.5838494892160112E-2</v>
      </c>
      <c r="EO119" s="7">
        <v>0.54280877123389593</v>
      </c>
      <c r="EP119" s="7">
        <v>0.31083800530624012</v>
      </c>
      <c r="EQ119" s="7">
        <v>5.2587108229261922E-2</v>
      </c>
      <c r="ER119" s="7">
        <v>3.7927620338442165E-2</v>
      </c>
      <c r="ES119" s="7">
        <v>0.76176520029286843</v>
      </c>
      <c r="ET119" s="7">
        <v>0.77511826597975952</v>
      </c>
      <c r="EU119" s="6">
        <v>1250</v>
      </c>
      <c r="EV119" s="6">
        <v>0</v>
      </c>
      <c r="EW119" s="6">
        <v>1250</v>
      </c>
      <c r="EX119" s="6">
        <v>0</v>
      </c>
      <c r="EY119" s="6">
        <v>2281.5502763133163</v>
      </c>
      <c r="EZ119" s="6">
        <v>4647.9999999999991</v>
      </c>
      <c r="FA119" s="6">
        <v>0</v>
      </c>
      <c r="FB119" s="6">
        <v>0</v>
      </c>
      <c r="FC119" s="6">
        <v>0</v>
      </c>
      <c r="FD119" s="6">
        <v>0</v>
      </c>
      <c r="FE119" s="6">
        <v>0</v>
      </c>
      <c r="FF119" s="6">
        <v>0</v>
      </c>
      <c r="FG119" s="6">
        <v>0</v>
      </c>
      <c r="FH119" s="6">
        <v>1152.1208270377815</v>
      </c>
      <c r="FI119" s="6">
        <v>1531.4299904380614</v>
      </c>
      <c r="FJ119" s="6">
        <v>2070.7205842538228</v>
      </c>
      <c r="FK119" s="6">
        <v>1746.9903521590434</v>
      </c>
      <c r="FL119" s="6">
        <v>893.91433563489375</v>
      </c>
      <c r="FM119" s="6">
        <v>1781.5502763133163</v>
      </c>
      <c r="FN119" s="6">
        <v>0</v>
      </c>
      <c r="FO119" s="6">
        <v>0</v>
      </c>
      <c r="FP119" s="6">
        <v>0</v>
      </c>
      <c r="FQ119" s="6">
        <v>0</v>
      </c>
      <c r="FR119" s="6">
        <v>0</v>
      </c>
      <c r="FS119" s="6">
        <v>0</v>
      </c>
      <c r="FT119" s="7">
        <v>0.22488173402024048</v>
      </c>
      <c r="FU119" s="7">
        <v>1.3353065686891086E-2</v>
      </c>
      <c r="FV119" s="7">
        <v>0.76176520029286843</v>
      </c>
      <c r="FW119" s="6">
        <v>1249.9999999999998</v>
      </c>
      <c r="FX119" s="6">
        <v>2281.5502763133163</v>
      </c>
      <c r="FY119" s="6">
        <v>4647.9999999999991</v>
      </c>
      <c r="FZ119" s="6">
        <v>3077.4375890575293</v>
      </c>
      <c r="GA119" s="6">
        <v>3852.2525091941088</v>
      </c>
      <c r="GB119" s="6">
        <v>15842.74749080589</v>
      </c>
      <c r="GC119" s="7">
        <v>7.0901643973087014E-2</v>
      </c>
      <c r="GD119" s="7">
        <v>7.7721661158552946E-2</v>
      </c>
      <c r="GE119" s="7"/>
      <c r="GF119" s="7"/>
      <c r="GG119" s="7">
        <v>9.6189831480560414E-2</v>
      </c>
      <c r="GH119" s="42">
        <v>2.4450467870129473</v>
      </c>
      <c r="GI119" s="6">
        <v>11907.313093151646</v>
      </c>
      <c r="GJ119" s="14">
        <v>0.5107463060103955</v>
      </c>
      <c r="GK119" s="14">
        <v>0.5082951978616097</v>
      </c>
      <c r="GL119" s="14">
        <v>0.48925369398960444</v>
      </c>
      <c r="GM119" s="14">
        <v>0.49170480213839046</v>
      </c>
      <c r="GO119" s="5">
        <v>338.16872463277008</v>
      </c>
      <c r="GP119" s="5">
        <v>314.32110928815564</v>
      </c>
      <c r="GQ119" s="5">
        <v>527.27910984145694</v>
      </c>
      <c r="GR119" s="5">
        <v>404.20319246551543</v>
      </c>
      <c r="GS119" s="5">
        <v>334.50205195691484</v>
      </c>
      <c r="GT119" s="5">
        <v>289.18266033348181</v>
      </c>
      <c r="GU119" s="5">
        <v>254.29573314828914</v>
      </c>
      <c r="GV119" s="39" t="s">
        <v>392</v>
      </c>
      <c r="GW119" s="5">
        <v>478.48611111111109</v>
      </c>
      <c r="GX119" s="5">
        <v>358.86458333333331</v>
      </c>
      <c r="GY119" s="5">
        <v>287.09166666666664</v>
      </c>
      <c r="GZ119" s="5">
        <v>253.32809988695078</v>
      </c>
      <c r="HA119" s="5">
        <v>234.65993859171959</v>
      </c>
      <c r="HB119" s="39">
        <v>270.25415027892882</v>
      </c>
      <c r="HC119" s="5">
        <v>79.765625</v>
      </c>
      <c r="HD119" s="5">
        <v>97.531158625730967</v>
      </c>
      <c r="HE119" s="5">
        <v>108.60346238191633</v>
      </c>
      <c r="HF119" s="5">
        <v>110.21817434210527</v>
      </c>
      <c r="HG119" s="5">
        <v>118.48826754385965</v>
      </c>
      <c r="HH119" s="39">
        <v>101.44287751985306</v>
      </c>
      <c r="HI119" s="16"/>
      <c r="HJ119" s="19" t="str">
        <f t="shared" ref="HJ119" si="260">HJ118</f>
        <v>On</v>
      </c>
      <c r="HK119" s="1" t="str">
        <f t="shared" si="108"/>
        <v>On</v>
      </c>
      <c r="HL119" s="16"/>
      <c r="HM119" s="639">
        <f t="shared" ref="HM119:HM161" si="261">VLOOKUP($C119*1000+1,$A:$HH,FT$92,FALSE)*$JF119</f>
        <v>1.7699001661282989E-2</v>
      </c>
      <c r="HN119" s="639">
        <f t="shared" ref="HN119:HN161" si="262">VLOOKUP($C119*1000+1,$A:$HH,FU$92,FALSE)*$JF119</f>
        <v>1.0509929974846072E-3</v>
      </c>
      <c r="HO119" s="639">
        <f t="shared" ref="HO119:HO161" si="263">VLOOKUP($C119*1000+1,$A:$HH,FV$92,FALSE)*$JF119</f>
        <v>5.7398960259851091E-2</v>
      </c>
      <c r="HP119" s="644">
        <f>(FT119*$GD119-HM119)/$JF119*INDEX(Input!$1:$1048576,$JG$93,$C119*2+6)</f>
        <v>-2.8360427954201404</v>
      </c>
      <c r="HQ119" s="644">
        <f>(FU119*$GD119-HN119)/$JF119*INDEX(Input!$1:$1048576,$JG$93,$C119*2+6)</f>
        <v>-0.16915266450656577</v>
      </c>
      <c r="HR119" s="644">
        <f>(FV119*$GD119-HO119)/$JF119*INDEX(Input!$1:$1048576,$JG$93,$C119*2+6)</f>
        <v>23.203853528175966</v>
      </c>
      <c r="HS119" s="644">
        <f t="shared" ref="HS119:HS161" si="264">IF(AND(HJ119="On",HK119="On"),IL119/1000*INDEX(KG:KG,MATCH(C119*1000+3,$KF:$KF,0))*SUM(HY119:IA119)*1.1
+INDEX(HR:HR,MATCH(C119*1000+4,$KF:$KF,0))/INDEX(IM:IM,MATCH(C119*1000+4,$KF:$KF,0))*IM119*20%,0)</f>
        <v>-1.7397457989243744E-2</v>
      </c>
      <c r="HT119" s="644">
        <f t="shared" ref="HT119:HT161" si="265">IF(AND(HJ119="On",HK119="On"),IM119/1000*INDEX(KG:KG,MATCH(C119*1000+4,$KF:$KF,0))*SUM(HY119:IA119)*1.1
+INDEX(HR:HR,MATCH(C119*1000+3,$KF:$KF,0))/INDEX(IL:IL,MATCH(C119*1000+3,$KF:$KF,0))*IL119*20%,0)</f>
        <v>1.0695832972420656</v>
      </c>
      <c r="HU119" s="644">
        <f t="shared" ref="HU119:HU161" si="266">IF(HJ119="On",IN119/1000*INDEX(KG:KG,MATCH(C119*1000+5,$KF:$KF,0))*SUM(HY119:IA119)*1.1
-INDEX(HR:HR,MATCH(C119*1000+3,$KF:$KF,0))/INDEX(IL:IL,MATCH(C119*1000+3,$KF:$KF,0))*IL119*20%
-INDEX(HR:HR,MATCH(C119*1000+4,$KF:$KF,0))/INDEX(IM:IM,MATCH(C119*1000+4,$KF:$KF,0))*IM119*20%,0)</f>
        <v>7.2368084316335803</v>
      </c>
      <c r="HV119" s="648">
        <f t="shared" ref="HV119:HV161" si="267">IL119/1000*0+IM119/1000*0+IN119/1000*0
+(CP119-INDEX(CP:CP,MATCH(C119*1000+1,A:A,0)))/1000*0+IF(FU119&gt;0,0,0)</f>
        <v>0</v>
      </c>
      <c r="HW119" s="648">
        <f t="shared" ref="HW119:HW161" si="268">IL119/1000*0+IM119/1000*0+IN119/1000*0
+(CP119-INDEX(CP:CP,MATCH(C119*1000+1,A:A,0)))/1000*0+IF(FU119&gt;0,0,0)</f>
        <v>0</v>
      </c>
      <c r="HX119" s="648">
        <f t="shared" ref="HX119:HX161" si="269">IL119/1000*0+IM119/1000*0+IN119/1000*0
+(CP119-INDEX(CP:CP,MATCH(C119*1000+1,A:A,0)))/1000*0+IF(FU119&gt;0,0,0)</f>
        <v>0</v>
      </c>
      <c r="HY119" s="644">
        <f>INDEX(Input!$1:$1048576,HY$93,$C119*2+6)*INDEX(Input!$1:$1048576,$JG$93,$C119*2+6)</f>
        <v>154.99999999999997</v>
      </c>
      <c r="HZ119" s="644">
        <f>INDEX(Input!$1:$1048576,HZ$93,$C119*2+6)*INDEX(Input!$1:$1048576,$JG$93,$C119*2+6)</f>
        <v>140</v>
      </c>
      <c r="IA119" s="644">
        <f>INDEX(Input!$1:$1048576,IA$93,$C119*2+6)*INDEX(Input!$1:$1048576,$JG$93,$C119*2+6)</f>
        <v>683</v>
      </c>
      <c r="IB119" s="644">
        <f t="shared" si="249"/>
        <v>152.14655974659058</v>
      </c>
      <c r="IC119" s="644">
        <f t="shared" si="172"/>
        <v>140.90043063273552</v>
      </c>
      <c r="ID119" s="644">
        <f>IF(AND(INDEX(Input!$1:$1048576,IA$93,$C119*2+7)="TOS",Y119&lt;=INDEX(Y:Y,MATCH(C119*1000+2,A:A))),0,1)*MAX(IA119+HR119+HU119+HX119,0%)</f>
        <v>713.44066195980952</v>
      </c>
      <c r="IE119" s="128">
        <f t="shared" ref="IE119:IE161" si="270">IB119/SUM($IB119:$ID119)</f>
        <v>0.15116584827741619</v>
      </c>
      <c r="IF119" s="128">
        <f t="shared" si="174"/>
        <v>0.13999220984507338</v>
      </c>
      <c r="IG119" s="128">
        <f t="shared" si="175"/>
        <v>0.70884194187751048</v>
      </c>
      <c r="IH119" s="21"/>
      <c r="II119" s="19">
        <f t="shared" ref="II119:II161" si="271">VLOOKUP($C119*1000+1,$A:$HH,FW$92,FALSE)-VLOOKUP($C119*1000+1,$A:$HH,FA$92,FALSE)*VLOOKUP($C119*1000+1,$A:$HH,DZ$92,FALSE)/VLOOKUP($C119*1000+1,$A:$HH,FT$92,FALSE)</f>
        <v>1200</v>
      </c>
      <c r="IJ119" s="19">
        <f t="shared" ref="IJ119:IJ161" si="272">VLOOKUP($C119*1000+1,$A:$HH,FX$92,FALSE)</f>
        <v>2231.5502763133163</v>
      </c>
      <c r="IK119" s="19">
        <f t="shared" ref="IK119:IK161" si="273">VLOOKUP($C119*1000+1,$A:$HH,FY$92,FALSE)</f>
        <v>4498</v>
      </c>
      <c r="IL119" s="19">
        <f t="shared" si="176"/>
        <v>49.999999999999773</v>
      </c>
      <c r="IM119" s="19">
        <f t="shared" si="177"/>
        <v>50</v>
      </c>
      <c r="IN119" s="19">
        <f t="shared" si="178"/>
        <v>149.99999999999909</v>
      </c>
      <c r="IO119" s="39">
        <f t="shared" ref="IO119:IO161" si="274">(F119-VLOOKUP($C119*1000+1,$A:$HH,F$92,FALSE))*(1-$I119)</f>
        <v>0</v>
      </c>
      <c r="IP119" s="39">
        <f t="shared" ref="IP119:IP161" si="275">(G119-VLOOKUP($C119*1000+1,$A:$HH,G$92,FALSE))*(1-$I119)</f>
        <v>0</v>
      </c>
      <c r="IQ119" s="39">
        <f t="shared" ref="IQ119:IQ161" si="276">(H119-VLOOKUP($C119*1000+1,$A:$HH,H$92,FALSE))*(1-$I119)</f>
        <v>0</v>
      </c>
      <c r="IR119" s="39">
        <v>0</v>
      </c>
      <c r="IS119" s="39">
        <v>0</v>
      </c>
      <c r="IT119" s="39">
        <v>0</v>
      </c>
      <c r="IU119" s="39">
        <v>0</v>
      </c>
      <c r="IV119" s="39">
        <v>0</v>
      </c>
      <c r="IW119" s="39">
        <v>0</v>
      </c>
      <c r="IX119" s="39">
        <f>INDEX(Input!$1:$1048576,IX$93,$C119*2+6)+INDEX(Input!$1:$1048576,IX$94,$C119*2+6)</f>
        <v>1600</v>
      </c>
      <c r="IY119" s="39">
        <f>INDEX(Input!$1:$1048576,IY$93,$C119*2+6)+INDEX(Input!$1:$1048576,IY$94,$C119*2+6)</f>
        <v>2503.5492916397525</v>
      </c>
      <c r="IZ119" s="39">
        <f>INDEX(Input!$1:$1048576,IZ$93,$C119*2+6)+INDEX(Input!$1:$1048576,IZ$94,$C119*2+6)</f>
        <v>6273.7109265464023</v>
      </c>
      <c r="JA119" s="19">
        <f t="shared" si="179"/>
        <v>1649.9999999999998</v>
      </c>
      <c r="JB119" s="19">
        <f t="shared" si="180"/>
        <v>2553.5492916397525</v>
      </c>
      <c r="JC119" s="19">
        <f t="shared" si="181"/>
        <v>6423.7109265464014</v>
      </c>
      <c r="JD119" s="19">
        <f t="shared" si="182"/>
        <v>5160.2963851756413</v>
      </c>
      <c r="JE119" s="21"/>
      <c r="JF119" s="1">
        <f t="shared" ref="JF119:JF161" si="277">VLOOKUP($C119*1000+1,$A:$HH,GD$92,FALSE)</f>
        <v>7.6148954918618686E-2</v>
      </c>
      <c r="JG119" s="15">
        <f>INDEX(Input!$1:$1048576,JG$93,$C119*2+6)/(1+VLOOKUP(C119*1000+INDEX(Input!$1:$1048576,JG$93+1,$C119*2+6),$A:$KK,$JK$92,FALSE))</f>
        <v>978</v>
      </c>
      <c r="JH119" s="1">
        <f t="shared" si="251"/>
        <v>2.065302460966182E-2</v>
      </c>
      <c r="JI119" s="1">
        <f t="shared" si="252"/>
        <v>8.4754542647100216E-3</v>
      </c>
      <c r="JJ119" s="1">
        <f t="shared" si="253"/>
        <v>0</v>
      </c>
      <c r="JK119" s="1">
        <f t="shared" si="254"/>
        <v>2.9128478874371842E-2</v>
      </c>
      <c r="JL119" s="15">
        <f t="shared" si="184"/>
        <v>28.487652339135661</v>
      </c>
      <c r="JM119" s="15">
        <f t="shared" si="185"/>
        <v>1006.4876523391357</v>
      </c>
      <c r="JN119" s="21"/>
      <c r="JO119" s="19">
        <f>INDEX(Input!$1:$1048576,JO$93,$C119*2+6)</f>
        <v>5908.5</v>
      </c>
      <c r="JP119" s="19">
        <f>INDEX(Input!$1:$1048576,JP$93,$C119*2+6)</f>
        <v>4993.2939301234746</v>
      </c>
      <c r="JQ119" s="39">
        <f t="shared" si="186"/>
        <v>748.20361482435874</v>
      </c>
      <c r="JR119" s="39">
        <f t="shared" si="187"/>
        <v>167.00245505216662</v>
      </c>
      <c r="JS119" s="39">
        <f t="shared" si="188"/>
        <v>5.1937745940895592</v>
      </c>
      <c r="JT119" s="39">
        <f t="shared" si="189"/>
        <v>0.31033313042880128</v>
      </c>
      <c r="JU119" s="385">
        <f>(JQ119*JM119-INDEX(Input!$1:$1048576,Input!A$18,$C119*2+6)*JL119*INDEX(Input!$1:$1048576,Input!A$19,$C119*2+6))/1000000</f>
        <v>0.75305769975622383</v>
      </c>
      <c r="JV119" s="39">
        <f t="shared" si="192"/>
        <v>-0.14201383658301792</v>
      </c>
      <c r="JW119" s="1">
        <f t="shared" si="190"/>
        <v>-0.15866199607222584</v>
      </c>
      <c r="JX119" s="19">
        <f t="shared" si="191"/>
        <v>10893.60143596224</v>
      </c>
      <c r="JZ119" s="341"/>
      <c r="KA119" s="342"/>
      <c r="KB119" s="469">
        <f t="shared" si="110"/>
        <v>3.2656316020464753</v>
      </c>
      <c r="KI119" s="473">
        <f t="shared" ref="KI119:KI161" si="278">$JM119*IE119-$JG119*HY119/SUM($HY119:$IA119)</f>
        <v>-2.8534402534093601</v>
      </c>
      <c r="KJ119" s="473">
        <f t="shared" ref="KJ119:KJ161" si="279">$JM119*IF119-$JG119*HZ119/SUM($HY119:$IA119)</f>
        <v>0.90043063273554935</v>
      </c>
      <c r="KK119" s="473">
        <f t="shared" si="257"/>
        <v>30.440661959809631</v>
      </c>
      <c r="KN119" s="544">
        <f t="shared" si="258"/>
        <v>1002</v>
      </c>
      <c r="KO119" s="541">
        <f t="shared" ref="KO119:KO161" si="280">JM119/INDEX(JM:JM,MATCH(KN119,A:A,0))-1</f>
        <v>-4.8786844871320012E-2</v>
      </c>
      <c r="KP119" s="546">
        <f t="shared" ref="KP119:KP161" si="281">(IL119-INDEX(IL:IL,MATCH(KN119,A:A,0)))*IE119
+(IM119-IF(HN119=0,INDEX(IX:IX,MATCH(KN119,A:A,0)),INDEX(IM:IM,MATCH(KN119,A:A,0))))*IF119
+(IN119-INDEX(IN:IN,MATCH(KN119,A:A,0)))*IG119</f>
        <v>-225.95266017143561</v>
      </c>
      <c r="KQ119" s="546">
        <f t="shared" ref="KQ119:KQ161" si="282">JD119-INDEX(JD:JD,MATCH(KN119,A:A,0))</f>
        <v>-194.15751479979917</v>
      </c>
      <c r="KR119" s="548">
        <f t="shared" ref="KR119:KR161" si="283">KO119/(KP119/(BX119-INDEX(JD:JD,MATCH(KN119,A:A,0))))</f>
        <v>3.0963565439817597</v>
      </c>
      <c r="KS119" s="548">
        <f t="shared" ref="KS119:KS161" si="284">KO119/(KQ119/(BX119-INDEX(JD:JD,MATCH(KN119,A:A,0))))</f>
        <v>3.6034144682646865</v>
      </c>
      <c r="KT119" s="473">
        <f t="shared" si="112"/>
        <v>-82.310573396665475</v>
      </c>
      <c r="KU119" s="663">
        <f t="shared" ref="KU119:KU161" si="285">IF(D119="",0,IFERROR((JM119/KT119-1)/(JD119/BX119)+B119*10^-6,0))</f>
        <v>-50.486231309081511</v>
      </c>
      <c r="KV119" s="117"/>
    </row>
    <row r="120" spans="1:308" s="26" customFormat="1" ht="15">
      <c r="A120" s="561">
        <f t="shared" si="168"/>
        <v>1020</v>
      </c>
      <c r="B120" s="561">
        <f t="shared" si="104"/>
        <v>20</v>
      </c>
      <c r="C120" s="561">
        <f t="shared" si="105"/>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0.9/1.9/2.9/3.9, </v>
      </c>
      <c r="E120" s="475">
        <f>INDEX(Input!$1:$1048576,E$93,$C120*2+MIN($B120,2)+5)</f>
        <v>1250</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IFERROR(MAX(0,INDEX(Input!$1:$1048576,U$93,$C120*2+MIN($B120,2)+5)+0.9%,),"Market")</f>
        <v>9.0000000000000011E-3</v>
      </c>
      <c r="V120" s="478">
        <f>IFERROR(MAX(0,INDEX(Input!$1:$1048576,V$93,$C120*2+MIN($B120,2)+5)+1%,),"Market")</f>
        <v>2.8999999999999998E-2</v>
      </c>
      <c r="W120" s="478">
        <f>IFERROR(MAX(0,INDEX(Input!$1:$1048576,W$93,$C120*2+MIN($B120,2)+5)+0%,),"Market")</f>
        <v>3.9E-2</v>
      </c>
      <c r="X120" s="476" t="str">
        <f>INDEX(Input!$1:$1048576,X$93,$C120*2+MIN($B120,2)+5)</f>
        <v>Y</v>
      </c>
      <c r="Y120" s="475">
        <f>INDEX(Input!$1:$1048576,Y$93,$C120*2+MIN($B120,2)+5)</f>
        <v>2826</v>
      </c>
      <c r="Z120" s="477">
        <f>INDEX(Input!$1:$1048576,Z$93,$C120*2+MIN($B120,2)+5)</f>
        <v>0</v>
      </c>
      <c r="AA120" s="475">
        <f>INDEX(Input!$1:$1048576,AA$93,$C120*2+MIN($B120,2)+5)</f>
        <v>0</v>
      </c>
      <c r="AB120" s="476">
        <f>INDEX(Input!$1:$1048576,AB$93,$C120*2+MIN($B120,2)+5)</f>
        <v>1</v>
      </c>
      <c r="AC120" s="475">
        <f>INDEX(Input!$1:$1048576,AC$93,$C120*2+MIN($B120,2)+5)</f>
        <v>0</v>
      </c>
      <c r="AD120" s="476">
        <f>INDEX(Input!$1:$1048576,AD$93,$C120*2+MIN($B120,2)+5)</f>
        <v>0.35</v>
      </c>
      <c r="AE120" s="475">
        <f>INDEX(Input!$1:$1048576,AE$93,$C120*2+MIN($B120,2)+5)</f>
        <v>0</v>
      </c>
      <c r="AF120" s="476">
        <f>INDEX(Input!$1:$1048576,AF$93,$C120*2+MIN($B120,2)+5)</f>
        <v>1</v>
      </c>
      <c r="AG120" s="475">
        <f>INDEX(Input!$1:$1048576,AG$93,$C120*2+MIN($B120,2)+5)</f>
        <v>0</v>
      </c>
      <c r="AH120" s="476">
        <f>INDEX(Input!$1:$1048576,AH$93,$C120*2+MIN($B120,2)+5)</f>
        <v>1</v>
      </c>
      <c r="AI120" s="475">
        <f>INDEX(Input!$1:$1048576,AI$93,$C120*2+MIN($B120,2)+5)</f>
        <v>0</v>
      </c>
      <c r="AJ120" s="476">
        <f>INDEX(Input!$1:$1048576,AJ$93,$C120*2+MIN($B120,2)+5)</f>
        <v>0.35</v>
      </c>
      <c r="AK120" s="150">
        <f>ROUND(INDEX(Input!$1:$1048576,AK$93,$C119*2+MIN($B120,1)+5)+(Y120-VLOOKUP($C120*1000+1,$A:$HH,Y$92,FALSE)),0)</f>
        <v>5482</v>
      </c>
      <c r="AL120" s="150">
        <f>ROUND(INDEX(Input!$1:$1048576,AL$93,$C119*2+MIN($B120,1)+5)-(Y120-VLOOKUP($C120*1000+1,$A:$HH,Y$92,FALSE))/36,0)</f>
        <v>5602</v>
      </c>
      <c r="AM120" s="32" t="str">
        <f t="shared" si="169"/>
        <v>std/std/std/std</v>
      </c>
      <c r="AN120" s="32" t="str">
        <f t="shared" si="170"/>
        <v>$0 + 0/0/0.9/2.9/3.9</v>
      </c>
      <c r="AO120" s="32" t="str">
        <f t="shared" si="171"/>
        <v>0/0/0.9/2.9/3.9</v>
      </c>
      <c r="AP120" s="32" t="str">
        <f t="shared" si="73"/>
        <v>0.9/1.9/2.9/3.9</v>
      </c>
      <c r="AQ120" s="536">
        <f t="shared" si="39"/>
        <v>0.15982172556490848</v>
      </c>
      <c r="AR120" s="32"/>
      <c r="AS120" s="302"/>
      <c r="AT120" s="3">
        <f t="shared" si="106"/>
        <v>20</v>
      </c>
      <c r="AU120" s="41" t="s">
        <v>121</v>
      </c>
      <c r="AV120" s="41" t="s">
        <v>116</v>
      </c>
      <c r="AW120" s="41" t="str">
        <f>INDEX(Input!$1:$1048576,AW$93,$C120*2+6)</f>
        <v>Kia</v>
      </c>
      <c r="AX120" s="41" t="str">
        <f>INDEX(Input!$1:$1048576,AX$93,$C120*2+6)</f>
        <v>Kia-LR - L1</v>
      </c>
      <c r="AY120" s="41" t="str">
        <f>IF(LEN(D120)=0,"",INDEX(Input!$1:$1048576,AY$93,$C120*2+6))</f>
        <v>Compact Conventional/Sporty Car (43)</v>
      </c>
      <c r="AZ120" s="41" t="str">
        <f>INDEX(Input!$1:$1048576,AZ$93,$C120*2+6)</f>
        <v>Kia Forte</v>
      </c>
      <c r="BA120" s="3">
        <f>INDEX(Input!$1:$1048576,BA$93,$C120*2+6)</f>
        <v>2020</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19695</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4"/>
        <v>1250</v>
      </c>
      <c r="CJ120" s="16" t="str">
        <f>INDEX(Input!$1:$1048576,CJ$93,$C120*2+6)</f>
        <v>N</v>
      </c>
      <c r="CK120" s="1" t="str">
        <f t="shared" si="75"/>
        <v>Market</v>
      </c>
      <c r="CL120" s="1" t="str">
        <f t="shared" si="76"/>
        <v>Market</v>
      </c>
      <c r="CM120" s="1" t="str">
        <f t="shared" si="77"/>
        <v>Market</v>
      </c>
      <c r="CN120" s="1" t="str">
        <f t="shared" si="78"/>
        <v>Market</v>
      </c>
      <c r="CO120" s="1" t="str">
        <f t="shared" si="79"/>
        <v>Market</v>
      </c>
      <c r="CP120" s="304">
        <f t="shared" si="80"/>
        <v>0</v>
      </c>
      <c r="CQ120" s="1">
        <f t="shared" si="81"/>
        <v>0</v>
      </c>
      <c r="CR120" s="1">
        <f t="shared" si="82"/>
        <v>0</v>
      </c>
      <c r="CS120" s="1">
        <f t="shared" si="83"/>
        <v>9.0000000000000011E-3</v>
      </c>
      <c r="CT120" s="1">
        <f t="shared" si="84"/>
        <v>2.8999999999999998E-2</v>
      </c>
      <c r="CU120" s="1">
        <f t="shared" si="85"/>
        <v>3.9E-2</v>
      </c>
      <c r="CV120" s="304">
        <f t="shared" si="86"/>
        <v>2826</v>
      </c>
      <c r="CW120" s="20" t="s">
        <v>122</v>
      </c>
      <c r="CX120" s="20" t="s">
        <v>122</v>
      </c>
      <c r="CY120" s="20" t="s">
        <v>122</v>
      </c>
      <c r="CZ120" s="20" t="s">
        <v>122</v>
      </c>
      <c r="DA120" s="20" t="s">
        <v>122</v>
      </c>
      <c r="DB120" s="503">
        <f t="shared" si="87"/>
        <v>0</v>
      </c>
      <c r="DC120" s="127">
        <v>0</v>
      </c>
      <c r="DD120" s="127">
        <v>0</v>
      </c>
      <c r="DE120" s="127">
        <v>0</v>
      </c>
      <c r="DF120" s="127">
        <v>0</v>
      </c>
      <c r="DG120" s="127">
        <v>0</v>
      </c>
      <c r="DH120" s="127">
        <v>0</v>
      </c>
      <c r="DI120" s="127">
        <v>0</v>
      </c>
      <c r="DJ120" s="127">
        <v>0</v>
      </c>
      <c r="DK120" s="127">
        <v>0</v>
      </c>
      <c r="DL120" s="127">
        <v>0</v>
      </c>
      <c r="DM120" s="304">
        <f>INDEX(Input!$1:$1048576,DM$93,$C120*2+6)</f>
        <v>20731.578947368424</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1.3962850563312512E-2</v>
      </c>
      <c r="DZ120" s="7">
        <v>0</v>
      </c>
      <c r="EA120" s="7">
        <v>0.21839394700674872</v>
      </c>
      <c r="EB120" s="7">
        <v>0</v>
      </c>
      <c r="EC120" s="7">
        <v>0</v>
      </c>
      <c r="ED120" s="7">
        <v>0</v>
      </c>
      <c r="EE120" s="7">
        <v>0</v>
      </c>
      <c r="EF120" s="7">
        <v>0</v>
      </c>
      <c r="EG120" s="7">
        <v>0</v>
      </c>
      <c r="EH120" s="7">
        <v>2.9041076318917017E-2</v>
      </c>
      <c r="EI120" s="7">
        <v>5.2236006156194129E-2</v>
      </c>
      <c r="EJ120" s="7">
        <v>0.2975094551202519</v>
      </c>
      <c r="EK120" s="7">
        <v>0.55798411960644456</v>
      </c>
      <c r="EL120" s="7">
        <v>6.3229342798192242E-2</v>
      </c>
      <c r="EM120" s="7">
        <v>9.4383640202337048E-3</v>
      </c>
      <c r="EN120" s="7">
        <v>5.6686594175933747E-2</v>
      </c>
      <c r="EO120" s="7">
        <v>0.54216995014193592</v>
      </c>
      <c r="EP120" s="7">
        <v>0.3117315538121922</v>
      </c>
      <c r="EQ120" s="7">
        <v>5.1954312326603483E-2</v>
      </c>
      <c r="ER120" s="7">
        <v>3.7457589543334738E-2</v>
      </c>
      <c r="ES120" s="7">
        <v>0.75820483840970498</v>
      </c>
      <c r="ET120" s="7">
        <v>0.76764320242993878</v>
      </c>
      <c r="EU120" s="6">
        <v>1600</v>
      </c>
      <c r="EV120" s="6">
        <v>0</v>
      </c>
      <c r="EW120" s="6">
        <v>1600</v>
      </c>
      <c r="EX120" s="6">
        <v>0</v>
      </c>
      <c r="EY120" s="6">
        <v>2235.2986931576979</v>
      </c>
      <c r="EZ120" s="6">
        <v>4822.9999999999991</v>
      </c>
      <c r="FA120" s="6">
        <v>0</v>
      </c>
      <c r="FB120" s="6">
        <v>0</v>
      </c>
      <c r="FC120" s="6">
        <v>0</v>
      </c>
      <c r="FD120" s="6">
        <v>0</v>
      </c>
      <c r="FE120" s="6">
        <v>0</v>
      </c>
      <c r="FF120" s="6">
        <v>0</v>
      </c>
      <c r="FG120" s="6">
        <v>0</v>
      </c>
      <c r="FH120" s="6">
        <v>1152.1208270377817</v>
      </c>
      <c r="FI120" s="6">
        <v>1531.4299904380618</v>
      </c>
      <c r="FJ120" s="6">
        <v>1709.9775738488456</v>
      </c>
      <c r="FK120" s="6">
        <v>1266.3227157028189</v>
      </c>
      <c r="FL120" s="6">
        <v>893.91433563489375</v>
      </c>
      <c r="FM120" s="6">
        <v>1385.2986931576977</v>
      </c>
      <c r="FN120" s="6">
        <v>0</v>
      </c>
      <c r="FO120" s="6">
        <v>0</v>
      </c>
      <c r="FP120" s="6">
        <v>0</v>
      </c>
      <c r="FQ120" s="6">
        <v>0</v>
      </c>
      <c r="FR120" s="6">
        <v>0</v>
      </c>
      <c r="FS120" s="6">
        <v>0</v>
      </c>
      <c r="FT120" s="7">
        <v>0.23235679757006122</v>
      </c>
      <c r="FU120" s="7">
        <v>9.4383640202337048E-3</v>
      </c>
      <c r="FV120" s="7">
        <v>0.75820483840970498</v>
      </c>
      <c r="FW120" s="6">
        <v>1600.0000000000002</v>
      </c>
      <c r="FX120" s="6">
        <v>2235.2986931576979</v>
      </c>
      <c r="FY120" s="6">
        <v>4822.9999999999991</v>
      </c>
      <c r="FZ120" s="6">
        <v>3077.4375890575293</v>
      </c>
      <c r="GA120" s="6">
        <v>4049.6903745220793</v>
      </c>
      <c r="GB120" s="6">
        <v>15645.309625477921</v>
      </c>
      <c r="GC120" s="7">
        <v>7.0901643973087014E-2</v>
      </c>
      <c r="GD120" s="7">
        <v>8.0206483274764512E-2</v>
      </c>
      <c r="GE120" s="7"/>
      <c r="GF120" s="7"/>
      <c r="GG120" s="7">
        <v>0.1312358752246908</v>
      </c>
      <c r="GH120" s="42">
        <v>2.6584552918666104</v>
      </c>
      <c r="GI120" s="6">
        <v>11458.127921038553</v>
      </c>
      <c r="GJ120" s="14">
        <v>0.5107463060103955</v>
      </c>
      <c r="GK120" s="14">
        <v>0.5082951978616097</v>
      </c>
      <c r="GL120" s="14">
        <v>0.48925369398960433</v>
      </c>
      <c r="GM120" s="14">
        <v>0.49170480213839035</v>
      </c>
      <c r="GO120" s="5">
        <v>338.16872463277008</v>
      </c>
      <c r="GP120" s="5">
        <v>307.64377699166363</v>
      </c>
      <c r="GQ120" s="5">
        <v>527.27910984145694</v>
      </c>
      <c r="GR120" s="5">
        <v>404.20319246551543</v>
      </c>
      <c r="GS120" s="5">
        <v>334.50205195691484</v>
      </c>
      <c r="GT120" s="5">
        <v>289.18266033348181</v>
      </c>
      <c r="GU120" s="5">
        <v>254.29573314828914</v>
      </c>
      <c r="GV120" s="39" t="s">
        <v>392</v>
      </c>
      <c r="GW120" s="5">
        <v>468.76388888888891</v>
      </c>
      <c r="GX120" s="5">
        <v>351.57291666666669</v>
      </c>
      <c r="GY120" s="5">
        <v>287.73954748358943</v>
      </c>
      <c r="GZ120" s="5">
        <v>255.64660634518972</v>
      </c>
      <c r="HA120" s="5">
        <v>229.8919505212948</v>
      </c>
      <c r="HB120" s="39">
        <v>274.76607241846818</v>
      </c>
      <c r="HC120" s="5">
        <v>72.109375000000014</v>
      </c>
      <c r="HD120" s="5">
        <v>92.305464181286524</v>
      </c>
      <c r="HE120" s="5">
        <v>103.7516995614035</v>
      </c>
      <c r="HF120" s="5">
        <v>106.17129934210527</v>
      </c>
      <c r="HG120" s="5">
        <v>115.13410087719299</v>
      </c>
      <c r="HH120" s="39">
        <v>96.304265044073475</v>
      </c>
      <c r="HI120" s="16"/>
      <c r="HJ120" s="19" t="str">
        <f t="shared" ref="HJ120" si="286">HJ119</f>
        <v>On</v>
      </c>
      <c r="HK120" s="1" t="str">
        <f t="shared" si="108"/>
        <v>On</v>
      </c>
      <c r="HL120" s="16"/>
      <c r="HM120" s="639">
        <f t="shared" si="261"/>
        <v>1.7699001661282989E-2</v>
      </c>
      <c r="HN120" s="639">
        <f t="shared" si="262"/>
        <v>1.0509929974846072E-3</v>
      </c>
      <c r="HO120" s="639">
        <f t="shared" si="263"/>
        <v>5.7398960259851091E-2</v>
      </c>
      <c r="HP120" s="644">
        <f>(FT120*$GD120-HM120)/$JF120*INDEX(Input!$1:$1048576,$JG$93,$C120*2+6)</f>
        <v>12.04080212483955</v>
      </c>
      <c r="HQ120" s="644">
        <f>(FU120*$GD120-HN120)/$JF120*INDEX(Input!$1:$1048576,$JG$93,$C120*2+6)</f>
        <v>-3.7755943152162135</v>
      </c>
      <c r="HR120" s="644">
        <f>(FV120*$GD120-HO120)/$JF120*INDEX(Input!$1:$1048576,$JG$93,$C120*2+6)</f>
        <v>43.846639773203513</v>
      </c>
      <c r="HS120" s="644">
        <f t="shared" si="264"/>
        <v>-1.3042584915260529E-3</v>
      </c>
      <c r="HT120" s="644">
        <f t="shared" si="265"/>
        <v>-2.4685166353369823</v>
      </c>
      <c r="HU120" s="644">
        <f t="shared" si="266"/>
        <v>17.519369710193374</v>
      </c>
      <c r="HV120" s="648">
        <f t="shared" si="267"/>
        <v>0</v>
      </c>
      <c r="HW120" s="648">
        <f t="shared" si="268"/>
        <v>0</v>
      </c>
      <c r="HX120" s="648">
        <f t="shared" si="269"/>
        <v>0</v>
      </c>
      <c r="HY120" s="644">
        <f>INDEX(Input!$1:$1048576,HY$93,$C120*2+6)*INDEX(Input!$1:$1048576,$JG$93,$C120*2+6)</f>
        <v>154.99999999999997</v>
      </c>
      <c r="HZ120" s="644">
        <f>INDEX(Input!$1:$1048576,HZ$93,$C120*2+6)*INDEX(Input!$1:$1048576,$JG$93,$C120*2+6)</f>
        <v>140</v>
      </c>
      <c r="IA120" s="644">
        <f>INDEX(Input!$1:$1048576,IA$93,$C120*2+6)*INDEX(Input!$1:$1048576,$JG$93,$C120*2+6)</f>
        <v>683</v>
      </c>
      <c r="IB120" s="644">
        <f t="shared" si="249"/>
        <v>167.03949786634814</v>
      </c>
      <c r="IC120" s="644">
        <f t="shared" si="172"/>
        <v>133.75588904944681</v>
      </c>
      <c r="ID120" s="644">
        <f>IF(AND(INDEX(Input!$1:$1048576,IA$93,$C120*2+7)="TOS",Y120&lt;=INDEX(Y:Y,MATCH(C120*1000+2,A:A))),0,1)*MAX(IA120+HR120+HU120+HX120,0%)</f>
        <v>744.36600948339685</v>
      </c>
      <c r="IE120" s="128">
        <f t="shared" si="270"/>
        <v>0.15982172556490848</v>
      </c>
      <c r="IF120" s="128">
        <f t="shared" si="174"/>
        <v>0.12797630060798737</v>
      </c>
      <c r="IG120" s="128">
        <f t="shared" si="175"/>
        <v>0.71220197382710426</v>
      </c>
      <c r="IH120" s="21"/>
      <c r="II120" s="19">
        <f t="shared" si="271"/>
        <v>1200</v>
      </c>
      <c r="IJ120" s="19">
        <f t="shared" si="272"/>
        <v>2231.5502763133163</v>
      </c>
      <c r="IK120" s="19">
        <f t="shared" si="273"/>
        <v>4498</v>
      </c>
      <c r="IL120" s="19">
        <f t="shared" si="176"/>
        <v>400.00000000000023</v>
      </c>
      <c r="IM120" s="19">
        <f t="shared" si="177"/>
        <v>3.7484168443816088</v>
      </c>
      <c r="IN120" s="19">
        <f t="shared" si="178"/>
        <v>324.99999999999909</v>
      </c>
      <c r="IO120" s="39">
        <f t="shared" si="274"/>
        <v>0</v>
      </c>
      <c r="IP120" s="39">
        <f t="shared" si="275"/>
        <v>0</v>
      </c>
      <c r="IQ120" s="39">
        <f t="shared" si="276"/>
        <v>0</v>
      </c>
      <c r="IR120" s="39">
        <v>0</v>
      </c>
      <c r="IS120" s="39">
        <v>0</v>
      </c>
      <c r="IT120" s="39">
        <v>0</v>
      </c>
      <c r="IU120" s="39">
        <v>0</v>
      </c>
      <c r="IV120" s="39">
        <v>0</v>
      </c>
      <c r="IW120" s="39">
        <v>0</v>
      </c>
      <c r="IX120" s="39">
        <f>INDEX(Input!$1:$1048576,IX$93,$C120*2+6)+INDEX(Input!$1:$1048576,IX$94,$C120*2+6)</f>
        <v>1600</v>
      </c>
      <c r="IY120" s="39">
        <f>INDEX(Input!$1:$1048576,IY$93,$C120*2+6)+INDEX(Input!$1:$1048576,IY$94,$C120*2+6)</f>
        <v>2503.5492916397525</v>
      </c>
      <c r="IZ120" s="39">
        <f>INDEX(Input!$1:$1048576,IZ$93,$C120*2+6)+INDEX(Input!$1:$1048576,IZ$94,$C120*2+6)</f>
        <v>6273.7109265464023</v>
      </c>
      <c r="JA120" s="19">
        <f t="shared" si="179"/>
        <v>2000.0000000000002</v>
      </c>
      <c r="JB120" s="19">
        <f t="shared" si="180"/>
        <v>2507.2977084841341</v>
      </c>
      <c r="JC120" s="19">
        <f t="shared" si="181"/>
        <v>6598.7109265464014</v>
      </c>
      <c r="JD120" s="19">
        <f t="shared" si="182"/>
        <v>5340.1330829853277</v>
      </c>
      <c r="JE120" s="21"/>
      <c r="JF120" s="1">
        <f t="shared" si="277"/>
        <v>7.6148954918618686E-2</v>
      </c>
      <c r="JG120" s="15">
        <f>INDEX(Input!$1:$1048576,JG$93,$C120*2+6)/(1+VLOOKUP(C120*1000+INDEX(Input!$1:$1048576,JG$93+1,$C120*2+6),$A:$KK,$JK$92,FALSE))</f>
        <v>978</v>
      </c>
      <c r="JH120" s="1">
        <f t="shared" si="251"/>
        <v>5.3284097732951785E-2</v>
      </c>
      <c r="JI120" s="1">
        <f t="shared" si="252"/>
        <v>1.5388086724299452E-2</v>
      </c>
      <c r="JJ120" s="1">
        <f t="shared" si="253"/>
        <v>0</v>
      </c>
      <c r="JK120" s="1">
        <f t="shared" si="254"/>
        <v>6.8672184457251234E-2</v>
      </c>
      <c r="JL120" s="15">
        <f t="shared" si="184"/>
        <v>67.161396399191702</v>
      </c>
      <c r="JM120" s="15">
        <f t="shared" si="185"/>
        <v>1045.1613963991917</v>
      </c>
      <c r="JN120" s="21"/>
      <c r="JO120" s="19">
        <f>INDEX(Input!$1:$1048576,JO$93,$C120*2+6)</f>
        <v>5908.5</v>
      </c>
      <c r="JP120" s="19">
        <f>INDEX(Input!$1:$1048576,JP$93,$C120*2+6)</f>
        <v>4993.2939301234746</v>
      </c>
      <c r="JQ120" s="39">
        <f t="shared" si="186"/>
        <v>568.36691701467225</v>
      </c>
      <c r="JR120" s="39">
        <f t="shared" si="187"/>
        <v>346.83915286185311</v>
      </c>
      <c r="JS120" s="39">
        <f t="shared" si="188"/>
        <v>5.5813009499704664</v>
      </c>
      <c r="JT120" s="39">
        <f t="shared" si="189"/>
        <v>0.69785948630970807</v>
      </c>
      <c r="JU120" s="385">
        <f>(JQ120*JM120-INDEX(Input!$1:$1048576,Input!A$18,$C120*2+6)*JL120*INDEX(Input!$1:$1048576,Input!A$19,$C120*2+6))/1000000</f>
        <v>0.59403516065415829</v>
      </c>
      <c r="JV120" s="39">
        <f t="shared" si="192"/>
        <v>-0.30103637568508346</v>
      </c>
      <c r="JW120" s="1">
        <f t="shared" si="190"/>
        <v>-0.33632661017944315</v>
      </c>
      <c r="JX120" s="19">
        <f t="shared" si="191"/>
        <v>10390.782856297297</v>
      </c>
      <c r="JZ120" s="341"/>
      <c r="KA120" s="342"/>
      <c r="KB120" s="469">
        <f t="shared" si="110"/>
        <v>3.2656316020464753</v>
      </c>
      <c r="KI120" s="473">
        <f t="shared" si="278"/>
        <v>12.039497866348171</v>
      </c>
      <c r="KJ120" s="473">
        <f t="shared" si="279"/>
        <v>-6.2441109505531927</v>
      </c>
      <c r="KK120" s="473">
        <f t="shared" si="257"/>
        <v>61.366009483396851</v>
      </c>
      <c r="KN120" s="544">
        <f t="shared" si="258"/>
        <v>1002</v>
      </c>
      <c r="KO120" s="541">
        <f t="shared" si="280"/>
        <v>-1.2236993492110493E-2</v>
      </c>
      <c r="KP120" s="546">
        <f t="shared" si="281"/>
        <v>-50.710811722314197</v>
      </c>
      <c r="KQ120" s="546">
        <f t="shared" si="282"/>
        <v>-14.320816990112689</v>
      </c>
      <c r="KR120" s="548">
        <f t="shared" si="283"/>
        <v>3.4605079930537297</v>
      </c>
      <c r="KS120" s="548">
        <f t="shared" si="284"/>
        <v>12.253851817285891</v>
      </c>
      <c r="KT120" s="473">
        <f t="shared" si="112"/>
        <v>-82.310573396665475</v>
      </c>
      <c r="KU120" s="663">
        <f t="shared" si="285"/>
        <v>-50.51889694775727</v>
      </c>
      <c r="KV120" s="117"/>
    </row>
    <row r="121" spans="1:308" s="26" customFormat="1" ht="15">
      <c r="A121" s="561">
        <f t="shared" si="168"/>
        <v>1021</v>
      </c>
      <c r="B121" s="561">
        <f t="shared" si="104"/>
        <v>21</v>
      </c>
      <c r="C121" s="561">
        <f t="shared" si="105"/>
        <v>1</v>
      </c>
      <c r="D121" s="561" t="str">
        <f t="shared" ref="D121:D152" si="287">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0/0/0.9/3.9, </v>
      </c>
      <c r="E121" s="475">
        <f>INDEX(Input!$1:$1048576,E$93,$C121*2+MIN($B121,2)+5)
+INDEX(Scenarios!E$121:E$200,MATCH($B121,Scenarios!$B$121:$B$200,0))</f>
        <v>1250</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8.9999999999999993E-3</v>
      </c>
      <c r="W121" s="863">
        <f>IFERROR(MAX(0,INDEX(Input!$1:$1048576,W$93,$C121*2+MIN($B121,2)+5)-0%,),"Market")</f>
        <v>3.9E-2</v>
      </c>
      <c r="X121" s="476" t="str">
        <f>INDEX(Input!$1:$1048576,X$93,$C121*2+MIN($B121,2)+5)</f>
        <v>Y</v>
      </c>
      <c r="Y121" s="475">
        <f>INDEX(Input!$1:$1048576,Y$93,$C121*2+MIN($B121,2)+5)
++INDEX(Scenarios!Y$121:Y$200,MATCH($B121,Scenarios!$B$121:$B$200,0))</f>
        <v>2826</v>
      </c>
      <c r="Z121" s="477">
        <f>INDEX(Input!$1:$1048576,Z$93,$C121*2+MIN($B121,2)+5)
+INDEX(Scenarios!Z$121:Z$200,MATCH($B121,Scenarios!$B$121:$B$200,0))</f>
        <v>0</v>
      </c>
      <c r="AA121" s="475">
        <f>INDEX(Input!$1:$1048576,AA$93,$C121*2+MIN($B121,2)+5)</f>
        <v>0</v>
      </c>
      <c r="AB121" s="476">
        <f>INDEX(Input!$1:$1048576,AB$93,$C121*2+MIN($B121,2)+5)</f>
        <v>1</v>
      </c>
      <c r="AC121" s="475">
        <f>INDEX(Input!$1:$1048576,AC$93,$C121*2+MIN($B121,2)+5)
+INDEX(Scenarios!AC$121:AC$200,MATCH($B121,Scenarios!$B$121:$B$200,0))</f>
        <v>0</v>
      </c>
      <c r="AD121" s="476">
        <f>INDEX(Input!$1:$1048576,AD$93,$C121*2+MIN($B121,2)+5)</f>
        <v>0.35</v>
      </c>
      <c r="AE121" s="475">
        <f>INDEX(Input!$1:$1048576,AE$93,$C121*2+MIN($B121,2)+5)
+INDEX(Scenarios!AE$121:AE$200,MATCH($B121,Scenarios!$B$121:$B$200,0))</f>
        <v>0</v>
      </c>
      <c r="AF121" s="476">
        <f>INDEX(Input!$1:$1048576,AF$93,$C121*2+MIN($B121,2)+5)</f>
        <v>1</v>
      </c>
      <c r="AG121" s="475">
        <f>INDEX(Input!$1:$1048576,AG$93,$C121*2+MIN($B121,2)+5)
+INDEX(Scenarios!AG$121:AG$200,MATCH($B121,Scenarios!$B$121:$B$200,0))</f>
        <v>0</v>
      </c>
      <c r="AH121" s="476">
        <f>INDEX(Input!$1:$1048576,AH$93,$C121*2+MIN($B121,2)+5)</f>
        <v>1</v>
      </c>
      <c r="AI121" s="475">
        <f>INDEX(Input!$1:$1048576,AI$93,$C121*2+MIN($B121,2)+5)
+INDEX(Scenarios!AI$121:AI$200,MATCH($B121,Scenarios!$B$121:$B$200,0))</f>
        <v>0</v>
      </c>
      <c r="AJ121" s="476">
        <f>INDEX(Input!$1:$1048576,AJ$93,$C121*2+MIN($B121,2)+5)</f>
        <v>0.35</v>
      </c>
      <c r="AK121" s="150">
        <f>ROUND(INDEX(Input!$1:$1048576,AK$93,$C120*2+MIN($B121,1)+5)+(Y121-VLOOKUP($C121*1000+1,$A:$HH,Y$92,FALSE)),0)</f>
        <v>5482</v>
      </c>
      <c r="AL121" s="150">
        <f>ROUND(INDEX(Input!$1:$1048576,AL$93,$C120*2+MIN($B121,1)+5)-(Y121-VLOOKUP($C121*1000+1,$A:$HH,Y$92,FALSE))/36,0)</f>
        <v>5602</v>
      </c>
      <c r="AM121" s="32" t="str">
        <f t="shared" si="169"/>
        <v>std/std/std/std</v>
      </c>
      <c r="AN121" s="32" t="str">
        <f t="shared" si="170"/>
        <v>$0 + 0/0/0/0.9/3.9</v>
      </c>
      <c r="AO121" s="32" t="str">
        <f t="shared" si="171"/>
        <v>0/0/0/0.9/3.9</v>
      </c>
      <c r="AP121" s="32" t="str">
        <f t="shared" si="73"/>
        <v>0/0/0.9/3.9</v>
      </c>
      <c r="AQ121" s="536">
        <f t="shared" si="39"/>
        <v>0.15477631859961941</v>
      </c>
      <c r="AR121" s="32"/>
      <c r="AS121" s="302"/>
      <c r="AT121" s="3">
        <f t="shared" si="106"/>
        <v>21</v>
      </c>
      <c r="AU121" s="41" t="s">
        <v>121</v>
      </c>
      <c r="AV121" s="41" t="s">
        <v>116</v>
      </c>
      <c r="AW121" s="41" t="str">
        <f>INDEX(Input!$1:$1048576,AW$93,$C121*2+6)</f>
        <v>Kia</v>
      </c>
      <c r="AX121" s="41" t="str">
        <f>INDEX(Input!$1:$1048576,AX$93,$C121*2+6)</f>
        <v>Kia-LR - L1</v>
      </c>
      <c r="AY121" s="41" t="str">
        <f>IF(LEN(D121)=0,"",INDEX(Input!$1:$1048576,AY$93,$C121*2+6))</f>
        <v>Compact Conventional/Sporty Car (43)</v>
      </c>
      <c r="AZ121" s="41" t="str">
        <f>INDEX(Input!$1:$1048576,AZ$93,$C121*2+6)</f>
        <v>Kia Forte</v>
      </c>
      <c r="BA121" s="3">
        <f>INDEX(Input!$1:$1048576,BA$93,$C121*2+6)</f>
        <v>2020</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19695</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4"/>
        <v>1250</v>
      </c>
      <c r="CJ121" s="16" t="str">
        <f>INDEX(Input!$1:$1048576,CJ$93,$C121*2+6)</f>
        <v>N</v>
      </c>
      <c r="CK121" s="1" t="str">
        <f t="shared" si="75"/>
        <v>Market</v>
      </c>
      <c r="CL121" s="1" t="str">
        <f t="shared" si="76"/>
        <v>Market</v>
      </c>
      <c r="CM121" s="1" t="str">
        <f t="shared" si="77"/>
        <v>Market</v>
      </c>
      <c r="CN121" s="1" t="str">
        <f t="shared" si="78"/>
        <v>Market</v>
      </c>
      <c r="CO121" s="1" t="str">
        <f t="shared" si="79"/>
        <v>Market</v>
      </c>
      <c r="CP121" s="304">
        <f t="shared" si="80"/>
        <v>0</v>
      </c>
      <c r="CQ121" s="1">
        <f t="shared" si="81"/>
        <v>0</v>
      </c>
      <c r="CR121" s="1">
        <f t="shared" si="82"/>
        <v>0</v>
      </c>
      <c r="CS121" s="1">
        <f t="shared" si="83"/>
        <v>0</v>
      </c>
      <c r="CT121" s="1">
        <f t="shared" si="84"/>
        <v>8.9999999999999993E-3</v>
      </c>
      <c r="CU121" s="1">
        <f t="shared" si="85"/>
        <v>3.9E-2</v>
      </c>
      <c r="CV121" s="304">
        <f t="shared" si="86"/>
        <v>2826</v>
      </c>
      <c r="CW121" s="20" t="s">
        <v>122</v>
      </c>
      <c r="CX121" s="20" t="s">
        <v>122</v>
      </c>
      <c r="CY121" s="20" t="s">
        <v>122</v>
      </c>
      <c r="CZ121" s="20" t="s">
        <v>122</v>
      </c>
      <c r="DA121" s="20" t="s">
        <v>122</v>
      </c>
      <c r="DB121" s="503">
        <f t="shared" si="87"/>
        <v>0</v>
      </c>
      <c r="DC121" s="127">
        <v>0</v>
      </c>
      <c r="DD121" s="127">
        <v>0</v>
      </c>
      <c r="DE121" s="127">
        <v>0</v>
      </c>
      <c r="DF121" s="127">
        <v>0</v>
      </c>
      <c r="DG121" s="127">
        <v>0</v>
      </c>
      <c r="DH121" s="127">
        <v>0</v>
      </c>
      <c r="DI121" s="127">
        <v>0</v>
      </c>
      <c r="DJ121" s="127">
        <v>0</v>
      </c>
      <c r="DK121" s="127">
        <v>0</v>
      </c>
      <c r="DL121" s="127">
        <v>0</v>
      </c>
      <c r="DM121" s="304">
        <f>INDEX(Input!$1:$1048576,DM$93,$C121*2+6)</f>
        <v>20731.578947368424</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1.383056367740579E-2</v>
      </c>
      <c r="DZ121" s="7">
        <v>0</v>
      </c>
      <c r="EA121" s="7">
        <v>0.21639369772908046</v>
      </c>
      <c r="EB121" s="7">
        <v>0</v>
      </c>
      <c r="EC121" s="7">
        <v>0</v>
      </c>
      <c r="ED121" s="7">
        <v>0</v>
      </c>
      <c r="EE121" s="7">
        <v>0</v>
      </c>
      <c r="EF121" s="7">
        <v>0</v>
      </c>
      <c r="EG121" s="7">
        <v>0</v>
      </c>
      <c r="EH121" s="7">
        <v>1.4476869635993298E-2</v>
      </c>
      <c r="EI121" s="7">
        <v>2.603945677232276E-2</v>
      </c>
      <c r="EJ121" s="7">
        <v>0.20479017957701892</v>
      </c>
      <c r="EK121" s="7">
        <v>0.7231738993961041</v>
      </c>
      <c r="EL121" s="7">
        <v>3.1519594618561166E-2</v>
      </c>
      <c r="EM121" s="7">
        <v>1.8754287021462784E-2</v>
      </c>
      <c r="EN121" s="7">
        <v>5.6686594175933754E-2</v>
      </c>
      <c r="EO121" s="7">
        <v>0.54216995014193592</v>
      </c>
      <c r="EP121" s="7">
        <v>0.3117315538121922</v>
      </c>
      <c r="EQ121" s="7">
        <v>5.1954312326603476E-2</v>
      </c>
      <c r="ER121" s="7">
        <v>3.7457589543334731E-2</v>
      </c>
      <c r="ES121" s="7">
        <v>0.75102145157205091</v>
      </c>
      <c r="ET121" s="7">
        <v>0.76977573859351378</v>
      </c>
      <c r="EU121" s="6">
        <v>1600</v>
      </c>
      <c r="EV121" s="6">
        <v>0</v>
      </c>
      <c r="EW121" s="6">
        <v>1600</v>
      </c>
      <c r="EX121" s="6">
        <v>0</v>
      </c>
      <c r="EY121" s="6">
        <v>2963.2578502881047</v>
      </c>
      <c r="EZ121" s="6">
        <v>4822.9999999999991</v>
      </c>
      <c r="FA121" s="6">
        <v>0</v>
      </c>
      <c r="FB121" s="6">
        <v>0</v>
      </c>
      <c r="FC121" s="6">
        <v>0</v>
      </c>
      <c r="FD121" s="6">
        <v>0</v>
      </c>
      <c r="FE121" s="6">
        <v>0</v>
      </c>
      <c r="FF121" s="6">
        <v>0</v>
      </c>
      <c r="FG121" s="6">
        <v>0</v>
      </c>
      <c r="FH121" s="6">
        <v>1152.120827037782</v>
      </c>
      <c r="FI121" s="6">
        <v>1531.4299904380616</v>
      </c>
      <c r="FJ121" s="6">
        <v>2070.7205842538224</v>
      </c>
      <c r="FK121" s="6">
        <v>2218.6393698501015</v>
      </c>
      <c r="FL121" s="6">
        <v>893.91433563489386</v>
      </c>
      <c r="FM121" s="6">
        <v>2113.2578502881047</v>
      </c>
      <c r="FN121" s="6">
        <v>0</v>
      </c>
      <c r="FO121" s="6">
        <v>0</v>
      </c>
      <c r="FP121" s="6">
        <v>0</v>
      </c>
      <c r="FQ121" s="6">
        <v>0</v>
      </c>
      <c r="FR121" s="6">
        <v>0</v>
      </c>
      <c r="FS121" s="6">
        <v>0</v>
      </c>
      <c r="FT121" s="7">
        <v>0.23022426140648625</v>
      </c>
      <c r="FU121" s="7">
        <v>1.8754287021462784E-2</v>
      </c>
      <c r="FV121" s="7">
        <v>0.75102145157205091</v>
      </c>
      <c r="FW121" s="6">
        <v>1600.0000000000002</v>
      </c>
      <c r="FX121" s="6">
        <v>2963.2578502881047</v>
      </c>
      <c r="FY121" s="6">
        <v>4822.9999999999991</v>
      </c>
      <c r="FZ121" s="6">
        <v>3077.4375890575293</v>
      </c>
      <c r="GA121" s="6">
        <v>4046.1090674252846</v>
      </c>
      <c r="GB121" s="6">
        <v>15648.890932574715</v>
      </c>
      <c r="GC121" s="7">
        <v>7.0901643973087014E-2</v>
      </c>
      <c r="GD121" s="7">
        <v>8.052815407047284E-2</v>
      </c>
      <c r="GE121" s="7"/>
      <c r="GF121" s="7"/>
      <c r="GG121" s="7">
        <v>0.13577273470612156</v>
      </c>
      <c r="GH121" s="42">
        <v>2.7605272476308689</v>
      </c>
      <c r="GI121" s="6">
        <v>11180.615715350094</v>
      </c>
      <c r="GJ121" s="14">
        <v>0.51074630601039561</v>
      </c>
      <c r="GK121" s="14">
        <v>0.50829519786160993</v>
      </c>
      <c r="GL121" s="14">
        <v>0.4892536939896045</v>
      </c>
      <c r="GM121" s="14">
        <v>0.4917048021383903</v>
      </c>
      <c r="GO121" s="5">
        <v>338.16872463277008</v>
      </c>
      <c r="GP121" s="5">
        <v>307.64377699166363</v>
      </c>
      <c r="GQ121" s="5">
        <v>527.27910984145694</v>
      </c>
      <c r="GR121" s="5">
        <v>404.20319246551543</v>
      </c>
      <c r="GS121" s="5">
        <v>334.50205195691484</v>
      </c>
      <c r="GT121" s="5">
        <v>289.18266033348181</v>
      </c>
      <c r="GU121" s="5">
        <v>254.29573314828914</v>
      </c>
      <c r="GV121" s="39" t="s">
        <v>392</v>
      </c>
      <c r="GW121" s="5">
        <v>468.76388888888891</v>
      </c>
      <c r="GX121" s="5">
        <v>351.57291666666669</v>
      </c>
      <c r="GY121" s="5">
        <v>281.25833333333333</v>
      </c>
      <c r="GZ121" s="5">
        <v>240.8550698915011</v>
      </c>
      <c r="HA121" s="5">
        <v>229.8919505212948</v>
      </c>
      <c r="HB121" s="39">
        <v>254.96614723549274</v>
      </c>
      <c r="HC121" s="5">
        <v>72.109375000000014</v>
      </c>
      <c r="HD121" s="5">
        <v>92.305464181286524</v>
      </c>
      <c r="HE121" s="5">
        <v>103.7516995614035</v>
      </c>
      <c r="HF121" s="5">
        <v>106.17129934210527</v>
      </c>
      <c r="HG121" s="5">
        <v>115.13410087719299</v>
      </c>
      <c r="HH121" s="39">
        <v>96.304265044073475</v>
      </c>
      <c r="HI121" s="16"/>
      <c r="HJ121" s="19" t="str">
        <f t="shared" ref="HJ121" si="288">HJ120</f>
        <v>On</v>
      </c>
      <c r="HK121" s="1" t="str">
        <f t="shared" si="108"/>
        <v>On</v>
      </c>
      <c r="HL121" s="16"/>
      <c r="HM121" s="639">
        <f t="shared" si="261"/>
        <v>1.7699001661282989E-2</v>
      </c>
      <c r="HN121" s="639">
        <f t="shared" si="262"/>
        <v>1.0509929974846072E-3</v>
      </c>
      <c r="HO121" s="639">
        <f t="shared" si="263"/>
        <v>5.7398960259851091E-2</v>
      </c>
      <c r="HP121" s="644">
        <f>(FT121*$GD121-HM121)/$JF121*INDEX(Input!$1:$1048576,$JG$93,$C121*2+6)</f>
        <v>10.795176427482836</v>
      </c>
      <c r="HQ121" s="644">
        <f>(FU121*$GD121-HN121)/$JF121*INDEX(Input!$1:$1048576,$JG$93,$C121*2+6)</f>
        <v>5.8983278911952919</v>
      </c>
      <c r="HR121" s="644">
        <f>(FV121*$GD121-HO121)/$JF121*INDEX(Input!$1:$1048576,$JG$93,$C121*2+6)</f>
        <v>39.54964143546254</v>
      </c>
      <c r="HS121" s="644">
        <f t="shared" si="264"/>
        <v>-0.25459703557275681</v>
      </c>
      <c r="HT121" s="644">
        <f t="shared" si="265"/>
        <v>17.785996594958618</v>
      </c>
      <c r="HU121" s="644">
        <f t="shared" si="266"/>
        <v>17.772662487274605</v>
      </c>
      <c r="HV121" s="648">
        <f t="shared" si="267"/>
        <v>0</v>
      </c>
      <c r="HW121" s="648">
        <f t="shared" si="268"/>
        <v>0</v>
      </c>
      <c r="HX121" s="648">
        <f t="shared" si="269"/>
        <v>0</v>
      </c>
      <c r="HY121" s="644">
        <f>INDEX(Input!$1:$1048576,HY$93,$C121*2+6)*INDEX(Input!$1:$1048576,$JG$93,$C121*2+6)</f>
        <v>154.99999999999997</v>
      </c>
      <c r="HZ121" s="644">
        <f>INDEX(Input!$1:$1048576,HZ$93,$C121*2+6)*INDEX(Input!$1:$1048576,$JG$93,$C121*2+6)</f>
        <v>140</v>
      </c>
      <c r="IA121" s="644">
        <f>INDEX(Input!$1:$1048576,IA$93,$C121*2+6)*INDEX(Input!$1:$1048576,$JG$93,$C121*2+6)</f>
        <v>683</v>
      </c>
      <c r="IB121" s="644">
        <f t="shared" si="249"/>
        <v>165.54057939191011</v>
      </c>
      <c r="IC121" s="644">
        <f t="shared" si="172"/>
        <v>163.68432448615391</v>
      </c>
      <c r="ID121" s="644">
        <f>IF(AND(INDEX(Input!$1:$1048576,IA$93,$C121*2+7)="TOS",Y121&lt;=INDEX(Y:Y,MATCH(C121*1000+2,A:A))),0,1)*MAX(IA121+HR121+HU121+HX121,0%)</f>
        <v>740.32230392273709</v>
      </c>
      <c r="IE121" s="128">
        <f t="shared" si="270"/>
        <v>0.15477631859961941</v>
      </c>
      <c r="IF121" s="128">
        <f t="shared" si="174"/>
        <v>0.15304076649661963</v>
      </c>
      <c r="IG121" s="128">
        <f t="shared" si="175"/>
        <v>0.69218291490376105</v>
      </c>
      <c r="IH121" s="21"/>
      <c r="II121" s="19">
        <f t="shared" si="271"/>
        <v>1200</v>
      </c>
      <c r="IJ121" s="19">
        <f t="shared" si="272"/>
        <v>2231.5502763133163</v>
      </c>
      <c r="IK121" s="19">
        <f t="shared" si="273"/>
        <v>4498</v>
      </c>
      <c r="IL121" s="19">
        <f t="shared" si="176"/>
        <v>400.00000000000023</v>
      </c>
      <c r="IM121" s="19">
        <f t="shared" si="177"/>
        <v>731.70757397478837</v>
      </c>
      <c r="IN121" s="19">
        <f t="shared" si="178"/>
        <v>324.99999999999909</v>
      </c>
      <c r="IO121" s="39">
        <f t="shared" si="274"/>
        <v>0</v>
      </c>
      <c r="IP121" s="39">
        <f t="shared" si="275"/>
        <v>0</v>
      </c>
      <c r="IQ121" s="39">
        <f t="shared" si="276"/>
        <v>0</v>
      </c>
      <c r="IR121" s="39">
        <v>0</v>
      </c>
      <c r="IS121" s="39">
        <v>0</v>
      </c>
      <c r="IT121" s="39">
        <v>0</v>
      </c>
      <c r="IU121" s="39">
        <v>0</v>
      </c>
      <c r="IV121" s="39">
        <v>0</v>
      </c>
      <c r="IW121" s="39">
        <v>0</v>
      </c>
      <c r="IX121" s="39">
        <f>INDEX(Input!$1:$1048576,IX$93,$C121*2+6)+INDEX(Input!$1:$1048576,IX$94,$C121*2+6)</f>
        <v>1600</v>
      </c>
      <c r="IY121" s="39">
        <f>INDEX(Input!$1:$1048576,IY$93,$C121*2+6)+INDEX(Input!$1:$1048576,IY$94,$C121*2+6)</f>
        <v>2503.5492916397525</v>
      </c>
      <c r="IZ121" s="39">
        <f>INDEX(Input!$1:$1048576,IZ$93,$C121*2+6)+INDEX(Input!$1:$1048576,IZ$94,$C121*2+6)</f>
        <v>6273.7109265464023</v>
      </c>
      <c r="JA121" s="19">
        <f t="shared" si="179"/>
        <v>2000.0000000000002</v>
      </c>
      <c r="JB121" s="19">
        <f t="shared" si="180"/>
        <v>3235.2568656145409</v>
      </c>
      <c r="JC121" s="19">
        <f t="shared" si="181"/>
        <v>6598.7109265464014</v>
      </c>
      <c r="JD121" s="19">
        <f t="shared" si="182"/>
        <v>5372.1937914705259</v>
      </c>
      <c r="JE121" s="21"/>
      <c r="JF121" s="1">
        <f t="shared" si="277"/>
        <v>7.6148954918618686E-2</v>
      </c>
      <c r="JG121" s="15">
        <f>INDEX(Input!$1:$1048576,JG$93,$C121*2+6)/(1+VLOOKUP(C121*1000+INDEX(Input!$1:$1048576,JG$93+1,$C121*2+6),$A:$KK,$JK$92,FALSE))</f>
        <v>978</v>
      </c>
      <c r="JH121" s="1">
        <f t="shared" si="251"/>
        <v>5.7508328991963877E-2</v>
      </c>
      <c r="JI121" s="1">
        <f t="shared" si="252"/>
        <v>3.6098222951595565E-2</v>
      </c>
      <c r="JJ121" s="1">
        <f t="shared" si="253"/>
        <v>0</v>
      </c>
      <c r="JK121" s="1">
        <f t="shared" si="254"/>
        <v>9.3606551943559435E-2</v>
      </c>
      <c r="JL121" s="15">
        <f t="shared" si="184"/>
        <v>91.547207800801132</v>
      </c>
      <c r="JM121" s="15">
        <f t="shared" si="185"/>
        <v>1069.5472078008011</v>
      </c>
      <c r="JN121" s="21"/>
      <c r="JO121" s="19">
        <f>INDEX(Input!$1:$1048576,JO$93,$C121*2+6)</f>
        <v>5908.5</v>
      </c>
      <c r="JP121" s="19">
        <f>INDEX(Input!$1:$1048576,JP$93,$C121*2+6)</f>
        <v>4993.2939301234746</v>
      </c>
      <c r="JQ121" s="39">
        <f t="shared" si="186"/>
        <v>536.30620852947413</v>
      </c>
      <c r="JR121" s="39">
        <f t="shared" si="187"/>
        <v>378.89986134705123</v>
      </c>
      <c r="JS121" s="39">
        <f t="shared" si="188"/>
        <v>5.7458148694320998</v>
      </c>
      <c r="JT121" s="39">
        <f t="shared" si="189"/>
        <v>0.86237340577134214</v>
      </c>
      <c r="JU121" s="385">
        <f>(JQ121*JM121-INDEX(Input!$1:$1048576,Input!A$18,$C121*2+6)*JL121*INDEX(Input!$1:$1048576,Input!A$19,$C121*2+6))/1000000</f>
        <v>0.5736048078589332</v>
      </c>
      <c r="JV121" s="39">
        <f t="shared" si="192"/>
        <v>-0.32146672848030855</v>
      </c>
      <c r="JW121" s="1">
        <f t="shared" si="190"/>
        <v>-0.35915199559923128</v>
      </c>
      <c r="JX121" s="19">
        <f t="shared" si="191"/>
        <v>9419.9858902064243</v>
      </c>
      <c r="JZ121" s="341"/>
      <c r="KA121" s="342"/>
      <c r="KB121" s="469">
        <f t="shared" si="110"/>
        <v>3.2656316020464753</v>
      </c>
      <c r="KI121" s="473">
        <f t="shared" si="278"/>
        <v>10.540579391910143</v>
      </c>
      <c r="KJ121" s="473">
        <f t="shared" si="279"/>
        <v>23.684324486153912</v>
      </c>
      <c r="KK121" s="473">
        <f t="shared" si="257"/>
        <v>57.322303922737092</v>
      </c>
      <c r="KN121" s="544">
        <f t="shared" si="258"/>
        <v>1002</v>
      </c>
      <c r="KO121" s="541">
        <f t="shared" si="280"/>
        <v>1.0809592871655171E-2</v>
      </c>
      <c r="KP121" s="546">
        <f t="shared" si="281"/>
        <v>50.764781373835909</v>
      </c>
      <c r="KQ121" s="546">
        <f t="shared" si="282"/>
        <v>17.739891495085431</v>
      </c>
      <c r="KR121" s="548">
        <f t="shared" si="283"/>
        <v>3.0536025311903061</v>
      </c>
      <c r="KS121" s="548">
        <f t="shared" si="284"/>
        <v>8.7382419977829375</v>
      </c>
      <c r="KT121" s="473">
        <f t="shared" si="112"/>
        <v>-82.310573396665475</v>
      </c>
      <c r="KU121" s="663">
        <f t="shared" si="285"/>
        <v>-51.303544392882493</v>
      </c>
      <c r="KV121" s="117"/>
    </row>
    <row r="122" spans="1:308" s="26" customFormat="1" ht="15">
      <c r="A122" s="561">
        <f t="shared" si="168"/>
        <v>1022</v>
      </c>
      <c r="B122" s="561">
        <f t="shared" si="104"/>
        <v>22</v>
      </c>
      <c r="C122" s="561">
        <f t="shared" si="105"/>
        <v>1</v>
      </c>
      <c r="D122" s="561" t="str">
        <f t="shared" si="287"/>
        <v xml:space="preserve">0/1.9/2.9/3.9, </v>
      </c>
      <c r="E122" s="475">
        <f>INDEX(Input!$1:$1048576,E$93,$C122*2+MIN($B122,2)+5)
+INDEX(Scenarios!E$121:E$200,MATCH($B122,Scenarios!$B$121:$B$200,0))</f>
        <v>1250</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2.8999999999999998E-2</v>
      </c>
      <c r="W122" s="863">
        <f>IFERROR(MAX(0,INDEX(Input!$1:$1048576,W$93,$C122*2+MIN($B122,2)+5)-0%,),"Market")</f>
        <v>3.9E-2</v>
      </c>
      <c r="X122" s="476" t="str">
        <f>INDEX(Input!$1:$1048576,X$93,$C122*2+MIN($B122,2)+5)</f>
        <v>Y</v>
      </c>
      <c r="Y122" s="475">
        <f>INDEX(Input!$1:$1048576,Y$93,$C122*2+MIN($B122,2)+5)
++INDEX(Scenarios!Y$121:Y$200,MATCH($B122,Scenarios!$B$121:$B$200,0))</f>
        <v>2826</v>
      </c>
      <c r="Z122" s="477">
        <f>INDEX(Input!$1:$1048576,Z$93,$C122*2+MIN($B122,2)+5)
+INDEX(Scenarios!Z$121:Z$200,MATCH($B122,Scenarios!$B$121:$B$200,0))</f>
        <v>0</v>
      </c>
      <c r="AA122" s="475">
        <f>INDEX(Input!$1:$1048576,AA$93,$C122*2+MIN($B122,2)+5)</f>
        <v>0</v>
      </c>
      <c r="AB122" s="476">
        <f>INDEX(Input!$1:$1048576,AB$93,$C122*2+MIN($B122,2)+5)</f>
        <v>1</v>
      </c>
      <c r="AC122" s="475">
        <f>INDEX(Input!$1:$1048576,AC$93,$C122*2+MIN($B122,2)+5)
+INDEX(Scenarios!AC$121:AC$200,MATCH($B122,Scenarios!$B$121:$B$200,0))</f>
        <v>0</v>
      </c>
      <c r="AD122" s="476">
        <f>INDEX(Input!$1:$1048576,AD$93,$C122*2+MIN($B122,2)+5)</f>
        <v>0.35</v>
      </c>
      <c r="AE122" s="475">
        <f>INDEX(Input!$1:$1048576,AE$93,$C122*2+MIN($B122,2)+5)
+INDEX(Scenarios!AE$121:AE$200,MATCH($B122,Scenarios!$B$121:$B$200,0))</f>
        <v>0</v>
      </c>
      <c r="AF122" s="476">
        <f>INDEX(Input!$1:$1048576,AF$93,$C122*2+MIN($B122,2)+5)</f>
        <v>1</v>
      </c>
      <c r="AG122" s="475">
        <f>INDEX(Input!$1:$1048576,AG$93,$C122*2+MIN($B122,2)+5)
+INDEX(Scenarios!AG$121:AG$200,MATCH($B122,Scenarios!$B$121:$B$200,0))</f>
        <v>0</v>
      </c>
      <c r="AH122" s="476">
        <f>INDEX(Input!$1:$1048576,AH$93,$C122*2+MIN($B122,2)+5)</f>
        <v>1</v>
      </c>
      <c r="AI122" s="475">
        <f>INDEX(Input!$1:$1048576,AI$93,$C122*2+MIN($B122,2)+5)
+INDEX(Scenarios!AI$121:AI$200,MATCH($B122,Scenarios!$B$121:$B$200,0))</f>
        <v>0</v>
      </c>
      <c r="AJ122" s="476">
        <f>INDEX(Input!$1:$1048576,AJ$93,$C122*2+MIN($B122,2)+5)</f>
        <v>0.35</v>
      </c>
      <c r="AK122" s="150">
        <f>ROUND(INDEX(Input!$1:$1048576,AK$93,$C121*2+MIN($B122,1)+5)+(Y122-VLOOKUP($C122*1000+1,$A:$HH,Y$92,FALSE)),0)</f>
        <v>5482</v>
      </c>
      <c r="AL122" s="150">
        <f>ROUND(INDEX(Input!$1:$1048576,AL$93,$C121*2+MIN($B122,1)+5)-(Y122-VLOOKUP($C122*1000+1,$A:$HH,Y$92,FALSE))/36,0)</f>
        <v>5602</v>
      </c>
      <c r="AM122" s="32" t="str">
        <f t="shared" si="169"/>
        <v>std/std/std/std</v>
      </c>
      <c r="AN122" s="32" t="str">
        <f t="shared" si="170"/>
        <v>$0 + 0/0/0/2.9/3.9</v>
      </c>
      <c r="AO122" s="32" t="str">
        <f t="shared" si="171"/>
        <v>0/0/0/2.9/3.9</v>
      </c>
      <c r="AP122" s="32" t="str">
        <f t="shared" si="73"/>
        <v>0/1.9/2.9/3.9</v>
      </c>
      <c r="AQ122" s="536">
        <f t="shared" si="39"/>
        <v>0.15885990172024056</v>
      </c>
      <c r="AR122" s="32"/>
      <c r="AS122" s="302"/>
      <c r="AT122" s="3">
        <f t="shared" si="106"/>
        <v>22</v>
      </c>
      <c r="AU122" s="41" t="s">
        <v>121</v>
      </c>
      <c r="AV122" s="41" t="s">
        <v>116</v>
      </c>
      <c r="AW122" s="41" t="str">
        <f>INDEX(Input!$1:$1048576,AW$93,$C122*2+6)</f>
        <v>Kia</v>
      </c>
      <c r="AX122" s="41" t="str">
        <f>INDEX(Input!$1:$1048576,AX$93,$C122*2+6)</f>
        <v>Kia-LR - L1</v>
      </c>
      <c r="AY122" s="41" t="str">
        <f>IF(LEN(D122)=0,"",INDEX(Input!$1:$1048576,AY$93,$C122*2+6))</f>
        <v>Compact Conventional/Sporty Car (43)</v>
      </c>
      <c r="AZ122" s="41" t="str">
        <f>INDEX(Input!$1:$1048576,AZ$93,$C122*2+6)</f>
        <v>Kia Forte</v>
      </c>
      <c r="BA122" s="3">
        <f>INDEX(Input!$1:$1048576,BA$93,$C122*2+6)</f>
        <v>2020</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19695</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4"/>
        <v>1250</v>
      </c>
      <c r="CJ122" s="16" t="str">
        <f>INDEX(Input!$1:$1048576,CJ$93,$C122*2+6)</f>
        <v>N</v>
      </c>
      <c r="CK122" s="1" t="str">
        <f t="shared" si="75"/>
        <v>Market</v>
      </c>
      <c r="CL122" s="1" t="str">
        <f t="shared" si="76"/>
        <v>Market</v>
      </c>
      <c r="CM122" s="1" t="str">
        <f t="shared" si="77"/>
        <v>Market</v>
      </c>
      <c r="CN122" s="1" t="str">
        <f t="shared" si="78"/>
        <v>Market</v>
      </c>
      <c r="CO122" s="1" t="str">
        <f t="shared" si="79"/>
        <v>Market</v>
      </c>
      <c r="CP122" s="304">
        <f t="shared" si="80"/>
        <v>0</v>
      </c>
      <c r="CQ122" s="1">
        <f t="shared" si="81"/>
        <v>0</v>
      </c>
      <c r="CR122" s="1">
        <f t="shared" si="82"/>
        <v>0</v>
      </c>
      <c r="CS122" s="1">
        <f t="shared" si="83"/>
        <v>0</v>
      </c>
      <c r="CT122" s="1">
        <f t="shared" si="84"/>
        <v>2.8999999999999998E-2</v>
      </c>
      <c r="CU122" s="1">
        <f t="shared" si="85"/>
        <v>3.9E-2</v>
      </c>
      <c r="CV122" s="304">
        <f t="shared" si="86"/>
        <v>2826</v>
      </c>
      <c r="CW122" s="20" t="s">
        <v>122</v>
      </c>
      <c r="CX122" s="20" t="s">
        <v>122</v>
      </c>
      <c r="CY122" s="20" t="s">
        <v>122</v>
      </c>
      <c r="CZ122" s="20" t="s">
        <v>122</v>
      </c>
      <c r="DA122" s="20" t="s">
        <v>122</v>
      </c>
      <c r="DB122" s="503">
        <f t="shared" si="87"/>
        <v>0</v>
      </c>
      <c r="DC122" s="127">
        <v>0</v>
      </c>
      <c r="DD122" s="127">
        <v>0</v>
      </c>
      <c r="DE122" s="127">
        <v>0</v>
      </c>
      <c r="DF122" s="127">
        <v>0</v>
      </c>
      <c r="DG122" s="127">
        <v>0</v>
      </c>
      <c r="DH122" s="127">
        <v>0</v>
      </c>
      <c r="DI122" s="127">
        <v>0</v>
      </c>
      <c r="DJ122" s="127">
        <v>0</v>
      </c>
      <c r="DK122" s="127">
        <v>0</v>
      </c>
      <c r="DL122" s="127">
        <v>0</v>
      </c>
      <c r="DM122" s="304">
        <f>INDEX(Input!$1:$1048576,DM$93,$C122*2+6)</f>
        <v>20731.578947368424</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1.39477857122608E-2</v>
      </c>
      <c r="DZ122" s="7">
        <v>0</v>
      </c>
      <c r="EA122" s="7">
        <v>0.21816896734388269</v>
      </c>
      <c r="EB122" s="7">
        <v>0</v>
      </c>
      <c r="EC122" s="7">
        <v>0</v>
      </c>
      <c r="ED122" s="7">
        <v>0</v>
      </c>
      <c r="EE122" s="7">
        <v>0</v>
      </c>
      <c r="EF122" s="7">
        <v>0</v>
      </c>
      <c r="EG122" s="7">
        <v>0</v>
      </c>
      <c r="EH122" s="7">
        <v>2.6085430695167503E-2</v>
      </c>
      <c r="EI122" s="7">
        <v>4.6919704470187416E-2</v>
      </c>
      <c r="EJ122" s="7">
        <v>0.36900519039872542</v>
      </c>
      <c r="EK122" s="7">
        <v>0.5011954764058395</v>
      </c>
      <c r="EL122" s="7">
        <v>5.6794198030079728E-2</v>
      </c>
      <c r="EM122" s="7">
        <v>1.0496453739572783E-2</v>
      </c>
      <c r="EN122" s="7">
        <v>5.6686594175933733E-2</v>
      </c>
      <c r="EO122" s="7">
        <v>0.54216995014193581</v>
      </c>
      <c r="EP122" s="7">
        <v>0.3117315538121922</v>
      </c>
      <c r="EQ122" s="7">
        <v>5.1954312326603483E-2</v>
      </c>
      <c r="ER122" s="7">
        <v>3.7457589543334724E-2</v>
      </c>
      <c r="ES122" s="7">
        <v>0.7573867932042837</v>
      </c>
      <c r="ET122" s="7">
        <v>0.76788324694385646</v>
      </c>
      <c r="EU122" s="6">
        <v>1600</v>
      </c>
      <c r="EV122" s="6">
        <v>0</v>
      </c>
      <c r="EW122" s="6">
        <v>1600</v>
      </c>
      <c r="EX122" s="6">
        <v>0</v>
      </c>
      <c r="EY122" s="6">
        <v>2401.4588185896173</v>
      </c>
      <c r="EZ122" s="6">
        <v>4822.9999999999991</v>
      </c>
      <c r="FA122" s="6">
        <v>0</v>
      </c>
      <c r="FB122" s="6">
        <v>0</v>
      </c>
      <c r="FC122" s="6">
        <v>0</v>
      </c>
      <c r="FD122" s="6">
        <v>0</v>
      </c>
      <c r="FE122" s="6">
        <v>0</v>
      </c>
      <c r="FF122" s="6">
        <v>0</v>
      </c>
      <c r="FG122" s="6">
        <v>0</v>
      </c>
      <c r="FH122" s="6">
        <v>1152.1208270377815</v>
      </c>
      <c r="FI122" s="6">
        <v>1531.4299904380618</v>
      </c>
      <c r="FJ122" s="6">
        <v>2070.7205842538224</v>
      </c>
      <c r="FK122" s="6">
        <v>1266.3227157028193</v>
      </c>
      <c r="FL122" s="6">
        <v>893.91433563489375</v>
      </c>
      <c r="FM122" s="6">
        <v>1551.4588185896171</v>
      </c>
      <c r="FN122" s="6">
        <v>0</v>
      </c>
      <c r="FO122" s="6">
        <v>0</v>
      </c>
      <c r="FP122" s="6">
        <v>0</v>
      </c>
      <c r="FQ122" s="6">
        <v>0</v>
      </c>
      <c r="FR122" s="6">
        <v>0</v>
      </c>
      <c r="FS122" s="6">
        <v>0</v>
      </c>
      <c r="FT122" s="7">
        <v>0.23211675305614349</v>
      </c>
      <c r="FU122" s="7">
        <v>1.0496453739572783E-2</v>
      </c>
      <c r="FV122" s="7">
        <v>0.7573867932042837</v>
      </c>
      <c r="FW122" s="6">
        <v>1600</v>
      </c>
      <c r="FX122" s="6">
        <v>2401.4588185896173</v>
      </c>
      <c r="FY122" s="6">
        <v>4822.9999999999991</v>
      </c>
      <c r="FZ122" s="6">
        <v>3077.4375890575293</v>
      </c>
      <c r="GA122" s="6">
        <v>4049.4701099109043</v>
      </c>
      <c r="GB122" s="6">
        <v>15645.529890089096</v>
      </c>
      <c r="GC122" s="7">
        <v>7.0901643973087014E-2</v>
      </c>
      <c r="GD122" s="7">
        <v>8.0242903411558569E-2</v>
      </c>
      <c r="GE122" s="7"/>
      <c r="GF122" s="7"/>
      <c r="GG122" s="7">
        <v>0.13174954648466725</v>
      </c>
      <c r="GH122" s="42">
        <v>2.6694655398334475</v>
      </c>
      <c r="GI122" s="6">
        <v>11427.35145211726</v>
      </c>
      <c r="GJ122" s="14">
        <v>0.51074630601039572</v>
      </c>
      <c r="GK122" s="14">
        <v>0.50829519786160982</v>
      </c>
      <c r="GL122" s="14">
        <v>0.48925369398960439</v>
      </c>
      <c r="GM122" s="14">
        <v>0.49170480213839046</v>
      </c>
      <c r="GO122" s="5">
        <v>338.16872463277008</v>
      </c>
      <c r="GP122" s="5">
        <v>307.64377699166363</v>
      </c>
      <c r="GQ122" s="5">
        <v>527.27910984145694</v>
      </c>
      <c r="GR122" s="5">
        <v>404.20319246551543</v>
      </c>
      <c r="GS122" s="5">
        <v>334.50205195691484</v>
      </c>
      <c r="GT122" s="5">
        <v>289.18266033348181</v>
      </c>
      <c r="GU122" s="5">
        <v>254.29573314828914</v>
      </c>
      <c r="GV122" s="39" t="s">
        <v>392</v>
      </c>
      <c r="GW122" s="5">
        <v>468.76388888888891</v>
      </c>
      <c r="GX122" s="5">
        <v>351.57291666666669</v>
      </c>
      <c r="GY122" s="5">
        <v>281.25833333333333</v>
      </c>
      <c r="GZ122" s="5">
        <v>255.64660634518972</v>
      </c>
      <c r="HA122" s="5">
        <v>229.8919505212948</v>
      </c>
      <c r="HB122" s="39">
        <v>273.69484175076616</v>
      </c>
      <c r="HC122" s="5">
        <v>72.109375000000014</v>
      </c>
      <c r="HD122" s="5">
        <v>92.305464181286524</v>
      </c>
      <c r="HE122" s="5">
        <v>103.7516995614035</v>
      </c>
      <c r="HF122" s="5">
        <v>106.17129934210527</v>
      </c>
      <c r="HG122" s="5">
        <v>115.13410087719299</v>
      </c>
      <c r="HH122" s="39">
        <v>96.304265044073475</v>
      </c>
      <c r="HI122" s="16"/>
      <c r="HJ122" s="19" t="str">
        <f t="shared" ref="HJ122" si="289">HJ121</f>
        <v>On</v>
      </c>
      <c r="HK122" s="1" t="str">
        <f t="shared" si="108"/>
        <v>On</v>
      </c>
      <c r="HL122" s="16"/>
      <c r="HM122" s="639">
        <f t="shared" si="261"/>
        <v>1.7699001661282989E-2</v>
      </c>
      <c r="HN122" s="639">
        <f t="shared" si="262"/>
        <v>1.0509929974846072E-3</v>
      </c>
      <c r="HO122" s="639">
        <f t="shared" si="263"/>
        <v>5.7398960259851091E-2</v>
      </c>
      <c r="HP122" s="644">
        <f>(FT122*$GD122-HM122)/$JF122*INDEX(Input!$1:$1048576,$JG$93,$C122*2+6)</f>
        <v>11.902102709320257</v>
      </c>
      <c r="HQ122" s="644">
        <f>(FU122*$GD122-HN122)/$JF122*INDEX(Input!$1:$1048576,$JG$93,$C122*2+6)</f>
        <v>-2.6807338129409843</v>
      </c>
      <c r="HR122" s="644">
        <f>(FV122*$GD122-HO122)/$JF122*INDEX(Input!$1:$1048576,$JG$93,$C122*2+6)</f>
        <v>43.358231577116342</v>
      </c>
      <c r="HS122" s="644">
        <f t="shared" si="264"/>
        <v>-5.9119534525311816E-2</v>
      </c>
      <c r="HT122" s="644">
        <f t="shared" si="265"/>
        <v>2.1546719404823795</v>
      </c>
      <c r="HU122" s="644">
        <f t="shared" si="266"/>
        <v>17.577184986227159</v>
      </c>
      <c r="HV122" s="648">
        <f t="shared" si="267"/>
        <v>0</v>
      </c>
      <c r="HW122" s="648">
        <f t="shared" si="268"/>
        <v>0</v>
      </c>
      <c r="HX122" s="648">
        <f t="shared" si="269"/>
        <v>0</v>
      </c>
      <c r="HY122" s="644">
        <f>INDEX(Input!$1:$1048576,HY$93,$C122*2+6)*INDEX(Input!$1:$1048576,$JG$93,$C122*2+6)</f>
        <v>154.99999999999997</v>
      </c>
      <c r="HZ122" s="644">
        <f>INDEX(Input!$1:$1048576,HZ$93,$C122*2+6)*INDEX(Input!$1:$1048576,$JG$93,$C122*2+6)</f>
        <v>140</v>
      </c>
      <c r="IA122" s="644">
        <f>INDEX(Input!$1:$1048576,IA$93,$C122*2+6)*INDEX(Input!$1:$1048576,$JG$93,$C122*2+6)</f>
        <v>683</v>
      </c>
      <c r="IB122" s="644">
        <f t="shared" si="249"/>
        <v>166.84298317479477</v>
      </c>
      <c r="IC122" s="644">
        <f t="shared" si="172"/>
        <v>139.4739381275414</v>
      </c>
      <c r="ID122" s="644">
        <f>IF(AND(INDEX(Input!$1:$1048576,IA$93,$C122*2+7)="TOS",Y122&lt;=INDEX(Y:Y,MATCH(C122*1000+2,A:A))),0,1)*MAX(IA122+HR122+HU122+HX122,0%)</f>
        <v>743.93541656334355</v>
      </c>
      <c r="IE122" s="128">
        <f t="shared" si="270"/>
        <v>0.15885990172024056</v>
      </c>
      <c r="IF122" s="128">
        <f t="shared" si="174"/>
        <v>0.13280040719640768</v>
      </c>
      <c r="IG122" s="128">
        <f t="shared" si="175"/>
        <v>0.70833969108335182</v>
      </c>
      <c r="IH122" s="21"/>
      <c r="II122" s="19">
        <f t="shared" si="271"/>
        <v>1200</v>
      </c>
      <c r="IJ122" s="19">
        <f t="shared" si="272"/>
        <v>2231.5502763133163</v>
      </c>
      <c r="IK122" s="19">
        <f t="shared" si="273"/>
        <v>4498</v>
      </c>
      <c r="IL122" s="19">
        <f t="shared" si="176"/>
        <v>400</v>
      </c>
      <c r="IM122" s="19">
        <f t="shared" si="177"/>
        <v>169.90854227630098</v>
      </c>
      <c r="IN122" s="19">
        <f t="shared" si="178"/>
        <v>324.99999999999909</v>
      </c>
      <c r="IO122" s="39">
        <f t="shared" si="274"/>
        <v>0</v>
      </c>
      <c r="IP122" s="39">
        <f t="shared" si="275"/>
        <v>0</v>
      </c>
      <c r="IQ122" s="39">
        <f t="shared" si="276"/>
        <v>0</v>
      </c>
      <c r="IR122" s="39">
        <v>0</v>
      </c>
      <c r="IS122" s="39">
        <v>0</v>
      </c>
      <c r="IT122" s="39">
        <v>0</v>
      </c>
      <c r="IU122" s="39">
        <v>0</v>
      </c>
      <c r="IV122" s="39">
        <v>0</v>
      </c>
      <c r="IW122" s="39">
        <v>0</v>
      </c>
      <c r="IX122" s="39">
        <f>INDEX(Input!$1:$1048576,IX$93,$C122*2+6)+INDEX(Input!$1:$1048576,IX$94,$C122*2+6)</f>
        <v>1600</v>
      </c>
      <c r="IY122" s="39">
        <f>INDEX(Input!$1:$1048576,IY$93,$C122*2+6)+INDEX(Input!$1:$1048576,IY$94,$C122*2+6)</f>
        <v>2503.5492916397525</v>
      </c>
      <c r="IZ122" s="39">
        <f>INDEX(Input!$1:$1048576,IZ$93,$C122*2+6)+INDEX(Input!$1:$1048576,IZ$94,$C122*2+6)</f>
        <v>6273.7109265464023</v>
      </c>
      <c r="JA122" s="19">
        <f t="shared" si="179"/>
        <v>2000</v>
      </c>
      <c r="JB122" s="19">
        <f t="shared" si="180"/>
        <v>2673.4578339160535</v>
      </c>
      <c r="JC122" s="19">
        <f t="shared" si="181"/>
        <v>6598.7109265464014</v>
      </c>
      <c r="JD122" s="19">
        <f t="shared" si="182"/>
        <v>5346.8849516651753</v>
      </c>
      <c r="JE122" s="21"/>
      <c r="JF122" s="1">
        <f t="shared" si="277"/>
        <v>7.6148954918618686E-2</v>
      </c>
      <c r="JG122" s="15">
        <f>INDEX(Input!$1:$1048576,JG$93,$C122*2+6)/(1+VLOOKUP(C122*1000+INDEX(Input!$1:$1048576,JG$93+1,$C122*2+6),$A:$KK,$JK$92,FALSE))</f>
        <v>978</v>
      </c>
      <c r="JH122" s="1">
        <f t="shared" si="251"/>
        <v>5.376237267228591E-2</v>
      </c>
      <c r="JI122" s="1">
        <f t="shared" si="252"/>
        <v>2.0115273407141337E-2</v>
      </c>
      <c r="JJ122" s="1">
        <f t="shared" si="253"/>
        <v>0</v>
      </c>
      <c r="JK122" s="1">
        <f t="shared" si="254"/>
        <v>7.3877646079427248E-2</v>
      </c>
      <c r="JL122" s="15">
        <f t="shared" si="184"/>
        <v>72.252337865679849</v>
      </c>
      <c r="JM122" s="15">
        <f t="shared" si="185"/>
        <v>1050.2523378656799</v>
      </c>
      <c r="JN122" s="21"/>
      <c r="JO122" s="19">
        <f>INDEX(Input!$1:$1048576,JO$93,$C122*2+6)</f>
        <v>5908.5</v>
      </c>
      <c r="JP122" s="19">
        <f>INDEX(Input!$1:$1048576,JP$93,$C122*2+6)</f>
        <v>4993.2939301234746</v>
      </c>
      <c r="JQ122" s="39">
        <f t="shared" si="186"/>
        <v>561.61504833482468</v>
      </c>
      <c r="JR122" s="39">
        <f t="shared" si="187"/>
        <v>353.59102154170068</v>
      </c>
      <c r="JS122" s="39">
        <f t="shared" si="188"/>
        <v>5.615578420785174</v>
      </c>
      <c r="JT122" s="39">
        <f t="shared" si="189"/>
        <v>0.73213695712441573</v>
      </c>
      <c r="JU122" s="385">
        <f>(JQ122*JM122-INDEX(Input!$1:$1048576,Input!A$18,$C122*2+6)*JL122*INDEX(Input!$1:$1048576,Input!A$19,$C122*2+6))/1000000</f>
        <v>0.58983751749419644</v>
      </c>
      <c r="JV122" s="39">
        <f t="shared" si="192"/>
        <v>-0.30523401884504531</v>
      </c>
      <c r="JW122" s="1">
        <f t="shared" si="190"/>
        <v>-0.34101633942402376</v>
      </c>
      <c r="JX122" s="19">
        <f t="shared" si="191"/>
        <v>10133.055604172827</v>
      </c>
      <c r="JZ122" s="341"/>
      <c r="KA122" s="342"/>
      <c r="KB122" s="469">
        <f t="shared" si="110"/>
        <v>3.2656316020464753</v>
      </c>
      <c r="KI122" s="473">
        <f t="shared" si="278"/>
        <v>11.842983174794824</v>
      </c>
      <c r="KJ122" s="473">
        <f t="shared" si="279"/>
        <v>-0.52606187245856972</v>
      </c>
      <c r="KK122" s="473">
        <f t="shared" si="257"/>
        <v>60.935416563343779</v>
      </c>
      <c r="KN122" s="544">
        <f t="shared" si="258"/>
        <v>1002</v>
      </c>
      <c r="KO122" s="541">
        <f t="shared" si="280"/>
        <v>-7.4256374027842353E-3</v>
      </c>
      <c r="KP122" s="546">
        <f t="shared" si="281"/>
        <v>-30.556239278122156</v>
      </c>
      <c r="KQ122" s="546">
        <f t="shared" si="282"/>
        <v>-7.5689483102651138</v>
      </c>
      <c r="KR122" s="548">
        <f t="shared" si="283"/>
        <v>3.4849738715371852</v>
      </c>
      <c r="KS122" s="548">
        <f t="shared" si="284"/>
        <v>14.069021366188203</v>
      </c>
      <c r="KT122" s="473">
        <f t="shared" si="112"/>
        <v>-82.310573396665475</v>
      </c>
      <c r="KU122" s="663">
        <f t="shared" si="285"/>
        <v>-50.68292436709141</v>
      </c>
      <c r="KV122" s="117"/>
    </row>
    <row r="123" spans="1:308" s="26" customFormat="1" ht="15">
      <c r="A123" s="561">
        <f t="shared" si="168"/>
        <v>1023</v>
      </c>
      <c r="B123" s="561">
        <f t="shared" si="104"/>
        <v>23</v>
      </c>
      <c r="C123" s="561">
        <f t="shared" si="105"/>
        <v>1</v>
      </c>
      <c r="D123" s="561" t="str">
        <f t="shared" si="287"/>
        <v xml:space="preserve">0/0/0.9/3.9, </v>
      </c>
      <c r="E123" s="475">
        <f>INDEX(Input!$1:$1048576,E$93,$C123*2+MIN($B123,2)+5)
+INDEX(Scenarios!E$121:E$200,MATCH($B123,Scenarios!$B$121:$B$200,0))</f>
        <v>1250</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8.9999999999999993E-3</v>
      </c>
      <c r="W123" s="863">
        <f>IFERROR(MAX(0,INDEX(Input!$1:$1048576,W$93,$C123*2+MIN($B123,2)+5)-0%,),"Market")</f>
        <v>3.9E-2</v>
      </c>
      <c r="X123" s="476" t="str">
        <f>INDEX(Input!$1:$1048576,X$93,$C123*2+MIN($B123,2)+5)</f>
        <v>Y</v>
      </c>
      <c r="Y123" s="475">
        <f>INDEX(Input!$1:$1048576,Y$93,$C123*2+MIN($B123,2)+5)
++INDEX(Scenarios!Y$121:Y$200,MATCH($B123,Scenarios!$B$121:$B$200,0))</f>
        <v>2826</v>
      </c>
      <c r="Z123" s="477">
        <f>INDEX(Input!$1:$1048576,Z$93,$C123*2+MIN($B123,2)+5)
+INDEX(Scenarios!Z$121:Z$200,MATCH($B123,Scenarios!$B$121:$B$200,0))</f>
        <v>0</v>
      </c>
      <c r="AA123" s="475">
        <f>INDEX(Input!$1:$1048576,AA$93,$C123*2+MIN($B123,2)+5)</f>
        <v>0</v>
      </c>
      <c r="AB123" s="476">
        <f>INDEX(Input!$1:$1048576,AB$93,$C123*2+MIN($B123,2)+5)</f>
        <v>1</v>
      </c>
      <c r="AC123" s="475">
        <f>INDEX(Input!$1:$1048576,AC$93,$C123*2+MIN($B123,2)+5)
+INDEX(Scenarios!AC$121:AC$200,MATCH($B123,Scenarios!$B$121:$B$200,0))</f>
        <v>0</v>
      </c>
      <c r="AD123" s="476">
        <f>INDEX(Input!$1:$1048576,AD$93,$C123*2+MIN($B123,2)+5)</f>
        <v>0.35</v>
      </c>
      <c r="AE123" s="475">
        <f>INDEX(Input!$1:$1048576,AE$93,$C123*2+MIN($B123,2)+5)
+INDEX(Scenarios!AE$121:AE$200,MATCH($B123,Scenarios!$B$121:$B$200,0))</f>
        <v>0</v>
      </c>
      <c r="AF123" s="476">
        <f>INDEX(Input!$1:$1048576,AF$93,$C123*2+MIN($B123,2)+5)</f>
        <v>1</v>
      </c>
      <c r="AG123" s="475">
        <f>INDEX(Input!$1:$1048576,AG$93,$C123*2+MIN($B123,2)+5)
+INDEX(Scenarios!AG$121:AG$200,MATCH($B123,Scenarios!$B$121:$B$200,0))</f>
        <v>0</v>
      </c>
      <c r="AH123" s="476">
        <f>INDEX(Input!$1:$1048576,AH$93,$C123*2+MIN($B123,2)+5)</f>
        <v>1</v>
      </c>
      <c r="AI123" s="475">
        <f>INDEX(Input!$1:$1048576,AI$93,$C123*2+MIN($B123,2)+5)
+INDEX(Scenarios!AI$121:AI$200,MATCH($B123,Scenarios!$B$121:$B$200,0))</f>
        <v>0</v>
      </c>
      <c r="AJ123" s="476">
        <f>INDEX(Input!$1:$1048576,AJ$93,$C123*2+MIN($B123,2)+5)</f>
        <v>0.35</v>
      </c>
      <c r="AK123" s="150">
        <f>ROUND(INDEX(Input!$1:$1048576,AK$93,$C122*2+MIN($B123,1)+5)+(Y123-VLOOKUP($C123*1000+1,$A:$HH,Y$92,FALSE)),0)</f>
        <v>5482</v>
      </c>
      <c r="AL123" s="150">
        <f>ROUND(INDEX(Input!$1:$1048576,AL$93,$C122*2+MIN($B123,1)+5)-(Y123-VLOOKUP($C123*1000+1,$A:$HH,Y$92,FALSE))/36,0)</f>
        <v>5602</v>
      </c>
      <c r="AM123" s="32" t="str">
        <f t="shared" si="169"/>
        <v>std/std/std/std</v>
      </c>
      <c r="AN123" s="32" t="str">
        <f t="shared" si="170"/>
        <v>$0 + 0/0/0/0.9/3.9</v>
      </c>
      <c r="AO123" s="32" t="str">
        <f t="shared" si="171"/>
        <v>0/0/0/0.9/3.9</v>
      </c>
      <c r="AP123" s="32" t="str">
        <f t="shared" si="73"/>
        <v>0/0/0.9/3.9</v>
      </c>
      <c r="AQ123" s="536">
        <f t="shared" si="39"/>
        <v>0.15477631859961941</v>
      </c>
      <c r="AR123" s="32"/>
      <c r="AS123" s="302"/>
      <c r="AT123" s="3">
        <f t="shared" si="106"/>
        <v>23</v>
      </c>
      <c r="AU123" s="41" t="s">
        <v>121</v>
      </c>
      <c r="AV123" s="41" t="s">
        <v>116</v>
      </c>
      <c r="AW123" s="41" t="str">
        <f>INDEX(Input!$1:$1048576,AW$93,$C123*2+6)</f>
        <v>Kia</v>
      </c>
      <c r="AX123" s="41" t="str">
        <f>INDEX(Input!$1:$1048576,AX$93,$C123*2+6)</f>
        <v>Kia-LR - L1</v>
      </c>
      <c r="AY123" s="41" t="str">
        <f>IF(LEN(D123)=0,"",INDEX(Input!$1:$1048576,AY$93,$C123*2+6))</f>
        <v>Compact Conventional/Sporty Car (43)</v>
      </c>
      <c r="AZ123" s="41" t="str">
        <f>INDEX(Input!$1:$1048576,AZ$93,$C123*2+6)</f>
        <v>Kia Forte</v>
      </c>
      <c r="BA123" s="3">
        <f>INDEX(Input!$1:$1048576,BA$93,$C123*2+6)</f>
        <v>2020</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19695</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4"/>
        <v>1250</v>
      </c>
      <c r="CJ123" s="16" t="str">
        <f>INDEX(Input!$1:$1048576,CJ$93,$C123*2+6)</f>
        <v>N</v>
      </c>
      <c r="CK123" s="1" t="str">
        <f t="shared" si="75"/>
        <v>Market</v>
      </c>
      <c r="CL123" s="1" t="str">
        <f t="shared" si="76"/>
        <v>Market</v>
      </c>
      <c r="CM123" s="1" t="str">
        <f t="shared" si="77"/>
        <v>Market</v>
      </c>
      <c r="CN123" s="1" t="str">
        <f t="shared" si="78"/>
        <v>Market</v>
      </c>
      <c r="CO123" s="1" t="str">
        <f t="shared" si="79"/>
        <v>Market</v>
      </c>
      <c r="CP123" s="304">
        <f t="shared" si="80"/>
        <v>0</v>
      </c>
      <c r="CQ123" s="1">
        <f t="shared" si="81"/>
        <v>0</v>
      </c>
      <c r="CR123" s="1">
        <f t="shared" si="82"/>
        <v>0</v>
      </c>
      <c r="CS123" s="1">
        <f t="shared" si="83"/>
        <v>0</v>
      </c>
      <c r="CT123" s="1">
        <f t="shared" si="84"/>
        <v>8.9999999999999993E-3</v>
      </c>
      <c r="CU123" s="1">
        <f t="shared" si="85"/>
        <v>3.9E-2</v>
      </c>
      <c r="CV123" s="304">
        <f t="shared" si="86"/>
        <v>2826</v>
      </c>
      <c r="CW123" s="20" t="s">
        <v>122</v>
      </c>
      <c r="CX123" s="20" t="s">
        <v>122</v>
      </c>
      <c r="CY123" s="20" t="s">
        <v>122</v>
      </c>
      <c r="CZ123" s="20" t="s">
        <v>122</v>
      </c>
      <c r="DA123" s="20" t="s">
        <v>122</v>
      </c>
      <c r="DB123" s="503">
        <f t="shared" si="87"/>
        <v>0</v>
      </c>
      <c r="DC123" s="127">
        <v>0</v>
      </c>
      <c r="DD123" s="127">
        <v>0</v>
      </c>
      <c r="DE123" s="127">
        <v>0</v>
      </c>
      <c r="DF123" s="127">
        <v>0</v>
      </c>
      <c r="DG123" s="127">
        <v>0</v>
      </c>
      <c r="DH123" s="127">
        <v>0</v>
      </c>
      <c r="DI123" s="127">
        <v>0</v>
      </c>
      <c r="DJ123" s="127">
        <v>0</v>
      </c>
      <c r="DK123" s="127">
        <v>0</v>
      </c>
      <c r="DL123" s="127">
        <v>0</v>
      </c>
      <c r="DM123" s="304">
        <f>INDEX(Input!$1:$1048576,DM$93,$C123*2+6)</f>
        <v>20731.578947368424</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1.383056367740579E-2</v>
      </c>
      <c r="DZ123" s="7">
        <v>0</v>
      </c>
      <c r="EA123" s="7">
        <v>0.21639369772908046</v>
      </c>
      <c r="EB123" s="7">
        <v>0</v>
      </c>
      <c r="EC123" s="7">
        <v>0</v>
      </c>
      <c r="ED123" s="7">
        <v>0</v>
      </c>
      <c r="EE123" s="7">
        <v>0</v>
      </c>
      <c r="EF123" s="7">
        <v>0</v>
      </c>
      <c r="EG123" s="7">
        <v>0</v>
      </c>
      <c r="EH123" s="7">
        <v>1.4476869635993298E-2</v>
      </c>
      <c r="EI123" s="7">
        <v>2.603945677232276E-2</v>
      </c>
      <c r="EJ123" s="7">
        <v>0.20479017957701892</v>
      </c>
      <c r="EK123" s="7">
        <v>0.7231738993961041</v>
      </c>
      <c r="EL123" s="7">
        <v>3.1519594618561166E-2</v>
      </c>
      <c r="EM123" s="7">
        <v>1.8754287021462784E-2</v>
      </c>
      <c r="EN123" s="7">
        <v>5.6686594175933754E-2</v>
      </c>
      <c r="EO123" s="7">
        <v>0.54216995014193592</v>
      </c>
      <c r="EP123" s="7">
        <v>0.3117315538121922</v>
      </c>
      <c r="EQ123" s="7">
        <v>5.1954312326603476E-2</v>
      </c>
      <c r="ER123" s="7">
        <v>3.7457589543334731E-2</v>
      </c>
      <c r="ES123" s="7">
        <v>0.75102145157205091</v>
      </c>
      <c r="ET123" s="7">
        <v>0.76977573859351378</v>
      </c>
      <c r="EU123" s="6">
        <v>1600</v>
      </c>
      <c r="EV123" s="6">
        <v>0</v>
      </c>
      <c r="EW123" s="6">
        <v>1600</v>
      </c>
      <c r="EX123" s="6">
        <v>0</v>
      </c>
      <c r="EY123" s="6">
        <v>2963.2578502881047</v>
      </c>
      <c r="EZ123" s="6">
        <v>4822.9999999999991</v>
      </c>
      <c r="FA123" s="6">
        <v>0</v>
      </c>
      <c r="FB123" s="6">
        <v>0</v>
      </c>
      <c r="FC123" s="6">
        <v>0</v>
      </c>
      <c r="FD123" s="6">
        <v>0</v>
      </c>
      <c r="FE123" s="6">
        <v>0</v>
      </c>
      <c r="FF123" s="6">
        <v>0</v>
      </c>
      <c r="FG123" s="6">
        <v>0</v>
      </c>
      <c r="FH123" s="6">
        <v>1152.120827037782</v>
      </c>
      <c r="FI123" s="6">
        <v>1531.4299904380616</v>
      </c>
      <c r="FJ123" s="6">
        <v>2070.7205842538224</v>
      </c>
      <c r="FK123" s="6">
        <v>2218.6393698501015</v>
      </c>
      <c r="FL123" s="6">
        <v>893.91433563489386</v>
      </c>
      <c r="FM123" s="6">
        <v>2113.2578502881047</v>
      </c>
      <c r="FN123" s="6">
        <v>0</v>
      </c>
      <c r="FO123" s="6">
        <v>0</v>
      </c>
      <c r="FP123" s="6">
        <v>0</v>
      </c>
      <c r="FQ123" s="6">
        <v>0</v>
      </c>
      <c r="FR123" s="6">
        <v>0</v>
      </c>
      <c r="FS123" s="6">
        <v>0</v>
      </c>
      <c r="FT123" s="7">
        <v>0.23022426140648625</v>
      </c>
      <c r="FU123" s="7">
        <v>1.8754287021462784E-2</v>
      </c>
      <c r="FV123" s="7">
        <v>0.75102145157205091</v>
      </c>
      <c r="FW123" s="6">
        <v>1600.0000000000002</v>
      </c>
      <c r="FX123" s="6">
        <v>2963.2578502881047</v>
      </c>
      <c r="FY123" s="6">
        <v>4822.9999999999991</v>
      </c>
      <c r="FZ123" s="6">
        <v>3077.4375890575293</v>
      </c>
      <c r="GA123" s="6">
        <v>4046.1090674252846</v>
      </c>
      <c r="GB123" s="6">
        <v>15648.890932574715</v>
      </c>
      <c r="GC123" s="7">
        <v>7.0901643973087014E-2</v>
      </c>
      <c r="GD123" s="7">
        <v>8.052815407047284E-2</v>
      </c>
      <c r="GE123" s="7"/>
      <c r="GF123" s="7"/>
      <c r="GG123" s="7">
        <v>0.13577273470612156</v>
      </c>
      <c r="GH123" s="42">
        <v>2.7605272476308689</v>
      </c>
      <c r="GI123" s="6">
        <v>11180.615715350094</v>
      </c>
      <c r="GJ123" s="14">
        <v>0.51074630601039561</v>
      </c>
      <c r="GK123" s="14">
        <v>0.50829519786160993</v>
      </c>
      <c r="GL123" s="14">
        <v>0.4892536939896045</v>
      </c>
      <c r="GM123" s="14">
        <v>0.4917048021383903</v>
      </c>
      <c r="GO123" s="5">
        <v>338.16872463277008</v>
      </c>
      <c r="GP123" s="5">
        <v>307.64377699166363</v>
      </c>
      <c r="GQ123" s="5">
        <v>527.27910984145694</v>
      </c>
      <c r="GR123" s="5">
        <v>404.20319246551543</v>
      </c>
      <c r="GS123" s="5">
        <v>334.50205195691484</v>
      </c>
      <c r="GT123" s="5">
        <v>289.18266033348181</v>
      </c>
      <c r="GU123" s="5">
        <v>254.29573314828914</v>
      </c>
      <c r="GV123" s="39" t="s">
        <v>392</v>
      </c>
      <c r="GW123" s="5">
        <v>468.76388888888891</v>
      </c>
      <c r="GX123" s="5">
        <v>351.57291666666669</v>
      </c>
      <c r="GY123" s="5">
        <v>281.25833333333333</v>
      </c>
      <c r="GZ123" s="5">
        <v>240.8550698915011</v>
      </c>
      <c r="HA123" s="5">
        <v>229.8919505212948</v>
      </c>
      <c r="HB123" s="39">
        <v>254.96614723549274</v>
      </c>
      <c r="HC123" s="5">
        <v>72.109375000000014</v>
      </c>
      <c r="HD123" s="5">
        <v>92.305464181286524</v>
      </c>
      <c r="HE123" s="5">
        <v>103.7516995614035</v>
      </c>
      <c r="HF123" s="5">
        <v>106.17129934210527</v>
      </c>
      <c r="HG123" s="5">
        <v>115.13410087719299</v>
      </c>
      <c r="HH123" s="39">
        <v>96.304265044073475</v>
      </c>
      <c r="HI123" s="16"/>
      <c r="HJ123" s="19" t="str">
        <f t="shared" ref="HJ123" si="290">HJ122</f>
        <v>On</v>
      </c>
      <c r="HK123" s="1" t="str">
        <f t="shared" si="108"/>
        <v>On</v>
      </c>
      <c r="HL123" s="16"/>
      <c r="HM123" s="639">
        <f t="shared" si="261"/>
        <v>1.7699001661282989E-2</v>
      </c>
      <c r="HN123" s="639">
        <f t="shared" si="262"/>
        <v>1.0509929974846072E-3</v>
      </c>
      <c r="HO123" s="639">
        <f t="shared" si="263"/>
        <v>5.7398960259851091E-2</v>
      </c>
      <c r="HP123" s="644">
        <f>(FT123*$GD123-HM123)/$JF123*INDEX(Input!$1:$1048576,$JG$93,$C123*2+6)</f>
        <v>10.795176427482836</v>
      </c>
      <c r="HQ123" s="644">
        <f>(FU123*$GD123-HN123)/$JF123*INDEX(Input!$1:$1048576,$JG$93,$C123*2+6)</f>
        <v>5.8983278911952919</v>
      </c>
      <c r="HR123" s="644">
        <f>(FV123*$GD123-HO123)/$JF123*INDEX(Input!$1:$1048576,$JG$93,$C123*2+6)</f>
        <v>39.54964143546254</v>
      </c>
      <c r="HS123" s="644">
        <f t="shared" si="264"/>
        <v>-0.25459703557275681</v>
      </c>
      <c r="HT123" s="644">
        <f t="shared" si="265"/>
        <v>17.785996594958618</v>
      </c>
      <c r="HU123" s="644">
        <f t="shared" si="266"/>
        <v>17.772662487274605</v>
      </c>
      <c r="HV123" s="648">
        <f t="shared" si="267"/>
        <v>0</v>
      </c>
      <c r="HW123" s="648">
        <f t="shared" si="268"/>
        <v>0</v>
      </c>
      <c r="HX123" s="648">
        <f t="shared" si="269"/>
        <v>0</v>
      </c>
      <c r="HY123" s="644">
        <f>INDEX(Input!$1:$1048576,HY$93,$C123*2+6)*INDEX(Input!$1:$1048576,$JG$93,$C123*2+6)</f>
        <v>154.99999999999997</v>
      </c>
      <c r="HZ123" s="644">
        <f>INDEX(Input!$1:$1048576,HZ$93,$C123*2+6)*INDEX(Input!$1:$1048576,$JG$93,$C123*2+6)</f>
        <v>140</v>
      </c>
      <c r="IA123" s="644">
        <f>INDEX(Input!$1:$1048576,IA$93,$C123*2+6)*INDEX(Input!$1:$1048576,$JG$93,$C123*2+6)</f>
        <v>683</v>
      </c>
      <c r="IB123" s="644">
        <f t="shared" si="249"/>
        <v>165.54057939191011</v>
      </c>
      <c r="IC123" s="644">
        <f t="shared" si="172"/>
        <v>163.68432448615391</v>
      </c>
      <c r="ID123" s="644">
        <f>IF(AND(INDEX(Input!$1:$1048576,IA$93,$C123*2+7)="TOS",Y123&lt;=INDEX(Y:Y,MATCH(C123*1000+2,A:A))),0,1)*MAX(IA123+HR123+HU123+HX123,0%)</f>
        <v>740.32230392273709</v>
      </c>
      <c r="IE123" s="128">
        <f t="shared" si="270"/>
        <v>0.15477631859961941</v>
      </c>
      <c r="IF123" s="128">
        <f t="shared" si="174"/>
        <v>0.15304076649661963</v>
      </c>
      <c r="IG123" s="128">
        <f t="shared" si="175"/>
        <v>0.69218291490376105</v>
      </c>
      <c r="IH123" s="21"/>
      <c r="II123" s="19">
        <f t="shared" si="271"/>
        <v>1200</v>
      </c>
      <c r="IJ123" s="19">
        <f t="shared" si="272"/>
        <v>2231.5502763133163</v>
      </c>
      <c r="IK123" s="19">
        <f t="shared" si="273"/>
        <v>4498</v>
      </c>
      <c r="IL123" s="19">
        <f t="shared" si="176"/>
        <v>400.00000000000023</v>
      </c>
      <c r="IM123" s="19">
        <f t="shared" si="177"/>
        <v>731.70757397478837</v>
      </c>
      <c r="IN123" s="19">
        <f t="shared" si="178"/>
        <v>324.99999999999909</v>
      </c>
      <c r="IO123" s="39">
        <f t="shared" si="274"/>
        <v>0</v>
      </c>
      <c r="IP123" s="39">
        <f t="shared" si="275"/>
        <v>0</v>
      </c>
      <c r="IQ123" s="39">
        <f t="shared" si="276"/>
        <v>0</v>
      </c>
      <c r="IR123" s="39">
        <v>0</v>
      </c>
      <c r="IS123" s="39">
        <v>0</v>
      </c>
      <c r="IT123" s="39">
        <v>0</v>
      </c>
      <c r="IU123" s="39">
        <v>0</v>
      </c>
      <c r="IV123" s="39">
        <v>0</v>
      </c>
      <c r="IW123" s="39">
        <v>0</v>
      </c>
      <c r="IX123" s="39">
        <f>INDEX(Input!$1:$1048576,IX$93,$C123*2+6)+INDEX(Input!$1:$1048576,IX$94,$C123*2+6)</f>
        <v>1600</v>
      </c>
      <c r="IY123" s="39">
        <f>INDEX(Input!$1:$1048576,IY$93,$C123*2+6)+INDEX(Input!$1:$1048576,IY$94,$C123*2+6)</f>
        <v>2503.5492916397525</v>
      </c>
      <c r="IZ123" s="39">
        <f>INDEX(Input!$1:$1048576,IZ$93,$C123*2+6)+INDEX(Input!$1:$1048576,IZ$94,$C123*2+6)</f>
        <v>6273.7109265464023</v>
      </c>
      <c r="JA123" s="19">
        <f t="shared" si="179"/>
        <v>2000.0000000000002</v>
      </c>
      <c r="JB123" s="19">
        <f t="shared" si="180"/>
        <v>3235.2568656145409</v>
      </c>
      <c r="JC123" s="19">
        <f t="shared" si="181"/>
        <v>6598.7109265464014</v>
      </c>
      <c r="JD123" s="19">
        <f t="shared" si="182"/>
        <v>5372.1937914705259</v>
      </c>
      <c r="JE123" s="21"/>
      <c r="JF123" s="1">
        <f t="shared" si="277"/>
        <v>7.6148954918618686E-2</v>
      </c>
      <c r="JG123" s="15">
        <f>INDEX(Input!$1:$1048576,JG$93,$C123*2+6)/(1+VLOOKUP(C123*1000+INDEX(Input!$1:$1048576,JG$93+1,$C123*2+6),$A:$KK,$JK$92,FALSE))</f>
        <v>978</v>
      </c>
      <c r="JH123" s="1">
        <f t="shared" si="251"/>
        <v>5.7508328991963877E-2</v>
      </c>
      <c r="JI123" s="1">
        <f t="shared" si="252"/>
        <v>3.6098222951595565E-2</v>
      </c>
      <c r="JJ123" s="1">
        <f t="shared" si="253"/>
        <v>0</v>
      </c>
      <c r="JK123" s="1">
        <f t="shared" si="254"/>
        <v>9.3606551943559435E-2</v>
      </c>
      <c r="JL123" s="15">
        <f t="shared" si="184"/>
        <v>91.547207800801132</v>
      </c>
      <c r="JM123" s="15">
        <f t="shared" si="185"/>
        <v>1069.5472078008011</v>
      </c>
      <c r="JN123" s="21"/>
      <c r="JO123" s="19">
        <f>INDEX(Input!$1:$1048576,JO$93,$C123*2+6)</f>
        <v>5908.5</v>
      </c>
      <c r="JP123" s="19">
        <f>INDEX(Input!$1:$1048576,JP$93,$C123*2+6)</f>
        <v>4993.2939301234746</v>
      </c>
      <c r="JQ123" s="39">
        <f t="shared" si="186"/>
        <v>536.30620852947413</v>
      </c>
      <c r="JR123" s="39">
        <f t="shared" si="187"/>
        <v>378.89986134705123</v>
      </c>
      <c r="JS123" s="39">
        <f t="shared" si="188"/>
        <v>5.7458148694320998</v>
      </c>
      <c r="JT123" s="39">
        <f t="shared" si="189"/>
        <v>0.86237340577134214</v>
      </c>
      <c r="JU123" s="385">
        <f>(JQ123*JM123-INDEX(Input!$1:$1048576,Input!A$18,$C123*2+6)*JL123*INDEX(Input!$1:$1048576,Input!A$19,$C123*2+6))/1000000</f>
        <v>0.5736048078589332</v>
      </c>
      <c r="JV123" s="39">
        <f t="shared" si="192"/>
        <v>-0.32146672848030855</v>
      </c>
      <c r="JW123" s="1">
        <f t="shared" si="190"/>
        <v>-0.35915199559923128</v>
      </c>
      <c r="JX123" s="19">
        <f t="shared" si="191"/>
        <v>9419.9858902064243</v>
      </c>
      <c r="JZ123" s="341"/>
      <c r="KA123" s="342"/>
      <c r="KB123" s="469">
        <f t="shared" si="110"/>
        <v>3.2656316020464753</v>
      </c>
      <c r="KI123" s="473">
        <f t="shared" si="278"/>
        <v>10.540579391910143</v>
      </c>
      <c r="KJ123" s="473">
        <f t="shared" si="279"/>
        <v>23.684324486153912</v>
      </c>
      <c r="KK123" s="473">
        <f t="shared" si="257"/>
        <v>57.322303922737092</v>
      </c>
      <c r="KN123" s="544">
        <f t="shared" si="258"/>
        <v>1002</v>
      </c>
      <c r="KO123" s="541">
        <f t="shared" si="280"/>
        <v>1.0809592871655171E-2</v>
      </c>
      <c r="KP123" s="546">
        <f t="shared" si="281"/>
        <v>50.764781373835909</v>
      </c>
      <c r="KQ123" s="546">
        <f t="shared" si="282"/>
        <v>17.739891495085431</v>
      </c>
      <c r="KR123" s="548">
        <f t="shared" si="283"/>
        <v>3.0536025311903061</v>
      </c>
      <c r="KS123" s="548">
        <f t="shared" si="284"/>
        <v>8.7382419977829375</v>
      </c>
      <c r="KT123" s="473">
        <f t="shared" si="112"/>
        <v>-82.310573396665475</v>
      </c>
      <c r="KU123" s="663">
        <f t="shared" si="285"/>
        <v>-51.303542392882491</v>
      </c>
      <c r="KV123" s="117"/>
    </row>
    <row r="124" spans="1:308" s="26" customFormat="1" ht="15">
      <c r="A124" s="561">
        <f t="shared" si="168"/>
        <v>1024</v>
      </c>
      <c r="B124" s="561">
        <f t="shared" si="104"/>
        <v>24</v>
      </c>
      <c r="C124" s="561">
        <f t="shared" si="105"/>
        <v>1</v>
      </c>
      <c r="D124" s="561" t="str">
        <f t="shared" si="287"/>
        <v xml:space="preserve">0/0/0/3.9, </v>
      </c>
      <c r="E124" s="475">
        <f>INDEX(Input!$1:$1048576,E$93,$C124*2+MIN($B124,2)+5)
+INDEX(Scenarios!E$121:E$200,MATCH($B124,Scenarios!$B$121:$B$200,0))</f>
        <v>1250</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63">
        <f>IFERROR(MAX(0,INDEX(Input!$1:$1048576,W$93,$C124*2+MIN($B124,2)+5)-0%,),"Market")</f>
        <v>3.9E-2</v>
      </c>
      <c r="X124" s="476" t="str">
        <f>INDEX(Input!$1:$1048576,X$93,$C124*2+MIN($B124,2)+5)</f>
        <v>Y</v>
      </c>
      <c r="Y124" s="475">
        <f>INDEX(Input!$1:$1048576,Y$93,$C124*2+MIN($B124,2)+5)
++INDEX(Scenarios!Y$121:Y$200,MATCH($B124,Scenarios!$B$121:$B$200,0))</f>
        <v>2826</v>
      </c>
      <c r="Z124" s="477">
        <f>INDEX(Input!$1:$1048576,Z$93,$C124*2+MIN($B124,2)+5)
+INDEX(Scenarios!Z$121:Z$200,MATCH($B124,Scenarios!$B$121:$B$200,0))</f>
        <v>0</v>
      </c>
      <c r="AA124" s="475">
        <f>INDEX(Input!$1:$1048576,AA$93,$C124*2+MIN($B124,2)+5)</f>
        <v>0</v>
      </c>
      <c r="AB124" s="476">
        <f>INDEX(Input!$1:$1048576,AB$93,$C124*2+MIN($B124,2)+5)</f>
        <v>1</v>
      </c>
      <c r="AC124" s="475">
        <f>INDEX(Input!$1:$1048576,AC$93,$C124*2+MIN($B124,2)+5)
+INDEX(Scenarios!AC$121:AC$200,MATCH($B124,Scenarios!$B$121:$B$200,0))</f>
        <v>0</v>
      </c>
      <c r="AD124" s="476">
        <f>INDEX(Input!$1:$1048576,AD$93,$C124*2+MIN($B124,2)+5)</f>
        <v>0.35</v>
      </c>
      <c r="AE124" s="475">
        <f>INDEX(Input!$1:$1048576,AE$93,$C124*2+MIN($B124,2)+5)
+INDEX(Scenarios!AE$121:AE$200,MATCH($B124,Scenarios!$B$121:$B$200,0))</f>
        <v>0</v>
      </c>
      <c r="AF124" s="476">
        <f>INDEX(Input!$1:$1048576,AF$93,$C124*2+MIN($B124,2)+5)</f>
        <v>1</v>
      </c>
      <c r="AG124" s="475">
        <f>INDEX(Input!$1:$1048576,AG$93,$C124*2+MIN($B124,2)+5)
+INDEX(Scenarios!AG$121:AG$200,MATCH($B124,Scenarios!$B$121:$B$200,0))</f>
        <v>0</v>
      </c>
      <c r="AH124" s="476">
        <f>INDEX(Input!$1:$1048576,AH$93,$C124*2+MIN($B124,2)+5)</f>
        <v>1</v>
      </c>
      <c r="AI124" s="475">
        <f>INDEX(Input!$1:$1048576,AI$93,$C124*2+MIN($B124,2)+5)
+INDEX(Scenarios!AI$121:AI$200,MATCH($B124,Scenarios!$B$121:$B$200,0))</f>
        <v>0</v>
      </c>
      <c r="AJ124" s="476">
        <f>INDEX(Input!$1:$1048576,AJ$93,$C124*2+MIN($B124,2)+5)</f>
        <v>0.35</v>
      </c>
      <c r="AK124" s="150">
        <f>ROUND(INDEX(Input!$1:$1048576,AK$93,$C123*2+MIN($B124,1)+5)+(Y124-VLOOKUP($C124*1000+1,$A:$HH,Y$92,FALSE)),0)</f>
        <v>5482</v>
      </c>
      <c r="AL124" s="150">
        <f>ROUND(INDEX(Input!$1:$1048576,AL$93,$C123*2+MIN($B124,1)+5)-(Y124-VLOOKUP($C124*1000+1,$A:$HH,Y$92,FALSE))/36,0)</f>
        <v>5602</v>
      </c>
      <c r="AM124" s="32" t="str">
        <f t="shared" si="169"/>
        <v>std/std/std/std</v>
      </c>
      <c r="AN124" s="32" t="str">
        <f t="shared" si="170"/>
        <v>$0 + 0/0/0/0/3.9</v>
      </c>
      <c r="AO124" s="32" t="str">
        <f t="shared" si="171"/>
        <v>0/0/0/0/3.9</v>
      </c>
      <c r="AP124" s="32" t="str">
        <f t="shared" si="73"/>
        <v>0/0/0/3.9</v>
      </c>
      <c r="AQ124" s="536">
        <f t="shared" si="39"/>
        <v>0.15181711608527743</v>
      </c>
      <c r="AR124" s="32"/>
      <c r="AS124" s="302"/>
      <c r="AT124" s="3">
        <f t="shared" si="106"/>
        <v>24</v>
      </c>
      <c r="AU124" s="41" t="s">
        <v>121</v>
      </c>
      <c r="AV124" s="41" t="s">
        <v>116</v>
      </c>
      <c r="AW124" s="41" t="str">
        <f>INDEX(Input!$1:$1048576,AW$93,$C124*2+6)</f>
        <v>Kia</v>
      </c>
      <c r="AX124" s="41" t="str">
        <f>INDEX(Input!$1:$1048576,AX$93,$C124*2+6)</f>
        <v>Kia-LR - L1</v>
      </c>
      <c r="AY124" s="41" t="str">
        <f>IF(LEN(D124)=0,"",INDEX(Input!$1:$1048576,AY$93,$C124*2+6))</f>
        <v>Compact Conventional/Sporty Car (43)</v>
      </c>
      <c r="AZ124" s="41" t="str">
        <f>INDEX(Input!$1:$1048576,AZ$93,$C124*2+6)</f>
        <v>Kia Forte</v>
      </c>
      <c r="BA124" s="3">
        <f>INDEX(Input!$1:$1048576,BA$93,$C124*2+6)</f>
        <v>2020</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19695</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4"/>
        <v>1250</v>
      </c>
      <c r="CJ124" s="16" t="str">
        <f>INDEX(Input!$1:$1048576,CJ$93,$C124*2+6)</f>
        <v>N</v>
      </c>
      <c r="CK124" s="1" t="str">
        <f t="shared" si="75"/>
        <v>Market</v>
      </c>
      <c r="CL124" s="1" t="str">
        <f t="shared" si="76"/>
        <v>Market</v>
      </c>
      <c r="CM124" s="1" t="str">
        <f t="shared" si="77"/>
        <v>Market</v>
      </c>
      <c r="CN124" s="1" t="str">
        <f t="shared" si="78"/>
        <v>Market</v>
      </c>
      <c r="CO124" s="1" t="str">
        <f t="shared" si="79"/>
        <v>Market</v>
      </c>
      <c r="CP124" s="304">
        <f t="shared" si="80"/>
        <v>0</v>
      </c>
      <c r="CQ124" s="1">
        <f t="shared" si="81"/>
        <v>0</v>
      </c>
      <c r="CR124" s="1">
        <f t="shared" si="82"/>
        <v>0</v>
      </c>
      <c r="CS124" s="1">
        <f t="shared" si="83"/>
        <v>0</v>
      </c>
      <c r="CT124" s="1">
        <f t="shared" si="84"/>
        <v>0</v>
      </c>
      <c r="CU124" s="1">
        <f t="shared" si="85"/>
        <v>3.9E-2</v>
      </c>
      <c r="CV124" s="304">
        <f t="shared" si="86"/>
        <v>2826</v>
      </c>
      <c r="CW124" s="20" t="s">
        <v>122</v>
      </c>
      <c r="CX124" s="20" t="s">
        <v>122</v>
      </c>
      <c r="CY124" s="20" t="s">
        <v>122</v>
      </c>
      <c r="CZ124" s="20" t="s">
        <v>122</v>
      </c>
      <c r="DA124" s="20" t="s">
        <v>122</v>
      </c>
      <c r="DB124" s="503">
        <f t="shared" si="87"/>
        <v>0</v>
      </c>
      <c r="DC124" s="127">
        <v>0</v>
      </c>
      <c r="DD124" s="127">
        <v>0</v>
      </c>
      <c r="DE124" s="127">
        <v>0</v>
      </c>
      <c r="DF124" s="127">
        <v>0</v>
      </c>
      <c r="DG124" s="127">
        <v>0</v>
      </c>
      <c r="DH124" s="127">
        <v>0</v>
      </c>
      <c r="DI124" s="127">
        <v>0</v>
      </c>
      <c r="DJ124" s="127">
        <v>0</v>
      </c>
      <c r="DK124" s="127">
        <v>0</v>
      </c>
      <c r="DL124" s="127">
        <v>0</v>
      </c>
      <c r="DM124" s="304">
        <f>INDEX(Input!$1:$1048576,DM$93,$C124*2+6)</f>
        <v>20731.578947368424</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1.3734081822135801E-2</v>
      </c>
      <c r="DZ124" s="7">
        <v>0</v>
      </c>
      <c r="EA124" s="7">
        <v>0.21480436806221395</v>
      </c>
      <c r="EB124" s="7">
        <v>0</v>
      </c>
      <c r="EC124" s="7">
        <v>0</v>
      </c>
      <c r="ED124" s="7">
        <v>0</v>
      </c>
      <c r="EE124" s="7">
        <v>0</v>
      </c>
      <c r="EF124" s="7">
        <v>0</v>
      </c>
      <c r="EG124" s="7">
        <v>0</v>
      </c>
      <c r="EH124" s="7">
        <v>1.0499127675873871E-2</v>
      </c>
      <c r="EI124" s="7">
        <v>1.8884716664387988E-2</v>
      </c>
      <c r="EJ124" s="7">
        <v>0.14852093692952109</v>
      </c>
      <c r="EK124" s="7">
        <v>0.79923611614015944</v>
      </c>
      <c r="EL124" s="7">
        <v>2.2859102590057599E-2</v>
      </c>
      <c r="EM124" s="7">
        <v>2.5679215667481312E-2</v>
      </c>
      <c r="EN124" s="7">
        <v>5.6686594175933767E-2</v>
      </c>
      <c r="EO124" s="7">
        <v>0.54216995014193592</v>
      </c>
      <c r="EP124" s="7">
        <v>0.31173155381219231</v>
      </c>
      <c r="EQ124" s="7">
        <v>5.1954312326603497E-2</v>
      </c>
      <c r="ER124" s="7">
        <v>3.7457589543334752E-2</v>
      </c>
      <c r="ES124" s="7">
        <v>0.74578233444816877</v>
      </c>
      <c r="ET124" s="7">
        <v>0.77146155011565032</v>
      </c>
      <c r="EU124" s="6">
        <v>1600</v>
      </c>
      <c r="EV124" s="6">
        <v>0</v>
      </c>
      <c r="EW124" s="6">
        <v>1600</v>
      </c>
      <c r="EX124" s="6">
        <v>0</v>
      </c>
      <c r="EY124" s="6">
        <v>3325.2996804024187</v>
      </c>
      <c r="EZ124" s="6">
        <v>4822.9999999999991</v>
      </c>
      <c r="FA124" s="6">
        <v>0</v>
      </c>
      <c r="FB124" s="6">
        <v>0</v>
      </c>
      <c r="FC124" s="6">
        <v>0</v>
      </c>
      <c r="FD124" s="6">
        <v>0</v>
      </c>
      <c r="FE124" s="6">
        <v>0</v>
      </c>
      <c r="FF124" s="6">
        <v>0</v>
      </c>
      <c r="FG124" s="6">
        <v>0</v>
      </c>
      <c r="FH124" s="6">
        <v>1152.1208270377815</v>
      </c>
      <c r="FI124" s="6">
        <v>1531.4299904380621</v>
      </c>
      <c r="FJ124" s="6">
        <v>2070.7205842538215</v>
      </c>
      <c r="FK124" s="6">
        <v>2635.3956133202905</v>
      </c>
      <c r="FL124" s="6">
        <v>893.91433563489363</v>
      </c>
      <c r="FM124" s="6">
        <v>2475.2996804024187</v>
      </c>
      <c r="FN124" s="6">
        <v>0</v>
      </c>
      <c r="FO124" s="6">
        <v>0</v>
      </c>
      <c r="FP124" s="6">
        <v>0</v>
      </c>
      <c r="FQ124" s="6">
        <v>0</v>
      </c>
      <c r="FR124" s="6">
        <v>0</v>
      </c>
      <c r="FS124" s="6">
        <v>0</v>
      </c>
      <c r="FT124" s="7">
        <v>0.22853844988434976</v>
      </c>
      <c r="FU124" s="7">
        <v>2.5679215667481312E-2</v>
      </c>
      <c r="FV124" s="7">
        <v>0.74578233444816877</v>
      </c>
      <c r="FW124" s="6">
        <v>1600</v>
      </c>
      <c r="FX124" s="6">
        <v>3325.2996804024187</v>
      </c>
      <c r="FY124" s="6">
        <v>4822.9999999999991</v>
      </c>
      <c r="FZ124" s="6">
        <v>3077.4375890575293</v>
      </c>
      <c r="GA124" s="6">
        <v>4047.9608065105376</v>
      </c>
      <c r="GB124" s="6">
        <v>15647.039193489461</v>
      </c>
      <c r="GC124" s="7">
        <v>7.0901643973087014E-2</v>
      </c>
      <c r="GD124" s="7">
        <v>8.076544002435683E-2</v>
      </c>
      <c r="GE124" s="7"/>
      <c r="GF124" s="7"/>
      <c r="GG124" s="7">
        <v>0.13911942655397291</v>
      </c>
      <c r="GH124" s="42">
        <v>2.8231752282764551</v>
      </c>
      <c r="GI124" s="6">
        <v>11024.148399380489</v>
      </c>
      <c r="GJ124" s="14">
        <v>0.51074630601039572</v>
      </c>
      <c r="GK124" s="14">
        <v>0.50829519786160982</v>
      </c>
      <c r="GL124" s="14">
        <v>0.4892536939896045</v>
      </c>
      <c r="GM124" s="14">
        <v>0.49170480213839041</v>
      </c>
      <c r="GO124" s="5">
        <v>338.16872463277008</v>
      </c>
      <c r="GP124" s="5">
        <v>307.64377699166363</v>
      </c>
      <c r="GQ124" s="5">
        <v>527.27910984145694</v>
      </c>
      <c r="GR124" s="5">
        <v>404.20319246551543</v>
      </c>
      <c r="GS124" s="5">
        <v>334.50205195691484</v>
      </c>
      <c r="GT124" s="5">
        <v>289.18266033348181</v>
      </c>
      <c r="GU124" s="5">
        <v>254.29573314828914</v>
      </c>
      <c r="GV124" s="39" t="s">
        <v>392</v>
      </c>
      <c r="GW124" s="5">
        <v>468.76388888888891</v>
      </c>
      <c r="GX124" s="5">
        <v>351.57291666666669</v>
      </c>
      <c r="GY124" s="5">
        <v>281.25833333333333</v>
      </c>
      <c r="GZ124" s="5">
        <v>234.38194444444446</v>
      </c>
      <c r="HA124" s="5">
        <v>229.8919505212948</v>
      </c>
      <c r="HB124" s="39">
        <v>245.91535667605942</v>
      </c>
      <c r="HC124" s="5">
        <v>72.109375000000014</v>
      </c>
      <c r="HD124" s="5">
        <v>92.305464181286524</v>
      </c>
      <c r="HE124" s="5">
        <v>103.7516995614035</v>
      </c>
      <c r="HF124" s="5">
        <v>106.17129934210527</v>
      </c>
      <c r="HG124" s="5">
        <v>115.13410087719299</v>
      </c>
      <c r="HH124" s="39">
        <v>96.304265044073503</v>
      </c>
      <c r="HI124" s="16"/>
      <c r="HJ124" s="19" t="str">
        <f t="shared" ref="HJ124" si="291">HJ123</f>
        <v>On</v>
      </c>
      <c r="HK124" s="1" t="str">
        <f t="shared" si="108"/>
        <v>On</v>
      </c>
      <c r="HL124" s="16"/>
      <c r="HM124" s="639">
        <f t="shared" si="261"/>
        <v>1.7699001661282989E-2</v>
      </c>
      <c r="HN124" s="639">
        <f t="shared" si="262"/>
        <v>1.0509929974846072E-3</v>
      </c>
      <c r="HO124" s="639">
        <f t="shared" si="263"/>
        <v>5.7398960259851091E-2</v>
      </c>
      <c r="HP124" s="644">
        <f>(FT124*$GD124-HM124)/$JF124*INDEX(Input!$1:$1048576,$JG$93,$C124*2+6)</f>
        <v>9.7481135121265297</v>
      </c>
      <c r="HQ124" s="644">
        <f>(FU124*$GD124-HN124)/$JF124*INDEX(Input!$1:$1048576,$JG$93,$C124*2+6)</f>
        <v>13.138645868886337</v>
      </c>
      <c r="HR124" s="644">
        <f>(FV124*$GD124-HO124)/$JF124*INDEX(Input!$1:$1048576,$JG$93,$C124*2+6)</f>
        <v>36.403908996997622</v>
      </c>
      <c r="HS124" s="644">
        <f t="shared" si="264"/>
        <v>-0.38056918616801078</v>
      </c>
      <c r="HT124" s="644">
        <f t="shared" si="265"/>
        <v>27.859337889100999</v>
      </c>
      <c r="HU124" s="644">
        <f t="shared" si="266"/>
        <v>17.898634637869858</v>
      </c>
      <c r="HV124" s="648">
        <f t="shared" si="267"/>
        <v>0</v>
      </c>
      <c r="HW124" s="648">
        <f t="shared" si="268"/>
        <v>0</v>
      </c>
      <c r="HX124" s="648">
        <f t="shared" si="269"/>
        <v>0</v>
      </c>
      <c r="HY124" s="644">
        <f>INDEX(Input!$1:$1048576,HY$93,$C124*2+6)*INDEX(Input!$1:$1048576,$JG$93,$C124*2+6)</f>
        <v>154.99999999999997</v>
      </c>
      <c r="HZ124" s="644">
        <f>INDEX(Input!$1:$1048576,HZ$93,$C124*2+6)*INDEX(Input!$1:$1048576,$JG$93,$C124*2+6)</f>
        <v>140</v>
      </c>
      <c r="IA124" s="644">
        <f>INDEX(Input!$1:$1048576,IA$93,$C124*2+6)*INDEX(Input!$1:$1048576,$JG$93,$C124*2+6)</f>
        <v>683</v>
      </c>
      <c r="IB124" s="644">
        <f t="shared" si="249"/>
        <v>164.36754432595853</v>
      </c>
      <c r="IC124" s="644">
        <f t="shared" si="172"/>
        <v>180.99798375798733</v>
      </c>
      <c r="ID124" s="644">
        <f>IF(AND(INDEX(Input!$1:$1048576,IA$93,$C124*2+7)="TOS",Y124&lt;=INDEX(Y:Y,MATCH(C124*1000+2,A:A))),0,1)*MAX(IA124+HR124+HU124+HX124,0%)</f>
        <v>737.30254363486745</v>
      </c>
      <c r="IE124" s="128">
        <f t="shared" si="270"/>
        <v>0.15181711608527743</v>
      </c>
      <c r="IF124" s="128">
        <f t="shared" si="174"/>
        <v>0.16717772370495793</v>
      </c>
      <c r="IG124" s="128">
        <f t="shared" si="175"/>
        <v>0.68100516020976465</v>
      </c>
      <c r="IH124" s="21"/>
      <c r="II124" s="19">
        <f t="shared" si="271"/>
        <v>1200</v>
      </c>
      <c r="IJ124" s="19">
        <f t="shared" si="272"/>
        <v>2231.5502763133163</v>
      </c>
      <c r="IK124" s="19">
        <f t="shared" si="273"/>
        <v>4498</v>
      </c>
      <c r="IL124" s="19">
        <f t="shared" si="176"/>
        <v>400</v>
      </c>
      <c r="IM124" s="19">
        <f t="shared" si="177"/>
        <v>1093.7494040891024</v>
      </c>
      <c r="IN124" s="19">
        <f t="shared" si="178"/>
        <v>324.99999999999909</v>
      </c>
      <c r="IO124" s="39">
        <f t="shared" si="274"/>
        <v>0</v>
      </c>
      <c r="IP124" s="39">
        <f t="shared" si="275"/>
        <v>0</v>
      </c>
      <c r="IQ124" s="39">
        <f t="shared" si="276"/>
        <v>0</v>
      </c>
      <c r="IR124" s="39">
        <v>0</v>
      </c>
      <c r="IS124" s="39">
        <v>0</v>
      </c>
      <c r="IT124" s="39">
        <v>0</v>
      </c>
      <c r="IU124" s="39">
        <v>0</v>
      </c>
      <c r="IV124" s="39">
        <v>0</v>
      </c>
      <c r="IW124" s="39">
        <v>0</v>
      </c>
      <c r="IX124" s="39">
        <f>INDEX(Input!$1:$1048576,IX$93,$C124*2+6)+INDEX(Input!$1:$1048576,IX$94,$C124*2+6)</f>
        <v>1600</v>
      </c>
      <c r="IY124" s="39">
        <f>INDEX(Input!$1:$1048576,IY$93,$C124*2+6)+INDEX(Input!$1:$1048576,IY$94,$C124*2+6)</f>
        <v>2503.5492916397525</v>
      </c>
      <c r="IZ124" s="39">
        <f>INDEX(Input!$1:$1048576,IZ$93,$C124*2+6)+INDEX(Input!$1:$1048576,IZ$94,$C124*2+6)</f>
        <v>6273.7109265464023</v>
      </c>
      <c r="JA124" s="19">
        <f t="shared" si="179"/>
        <v>2000</v>
      </c>
      <c r="JB124" s="19">
        <f t="shared" si="180"/>
        <v>3597.2986957288549</v>
      </c>
      <c r="JC124" s="19">
        <f t="shared" si="181"/>
        <v>6598.7109265464014</v>
      </c>
      <c r="JD124" s="19">
        <f t="shared" si="182"/>
        <v>5398.7786313199758</v>
      </c>
      <c r="JE124" s="21"/>
      <c r="JF124" s="1">
        <f t="shared" si="277"/>
        <v>7.6148954918618686E-2</v>
      </c>
      <c r="JG124" s="15">
        <f>INDEX(Input!$1:$1048576,JG$93,$C124*2+6)/(1+VLOOKUP(C124*1000+INDEX(Input!$1:$1048576,JG$93+1,$C124*2+6),$A:$KK,$JK$92,FALSE))</f>
        <v>978</v>
      </c>
      <c r="JH124" s="1">
        <f t="shared" si="251"/>
        <v>6.0624405294489252E-2</v>
      </c>
      <c r="JI124" s="1">
        <f t="shared" si="252"/>
        <v>4.6398162925156278E-2</v>
      </c>
      <c r="JJ124" s="1">
        <f t="shared" si="253"/>
        <v>0</v>
      </c>
      <c r="JK124" s="1">
        <f t="shared" si="254"/>
        <v>0.10702256821964554</v>
      </c>
      <c r="JL124" s="15">
        <f t="shared" si="184"/>
        <v>104.66807171881334</v>
      </c>
      <c r="JM124" s="15">
        <f t="shared" si="185"/>
        <v>1082.6680717188133</v>
      </c>
      <c r="JN124" s="21"/>
      <c r="JO124" s="19">
        <f>INDEX(Input!$1:$1048576,JO$93,$C124*2+6)</f>
        <v>5908.5</v>
      </c>
      <c r="JP124" s="19">
        <f>INDEX(Input!$1:$1048576,JP$93,$C124*2+6)</f>
        <v>4993.2939301234746</v>
      </c>
      <c r="JQ124" s="39">
        <f t="shared" si="186"/>
        <v>509.72136868002417</v>
      </c>
      <c r="JR124" s="39">
        <f t="shared" si="187"/>
        <v>405.48470119650119</v>
      </c>
      <c r="JS124" s="39">
        <f t="shared" si="188"/>
        <v>5.8450852504079327</v>
      </c>
      <c r="JT124" s="39">
        <f t="shared" si="189"/>
        <v>0.96164378674717432</v>
      </c>
      <c r="JU124" s="385">
        <f>(JQ124*JM124-INDEX(Input!$1:$1048576,Input!A$18,$C124*2+6)*JL124*INDEX(Input!$1:$1048576,Input!A$19,$C124*2+6))/1000000</f>
        <v>0.5518590513426761</v>
      </c>
      <c r="JV124" s="39">
        <f t="shared" si="192"/>
        <v>-0.34321248499656565</v>
      </c>
      <c r="JW124" s="1">
        <f t="shared" si="190"/>
        <v>-0.38344698838293123</v>
      </c>
      <c r="JX124" s="19">
        <f t="shared" si="191"/>
        <v>9187.5561568631219</v>
      </c>
      <c r="JZ124" s="341"/>
      <c r="KA124" s="342"/>
      <c r="KB124" s="469">
        <f t="shared" si="110"/>
        <v>3.2656316020464753</v>
      </c>
      <c r="KI124" s="473">
        <f t="shared" si="278"/>
        <v>9.367544325958562</v>
      </c>
      <c r="KJ124" s="473">
        <f t="shared" si="279"/>
        <v>40.997983757987328</v>
      </c>
      <c r="KK124" s="473">
        <f t="shared" si="257"/>
        <v>54.302543634867448</v>
      </c>
      <c r="KN124" s="544">
        <f t="shared" si="258"/>
        <v>1002</v>
      </c>
      <c r="KO124" s="541">
        <f t="shared" si="280"/>
        <v>2.3209882469307441E-2</v>
      </c>
      <c r="KP124" s="546">
        <f t="shared" si="281"/>
        <v>115.97944619728727</v>
      </c>
      <c r="KQ124" s="546">
        <f t="shared" si="282"/>
        <v>44.324731344535394</v>
      </c>
      <c r="KR124" s="548">
        <f t="shared" si="283"/>
        <v>2.8698394451812814</v>
      </c>
      <c r="KS124" s="548">
        <f t="shared" si="284"/>
        <v>7.5091800769208703</v>
      </c>
      <c r="KT124" s="473">
        <f t="shared" si="112"/>
        <v>-82.310573396665475</v>
      </c>
      <c r="KU124" s="663">
        <f t="shared" si="285"/>
        <v>-51.632434220695615</v>
      </c>
      <c r="KV124" s="117"/>
    </row>
    <row r="125" spans="1:308" s="26" customFormat="1" ht="15">
      <c r="A125" s="561">
        <f t="shared" si="168"/>
        <v>1025</v>
      </c>
      <c r="B125" s="561">
        <f t="shared" si="104"/>
        <v>25</v>
      </c>
      <c r="C125" s="561">
        <f t="shared" si="105"/>
        <v>1</v>
      </c>
      <c r="D125" s="561" t="str">
        <f t="shared" si="287"/>
        <v xml:space="preserve">0.9/1.9/2.9/3.9, </v>
      </c>
      <c r="E125" s="475">
        <f>INDEX(Input!$1:$1048576,E$93,$C125*2+MIN($B125,2)+5)
+INDEX(Scenarios!E$121:E$200,MATCH($B125,Scenarios!$B$121:$B$200,0))</f>
        <v>1250</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2.8999999999999998E-2</v>
      </c>
      <c r="W125" s="863">
        <f>IFERROR(MAX(0,INDEX(Input!$1:$1048576,W$93,$C125*2+MIN($B125,2)+5)-0%,),"Market")</f>
        <v>3.9E-2</v>
      </c>
      <c r="X125" s="476" t="str">
        <f>INDEX(Input!$1:$1048576,X$93,$C125*2+MIN($B125,2)+5)</f>
        <v>Y</v>
      </c>
      <c r="Y125" s="475">
        <f>INDEX(Input!$1:$1048576,Y$93,$C125*2+MIN($B125,2)+5)
++INDEX(Scenarios!Y$121:Y$200,MATCH($B125,Scenarios!$B$121:$B$200,0))</f>
        <v>2826</v>
      </c>
      <c r="Z125" s="477">
        <f>INDEX(Input!$1:$1048576,Z$93,$C125*2+MIN($B125,2)+5)
+INDEX(Scenarios!Z$121:Z$200,MATCH($B125,Scenarios!$B$121:$B$200,0))</f>
        <v>0</v>
      </c>
      <c r="AA125" s="475">
        <f>INDEX(Input!$1:$1048576,AA$93,$C125*2+MIN($B125,2)+5)</f>
        <v>0</v>
      </c>
      <c r="AB125" s="476">
        <f>INDEX(Input!$1:$1048576,AB$93,$C125*2+MIN($B125,2)+5)</f>
        <v>1</v>
      </c>
      <c r="AC125" s="475">
        <f>INDEX(Input!$1:$1048576,AC$93,$C125*2+MIN($B125,2)+5)
+INDEX(Scenarios!AC$121:AC$200,MATCH($B125,Scenarios!$B$121:$B$200,0))</f>
        <v>0</v>
      </c>
      <c r="AD125" s="476">
        <f>INDEX(Input!$1:$1048576,AD$93,$C125*2+MIN($B125,2)+5)</f>
        <v>0.35</v>
      </c>
      <c r="AE125" s="475">
        <f>INDEX(Input!$1:$1048576,AE$93,$C125*2+MIN($B125,2)+5)
+INDEX(Scenarios!AE$121:AE$200,MATCH($B125,Scenarios!$B$121:$B$200,0))</f>
        <v>0</v>
      </c>
      <c r="AF125" s="476">
        <f>INDEX(Input!$1:$1048576,AF$93,$C125*2+MIN($B125,2)+5)</f>
        <v>1</v>
      </c>
      <c r="AG125" s="475">
        <f>INDEX(Input!$1:$1048576,AG$93,$C125*2+MIN($B125,2)+5)
+INDEX(Scenarios!AG$121:AG$200,MATCH($B125,Scenarios!$B$121:$B$200,0))</f>
        <v>0</v>
      </c>
      <c r="AH125" s="476">
        <f>INDEX(Input!$1:$1048576,AH$93,$C125*2+MIN($B125,2)+5)</f>
        <v>1</v>
      </c>
      <c r="AI125" s="475">
        <f>INDEX(Input!$1:$1048576,AI$93,$C125*2+MIN($B125,2)+5)
+INDEX(Scenarios!AI$121:AI$200,MATCH($B125,Scenarios!$B$121:$B$200,0))</f>
        <v>0</v>
      </c>
      <c r="AJ125" s="476">
        <f>INDEX(Input!$1:$1048576,AJ$93,$C125*2+MIN($B125,2)+5)</f>
        <v>0.35</v>
      </c>
      <c r="AK125" s="150">
        <f>ROUND(INDEX(Input!$1:$1048576,AK$93,$C124*2+MIN($B125,1)+5)+(Y125-VLOOKUP($C125*1000+1,$A:$HH,Y$92,FALSE)),0)</f>
        <v>5482</v>
      </c>
      <c r="AL125" s="150">
        <f>ROUND(INDEX(Input!$1:$1048576,AL$93,$C124*2+MIN($B125,1)+5)-(Y125-VLOOKUP($C125*1000+1,$A:$HH,Y$92,FALSE))/36,0)</f>
        <v>5602</v>
      </c>
      <c r="AM125" s="32" t="str">
        <f t="shared" si="169"/>
        <v>std/std/std/std</v>
      </c>
      <c r="AN125" s="32" t="str">
        <f t="shared" si="170"/>
        <v>$0 + 0.9/0.9/0.9/2.9/3.9</v>
      </c>
      <c r="AO125" s="32" t="str">
        <f t="shared" si="171"/>
        <v>0.9/0.9/0.9/2.9/3.9</v>
      </c>
      <c r="AP125" s="32" t="str">
        <f t="shared" si="73"/>
        <v>0.9/1.9/2.9/3.9</v>
      </c>
      <c r="AQ125" s="536">
        <f t="shared" si="39"/>
        <v>0.15993035250130222</v>
      </c>
      <c r="AR125" s="32"/>
      <c r="AS125" s="302"/>
      <c r="AT125" s="3">
        <f t="shared" si="106"/>
        <v>25</v>
      </c>
      <c r="AU125" s="41" t="s">
        <v>121</v>
      </c>
      <c r="AV125" s="41" t="s">
        <v>116</v>
      </c>
      <c r="AW125" s="41" t="str">
        <f>INDEX(Input!$1:$1048576,AW$93,$C125*2+6)</f>
        <v>Kia</v>
      </c>
      <c r="AX125" s="41" t="str">
        <f>INDEX(Input!$1:$1048576,AX$93,$C125*2+6)</f>
        <v>Kia-LR - L1</v>
      </c>
      <c r="AY125" s="41" t="str">
        <f>IF(LEN(D125)=0,"",INDEX(Input!$1:$1048576,AY$93,$C125*2+6))</f>
        <v>Compact Conventional/Sporty Car (43)</v>
      </c>
      <c r="AZ125" s="41" t="str">
        <f>INDEX(Input!$1:$1048576,AZ$93,$C125*2+6)</f>
        <v>Kia Forte</v>
      </c>
      <c r="BA125" s="3">
        <f>INDEX(Input!$1:$1048576,BA$93,$C125*2+6)</f>
        <v>2020</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19695</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4"/>
        <v>1250</v>
      </c>
      <c r="CJ125" s="16" t="str">
        <f>INDEX(Input!$1:$1048576,CJ$93,$C125*2+6)</f>
        <v>N</v>
      </c>
      <c r="CK125" s="1" t="str">
        <f t="shared" si="75"/>
        <v>Market</v>
      </c>
      <c r="CL125" s="1" t="str">
        <f t="shared" si="76"/>
        <v>Market</v>
      </c>
      <c r="CM125" s="1" t="str">
        <f t="shared" si="77"/>
        <v>Market</v>
      </c>
      <c r="CN125" s="1" t="str">
        <f t="shared" si="78"/>
        <v>Market</v>
      </c>
      <c r="CO125" s="1" t="str">
        <f t="shared" si="79"/>
        <v>Market</v>
      </c>
      <c r="CP125" s="304">
        <f t="shared" si="80"/>
        <v>0</v>
      </c>
      <c r="CQ125" s="1">
        <f t="shared" si="81"/>
        <v>9.0000000000000011E-3</v>
      </c>
      <c r="CR125" s="1">
        <f t="shared" si="82"/>
        <v>9.0000000000000011E-3</v>
      </c>
      <c r="CS125" s="1">
        <f t="shared" si="83"/>
        <v>9.0000000000000011E-3</v>
      </c>
      <c r="CT125" s="1">
        <f t="shared" si="84"/>
        <v>2.8999999999999998E-2</v>
      </c>
      <c r="CU125" s="1">
        <f t="shared" si="85"/>
        <v>3.9E-2</v>
      </c>
      <c r="CV125" s="304">
        <f t="shared" si="86"/>
        <v>2826</v>
      </c>
      <c r="CW125" s="20" t="s">
        <v>122</v>
      </c>
      <c r="CX125" s="20" t="s">
        <v>122</v>
      </c>
      <c r="CY125" s="20" t="s">
        <v>122</v>
      </c>
      <c r="CZ125" s="20" t="s">
        <v>122</v>
      </c>
      <c r="DA125" s="20" t="s">
        <v>122</v>
      </c>
      <c r="DB125" s="503">
        <f t="shared" si="87"/>
        <v>0</v>
      </c>
      <c r="DC125" s="127">
        <v>0</v>
      </c>
      <c r="DD125" s="127">
        <v>0</v>
      </c>
      <c r="DE125" s="127">
        <v>0</v>
      </c>
      <c r="DF125" s="127">
        <v>0</v>
      </c>
      <c r="DG125" s="127">
        <v>0</v>
      </c>
      <c r="DH125" s="127">
        <v>0</v>
      </c>
      <c r="DI125" s="127">
        <v>0</v>
      </c>
      <c r="DJ125" s="127">
        <v>0</v>
      </c>
      <c r="DK125" s="127">
        <v>0</v>
      </c>
      <c r="DL125" s="127">
        <v>0</v>
      </c>
      <c r="DM125" s="304">
        <f>INDEX(Input!$1:$1048576,DM$93,$C125*2+6)</f>
        <v>20731.578947368424</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1.3965258623530102E-2</v>
      </c>
      <c r="DZ125" s="7">
        <v>0</v>
      </c>
      <c r="EA125" s="7">
        <v>0.21842153434694458</v>
      </c>
      <c r="EB125" s="7">
        <v>0</v>
      </c>
      <c r="EC125" s="7">
        <v>0</v>
      </c>
      <c r="ED125" s="7">
        <v>0</v>
      </c>
      <c r="EE125" s="7">
        <v>0</v>
      </c>
      <c r="EF125" s="7">
        <v>0</v>
      </c>
      <c r="EG125" s="7">
        <v>0</v>
      </c>
      <c r="EH125" s="7">
        <v>2.4339991898198073E-2</v>
      </c>
      <c r="EI125" s="7">
        <v>4.0856814647068161E-2</v>
      </c>
      <c r="EJ125" s="7">
        <v>0.30271672059585375</v>
      </c>
      <c r="EK125" s="7">
        <v>0.56775043590985852</v>
      </c>
      <c r="EL125" s="7">
        <v>6.4336036949021624E-2</v>
      </c>
      <c r="EM125" s="7">
        <v>9.2776071467326818E-3</v>
      </c>
      <c r="EN125" s="7">
        <v>5.668659417593374E-2</v>
      </c>
      <c r="EO125" s="7">
        <v>0.54216995014193592</v>
      </c>
      <c r="EP125" s="7">
        <v>0.31173155381219231</v>
      </c>
      <c r="EQ125" s="7">
        <v>5.1954312326603476E-2</v>
      </c>
      <c r="ER125" s="7">
        <v>3.7457589543334724E-2</v>
      </c>
      <c r="ES125" s="7">
        <v>0.75833559988279264</v>
      </c>
      <c r="ET125" s="7">
        <v>0.76761320702952529</v>
      </c>
      <c r="EU125" s="6">
        <v>1600</v>
      </c>
      <c r="EV125" s="6">
        <v>0</v>
      </c>
      <c r="EW125" s="6">
        <v>1600</v>
      </c>
      <c r="EX125" s="6">
        <v>0</v>
      </c>
      <c r="EY125" s="6">
        <v>2216.9471942387718</v>
      </c>
      <c r="EZ125" s="6">
        <v>4822.9999999999991</v>
      </c>
      <c r="FA125" s="6">
        <v>0</v>
      </c>
      <c r="FB125" s="6">
        <v>0</v>
      </c>
      <c r="FC125" s="6">
        <v>0</v>
      </c>
      <c r="FD125" s="6">
        <v>0</v>
      </c>
      <c r="FE125" s="6">
        <v>0</v>
      </c>
      <c r="FF125" s="6">
        <v>0</v>
      </c>
      <c r="FG125" s="6">
        <v>0</v>
      </c>
      <c r="FH125" s="6">
        <v>924.4809133837465</v>
      </c>
      <c r="FI125" s="6">
        <v>1232.1164465304232</v>
      </c>
      <c r="FJ125" s="6">
        <v>1709.9775738488454</v>
      </c>
      <c r="FK125" s="6">
        <v>1266.3227157028186</v>
      </c>
      <c r="FL125" s="6">
        <v>893.91433563489363</v>
      </c>
      <c r="FM125" s="6">
        <v>1366.9471942387715</v>
      </c>
      <c r="FN125" s="6">
        <v>0</v>
      </c>
      <c r="FO125" s="6">
        <v>0</v>
      </c>
      <c r="FP125" s="6">
        <v>0</v>
      </c>
      <c r="FQ125" s="6">
        <v>0</v>
      </c>
      <c r="FR125" s="6">
        <v>0</v>
      </c>
      <c r="FS125" s="6">
        <v>0</v>
      </c>
      <c r="FT125" s="7">
        <v>0.23238679297047468</v>
      </c>
      <c r="FU125" s="7">
        <v>9.2776071467326818E-3</v>
      </c>
      <c r="FV125" s="7">
        <v>0.75833559988279264</v>
      </c>
      <c r="FW125" s="6">
        <v>1600</v>
      </c>
      <c r="FX125" s="6">
        <v>2216.9471942387718</v>
      </c>
      <c r="FY125" s="6">
        <v>4822.9999999999991</v>
      </c>
      <c r="FZ125" s="6">
        <v>3077.4375890575293</v>
      </c>
      <c r="GA125" s="6">
        <v>4049.8394321206661</v>
      </c>
      <c r="GB125" s="6">
        <v>15645.160567879335</v>
      </c>
      <c r="GC125" s="7">
        <v>7.0901643973087014E-2</v>
      </c>
      <c r="GD125" s="7">
        <v>8.0200666659725015E-2</v>
      </c>
      <c r="GE125" s="7"/>
      <c r="GF125" s="7"/>
      <c r="GG125" s="7">
        <v>0.13115383742255315</v>
      </c>
      <c r="GH125" s="42">
        <v>2.656386191021924</v>
      </c>
      <c r="GI125" s="6">
        <v>11464.047526773969</v>
      </c>
      <c r="GJ125" s="14">
        <v>0.5107463060103955</v>
      </c>
      <c r="GK125" s="14">
        <v>0.50829519786160959</v>
      </c>
      <c r="GL125" s="14">
        <v>0.48925369398960433</v>
      </c>
      <c r="GM125" s="14">
        <v>0.49170480213839024</v>
      </c>
      <c r="GO125" s="5">
        <v>338.16872463277008</v>
      </c>
      <c r="GP125" s="5">
        <v>307.64377699166363</v>
      </c>
      <c r="GQ125" s="5">
        <v>527.27910984145694</v>
      </c>
      <c r="GR125" s="5">
        <v>404.20319246551543</v>
      </c>
      <c r="GS125" s="5">
        <v>334.50205195691484</v>
      </c>
      <c r="GT125" s="5">
        <v>289.18266033348181</v>
      </c>
      <c r="GU125" s="5">
        <v>254.29573314828914</v>
      </c>
      <c r="GV125" s="39" t="s">
        <v>392</v>
      </c>
      <c r="GW125" s="5">
        <v>475.29643226912253</v>
      </c>
      <c r="GX125" s="5">
        <v>358.07100736083845</v>
      </c>
      <c r="GY125" s="5">
        <v>287.73954748358943</v>
      </c>
      <c r="GZ125" s="5">
        <v>255.64660634518972</v>
      </c>
      <c r="HA125" s="5">
        <v>229.8919505212948</v>
      </c>
      <c r="HB125" s="39">
        <v>273.23573350324892</v>
      </c>
      <c r="HC125" s="5">
        <v>72.109375000000014</v>
      </c>
      <c r="HD125" s="5">
        <v>92.305464181286524</v>
      </c>
      <c r="HE125" s="5">
        <v>103.7516995614035</v>
      </c>
      <c r="HF125" s="5">
        <v>106.17129934210527</v>
      </c>
      <c r="HG125" s="5">
        <v>115.13410087719299</v>
      </c>
      <c r="HH125" s="39">
        <v>96.304265044073475</v>
      </c>
      <c r="HI125" s="16"/>
      <c r="HJ125" s="19" t="str">
        <f t="shared" ref="HJ125" si="292">HJ124</f>
        <v>On</v>
      </c>
      <c r="HK125" s="1" t="str">
        <f t="shared" si="108"/>
        <v>On</v>
      </c>
      <c r="HL125" s="16"/>
      <c r="HM125" s="639">
        <f t="shared" si="261"/>
        <v>1.7699001661282989E-2</v>
      </c>
      <c r="HN125" s="639">
        <f t="shared" si="262"/>
        <v>1.0509929974846072E-3</v>
      </c>
      <c r="HO125" s="639">
        <f t="shared" si="263"/>
        <v>5.7398960259851091E-2</v>
      </c>
      <c r="HP125" s="644">
        <f>(FT125*$GD125-HM125)/$JF125*INDEX(Input!$1:$1048576,$JG$93,$C125*2+6)</f>
        <v>12.054340464324902</v>
      </c>
      <c r="HQ125" s="644">
        <f>(FU125*$GD125-HN125)/$JF125*INDEX(Input!$1:$1048576,$JG$93,$C125*2+6)</f>
        <v>-3.9418849517449206</v>
      </c>
      <c r="HR125" s="644">
        <f>(FV125*$GD125-HO125)/$JF125*INDEX(Input!$1:$1048576,$JG$93,$C125*2+6)</f>
        <v>43.924687834125649</v>
      </c>
      <c r="HS125" s="644">
        <f t="shared" si="264"/>
        <v>5.0811301381073421E-3</v>
      </c>
      <c r="HT125" s="644">
        <f t="shared" si="265"/>
        <v>-2.9791231357268901</v>
      </c>
      <c r="HU125" s="644">
        <f t="shared" si="266"/>
        <v>17.512984321563739</v>
      </c>
      <c r="HV125" s="648">
        <f t="shared" si="267"/>
        <v>0</v>
      </c>
      <c r="HW125" s="648">
        <f t="shared" si="268"/>
        <v>0</v>
      </c>
      <c r="HX125" s="648">
        <f t="shared" si="269"/>
        <v>0</v>
      </c>
      <c r="HY125" s="644">
        <f>INDEX(Input!$1:$1048576,HY$93,$C125*2+6)*INDEX(Input!$1:$1048576,$JG$93,$C125*2+6)</f>
        <v>154.99999999999997</v>
      </c>
      <c r="HZ125" s="644">
        <f>INDEX(Input!$1:$1048576,HZ$93,$C125*2+6)*INDEX(Input!$1:$1048576,$JG$93,$C125*2+6)</f>
        <v>140</v>
      </c>
      <c r="IA125" s="644">
        <f>INDEX(Input!$1:$1048576,IA$93,$C125*2+6)*INDEX(Input!$1:$1048576,$JG$93,$C125*2+6)</f>
        <v>683</v>
      </c>
      <c r="IB125" s="644">
        <f t="shared" si="249"/>
        <v>167.05942159446295</v>
      </c>
      <c r="IC125" s="644">
        <f t="shared" si="172"/>
        <v>133.07899191252818</v>
      </c>
      <c r="ID125" s="644">
        <f>IF(AND(INDEX(Input!$1:$1048576,IA$93,$C125*2+7)="TOS",Y125&lt;=INDEX(Y:Y,MATCH(C125*1000+2,A:A))),0,1)*MAX(IA125+HR125+HU125+HX125,0%)</f>
        <v>744.43767215568937</v>
      </c>
      <c r="IE125" s="128">
        <f t="shared" si="270"/>
        <v>0.15993035250130222</v>
      </c>
      <c r="IF125" s="128">
        <f t="shared" si="174"/>
        <v>0.12739999865888438</v>
      </c>
      <c r="IG125" s="128">
        <f t="shared" si="175"/>
        <v>0.71266964883981343</v>
      </c>
      <c r="IH125" s="21"/>
      <c r="II125" s="19">
        <f t="shared" si="271"/>
        <v>1200</v>
      </c>
      <c r="IJ125" s="19">
        <f t="shared" si="272"/>
        <v>2231.5502763133163</v>
      </c>
      <c r="IK125" s="19">
        <f t="shared" si="273"/>
        <v>4498</v>
      </c>
      <c r="IL125" s="19">
        <f t="shared" si="176"/>
        <v>400</v>
      </c>
      <c r="IM125" s="19">
        <f t="shared" si="177"/>
        <v>-14.603082074544545</v>
      </c>
      <c r="IN125" s="19">
        <f t="shared" si="178"/>
        <v>324.99999999999909</v>
      </c>
      <c r="IO125" s="39">
        <f t="shared" si="274"/>
        <v>0</v>
      </c>
      <c r="IP125" s="39">
        <f t="shared" si="275"/>
        <v>0</v>
      </c>
      <c r="IQ125" s="39">
        <f t="shared" si="276"/>
        <v>0</v>
      </c>
      <c r="IR125" s="39">
        <v>0</v>
      </c>
      <c r="IS125" s="39">
        <v>0</v>
      </c>
      <c r="IT125" s="39">
        <v>0</v>
      </c>
      <c r="IU125" s="39">
        <v>0</v>
      </c>
      <c r="IV125" s="39">
        <v>0</v>
      </c>
      <c r="IW125" s="39">
        <v>0</v>
      </c>
      <c r="IX125" s="39">
        <f>INDEX(Input!$1:$1048576,IX$93,$C125*2+6)+INDEX(Input!$1:$1048576,IX$94,$C125*2+6)</f>
        <v>1600</v>
      </c>
      <c r="IY125" s="39">
        <f>INDEX(Input!$1:$1048576,IY$93,$C125*2+6)+INDEX(Input!$1:$1048576,IY$94,$C125*2+6)</f>
        <v>2503.5492916397525</v>
      </c>
      <c r="IZ125" s="39">
        <f>INDEX(Input!$1:$1048576,IZ$93,$C125*2+6)+INDEX(Input!$1:$1048576,IZ$94,$C125*2+6)</f>
        <v>6273.7109265464023</v>
      </c>
      <c r="JA125" s="19">
        <f t="shared" si="179"/>
        <v>2000</v>
      </c>
      <c r="JB125" s="19">
        <f t="shared" si="180"/>
        <v>2488.9462095652079</v>
      </c>
      <c r="JC125" s="19">
        <f t="shared" si="181"/>
        <v>6598.7109265464014</v>
      </c>
      <c r="JD125" s="19">
        <f t="shared" si="182"/>
        <v>5339.6534475805111</v>
      </c>
      <c r="JE125" s="21"/>
      <c r="JF125" s="1">
        <f t="shared" si="277"/>
        <v>7.6148954918618686E-2</v>
      </c>
      <c r="JG125" s="15">
        <f>INDEX(Input!$1:$1048576,JG$93,$C125*2+6)/(1+VLOOKUP(C125*1000+INDEX(Input!$1:$1048576,JG$93+1,$C125*2+6),$A:$KK,$JK$92,FALSE))</f>
        <v>978</v>
      </c>
      <c r="JH125" s="1">
        <f t="shared" si="251"/>
        <v>5.3207713033441344E-2</v>
      </c>
      <c r="JI125" s="1">
        <f t="shared" si="252"/>
        <v>1.4865994188113452E-2</v>
      </c>
      <c r="JJ125" s="1">
        <f t="shared" si="253"/>
        <v>0</v>
      </c>
      <c r="JK125" s="1">
        <f t="shared" si="254"/>
        <v>6.8073707221554799E-2</v>
      </c>
      <c r="JL125" s="15">
        <f t="shared" si="184"/>
        <v>66.576085662680597</v>
      </c>
      <c r="JM125" s="15">
        <f t="shared" si="185"/>
        <v>1044.5760856626805</v>
      </c>
      <c r="JN125" s="21"/>
      <c r="JO125" s="19">
        <f>INDEX(Input!$1:$1048576,JO$93,$C125*2+6)</f>
        <v>5908.5</v>
      </c>
      <c r="JP125" s="19">
        <f>INDEX(Input!$1:$1048576,JP$93,$C125*2+6)</f>
        <v>4993.2939301234746</v>
      </c>
      <c r="JQ125" s="39">
        <f t="shared" si="186"/>
        <v>568.84655241948894</v>
      </c>
      <c r="JR125" s="39">
        <f t="shared" si="187"/>
        <v>346.35951745703642</v>
      </c>
      <c r="JS125" s="39">
        <f t="shared" si="188"/>
        <v>5.5776742970688877</v>
      </c>
      <c r="JT125" s="39">
        <f t="shared" si="189"/>
        <v>0.69423283340812936</v>
      </c>
      <c r="JU125" s="385">
        <f>(JQ125*JM125-INDEX(Input!$1:$1048576,Input!A$18,$C125*2+6)*JL125*INDEX(Input!$1:$1048576,Input!A$19,$C125*2+6))/1000000</f>
        <v>0.59420350506906061</v>
      </c>
      <c r="JV125" s="39">
        <f t="shared" si="192"/>
        <v>-0.30086803127018114</v>
      </c>
      <c r="JW125" s="1">
        <f t="shared" si="190"/>
        <v>-0.33613853089408141</v>
      </c>
      <c r="JX125" s="19">
        <f t="shared" si="191"/>
        <v>10427.660720781658</v>
      </c>
      <c r="JZ125" s="341"/>
      <c r="KA125" s="342"/>
      <c r="KB125" s="469">
        <f t="shared" si="110"/>
        <v>3.2656316020464753</v>
      </c>
      <c r="KI125" s="473">
        <f t="shared" si="278"/>
        <v>12.059421594462975</v>
      </c>
      <c r="KJ125" s="473">
        <f t="shared" si="279"/>
        <v>-6.9210080874718187</v>
      </c>
      <c r="KK125" s="473">
        <f t="shared" si="257"/>
        <v>61.43767215568937</v>
      </c>
      <c r="KN125" s="544">
        <f t="shared" si="258"/>
        <v>1002</v>
      </c>
      <c r="KO125" s="541">
        <f t="shared" si="280"/>
        <v>-1.2790160012448482E-2</v>
      </c>
      <c r="KP125" s="546">
        <f t="shared" si="281"/>
        <v>-52.82043210026621</v>
      </c>
      <c r="KQ125" s="546">
        <f t="shared" si="282"/>
        <v>-14.80045239492938</v>
      </c>
      <c r="KR125" s="548">
        <f t="shared" si="283"/>
        <v>3.4724797202914921</v>
      </c>
      <c r="KS125" s="548">
        <f t="shared" si="284"/>
        <v>12.392721140608304</v>
      </c>
      <c r="KT125" s="473">
        <f t="shared" si="112"/>
        <v>-82.310573396665475</v>
      </c>
      <c r="KU125" s="663">
        <f t="shared" si="285"/>
        <v>-50.49720129974861</v>
      </c>
      <c r="KV125" s="117"/>
    </row>
    <row r="126" spans="1:308" s="26" customFormat="1" ht="15">
      <c r="A126" s="561">
        <f t="shared" si="168"/>
        <v>1026</v>
      </c>
      <c r="B126" s="561">
        <f t="shared" si="104"/>
        <v>26</v>
      </c>
      <c r="C126" s="561">
        <f t="shared" si="105"/>
        <v>1</v>
      </c>
      <c r="D126" s="561" t="str">
        <f t="shared" si="287"/>
        <v xml:space="preserve">1.9/2.9/3.9/3.9, </v>
      </c>
      <c r="E126" s="475">
        <f>INDEX(Input!$1:$1048576,E$93,$C126*2+MIN($B126,2)+5)
+INDEX(Scenarios!E$121:E$200,MATCH($B126,Scenarios!$B$121:$B$200,0))</f>
        <v>1250</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3.9E-2</v>
      </c>
      <c r="W126" s="863">
        <f>IFERROR(MAX(0,INDEX(Input!$1:$1048576,W$93,$C126*2+MIN($B126,2)+5)-0%,),"Market")</f>
        <v>3.9E-2</v>
      </c>
      <c r="X126" s="476" t="str">
        <f>INDEX(Input!$1:$1048576,X$93,$C126*2+MIN($B126,2)+5)</f>
        <v>Y</v>
      </c>
      <c r="Y126" s="475">
        <f>INDEX(Input!$1:$1048576,Y$93,$C126*2+MIN($B126,2)+5)
++INDEX(Scenarios!Y$121:Y$200,MATCH($B126,Scenarios!$B$121:$B$200,0))</f>
        <v>2826</v>
      </c>
      <c r="Z126" s="477">
        <f>INDEX(Input!$1:$1048576,Z$93,$C126*2+MIN($B126,2)+5)
+INDEX(Scenarios!Z$121:Z$200,MATCH($B126,Scenarios!$B$121:$B$200,0))</f>
        <v>0</v>
      </c>
      <c r="AA126" s="475">
        <f>INDEX(Input!$1:$1048576,AA$93,$C126*2+MIN($B126,2)+5)</f>
        <v>0</v>
      </c>
      <c r="AB126" s="476">
        <f>INDEX(Input!$1:$1048576,AB$93,$C126*2+MIN($B126,2)+5)</f>
        <v>1</v>
      </c>
      <c r="AC126" s="475">
        <f>INDEX(Input!$1:$1048576,AC$93,$C126*2+MIN($B126,2)+5)
+INDEX(Scenarios!AC$121:AC$200,MATCH($B126,Scenarios!$B$121:$B$200,0))</f>
        <v>0</v>
      </c>
      <c r="AD126" s="476">
        <f>INDEX(Input!$1:$1048576,AD$93,$C126*2+MIN($B126,2)+5)</f>
        <v>0.35</v>
      </c>
      <c r="AE126" s="475">
        <f>INDEX(Input!$1:$1048576,AE$93,$C126*2+MIN($B126,2)+5)
+INDEX(Scenarios!AE$121:AE$200,MATCH($B126,Scenarios!$B$121:$B$200,0))</f>
        <v>0</v>
      </c>
      <c r="AF126" s="476">
        <f>INDEX(Input!$1:$1048576,AF$93,$C126*2+MIN($B126,2)+5)</f>
        <v>1</v>
      </c>
      <c r="AG126" s="475">
        <f>INDEX(Input!$1:$1048576,AG$93,$C126*2+MIN($B126,2)+5)
+INDEX(Scenarios!AG$121:AG$200,MATCH($B126,Scenarios!$B$121:$B$200,0))</f>
        <v>0</v>
      </c>
      <c r="AH126" s="476">
        <f>INDEX(Input!$1:$1048576,AH$93,$C126*2+MIN($B126,2)+5)</f>
        <v>1</v>
      </c>
      <c r="AI126" s="475">
        <f>INDEX(Input!$1:$1048576,AI$93,$C126*2+MIN($B126,2)+5)
+INDEX(Scenarios!AI$121:AI$200,MATCH($B126,Scenarios!$B$121:$B$200,0))</f>
        <v>0</v>
      </c>
      <c r="AJ126" s="476">
        <f>INDEX(Input!$1:$1048576,AJ$93,$C126*2+MIN($B126,2)+5)</f>
        <v>0.35</v>
      </c>
      <c r="AK126" s="150">
        <f>ROUND(INDEX(Input!$1:$1048576,AK$93,$C125*2+MIN($B126,1)+5)+(Y126-VLOOKUP($C126*1000+1,$A:$HH,Y$92,FALSE)),0)</f>
        <v>5482</v>
      </c>
      <c r="AL126" s="150">
        <f>ROUND(INDEX(Input!$1:$1048576,AL$93,$C125*2+MIN($B126,1)+5)-(Y126-VLOOKUP($C126*1000+1,$A:$HH,Y$92,FALSE))/36,0)</f>
        <v>5602</v>
      </c>
      <c r="AM126" s="32" t="str">
        <f t="shared" si="169"/>
        <v>std/std/std/std</v>
      </c>
      <c r="AN126" s="32" t="str">
        <f t="shared" si="170"/>
        <v>$0 + 1.9/1.9/1.9/3.9/3.9</v>
      </c>
      <c r="AO126" s="32" t="str">
        <f t="shared" si="171"/>
        <v>1.9/1.9/1.9/3.9/3.9</v>
      </c>
      <c r="AP126" s="32" t="str">
        <f t="shared" si="73"/>
        <v>1.9/2.9/3.9/3.9</v>
      </c>
      <c r="AQ126" s="536">
        <f t="shared" si="39"/>
        <v>0.16230504173165741</v>
      </c>
      <c r="AR126" s="32"/>
      <c r="AS126" s="302"/>
      <c r="AT126" s="3">
        <f t="shared" si="106"/>
        <v>26</v>
      </c>
      <c r="AU126" s="41" t="s">
        <v>121</v>
      </c>
      <c r="AV126" s="41" t="s">
        <v>116</v>
      </c>
      <c r="AW126" s="41" t="str">
        <f>INDEX(Input!$1:$1048576,AW$93,$C126*2+6)</f>
        <v>Kia</v>
      </c>
      <c r="AX126" s="41" t="str">
        <f>INDEX(Input!$1:$1048576,AX$93,$C126*2+6)</f>
        <v>Kia-LR - L1</v>
      </c>
      <c r="AY126" s="41" t="str">
        <f>IF(LEN(D126)=0,"",INDEX(Input!$1:$1048576,AY$93,$C126*2+6))</f>
        <v>Compact Conventional/Sporty Car (43)</v>
      </c>
      <c r="AZ126" s="41" t="str">
        <f>INDEX(Input!$1:$1048576,AZ$93,$C126*2+6)</f>
        <v>Kia Forte</v>
      </c>
      <c r="BA126" s="3">
        <f>INDEX(Input!$1:$1048576,BA$93,$C126*2+6)</f>
        <v>2020</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19695</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4"/>
        <v>1250</v>
      </c>
      <c r="CJ126" s="16" t="str">
        <f>INDEX(Input!$1:$1048576,CJ$93,$C126*2+6)</f>
        <v>N</v>
      </c>
      <c r="CK126" s="1" t="str">
        <f t="shared" si="75"/>
        <v>Market</v>
      </c>
      <c r="CL126" s="1" t="str">
        <f t="shared" si="76"/>
        <v>Market</v>
      </c>
      <c r="CM126" s="1" t="str">
        <f t="shared" si="77"/>
        <v>Market</v>
      </c>
      <c r="CN126" s="1" t="str">
        <f t="shared" si="78"/>
        <v>Market</v>
      </c>
      <c r="CO126" s="1" t="str">
        <f t="shared" si="79"/>
        <v>Market</v>
      </c>
      <c r="CP126" s="304">
        <f t="shared" si="80"/>
        <v>0</v>
      </c>
      <c r="CQ126" s="1">
        <f t="shared" si="81"/>
        <v>1.9E-2</v>
      </c>
      <c r="CR126" s="1">
        <f t="shared" si="82"/>
        <v>1.9E-2</v>
      </c>
      <c r="CS126" s="1">
        <f t="shared" si="83"/>
        <v>1.9E-2</v>
      </c>
      <c r="CT126" s="1">
        <f t="shared" si="84"/>
        <v>3.9E-2</v>
      </c>
      <c r="CU126" s="1">
        <f t="shared" si="85"/>
        <v>3.9E-2</v>
      </c>
      <c r="CV126" s="304">
        <f t="shared" si="86"/>
        <v>2826</v>
      </c>
      <c r="CW126" s="20" t="s">
        <v>122</v>
      </c>
      <c r="CX126" s="20" t="s">
        <v>122</v>
      </c>
      <c r="CY126" s="20" t="s">
        <v>122</v>
      </c>
      <c r="CZ126" s="20" t="s">
        <v>122</v>
      </c>
      <c r="DA126" s="20" t="s">
        <v>122</v>
      </c>
      <c r="DB126" s="503">
        <f t="shared" si="87"/>
        <v>0</v>
      </c>
      <c r="DC126" s="127">
        <v>0</v>
      </c>
      <c r="DD126" s="127">
        <v>0</v>
      </c>
      <c r="DE126" s="127">
        <v>0</v>
      </c>
      <c r="DF126" s="127">
        <v>0</v>
      </c>
      <c r="DG126" s="127">
        <v>0</v>
      </c>
      <c r="DH126" s="127">
        <v>0</v>
      </c>
      <c r="DI126" s="127">
        <v>0</v>
      </c>
      <c r="DJ126" s="127">
        <v>0</v>
      </c>
      <c r="DK126" s="127">
        <v>0</v>
      </c>
      <c r="DL126" s="127">
        <v>0</v>
      </c>
      <c r="DM126" s="304">
        <f>INDEX(Input!$1:$1048576,DM$93,$C126*2+6)</f>
        <v>20731.578947368424</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1.4014121314405768E-2</v>
      </c>
      <c r="DZ126" s="7">
        <v>0</v>
      </c>
      <c r="EA126" s="7">
        <v>0.21896892690565289</v>
      </c>
      <c r="EB126" s="7">
        <v>0</v>
      </c>
      <c r="EC126" s="7">
        <v>0</v>
      </c>
      <c r="ED126" s="7">
        <v>0</v>
      </c>
      <c r="EE126" s="7">
        <v>0</v>
      </c>
      <c r="EF126" s="7">
        <v>0</v>
      </c>
      <c r="EG126" s="7">
        <v>0</v>
      </c>
      <c r="EH126" s="7">
        <v>2.9797163855596276E-2</v>
      </c>
      <c r="EI126" s="7">
        <v>4.6347022063528268E-2</v>
      </c>
      <c r="EJ126" s="7">
        <v>0.32417939568604287</v>
      </c>
      <c r="EK126" s="7">
        <v>0.50031181010964987</v>
      </c>
      <c r="EL126" s="7">
        <v>9.9364608285182746E-2</v>
      </c>
      <c r="EM126" s="7">
        <v>6.0280306092318024E-3</v>
      </c>
      <c r="EN126" s="7">
        <v>5.6686594175933767E-2</v>
      </c>
      <c r="EO126" s="7">
        <v>0.54216995014193592</v>
      </c>
      <c r="EP126" s="7">
        <v>0.31173155381219209</v>
      </c>
      <c r="EQ126" s="7">
        <v>5.1954312326603497E-2</v>
      </c>
      <c r="ER126" s="7">
        <v>3.7457589543334738E-2</v>
      </c>
      <c r="ES126" s="7">
        <v>0.76098892117070949</v>
      </c>
      <c r="ET126" s="7">
        <v>0.76701695177994134</v>
      </c>
      <c r="EU126" s="6">
        <v>1600</v>
      </c>
      <c r="EV126" s="6">
        <v>0</v>
      </c>
      <c r="EW126" s="6">
        <v>1600</v>
      </c>
      <c r="EX126" s="6">
        <v>0</v>
      </c>
      <c r="EY126" s="6">
        <v>1811.2529977364543</v>
      </c>
      <c r="EZ126" s="6">
        <v>4822.9999999999991</v>
      </c>
      <c r="FA126" s="6">
        <v>0</v>
      </c>
      <c r="FB126" s="6">
        <v>0</v>
      </c>
      <c r="FC126" s="6">
        <v>0</v>
      </c>
      <c r="FD126" s="6">
        <v>0</v>
      </c>
      <c r="FE126" s="6">
        <v>0</v>
      </c>
      <c r="FF126" s="6">
        <v>0</v>
      </c>
      <c r="FG126" s="6">
        <v>0</v>
      </c>
      <c r="FH126" s="6">
        <v>669.85012197775541</v>
      </c>
      <c r="FI126" s="6">
        <v>895.4505722393626</v>
      </c>
      <c r="FJ126" s="6">
        <v>1302.9658415685935</v>
      </c>
      <c r="FK126" s="6">
        <v>776.66319621661671</v>
      </c>
      <c r="FL126" s="6">
        <v>893.91433563489375</v>
      </c>
      <c r="FM126" s="6">
        <v>961.25299773645429</v>
      </c>
      <c r="FN126" s="6">
        <v>0</v>
      </c>
      <c r="FO126" s="6">
        <v>0</v>
      </c>
      <c r="FP126" s="6">
        <v>0</v>
      </c>
      <c r="FQ126" s="6">
        <v>0</v>
      </c>
      <c r="FR126" s="6">
        <v>0</v>
      </c>
      <c r="FS126" s="6">
        <v>0</v>
      </c>
      <c r="FT126" s="7">
        <v>0.23298304822005866</v>
      </c>
      <c r="FU126" s="7">
        <v>6.0280306092318024E-3</v>
      </c>
      <c r="FV126" s="7">
        <v>0.76098892117070949</v>
      </c>
      <c r="FW126" s="6">
        <v>1599.9999999999998</v>
      </c>
      <c r="FX126" s="6">
        <v>1811.2529977364541</v>
      </c>
      <c r="FY126" s="6">
        <v>4822.9999999999991</v>
      </c>
      <c r="FZ126" s="6">
        <v>3077.4375890575293</v>
      </c>
      <c r="GA126" s="6">
        <v>4053.9407324698432</v>
      </c>
      <c r="GB126" s="6">
        <v>15641.059267530156</v>
      </c>
      <c r="GC126" s="7">
        <v>7.0901643973087014E-2</v>
      </c>
      <c r="GD126" s="7">
        <v>8.0082937002749877E-2</v>
      </c>
      <c r="GE126" s="7"/>
      <c r="GF126" s="7"/>
      <c r="GG126" s="7">
        <v>0.12949337300483352</v>
      </c>
      <c r="GH126" s="42">
        <v>2.611739653410762</v>
      </c>
      <c r="GI126" s="6">
        <v>11594.891444873208</v>
      </c>
      <c r="GJ126" s="14">
        <v>0.51074630601039539</v>
      </c>
      <c r="GK126" s="14">
        <v>0.5082951978616097</v>
      </c>
      <c r="GL126" s="14">
        <v>0.48925369398960422</v>
      </c>
      <c r="GM126" s="14">
        <v>0.49170480213839013</v>
      </c>
      <c r="GO126" s="5">
        <v>338.16872463277008</v>
      </c>
      <c r="GP126" s="5">
        <v>307.64377699166363</v>
      </c>
      <c r="GQ126" s="5">
        <v>527.27910984145694</v>
      </c>
      <c r="GR126" s="5">
        <v>404.20319246551543</v>
      </c>
      <c r="GS126" s="5">
        <v>334.50205195691484</v>
      </c>
      <c r="GT126" s="5">
        <v>289.18266033348181</v>
      </c>
      <c r="GU126" s="5">
        <v>254.29573314828914</v>
      </c>
      <c r="GV126" s="39" t="s">
        <v>392</v>
      </c>
      <c r="GW126" s="5">
        <v>482.62147721109295</v>
      </c>
      <c r="GX126" s="5">
        <v>365.38001635587005</v>
      </c>
      <c r="GY126" s="5">
        <v>295.0520389871549</v>
      </c>
      <c r="GZ126" s="5">
        <v>263.25207727846526</v>
      </c>
      <c r="HA126" s="5">
        <v>229.8919505212948</v>
      </c>
      <c r="HB126" s="39">
        <v>281.51606552087674</v>
      </c>
      <c r="HC126" s="5">
        <v>72.109375000000014</v>
      </c>
      <c r="HD126" s="5">
        <v>92.305464181286524</v>
      </c>
      <c r="HE126" s="5">
        <v>103.7516995614035</v>
      </c>
      <c r="HF126" s="5">
        <v>106.17129934210527</v>
      </c>
      <c r="HG126" s="5">
        <v>115.13410087719299</v>
      </c>
      <c r="HH126" s="39">
        <v>96.304265044073475</v>
      </c>
      <c r="HI126" s="16"/>
      <c r="HJ126" s="19" t="str">
        <f t="shared" ref="HJ126" si="293">HJ125</f>
        <v>On</v>
      </c>
      <c r="HK126" s="1" t="str">
        <f t="shared" si="108"/>
        <v>On</v>
      </c>
      <c r="HL126" s="16"/>
      <c r="HM126" s="639">
        <f t="shared" si="261"/>
        <v>1.7699001661282989E-2</v>
      </c>
      <c r="HN126" s="639">
        <f t="shared" si="262"/>
        <v>1.0509929974846072E-3</v>
      </c>
      <c r="HO126" s="639">
        <f t="shared" si="263"/>
        <v>5.7398960259851091E-2</v>
      </c>
      <c r="HP126" s="644">
        <f>(FT126*$GD126-HM126)/$JF126*INDEX(Input!$1:$1048576,$JG$93,$C126*2+6)</f>
        <v>12.316227853293562</v>
      </c>
      <c r="HQ126" s="644">
        <f>(FU126*$GD126-HN126)/$JF126*INDEX(Input!$1:$1048576,$JG$93,$C126*2+6)</f>
        <v>-7.2981840565740903</v>
      </c>
      <c r="HR126" s="644">
        <f>(FV126*$GD126-HO126)/$JF126*INDEX(Input!$1:$1048576,$JG$93,$C126*2+6)</f>
        <v>45.507068233932763</v>
      </c>
      <c r="HS126" s="644">
        <f t="shared" si="264"/>
        <v>0.14624208494068872</v>
      </c>
      <c r="HT126" s="644">
        <f t="shared" si="265"/>
        <v>-14.267034538479281</v>
      </c>
      <c r="HU126" s="644">
        <f t="shared" si="266"/>
        <v>17.371823366761156</v>
      </c>
      <c r="HV126" s="648">
        <f t="shared" si="267"/>
        <v>0</v>
      </c>
      <c r="HW126" s="648">
        <f t="shared" si="268"/>
        <v>0</v>
      </c>
      <c r="HX126" s="648">
        <f t="shared" si="269"/>
        <v>0</v>
      </c>
      <c r="HY126" s="644">
        <f>INDEX(Input!$1:$1048576,HY$93,$C126*2+6)*INDEX(Input!$1:$1048576,$JG$93,$C126*2+6)</f>
        <v>154.99999999999997</v>
      </c>
      <c r="HZ126" s="644">
        <f>INDEX(Input!$1:$1048576,HZ$93,$C126*2+6)*INDEX(Input!$1:$1048576,$JG$93,$C126*2+6)</f>
        <v>140</v>
      </c>
      <c r="IA126" s="644">
        <f>INDEX(Input!$1:$1048576,IA$93,$C126*2+6)*INDEX(Input!$1:$1048576,$JG$93,$C126*2+6)</f>
        <v>683</v>
      </c>
      <c r="IB126" s="644">
        <f t="shared" si="249"/>
        <v>167.46246993823411</v>
      </c>
      <c r="IC126" s="644">
        <f t="shared" si="172"/>
        <v>118.43478140494663</v>
      </c>
      <c r="ID126" s="644">
        <f>IF(AND(INDEX(Input!$1:$1048576,IA$93,$C126*2+7)="TOS",Y126&lt;=INDEX(Y:Y,MATCH(C126*1000+2,A:A))),0,1)*MAX(IA126+HR126+HU126+HX126,0%)</f>
        <v>745.87889160069392</v>
      </c>
      <c r="IE126" s="128">
        <f t="shared" si="270"/>
        <v>0.16230504173165741</v>
      </c>
      <c r="IF126" s="128">
        <f t="shared" si="174"/>
        <v>0.1147872842524031</v>
      </c>
      <c r="IG126" s="128">
        <f t="shared" si="175"/>
        <v>0.72290767401593947</v>
      </c>
      <c r="IH126" s="21"/>
      <c r="II126" s="19">
        <f t="shared" si="271"/>
        <v>1200</v>
      </c>
      <c r="IJ126" s="19">
        <f t="shared" si="272"/>
        <v>2231.5502763133163</v>
      </c>
      <c r="IK126" s="19">
        <f t="shared" si="273"/>
        <v>4498</v>
      </c>
      <c r="IL126" s="19">
        <f t="shared" si="176"/>
        <v>399.99999999999977</v>
      </c>
      <c r="IM126" s="19">
        <f t="shared" si="177"/>
        <v>-420.29727857686225</v>
      </c>
      <c r="IN126" s="19">
        <f t="shared" si="178"/>
        <v>324.99999999999909</v>
      </c>
      <c r="IO126" s="39">
        <f t="shared" si="274"/>
        <v>0</v>
      </c>
      <c r="IP126" s="39">
        <f t="shared" si="275"/>
        <v>0</v>
      </c>
      <c r="IQ126" s="39">
        <f t="shared" si="276"/>
        <v>0</v>
      </c>
      <c r="IR126" s="39">
        <v>0</v>
      </c>
      <c r="IS126" s="39">
        <v>0</v>
      </c>
      <c r="IT126" s="39">
        <v>0</v>
      </c>
      <c r="IU126" s="39">
        <v>0</v>
      </c>
      <c r="IV126" s="39">
        <v>0</v>
      </c>
      <c r="IW126" s="39">
        <v>0</v>
      </c>
      <c r="IX126" s="39">
        <f>INDEX(Input!$1:$1048576,IX$93,$C126*2+6)+INDEX(Input!$1:$1048576,IX$94,$C126*2+6)</f>
        <v>1600</v>
      </c>
      <c r="IY126" s="39">
        <f>INDEX(Input!$1:$1048576,IY$93,$C126*2+6)+INDEX(Input!$1:$1048576,IY$94,$C126*2+6)</f>
        <v>2503.5492916397525</v>
      </c>
      <c r="IZ126" s="39">
        <f>INDEX(Input!$1:$1048576,IZ$93,$C126*2+6)+INDEX(Input!$1:$1048576,IZ$94,$C126*2+6)</f>
        <v>6273.7109265464023</v>
      </c>
      <c r="JA126" s="19">
        <f t="shared" si="179"/>
        <v>1999.9999999999998</v>
      </c>
      <c r="JB126" s="19">
        <f t="shared" si="180"/>
        <v>2083.25201306289</v>
      </c>
      <c r="JC126" s="19">
        <f t="shared" si="181"/>
        <v>6598.7109265464014</v>
      </c>
      <c r="JD126" s="19">
        <f t="shared" si="182"/>
        <v>5333.9996918693796</v>
      </c>
      <c r="JE126" s="21"/>
      <c r="JF126" s="1">
        <f t="shared" si="277"/>
        <v>7.6148954918618686E-2</v>
      </c>
      <c r="JG126" s="15">
        <f>INDEX(Input!$1:$1048576,JG$93,$C126*2+6)/(1+VLOOKUP(C126*1000+INDEX(Input!$1:$1048576,JG$93+1,$C126*2+6),$A:$KK,$JK$92,FALSE))</f>
        <v>978</v>
      </c>
      <c r="JH126" s="1">
        <f t="shared" si="251"/>
        <v>5.1661668742998199E-2</v>
      </c>
      <c r="JI126" s="1">
        <f t="shared" si="252"/>
        <v>3.3241624879576303E-3</v>
      </c>
      <c r="JJ126" s="1">
        <f t="shared" si="253"/>
        <v>0</v>
      </c>
      <c r="JK126" s="1">
        <f t="shared" si="254"/>
        <v>5.498583123095583E-2</v>
      </c>
      <c r="JL126" s="15">
        <f t="shared" si="184"/>
        <v>53.776142943874802</v>
      </c>
      <c r="JM126" s="15">
        <f t="shared" si="185"/>
        <v>1031.7761429438749</v>
      </c>
      <c r="JN126" s="21"/>
      <c r="JO126" s="19">
        <f>INDEX(Input!$1:$1048576,JO$93,$C126*2+6)</f>
        <v>5908.5</v>
      </c>
      <c r="JP126" s="19">
        <f>INDEX(Input!$1:$1048576,JP$93,$C126*2+6)</f>
        <v>4993.2939301234746</v>
      </c>
      <c r="JQ126" s="39">
        <f t="shared" si="186"/>
        <v>574.5003081306204</v>
      </c>
      <c r="JR126" s="39">
        <f t="shared" si="187"/>
        <v>340.70576174590497</v>
      </c>
      <c r="JS126" s="39">
        <f t="shared" si="188"/>
        <v>5.5034936285408058</v>
      </c>
      <c r="JT126" s="39">
        <f t="shared" si="189"/>
        <v>0.62005216488004755</v>
      </c>
      <c r="JU126" s="385">
        <f>(JQ126*JM126-INDEX(Input!$1:$1048576,Input!A$18,$C126*2+6)*JL126*INDEX(Input!$1:$1048576,Input!A$19,$C126*2+6))/1000000</f>
        <v>0.5927557120430792</v>
      </c>
      <c r="JV126" s="39">
        <f t="shared" si="192"/>
        <v>-0.30231582429616255</v>
      </c>
      <c r="JW126" s="1">
        <f t="shared" si="190"/>
        <v>-0.33775604744689547</v>
      </c>
      <c r="JX126" s="19">
        <f t="shared" si="191"/>
        <v>11530.246145157435</v>
      </c>
      <c r="JZ126" s="341"/>
      <c r="KA126" s="342"/>
      <c r="KB126" s="469">
        <f t="shared" si="110"/>
        <v>3.2656316020464753</v>
      </c>
      <c r="KI126" s="473">
        <f t="shared" si="278"/>
        <v>12.462469938234165</v>
      </c>
      <c r="KJ126" s="473">
        <f t="shared" si="279"/>
        <v>-21.565218595053338</v>
      </c>
      <c r="KK126" s="473">
        <f t="shared" si="257"/>
        <v>62.878891600694033</v>
      </c>
      <c r="KN126" s="544">
        <f t="shared" si="258"/>
        <v>1002</v>
      </c>
      <c r="KO126" s="541">
        <f t="shared" si="280"/>
        <v>-2.4887152827735237E-2</v>
      </c>
      <c r="KP126" s="546">
        <f t="shared" si="281"/>
        <v>-94.159696887474922</v>
      </c>
      <c r="KQ126" s="546">
        <f t="shared" si="282"/>
        <v>-20.454208106060833</v>
      </c>
      <c r="KR126" s="548">
        <f t="shared" si="283"/>
        <v>3.7903197888476616</v>
      </c>
      <c r="KS126" s="548">
        <f t="shared" si="284"/>
        <v>17.448505489623003</v>
      </c>
      <c r="KT126" s="473">
        <f t="shared" si="112"/>
        <v>-82.310573396665475</v>
      </c>
      <c r="KU126" s="663">
        <f t="shared" si="285"/>
        <v>-49.976534971088093</v>
      </c>
      <c r="KV126" s="117"/>
    </row>
    <row r="127" spans="1:308" s="26" customFormat="1" ht="15">
      <c r="A127" s="561">
        <f t="shared" si="168"/>
        <v>1027</v>
      </c>
      <c r="B127" s="561">
        <f t="shared" si="104"/>
        <v>27</v>
      </c>
      <c r="C127" s="561">
        <f t="shared" si="105"/>
        <v>1</v>
      </c>
      <c r="D127" s="561" t="str">
        <f t="shared" si="287"/>
        <v xml:space="preserve">750 Combo, </v>
      </c>
      <c r="E127" s="475">
        <f>INDEX(Input!$1:$1048576,E$93,$C127*2+MIN($B127,2)+5)
+INDEX(Scenarios!E$121:E$200,MATCH($B127,Scenarios!$B$121:$B$200,0))</f>
        <v>1250</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1.9E-2</v>
      </c>
      <c r="W127" s="863">
        <f>IFERROR(MAX(0,INDEX(Input!$1:$1048576,W$93,$C127*2+MIN($B127,2)+5)-0%,),"Market")</f>
        <v>3.9E-2</v>
      </c>
      <c r="X127" s="476" t="str">
        <f>INDEX(Input!$1:$1048576,X$93,$C127*2+MIN($B127,2)+5)</f>
        <v>Y</v>
      </c>
      <c r="Y127" s="475">
        <f>INDEX(Input!$1:$1048576,Y$93,$C127*2+MIN($B127,2)+5)
++INDEX(Scenarios!Y$121:Y$200,MATCH($B127,Scenarios!$B$121:$B$200,0))</f>
        <v>2826</v>
      </c>
      <c r="Z127" s="477">
        <f>INDEX(Input!$1:$1048576,Z$93,$C127*2+MIN($B127,2)+5)
+INDEX(Scenarios!Z$121:Z$200,MATCH($B127,Scenarios!$B$121:$B$200,0))</f>
        <v>0</v>
      </c>
      <c r="AA127" s="475">
        <f>INDEX(Input!$1:$1048576,AA$93,$C127*2+MIN($B127,2)+5)</f>
        <v>0</v>
      </c>
      <c r="AB127" s="476">
        <f>INDEX(Input!$1:$1048576,AB$93,$C127*2+MIN($B127,2)+5)</f>
        <v>1</v>
      </c>
      <c r="AC127" s="475">
        <f>INDEX(Input!$1:$1048576,AC$93,$C127*2+MIN($B127,2)+5)
+INDEX(Scenarios!AC$121:AC$200,MATCH($B127,Scenarios!$B$121:$B$200,0))</f>
        <v>0</v>
      </c>
      <c r="AD127" s="476">
        <f>INDEX(Input!$1:$1048576,AD$93,$C127*2+MIN($B127,2)+5)</f>
        <v>0.35</v>
      </c>
      <c r="AE127" s="475">
        <f>INDEX(Input!$1:$1048576,AE$93,$C127*2+MIN($B127,2)+5)
+INDEX(Scenarios!AE$121:AE$200,MATCH($B127,Scenarios!$B$121:$B$200,0))</f>
        <v>0</v>
      </c>
      <c r="AF127" s="476">
        <f>INDEX(Input!$1:$1048576,AF$93,$C127*2+MIN($B127,2)+5)</f>
        <v>1</v>
      </c>
      <c r="AG127" s="475">
        <f>INDEX(Input!$1:$1048576,AG$93,$C127*2+MIN($B127,2)+5)
+INDEX(Scenarios!AG$121:AG$200,MATCH($B127,Scenarios!$B$121:$B$200,0))</f>
        <v>0</v>
      </c>
      <c r="AH127" s="476">
        <f>INDEX(Input!$1:$1048576,AH$93,$C127*2+MIN($B127,2)+5)</f>
        <v>1</v>
      </c>
      <c r="AI127" s="475">
        <f>INDEX(Input!$1:$1048576,AI$93,$C127*2+MIN($B127,2)+5)
+INDEX(Scenarios!AI$121:AI$200,MATCH($B127,Scenarios!$B$121:$B$200,0))</f>
        <v>0</v>
      </c>
      <c r="AJ127" s="476">
        <f>INDEX(Input!$1:$1048576,AJ$93,$C127*2+MIN($B127,2)+5)</f>
        <v>0.35</v>
      </c>
      <c r="AK127" s="150">
        <f>ROUND(INDEX(Input!$1:$1048576,AK$93,$C126*2+MIN($B127,1)+5)+(Y127-VLOOKUP($C127*1000+1,$A:$HH,Y$92,FALSE)),0)</f>
        <v>5482</v>
      </c>
      <c r="AL127" s="150">
        <f>ROUND(INDEX(Input!$1:$1048576,AL$93,$C126*2+MIN($B127,1)+5)-(Y127-VLOOKUP($C127*1000+1,$A:$HH,Y$92,FALSE))/36,0)</f>
        <v>5602</v>
      </c>
      <c r="AM127" s="32" t="str">
        <f t="shared" si="169"/>
        <v>std/std/std/std</v>
      </c>
      <c r="AN127" s="32" t="str">
        <f t="shared" si="170"/>
        <v>$750 + 0/0/0/1.9/3.9</v>
      </c>
      <c r="AO127" s="32" t="str">
        <f t="shared" si="171"/>
        <v>0/0/0/1.9/3.9</v>
      </c>
      <c r="AP127" s="32" t="str">
        <f t="shared" si="73"/>
        <v>0/0.9/1.9/3.9</v>
      </c>
      <c r="AQ127" s="536">
        <f t="shared" si="39"/>
        <v>0.1529971995208767</v>
      </c>
      <c r="AR127" s="32"/>
      <c r="AS127" s="302"/>
      <c r="AT127" s="3">
        <f t="shared" si="106"/>
        <v>27</v>
      </c>
      <c r="AU127" s="41" t="s">
        <v>121</v>
      </c>
      <c r="AV127" s="41" t="s">
        <v>116</v>
      </c>
      <c r="AW127" s="41" t="str">
        <f>INDEX(Input!$1:$1048576,AW$93,$C127*2+6)</f>
        <v>Kia</v>
      </c>
      <c r="AX127" s="41" t="str">
        <f>INDEX(Input!$1:$1048576,AX$93,$C127*2+6)</f>
        <v>Kia-LR - L1</v>
      </c>
      <c r="AY127" s="41" t="str">
        <f>IF(LEN(D127)=0,"",INDEX(Input!$1:$1048576,AY$93,$C127*2+6))</f>
        <v>Compact Conventional/Sporty Car (43)</v>
      </c>
      <c r="AZ127" s="41" t="str">
        <f>INDEX(Input!$1:$1048576,AZ$93,$C127*2+6)</f>
        <v>Kia Forte</v>
      </c>
      <c r="BA127" s="3">
        <f>INDEX(Input!$1:$1048576,BA$93,$C127*2+6)</f>
        <v>2020</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19695</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4"/>
        <v>1250</v>
      </c>
      <c r="CJ127" s="16" t="str">
        <f>INDEX(Input!$1:$1048576,CJ$93,$C127*2+6)</f>
        <v>N</v>
      </c>
      <c r="CK127" s="1" t="str">
        <f t="shared" si="75"/>
        <v>Market</v>
      </c>
      <c r="CL127" s="1" t="str">
        <f t="shared" si="76"/>
        <v>Market</v>
      </c>
      <c r="CM127" s="1" t="str">
        <f t="shared" si="77"/>
        <v>Market</v>
      </c>
      <c r="CN127" s="1" t="str">
        <f t="shared" si="78"/>
        <v>Market</v>
      </c>
      <c r="CO127" s="1" t="str">
        <f t="shared" si="79"/>
        <v>Market</v>
      </c>
      <c r="CP127" s="304">
        <f t="shared" si="80"/>
        <v>750</v>
      </c>
      <c r="CQ127" s="1">
        <f t="shared" si="81"/>
        <v>0</v>
      </c>
      <c r="CR127" s="1">
        <f t="shared" si="82"/>
        <v>0</v>
      </c>
      <c r="CS127" s="1">
        <f t="shared" si="83"/>
        <v>0</v>
      </c>
      <c r="CT127" s="1">
        <f t="shared" si="84"/>
        <v>1.9E-2</v>
      </c>
      <c r="CU127" s="1">
        <f t="shared" si="85"/>
        <v>3.9E-2</v>
      </c>
      <c r="CV127" s="304">
        <f t="shared" si="86"/>
        <v>2826</v>
      </c>
      <c r="CW127" s="20" t="s">
        <v>122</v>
      </c>
      <c r="CX127" s="20" t="s">
        <v>122</v>
      </c>
      <c r="CY127" s="20" t="s">
        <v>122</v>
      </c>
      <c r="CZ127" s="20" t="s">
        <v>122</v>
      </c>
      <c r="DA127" s="20" t="s">
        <v>122</v>
      </c>
      <c r="DB127" s="503">
        <f t="shared" si="87"/>
        <v>0</v>
      </c>
      <c r="DC127" s="127">
        <v>0</v>
      </c>
      <c r="DD127" s="127">
        <v>0</v>
      </c>
      <c r="DE127" s="127">
        <v>0</v>
      </c>
      <c r="DF127" s="127">
        <v>0</v>
      </c>
      <c r="DG127" s="127">
        <v>0</v>
      </c>
      <c r="DH127" s="127">
        <v>0</v>
      </c>
      <c r="DI127" s="127">
        <v>0</v>
      </c>
      <c r="DJ127" s="127">
        <v>0</v>
      </c>
      <c r="DK127" s="127">
        <v>0</v>
      </c>
      <c r="DL127" s="127">
        <v>0</v>
      </c>
      <c r="DM127" s="304">
        <f>INDEX(Input!$1:$1048576,DM$93,$C127*2+6)</f>
        <v>20731.578947368424</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1.3856990288231117E-2</v>
      </c>
      <c r="DZ127" s="7">
        <v>0</v>
      </c>
      <c r="EA127" s="7">
        <v>0.21645185619337459</v>
      </c>
      <c r="EB127" s="7">
        <v>0</v>
      </c>
      <c r="EC127" s="7">
        <v>0</v>
      </c>
      <c r="ED127" s="7">
        <v>0</v>
      </c>
      <c r="EE127" s="7">
        <v>0</v>
      </c>
      <c r="EF127" s="7">
        <v>0</v>
      </c>
      <c r="EG127" s="7">
        <v>0</v>
      </c>
      <c r="EH127" s="7">
        <v>1.9867163211649875E-2</v>
      </c>
      <c r="EI127" s="7">
        <v>3.5734944822064241E-2</v>
      </c>
      <c r="EJ127" s="7">
        <v>0.28104141462213039</v>
      </c>
      <c r="EK127" s="7">
        <v>0.6201009292597075</v>
      </c>
      <c r="EL127" s="7">
        <v>4.3255548084448155E-2</v>
      </c>
      <c r="EM127" s="7">
        <v>1.7234695240536523E-2</v>
      </c>
      <c r="EN127" s="7">
        <v>5.668659417593374E-2</v>
      </c>
      <c r="EO127" s="7">
        <v>0.54216995014193581</v>
      </c>
      <c r="EP127" s="7">
        <v>0.3117315538121922</v>
      </c>
      <c r="EQ127" s="7">
        <v>5.195431232660349E-2</v>
      </c>
      <c r="ER127" s="7">
        <v>3.7457589543334745E-2</v>
      </c>
      <c r="ES127" s="7">
        <v>0.75245645827785768</v>
      </c>
      <c r="ET127" s="7">
        <v>0.76969115351839423</v>
      </c>
      <c r="EU127" s="6">
        <v>1600</v>
      </c>
      <c r="EV127" s="6">
        <v>0</v>
      </c>
      <c r="EW127" s="6">
        <v>1600</v>
      </c>
      <c r="EX127" s="6">
        <v>0</v>
      </c>
      <c r="EY127" s="6">
        <v>3381.5502763133168</v>
      </c>
      <c r="EZ127" s="6">
        <v>4822.9999999999991</v>
      </c>
      <c r="FA127" s="6">
        <v>0</v>
      </c>
      <c r="FB127" s="6">
        <v>0</v>
      </c>
      <c r="FC127" s="6">
        <v>0</v>
      </c>
      <c r="FD127" s="6">
        <v>0</v>
      </c>
      <c r="FE127" s="6">
        <v>0</v>
      </c>
      <c r="FF127" s="6">
        <v>0</v>
      </c>
      <c r="FG127" s="6">
        <v>0</v>
      </c>
      <c r="FH127" s="6">
        <v>1152.1208270377817</v>
      </c>
      <c r="FI127" s="6">
        <v>1531.4299904380621</v>
      </c>
      <c r="FJ127" s="6">
        <v>2070.7205842538215</v>
      </c>
      <c r="FK127" s="6">
        <v>1746.9903521590434</v>
      </c>
      <c r="FL127" s="6">
        <v>893.91433563489386</v>
      </c>
      <c r="FM127" s="6">
        <v>1781.5502763133168</v>
      </c>
      <c r="FN127" s="6">
        <v>0</v>
      </c>
      <c r="FO127" s="6">
        <v>0</v>
      </c>
      <c r="FP127" s="6">
        <v>0</v>
      </c>
      <c r="FQ127" s="6">
        <v>0</v>
      </c>
      <c r="FR127" s="6">
        <v>0</v>
      </c>
      <c r="FS127" s="6">
        <v>0</v>
      </c>
      <c r="FT127" s="7">
        <v>0.23030884648160571</v>
      </c>
      <c r="FU127" s="7">
        <v>1.7234695240536523E-2</v>
      </c>
      <c r="FV127" s="7">
        <v>0.75245645827785768</v>
      </c>
      <c r="FW127" s="6">
        <v>1600</v>
      </c>
      <c r="FX127" s="6">
        <v>3381.5502763133168</v>
      </c>
      <c r="FY127" s="6">
        <v>4822.9999999999991</v>
      </c>
      <c r="FZ127" s="6">
        <v>3077.4375890575293</v>
      </c>
      <c r="GA127" s="6">
        <v>4055.871641097488</v>
      </c>
      <c r="GB127" s="6">
        <v>15639.128358902512</v>
      </c>
      <c r="GC127" s="7">
        <v>7.0901643973087014E-2</v>
      </c>
      <c r="GD127" s="7">
        <v>8.046355750375371E-2</v>
      </c>
      <c r="GE127" s="7"/>
      <c r="GF127" s="7"/>
      <c r="GG127" s="7">
        <v>0.13486166180147002</v>
      </c>
      <c r="GH127" s="42">
        <v>2.7146443070355022</v>
      </c>
      <c r="GI127" s="6">
        <v>11310.965779565931</v>
      </c>
      <c r="GJ127" s="14">
        <v>0.51074630601039561</v>
      </c>
      <c r="GK127" s="14">
        <v>0.50829519786160948</v>
      </c>
      <c r="GL127" s="14">
        <v>0.48925369398960444</v>
      </c>
      <c r="GM127" s="14">
        <v>0.49170480213839024</v>
      </c>
      <c r="GO127" s="5">
        <v>338.16872463277008</v>
      </c>
      <c r="GP127" s="5">
        <v>307.64377699166363</v>
      </c>
      <c r="GQ127" s="5">
        <v>527.27910984145694</v>
      </c>
      <c r="GR127" s="5">
        <v>404.20319246551543</v>
      </c>
      <c r="GS127" s="5">
        <v>334.50205195691484</v>
      </c>
      <c r="GT127" s="5">
        <v>289.18266033348181</v>
      </c>
      <c r="GU127" s="5">
        <v>254.29573314828914</v>
      </c>
      <c r="GV127" s="39" t="s">
        <v>392</v>
      </c>
      <c r="GW127" s="5">
        <v>447.93055555555554</v>
      </c>
      <c r="GX127" s="5">
        <v>335.94791666666669</v>
      </c>
      <c r="GY127" s="5">
        <v>268.75833333333333</v>
      </c>
      <c r="GZ127" s="5">
        <v>237.15086788348813</v>
      </c>
      <c r="HA127" s="5">
        <v>219.67483322752744</v>
      </c>
      <c r="HB127" s="39">
        <v>252.99604077227758</v>
      </c>
      <c r="HC127" s="5">
        <v>72.109375000000014</v>
      </c>
      <c r="HD127" s="5">
        <v>92.305464181286524</v>
      </c>
      <c r="HE127" s="5">
        <v>103.7516995614035</v>
      </c>
      <c r="HF127" s="5">
        <v>106.17129934210527</v>
      </c>
      <c r="HG127" s="5">
        <v>115.13410087719299</v>
      </c>
      <c r="HH127" s="39">
        <v>96.304265044073475</v>
      </c>
      <c r="HI127" s="16"/>
      <c r="HJ127" s="19" t="str">
        <f t="shared" ref="HJ127" si="294">HJ126</f>
        <v>On</v>
      </c>
      <c r="HK127" s="1" t="str">
        <f t="shared" si="108"/>
        <v>On</v>
      </c>
      <c r="HL127" s="16"/>
      <c r="HM127" s="639">
        <f t="shared" si="261"/>
        <v>1.7699001661282989E-2</v>
      </c>
      <c r="HN127" s="639">
        <f t="shared" si="262"/>
        <v>1.0509929974846072E-3</v>
      </c>
      <c r="HO127" s="639">
        <f t="shared" si="263"/>
        <v>5.7398960259851091E-2</v>
      </c>
      <c r="HP127" s="644">
        <f>(FT127*$GD127-HM127)/$JF127*INDEX(Input!$1:$1048576,$JG$93,$C127*2+6)</f>
        <v>10.691586879377244</v>
      </c>
      <c r="HQ127" s="644">
        <f>(FU127*$GD127-HN127)/$JF127*INDEX(Input!$1:$1048576,$JG$93,$C127*2+6)</f>
        <v>4.312402090659802</v>
      </c>
      <c r="HR127" s="644">
        <f>(FV127*$GD127-HO127)/$JF127*INDEX(Input!$1:$1048576,$JG$93,$C127*2+6)</f>
        <v>40.409526983946428</v>
      </c>
      <c r="HS127" s="644">
        <f t="shared" si="264"/>
        <v>-0.4001415337526063</v>
      </c>
      <c r="HT127" s="644">
        <f t="shared" si="265"/>
        <v>29.424437287782226</v>
      </c>
      <c r="HU127" s="644">
        <f t="shared" si="266"/>
        <v>17.918206985454454</v>
      </c>
      <c r="HV127" s="648">
        <f t="shared" si="267"/>
        <v>0</v>
      </c>
      <c r="HW127" s="648">
        <f t="shared" si="268"/>
        <v>0</v>
      </c>
      <c r="HX127" s="648">
        <f t="shared" si="269"/>
        <v>0</v>
      </c>
      <c r="HY127" s="644">
        <f>INDEX(Input!$1:$1048576,HY$93,$C127*2+6)*INDEX(Input!$1:$1048576,$JG$93,$C127*2+6)</f>
        <v>154.99999999999997</v>
      </c>
      <c r="HZ127" s="644">
        <f>INDEX(Input!$1:$1048576,HZ$93,$C127*2+6)*INDEX(Input!$1:$1048576,$JG$93,$C127*2+6)</f>
        <v>140</v>
      </c>
      <c r="IA127" s="644">
        <f>INDEX(Input!$1:$1048576,IA$93,$C127*2+6)*INDEX(Input!$1:$1048576,$JG$93,$C127*2+6)</f>
        <v>683</v>
      </c>
      <c r="IB127" s="644">
        <f t="shared" si="249"/>
        <v>165.29144534562442</v>
      </c>
      <c r="IC127" s="644">
        <f t="shared" si="172"/>
        <v>173.73683937844203</v>
      </c>
      <c r="ID127" s="644">
        <f>IF(AND(INDEX(Input!$1:$1048576,IA$93,$C127*2+7)="TOS",Y127&lt;=INDEX(Y:Y,MATCH(C127*1000+2,A:A))),0,1)*MAX(IA127+HR127+HU127+HX127,0%)</f>
        <v>741.32773396940092</v>
      </c>
      <c r="IE127" s="128">
        <f t="shared" si="270"/>
        <v>0.1529971995208767</v>
      </c>
      <c r="IF127" s="128">
        <f t="shared" si="174"/>
        <v>0.16081443188380745</v>
      </c>
      <c r="IG127" s="128">
        <f t="shared" si="175"/>
        <v>0.68618836859531585</v>
      </c>
      <c r="IH127" s="21"/>
      <c r="II127" s="19">
        <f t="shared" si="271"/>
        <v>1200</v>
      </c>
      <c r="IJ127" s="19">
        <f t="shared" si="272"/>
        <v>2231.5502763133163</v>
      </c>
      <c r="IK127" s="19">
        <f t="shared" si="273"/>
        <v>4498</v>
      </c>
      <c r="IL127" s="19">
        <f t="shared" si="176"/>
        <v>400</v>
      </c>
      <c r="IM127" s="19">
        <f t="shared" si="177"/>
        <v>1150.0000000000005</v>
      </c>
      <c r="IN127" s="19">
        <f t="shared" si="178"/>
        <v>324.99999999999909</v>
      </c>
      <c r="IO127" s="39">
        <f t="shared" si="274"/>
        <v>0</v>
      </c>
      <c r="IP127" s="39">
        <f t="shared" si="275"/>
        <v>0</v>
      </c>
      <c r="IQ127" s="39">
        <f t="shared" si="276"/>
        <v>0</v>
      </c>
      <c r="IR127" s="39">
        <v>0</v>
      </c>
      <c r="IS127" s="39">
        <v>0</v>
      </c>
      <c r="IT127" s="39">
        <v>0</v>
      </c>
      <c r="IU127" s="39">
        <v>0</v>
      </c>
      <c r="IV127" s="39">
        <v>0</v>
      </c>
      <c r="IW127" s="39">
        <v>0</v>
      </c>
      <c r="IX127" s="39">
        <f>INDEX(Input!$1:$1048576,IX$93,$C127*2+6)+INDEX(Input!$1:$1048576,IX$94,$C127*2+6)</f>
        <v>1600</v>
      </c>
      <c r="IY127" s="39">
        <f>INDEX(Input!$1:$1048576,IY$93,$C127*2+6)+INDEX(Input!$1:$1048576,IY$94,$C127*2+6)</f>
        <v>2503.5492916397525</v>
      </c>
      <c r="IZ127" s="39">
        <f>INDEX(Input!$1:$1048576,IZ$93,$C127*2+6)+INDEX(Input!$1:$1048576,IZ$94,$C127*2+6)</f>
        <v>6273.7109265464023</v>
      </c>
      <c r="JA127" s="19">
        <f t="shared" si="179"/>
        <v>2000</v>
      </c>
      <c r="JB127" s="19">
        <f t="shared" si="180"/>
        <v>3653.5492916397529</v>
      </c>
      <c r="JC127" s="19">
        <f t="shared" si="181"/>
        <v>6598.7109265464014</v>
      </c>
      <c r="JD127" s="19">
        <f t="shared" si="182"/>
        <v>5421.4965382552473</v>
      </c>
      <c r="JE127" s="21"/>
      <c r="JF127" s="1">
        <f t="shared" si="277"/>
        <v>7.6148954918618686E-2</v>
      </c>
      <c r="JG127" s="15">
        <f>INDEX(Input!$1:$1048576,JG$93,$C127*2+6)/(1+VLOOKUP(C127*1000+INDEX(Input!$1:$1048576,JG$93+1,$C127*2+6),$A:$KK,$JK$92,FALSE))</f>
        <v>978</v>
      </c>
      <c r="JH127" s="1">
        <f t="shared" si="251"/>
        <v>5.6660036762764293E-2</v>
      </c>
      <c r="JI127" s="1">
        <f t="shared" si="252"/>
        <v>4.7998469058777166E-2</v>
      </c>
      <c r="JJ127" s="1">
        <f t="shared" si="253"/>
        <v>0</v>
      </c>
      <c r="JK127" s="1">
        <f t="shared" si="254"/>
        <v>0.10465850582154146</v>
      </c>
      <c r="JL127" s="15">
        <f t="shared" si="184"/>
        <v>102.35601869346755</v>
      </c>
      <c r="JM127" s="15">
        <f t="shared" si="185"/>
        <v>1080.3560186934676</v>
      </c>
      <c r="JN127" s="21"/>
      <c r="JO127" s="19">
        <f>INDEX(Input!$1:$1048576,JO$93,$C127*2+6)</f>
        <v>5908.5</v>
      </c>
      <c r="JP127" s="19">
        <f>INDEX(Input!$1:$1048576,JP$93,$C127*2+6)</f>
        <v>4993.2939301234746</v>
      </c>
      <c r="JQ127" s="39">
        <f t="shared" si="186"/>
        <v>487.00346174475271</v>
      </c>
      <c r="JR127" s="39">
        <f t="shared" si="187"/>
        <v>428.20260813177265</v>
      </c>
      <c r="JS127" s="39">
        <f t="shared" si="188"/>
        <v>5.857146415429856</v>
      </c>
      <c r="JT127" s="39">
        <f t="shared" si="189"/>
        <v>0.97370495176909766</v>
      </c>
      <c r="JU127" s="385">
        <f>(JQ127*JM127-INDEX(Input!$1:$1048576,Input!A$18,$C127*2+6)*JL127*INDEX(Input!$1:$1048576,Input!A$19,$C127*2+6))/1000000</f>
        <v>0.52613712102049748</v>
      </c>
      <c r="JV127" s="39">
        <f t="shared" si="192"/>
        <v>-0.36893441531874427</v>
      </c>
      <c r="JW127" s="1">
        <f t="shared" si="190"/>
        <v>-0.41218427839594951</v>
      </c>
      <c r="JX127" s="19">
        <f t="shared" si="191"/>
        <v>9512.9232672200469</v>
      </c>
      <c r="JZ127" s="341"/>
      <c r="KA127" s="342"/>
      <c r="KB127" s="469">
        <f t="shared" si="110"/>
        <v>3.2656316020464753</v>
      </c>
      <c r="KI127" s="473">
        <f t="shared" si="278"/>
        <v>10.291445345624481</v>
      </c>
      <c r="KJ127" s="473">
        <f t="shared" si="279"/>
        <v>33.736839378442056</v>
      </c>
      <c r="KK127" s="473">
        <f t="shared" si="257"/>
        <v>58.327733969401038</v>
      </c>
      <c r="KN127" s="544">
        <f t="shared" si="258"/>
        <v>1002</v>
      </c>
      <c r="KO127" s="541">
        <f t="shared" si="280"/>
        <v>2.1024803250548452E-2</v>
      </c>
      <c r="KP127" s="546">
        <f t="shared" si="281"/>
        <v>120.61082391285576</v>
      </c>
      <c r="KQ127" s="546">
        <f t="shared" si="282"/>
        <v>67.042638279806852</v>
      </c>
      <c r="KR127" s="548">
        <f t="shared" si="283"/>
        <v>2.4998350104654161</v>
      </c>
      <c r="KS127" s="548">
        <f t="shared" si="284"/>
        <v>4.4972448578183384</v>
      </c>
      <c r="KT127" s="473">
        <f t="shared" si="112"/>
        <v>-82.310573396665475</v>
      </c>
      <c r="KU127" s="663">
        <f t="shared" si="285"/>
        <v>-51.314031730837982</v>
      </c>
      <c r="KV127" s="117"/>
    </row>
    <row r="128" spans="1:308" s="26" customFormat="1" ht="15">
      <c r="A128" s="561">
        <f t="shared" si="168"/>
        <v>1028</v>
      </c>
      <c r="B128" s="561">
        <f t="shared" si="104"/>
        <v>28</v>
      </c>
      <c r="C128" s="561">
        <f t="shared" si="105"/>
        <v>1</v>
      </c>
      <c r="D128" s="561" t="str">
        <f t="shared" si="287"/>
        <v xml:space="preserve">1000 Combo, </v>
      </c>
      <c r="E128" s="475">
        <f>INDEX(Input!$1:$1048576,E$93,$C128*2+MIN($B128,2)+5)
+INDEX(Scenarios!E$121:E$200,MATCH($B128,Scenarios!$B$121:$B$200,0))</f>
        <v>1250</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1.9E-2</v>
      </c>
      <c r="W128" s="863">
        <f>IFERROR(MAX(0,INDEX(Input!$1:$1048576,W$93,$C128*2+MIN($B128,2)+5)-0%,),"Market")</f>
        <v>3.9E-2</v>
      </c>
      <c r="X128" s="476" t="str">
        <f>INDEX(Input!$1:$1048576,X$93,$C128*2+MIN($B128,2)+5)</f>
        <v>Y</v>
      </c>
      <c r="Y128" s="475">
        <f>INDEX(Input!$1:$1048576,Y$93,$C128*2+MIN($B128,2)+5)
++INDEX(Scenarios!Y$121:Y$200,MATCH($B128,Scenarios!$B$121:$B$200,0))</f>
        <v>2826</v>
      </c>
      <c r="Z128" s="477">
        <f>INDEX(Input!$1:$1048576,Z$93,$C128*2+MIN($B128,2)+5)
+INDEX(Scenarios!Z$121:Z$200,MATCH($B128,Scenarios!$B$121:$B$200,0))</f>
        <v>0</v>
      </c>
      <c r="AA128" s="475">
        <f>INDEX(Input!$1:$1048576,AA$93,$C128*2+MIN($B128,2)+5)</f>
        <v>0</v>
      </c>
      <c r="AB128" s="476">
        <f>INDEX(Input!$1:$1048576,AB$93,$C128*2+MIN($B128,2)+5)</f>
        <v>1</v>
      </c>
      <c r="AC128" s="475">
        <f>INDEX(Input!$1:$1048576,AC$93,$C128*2+MIN($B128,2)+5)
+INDEX(Scenarios!AC$121:AC$200,MATCH($B128,Scenarios!$B$121:$B$200,0))</f>
        <v>0</v>
      </c>
      <c r="AD128" s="476">
        <f>INDEX(Input!$1:$1048576,AD$93,$C128*2+MIN($B128,2)+5)</f>
        <v>0.35</v>
      </c>
      <c r="AE128" s="475">
        <f>INDEX(Input!$1:$1048576,AE$93,$C128*2+MIN($B128,2)+5)
+INDEX(Scenarios!AE$121:AE$200,MATCH($B128,Scenarios!$B$121:$B$200,0))</f>
        <v>0</v>
      </c>
      <c r="AF128" s="476">
        <f>INDEX(Input!$1:$1048576,AF$93,$C128*2+MIN($B128,2)+5)</f>
        <v>1</v>
      </c>
      <c r="AG128" s="475">
        <f>INDEX(Input!$1:$1048576,AG$93,$C128*2+MIN($B128,2)+5)
+INDEX(Scenarios!AG$121:AG$200,MATCH($B128,Scenarios!$B$121:$B$200,0))</f>
        <v>0</v>
      </c>
      <c r="AH128" s="476">
        <f>INDEX(Input!$1:$1048576,AH$93,$C128*2+MIN($B128,2)+5)</f>
        <v>1</v>
      </c>
      <c r="AI128" s="475">
        <f>INDEX(Input!$1:$1048576,AI$93,$C128*2+MIN($B128,2)+5)
+INDEX(Scenarios!AI$121:AI$200,MATCH($B128,Scenarios!$B$121:$B$200,0))</f>
        <v>0</v>
      </c>
      <c r="AJ128" s="476">
        <f>INDEX(Input!$1:$1048576,AJ$93,$C128*2+MIN($B128,2)+5)</f>
        <v>0.35</v>
      </c>
      <c r="AK128" s="150">
        <f>ROUND(INDEX(Input!$1:$1048576,AK$93,$C127*2+MIN($B128,1)+5)+(Y128-VLOOKUP($C128*1000+1,$A:$HH,Y$92,FALSE)),0)</f>
        <v>5482</v>
      </c>
      <c r="AL128" s="150">
        <f>ROUND(INDEX(Input!$1:$1048576,AL$93,$C127*2+MIN($B128,1)+5)-(Y128-VLOOKUP($C128*1000+1,$A:$HH,Y$92,FALSE))/36,0)</f>
        <v>5602</v>
      </c>
      <c r="AM128" s="32" t="str">
        <f t="shared" si="169"/>
        <v>std/std/std/std</v>
      </c>
      <c r="AN128" s="32" t="str">
        <f t="shared" si="170"/>
        <v>$1000 + 0/0/0/1.9/3.9</v>
      </c>
      <c r="AO128" s="32" t="str">
        <f t="shared" si="171"/>
        <v>0/0/0/1.9/3.9</v>
      </c>
      <c r="AP128" s="32" t="str">
        <f t="shared" si="73"/>
        <v>0/0.9/1.9/3.9</v>
      </c>
      <c r="AQ128" s="536">
        <f t="shared" si="39"/>
        <v>0.14244275979942753</v>
      </c>
      <c r="AR128" s="32"/>
      <c r="AS128" s="302"/>
      <c r="AT128" s="3">
        <f t="shared" si="106"/>
        <v>28</v>
      </c>
      <c r="AU128" s="41" t="s">
        <v>121</v>
      </c>
      <c r="AV128" s="41" t="s">
        <v>116</v>
      </c>
      <c r="AW128" s="41" t="str">
        <f>INDEX(Input!$1:$1048576,AW$93,$C128*2+6)</f>
        <v>Kia</v>
      </c>
      <c r="AX128" s="41" t="str">
        <f>INDEX(Input!$1:$1048576,AX$93,$C128*2+6)</f>
        <v>Kia-LR - L1</v>
      </c>
      <c r="AY128" s="41" t="str">
        <f>IF(LEN(D128)=0,"",INDEX(Input!$1:$1048576,AY$93,$C128*2+6))</f>
        <v>Compact Conventional/Sporty Car (43)</v>
      </c>
      <c r="AZ128" s="41" t="str">
        <f>INDEX(Input!$1:$1048576,AZ$93,$C128*2+6)</f>
        <v>Kia Forte</v>
      </c>
      <c r="BA128" s="3">
        <f>INDEX(Input!$1:$1048576,BA$93,$C128*2+6)</f>
        <v>2020</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19695</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4"/>
        <v>1250</v>
      </c>
      <c r="CJ128" s="16" t="str">
        <f>INDEX(Input!$1:$1048576,CJ$93,$C128*2+6)</f>
        <v>N</v>
      </c>
      <c r="CK128" s="1" t="str">
        <f t="shared" si="75"/>
        <v>Market</v>
      </c>
      <c r="CL128" s="1" t="str">
        <f t="shared" si="76"/>
        <v>Market</v>
      </c>
      <c r="CM128" s="1" t="str">
        <f t="shared" si="77"/>
        <v>Market</v>
      </c>
      <c r="CN128" s="1" t="str">
        <f t="shared" si="78"/>
        <v>Market</v>
      </c>
      <c r="CO128" s="1" t="str">
        <f t="shared" si="79"/>
        <v>Market</v>
      </c>
      <c r="CP128" s="304">
        <f t="shared" si="80"/>
        <v>1000</v>
      </c>
      <c r="CQ128" s="1">
        <f t="shared" si="81"/>
        <v>0</v>
      </c>
      <c r="CR128" s="1">
        <f t="shared" si="82"/>
        <v>0</v>
      </c>
      <c r="CS128" s="1">
        <f t="shared" si="83"/>
        <v>0</v>
      </c>
      <c r="CT128" s="1">
        <f t="shared" si="84"/>
        <v>1.9E-2</v>
      </c>
      <c r="CU128" s="1">
        <f t="shared" si="85"/>
        <v>3.9E-2</v>
      </c>
      <c r="CV128" s="304">
        <f t="shared" si="86"/>
        <v>2826</v>
      </c>
      <c r="CW128" s="20" t="s">
        <v>122</v>
      </c>
      <c r="CX128" s="20" t="s">
        <v>122</v>
      </c>
      <c r="CY128" s="20" t="s">
        <v>122</v>
      </c>
      <c r="CZ128" s="20" t="s">
        <v>122</v>
      </c>
      <c r="DA128" s="20" t="s">
        <v>122</v>
      </c>
      <c r="DB128" s="503">
        <f t="shared" si="87"/>
        <v>0</v>
      </c>
      <c r="DC128" s="127">
        <v>0</v>
      </c>
      <c r="DD128" s="127">
        <v>0</v>
      </c>
      <c r="DE128" s="127">
        <v>0</v>
      </c>
      <c r="DF128" s="127">
        <v>0</v>
      </c>
      <c r="DG128" s="127">
        <v>0</v>
      </c>
      <c r="DH128" s="127">
        <v>0</v>
      </c>
      <c r="DI128" s="127">
        <v>0</v>
      </c>
      <c r="DJ128" s="127">
        <v>0</v>
      </c>
      <c r="DK128" s="127">
        <v>0</v>
      </c>
      <c r="DL128" s="127">
        <v>0</v>
      </c>
      <c r="DM128" s="304">
        <f>INDEX(Input!$1:$1048576,DM$93,$C128*2+6)</f>
        <v>20731.578947368424</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1.3719499226425303E-2</v>
      </c>
      <c r="DZ128" s="7">
        <v>0</v>
      </c>
      <c r="EA128" s="7">
        <v>0.20579272508467111</v>
      </c>
      <c r="EB128" s="7">
        <v>0</v>
      </c>
      <c r="EC128" s="7">
        <v>0</v>
      </c>
      <c r="ED128" s="7">
        <v>0</v>
      </c>
      <c r="EE128" s="7">
        <v>0</v>
      </c>
      <c r="EF128" s="7">
        <v>0</v>
      </c>
      <c r="EG128" s="7">
        <v>0</v>
      </c>
      <c r="EH128" s="7">
        <v>2.4558196314572352E-2</v>
      </c>
      <c r="EI128" s="7">
        <v>3.6743207591226415E-2</v>
      </c>
      <c r="EJ128" s="7">
        <v>0.23420600650753512</v>
      </c>
      <c r="EK128" s="7">
        <v>0.54722209146041811</v>
      </c>
      <c r="EL128" s="7">
        <v>0.15727049812624819</v>
      </c>
      <c r="EM128" s="7">
        <v>3.5497299219456838E-2</v>
      </c>
      <c r="EN128" s="7">
        <v>5.668659417593376E-2</v>
      </c>
      <c r="EO128" s="7">
        <v>0.54216995014193581</v>
      </c>
      <c r="EP128" s="7">
        <v>0.3117315538121922</v>
      </c>
      <c r="EQ128" s="7">
        <v>5.1954312326603476E-2</v>
      </c>
      <c r="ER128" s="7">
        <v>3.7457589543334724E-2</v>
      </c>
      <c r="ES128" s="7">
        <v>0.74499047646944683</v>
      </c>
      <c r="ET128" s="7">
        <v>0.7804877756889036</v>
      </c>
      <c r="EU128" s="6">
        <v>1600</v>
      </c>
      <c r="EV128" s="6">
        <v>0</v>
      </c>
      <c r="EW128" s="6">
        <v>1600</v>
      </c>
      <c r="EX128" s="6">
        <v>0</v>
      </c>
      <c r="EY128" s="6">
        <v>3516.0091993322694</v>
      </c>
      <c r="EZ128" s="6">
        <v>4822.9999999999991</v>
      </c>
      <c r="FA128" s="6">
        <v>0</v>
      </c>
      <c r="FB128" s="6">
        <v>0</v>
      </c>
      <c r="FC128" s="6">
        <v>0</v>
      </c>
      <c r="FD128" s="6">
        <v>0</v>
      </c>
      <c r="FE128" s="6">
        <v>0</v>
      </c>
      <c r="FF128" s="6">
        <v>0</v>
      </c>
      <c r="FG128" s="6">
        <v>0</v>
      </c>
      <c r="FH128" s="6">
        <v>1147.7342705853869</v>
      </c>
      <c r="FI128" s="6">
        <v>1531.4299904380621</v>
      </c>
      <c r="FJ128" s="6">
        <v>2070.7205842538224</v>
      </c>
      <c r="FK128" s="6">
        <v>1746.9903521590434</v>
      </c>
      <c r="FL128" s="6">
        <v>893.91433563489409</v>
      </c>
      <c r="FM128" s="6">
        <v>1666.0091993322696</v>
      </c>
      <c r="FN128" s="6">
        <v>0</v>
      </c>
      <c r="FO128" s="6">
        <v>0</v>
      </c>
      <c r="FP128" s="6">
        <v>0</v>
      </c>
      <c r="FQ128" s="6">
        <v>0</v>
      </c>
      <c r="FR128" s="6">
        <v>0</v>
      </c>
      <c r="FS128" s="6">
        <v>0</v>
      </c>
      <c r="FT128" s="7">
        <v>0.2195122243110964</v>
      </c>
      <c r="FU128" s="7">
        <v>3.5497299219456838E-2</v>
      </c>
      <c r="FV128" s="7">
        <v>0.74499047646944683</v>
      </c>
      <c r="FW128" s="6">
        <v>1600</v>
      </c>
      <c r="FX128" s="6">
        <v>3516.0091993322694</v>
      </c>
      <c r="FY128" s="6">
        <v>4822.9999999999991</v>
      </c>
      <c r="FZ128" s="6">
        <v>3077.4375890575293</v>
      </c>
      <c r="GA128" s="6">
        <v>4069.1174575169562</v>
      </c>
      <c r="GB128" s="6">
        <v>15625.882542483043</v>
      </c>
      <c r="GC128" s="7">
        <v>7.0901643973087014E-2</v>
      </c>
      <c r="GD128" s="7">
        <v>8.0801503552297343E-2</v>
      </c>
      <c r="GE128" s="7"/>
      <c r="GF128" s="7"/>
      <c r="GG128" s="7">
        <v>0.13962806818651677</v>
      </c>
      <c r="GH128" s="42">
        <v>2.7730469180598871</v>
      </c>
      <c r="GI128" s="6">
        <v>11171.413445274444</v>
      </c>
      <c r="GJ128" s="14">
        <v>0.51074630601039539</v>
      </c>
      <c r="GK128" s="14">
        <v>0.50829519786160959</v>
      </c>
      <c r="GL128" s="14">
        <v>0.48925369398960428</v>
      </c>
      <c r="GM128" s="14">
        <v>0.49170480213839018</v>
      </c>
      <c r="GO128" s="5">
        <v>338.16872463277008</v>
      </c>
      <c r="GP128" s="5">
        <v>307.64377699166363</v>
      </c>
      <c r="GQ128" s="5">
        <v>527.27910984145694</v>
      </c>
      <c r="GR128" s="5">
        <v>404.20319246551543</v>
      </c>
      <c r="GS128" s="5">
        <v>334.50205195691484</v>
      </c>
      <c r="GT128" s="5">
        <v>289.18266033348181</v>
      </c>
      <c r="GU128" s="5">
        <v>254.29573314828914</v>
      </c>
      <c r="GV128" s="39" t="s">
        <v>392</v>
      </c>
      <c r="GW128" s="5">
        <v>440.98611111111109</v>
      </c>
      <c r="GX128" s="5">
        <v>330.73958333333331</v>
      </c>
      <c r="GY128" s="5">
        <v>264.59166666666664</v>
      </c>
      <c r="GZ128" s="5">
        <v>233.47422424633754</v>
      </c>
      <c r="HA128" s="5">
        <v>216.26912746293831</v>
      </c>
      <c r="HB128" s="39">
        <v>246.72622096249663</v>
      </c>
      <c r="HC128" s="5">
        <v>72.109375000000014</v>
      </c>
      <c r="HD128" s="5">
        <v>92.305464181286524</v>
      </c>
      <c r="HE128" s="5">
        <v>103.7516995614035</v>
      </c>
      <c r="HF128" s="5">
        <v>106.17129934210527</v>
      </c>
      <c r="HG128" s="5">
        <v>115.13410087719299</v>
      </c>
      <c r="HH128" s="39">
        <v>96.304265044073475</v>
      </c>
      <c r="HI128" s="16"/>
      <c r="HJ128" s="19" t="str">
        <f t="shared" ref="HJ128" si="295">HJ127</f>
        <v>On</v>
      </c>
      <c r="HK128" s="1" t="str">
        <f t="shared" si="108"/>
        <v>On</v>
      </c>
      <c r="HL128" s="16"/>
      <c r="HM128" s="639">
        <f t="shared" si="261"/>
        <v>1.7699001661282989E-2</v>
      </c>
      <c r="HN128" s="639">
        <f t="shared" si="262"/>
        <v>1.0509929974846072E-3</v>
      </c>
      <c r="HO128" s="639">
        <f t="shared" si="263"/>
        <v>5.7398960259851091E-2</v>
      </c>
      <c r="HP128" s="644">
        <f>(FT128*$GD128-HM128)/$JF128*INDEX(Input!$1:$1048576,$JG$93,$C128*2+6)</f>
        <v>0.48696606219754107</v>
      </c>
      <c r="HQ128" s="644">
        <f>(FU128*$GD128-HN128)/$JF128*INDEX(Input!$1:$1048576,$JG$93,$C128*2+6)</f>
        <v>23.339293704816122</v>
      </c>
      <c r="HR128" s="644">
        <f>(FV128*$GD128-HO128)/$JF128*INDEX(Input!$1:$1048576,$JG$93,$C128*2+6)</f>
        <v>35.927581485313119</v>
      </c>
      <c r="HS128" s="644">
        <f t="shared" si="264"/>
        <v>-0.44692640304263009</v>
      </c>
      <c r="HT128" s="644">
        <f t="shared" si="265"/>
        <v>33.165581290907681</v>
      </c>
      <c r="HU128" s="644">
        <f t="shared" si="266"/>
        <v>17.964991854744479</v>
      </c>
      <c r="HV128" s="648">
        <f t="shared" si="267"/>
        <v>0</v>
      </c>
      <c r="HW128" s="648">
        <f t="shared" si="268"/>
        <v>0</v>
      </c>
      <c r="HX128" s="648">
        <f t="shared" si="269"/>
        <v>0</v>
      </c>
      <c r="HY128" s="644">
        <f>INDEX(Input!$1:$1048576,HY$93,$C128*2+6)*INDEX(Input!$1:$1048576,$JG$93,$C128*2+6)</f>
        <v>154.99999999999997</v>
      </c>
      <c r="HZ128" s="644">
        <f>INDEX(Input!$1:$1048576,HZ$93,$C128*2+6)*INDEX(Input!$1:$1048576,$JG$93,$C128*2+6)</f>
        <v>140</v>
      </c>
      <c r="IA128" s="644">
        <f>INDEX(Input!$1:$1048576,IA$93,$C128*2+6)*INDEX(Input!$1:$1048576,$JG$93,$C128*2+6)</f>
        <v>683</v>
      </c>
      <c r="IB128" s="644">
        <f t="shared" si="249"/>
        <v>155.04003965915501</v>
      </c>
      <c r="IC128" s="644">
        <f t="shared" si="172"/>
        <v>196.50487499572381</v>
      </c>
      <c r="ID128" s="644">
        <f>IF(AND(INDEX(Input!$1:$1048576,IA$93,$C128*2+7)="TOS",Y128&lt;=INDEX(Y:Y,MATCH(C128*1000+2,A:A))),0,1)*MAX(IA128+HR128+HU128+HX128,0%)</f>
        <v>736.89257334005754</v>
      </c>
      <c r="IE128" s="128">
        <f t="shared" si="270"/>
        <v>0.14244275979942753</v>
      </c>
      <c r="IF128" s="128">
        <f t="shared" si="174"/>
        <v>0.18053850327933393</v>
      </c>
      <c r="IG128" s="128">
        <f t="shared" si="175"/>
        <v>0.67701873692123848</v>
      </c>
      <c r="IH128" s="21"/>
      <c r="II128" s="19">
        <f t="shared" si="271"/>
        <v>1200</v>
      </c>
      <c r="IJ128" s="19">
        <f t="shared" si="272"/>
        <v>2231.5502763133163</v>
      </c>
      <c r="IK128" s="19">
        <f t="shared" si="273"/>
        <v>4498</v>
      </c>
      <c r="IL128" s="19">
        <f t="shared" si="176"/>
        <v>400</v>
      </c>
      <c r="IM128" s="19">
        <f t="shared" si="177"/>
        <v>1284.4589230189531</v>
      </c>
      <c r="IN128" s="19">
        <f t="shared" si="178"/>
        <v>324.99999999999909</v>
      </c>
      <c r="IO128" s="39">
        <f t="shared" si="274"/>
        <v>0</v>
      </c>
      <c r="IP128" s="39">
        <f t="shared" si="275"/>
        <v>0</v>
      </c>
      <c r="IQ128" s="39">
        <f t="shared" si="276"/>
        <v>0</v>
      </c>
      <c r="IR128" s="39">
        <v>0</v>
      </c>
      <c r="IS128" s="39">
        <v>0</v>
      </c>
      <c r="IT128" s="39">
        <v>0</v>
      </c>
      <c r="IU128" s="39">
        <v>0</v>
      </c>
      <c r="IV128" s="39">
        <v>0</v>
      </c>
      <c r="IW128" s="39">
        <v>0</v>
      </c>
      <c r="IX128" s="39">
        <f>INDEX(Input!$1:$1048576,IX$93,$C128*2+6)+INDEX(Input!$1:$1048576,IX$94,$C128*2+6)</f>
        <v>1600</v>
      </c>
      <c r="IY128" s="39">
        <f>INDEX(Input!$1:$1048576,IY$93,$C128*2+6)+INDEX(Input!$1:$1048576,IY$94,$C128*2+6)</f>
        <v>2503.5492916397525</v>
      </c>
      <c r="IZ128" s="39">
        <f>INDEX(Input!$1:$1048576,IZ$93,$C128*2+6)+INDEX(Input!$1:$1048576,IZ$94,$C128*2+6)</f>
        <v>6273.7109265464023</v>
      </c>
      <c r="JA128" s="19">
        <f t="shared" si="179"/>
        <v>2000</v>
      </c>
      <c r="JB128" s="19">
        <f t="shared" si="180"/>
        <v>3788.0082146587056</v>
      </c>
      <c r="JC128" s="19">
        <f t="shared" si="181"/>
        <v>6598.7109265464014</v>
      </c>
      <c r="JD128" s="19">
        <f t="shared" si="182"/>
        <v>5436.21778988198</v>
      </c>
      <c r="JE128" s="21"/>
      <c r="JF128" s="1">
        <f t="shared" si="277"/>
        <v>7.6148954918618686E-2</v>
      </c>
      <c r="JG128" s="15">
        <f>INDEX(Input!$1:$1048576,JG$93,$C128*2+6)/(1+VLOOKUP(C128*1000+INDEX(Input!$1:$1048576,JG$93+1,$C128*2+6),$A:$KK,$JK$92,FALSE))</f>
        <v>978</v>
      </c>
      <c r="JH128" s="1">
        <f t="shared" si="251"/>
        <v>6.1097997190518179E-2</v>
      </c>
      <c r="JI128" s="1">
        <f t="shared" si="252"/>
        <v>5.1823769675469859E-2</v>
      </c>
      <c r="JJ128" s="1">
        <f t="shared" si="253"/>
        <v>0</v>
      </c>
      <c r="JK128" s="1">
        <f t="shared" si="254"/>
        <v>0.11292176686598804</v>
      </c>
      <c r="JL128" s="15">
        <f t="shared" si="184"/>
        <v>110.4374879949363</v>
      </c>
      <c r="JM128" s="15">
        <f t="shared" si="185"/>
        <v>1088.4374879949364</v>
      </c>
      <c r="JN128" s="21"/>
      <c r="JO128" s="19">
        <f>INDEX(Input!$1:$1048576,JO$93,$C128*2+6)</f>
        <v>5908.5</v>
      </c>
      <c r="JP128" s="19">
        <f>INDEX(Input!$1:$1048576,JP$93,$C128*2+6)</f>
        <v>4993.2939301234746</v>
      </c>
      <c r="JQ128" s="39">
        <f t="shared" si="186"/>
        <v>472.28221011801998</v>
      </c>
      <c r="JR128" s="39">
        <f t="shared" si="187"/>
        <v>442.92385975850539</v>
      </c>
      <c r="JS128" s="39">
        <f t="shared" si="188"/>
        <v>5.9169832354125278</v>
      </c>
      <c r="JT128" s="39">
        <f t="shared" si="189"/>
        <v>1.0335417717517699</v>
      </c>
      <c r="JU128" s="385">
        <f>(JQ128*JM128-INDEX(Input!$1:$1048576,Input!A$18,$C128*2+6)*JL128*INDEX(Input!$1:$1048576,Input!A$19,$C128*2+6))/1000000</f>
        <v>0.51404966240555439</v>
      </c>
      <c r="JV128" s="39">
        <f t="shared" si="192"/>
        <v>-0.38102187393368736</v>
      </c>
      <c r="JW128" s="1">
        <f t="shared" si="190"/>
        <v>-0.42568873935152818</v>
      </c>
      <c r="JX128" s="19">
        <f t="shared" si="191"/>
        <v>9358.6135515791429</v>
      </c>
      <c r="JZ128" s="341"/>
      <c r="KA128" s="342"/>
      <c r="KB128" s="469">
        <f t="shared" si="110"/>
        <v>3.2656316020464753</v>
      </c>
      <c r="KI128" s="473">
        <f t="shared" si="278"/>
        <v>4.0039659155041818E-2</v>
      </c>
      <c r="KJ128" s="473">
        <f t="shared" si="279"/>
        <v>56.50487499572381</v>
      </c>
      <c r="KK128" s="473">
        <f t="shared" si="257"/>
        <v>53.892573340057538</v>
      </c>
      <c r="KN128" s="544">
        <f t="shared" si="258"/>
        <v>1002</v>
      </c>
      <c r="KO128" s="541">
        <f t="shared" si="280"/>
        <v>2.866245274824486E-2</v>
      </c>
      <c r="KP128" s="546">
        <f t="shared" si="281"/>
        <v>159.67889017389354</v>
      </c>
      <c r="KQ128" s="546">
        <f t="shared" si="282"/>
        <v>81.763889906539589</v>
      </c>
      <c r="KR128" s="548">
        <f t="shared" si="283"/>
        <v>2.5741362839405721</v>
      </c>
      <c r="KS128" s="548">
        <f t="shared" si="284"/>
        <v>5.0270996823391823</v>
      </c>
      <c r="KT128" s="473">
        <f t="shared" si="112"/>
        <v>-82.310573396665475</v>
      </c>
      <c r="KU128" s="663">
        <f t="shared" si="285"/>
        <v>-51.530780674853993</v>
      </c>
      <c r="KV128" s="117"/>
    </row>
    <row r="129" spans="1:308" s="26" customFormat="1" ht="15">
      <c r="A129" s="561">
        <f t="shared" si="168"/>
        <v>1029</v>
      </c>
      <c r="B129" s="561">
        <f t="shared" si="104"/>
        <v>29</v>
      </c>
      <c r="C129" s="561">
        <f t="shared" si="105"/>
        <v>1</v>
      </c>
      <c r="D129" s="561" t="str">
        <f t="shared" si="287"/>
        <v xml:space="preserve">-720 Lease, </v>
      </c>
      <c r="E129" s="475">
        <f>INDEX(Input!$1:$1048576,E$93,$C129*2+MIN($B129,2)+5)
+INDEX(Scenarios!E$121:E$200,MATCH($B129,Scenarios!$B$121:$B$200,0))</f>
        <v>1250</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1.9E-2</v>
      </c>
      <c r="W129" s="863">
        <f>IFERROR(MAX(0,INDEX(Input!$1:$1048576,W$93,$C129*2+MIN($B129,2)+5)-0%,),"Market")</f>
        <v>3.9E-2</v>
      </c>
      <c r="X129" s="476" t="str">
        <f>INDEX(Input!$1:$1048576,X$93,$C129*2+MIN($B129,2)+5)</f>
        <v>Y</v>
      </c>
      <c r="Y129" s="475">
        <f>INDEX(Input!$1:$1048576,Y$93,$C129*2+MIN($B129,2)+5)
++INDEX(Scenarios!Y$121:Y$200,MATCH($B129,Scenarios!$B$121:$B$200,0))</f>
        <v>2106</v>
      </c>
      <c r="Z129" s="477">
        <f>INDEX(Input!$1:$1048576,Z$93,$C129*2+MIN($B129,2)+5)
+INDEX(Scenarios!Z$121:Z$200,MATCH($B129,Scenarios!$B$121:$B$200,0))</f>
        <v>0</v>
      </c>
      <c r="AA129" s="475">
        <f>INDEX(Input!$1:$1048576,AA$93,$C129*2+MIN($B129,2)+5)</f>
        <v>0</v>
      </c>
      <c r="AB129" s="476">
        <f>INDEX(Input!$1:$1048576,AB$93,$C129*2+MIN($B129,2)+5)</f>
        <v>1</v>
      </c>
      <c r="AC129" s="475">
        <f>INDEX(Input!$1:$1048576,AC$93,$C129*2+MIN($B129,2)+5)
+INDEX(Scenarios!AC$121:AC$200,MATCH($B129,Scenarios!$B$121:$B$200,0))</f>
        <v>0</v>
      </c>
      <c r="AD129" s="476">
        <f>INDEX(Input!$1:$1048576,AD$93,$C129*2+MIN($B129,2)+5)</f>
        <v>0.35</v>
      </c>
      <c r="AE129" s="475">
        <f>INDEX(Input!$1:$1048576,AE$93,$C129*2+MIN($B129,2)+5)
+INDEX(Scenarios!AE$121:AE$200,MATCH($B129,Scenarios!$B$121:$B$200,0))</f>
        <v>0</v>
      </c>
      <c r="AF129" s="476">
        <f>INDEX(Input!$1:$1048576,AF$93,$C129*2+MIN($B129,2)+5)</f>
        <v>1</v>
      </c>
      <c r="AG129" s="475">
        <f>INDEX(Input!$1:$1048576,AG$93,$C129*2+MIN($B129,2)+5)
+INDEX(Scenarios!AG$121:AG$200,MATCH($B129,Scenarios!$B$121:$B$200,0))</f>
        <v>0</v>
      </c>
      <c r="AH129" s="476">
        <f>INDEX(Input!$1:$1048576,AH$93,$C129*2+MIN($B129,2)+5)</f>
        <v>1</v>
      </c>
      <c r="AI129" s="475">
        <f>INDEX(Input!$1:$1048576,AI$93,$C129*2+MIN($B129,2)+5)
+INDEX(Scenarios!AI$121:AI$200,MATCH($B129,Scenarios!$B$121:$B$200,0))</f>
        <v>0</v>
      </c>
      <c r="AJ129" s="476">
        <f>INDEX(Input!$1:$1048576,AJ$93,$C129*2+MIN($B129,2)+5)</f>
        <v>0.35</v>
      </c>
      <c r="AK129" s="150">
        <f>ROUND(INDEX(Input!$1:$1048576,AK$93,$C128*2+MIN($B129,1)+5)+(Y129-VLOOKUP($C129*1000+1,$A:$HH,Y$92,FALSE)),0)</f>
        <v>4762</v>
      </c>
      <c r="AL129" s="150">
        <f>ROUND(INDEX(Input!$1:$1048576,AL$93,$C128*2+MIN($B129,1)+5)-(Y129-VLOOKUP($C129*1000+1,$A:$HH,Y$92,FALSE))/36,0)</f>
        <v>5622</v>
      </c>
      <c r="AM129" s="32" t="str">
        <f t="shared" si="169"/>
        <v>std/std/std/std</v>
      </c>
      <c r="AN129" s="32" t="str">
        <f t="shared" si="170"/>
        <v>$0 + 0/0/0/1.9/3.9</v>
      </c>
      <c r="AO129" s="32" t="str">
        <f t="shared" si="171"/>
        <v>0/0/0/1.9/3.9</v>
      </c>
      <c r="AP129" s="32" t="str">
        <f t="shared" si="73"/>
        <v>0/0.9/1.9/3.9</v>
      </c>
      <c r="AQ129" s="536">
        <f t="shared" si="39"/>
        <v>0.20869769183075215</v>
      </c>
      <c r="AR129" s="32"/>
      <c r="AS129" s="302"/>
      <c r="AT129" s="3">
        <f t="shared" si="106"/>
        <v>29</v>
      </c>
      <c r="AU129" s="41" t="s">
        <v>121</v>
      </c>
      <c r="AV129" s="41" t="s">
        <v>116</v>
      </c>
      <c r="AW129" s="41" t="str">
        <f>INDEX(Input!$1:$1048576,AW$93,$C129*2+6)</f>
        <v>Kia</v>
      </c>
      <c r="AX129" s="41" t="str">
        <f>INDEX(Input!$1:$1048576,AX$93,$C129*2+6)</f>
        <v>Kia-LR - L1</v>
      </c>
      <c r="AY129" s="41" t="str">
        <f>IF(LEN(D129)=0,"",INDEX(Input!$1:$1048576,AY$93,$C129*2+6))</f>
        <v>Compact Conventional/Sporty Car (43)</v>
      </c>
      <c r="AZ129" s="41" t="str">
        <f>INDEX(Input!$1:$1048576,AZ$93,$C129*2+6)</f>
        <v>Kia Forte</v>
      </c>
      <c r="BA129" s="3">
        <f>INDEX(Input!$1:$1048576,BA$93,$C129*2+6)</f>
        <v>2020</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19695</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4"/>
        <v>1250</v>
      </c>
      <c r="CJ129" s="16" t="str">
        <f>INDEX(Input!$1:$1048576,CJ$93,$C129*2+6)</f>
        <v>N</v>
      </c>
      <c r="CK129" s="1" t="str">
        <f t="shared" si="75"/>
        <v>Market</v>
      </c>
      <c r="CL129" s="1" t="str">
        <f t="shared" si="76"/>
        <v>Market</v>
      </c>
      <c r="CM129" s="1" t="str">
        <f t="shared" si="77"/>
        <v>Market</v>
      </c>
      <c r="CN129" s="1" t="str">
        <f t="shared" si="78"/>
        <v>Market</v>
      </c>
      <c r="CO129" s="1" t="str">
        <f t="shared" si="79"/>
        <v>Market</v>
      </c>
      <c r="CP129" s="304">
        <f t="shared" si="80"/>
        <v>0</v>
      </c>
      <c r="CQ129" s="1">
        <f t="shared" si="81"/>
        <v>0</v>
      </c>
      <c r="CR129" s="1">
        <f t="shared" si="82"/>
        <v>0</v>
      </c>
      <c r="CS129" s="1">
        <f t="shared" si="83"/>
        <v>0</v>
      </c>
      <c r="CT129" s="1">
        <f t="shared" si="84"/>
        <v>1.9E-2</v>
      </c>
      <c r="CU129" s="1">
        <f t="shared" si="85"/>
        <v>3.9E-2</v>
      </c>
      <c r="CV129" s="304">
        <f t="shared" si="86"/>
        <v>2106</v>
      </c>
      <c r="CW129" s="20" t="s">
        <v>122</v>
      </c>
      <c r="CX129" s="20" t="s">
        <v>122</v>
      </c>
      <c r="CY129" s="20" t="s">
        <v>122</v>
      </c>
      <c r="CZ129" s="20" t="s">
        <v>122</v>
      </c>
      <c r="DA129" s="20" t="s">
        <v>122</v>
      </c>
      <c r="DB129" s="503">
        <f t="shared" si="87"/>
        <v>0</v>
      </c>
      <c r="DC129" s="127">
        <v>0</v>
      </c>
      <c r="DD129" s="127">
        <v>0</v>
      </c>
      <c r="DE129" s="127">
        <v>0</v>
      </c>
      <c r="DF129" s="127">
        <v>0</v>
      </c>
      <c r="DG129" s="127">
        <v>0</v>
      </c>
      <c r="DH129" s="127">
        <v>0</v>
      </c>
      <c r="DI129" s="127">
        <v>0</v>
      </c>
      <c r="DJ129" s="127">
        <v>0</v>
      </c>
      <c r="DK129" s="127">
        <v>0</v>
      </c>
      <c r="DL129" s="127">
        <v>0</v>
      </c>
      <c r="DM129" s="304">
        <f>INDEX(Input!$1:$1048576,DM$93,$C129*2+6)</f>
        <v>20731.578947368424</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1.703900076764913E-2</v>
      </c>
      <c r="DZ129" s="7">
        <v>0</v>
      </c>
      <c r="EA129" s="7">
        <v>0.26661384009461098</v>
      </c>
      <c r="EB129" s="7">
        <v>0</v>
      </c>
      <c r="EC129" s="7">
        <v>0</v>
      </c>
      <c r="ED129" s="7">
        <v>0</v>
      </c>
      <c r="EE129" s="7">
        <v>0</v>
      </c>
      <c r="EF129" s="7">
        <v>0</v>
      </c>
      <c r="EG129" s="7">
        <v>0</v>
      </c>
      <c r="EH129" s="7">
        <v>1.9867163211649875E-2</v>
      </c>
      <c r="EI129" s="7">
        <v>3.5734944822064241E-2</v>
      </c>
      <c r="EJ129" s="7">
        <v>0.28104141462213045</v>
      </c>
      <c r="EK129" s="7">
        <v>0.6201009292597075</v>
      </c>
      <c r="EL129" s="7">
        <v>4.3255548084448162E-2</v>
      </c>
      <c r="EM129" s="7">
        <v>1.6836181705753014E-2</v>
      </c>
      <c r="EN129" s="7">
        <v>5.3474050736904595E-2</v>
      </c>
      <c r="EO129" s="7">
        <v>0.54468310517670093</v>
      </c>
      <c r="EP129" s="7">
        <v>0.30805400727236115</v>
      </c>
      <c r="EQ129" s="7">
        <v>5.4473577205069339E-2</v>
      </c>
      <c r="ER129" s="7">
        <v>3.9315259608963739E-2</v>
      </c>
      <c r="ES129" s="7">
        <v>0.69951097743198698</v>
      </c>
      <c r="ET129" s="7">
        <v>0.71634715913773994</v>
      </c>
      <c r="EU129" s="6">
        <v>1600</v>
      </c>
      <c r="EV129" s="6">
        <v>0</v>
      </c>
      <c r="EW129" s="6">
        <v>1600</v>
      </c>
      <c r="EX129" s="6">
        <v>0</v>
      </c>
      <c r="EY129" s="6">
        <v>2631.5502763133172</v>
      </c>
      <c r="EZ129" s="6">
        <v>4102.9999999999991</v>
      </c>
      <c r="FA129" s="6">
        <v>0</v>
      </c>
      <c r="FB129" s="6">
        <v>0</v>
      </c>
      <c r="FC129" s="6">
        <v>0</v>
      </c>
      <c r="FD129" s="6">
        <v>0</v>
      </c>
      <c r="FE129" s="6">
        <v>0</v>
      </c>
      <c r="FF129" s="6">
        <v>0</v>
      </c>
      <c r="FG129" s="6">
        <v>0</v>
      </c>
      <c r="FH129" s="6">
        <v>1152.1208270377813</v>
      </c>
      <c r="FI129" s="6">
        <v>1531.4299904380621</v>
      </c>
      <c r="FJ129" s="6">
        <v>2070.7205842538224</v>
      </c>
      <c r="FK129" s="6">
        <v>1746.9903521590434</v>
      </c>
      <c r="FL129" s="6">
        <v>893.91433563489375</v>
      </c>
      <c r="FM129" s="6">
        <v>1781.550276313317</v>
      </c>
      <c r="FN129" s="6">
        <v>0</v>
      </c>
      <c r="FO129" s="6">
        <v>0</v>
      </c>
      <c r="FP129" s="6">
        <v>0</v>
      </c>
      <c r="FQ129" s="6">
        <v>0</v>
      </c>
      <c r="FR129" s="6">
        <v>0</v>
      </c>
      <c r="FS129" s="6">
        <v>0</v>
      </c>
      <c r="FT129" s="7">
        <v>0.28365284086226011</v>
      </c>
      <c r="FU129" s="7">
        <v>1.6836181705753014E-2</v>
      </c>
      <c r="FV129" s="7">
        <v>0.69951097743198698</v>
      </c>
      <c r="FW129" s="6">
        <v>1600</v>
      </c>
      <c r="FX129" s="6">
        <v>2631.5502763133172</v>
      </c>
      <c r="FY129" s="6">
        <v>4102.9999999999991</v>
      </c>
      <c r="FZ129" s="6">
        <v>3077.4375890575293</v>
      </c>
      <c r="GA129" s="6">
        <v>3368.2433444028939</v>
      </c>
      <c r="GB129" s="6">
        <v>16326.756655597106</v>
      </c>
      <c r="GC129" s="7">
        <v>7.0901643973087014E-2</v>
      </c>
      <c r="GD129" s="7">
        <v>7.3736486731980577E-2</v>
      </c>
      <c r="GE129" s="7"/>
      <c r="GF129" s="7"/>
      <c r="GG129" s="7">
        <v>3.998275075214925E-2</v>
      </c>
      <c r="GH129" s="42">
        <v>2.707856572949809</v>
      </c>
      <c r="GI129" s="6">
        <v>10641.52369342272</v>
      </c>
      <c r="GJ129" s="14">
        <v>0.51074630601039572</v>
      </c>
      <c r="GK129" s="14">
        <v>0.50829519786160982</v>
      </c>
      <c r="GL129" s="14">
        <v>0.48925369398960422</v>
      </c>
      <c r="GM129" s="14">
        <v>0.49170480213839035</v>
      </c>
      <c r="GO129" s="5">
        <v>338.16872463277008</v>
      </c>
      <c r="GP129" s="5">
        <v>307.64377699166363</v>
      </c>
      <c r="GQ129" s="5">
        <v>527.27910984145694</v>
      </c>
      <c r="GR129" s="5">
        <v>404.20319246551543</v>
      </c>
      <c r="GS129" s="5">
        <v>334.50205195691484</v>
      </c>
      <c r="GT129" s="5">
        <v>289.18266033348181</v>
      </c>
      <c r="GU129" s="5">
        <v>254.29573314828914</v>
      </c>
      <c r="GV129" s="39" t="s">
        <v>392</v>
      </c>
      <c r="GW129" s="5">
        <v>468.76388888888891</v>
      </c>
      <c r="GX129" s="5">
        <v>351.57291666666669</v>
      </c>
      <c r="GY129" s="5">
        <v>281.25833333333333</v>
      </c>
      <c r="GZ129" s="5">
        <v>248.18079879493993</v>
      </c>
      <c r="HA129" s="5">
        <v>229.8919505212948</v>
      </c>
      <c r="HB129" s="39">
        <v>264.76293361772167</v>
      </c>
      <c r="HC129" s="5">
        <v>103.609375</v>
      </c>
      <c r="HD129" s="5">
        <v>113.80546418128652</v>
      </c>
      <c r="HE129" s="5">
        <v>123.71323802294197</v>
      </c>
      <c r="HF129" s="5">
        <v>122.82129934210526</v>
      </c>
      <c r="HG129" s="5">
        <v>128.934100877193</v>
      </c>
      <c r="HH129" s="39">
        <v>117.39827849808891</v>
      </c>
      <c r="HI129" s="16"/>
      <c r="HJ129" s="19" t="str">
        <f t="shared" ref="HJ129" si="296">HJ128</f>
        <v>On</v>
      </c>
      <c r="HK129" s="1" t="str">
        <f t="shared" si="108"/>
        <v>On</v>
      </c>
      <c r="HL129" s="16"/>
      <c r="HM129" s="639">
        <f t="shared" si="261"/>
        <v>1.7699001661282989E-2</v>
      </c>
      <c r="HN129" s="639">
        <f t="shared" si="262"/>
        <v>1.0509929974846072E-3</v>
      </c>
      <c r="HO129" s="639">
        <f t="shared" si="263"/>
        <v>5.7398960259851091E-2</v>
      </c>
      <c r="HP129" s="644">
        <f>(FT129*$GD129-HM129)/$JF129*INDEX(Input!$1:$1048576,$JG$93,$C129*2+6)</f>
        <v>41.311110687570164</v>
      </c>
      <c r="HQ129" s="644">
        <f>(FU129*$GD129-HN129)/$JF129*INDEX(Input!$1:$1048576,$JG$93,$C129*2+6)</f>
        <v>2.4459697190248417</v>
      </c>
      <c r="HR129" s="644">
        <f>(FV129*$GD129-HO129)/$JF129*INDEX(Input!$1:$1048576,$JG$93,$C129*2+6)</f>
        <v>-74.741010377184608</v>
      </c>
      <c r="HS129" s="644">
        <f t="shared" si="264"/>
        <v>-0.13917966391395029</v>
      </c>
      <c r="HT129" s="644">
        <f t="shared" si="265"/>
        <v>8.5566663779365406</v>
      </c>
      <c r="HU129" s="644">
        <f t="shared" si="266"/>
        <v>-15.452240693488505</v>
      </c>
      <c r="HV129" s="648">
        <f t="shared" si="267"/>
        <v>0</v>
      </c>
      <c r="HW129" s="648">
        <f t="shared" si="268"/>
        <v>0</v>
      </c>
      <c r="HX129" s="648">
        <f t="shared" si="269"/>
        <v>0</v>
      </c>
      <c r="HY129" s="644">
        <f>INDEX(Input!$1:$1048576,HY$93,$C129*2+6)*INDEX(Input!$1:$1048576,$JG$93,$C129*2+6)</f>
        <v>154.99999999999997</v>
      </c>
      <c r="HZ129" s="644">
        <f>INDEX(Input!$1:$1048576,HZ$93,$C129*2+6)*INDEX(Input!$1:$1048576,$JG$93,$C129*2+6)</f>
        <v>140</v>
      </c>
      <c r="IA129" s="644">
        <f>INDEX(Input!$1:$1048576,IA$93,$C129*2+6)*INDEX(Input!$1:$1048576,$JG$93,$C129*2+6)</f>
        <v>683</v>
      </c>
      <c r="IB129" s="644">
        <f t="shared" si="249"/>
        <v>196.17193102365616</v>
      </c>
      <c r="IC129" s="644">
        <f t="shared" si="172"/>
        <v>151.0026360969614</v>
      </c>
      <c r="ID129" s="644">
        <f>IF(AND(INDEX(Input!$1:$1048576,IA$93,$C129*2+7)="TOS",Y129&lt;=INDEX(Y:Y,MATCH(C129*1000+2,A:A))),0,1)*MAX(IA129+HR129+HU129+HX129,0%)</f>
        <v>592.80674892932689</v>
      </c>
      <c r="IE129" s="128">
        <f t="shared" si="270"/>
        <v>0.20869769183075215</v>
      </c>
      <c r="IF129" s="128">
        <f t="shared" si="174"/>
        <v>0.16064429528399063</v>
      </c>
      <c r="IG129" s="128">
        <f t="shared" si="175"/>
        <v>0.63065801288525725</v>
      </c>
      <c r="IH129" s="21"/>
      <c r="II129" s="19">
        <f t="shared" si="271"/>
        <v>1200</v>
      </c>
      <c r="IJ129" s="19">
        <f t="shared" si="272"/>
        <v>2231.5502763133163</v>
      </c>
      <c r="IK129" s="19">
        <f t="shared" si="273"/>
        <v>4498</v>
      </c>
      <c r="IL129" s="19">
        <f t="shared" si="176"/>
        <v>400</v>
      </c>
      <c r="IM129" s="19">
        <f t="shared" si="177"/>
        <v>400.00000000000091</v>
      </c>
      <c r="IN129" s="19">
        <f t="shared" si="178"/>
        <v>-395.00000000000091</v>
      </c>
      <c r="IO129" s="39">
        <f t="shared" si="274"/>
        <v>0</v>
      </c>
      <c r="IP129" s="39">
        <f t="shared" si="275"/>
        <v>0</v>
      </c>
      <c r="IQ129" s="39">
        <f t="shared" si="276"/>
        <v>0</v>
      </c>
      <c r="IR129" s="39">
        <v>0</v>
      </c>
      <c r="IS129" s="39">
        <v>0</v>
      </c>
      <c r="IT129" s="39">
        <v>0</v>
      </c>
      <c r="IU129" s="39">
        <v>0</v>
      </c>
      <c r="IV129" s="39">
        <v>0</v>
      </c>
      <c r="IW129" s="39">
        <v>0</v>
      </c>
      <c r="IX129" s="39">
        <f>INDEX(Input!$1:$1048576,IX$93,$C129*2+6)+INDEX(Input!$1:$1048576,IX$94,$C129*2+6)</f>
        <v>1600</v>
      </c>
      <c r="IY129" s="39">
        <f>INDEX(Input!$1:$1048576,IY$93,$C129*2+6)+INDEX(Input!$1:$1048576,IY$94,$C129*2+6)</f>
        <v>2503.5492916397525</v>
      </c>
      <c r="IZ129" s="39">
        <f>INDEX(Input!$1:$1048576,IZ$93,$C129*2+6)+INDEX(Input!$1:$1048576,IZ$94,$C129*2+6)</f>
        <v>6273.7109265464023</v>
      </c>
      <c r="JA129" s="19">
        <f t="shared" si="179"/>
        <v>2000</v>
      </c>
      <c r="JB129" s="19">
        <f t="shared" si="180"/>
        <v>2903.5492916397534</v>
      </c>
      <c r="JC129" s="19">
        <f t="shared" si="181"/>
        <v>5878.7109265464014</v>
      </c>
      <c r="JD129" s="19">
        <f t="shared" si="182"/>
        <v>4591.2901647019053</v>
      </c>
      <c r="JE129" s="21"/>
      <c r="JF129" s="1">
        <f t="shared" si="277"/>
        <v>7.6148954918618686E-2</v>
      </c>
      <c r="JG129" s="15">
        <f>INDEX(Input!$1:$1048576,JG$93,$C129*2+6)/(1+VLOOKUP(C129*1000+INDEX(Input!$1:$1048576,JG$93+1,$C129*2+6),$A:$KK,$JK$92,FALSE))</f>
        <v>978</v>
      </c>
      <c r="JH129" s="1">
        <f t="shared" si="251"/>
        <v>-3.1680909990377912E-2</v>
      </c>
      <c r="JI129" s="1">
        <f t="shared" si="252"/>
        <v>-7.1929999790040031E-3</v>
      </c>
      <c r="JJ129" s="1">
        <f t="shared" si="253"/>
        <v>0</v>
      </c>
      <c r="JK129" s="1">
        <f t="shared" si="254"/>
        <v>-3.8873909969381913E-2</v>
      </c>
      <c r="JL129" s="15">
        <f t="shared" si="184"/>
        <v>-38.018683950055511</v>
      </c>
      <c r="JM129" s="15">
        <f t="shared" si="185"/>
        <v>939.98131604994444</v>
      </c>
      <c r="JN129" s="21"/>
      <c r="JO129" s="19">
        <f>INDEX(Input!$1:$1048576,JO$93,$C129*2+6)</f>
        <v>5908.5</v>
      </c>
      <c r="JP129" s="19">
        <f>INDEX(Input!$1:$1048576,JP$93,$C129*2+6)</f>
        <v>4993.2939301234746</v>
      </c>
      <c r="JQ129" s="39">
        <f t="shared" si="186"/>
        <v>1317.2098352980947</v>
      </c>
      <c r="JR129" s="39">
        <f t="shared" si="187"/>
        <v>-402.00376542156937</v>
      </c>
      <c r="JS129" s="39">
        <f t="shared" si="188"/>
        <v>4.315726971383663</v>
      </c>
      <c r="JT129" s="39">
        <f t="shared" si="189"/>
        <v>-0.56771449227709514</v>
      </c>
      <c r="JU129" s="385">
        <f>(JQ129*JM129-INDEX(Input!$1:$1048576,Input!A$18,$C129*2+6)*JL129*INDEX(Input!$1:$1048576,Input!A$19,$C129*2+6))/1000000</f>
        <v>1.2381526344974336</v>
      </c>
      <c r="JV129" s="39">
        <f t="shared" si="192"/>
        <v>0.34308109815819188</v>
      </c>
      <c r="JW129" s="1">
        <f t="shared" si="190"/>
        <v>0.38330019917889607</v>
      </c>
      <c r="JX129" s="19">
        <f t="shared" si="191"/>
        <v>14932.512998684853</v>
      </c>
      <c r="JZ129" s="341"/>
      <c r="KA129" s="342"/>
      <c r="KB129" s="469">
        <f t="shared" si="110"/>
        <v>3.2656316020464753</v>
      </c>
      <c r="KI129" s="473">
        <f t="shared" si="278"/>
        <v>41.171931023656185</v>
      </c>
      <c r="KJ129" s="473">
        <f t="shared" si="279"/>
        <v>11.002636096961396</v>
      </c>
      <c r="KK129" s="473">
        <f t="shared" si="257"/>
        <v>-90.193251070673114</v>
      </c>
      <c r="KN129" s="544">
        <f t="shared" si="258"/>
        <v>1002</v>
      </c>
      <c r="KO129" s="541">
        <f t="shared" si="280"/>
        <v>-0.11164077241893255</v>
      </c>
      <c r="KP129" s="546">
        <f t="shared" si="281"/>
        <v>-454.07376927738494</v>
      </c>
      <c r="KQ129" s="546">
        <f t="shared" si="282"/>
        <v>-763.16373527353517</v>
      </c>
      <c r="KR129" s="548">
        <f t="shared" si="283"/>
        <v>3.5258360025153506</v>
      </c>
      <c r="KS129" s="548">
        <f t="shared" si="284"/>
        <v>2.0978324434431119</v>
      </c>
      <c r="KT129" s="473">
        <f t="shared" si="112"/>
        <v>-82.310573396665475</v>
      </c>
      <c r="KU129" s="663">
        <f t="shared" si="285"/>
        <v>-53.277065550941174</v>
      </c>
      <c r="KV129" s="117"/>
    </row>
    <row r="130" spans="1:308" s="26" customFormat="1" ht="15">
      <c r="A130" s="561">
        <f t="shared" si="168"/>
        <v>1030</v>
      </c>
      <c r="B130" s="561">
        <f t="shared" si="104"/>
        <v>30</v>
      </c>
      <c r="C130" s="561">
        <f t="shared" si="105"/>
        <v>1</v>
      </c>
      <c r="D130" s="561" t="str">
        <f t="shared" si="287"/>
        <v xml:space="preserve">1080 Lease, </v>
      </c>
      <c r="E130" s="475">
        <f>INDEX(Input!$1:$1048576,E$93,$C130*2+MIN($B130,2)+5)
+INDEX(Scenarios!E$121:E$200,MATCH($B130,Scenarios!$B$121:$B$200,0))</f>
        <v>1250</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1.9E-2</v>
      </c>
      <c r="W130" s="863">
        <f>IFERROR(MAX(0,INDEX(Input!$1:$1048576,W$93,$C130*2+MIN($B130,2)+5)-0%,),"Market")</f>
        <v>3.9E-2</v>
      </c>
      <c r="X130" s="476" t="str">
        <f>INDEX(Input!$1:$1048576,X$93,$C130*2+MIN($B130,2)+5)</f>
        <v>Y</v>
      </c>
      <c r="Y130" s="475">
        <f>INDEX(Input!$1:$1048576,Y$93,$C130*2+MIN($B130,2)+5)
++INDEX(Scenarios!Y$121:Y$200,MATCH($B130,Scenarios!$B$121:$B$200,0))</f>
        <v>3906</v>
      </c>
      <c r="Z130" s="477">
        <f>INDEX(Input!$1:$1048576,Z$93,$C130*2+MIN($B130,2)+5)
+INDEX(Scenarios!Z$121:Z$200,MATCH($B130,Scenarios!$B$121:$B$200,0))</f>
        <v>0</v>
      </c>
      <c r="AA130" s="475">
        <f>INDEX(Input!$1:$1048576,AA$93,$C130*2+MIN($B130,2)+5)</f>
        <v>0</v>
      </c>
      <c r="AB130" s="476">
        <f>INDEX(Input!$1:$1048576,AB$93,$C130*2+MIN($B130,2)+5)</f>
        <v>1</v>
      </c>
      <c r="AC130" s="475">
        <f>INDEX(Input!$1:$1048576,AC$93,$C130*2+MIN($B130,2)+5)
+INDEX(Scenarios!AC$121:AC$200,MATCH($B130,Scenarios!$B$121:$B$200,0))</f>
        <v>0</v>
      </c>
      <c r="AD130" s="476">
        <f>INDEX(Input!$1:$1048576,AD$93,$C130*2+MIN($B130,2)+5)</f>
        <v>0.35</v>
      </c>
      <c r="AE130" s="475">
        <f>INDEX(Input!$1:$1048576,AE$93,$C130*2+MIN($B130,2)+5)
+INDEX(Scenarios!AE$121:AE$200,MATCH($B130,Scenarios!$B$121:$B$200,0))</f>
        <v>0</v>
      </c>
      <c r="AF130" s="476">
        <f>INDEX(Input!$1:$1048576,AF$93,$C130*2+MIN($B130,2)+5)</f>
        <v>1</v>
      </c>
      <c r="AG130" s="475">
        <f>INDEX(Input!$1:$1048576,AG$93,$C130*2+MIN($B130,2)+5)
+INDEX(Scenarios!AG$121:AG$200,MATCH($B130,Scenarios!$B$121:$B$200,0))</f>
        <v>0</v>
      </c>
      <c r="AH130" s="476">
        <f>INDEX(Input!$1:$1048576,AH$93,$C130*2+MIN($B130,2)+5)</f>
        <v>1</v>
      </c>
      <c r="AI130" s="475">
        <f>INDEX(Input!$1:$1048576,AI$93,$C130*2+MIN($B130,2)+5)
+INDEX(Scenarios!AI$121:AI$200,MATCH($B130,Scenarios!$B$121:$B$200,0))</f>
        <v>0</v>
      </c>
      <c r="AJ130" s="476">
        <f>INDEX(Input!$1:$1048576,AJ$93,$C130*2+MIN($B130,2)+5)</f>
        <v>0.35</v>
      </c>
      <c r="AK130" s="150">
        <f>ROUND(INDEX(Input!$1:$1048576,AK$93,$C129*2+MIN($B130,1)+5)+(Y130-VLOOKUP($C130*1000+1,$A:$HH,Y$92,FALSE)),0)</f>
        <v>6562</v>
      </c>
      <c r="AL130" s="150">
        <f>ROUND(INDEX(Input!$1:$1048576,AL$93,$C129*2+MIN($B130,1)+5)-(Y130-VLOOKUP($C130*1000+1,$A:$HH,Y$92,FALSE))/36,0)</f>
        <v>5572</v>
      </c>
      <c r="AM130" s="32" t="str">
        <f t="shared" si="169"/>
        <v>std/std/std/std</v>
      </c>
      <c r="AN130" s="32" t="str">
        <f t="shared" si="170"/>
        <v>$0 + 0/0/0/1.9/3.9</v>
      </c>
      <c r="AO130" s="32" t="str">
        <f t="shared" si="171"/>
        <v>0/0/0/1.9/3.9</v>
      </c>
      <c r="AP130" s="32" t="str">
        <f t="shared" si="73"/>
        <v>0/0.9/1.9/3.9</v>
      </c>
      <c r="AQ130" s="536">
        <f t="shared" si="39"/>
        <v>9.3790974092128929E-2</v>
      </c>
      <c r="AR130" s="32"/>
      <c r="AS130" s="302"/>
      <c r="AT130" s="3">
        <f t="shared" si="106"/>
        <v>30</v>
      </c>
      <c r="AU130" s="41" t="s">
        <v>121</v>
      </c>
      <c r="AV130" s="41" t="s">
        <v>116</v>
      </c>
      <c r="AW130" s="41" t="str">
        <f>INDEX(Input!$1:$1048576,AW$93,$C130*2+6)</f>
        <v>Kia</v>
      </c>
      <c r="AX130" s="41" t="str">
        <f>INDEX(Input!$1:$1048576,AX$93,$C130*2+6)</f>
        <v>Kia-LR - L1</v>
      </c>
      <c r="AY130" s="41" t="str">
        <f>IF(LEN(D130)=0,"",INDEX(Input!$1:$1048576,AY$93,$C130*2+6))</f>
        <v>Compact Conventional/Sporty Car (43)</v>
      </c>
      <c r="AZ130" s="41" t="str">
        <f>INDEX(Input!$1:$1048576,AZ$93,$C130*2+6)</f>
        <v>Kia Forte</v>
      </c>
      <c r="BA130" s="3">
        <f>INDEX(Input!$1:$1048576,BA$93,$C130*2+6)</f>
        <v>2020</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19695</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4"/>
        <v>1250</v>
      </c>
      <c r="CJ130" s="16" t="str">
        <f>INDEX(Input!$1:$1048576,CJ$93,$C130*2+6)</f>
        <v>N</v>
      </c>
      <c r="CK130" s="1" t="str">
        <f t="shared" si="75"/>
        <v>Market</v>
      </c>
      <c r="CL130" s="1" t="str">
        <f t="shared" si="76"/>
        <v>Market</v>
      </c>
      <c r="CM130" s="1" t="str">
        <f t="shared" si="77"/>
        <v>Market</v>
      </c>
      <c r="CN130" s="1" t="str">
        <f t="shared" si="78"/>
        <v>Market</v>
      </c>
      <c r="CO130" s="1" t="str">
        <f t="shared" si="79"/>
        <v>Market</v>
      </c>
      <c r="CP130" s="304">
        <f t="shared" si="80"/>
        <v>0</v>
      </c>
      <c r="CQ130" s="1">
        <f t="shared" si="81"/>
        <v>0</v>
      </c>
      <c r="CR130" s="1">
        <f t="shared" si="82"/>
        <v>0</v>
      </c>
      <c r="CS130" s="1">
        <f t="shared" si="83"/>
        <v>0</v>
      </c>
      <c r="CT130" s="1">
        <f t="shared" si="84"/>
        <v>1.9E-2</v>
      </c>
      <c r="CU130" s="1">
        <f t="shared" si="85"/>
        <v>3.9E-2</v>
      </c>
      <c r="CV130" s="304">
        <f t="shared" si="86"/>
        <v>3906</v>
      </c>
      <c r="CW130" s="20" t="s">
        <v>122</v>
      </c>
      <c r="CX130" s="20" t="s">
        <v>122</v>
      </c>
      <c r="CY130" s="20" t="s">
        <v>122</v>
      </c>
      <c r="CZ130" s="20" t="s">
        <v>122</v>
      </c>
      <c r="DA130" s="20" t="s">
        <v>122</v>
      </c>
      <c r="DB130" s="503">
        <f t="shared" si="87"/>
        <v>0</v>
      </c>
      <c r="DC130" s="127">
        <v>0</v>
      </c>
      <c r="DD130" s="127">
        <v>0</v>
      </c>
      <c r="DE130" s="127">
        <v>0</v>
      </c>
      <c r="DF130" s="127">
        <v>0</v>
      </c>
      <c r="DG130" s="127">
        <v>0</v>
      </c>
      <c r="DH130" s="127">
        <v>0</v>
      </c>
      <c r="DI130" s="127">
        <v>0</v>
      </c>
      <c r="DJ130" s="127">
        <v>0</v>
      </c>
      <c r="DK130" s="127">
        <v>0</v>
      </c>
      <c r="DL130" s="127">
        <v>0</v>
      </c>
      <c r="DM130" s="304">
        <f>INDEX(Input!$1:$1048576,DM$93,$C130*2+6)</f>
        <v>20731.578947368424</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9.6030370619871776E-3</v>
      </c>
      <c r="DZ130" s="7">
        <v>0</v>
      </c>
      <c r="EA130" s="7">
        <v>0.15026131065903567</v>
      </c>
      <c r="EB130" s="7">
        <v>0</v>
      </c>
      <c r="EC130" s="7">
        <v>0</v>
      </c>
      <c r="ED130" s="7">
        <v>0</v>
      </c>
      <c r="EE130" s="7">
        <v>0</v>
      </c>
      <c r="EF130" s="7">
        <v>0</v>
      </c>
      <c r="EG130" s="7">
        <v>0</v>
      </c>
      <c r="EH130" s="7">
        <v>1.9867163211649871E-2</v>
      </c>
      <c r="EI130" s="7">
        <v>3.5734944822064241E-2</v>
      </c>
      <c r="EJ130" s="7">
        <v>0.28104141462213034</v>
      </c>
      <c r="EK130" s="7">
        <v>0.62010092925970728</v>
      </c>
      <c r="EL130" s="7">
        <v>4.3255548084448169E-2</v>
      </c>
      <c r="EM130" s="7">
        <v>9.488729950037059E-3</v>
      </c>
      <c r="EN130" s="7">
        <v>6.3205973290834633E-2</v>
      </c>
      <c r="EO130" s="7">
        <v>0.53769104029516479</v>
      </c>
      <c r="EP130" s="7">
        <v>0.31712534761151984</v>
      </c>
      <c r="EQ130" s="7">
        <v>4.7717444579080504E-2</v>
      </c>
      <c r="ER130" s="7">
        <v>3.4260194223400112E-2</v>
      </c>
      <c r="ES130" s="7">
        <v>0.83064692232894</v>
      </c>
      <c r="ET130" s="7">
        <v>0.84013565227897713</v>
      </c>
      <c r="EU130" s="6">
        <v>1600</v>
      </c>
      <c r="EV130" s="6">
        <v>0</v>
      </c>
      <c r="EW130" s="6">
        <v>1600</v>
      </c>
      <c r="EX130" s="6">
        <v>0</v>
      </c>
      <c r="EY130" s="6">
        <v>2631.5502763133163</v>
      </c>
      <c r="EZ130" s="6">
        <v>5902.9999999999991</v>
      </c>
      <c r="FA130" s="6">
        <v>0</v>
      </c>
      <c r="FB130" s="6">
        <v>0</v>
      </c>
      <c r="FC130" s="6">
        <v>0</v>
      </c>
      <c r="FD130" s="6">
        <v>0</v>
      </c>
      <c r="FE130" s="6">
        <v>0</v>
      </c>
      <c r="FF130" s="6">
        <v>0</v>
      </c>
      <c r="FG130" s="6">
        <v>0</v>
      </c>
      <c r="FH130" s="6">
        <v>1152.1208270377815</v>
      </c>
      <c r="FI130" s="6">
        <v>1531.4299904380618</v>
      </c>
      <c r="FJ130" s="6">
        <v>2070.7205842538224</v>
      </c>
      <c r="FK130" s="6">
        <v>1746.9903521590436</v>
      </c>
      <c r="FL130" s="6">
        <v>893.91433563489375</v>
      </c>
      <c r="FM130" s="6">
        <v>1781.5502763133165</v>
      </c>
      <c r="FN130" s="6">
        <v>0</v>
      </c>
      <c r="FO130" s="6">
        <v>0</v>
      </c>
      <c r="FP130" s="6">
        <v>0</v>
      </c>
      <c r="FQ130" s="6">
        <v>0</v>
      </c>
      <c r="FR130" s="6">
        <v>0</v>
      </c>
      <c r="FS130" s="6">
        <v>0</v>
      </c>
      <c r="FT130" s="7">
        <v>0.15986434772102284</v>
      </c>
      <c r="FU130" s="7">
        <v>9.488729950037059E-3</v>
      </c>
      <c r="FV130" s="7">
        <v>0.83064692232894</v>
      </c>
      <c r="FW130" s="6">
        <v>1600</v>
      </c>
      <c r="FX130" s="6">
        <v>2631.5502763133163</v>
      </c>
      <c r="FY130" s="6">
        <v>5902.9999999999991</v>
      </c>
      <c r="FZ130" s="6">
        <v>3077.4375890575293</v>
      </c>
      <c r="GA130" s="6">
        <v>5184.0618087832509</v>
      </c>
      <c r="GB130" s="6">
        <v>14510.938191216748</v>
      </c>
      <c r="GC130" s="7">
        <v>7.0901643973087014E-2</v>
      </c>
      <c r="GD130" s="7">
        <v>9.3749467992530602E-2</v>
      </c>
      <c r="GE130" s="7"/>
      <c r="GF130" s="7"/>
      <c r="GG130" s="7">
        <v>0.32224674547907817</v>
      </c>
      <c r="GH130" s="42">
        <v>3.0127108540681098</v>
      </c>
      <c r="GI130" s="6">
        <v>11721.363579182338</v>
      </c>
      <c r="GJ130" s="14">
        <v>0.51074630601039539</v>
      </c>
      <c r="GK130" s="14">
        <v>0.50829519786160959</v>
      </c>
      <c r="GL130" s="14">
        <v>0.48925369398960444</v>
      </c>
      <c r="GM130" s="14">
        <v>0.4917048021383903</v>
      </c>
      <c r="GO130" s="5">
        <v>338.16872463277008</v>
      </c>
      <c r="GP130" s="5">
        <v>307.64377699166363</v>
      </c>
      <c r="GQ130" s="5">
        <v>527.27910984145694</v>
      </c>
      <c r="GR130" s="5">
        <v>404.20319246551543</v>
      </c>
      <c r="GS130" s="5">
        <v>334.50205195691484</v>
      </c>
      <c r="GT130" s="5">
        <v>289.18266033348181</v>
      </c>
      <c r="GU130" s="5">
        <v>254.29573314828914</v>
      </c>
      <c r="GV130" s="39" t="s">
        <v>392</v>
      </c>
      <c r="GW130" s="5">
        <v>468.76388888888891</v>
      </c>
      <c r="GX130" s="5">
        <v>351.57291666666669</v>
      </c>
      <c r="GY130" s="5">
        <v>281.25833333333333</v>
      </c>
      <c r="GZ130" s="5">
        <v>248.18079879493993</v>
      </c>
      <c r="HA130" s="5">
        <v>229.8919505212948</v>
      </c>
      <c r="HB130" s="39">
        <v>264.76293361772161</v>
      </c>
      <c r="HC130" s="5">
        <v>24.859375000000011</v>
      </c>
      <c r="HD130" s="5">
        <v>60.055464181286524</v>
      </c>
      <c r="HE130" s="5">
        <v>73.809391869095805</v>
      </c>
      <c r="HF130" s="5">
        <v>81.196299342105263</v>
      </c>
      <c r="HG130" s="5">
        <v>94.434100877192989</v>
      </c>
      <c r="HH130" s="39">
        <v>64.379185608051827</v>
      </c>
      <c r="HI130" s="16"/>
      <c r="HJ130" s="19" t="str">
        <f t="shared" ref="HJ130" si="297">HJ129</f>
        <v>On</v>
      </c>
      <c r="HK130" s="1" t="str">
        <f t="shared" si="108"/>
        <v>On</v>
      </c>
      <c r="HL130" s="16"/>
      <c r="HM130" s="639">
        <f t="shared" si="261"/>
        <v>1.7699001661282989E-2</v>
      </c>
      <c r="HN130" s="639">
        <f t="shared" si="262"/>
        <v>1.0509929974846072E-3</v>
      </c>
      <c r="HO130" s="639">
        <f t="shared" si="263"/>
        <v>5.7398960259851091E-2</v>
      </c>
      <c r="HP130" s="644">
        <f>(FT130*$GD130-HM130)/$JF130*INDEX(Input!$1:$1048576,$JG$93,$C130*2+6)</f>
        <v>-34.828375830585507</v>
      </c>
      <c r="HQ130" s="644">
        <f>(FU130*$GD130-HN130)/$JF130*INDEX(Input!$1:$1048576,$JG$93,$C130*2+6)</f>
        <v>-2.0732807355295066</v>
      </c>
      <c r="HR130" s="644">
        <f>(FV130*$GD130-HO130)/$JF130*INDEX(Input!$1:$1048576,$JG$93,$C130*2+6)</f>
        <v>262.9494310192498</v>
      </c>
      <c r="HS130" s="644">
        <f t="shared" si="264"/>
        <v>-0.13917966391394995</v>
      </c>
      <c r="HT130" s="644">
        <f t="shared" si="265"/>
        <v>8.5566663779365122</v>
      </c>
      <c r="HU130" s="644">
        <f t="shared" si="266"/>
        <v>67.32147382927225</v>
      </c>
      <c r="HV130" s="648">
        <f t="shared" si="267"/>
        <v>0</v>
      </c>
      <c r="HW130" s="648">
        <f t="shared" si="268"/>
        <v>0</v>
      </c>
      <c r="HX130" s="648">
        <f t="shared" si="269"/>
        <v>0</v>
      </c>
      <c r="HY130" s="644">
        <f>INDEX(Input!$1:$1048576,HY$93,$C130*2+6)*INDEX(Input!$1:$1048576,$JG$93,$C130*2+6)</f>
        <v>154.99999999999997</v>
      </c>
      <c r="HZ130" s="644">
        <f>INDEX(Input!$1:$1048576,HZ$93,$C130*2+6)*INDEX(Input!$1:$1048576,$JG$93,$C130*2+6)</f>
        <v>140</v>
      </c>
      <c r="IA130" s="644">
        <f>INDEX(Input!$1:$1048576,IA$93,$C130*2+6)*INDEX(Input!$1:$1048576,$JG$93,$C130*2+6)</f>
        <v>683</v>
      </c>
      <c r="IB130" s="644">
        <f t="shared" si="249"/>
        <v>120.03244450550039</v>
      </c>
      <c r="IC130" s="644">
        <f t="shared" si="172"/>
        <v>146.48338564240703</v>
      </c>
      <c r="ID130" s="644">
        <f>IF(AND(INDEX(Input!$1:$1048576,IA$93,$C130*2+7)="TOS",Y130&lt;=INDEX(Y:Y,MATCH(C130*1000+2,A:A))),0,1)*MAX(IA130+HR130+HU130+HX130,0%)</f>
        <v>1013.270904848522</v>
      </c>
      <c r="IE130" s="128">
        <f t="shared" si="270"/>
        <v>9.3790974092128929E-2</v>
      </c>
      <c r="IF130" s="128">
        <f t="shared" si="174"/>
        <v>0.11445921545890668</v>
      </c>
      <c r="IG130" s="128">
        <f t="shared" si="175"/>
        <v>0.79174981044896442</v>
      </c>
      <c r="IH130" s="21"/>
      <c r="II130" s="19">
        <f t="shared" si="271"/>
        <v>1200</v>
      </c>
      <c r="IJ130" s="19">
        <f t="shared" si="272"/>
        <v>2231.5502763133163</v>
      </c>
      <c r="IK130" s="19">
        <f t="shared" si="273"/>
        <v>4498</v>
      </c>
      <c r="IL130" s="19">
        <f t="shared" si="176"/>
        <v>400</v>
      </c>
      <c r="IM130" s="19">
        <f t="shared" si="177"/>
        <v>400</v>
      </c>
      <c r="IN130" s="19">
        <f t="shared" si="178"/>
        <v>1404.9999999999991</v>
      </c>
      <c r="IO130" s="39">
        <f t="shared" si="274"/>
        <v>0</v>
      </c>
      <c r="IP130" s="39">
        <f t="shared" si="275"/>
        <v>0</v>
      </c>
      <c r="IQ130" s="39">
        <f t="shared" si="276"/>
        <v>0</v>
      </c>
      <c r="IR130" s="39">
        <v>0</v>
      </c>
      <c r="IS130" s="39">
        <v>0</v>
      </c>
      <c r="IT130" s="39">
        <v>0</v>
      </c>
      <c r="IU130" s="39">
        <v>0</v>
      </c>
      <c r="IV130" s="39">
        <v>0</v>
      </c>
      <c r="IW130" s="39">
        <v>0</v>
      </c>
      <c r="IX130" s="39">
        <f>INDEX(Input!$1:$1048576,IX$93,$C130*2+6)+INDEX(Input!$1:$1048576,IX$94,$C130*2+6)</f>
        <v>1600</v>
      </c>
      <c r="IY130" s="39">
        <f>INDEX(Input!$1:$1048576,IY$93,$C130*2+6)+INDEX(Input!$1:$1048576,IY$94,$C130*2+6)</f>
        <v>2503.5492916397525</v>
      </c>
      <c r="IZ130" s="39">
        <f>INDEX(Input!$1:$1048576,IZ$93,$C130*2+6)+INDEX(Input!$1:$1048576,IZ$94,$C130*2+6)</f>
        <v>6273.7109265464023</v>
      </c>
      <c r="JA130" s="19">
        <f t="shared" si="179"/>
        <v>2000</v>
      </c>
      <c r="JB130" s="19">
        <f t="shared" si="180"/>
        <v>2903.5492916397525</v>
      </c>
      <c r="JC130" s="19">
        <f t="shared" si="181"/>
        <v>7678.7109265464014</v>
      </c>
      <c r="JD130" s="19">
        <f t="shared" si="182"/>
        <v>6599.5378427371134</v>
      </c>
      <c r="JE130" s="21"/>
      <c r="JF130" s="1">
        <f t="shared" si="277"/>
        <v>7.6148954918618686E-2</v>
      </c>
      <c r="JG130" s="15">
        <f>INDEX(Input!$1:$1048576,JG$93,$C130*2+6)/(1+VLOOKUP(C130*1000+INDEX(Input!$1:$1048576,JG$93+1,$C130*2+6),$A:$KK,$JK$92,FALSE))</f>
        <v>978</v>
      </c>
      <c r="JH130" s="1">
        <f t="shared" si="251"/>
        <v>0.23113269371486175</v>
      </c>
      <c r="JI130" s="1">
        <f t="shared" si="252"/>
        <v>7.744269994201923E-2</v>
      </c>
      <c r="JJ130" s="1">
        <f t="shared" si="253"/>
        <v>0</v>
      </c>
      <c r="JK130" s="1">
        <f t="shared" si="254"/>
        <v>0.30857539365688097</v>
      </c>
      <c r="JL130" s="15">
        <f t="shared" si="184"/>
        <v>301.78673499642957</v>
      </c>
      <c r="JM130" s="15">
        <f t="shared" si="185"/>
        <v>1279.7867349964295</v>
      </c>
      <c r="JN130" s="21"/>
      <c r="JO130" s="19">
        <f>INDEX(Input!$1:$1048576,JO$93,$C130*2+6)</f>
        <v>5908.5</v>
      </c>
      <c r="JP130" s="19">
        <f>INDEX(Input!$1:$1048576,JP$93,$C130*2+6)</f>
        <v>4993.2939301234746</v>
      </c>
      <c r="JQ130" s="39">
        <f t="shared" si="186"/>
        <v>-691.03784273711335</v>
      </c>
      <c r="JR130" s="39">
        <f t="shared" si="187"/>
        <v>1606.2439126136387</v>
      </c>
      <c r="JS130" s="39">
        <f t="shared" si="188"/>
        <v>8.4460009882419094</v>
      </c>
      <c r="JT130" s="39">
        <f t="shared" si="189"/>
        <v>3.5625595245811512</v>
      </c>
      <c r="JU130" s="385">
        <f>(JQ130*JM130-INDEX(Input!$1:$1048576,Input!A$18,$C130*2+6)*JL130*INDEX(Input!$1:$1048576,Input!A$19,$C130*2+6))/1000000</f>
        <v>-0.88438106451550635</v>
      </c>
      <c r="JV130" s="39">
        <f t="shared" si="192"/>
        <v>-1.7794526008547482</v>
      </c>
      <c r="JW130" s="1">
        <f t="shared" si="190"/>
        <v>-1.9880562933914103</v>
      </c>
      <c r="JX130" s="19">
        <f t="shared" si="191"/>
        <v>11804.891042090698</v>
      </c>
      <c r="JZ130" s="341"/>
      <c r="KA130" s="342"/>
      <c r="KB130" s="469">
        <f t="shared" si="110"/>
        <v>3.2656316020464753</v>
      </c>
      <c r="KI130" s="473">
        <f t="shared" si="278"/>
        <v>-34.967555494499592</v>
      </c>
      <c r="KJ130" s="473">
        <f t="shared" si="279"/>
        <v>6.4833856424070291</v>
      </c>
      <c r="KK130" s="473">
        <f t="shared" si="257"/>
        <v>330.27090484852204</v>
      </c>
      <c r="KN130" s="544">
        <f t="shared" si="258"/>
        <v>1002</v>
      </c>
      <c r="KO130" s="541">
        <f t="shared" si="280"/>
        <v>0.20950314219811195</v>
      </c>
      <c r="KP130" s="546">
        <f t="shared" si="281"/>
        <v>855.08979528488169</v>
      </c>
      <c r="KQ130" s="546">
        <f t="shared" si="282"/>
        <v>1245.0839427616729</v>
      </c>
      <c r="KR130" s="548">
        <f t="shared" si="283"/>
        <v>3.5135368067292663</v>
      </c>
      <c r="KS130" s="548">
        <f t="shared" si="284"/>
        <v>2.4130015379751053</v>
      </c>
      <c r="KT130" s="473">
        <f t="shared" si="112"/>
        <v>-82.310573396665475</v>
      </c>
      <c r="KU130" s="663">
        <f t="shared" si="285"/>
        <v>-49.384959896979879</v>
      </c>
      <c r="KV130" s="117"/>
    </row>
    <row r="131" spans="1:308" s="26" customFormat="1" ht="15">
      <c r="A131" s="561">
        <f t="shared" si="168"/>
        <v>1031</v>
      </c>
      <c r="B131" s="561">
        <f t="shared" si="104"/>
        <v>31</v>
      </c>
      <c r="C131" s="561">
        <f t="shared" si="105"/>
        <v>1</v>
      </c>
      <c r="D131" s="561" t="str">
        <f t="shared" si="287"/>
        <v xml:space="preserve">250 CC, 250 Combo, </v>
      </c>
      <c r="E131" s="475">
        <f>INDEX(Input!$1:$1048576,E$93,$C131*2+MIN($B131,2)+5)
+INDEX(Scenarios!E$121:E$200,MATCH($B131,Scenarios!$B$121:$B$200,0))</f>
        <v>1500</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1.9E-2</v>
      </c>
      <c r="W131" s="863">
        <f>IFERROR(MAX(0,INDEX(Input!$1:$1048576,W$93,$C131*2+MIN($B131,2)+5)-0%,),"Market")</f>
        <v>3.9E-2</v>
      </c>
      <c r="X131" s="476" t="str">
        <f>INDEX(Input!$1:$1048576,X$93,$C131*2+MIN($B131,2)+5)</f>
        <v>Y</v>
      </c>
      <c r="Y131" s="475">
        <f>INDEX(Input!$1:$1048576,Y$93,$C131*2+MIN($B131,2)+5)
++INDEX(Scenarios!Y$121:Y$200,MATCH($B131,Scenarios!$B$121:$B$200,0))</f>
        <v>2826</v>
      </c>
      <c r="Z131" s="477">
        <f>INDEX(Input!$1:$1048576,Z$93,$C131*2+MIN($B131,2)+5)
+INDEX(Scenarios!Z$121:Z$200,MATCH($B131,Scenarios!$B$121:$B$200,0))</f>
        <v>0</v>
      </c>
      <c r="AA131" s="475">
        <f>INDEX(Input!$1:$1048576,AA$93,$C131*2+MIN($B131,2)+5)</f>
        <v>0</v>
      </c>
      <c r="AB131" s="476">
        <f>INDEX(Input!$1:$1048576,AB$93,$C131*2+MIN($B131,2)+5)</f>
        <v>1</v>
      </c>
      <c r="AC131" s="475">
        <f>INDEX(Input!$1:$1048576,AC$93,$C131*2+MIN($B131,2)+5)
+INDEX(Scenarios!AC$121:AC$200,MATCH($B131,Scenarios!$B$121:$B$200,0))</f>
        <v>0</v>
      </c>
      <c r="AD131" s="476">
        <f>INDEX(Input!$1:$1048576,AD$93,$C131*2+MIN($B131,2)+5)</f>
        <v>0.35</v>
      </c>
      <c r="AE131" s="475">
        <f>INDEX(Input!$1:$1048576,AE$93,$C131*2+MIN($B131,2)+5)
+INDEX(Scenarios!AE$121:AE$200,MATCH($B131,Scenarios!$B$121:$B$200,0))</f>
        <v>0</v>
      </c>
      <c r="AF131" s="476">
        <f>INDEX(Input!$1:$1048576,AF$93,$C131*2+MIN($B131,2)+5)</f>
        <v>1</v>
      </c>
      <c r="AG131" s="475">
        <f>INDEX(Input!$1:$1048576,AG$93,$C131*2+MIN($B131,2)+5)
+INDEX(Scenarios!AG$121:AG$200,MATCH($B131,Scenarios!$B$121:$B$200,0))</f>
        <v>0</v>
      </c>
      <c r="AH131" s="476">
        <f>INDEX(Input!$1:$1048576,AH$93,$C131*2+MIN($B131,2)+5)</f>
        <v>1</v>
      </c>
      <c r="AI131" s="475">
        <f>INDEX(Input!$1:$1048576,AI$93,$C131*2+MIN($B131,2)+5)
+INDEX(Scenarios!AI$121:AI$200,MATCH($B131,Scenarios!$B$121:$B$200,0))</f>
        <v>0</v>
      </c>
      <c r="AJ131" s="476">
        <f>INDEX(Input!$1:$1048576,AJ$93,$C131*2+MIN($B131,2)+5)</f>
        <v>0.35</v>
      </c>
      <c r="AK131" s="150">
        <f>ROUND(INDEX(Input!$1:$1048576,AK$93,$C130*2+MIN($B131,1)+5)+(Y131-VLOOKUP($C131*1000+1,$A:$HH,Y$92,FALSE)),0)</f>
        <v>5482</v>
      </c>
      <c r="AL131" s="150">
        <f>ROUND(INDEX(Input!$1:$1048576,AL$93,$C130*2+MIN($B131,1)+5)-(Y131-VLOOKUP($C131*1000+1,$A:$HH,Y$92,FALSE))/36,0)</f>
        <v>5602</v>
      </c>
      <c r="AM131" s="32" t="str">
        <f t="shared" si="169"/>
        <v>std/std/std/std</v>
      </c>
      <c r="AN131" s="32" t="str">
        <f t="shared" si="170"/>
        <v>$250 + 0/0/0/1.9/3.9</v>
      </c>
      <c r="AO131" s="32" t="str">
        <f t="shared" si="171"/>
        <v>0/0/0/1.9/3.9</v>
      </c>
      <c r="AP131" s="32" t="str">
        <f t="shared" si="73"/>
        <v>0/0.9/1.9/3.9</v>
      </c>
      <c r="AQ131" s="536">
        <f t="shared" si="39"/>
        <v>0.17001306271430749</v>
      </c>
      <c r="AR131" s="32"/>
      <c r="AS131" s="302"/>
      <c r="AT131" s="3">
        <f t="shared" si="106"/>
        <v>31</v>
      </c>
      <c r="AU131" s="41" t="s">
        <v>121</v>
      </c>
      <c r="AV131" s="41" t="s">
        <v>116</v>
      </c>
      <c r="AW131" s="41" t="str">
        <f>INDEX(Input!$1:$1048576,AW$93,$C131*2+6)</f>
        <v>Kia</v>
      </c>
      <c r="AX131" s="41" t="str">
        <f>INDEX(Input!$1:$1048576,AX$93,$C131*2+6)</f>
        <v>Kia-LR - L1</v>
      </c>
      <c r="AY131" s="41" t="str">
        <f>IF(LEN(D131)=0,"",INDEX(Input!$1:$1048576,AY$93,$C131*2+6))</f>
        <v>Compact Conventional/Sporty Car (43)</v>
      </c>
      <c r="AZ131" s="41" t="str">
        <f>INDEX(Input!$1:$1048576,AZ$93,$C131*2+6)</f>
        <v>Kia Forte</v>
      </c>
      <c r="BA131" s="3">
        <f>INDEX(Input!$1:$1048576,BA$93,$C131*2+6)</f>
        <v>2020</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19695</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4"/>
        <v>1500</v>
      </c>
      <c r="CJ131" s="16" t="str">
        <f>INDEX(Input!$1:$1048576,CJ$93,$C131*2+6)</f>
        <v>N</v>
      </c>
      <c r="CK131" s="1" t="str">
        <f t="shared" si="75"/>
        <v>Market</v>
      </c>
      <c r="CL131" s="1" t="str">
        <f t="shared" si="76"/>
        <v>Market</v>
      </c>
      <c r="CM131" s="1" t="str">
        <f t="shared" si="77"/>
        <v>Market</v>
      </c>
      <c r="CN131" s="1" t="str">
        <f t="shared" si="78"/>
        <v>Market</v>
      </c>
      <c r="CO131" s="1" t="str">
        <f t="shared" si="79"/>
        <v>Market</v>
      </c>
      <c r="CP131" s="304">
        <f t="shared" si="80"/>
        <v>250</v>
      </c>
      <c r="CQ131" s="1">
        <f t="shared" si="81"/>
        <v>0</v>
      </c>
      <c r="CR131" s="1">
        <f t="shared" si="82"/>
        <v>0</v>
      </c>
      <c r="CS131" s="1">
        <f t="shared" si="83"/>
        <v>0</v>
      </c>
      <c r="CT131" s="1">
        <f t="shared" si="84"/>
        <v>1.9E-2</v>
      </c>
      <c r="CU131" s="1">
        <f t="shared" si="85"/>
        <v>3.9E-2</v>
      </c>
      <c r="CV131" s="304">
        <f t="shared" si="86"/>
        <v>2826</v>
      </c>
      <c r="CW131" s="20" t="s">
        <v>122</v>
      </c>
      <c r="CX131" s="20" t="s">
        <v>122</v>
      </c>
      <c r="CY131" s="20" t="s">
        <v>122</v>
      </c>
      <c r="CZ131" s="20" t="s">
        <v>122</v>
      </c>
      <c r="DA131" s="20" t="s">
        <v>122</v>
      </c>
      <c r="DB131" s="503">
        <f t="shared" si="87"/>
        <v>0</v>
      </c>
      <c r="DC131" s="127">
        <v>0</v>
      </c>
      <c r="DD131" s="127">
        <v>0</v>
      </c>
      <c r="DE131" s="127">
        <v>0</v>
      </c>
      <c r="DF131" s="127">
        <v>0</v>
      </c>
      <c r="DG131" s="127">
        <v>0</v>
      </c>
      <c r="DH131" s="127">
        <v>0</v>
      </c>
      <c r="DI131" s="127">
        <v>0</v>
      </c>
      <c r="DJ131" s="127">
        <v>0</v>
      </c>
      <c r="DK131" s="127">
        <v>0</v>
      </c>
      <c r="DL131" s="127">
        <v>0</v>
      </c>
      <c r="DM131" s="304">
        <f>INDEX(Input!$1:$1048576,DM$93,$C131*2+6)</f>
        <v>20731.578947368424</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1.4789571968405399E-2</v>
      </c>
      <c r="DZ131" s="7">
        <v>0</v>
      </c>
      <c r="EA131" s="7">
        <v>0.23033634251332943</v>
      </c>
      <c r="EB131" s="7">
        <v>0</v>
      </c>
      <c r="EC131" s="7">
        <v>0</v>
      </c>
      <c r="ED131" s="7">
        <v>0</v>
      </c>
      <c r="EE131" s="7">
        <v>0</v>
      </c>
      <c r="EF131" s="7">
        <v>0</v>
      </c>
      <c r="EG131" s="7">
        <v>0</v>
      </c>
      <c r="EH131" s="7">
        <v>1.9867163211649878E-2</v>
      </c>
      <c r="EI131" s="7">
        <v>3.5734944822064241E-2</v>
      </c>
      <c r="EJ131" s="7">
        <v>0.28104141462213034</v>
      </c>
      <c r="EK131" s="7">
        <v>0.6201009292597075</v>
      </c>
      <c r="EL131" s="7">
        <v>4.3255548084448162E-2</v>
      </c>
      <c r="EM131" s="7">
        <v>1.4545323358370606E-2</v>
      </c>
      <c r="EN131" s="7">
        <v>5.668659417593376E-2</v>
      </c>
      <c r="EO131" s="7">
        <v>0.54216995014193592</v>
      </c>
      <c r="EP131" s="7">
        <v>0.3117315538121922</v>
      </c>
      <c r="EQ131" s="7">
        <v>5.1954312326603476E-2</v>
      </c>
      <c r="ER131" s="7">
        <v>3.7457589543334738E-2</v>
      </c>
      <c r="ES131" s="7">
        <v>0.74032876215989452</v>
      </c>
      <c r="ET131" s="7">
        <v>0.75487408551826518</v>
      </c>
      <c r="EU131" s="6">
        <v>1850</v>
      </c>
      <c r="EV131" s="6">
        <v>0</v>
      </c>
      <c r="EW131" s="6">
        <v>1850</v>
      </c>
      <c r="EX131" s="6">
        <v>0</v>
      </c>
      <c r="EY131" s="6">
        <v>2881.5502763133168</v>
      </c>
      <c r="EZ131" s="6">
        <v>4822.9999999999991</v>
      </c>
      <c r="FA131" s="6">
        <v>0</v>
      </c>
      <c r="FB131" s="6">
        <v>0</v>
      </c>
      <c r="FC131" s="6">
        <v>0</v>
      </c>
      <c r="FD131" s="6">
        <v>0</v>
      </c>
      <c r="FE131" s="6">
        <v>0</v>
      </c>
      <c r="FF131" s="6">
        <v>0</v>
      </c>
      <c r="FG131" s="6">
        <v>0</v>
      </c>
      <c r="FH131" s="6">
        <v>1152.1208270377815</v>
      </c>
      <c r="FI131" s="6">
        <v>1531.4299904380623</v>
      </c>
      <c r="FJ131" s="6">
        <v>2070.7205842538224</v>
      </c>
      <c r="FK131" s="6">
        <v>1746.9903521590434</v>
      </c>
      <c r="FL131" s="6">
        <v>893.91433563489386</v>
      </c>
      <c r="FM131" s="6">
        <v>1781.5502763133168</v>
      </c>
      <c r="FN131" s="6">
        <v>0</v>
      </c>
      <c r="FO131" s="6">
        <v>0</v>
      </c>
      <c r="FP131" s="6">
        <v>0</v>
      </c>
      <c r="FQ131" s="6">
        <v>0</v>
      </c>
      <c r="FR131" s="6">
        <v>0</v>
      </c>
      <c r="FS131" s="6">
        <v>0</v>
      </c>
      <c r="FT131" s="7">
        <v>0.24512591448173482</v>
      </c>
      <c r="FU131" s="7">
        <v>1.4545323358370606E-2</v>
      </c>
      <c r="FV131" s="7">
        <v>0.74032876215989452</v>
      </c>
      <c r="FW131" s="6">
        <v>1850</v>
      </c>
      <c r="FX131" s="6">
        <v>2881.5502763133168</v>
      </c>
      <c r="FY131" s="6">
        <v>4822.9999999999991</v>
      </c>
      <c r="FZ131" s="6">
        <v>3077.4375890575293</v>
      </c>
      <c r="GA131" s="6">
        <v>4066.0016422307594</v>
      </c>
      <c r="GB131" s="6">
        <v>15628.99835776924</v>
      </c>
      <c r="GC131" s="7">
        <v>7.0901643973087014E-2</v>
      </c>
      <c r="GD131" s="7">
        <v>8.1014884708599952E-2</v>
      </c>
      <c r="GE131" s="7"/>
      <c r="GF131" s="7"/>
      <c r="GG131" s="7">
        <v>0.14263760568586734</v>
      </c>
      <c r="GH131" s="42">
        <v>2.8417456966654249</v>
      </c>
      <c r="GI131" s="6">
        <v>10996.600683204269</v>
      </c>
      <c r="GJ131" s="14">
        <v>0.5107463060103955</v>
      </c>
      <c r="GK131" s="14">
        <v>0.50829519786160993</v>
      </c>
      <c r="GL131" s="14">
        <v>0.48925369398960444</v>
      </c>
      <c r="GM131" s="14">
        <v>0.49170480213839035</v>
      </c>
      <c r="GO131" s="5">
        <v>338.16872463277008</v>
      </c>
      <c r="GP131" s="5">
        <v>302.87425392274076</v>
      </c>
      <c r="GQ131" s="5">
        <v>527.27910984145694</v>
      </c>
      <c r="GR131" s="5">
        <v>404.20319246551543</v>
      </c>
      <c r="GS131" s="5">
        <v>334.50205195691484</v>
      </c>
      <c r="GT131" s="5">
        <v>289.18266033348181</v>
      </c>
      <c r="GU131" s="5">
        <v>254.29573314828914</v>
      </c>
      <c r="GV131" s="39" t="s">
        <v>392</v>
      </c>
      <c r="GW131" s="5">
        <v>461.81944444444446</v>
      </c>
      <c r="GX131" s="5">
        <v>346.36458333333331</v>
      </c>
      <c r="GY131" s="5">
        <v>277.09166666666664</v>
      </c>
      <c r="GZ131" s="5">
        <v>244.50415515778934</v>
      </c>
      <c r="HA131" s="5">
        <v>226.48624475670567</v>
      </c>
      <c r="HB131" s="39">
        <v>260.84063600257366</v>
      </c>
      <c r="HC131" s="5">
        <v>72.109375000000014</v>
      </c>
      <c r="HD131" s="5">
        <v>92.305464181286524</v>
      </c>
      <c r="HE131" s="5">
        <v>103.7516995614035</v>
      </c>
      <c r="HF131" s="5">
        <v>106.17129934210527</v>
      </c>
      <c r="HG131" s="5">
        <v>115.13410087719299</v>
      </c>
      <c r="HH131" s="39">
        <v>96.304265044073475</v>
      </c>
      <c r="HI131" s="16"/>
      <c r="HJ131" s="19" t="str">
        <f t="shared" ref="HJ131" si="298">HJ130</f>
        <v>On</v>
      </c>
      <c r="HK131" s="1" t="str">
        <f t="shared" si="108"/>
        <v>On</v>
      </c>
      <c r="HL131" s="16"/>
      <c r="HM131" s="639">
        <f t="shared" si="261"/>
        <v>1.7699001661282989E-2</v>
      </c>
      <c r="HN131" s="639">
        <f t="shared" si="262"/>
        <v>1.0509929974846072E-3</v>
      </c>
      <c r="HO131" s="639">
        <f t="shared" si="263"/>
        <v>5.7398960259851091E-2</v>
      </c>
      <c r="HP131" s="644">
        <f>(FT131*$GD131-HM131)/$JF131*INDEX(Input!$1:$1048576,$JG$93,$C131*2+6)</f>
        <v>27.73944079642817</v>
      </c>
      <c r="HQ131" s="644">
        <f>(FU131*$GD131-HN131)/$JF131*INDEX(Input!$1:$1048576,$JG$93,$C131*2+6)</f>
        <v>1.6361618387606018</v>
      </c>
      <c r="HR131" s="644">
        <f>(FV131*$GD131-HO131)/$JF131*INDEX(Input!$1:$1048576,$JG$93,$C131*2+6)</f>
        <v>33.118745969956819</v>
      </c>
      <c r="HS131" s="644">
        <f t="shared" si="264"/>
        <v>-0.22616695386016883</v>
      </c>
      <c r="HT131" s="644">
        <f t="shared" si="265"/>
        <v>13.904582864146848</v>
      </c>
      <c r="HU131" s="644">
        <f t="shared" si="266"/>
        <v>19.352239555966928</v>
      </c>
      <c r="HV131" s="648">
        <f t="shared" si="267"/>
        <v>0</v>
      </c>
      <c r="HW131" s="648">
        <f t="shared" si="268"/>
        <v>0</v>
      </c>
      <c r="HX131" s="648">
        <f t="shared" si="269"/>
        <v>0</v>
      </c>
      <c r="HY131" s="644">
        <f>INDEX(Input!$1:$1048576,HY$93,$C131*2+6)*INDEX(Input!$1:$1048576,$JG$93,$C131*2+6)</f>
        <v>154.99999999999997</v>
      </c>
      <c r="HZ131" s="644">
        <f>INDEX(Input!$1:$1048576,HZ$93,$C131*2+6)*INDEX(Input!$1:$1048576,$JG$93,$C131*2+6)</f>
        <v>140</v>
      </c>
      <c r="IA131" s="644">
        <f>INDEX(Input!$1:$1048576,IA$93,$C131*2+6)*INDEX(Input!$1:$1048576,$JG$93,$C131*2+6)</f>
        <v>683</v>
      </c>
      <c r="IB131" s="644">
        <f t="shared" si="249"/>
        <v>182.51327384256797</v>
      </c>
      <c r="IC131" s="644">
        <f t="shared" si="172"/>
        <v>155.54074470290746</v>
      </c>
      <c r="ID131" s="644">
        <f>IF(AND(INDEX(Input!$1:$1048576,IA$93,$C131*2+7)="TOS",Y131&lt;=INDEX(Y:Y,MATCH(C131*1000+2,A:A))),0,1)*MAX(IA131+HR131+HU131+HX131,0%)</f>
        <v>735.47098552592365</v>
      </c>
      <c r="IE131" s="128">
        <f t="shared" si="270"/>
        <v>0.17001306271430749</v>
      </c>
      <c r="IF131" s="128">
        <f t="shared" si="174"/>
        <v>0.14488786391841005</v>
      </c>
      <c r="IG131" s="128">
        <f t="shared" si="175"/>
        <v>0.68509907336728249</v>
      </c>
      <c r="IH131" s="21"/>
      <c r="II131" s="19">
        <f t="shared" si="271"/>
        <v>1200</v>
      </c>
      <c r="IJ131" s="19">
        <f t="shared" si="272"/>
        <v>2231.5502763133163</v>
      </c>
      <c r="IK131" s="19">
        <f t="shared" si="273"/>
        <v>4498</v>
      </c>
      <c r="IL131" s="19">
        <f t="shared" si="176"/>
        <v>650</v>
      </c>
      <c r="IM131" s="19">
        <f t="shared" si="177"/>
        <v>650.00000000000045</v>
      </c>
      <c r="IN131" s="19">
        <f t="shared" si="178"/>
        <v>324.99999999999909</v>
      </c>
      <c r="IO131" s="39">
        <f t="shared" si="274"/>
        <v>0</v>
      </c>
      <c r="IP131" s="39">
        <f t="shared" si="275"/>
        <v>0</v>
      </c>
      <c r="IQ131" s="39">
        <f t="shared" si="276"/>
        <v>0</v>
      </c>
      <c r="IR131" s="39">
        <v>0</v>
      </c>
      <c r="IS131" s="39">
        <v>0</v>
      </c>
      <c r="IT131" s="39">
        <v>0</v>
      </c>
      <c r="IU131" s="39">
        <v>0</v>
      </c>
      <c r="IV131" s="39">
        <v>0</v>
      </c>
      <c r="IW131" s="39">
        <v>0</v>
      </c>
      <c r="IX131" s="39">
        <f>INDEX(Input!$1:$1048576,IX$93,$C131*2+6)+INDEX(Input!$1:$1048576,IX$94,$C131*2+6)</f>
        <v>1600</v>
      </c>
      <c r="IY131" s="39">
        <f>INDEX(Input!$1:$1048576,IY$93,$C131*2+6)+INDEX(Input!$1:$1048576,IY$94,$C131*2+6)</f>
        <v>2503.5492916397525</v>
      </c>
      <c r="IZ131" s="39">
        <f>INDEX(Input!$1:$1048576,IZ$93,$C131*2+6)+INDEX(Input!$1:$1048576,IZ$94,$C131*2+6)</f>
        <v>6273.7109265464023</v>
      </c>
      <c r="JA131" s="19">
        <f t="shared" si="179"/>
        <v>2250</v>
      </c>
      <c r="JB131" s="19">
        <f t="shared" si="180"/>
        <v>3153.5492916397529</v>
      </c>
      <c r="JC131" s="19">
        <f t="shared" si="181"/>
        <v>6598.7109265464014</v>
      </c>
      <c r="JD131" s="19">
        <f t="shared" si="182"/>
        <v>5360.2111529297927</v>
      </c>
      <c r="JE131" s="21"/>
      <c r="JF131" s="1">
        <f t="shared" si="277"/>
        <v>7.6148954918618686E-2</v>
      </c>
      <c r="JG131" s="15">
        <f>INDEX(Input!$1:$1048576,JG$93,$C131*2+6)/(1+VLOOKUP(C131*1000+INDEX(Input!$1:$1048576,JG$93+1,$C131*2+6),$A:$KK,$JK$92,FALSE))</f>
        <v>978</v>
      </c>
      <c r="JH131" s="1">
        <f t="shared" si="251"/>
        <v>6.3900151948001624E-2</v>
      </c>
      <c r="JI131" s="1">
        <f t="shared" si="252"/>
        <v>3.3773676345862584E-2</v>
      </c>
      <c r="JJ131" s="1">
        <f t="shared" si="253"/>
        <v>0</v>
      </c>
      <c r="JK131" s="1">
        <f t="shared" si="254"/>
        <v>9.7673828293864201E-2</v>
      </c>
      <c r="JL131" s="15">
        <f t="shared" si="184"/>
        <v>95.525004071399195</v>
      </c>
      <c r="JM131" s="15">
        <f t="shared" si="185"/>
        <v>1073.5250040713993</v>
      </c>
      <c r="JN131" s="21"/>
      <c r="JO131" s="19">
        <f>INDEX(Input!$1:$1048576,JO$93,$C131*2+6)</f>
        <v>5908.5</v>
      </c>
      <c r="JP131" s="19">
        <f>INDEX(Input!$1:$1048576,JP$93,$C131*2+6)</f>
        <v>4993.2939301234746</v>
      </c>
      <c r="JQ131" s="39">
        <f t="shared" si="186"/>
        <v>548.28884707020734</v>
      </c>
      <c r="JR131" s="39">
        <f t="shared" si="187"/>
        <v>366.91722280631802</v>
      </c>
      <c r="JS131" s="39">
        <f t="shared" si="188"/>
        <v>5.7543206997725154</v>
      </c>
      <c r="JT131" s="39">
        <f t="shared" si="189"/>
        <v>0.87087923611175733</v>
      </c>
      <c r="JU131" s="385">
        <f>(JQ131*JM131-INDEX(Input!$1:$1048576,Input!A$18,$C131*2+6)*JL131*INDEX(Input!$1:$1048576,Input!A$19,$C131*2+6))/1000000</f>
        <v>0.58860178678334718</v>
      </c>
      <c r="JV131" s="39">
        <f t="shared" si="192"/>
        <v>-0.30646974955589457</v>
      </c>
      <c r="JW131" s="1">
        <f t="shared" si="190"/>
        <v>-0.34239693377953562</v>
      </c>
      <c r="JX131" s="19">
        <f t="shared" si="191"/>
        <v>9116.7673278592847</v>
      </c>
      <c r="JZ131" s="341"/>
      <c r="KA131" s="342"/>
      <c r="KB131" s="469">
        <f t="shared" si="110"/>
        <v>3.2656316020464753</v>
      </c>
      <c r="KI131" s="473">
        <f t="shared" si="278"/>
        <v>27.513273842568054</v>
      </c>
      <c r="KJ131" s="473">
        <f t="shared" si="279"/>
        <v>15.540744702907489</v>
      </c>
      <c r="KK131" s="473">
        <f t="shared" si="257"/>
        <v>52.470985525923766</v>
      </c>
      <c r="KN131" s="544">
        <f t="shared" si="258"/>
        <v>1002</v>
      </c>
      <c r="KO131" s="541">
        <f t="shared" si="280"/>
        <v>1.4568935703354491E-2</v>
      </c>
      <c r="KP131" s="546">
        <f t="shared" si="281"/>
        <v>78.725231658179553</v>
      </c>
      <c r="KQ131" s="546">
        <f t="shared" si="282"/>
        <v>5.7572529543522251</v>
      </c>
      <c r="KR131" s="548">
        <f t="shared" si="283"/>
        <v>2.6538695368899727</v>
      </c>
      <c r="KS131" s="548">
        <f t="shared" si="284"/>
        <v>36.289267770371239</v>
      </c>
      <c r="KT131" s="473">
        <f t="shared" si="112"/>
        <v>-82.310573396665475</v>
      </c>
      <c r="KU131" s="663">
        <f t="shared" si="285"/>
        <v>-51.595788911457525</v>
      </c>
      <c r="KV131" s="117"/>
    </row>
    <row r="132" spans="1:308" s="26" customFormat="1" ht="15">
      <c r="A132" s="561">
        <f t="shared" si="168"/>
        <v>1032</v>
      </c>
      <c r="B132" s="561">
        <f t="shared" si="104"/>
        <v>32</v>
      </c>
      <c r="C132" s="561">
        <f t="shared" si="105"/>
        <v>1</v>
      </c>
      <c r="D132" s="561" t="str">
        <f t="shared" si="287"/>
        <v xml:space="preserve">500 CC, 500 Combo, </v>
      </c>
      <c r="E132" s="475">
        <f>INDEX(Input!$1:$1048576,E$93,$C132*2+MIN($B132,2)+5)
+INDEX(Scenarios!E$121:E$200,MATCH($B132,Scenarios!$B$121:$B$200,0))</f>
        <v>1750</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1.9E-2</v>
      </c>
      <c r="W132" s="863">
        <f>IFERROR(MAX(0,INDEX(Input!$1:$1048576,W$93,$C132*2+MIN($B132,2)+5)-0%,),"Market")</f>
        <v>3.9E-2</v>
      </c>
      <c r="X132" s="476" t="str">
        <f>INDEX(Input!$1:$1048576,X$93,$C132*2+MIN($B132,2)+5)</f>
        <v>Y</v>
      </c>
      <c r="Y132" s="475">
        <f>INDEX(Input!$1:$1048576,Y$93,$C132*2+MIN($B132,2)+5)
++INDEX(Scenarios!Y$121:Y$200,MATCH($B132,Scenarios!$B$121:$B$200,0))</f>
        <v>2826</v>
      </c>
      <c r="Z132" s="477">
        <f>INDEX(Input!$1:$1048576,Z$93,$C132*2+MIN($B132,2)+5)
+INDEX(Scenarios!Z$121:Z$200,MATCH($B132,Scenarios!$B$121:$B$200,0))</f>
        <v>0</v>
      </c>
      <c r="AA132" s="475">
        <f>INDEX(Input!$1:$1048576,AA$93,$C132*2+MIN($B132,2)+5)</f>
        <v>0</v>
      </c>
      <c r="AB132" s="476">
        <f>INDEX(Input!$1:$1048576,AB$93,$C132*2+MIN($B132,2)+5)</f>
        <v>1</v>
      </c>
      <c r="AC132" s="475">
        <f>INDEX(Input!$1:$1048576,AC$93,$C132*2+MIN($B132,2)+5)
+INDEX(Scenarios!AC$121:AC$200,MATCH($B132,Scenarios!$B$121:$B$200,0))</f>
        <v>0</v>
      </c>
      <c r="AD132" s="476">
        <f>INDEX(Input!$1:$1048576,AD$93,$C132*2+MIN($B132,2)+5)</f>
        <v>0.35</v>
      </c>
      <c r="AE132" s="475">
        <f>INDEX(Input!$1:$1048576,AE$93,$C132*2+MIN($B132,2)+5)
+INDEX(Scenarios!AE$121:AE$200,MATCH($B132,Scenarios!$B$121:$B$200,0))</f>
        <v>0</v>
      </c>
      <c r="AF132" s="476">
        <f>INDEX(Input!$1:$1048576,AF$93,$C132*2+MIN($B132,2)+5)</f>
        <v>1</v>
      </c>
      <c r="AG132" s="475">
        <f>INDEX(Input!$1:$1048576,AG$93,$C132*2+MIN($B132,2)+5)
+INDEX(Scenarios!AG$121:AG$200,MATCH($B132,Scenarios!$B$121:$B$200,0))</f>
        <v>0</v>
      </c>
      <c r="AH132" s="476">
        <f>INDEX(Input!$1:$1048576,AH$93,$C132*2+MIN($B132,2)+5)</f>
        <v>1</v>
      </c>
      <c r="AI132" s="475">
        <f>INDEX(Input!$1:$1048576,AI$93,$C132*2+MIN($B132,2)+5)
+INDEX(Scenarios!AI$121:AI$200,MATCH($B132,Scenarios!$B$121:$B$200,0))</f>
        <v>0</v>
      </c>
      <c r="AJ132" s="476">
        <f>INDEX(Input!$1:$1048576,AJ$93,$C132*2+MIN($B132,2)+5)</f>
        <v>0.35</v>
      </c>
      <c r="AK132" s="150">
        <f>ROUND(INDEX(Input!$1:$1048576,AK$93,$C131*2+MIN($B132,1)+5)+(Y132-VLOOKUP($C132*1000+1,$A:$HH,Y$92,FALSE)),0)</f>
        <v>5482</v>
      </c>
      <c r="AL132" s="150">
        <f>ROUND(INDEX(Input!$1:$1048576,AL$93,$C131*2+MIN($B132,1)+5)-(Y132-VLOOKUP($C132*1000+1,$A:$HH,Y$92,FALSE))/36,0)</f>
        <v>5602</v>
      </c>
      <c r="AM132" s="32" t="str">
        <f t="shared" si="169"/>
        <v>std/std/std/std</v>
      </c>
      <c r="AN132" s="32" t="str">
        <f t="shared" si="170"/>
        <v>$500 + 0/0/0/1.9/3.9</v>
      </c>
      <c r="AO132" s="32" t="str">
        <f t="shared" si="171"/>
        <v>0/0/0/1.9/3.9</v>
      </c>
      <c r="AP132" s="32" t="str">
        <f t="shared" si="73"/>
        <v>0/0.9/1.9/3.9</v>
      </c>
      <c r="AQ132" s="536">
        <f t="shared" si="39"/>
        <v>0.18317590571786754</v>
      </c>
      <c r="AR132" s="32"/>
      <c r="AS132" s="302"/>
      <c r="AT132" s="3">
        <f t="shared" si="106"/>
        <v>32</v>
      </c>
      <c r="AU132" s="41" t="s">
        <v>121</v>
      </c>
      <c r="AV132" s="41" t="s">
        <v>116</v>
      </c>
      <c r="AW132" s="41" t="str">
        <f>INDEX(Input!$1:$1048576,AW$93,$C132*2+6)</f>
        <v>Kia</v>
      </c>
      <c r="AX132" s="41" t="str">
        <f>INDEX(Input!$1:$1048576,AX$93,$C132*2+6)</f>
        <v>Kia-LR - L1</v>
      </c>
      <c r="AY132" s="41" t="str">
        <f>IF(LEN(D132)=0,"",INDEX(Input!$1:$1048576,AY$93,$C132*2+6))</f>
        <v>Compact Conventional/Sporty Car (43)</v>
      </c>
      <c r="AZ132" s="41" t="str">
        <f>INDEX(Input!$1:$1048576,AZ$93,$C132*2+6)</f>
        <v>Kia Forte</v>
      </c>
      <c r="BA132" s="3">
        <f>INDEX(Input!$1:$1048576,BA$93,$C132*2+6)</f>
        <v>2020</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19695</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4"/>
        <v>1750</v>
      </c>
      <c r="CJ132" s="16" t="str">
        <f>INDEX(Input!$1:$1048576,CJ$93,$C132*2+6)</f>
        <v>N</v>
      </c>
      <c r="CK132" s="1" t="str">
        <f t="shared" si="75"/>
        <v>Market</v>
      </c>
      <c r="CL132" s="1" t="str">
        <f t="shared" si="76"/>
        <v>Market</v>
      </c>
      <c r="CM132" s="1" t="str">
        <f t="shared" si="77"/>
        <v>Market</v>
      </c>
      <c r="CN132" s="1" t="str">
        <f t="shared" si="78"/>
        <v>Market</v>
      </c>
      <c r="CO132" s="1" t="str">
        <f t="shared" si="79"/>
        <v>Market</v>
      </c>
      <c r="CP132" s="304">
        <f t="shared" si="80"/>
        <v>500</v>
      </c>
      <c r="CQ132" s="1">
        <f t="shared" si="81"/>
        <v>0</v>
      </c>
      <c r="CR132" s="1">
        <f t="shared" si="82"/>
        <v>0</v>
      </c>
      <c r="CS132" s="1">
        <f t="shared" si="83"/>
        <v>0</v>
      </c>
      <c r="CT132" s="1">
        <f t="shared" si="84"/>
        <v>1.9E-2</v>
      </c>
      <c r="CU132" s="1">
        <f t="shared" si="85"/>
        <v>3.9E-2</v>
      </c>
      <c r="CV132" s="304">
        <f t="shared" si="86"/>
        <v>2826</v>
      </c>
      <c r="CW132" s="20" t="s">
        <v>122</v>
      </c>
      <c r="CX132" s="20" t="s">
        <v>122</v>
      </c>
      <c r="CY132" s="20" t="s">
        <v>122</v>
      </c>
      <c r="CZ132" s="20" t="s">
        <v>122</v>
      </c>
      <c r="DA132" s="20" t="s">
        <v>122</v>
      </c>
      <c r="DB132" s="503">
        <f t="shared" si="87"/>
        <v>0</v>
      </c>
      <c r="DC132" s="127">
        <v>0</v>
      </c>
      <c r="DD132" s="127">
        <v>0</v>
      </c>
      <c r="DE132" s="127">
        <v>0</v>
      </c>
      <c r="DF132" s="127">
        <v>0</v>
      </c>
      <c r="DG132" s="127">
        <v>0</v>
      </c>
      <c r="DH132" s="127">
        <v>0</v>
      </c>
      <c r="DI132" s="127">
        <v>0</v>
      </c>
      <c r="DJ132" s="127">
        <v>0</v>
      </c>
      <c r="DK132" s="127">
        <v>0</v>
      </c>
      <c r="DL132" s="127">
        <v>0</v>
      </c>
      <c r="DM132" s="304">
        <f>INDEX(Input!$1:$1048576,DM$93,$C132*2+6)</f>
        <v>20731.578947368424</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1.5716957957537823E-2</v>
      </c>
      <c r="DZ132" s="7">
        <v>0</v>
      </c>
      <c r="EA132" s="7">
        <v>0.24363722623816411</v>
      </c>
      <c r="EB132" s="7">
        <v>0</v>
      </c>
      <c r="EC132" s="7">
        <v>0</v>
      </c>
      <c r="ED132" s="7">
        <v>0</v>
      </c>
      <c r="EE132" s="7">
        <v>0</v>
      </c>
      <c r="EF132" s="7">
        <v>0</v>
      </c>
      <c r="EG132" s="7">
        <v>0</v>
      </c>
      <c r="EH132" s="7">
        <v>1.9867163211649868E-2</v>
      </c>
      <c r="EI132" s="7">
        <v>3.5734944822064255E-2</v>
      </c>
      <c r="EJ132" s="7">
        <v>0.28104141462213028</v>
      </c>
      <c r="EK132" s="7">
        <v>0.62010092925970739</v>
      </c>
      <c r="EL132" s="7">
        <v>4.3255548084448162E-2</v>
      </c>
      <c r="EM132" s="7">
        <v>1.5385250104704888E-2</v>
      </c>
      <c r="EN132" s="7">
        <v>5.6686594175933747E-2</v>
      </c>
      <c r="EO132" s="7">
        <v>0.54216995014193592</v>
      </c>
      <c r="EP132" s="7">
        <v>0.31173155381219214</v>
      </c>
      <c r="EQ132" s="7">
        <v>5.1954312326603469E-2</v>
      </c>
      <c r="ER132" s="7">
        <v>3.7457589543334724E-2</v>
      </c>
      <c r="ES132" s="7">
        <v>0.72526056569959318</v>
      </c>
      <c r="ET132" s="7">
        <v>0.740645815804298</v>
      </c>
      <c r="EU132" s="6">
        <v>2100</v>
      </c>
      <c r="EV132" s="6">
        <v>0</v>
      </c>
      <c r="EW132" s="6">
        <v>2100</v>
      </c>
      <c r="EX132" s="6">
        <v>0</v>
      </c>
      <c r="EY132" s="6">
        <v>3131.5502763133163</v>
      </c>
      <c r="EZ132" s="6">
        <v>4822.9999999999991</v>
      </c>
      <c r="FA132" s="6">
        <v>0</v>
      </c>
      <c r="FB132" s="6">
        <v>0</v>
      </c>
      <c r="FC132" s="6">
        <v>0</v>
      </c>
      <c r="FD132" s="6">
        <v>0</v>
      </c>
      <c r="FE132" s="6">
        <v>0</v>
      </c>
      <c r="FF132" s="6">
        <v>0</v>
      </c>
      <c r="FG132" s="6">
        <v>0</v>
      </c>
      <c r="FH132" s="6">
        <v>1152.1208270377815</v>
      </c>
      <c r="FI132" s="6">
        <v>1531.4299904380618</v>
      </c>
      <c r="FJ132" s="6">
        <v>2070.7205842538224</v>
      </c>
      <c r="FK132" s="6">
        <v>1746.9903521590434</v>
      </c>
      <c r="FL132" s="6">
        <v>893.91433563489352</v>
      </c>
      <c r="FM132" s="6">
        <v>1781.5502763133163</v>
      </c>
      <c r="FN132" s="6">
        <v>0</v>
      </c>
      <c r="FO132" s="6">
        <v>0</v>
      </c>
      <c r="FP132" s="6">
        <v>0</v>
      </c>
      <c r="FQ132" s="6">
        <v>0</v>
      </c>
      <c r="FR132" s="6">
        <v>0</v>
      </c>
      <c r="FS132" s="6">
        <v>0</v>
      </c>
      <c r="FT132" s="7">
        <v>0.25935418419570194</v>
      </c>
      <c r="FU132" s="7">
        <v>1.5385250104704888E-2</v>
      </c>
      <c r="FV132" s="7">
        <v>0.72526056569959318</v>
      </c>
      <c r="FW132" s="6">
        <v>2099.9999999999995</v>
      </c>
      <c r="FX132" s="6">
        <v>3131.5502763133163</v>
      </c>
      <c r="FY132" s="6">
        <v>4822.9999999999991</v>
      </c>
      <c r="FZ132" s="6">
        <v>3077.4375890575293</v>
      </c>
      <c r="GA132" s="6">
        <v>4090.7551793966491</v>
      </c>
      <c r="GB132" s="6">
        <v>15604.244820603351</v>
      </c>
      <c r="GC132" s="7">
        <v>7.0901643973087014E-2</v>
      </c>
      <c r="GD132" s="7">
        <v>8.1717427836158943E-2</v>
      </c>
      <c r="GE132" s="7"/>
      <c r="GF132" s="7"/>
      <c r="GG132" s="7">
        <v>0.15254630579761178</v>
      </c>
      <c r="GH132" s="42">
        <v>2.9649139828693816</v>
      </c>
      <c r="GI132" s="6">
        <v>10733.443673495758</v>
      </c>
      <c r="GJ132" s="14">
        <v>0.5107463060103955</v>
      </c>
      <c r="GK132" s="14">
        <v>0.50829519786160982</v>
      </c>
      <c r="GL132" s="14">
        <v>0.48925369398960433</v>
      </c>
      <c r="GM132" s="14">
        <v>0.4917048021383903</v>
      </c>
      <c r="GO132" s="5">
        <v>338.16872463277008</v>
      </c>
      <c r="GP132" s="5">
        <v>298.1047308538179</v>
      </c>
      <c r="GQ132" s="5">
        <v>527.27910984145694</v>
      </c>
      <c r="GR132" s="5">
        <v>404.20319246551543</v>
      </c>
      <c r="GS132" s="5">
        <v>334.50205195691484</v>
      </c>
      <c r="GT132" s="5">
        <v>289.18266033348181</v>
      </c>
      <c r="GU132" s="5">
        <v>254.29573314828914</v>
      </c>
      <c r="GV132" s="39" t="s">
        <v>392</v>
      </c>
      <c r="GW132" s="5">
        <v>454.875</v>
      </c>
      <c r="GX132" s="5">
        <v>341.15625</v>
      </c>
      <c r="GY132" s="5">
        <v>272.92500000000001</v>
      </c>
      <c r="GZ132" s="5">
        <v>240.82751152063875</v>
      </c>
      <c r="HA132" s="5">
        <v>223.08053899211657</v>
      </c>
      <c r="HB132" s="39">
        <v>256.91833838742559</v>
      </c>
      <c r="HC132" s="5">
        <v>72.109375000000014</v>
      </c>
      <c r="HD132" s="5">
        <v>92.305464181286524</v>
      </c>
      <c r="HE132" s="5">
        <v>103.7516995614035</v>
      </c>
      <c r="HF132" s="5">
        <v>106.17129934210527</v>
      </c>
      <c r="HG132" s="5">
        <v>115.13410087719299</v>
      </c>
      <c r="HH132" s="39">
        <v>96.30426504407346</v>
      </c>
      <c r="HI132" s="16"/>
      <c r="HJ132" s="19" t="str">
        <f t="shared" ref="HJ132" si="299">HJ131</f>
        <v>On</v>
      </c>
      <c r="HK132" s="1" t="str">
        <f t="shared" si="108"/>
        <v>On</v>
      </c>
      <c r="HL132" s="16"/>
      <c r="HM132" s="639">
        <f t="shared" si="261"/>
        <v>1.7699001661282989E-2</v>
      </c>
      <c r="HN132" s="639">
        <f t="shared" si="262"/>
        <v>1.0509929974846072E-3</v>
      </c>
      <c r="HO132" s="639">
        <f t="shared" si="263"/>
        <v>5.7398960259851091E-2</v>
      </c>
      <c r="HP132" s="644">
        <f>(FT132*$GD132-HM132)/$JF132*INDEX(Input!$1:$1048576,$JG$93,$C132*2+6)</f>
        <v>44.884011338746603</v>
      </c>
      <c r="HQ132" s="644">
        <f>(FU132*$GD132-HN132)/$JF132*INDEX(Input!$1:$1048576,$JG$93,$C132*2+6)</f>
        <v>2.6489210050789396</v>
      </c>
      <c r="HR132" s="644">
        <f>(FV132*$GD132-HO132)/$JF132*INDEX(Input!$1:$1048576,$JG$93,$C132*2+6)</f>
        <v>23.984352682272835</v>
      </c>
      <c r="HS132" s="644">
        <f t="shared" si="264"/>
        <v>-0.3131542438063874</v>
      </c>
      <c r="HT132" s="644">
        <f t="shared" si="265"/>
        <v>19.252499350357155</v>
      </c>
      <c r="HU132" s="644">
        <f t="shared" si="266"/>
        <v>21.047233996318059</v>
      </c>
      <c r="HV132" s="648">
        <f t="shared" si="267"/>
        <v>0</v>
      </c>
      <c r="HW132" s="648">
        <f t="shared" si="268"/>
        <v>0</v>
      </c>
      <c r="HX132" s="648">
        <f t="shared" si="269"/>
        <v>0</v>
      </c>
      <c r="HY132" s="644">
        <f>INDEX(Input!$1:$1048576,HY$93,$C132*2+6)*INDEX(Input!$1:$1048576,$JG$93,$C132*2+6)</f>
        <v>154.99999999999997</v>
      </c>
      <c r="HZ132" s="644">
        <f>INDEX(Input!$1:$1048576,HZ$93,$C132*2+6)*INDEX(Input!$1:$1048576,$JG$93,$C132*2+6)</f>
        <v>140</v>
      </c>
      <c r="IA132" s="644">
        <f>INDEX(Input!$1:$1048576,IA$93,$C132*2+6)*INDEX(Input!$1:$1048576,$JG$93,$C132*2+6)</f>
        <v>683</v>
      </c>
      <c r="IB132" s="644">
        <f t="shared" si="249"/>
        <v>199.57085709494004</v>
      </c>
      <c r="IC132" s="644">
        <f t="shared" si="172"/>
        <v>161.90142035543607</v>
      </c>
      <c r="ID132" s="644">
        <f>IF(AND(INDEX(Input!$1:$1048576,IA$93,$C132*2+7)="TOS",Y132&lt;=INDEX(Y:Y,MATCH(C132*1000+2,A:A))),0,1)*MAX(IA132+HR132+HU132+HX132,0%)</f>
        <v>728.03158667859088</v>
      </c>
      <c r="IE132" s="128">
        <f t="shared" si="270"/>
        <v>0.18317590571786754</v>
      </c>
      <c r="IF132" s="128">
        <f t="shared" si="174"/>
        <v>0.14860105198880821</v>
      </c>
      <c r="IG132" s="128">
        <f t="shared" si="175"/>
        <v>0.66822304229332419</v>
      </c>
      <c r="IH132" s="21"/>
      <c r="II132" s="19">
        <f t="shared" si="271"/>
        <v>1200</v>
      </c>
      <c r="IJ132" s="19">
        <f t="shared" si="272"/>
        <v>2231.5502763133163</v>
      </c>
      <c r="IK132" s="19">
        <f t="shared" si="273"/>
        <v>4498</v>
      </c>
      <c r="IL132" s="19">
        <f t="shared" si="176"/>
        <v>899.99999999999955</v>
      </c>
      <c r="IM132" s="19">
        <f t="shared" si="177"/>
        <v>900</v>
      </c>
      <c r="IN132" s="19">
        <f t="shared" si="178"/>
        <v>324.99999999999909</v>
      </c>
      <c r="IO132" s="39">
        <f t="shared" si="274"/>
        <v>0</v>
      </c>
      <c r="IP132" s="39">
        <f t="shared" si="275"/>
        <v>0</v>
      </c>
      <c r="IQ132" s="39">
        <f t="shared" si="276"/>
        <v>0</v>
      </c>
      <c r="IR132" s="39">
        <v>0</v>
      </c>
      <c r="IS132" s="39">
        <v>0</v>
      </c>
      <c r="IT132" s="39">
        <v>0</v>
      </c>
      <c r="IU132" s="39">
        <v>0</v>
      </c>
      <c r="IV132" s="39">
        <v>0</v>
      </c>
      <c r="IW132" s="39">
        <v>0</v>
      </c>
      <c r="IX132" s="39">
        <f>INDEX(Input!$1:$1048576,IX$93,$C132*2+6)+INDEX(Input!$1:$1048576,IX$94,$C132*2+6)</f>
        <v>1600</v>
      </c>
      <c r="IY132" s="39">
        <f>INDEX(Input!$1:$1048576,IY$93,$C132*2+6)+INDEX(Input!$1:$1048576,IY$94,$C132*2+6)</f>
        <v>2503.5492916397525</v>
      </c>
      <c r="IZ132" s="39">
        <f>INDEX(Input!$1:$1048576,IZ$93,$C132*2+6)+INDEX(Input!$1:$1048576,IZ$94,$C132*2+6)</f>
        <v>6273.7109265464023</v>
      </c>
      <c r="JA132" s="19">
        <f t="shared" si="179"/>
        <v>2499.9999999999995</v>
      </c>
      <c r="JB132" s="19">
        <f t="shared" si="180"/>
        <v>3403.5492916397525</v>
      </c>
      <c r="JC132" s="19">
        <f t="shared" si="181"/>
        <v>6598.7109265464014</v>
      </c>
      <c r="JD132" s="19">
        <f t="shared" si="182"/>
        <v>5373.1214600791354</v>
      </c>
      <c r="JE132" s="21"/>
      <c r="JF132" s="1">
        <f t="shared" si="277"/>
        <v>7.6148954918618686E-2</v>
      </c>
      <c r="JG132" s="15">
        <f>INDEX(Input!$1:$1048576,JG$93,$C132*2+6)/(1+VLOOKUP(C132*1000+INDEX(Input!$1:$1048576,JG$93+1,$C132*2+6),$A:$KK,$JK$92,FALSE))</f>
        <v>978</v>
      </c>
      <c r="JH132" s="1">
        <f t="shared" si="251"/>
        <v>7.3126058308894043E-2</v>
      </c>
      <c r="JI132" s="1">
        <f t="shared" si="252"/>
        <v>4.0886072702319864E-2</v>
      </c>
      <c r="JJ132" s="1">
        <f t="shared" si="253"/>
        <v>0</v>
      </c>
      <c r="JK132" s="1">
        <f t="shared" si="254"/>
        <v>0.11401213101121391</v>
      </c>
      <c r="JL132" s="15">
        <f t="shared" si="184"/>
        <v>111.50386412896721</v>
      </c>
      <c r="JM132" s="15">
        <f t="shared" si="185"/>
        <v>1089.5038641289673</v>
      </c>
      <c r="JN132" s="21"/>
      <c r="JO132" s="19">
        <f>INDEX(Input!$1:$1048576,JO$93,$C132*2+6)</f>
        <v>5908.5</v>
      </c>
      <c r="JP132" s="19">
        <f>INDEX(Input!$1:$1048576,JP$93,$C132*2+6)</f>
        <v>4993.2939301234746</v>
      </c>
      <c r="JQ132" s="39">
        <f t="shared" si="186"/>
        <v>535.37853992086457</v>
      </c>
      <c r="JR132" s="39">
        <f t="shared" si="187"/>
        <v>379.82752995566079</v>
      </c>
      <c r="JS132" s="39">
        <f t="shared" si="188"/>
        <v>5.8540365931904965</v>
      </c>
      <c r="JT132" s="39">
        <f t="shared" si="189"/>
        <v>0.97059512952973881</v>
      </c>
      <c r="JU132" s="385">
        <f>(JQ132*JM132-INDEX(Input!$1:$1048576,Input!A$18,$C132*2+6)*JL132*INDEX(Input!$1:$1048576,Input!A$19,$C132*2+6))/1000000</f>
        <v>0.58329698801550656</v>
      </c>
      <c r="JV132" s="39">
        <f t="shared" si="192"/>
        <v>-0.31177454832373519</v>
      </c>
      <c r="JW132" s="1">
        <f t="shared" si="190"/>
        <v>-0.34832360952831071</v>
      </c>
      <c r="JX132" s="19">
        <f t="shared" si="191"/>
        <v>8704.5873890713992</v>
      </c>
      <c r="JZ132" s="341"/>
      <c r="KA132" s="342"/>
      <c r="KB132" s="469">
        <f t="shared" si="110"/>
        <v>3.2656316020464753</v>
      </c>
      <c r="KI132" s="473">
        <f t="shared" si="278"/>
        <v>44.570857094940095</v>
      </c>
      <c r="KJ132" s="473">
        <f t="shared" si="279"/>
        <v>21.901420355436102</v>
      </c>
      <c r="KK132" s="473">
        <f t="shared" si="257"/>
        <v>45.031586678590998</v>
      </c>
      <c r="KN132" s="544">
        <f t="shared" si="258"/>
        <v>1002</v>
      </c>
      <c r="KO132" s="541">
        <f t="shared" si="280"/>
        <v>2.9670265417032216E-2</v>
      </c>
      <c r="KP132" s="546">
        <f t="shared" si="281"/>
        <v>165.88847885333792</v>
      </c>
      <c r="KQ132" s="546">
        <f t="shared" si="282"/>
        <v>18.667560103694996</v>
      </c>
      <c r="KR132" s="548">
        <f t="shared" si="283"/>
        <v>2.5649027102665092</v>
      </c>
      <c r="KS132" s="548">
        <f t="shared" si="284"/>
        <v>22.792898838916567</v>
      </c>
      <c r="KT132" s="473">
        <f t="shared" si="112"/>
        <v>-82.310573396665475</v>
      </c>
      <c r="KU132" s="663">
        <f t="shared" si="285"/>
        <v>-52.183388728520953</v>
      </c>
      <c r="KV132" s="117"/>
    </row>
    <row r="133" spans="1:308" s="26" customFormat="1" ht="15">
      <c r="A133" s="561">
        <f t="shared" ref="A133:A136" si="300">C133*1000+B133</f>
        <v>1033</v>
      </c>
      <c r="B133" s="561">
        <f t="shared" si="104"/>
        <v>33</v>
      </c>
      <c r="C133" s="561">
        <f t="shared" si="105"/>
        <v>1</v>
      </c>
      <c r="D133" s="561" t="str">
        <f t="shared" si="287"/>
        <v xml:space="preserve">750 CC, 750 Combo, </v>
      </c>
      <c r="E133" s="475">
        <f>INDEX(Input!$1:$1048576,E$93,$C133*2+MIN($B133,2)+5)
+INDEX(Scenarios!E$121:E$200,MATCH($B133,Scenarios!$B$121:$B$200,0))</f>
        <v>2000</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1.9E-2</v>
      </c>
      <c r="W133" s="863">
        <f>IFERROR(MAX(0,INDEX(Input!$1:$1048576,W$93,$C133*2+MIN($B133,2)+5)-0%,),"Market")</f>
        <v>3.9E-2</v>
      </c>
      <c r="X133" s="476" t="str">
        <f>INDEX(Input!$1:$1048576,X$93,$C133*2+MIN($B133,2)+5)</f>
        <v>Y</v>
      </c>
      <c r="Y133" s="475">
        <f>INDEX(Input!$1:$1048576,Y$93,$C133*2+MIN($B133,2)+5)
++INDEX(Scenarios!Y$121:Y$200,MATCH($B133,Scenarios!$B$121:$B$200,0))</f>
        <v>2826</v>
      </c>
      <c r="Z133" s="477">
        <f>INDEX(Input!$1:$1048576,Z$93,$C133*2+MIN($B133,2)+5)
+INDEX(Scenarios!Z$121:Z$200,MATCH($B133,Scenarios!$B$121:$B$200,0))</f>
        <v>0</v>
      </c>
      <c r="AA133" s="475">
        <f>INDEX(Input!$1:$1048576,AA$93,$C133*2+MIN($B133,2)+5)</f>
        <v>0</v>
      </c>
      <c r="AB133" s="476">
        <f>INDEX(Input!$1:$1048576,AB$93,$C133*2+MIN($B133,2)+5)</f>
        <v>1</v>
      </c>
      <c r="AC133" s="475">
        <f>INDEX(Input!$1:$1048576,AC$93,$C133*2+MIN($B133,2)+5)
+INDEX(Scenarios!AC$121:AC$200,MATCH($B133,Scenarios!$B$121:$B$200,0))</f>
        <v>0</v>
      </c>
      <c r="AD133" s="476">
        <f>INDEX(Input!$1:$1048576,AD$93,$C133*2+MIN($B133,2)+5)</f>
        <v>0.35</v>
      </c>
      <c r="AE133" s="475">
        <f>INDEX(Input!$1:$1048576,AE$93,$C133*2+MIN($B133,2)+5)
+INDEX(Scenarios!AE$121:AE$200,MATCH($B133,Scenarios!$B$121:$B$200,0))</f>
        <v>0</v>
      </c>
      <c r="AF133" s="476">
        <f>INDEX(Input!$1:$1048576,AF$93,$C133*2+MIN($B133,2)+5)</f>
        <v>1</v>
      </c>
      <c r="AG133" s="475">
        <f>INDEX(Input!$1:$1048576,AG$93,$C133*2+MIN($B133,2)+5)
+INDEX(Scenarios!AG$121:AG$200,MATCH($B133,Scenarios!$B$121:$B$200,0))</f>
        <v>0</v>
      </c>
      <c r="AH133" s="476">
        <f>INDEX(Input!$1:$1048576,AH$93,$C133*2+MIN($B133,2)+5)</f>
        <v>1</v>
      </c>
      <c r="AI133" s="475">
        <f>INDEX(Input!$1:$1048576,AI$93,$C133*2+MIN($B133,2)+5)
+INDEX(Scenarios!AI$121:AI$200,MATCH($B133,Scenarios!$B$121:$B$200,0))</f>
        <v>0</v>
      </c>
      <c r="AJ133" s="476">
        <f>INDEX(Input!$1:$1048576,AJ$93,$C133*2+MIN($B133,2)+5)</f>
        <v>0.35</v>
      </c>
      <c r="AK133" s="150">
        <f>ROUND(INDEX(Input!$1:$1048576,AK$93,$C132*2+MIN($B133,1)+5)+(Y133-VLOOKUP($C133*1000+1,$A:$HH,Y$92,FALSE)),0)</f>
        <v>5482</v>
      </c>
      <c r="AL133" s="150">
        <f>ROUND(INDEX(Input!$1:$1048576,AL$93,$C132*2+MIN($B133,1)+5)-(Y133-VLOOKUP($C133*1000+1,$A:$HH,Y$92,FALSE))/36,0)</f>
        <v>5602</v>
      </c>
      <c r="AM133" s="32" t="str">
        <f t="shared" ref="AM133:AM136" si="301">IF(K133="market","std",ROUND(K133*1000,0)/10)&amp;"/"&amp;IF(L133="market","std",ROUND(L133*1000,0)/10)&amp;"/"&amp;IF(M133="market","std",ROUND(M133*1000,0)/10)&amp;"/"&amp;IF(N133="market","std",ROUND(N133*1000,0)/10)&amp;IF(P133="N","","/"&amp;IF(O133="market","std",ROUND(O133*1000,0)/10))</f>
        <v>std/std/std/std</v>
      </c>
      <c r="AN133" s="32" t="str">
        <f t="shared" ref="AN133:AN136" si="302">"$"&amp;ROUND(Q133,0)&amp;" + "&amp;IF(S133="market","std",ROUND(S133*1000,0)/10)&amp;"/"&amp;IF(T133="market","std",ROUND(T133*1000,0)/10)&amp;"/"&amp;IF(U133="market","std",ROUND(U133*1000,0)/10)&amp;"/"&amp;IF(V133="market","std",ROUND(V133*1000,0)/10)&amp;IF(X133="N","","/"&amp;IF(W133="market","std",ROUND(W133*1000,0)/10))</f>
        <v>$750 + 0/0/0/1.9/3.9</v>
      </c>
      <c r="AO133" s="32" t="str">
        <f t="shared" ref="AO133:AO136" si="303">IF(S133="market","std",ROUND(S133*1000,0)/10)&amp;"/"&amp;IF(T133="market","std",ROUND(T133*1000,0)/10)&amp;"/"&amp;IF(U133="market","std",ROUND(U133*1000,0)/10)&amp;"/"&amp;IF(V133="market","std",ROUND(V133*1000,0)/10)&amp;IF(X133="N","","/"&amp;IF(W133="market","std",ROUND(W133*1000,0)/10))</f>
        <v>0/0/0/1.9/3.9</v>
      </c>
      <c r="AP133" s="32" t="str">
        <f t="shared" si="73"/>
        <v>0/0.9/1.9/3.9</v>
      </c>
      <c r="AQ133" s="536">
        <f t="shared" si="39"/>
        <v>0.19671312561123208</v>
      </c>
      <c r="AR133" s="32"/>
      <c r="AS133" s="302"/>
      <c r="AT133" s="3">
        <f t="shared" si="106"/>
        <v>33</v>
      </c>
      <c r="AU133" s="41" t="s">
        <v>121</v>
      </c>
      <c r="AV133" s="41" t="s">
        <v>116</v>
      </c>
      <c r="AW133" s="41" t="str">
        <f>INDEX(Input!$1:$1048576,AW$93,$C133*2+6)</f>
        <v>Kia</v>
      </c>
      <c r="AX133" s="41" t="str">
        <f>INDEX(Input!$1:$1048576,AX$93,$C133*2+6)</f>
        <v>Kia-LR - L1</v>
      </c>
      <c r="AY133" s="41" t="str">
        <f>IF(LEN(D133)=0,"",INDEX(Input!$1:$1048576,AY$93,$C133*2+6))</f>
        <v>Compact Conventional/Sporty Car (43)</v>
      </c>
      <c r="AZ133" s="41" t="str">
        <f>INDEX(Input!$1:$1048576,AZ$93,$C133*2+6)</f>
        <v>Kia Forte</v>
      </c>
      <c r="BA133" s="3">
        <f>INDEX(Input!$1:$1048576,BA$93,$C133*2+6)</f>
        <v>2020</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19695</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4"/>
        <v>2000</v>
      </c>
      <c r="CJ133" s="16" t="str">
        <f>INDEX(Input!$1:$1048576,CJ$93,$C133*2+6)</f>
        <v>N</v>
      </c>
      <c r="CK133" s="1" t="str">
        <f t="shared" si="75"/>
        <v>Market</v>
      </c>
      <c r="CL133" s="1" t="str">
        <f t="shared" si="76"/>
        <v>Market</v>
      </c>
      <c r="CM133" s="1" t="str">
        <f t="shared" si="77"/>
        <v>Market</v>
      </c>
      <c r="CN133" s="1" t="str">
        <f t="shared" si="78"/>
        <v>Market</v>
      </c>
      <c r="CO133" s="1" t="str">
        <f t="shared" si="79"/>
        <v>Market</v>
      </c>
      <c r="CP133" s="304">
        <f t="shared" si="80"/>
        <v>750</v>
      </c>
      <c r="CQ133" s="1">
        <f t="shared" si="81"/>
        <v>0</v>
      </c>
      <c r="CR133" s="1">
        <f t="shared" si="82"/>
        <v>0</v>
      </c>
      <c r="CS133" s="1">
        <f t="shared" si="83"/>
        <v>0</v>
      </c>
      <c r="CT133" s="1">
        <f t="shared" si="84"/>
        <v>1.9E-2</v>
      </c>
      <c r="CU133" s="1">
        <f t="shared" si="85"/>
        <v>3.9E-2</v>
      </c>
      <c r="CV133" s="304">
        <f t="shared" si="86"/>
        <v>2826</v>
      </c>
      <c r="CW133" s="20" t="s">
        <v>122</v>
      </c>
      <c r="CX133" s="20" t="s">
        <v>122</v>
      </c>
      <c r="CY133" s="20" t="s">
        <v>122</v>
      </c>
      <c r="CZ133" s="20" t="s">
        <v>122</v>
      </c>
      <c r="DA133" s="20" t="s">
        <v>122</v>
      </c>
      <c r="DB133" s="503">
        <f t="shared" si="87"/>
        <v>0</v>
      </c>
      <c r="DC133" s="127">
        <v>0</v>
      </c>
      <c r="DD133" s="127">
        <v>0</v>
      </c>
      <c r="DE133" s="127">
        <v>0</v>
      </c>
      <c r="DF133" s="127">
        <v>0</v>
      </c>
      <c r="DG133" s="127">
        <v>0</v>
      </c>
      <c r="DH133" s="127">
        <v>0</v>
      </c>
      <c r="DI133" s="127">
        <v>0</v>
      </c>
      <c r="DJ133" s="127">
        <v>0</v>
      </c>
      <c r="DK133" s="127">
        <v>0</v>
      </c>
      <c r="DL133" s="127">
        <v>0</v>
      </c>
      <c r="DM133" s="304">
        <f>INDEX(Input!$1:$1048576,DM$93,$C133*2+6)</f>
        <v>20731.578947368424</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1.6682786861425016E-2</v>
      </c>
      <c r="DZ133" s="7">
        <v>0</v>
      </c>
      <c r="EA133" s="7">
        <v>0.25740207884119737</v>
      </c>
      <c r="EB133" s="7">
        <v>0</v>
      </c>
      <c r="EC133" s="7">
        <v>0</v>
      </c>
      <c r="ED133" s="7">
        <v>0</v>
      </c>
      <c r="EE133" s="7">
        <v>0</v>
      </c>
      <c r="EF133" s="7">
        <v>0</v>
      </c>
      <c r="EG133" s="7">
        <v>0</v>
      </c>
      <c r="EH133" s="7">
        <v>1.9867163211649868E-2</v>
      </c>
      <c r="EI133" s="7">
        <v>3.5734944822064234E-2</v>
      </c>
      <c r="EJ133" s="7">
        <v>0.28104141462213034</v>
      </c>
      <c r="EK133" s="7">
        <v>0.62010092925970728</v>
      </c>
      <c r="EL133" s="7">
        <v>4.3255548084448134E-2</v>
      </c>
      <c r="EM133" s="7">
        <v>1.6254475646392451E-2</v>
      </c>
      <c r="EN133" s="7">
        <v>5.6686594175933747E-2</v>
      </c>
      <c r="EO133" s="7">
        <v>0.54216995014193581</v>
      </c>
      <c r="EP133" s="7">
        <v>0.3117315538121922</v>
      </c>
      <c r="EQ133" s="7">
        <v>5.1954312326603504E-2</v>
      </c>
      <c r="ER133" s="7">
        <v>3.7457589543334738E-2</v>
      </c>
      <c r="ES133" s="7">
        <v>0.70966065865098515</v>
      </c>
      <c r="ET133" s="7">
        <v>0.72591513429737764</v>
      </c>
      <c r="EU133" s="6">
        <v>2350</v>
      </c>
      <c r="EV133" s="6">
        <v>0</v>
      </c>
      <c r="EW133" s="6">
        <v>2350</v>
      </c>
      <c r="EX133" s="6">
        <v>0</v>
      </c>
      <c r="EY133" s="6">
        <v>3381.5502763133163</v>
      </c>
      <c r="EZ133" s="6">
        <v>4822.9999999999991</v>
      </c>
      <c r="FA133" s="6">
        <v>0</v>
      </c>
      <c r="FB133" s="6">
        <v>0</v>
      </c>
      <c r="FC133" s="6">
        <v>0</v>
      </c>
      <c r="FD133" s="6">
        <v>0</v>
      </c>
      <c r="FE133" s="6">
        <v>0</v>
      </c>
      <c r="FF133" s="6">
        <v>0</v>
      </c>
      <c r="FG133" s="6">
        <v>0</v>
      </c>
      <c r="FH133" s="6">
        <v>1152.1208270377815</v>
      </c>
      <c r="FI133" s="6">
        <v>1531.4299904380621</v>
      </c>
      <c r="FJ133" s="6">
        <v>2070.7205842538219</v>
      </c>
      <c r="FK133" s="6">
        <v>1746.9903521590434</v>
      </c>
      <c r="FL133" s="6">
        <v>893.91433563489386</v>
      </c>
      <c r="FM133" s="6">
        <v>1781.5502763133163</v>
      </c>
      <c r="FN133" s="6">
        <v>0</v>
      </c>
      <c r="FO133" s="6">
        <v>0</v>
      </c>
      <c r="FP133" s="6">
        <v>0</v>
      </c>
      <c r="FQ133" s="6">
        <v>0</v>
      </c>
      <c r="FR133" s="6">
        <v>0</v>
      </c>
      <c r="FS133" s="6">
        <v>0</v>
      </c>
      <c r="FT133" s="7">
        <v>0.27408486570262236</v>
      </c>
      <c r="FU133" s="7">
        <v>1.6254475646392451E-2</v>
      </c>
      <c r="FV133" s="7">
        <v>0.70966065865098515</v>
      </c>
      <c r="FW133" s="6">
        <v>2350.0000000000005</v>
      </c>
      <c r="FX133" s="6">
        <v>3381.5502763133163</v>
      </c>
      <c r="FY133" s="6">
        <v>4822.9999999999991</v>
      </c>
      <c r="FZ133" s="6">
        <v>3077.4375890575293</v>
      </c>
      <c r="GA133" s="6">
        <v>4121.7581176882495</v>
      </c>
      <c r="GB133" s="6">
        <v>15573.241882311751</v>
      </c>
      <c r="GC133" s="7">
        <v>7.0901643973087014E-2</v>
      </c>
      <c r="GD133" s="7">
        <v>8.2466198990712863E-2</v>
      </c>
      <c r="GE133" s="7"/>
      <c r="GF133" s="7"/>
      <c r="GG133" s="7">
        <v>0.16310700809723885</v>
      </c>
      <c r="GH133" s="42">
        <v>3.0760599226054723</v>
      </c>
      <c r="GI133" s="6">
        <v>10524.429227982493</v>
      </c>
      <c r="GJ133" s="14">
        <v>0.5107463060103955</v>
      </c>
      <c r="GK133" s="14">
        <v>0.50829519786160993</v>
      </c>
      <c r="GL133" s="14">
        <v>0.48925369398960439</v>
      </c>
      <c r="GM133" s="14">
        <v>0.49170480213839024</v>
      </c>
      <c r="GO133" s="5">
        <v>338.16872463277008</v>
      </c>
      <c r="GP133" s="5">
        <v>293.33520778489498</v>
      </c>
      <c r="GQ133" s="5">
        <v>527.27910984145694</v>
      </c>
      <c r="GR133" s="5">
        <v>404.20319246551543</v>
      </c>
      <c r="GS133" s="5">
        <v>334.50205195691484</v>
      </c>
      <c r="GT133" s="5">
        <v>289.18266033348181</v>
      </c>
      <c r="GU133" s="5">
        <v>254.29573314828914</v>
      </c>
      <c r="GV133" s="39" t="s">
        <v>392</v>
      </c>
      <c r="GW133" s="5">
        <v>447.93055555555554</v>
      </c>
      <c r="GX133" s="5">
        <v>335.94791666666669</v>
      </c>
      <c r="GY133" s="5">
        <v>268.75833333333333</v>
      </c>
      <c r="GZ133" s="5">
        <v>237.15086788348813</v>
      </c>
      <c r="HA133" s="5">
        <v>219.67483322752744</v>
      </c>
      <c r="HB133" s="39">
        <v>252.99604077227752</v>
      </c>
      <c r="HC133" s="5">
        <v>72.109375000000014</v>
      </c>
      <c r="HD133" s="5">
        <v>92.305464181286524</v>
      </c>
      <c r="HE133" s="5">
        <v>103.7516995614035</v>
      </c>
      <c r="HF133" s="5">
        <v>106.17129934210527</v>
      </c>
      <c r="HG133" s="5">
        <v>115.13410087719299</v>
      </c>
      <c r="HH133" s="39">
        <v>96.304265044073475</v>
      </c>
      <c r="HI133" s="16"/>
      <c r="HJ133" s="19" t="str">
        <f t="shared" ref="HJ133" si="304">HJ132</f>
        <v>On</v>
      </c>
      <c r="HK133" s="1" t="str">
        <f t="shared" si="108"/>
        <v>On</v>
      </c>
      <c r="HL133" s="16"/>
      <c r="HM133" s="639">
        <f t="shared" ref="HM133:HM136" si="305">VLOOKUP($C133*1000+1,$A:$HH,FT$92,FALSE)*$JF133</f>
        <v>1.7699001661282989E-2</v>
      </c>
      <c r="HN133" s="639">
        <f t="shared" ref="HN133:HN136" si="306">VLOOKUP($C133*1000+1,$A:$HH,FU$92,FALSE)*$JF133</f>
        <v>1.0509929974846072E-3</v>
      </c>
      <c r="HO133" s="639">
        <f t="shared" ref="HO133:HO136" si="307">VLOOKUP($C133*1000+1,$A:$HH,FV$92,FALSE)*$JF133</f>
        <v>5.7398960259851091E-2</v>
      </c>
      <c r="HP133" s="644">
        <f>(FT133*$GD133-HM133)/$JF133*INDEX(Input!$1:$1048576,$JG$93,$C133*2+6)</f>
        <v>62.979895654610552</v>
      </c>
      <c r="HQ133" s="644">
        <f>(FU133*$GD133-HN133)/$JF133*INDEX(Input!$1:$1048576,$JG$93,$C133*2+6)</f>
        <v>3.7175019118580579</v>
      </c>
      <c r="HR133" s="644">
        <f>(FV133*$GD133-HO133)/$JF133*INDEX(Input!$1:$1048576,$JG$93,$C133*2+6)</f>
        <v>14.436541948668411</v>
      </c>
      <c r="HS133" s="644">
        <f t="shared" ref="HS133:HS136" si="308">IF(AND(HJ133="On",HK133="On"),IL133/1000*INDEX(KG:KG,MATCH(C133*1000+3,$KF:$KF,0))*SUM(HY133:IA133)*1.1
+INDEX(HR:HR,MATCH(C133*1000+4,$KF:$KF,0))/INDEX(IM:IM,MATCH(C133*1000+4,$KF:$KF,0))*IM133*20%,0)</f>
        <v>-0.40014153375260614</v>
      </c>
      <c r="HT133" s="644">
        <f t="shared" ref="HT133:HT136" si="309">IF(AND(HJ133="On",HK133="On"),IM133/1000*INDEX(KG:KG,MATCH(C133*1000+4,$KF:$KF,0))*SUM(HY133:IA133)*1.1
+INDEX(HR:HR,MATCH(C133*1000+3,$KF:$KF,0))/INDEX(IL:IL,MATCH(C133*1000+3,$KF:$KF,0))*IL133*20%,0)</f>
        <v>24.600415836567468</v>
      </c>
      <c r="HU133" s="644">
        <f t="shared" ref="HU133:HU136" si="310">IF(HJ133="On",IN133/1000*INDEX(KG:KG,MATCH(C133*1000+5,$KF:$KF,0))*SUM(HY133:IA133)*1.1
-INDEX(HR:HR,MATCH(C133*1000+3,$KF:$KF,0))/INDEX(IL:IL,MATCH(C133*1000+3,$KF:$KF,0))*IL133*20%
-INDEX(HR:HR,MATCH(C133*1000+4,$KF:$KF,0))/INDEX(IM:IM,MATCH(C133*1000+4,$KF:$KF,0))*IM133*20%,0)</f>
        <v>22.742228436669201</v>
      </c>
      <c r="HV133" s="648">
        <f t="shared" ref="HV133:HV136" si="311">IL133/1000*0+IM133/1000*0+IN133/1000*0
+(CP133-INDEX(CP:CP,MATCH(C133*1000+1,A:A,0)))/1000*0+IF(FU133&gt;0,0,0)</f>
        <v>0</v>
      </c>
      <c r="HW133" s="648">
        <f t="shared" ref="HW133:HW136" si="312">IL133/1000*0+IM133/1000*0+IN133/1000*0
+(CP133-INDEX(CP:CP,MATCH(C133*1000+1,A:A,0)))/1000*0+IF(FU133&gt;0,0,0)</f>
        <v>0</v>
      </c>
      <c r="HX133" s="648">
        <f t="shared" ref="HX133:HX136" si="313">IL133/1000*0+IM133/1000*0+IN133/1000*0
+(CP133-INDEX(CP:CP,MATCH(C133*1000+1,A:A,0)))/1000*0+IF(FU133&gt;0,0,0)</f>
        <v>0</v>
      </c>
      <c r="HY133" s="644">
        <f>INDEX(Input!$1:$1048576,HY$93,$C133*2+6)*INDEX(Input!$1:$1048576,$JG$93,$C133*2+6)</f>
        <v>154.99999999999997</v>
      </c>
      <c r="HZ133" s="644">
        <f>INDEX(Input!$1:$1048576,HZ$93,$C133*2+6)*INDEX(Input!$1:$1048576,$JG$93,$C133*2+6)</f>
        <v>140</v>
      </c>
      <c r="IA133" s="644">
        <f>INDEX(Input!$1:$1048576,IA$93,$C133*2+6)*INDEX(Input!$1:$1048576,$JG$93,$C133*2+6)</f>
        <v>683</v>
      </c>
      <c r="IB133" s="644">
        <f t="shared" ref="IB133:IB136" si="314">SUM(HP133:IA133)-IC133-ID133</f>
        <v>217.57975412085796</v>
      </c>
      <c r="IC133" s="644">
        <f t="shared" ref="IC133:IC136" si="315">MAX(HZ133+HQ133+HT133+HW133,0%)</f>
        <v>168.31791774842551</v>
      </c>
      <c r="ID133" s="644">
        <f>IF(AND(INDEX(Input!$1:$1048576,IA$93,$C133*2+7)="TOS",Y133&lt;=INDEX(Y:Y,MATCH(C133*1000+2,A:A))),0,1)*MAX(IA133+HR133+HU133+HX133,0%)</f>
        <v>720.17877038533754</v>
      </c>
      <c r="IE133" s="128">
        <f t="shared" ref="IE133:IE136" si="316">IB133/SUM($IB133:$ID133)</f>
        <v>0.19671312561123208</v>
      </c>
      <c r="IF133" s="128">
        <f t="shared" ref="IF133:IF136" si="317">IC133/SUM($IB133:$ID133)</f>
        <v>0.15217566464513704</v>
      </c>
      <c r="IG133" s="128">
        <f t="shared" ref="IG133:IG136" si="318">ID133/SUM($IB133:$ID133)</f>
        <v>0.65111120974363079</v>
      </c>
      <c r="IH133" s="21"/>
      <c r="II133" s="19">
        <f t="shared" ref="II133:II136" si="319">VLOOKUP($C133*1000+1,$A:$HH,FW$92,FALSE)-VLOOKUP($C133*1000+1,$A:$HH,FA$92,FALSE)*VLOOKUP($C133*1000+1,$A:$HH,DZ$92,FALSE)/VLOOKUP($C133*1000+1,$A:$HH,FT$92,FALSE)</f>
        <v>1200</v>
      </c>
      <c r="IJ133" s="19">
        <f t="shared" ref="IJ133:IJ136" si="320">VLOOKUP($C133*1000+1,$A:$HH,FX$92,FALSE)</f>
        <v>2231.5502763133163</v>
      </c>
      <c r="IK133" s="19">
        <f t="shared" ref="IK133:IK136" si="321">VLOOKUP($C133*1000+1,$A:$HH,FY$92,FALSE)</f>
        <v>4498</v>
      </c>
      <c r="IL133" s="19">
        <f t="shared" ref="IL133:IL136" si="322">(FW133-FA133*DZ133/FT133)-II133</f>
        <v>1150.0000000000005</v>
      </c>
      <c r="IM133" s="19">
        <f t="shared" ref="IM133:IM136" si="323">FX133-IJ133</f>
        <v>1150</v>
      </c>
      <c r="IN133" s="19">
        <f t="shared" ref="IN133:IN136" si="324">FY133-IK133</f>
        <v>324.99999999999909</v>
      </c>
      <c r="IO133" s="39">
        <f t="shared" ref="IO133:IO136" si="325">(F133-VLOOKUP($C133*1000+1,$A:$HH,F$92,FALSE))*(1-$I133)</f>
        <v>0</v>
      </c>
      <c r="IP133" s="39">
        <f t="shared" ref="IP133:IP136" si="326">(G133-VLOOKUP($C133*1000+1,$A:$HH,G$92,FALSE))*(1-$I133)</f>
        <v>0</v>
      </c>
      <c r="IQ133" s="39">
        <f t="shared" ref="IQ133:IQ136" si="327">(H133-VLOOKUP($C133*1000+1,$A:$HH,H$92,FALSE))*(1-$I133)</f>
        <v>0</v>
      </c>
      <c r="IR133" s="39">
        <v>0</v>
      </c>
      <c r="IS133" s="39">
        <v>0</v>
      </c>
      <c r="IT133" s="39">
        <v>0</v>
      </c>
      <c r="IU133" s="39">
        <v>0</v>
      </c>
      <c r="IV133" s="39">
        <v>0</v>
      </c>
      <c r="IW133" s="39">
        <v>0</v>
      </c>
      <c r="IX133" s="39">
        <f>INDEX(Input!$1:$1048576,IX$93,$C133*2+6)+INDEX(Input!$1:$1048576,IX$94,$C133*2+6)</f>
        <v>1600</v>
      </c>
      <c r="IY133" s="39">
        <f>INDEX(Input!$1:$1048576,IY$93,$C133*2+6)+INDEX(Input!$1:$1048576,IY$94,$C133*2+6)</f>
        <v>2503.5492916397525</v>
      </c>
      <c r="IZ133" s="39">
        <f>INDEX(Input!$1:$1048576,IZ$93,$C133*2+6)+INDEX(Input!$1:$1048576,IZ$94,$C133*2+6)</f>
        <v>6273.7109265464023</v>
      </c>
      <c r="JA133" s="19">
        <f t="shared" ref="JA133:JA136" si="328">(IL133+IO133+IR133+IU133+IX133)</f>
        <v>2750.0000000000005</v>
      </c>
      <c r="JB133" s="19">
        <f t="shared" ref="JB133:JB136" si="329">(IM133+IP133+IS133+IV133+IY133)</f>
        <v>3653.5492916397525</v>
      </c>
      <c r="JC133" s="19">
        <f t="shared" ref="JC133:JC136" si="330">(IN133+IQ133+IT133+IW133+IZ133)</f>
        <v>6598.7109265464014</v>
      </c>
      <c r="JD133" s="19">
        <f t="shared" ref="JD133:JD136" si="331">SUMPRODUCT(IE133:IG133,JA133:JC133)</f>
        <v>5393.4370413320794</v>
      </c>
      <c r="JE133" s="21"/>
      <c r="JF133" s="1">
        <f t="shared" ref="JF133:JF136" si="332">VLOOKUP($C133*1000+1,$A:$HH,GD$92,FALSE)</f>
        <v>7.6148954918618686E-2</v>
      </c>
      <c r="JG133" s="15">
        <f>INDEX(Input!$1:$1048576,JG$93,$C133*2+6)/(1+VLOOKUP(C133*1000+INDEX(Input!$1:$1048576,JG$93+1,$C133*2+6),$A:$KK,$JK$92,FALSE))</f>
        <v>978</v>
      </c>
      <c r="JH133" s="1">
        <f t="shared" ref="JH133:JH136" si="333">SUM(HP133:HR133)/SUM(HY133:IA133)</f>
        <v>8.29590383590358E-2</v>
      </c>
      <c r="JI133" s="1">
        <f t="shared" ref="JI133:JI136" si="334">SUM(HS133:HU133)/SUM(HY133:IA133)</f>
        <v>4.7998469058777159E-2</v>
      </c>
      <c r="JJ133" s="1">
        <f t="shared" ref="JJ133:JJ136" si="335">SUM(HV133:HX133)/SUM(HY133:IA133)</f>
        <v>0</v>
      </c>
      <c r="JK133" s="1">
        <f t="shared" ref="JK133:JK136" si="336">SUM(JH133:JJ133)</f>
        <v>0.13095750741781295</v>
      </c>
      <c r="JL133" s="15">
        <f t="shared" ref="JL133:JL136" si="337">JG133*JK133</f>
        <v>128.07644225462107</v>
      </c>
      <c r="JM133" s="15">
        <f t="shared" ref="JM133:JM136" si="338">JG133+JL133</f>
        <v>1106.076442254621</v>
      </c>
      <c r="JN133" s="21"/>
      <c r="JO133" s="19">
        <f>INDEX(Input!$1:$1048576,JO$93,$C133*2+6)</f>
        <v>5908.5</v>
      </c>
      <c r="JP133" s="19">
        <f>INDEX(Input!$1:$1048576,JP$93,$C133*2+6)</f>
        <v>4993.2939301234746</v>
      </c>
      <c r="JQ133" s="39">
        <f t="shared" ref="JQ133:JQ136" si="339">JO133-JD133</f>
        <v>515.06295866792061</v>
      </c>
      <c r="JR133" s="39">
        <f t="shared" ref="JR133:JR136" si="340">JD133-JP133</f>
        <v>400.14311120860475</v>
      </c>
      <c r="JS133" s="39">
        <f t="shared" ref="JS133:JS136" si="341">JM133*JD133/1000000</f>
        <v>5.9655536542008765</v>
      </c>
      <c r="JT133" s="39">
        <f t="shared" ref="JT133:JT136" si="342">(JD133*JM133-JP133*JG133)/1000000</f>
        <v>1.0821121905401181</v>
      </c>
      <c r="JU133" s="385">
        <f>(JQ133*JM133-INDEX(Input!$1:$1048576,Input!A$18,$C133*2+6)*JL133*INDEX(Input!$1:$1048576,Input!A$19,$C133*2+6))/1000000</f>
        <v>0.56969900486055258</v>
      </c>
      <c r="JV133" s="39">
        <f t="shared" ref="JV133:JV136" si="343">JU133-(JO133-JP133)*JG133/1000000</f>
        <v>-0.32537253147868916</v>
      </c>
      <c r="JW133" s="1">
        <f t="shared" ref="JW133:JW136" si="344">JV133/(JU133-JV133)</f>
        <v>-0.36351567251197836</v>
      </c>
      <c r="JX133" s="19">
        <f t="shared" ref="JX133:JX136" si="345">IF(JL133=0,0,JT133/JL133)*1000000</f>
        <v>8448.9557290234206</v>
      </c>
      <c r="JZ133" s="341"/>
      <c r="KA133" s="342"/>
      <c r="KB133" s="469">
        <f t="shared" si="110"/>
        <v>3.2656316020464753</v>
      </c>
      <c r="KI133" s="473">
        <f t="shared" ref="KI133:KI136" si="346">$JM133*IE133-$JG133*HY133/SUM($HY133:$IA133)</f>
        <v>62.579754120857984</v>
      </c>
      <c r="KJ133" s="473">
        <f t="shared" ref="KJ133:KJ136" si="347">$JM133*IF133-$JG133*HZ133/SUM($HY133:$IA133)</f>
        <v>28.317917748425486</v>
      </c>
      <c r="KK133" s="473">
        <f t="shared" ref="KK133:KK136" si="348">$JM133*IG133-$JG133*IA133/SUM($HY133:$IA133)</f>
        <v>37.178770385337543</v>
      </c>
      <c r="KN133" s="544">
        <f t="shared" ref="KN133:KN136" si="349">KM133+(KN132-KM132)</f>
        <v>1002</v>
      </c>
      <c r="KO133" s="541">
        <f t="shared" ref="KO133:KO136" si="350">JM133/INDEX(JM:JM,MATCH(KN133,A:A,0))-1</f>
        <v>4.5332707267047079E-2</v>
      </c>
      <c r="KP133" s="546">
        <f t="shared" ref="KP133:KP136" si="351">(IL133-INDEX(IL:IL,MATCH(KN133,A:A,0)))*IE133
+(IM133-IF(HN133=0,INDEX(IX:IX,MATCH(KN133,A:A,0)),INDEX(IM:IM,MATCH(KN133,A:A,0))))*IF133
+(IN133-INDEX(IN:IN,MATCH(KN133,A:A,0)))*IG133</f>
        <v>261.66659269227705</v>
      </c>
      <c r="KQ133" s="546">
        <f t="shared" ref="KQ133:KQ136" si="352">JD133-INDEX(JD:JD,MATCH(KN133,A:A,0))</f>
        <v>38.983141356638953</v>
      </c>
      <c r="KR133" s="548">
        <f t="shared" ref="KR133:KR136" si="353">KO133/(KP133/(BX133-INDEX(JD:JD,MATCH(KN133,A:A,0))))</f>
        <v>2.4844431675942951</v>
      </c>
      <c r="KS133" s="548">
        <f t="shared" ref="KS133:KS136" si="354">KO133/(KQ133/(BX133-INDEX(JD:JD,MATCH(KN133,A:A,0))))</f>
        <v>16.676331249310508</v>
      </c>
      <c r="KT133" s="473">
        <f t="shared" si="112"/>
        <v>-82.310573396665475</v>
      </c>
      <c r="KU133" s="663">
        <f t="shared" ref="KU133:KU136" si="355">IF(D133="",0,IFERROR((JM133/KT133-1)/(JD133/BX133)+B133*10^-6,0))</f>
        <v>-52.722059966573298</v>
      </c>
      <c r="KV133" s="117"/>
    </row>
    <row r="134" spans="1:308" s="26" customFormat="1" ht="15">
      <c r="A134" s="561">
        <f t="shared" si="300"/>
        <v>1034</v>
      </c>
      <c r="B134" s="561">
        <f t="shared" si="104"/>
        <v>34</v>
      </c>
      <c r="C134" s="561">
        <f t="shared" si="105"/>
        <v>1</v>
      </c>
      <c r="D134" s="561" t="str">
        <f t="shared" si="287"/>
        <v xml:space="preserve">1000 CC, 1000 Combo, </v>
      </c>
      <c r="E134" s="475">
        <f>INDEX(Input!$1:$1048576,E$93,$C134*2+MIN($B134,2)+5)
+INDEX(Scenarios!E$121:E$200,MATCH($B134,Scenarios!$B$121:$B$200,0))</f>
        <v>2250</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1.9E-2</v>
      </c>
      <c r="W134" s="863">
        <f>IFERROR(MAX(0,INDEX(Input!$1:$1048576,W$93,$C134*2+MIN($B134,2)+5)-0%,),"Market")</f>
        <v>3.9E-2</v>
      </c>
      <c r="X134" s="476" t="str">
        <f>INDEX(Input!$1:$1048576,X$93,$C134*2+MIN($B134,2)+5)</f>
        <v>Y</v>
      </c>
      <c r="Y134" s="475">
        <f>INDEX(Input!$1:$1048576,Y$93,$C134*2+MIN($B134,2)+5)
++INDEX(Scenarios!Y$121:Y$200,MATCH($B134,Scenarios!$B$121:$B$200,0))</f>
        <v>2826</v>
      </c>
      <c r="Z134" s="477">
        <f>INDEX(Input!$1:$1048576,Z$93,$C134*2+MIN($B134,2)+5)
+INDEX(Scenarios!Z$121:Z$200,MATCH($B134,Scenarios!$B$121:$B$200,0))</f>
        <v>0</v>
      </c>
      <c r="AA134" s="475">
        <f>INDEX(Input!$1:$1048576,AA$93,$C134*2+MIN($B134,2)+5)</f>
        <v>0</v>
      </c>
      <c r="AB134" s="476">
        <f>INDEX(Input!$1:$1048576,AB$93,$C134*2+MIN($B134,2)+5)</f>
        <v>1</v>
      </c>
      <c r="AC134" s="475">
        <f>INDEX(Input!$1:$1048576,AC$93,$C134*2+MIN($B134,2)+5)
+INDEX(Scenarios!AC$121:AC$200,MATCH($B134,Scenarios!$B$121:$B$200,0))</f>
        <v>0</v>
      </c>
      <c r="AD134" s="476">
        <f>INDEX(Input!$1:$1048576,AD$93,$C134*2+MIN($B134,2)+5)</f>
        <v>0.35</v>
      </c>
      <c r="AE134" s="475">
        <f>INDEX(Input!$1:$1048576,AE$93,$C134*2+MIN($B134,2)+5)
+INDEX(Scenarios!AE$121:AE$200,MATCH($B134,Scenarios!$B$121:$B$200,0))</f>
        <v>0</v>
      </c>
      <c r="AF134" s="476">
        <f>INDEX(Input!$1:$1048576,AF$93,$C134*2+MIN($B134,2)+5)</f>
        <v>1</v>
      </c>
      <c r="AG134" s="475">
        <f>INDEX(Input!$1:$1048576,AG$93,$C134*2+MIN($B134,2)+5)
+INDEX(Scenarios!AG$121:AG$200,MATCH($B134,Scenarios!$B$121:$B$200,0))</f>
        <v>0</v>
      </c>
      <c r="AH134" s="476">
        <f>INDEX(Input!$1:$1048576,AH$93,$C134*2+MIN($B134,2)+5)</f>
        <v>1</v>
      </c>
      <c r="AI134" s="475">
        <f>INDEX(Input!$1:$1048576,AI$93,$C134*2+MIN($B134,2)+5)
+INDEX(Scenarios!AI$121:AI$200,MATCH($B134,Scenarios!$B$121:$B$200,0))</f>
        <v>0</v>
      </c>
      <c r="AJ134" s="476">
        <f>INDEX(Input!$1:$1048576,AJ$93,$C134*2+MIN($B134,2)+5)</f>
        <v>0.35</v>
      </c>
      <c r="AK134" s="150">
        <f>ROUND(INDEX(Input!$1:$1048576,AK$93,$C133*2+MIN($B134,1)+5)+(Y134-VLOOKUP($C134*1000+1,$A:$HH,Y$92,FALSE)),0)</f>
        <v>5482</v>
      </c>
      <c r="AL134" s="150">
        <f>ROUND(INDEX(Input!$1:$1048576,AL$93,$C133*2+MIN($B134,1)+5)-(Y134-VLOOKUP($C134*1000+1,$A:$HH,Y$92,FALSE))/36,0)</f>
        <v>5602</v>
      </c>
      <c r="AM134" s="32" t="str">
        <f t="shared" si="301"/>
        <v>std/std/std/std</v>
      </c>
      <c r="AN134" s="32" t="str">
        <f t="shared" si="302"/>
        <v>$1000 + 0/0/0/1.9/3.9</v>
      </c>
      <c r="AO134" s="32" t="str">
        <f t="shared" si="303"/>
        <v>0/0/0/1.9/3.9</v>
      </c>
      <c r="AP134" s="32" t="str">
        <f t="shared" si="73"/>
        <v>0/0.9/1.9/3.9</v>
      </c>
      <c r="AQ134" s="536">
        <f t="shared" si="39"/>
        <v>0.21060722138614382</v>
      </c>
      <c r="AR134" s="32"/>
      <c r="AS134" s="302"/>
      <c r="AT134" s="3">
        <f t="shared" si="106"/>
        <v>34</v>
      </c>
      <c r="AU134" s="41" t="s">
        <v>121</v>
      </c>
      <c r="AV134" s="41" t="s">
        <v>116</v>
      </c>
      <c r="AW134" s="41" t="str">
        <f>INDEX(Input!$1:$1048576,AW$93,$C134*2+6)</f>
        <v>Kia</v>
      </c>
      <c r="AX134" s="41" t="str">
        <f>INDEX(Input!$1:$1048576,AX$93,$C134*2+6)</f>
        <v>Kia-LR - L1</v>
      </c>
      <c r="AY134" s="41" t="str">
        <f>IF(LEN(D134)=0,"",INDEX(Input!$1:$1048576,AY$93,$C134*2+6))</f>
        <v>Compact Conventional/Sporty Car (43)</v>
      </c>
      <c r="AZ134" s="41" t="str">
        <f>INDEX(Input!$1:$1048576,AZ$93,$C134*2+6)</f>
        <v>Kia Forte</v>
      </c>
      <c r="BA134" s="3">
        <f>INDEX(Input!$1:$1048576,BA$93,$C134*2+6)</f>
        <v>2020</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19695</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4"/>
        <v>2250</v>
      </c>
      <c r="CJ134" s="16" t="str">
        <f>INDEX(Input!$1:$1048576,CJ$93,$C134*2+6)</f>
        <v>N</v>
      </c>
      <c r="CK134" s="1" t="str">
        <f t="shared" si="75"/>
        <v>Market</v>
      </c>
      <c r="CL134" s="1" t="str">
        <f t="shared" si="76"/>
        <v>Market</v>
      </c>
      <c r="CM134" s="1" t="str">
        <f t="shared" si="77"/>
        <v>Market</v>
      </c>
      <c r="CN134" s="1" t="str">
        <f t="shared" si="78"/>
        <v>Market</v>
      </c>
      <c r="CO134" s="1" t="str">
        <f t="shared" si="79"/>
        <v>Market</v>
      </c>
      <c r="CP134" s="304">
        <f t="shared" si="80"/>
        <v>1000</v>
      </c>
      <c r="CQ134" s="1">
        <f t="shared" si="81"/>
        <v>0</v>
      </c>
      <c r="CR134" s="1">
        <f t="shared" si="82"/>
        <v>0</v>
      </c>
      <c r="CS134" s="1">
        <f t="shared" si="83"/>
        <v>0</v>
      </c>
      <c r="CT134" s="1">
        <f t="shared" si="84"/>
        <v>1.9E-2</v>
      </c>
      <c r="CU134" s="1">
        <f t="shared" si="85"/>
        <v>3.9E-2</v>
      </c>
      <c r="CV134" s="304">
        <f t="shared" si="86"/>
        <v>2826</v>
      </c>
      <c r="CW134" s="20" t="s">
        <v>122</v>
      </c>
      <c r="CX134" s="20" t="s">
        <v>122</v>
      </c>
      <c r="CY134" s="20" t="s">
        <v>122</v>
      </c>
      <c r="CZ134" s="20" t="s">
        <v>122</v>
      </c>
      <c r="DA134" s="20" t="s">
        <v>122</v>
      </c>
      <c r="DB134" s="503">
        <f t="shared" si="87"/>
        <v>0</v>
      </c>
      <c r="DC134" s="127">
        <v>0</v>
      </c>
      <c r="DD134" s="127">
        <v>0</v>
      </c>
      <c r="DE134" s="127">
        <v>0</v>
      </c>
      <c r="DF134" s="127">
        <v>0</v>
      </c>
      <c r="DG134" s="127">
        <v>0</v>
      </c>
      <c r="DH134" s="127">
        <v>0</v>
      </c>
      <c r="DI134" s="127">
        <v>0</v>
      </c>
      <c r="DJ134" s="127">
        <v>0</v>
      </c>
      <c r="DK134" s="127">
        <v>0</v>
      </c>
      <c r="DL134" s="127">
        <v>0</v>
      </c>
      <c r="DM134" s="304">
        <f>INDEX(Input!$1:$1048576,DM$93,$C134*2+6)</f>
        <v>20731.578947368424</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1.7686360181436295E-2</v>
      </c>
      <c r="DZ134" s="7">
        <v>0</v>
      </c>
      <c r="EA134" s="7">
        <v>0.27161278434241448</v>
      </c>
      <c r="EB134" s="7">
        <v>0</v>
      </c>
      <c r="EC134" s="7">
        <v>0</v>
      </c>
      <c r="ED134" s="7">
        <v>0</v>
      </c>
      <c r="EE134" s="7">
        <v>0</v>
      </c>
      <c r="EF134" s="7">
        <v>0</v>
      </c>
      <c r="EG134" s="7">
        <v>0</v>
      </c>
      <c r="EH134" s="7">
        <v>1.9867163211649868E-2</v>
      </c>
      <c r="EI134" s="7">
        <v>3.5734944822064248E-2</v>
      </c>
      <c r="EJ134" s="7">
        <v>0.28104141462213034</v>
      </c>
      <c r="EK134" s="7">
        <v>0.62010092925970728</v>
      </c>
      <c r="EL134" s="7">
        <v>4.3255548084448148E-2</v>
      </c>
      <c r="EM134" s="7">
        <v>1.7151855992065694E-2</v>
      </c>
      <c r="EN134" s="7">
        <v>5.6686594175933754E-2</v>
      </c>
      <c r="EO134" s="7">
        <v>0.54216995014193581</v>
      </c>
      <c r="EP134" s="7">
        <v>0.3117315538121922</v>
      </c>
      <c r="EQ134" s="7">
        <v>5.1954312326603483E-2</v>
      </c>
      <c r="ER134" s="7">
        <v>3.7457589543334738E-2</v>
      </c>
      <c r="ES134" s="7">
        <v>0.69354899948408344</v>
      </c>
      <c r="ET134" s="7">
        <v>0.71070085547614925</v>
      </c>
      <c r="EU134" s="6">
        <v>2600</v>
      </c>
      <c r="EV134" s="6">
        <v>0</v>
      </c>
      <c r="EW134" s="6">
        <v>2600</v>
      </c>
      <c r="EX134" s="6">
        <v>0</v>
      </c>
      <c r="EY134" s="6">
        <v>3631.5502763133163</v>
      </c>
      <c r="EZ134" s="6">
        <v>4822.9999999999991</v>
      </c>
      <c r="FA134" s="6">
        <v>0</v>
      </c>
      <c r="FB134" s="6">
        <v>0</v>
      </c>
      <c r="FC134" s="6">
        <v>0</v>
      </c>
      <c r="FD134" s="6">
        <v>0</v>
      </c>
      <c r="FE134" s="6">
        <v>0</v>
      </c>
      <c r="FF134" s="6">
        <v>0</v>
      </c>
      <c r="FG134" s="6">
        <v>0</v>
      </c>
      <c r="FH134" s="6">
        <v>1152.1208270377815</v>
      </c>
      <c r="FI134" s="6">
        <v>1531.4299904380616</v>
      </c>
      <c r="FJ134" s="6">
        <v>2070.7205842538224</v>
      </c>
      <c r="FK134" s="6">
        <v>1746.9903521590431</v>
      </c>
      <c r="FL134" s="6">
        <v>893.91433563489375</v>
      </c>
      <c r="FM134" s="6">
        <v>1781.5502763133161</v>
      </c>
      <c r="FN134" s="6">
        <v>0</v>
      </c>
      <c r="FO134" s="6">
        <v>0</v>
      </c>
      <c r="FP134" s="6">
        <v>0</v>
      </c>
      <c r="FQ134" s="6">
        <v>0</v>
      </c>
      <c r="FR134" s="6">
        <v>0</v>
      </c>
      <c r="FS134" s="6">
        <v>0</v>
      </c>
      <c r="FT134" s="7">
        <v>0.28929914452385075</v>
      </c>
      <c r="FU134" s="7">
        <v>1.7151855992065694E-2</v>
      </c>
      <c r="FV134" s="7">
        <v>0.69354899948408344</v>
      </c>
      <c r="FW134" s="6">
        <v>2600.0000000000005</v>
      </c>
      <c r="FX134" s="6">
        <v>3631.5502763133163</v>
      </c>
      <c r="FY134" s="6">
        <v>4822.9999999999991</v>
      </c>
      <c r="FZ134" s="6">
        <v>3077.4375890575293</v>
      </c>
      <c r="GA134" s="6">
        <v>4159.4524276410184</v>
      </c>
      <c r="GB134" s="6">
        <v>15535.547572358981</v>
      </c>
      <c r="GC134" s="7">
        <v>7.0901643973087014E-2</v>
      </c>
      <c r="GD134" s="7">
        <v>8.3263626432079546E-2</v>
      </c>
      <c r="GE134" s="7"/>
      <c r="GF134" s="7"/>
      <c r="GG134" s="7">
        <v>0.17435396087127286</v>
      </c>
      <c r="GH134" s="42">
        <v>3.1736175299177809</v>
      </c>
      <c r="GI134" s="6">
        <v>10365.304208561272</v>
      </c>
      <c r="GJ134" s="14">
        <v>0.5107463060103955</v>
      </c>
      <c r="GK134" s="14">
        <v>0.50829519786160959</v>
      </c>
      <c r="GL134" s="14">
        <v>0.48925369398960433</v>
      </c>
      <c r="GM134" s="14">
        <v>0.49170480213839024</v>
      </c>
      <c r="GO134" s="5">
        <v>338.16872463277008</v>
      </c>
      <c r="GP134" s="5">
        <v>288.56568471597211</v>
      </c>
      <c r="GQ134" s="5">
        <v>527.27910984145694</v>
      </c>
      <c r="GR134" s="5">
        <v>404.20319246551543</v>
      </c>
      <c r="GS134" s="5">
        <v>334.50205195691484</v>
      </c>
      <c r="GT134" s="5">
        <v>289.18266033348181</v>
      </c>
      <c r="GU134" s="5">
        <v>254.29573314828914</v>
      </c>
      <c r="GV134" s="39" t="s">
        <v>392</v>
      </c>
      <c r="GW134" s="5">
        <v>440.98611111111109</v>
      </c>
      <c r="GX134" s="5">
        <v>330.73958333333331</v>
      </c>
      <c r="GY134" s="5">
        <v>264.59166666666664</v>
      </c>
      <c r="GZ134" s="5">
        <v>233.47422424633754</v>
      </c>
      <c r="HA134" s="5">
        <v>216.26912746293831</v>
      </c>
      <c r="HB134" s="39">
        <v>249.07374315712954</v>
      </c>
      <c r="HC134" s="5">
        <v>72.109375000000014</v>
      </c>
      <c r="HD134" s="5">
        <v>92.305464181286524</v>
      </c>
      <c r="HE134" s="5">
        <v>103.7516995614035</v>
      </c>
      <c r="HF134" s="5">
        <v>106.17129934210527</v>
      </c>
      <c r="HG134" s="5">
        <v>115.13410087719299</v>
      </c>
      <c r="HH134" s="39">
        <v>96.304265044073475</v>
      </c>
      <c r="HI134" s="16"/>
      <c r="HJ134" s="19" t="str">
        <f t="shared" ref="HJ134" si="356">HJ133</f>
        <v>On</v>
      </c>
      <c r="HK134" s="1" t="str">
        <f t="shared" si="108"/>
        <v>On</v>
      </c>
      <c r="HL134" s="16"/>
      <c r="HM134" s="639">
        <f t="shared" si="305"/>
        <v>1.7699001661282989E-2</v>
      </c>
      <c r="HN134" s="639">
        <f t="shared" si="306"/>
        <v>1.0509929974846072E-3</v>
      </c>
      <c r="HO134" s="639">
        <f t="shared" si="307"/>
        <v>5.7398960259851091E-2</v>
      </c>
      <c r="HP134" s="644">
        <f>(FT134*$GD134-HM134)/$JF134*INDEX(Input!$1:$1048576,$JG$93,$C134*2+6)</f>
        <v>82.056729064353263</v>
      </c>
      <c r="HQ134" s="644">
        <f>(FU134*$GD134-HN134)/$JF134*INDEX(Input!$1:$1048576,$JG$93,$C134*2+6)</f>
        <v>4.8436096429127957</v>
      </c>
      <c r="HR134" s="644">
        <f>(FV134*$GD134-HO134)/$JF134*INDEX(Input!$1:$1048576,$JG$93,$C134*2+6)</f>
        <v>4.4751601108197168</v>
      </c>
      <c r="HS134" s="644">
        <f t="shared" si="308"/>
        <v>-0.48712882369882488</v>
      </c>
      <c r="HT134" s="644">
        <f t="shared" si="309"/>
        <v>29.948332322777794</v>
      </c>
      <c r="HU134" s="644">
        <f t="shared" si="310"/>
        <v>24.437222877020332</v>
      </c>
      <c r="HV134" s="648">
        <f t="shared" si="311"/>
        <v>0</v>
      </c>
      <c r="HW134" s="648">
        <f t="shared" si="312"/>
        <v>0</v>
      </c>
      <c r="HX134" s="648">
        <f t="shared" si="313"/>
        <v>0</v>
      </c>
      <c r="HY134" s="644">
        <f>INDEX(Input!$1:$1048576,HY$93,$C134*2+6)*INDEX(Input!$1:$1048576,$JG$93,$C134*2+6)</f>
        <v>154.99999999999997</v>
      </c>
      <c r="HZ134" s="644">
        <f>INDEX(Input!$1:$1048576,HZ$93,$C134*2+6)*INDEX(Input!$1:$1048576,$JG$93,$C134*2+6)</f>
        <v>140</v>
      </c>
      <c r="IA134" s="644">
        <f>INDEX(Input!$1:$1048576,IA$93,$C134*2+6)*INDEX(Input!$1:$1048576,$JG$93,$C134*2+6)</f>
        <v>683</v>
      </c>
      <c r="IB134" s="644">
        <f t="shared" si="314"/>
        <v>236.56960024065449</v>
      </c>
      <c r="IC134" s="644">
        <f t="shared" si="315"/>
        <v>174.79194196569057</v>
      </c>
      <c r="ID134" s="644">
        <f>IF(AND(INDEX(Input!$1:$1048576,IA$93,$C134*2+7)="TOS",Y134&lt;=INDEX(Y:Y,MATCH(C134*1000+2,A:A))),0,1)*MAX(IA134+HR134+HU134+HX134,0%)</f>
        <v>711.91238298784003</v>
      </c>
      <c r="IE134" s="128">
        <f t="shared" si="316"/>
        <v>0.21060722138614382</v>
      </c>
      <c r="IF134" s="128">
        <f t="shared" si="317"/>
        <v>0.15560936477313275</v>
      </c>
      <c r="IG134" s="128">
        <f t="shared" si="318"/>
        <v>0.63378341384072345</v>
      </c>
      <c r="IH134" s="21"/>
      <c r="II134" s="19">
        <f t="shared" si="319"/>
        <v>1200</v>
      </c>
      <c r="IJ134" s="19">
        <f t="shared" si="320"/>
        <v>2231.5502763133163</v>
      </c>
      <c r="IK134" s="19">
        <f t="shared" si="321"/>
        <v>4498</v>
      </c>
      <c r="IL134" s="19">
        <f t="shared" si="322"/>
        <v>1400.0000000000005</v>
      </c>
      <c r="IM134" s="19">
        <f t="shared" si="323"/>
        <v>1400</v>
      </c>
      <c r="IN134" s="19">
        <f t="shared" si="324"/>
        <v>324.99999999999909</v>
      </c>
      <c r="IO134" s="39">
        <f t="shared" si="325"/>
        <v>0</v>
      </c>
      <c r="IP134" s="39">
        <f t="shared" si="326"/>
        <v>0</v>
      </c>
      <c r="IQ134" s="39">
        <f t="shared" si="327"/>
        <v>0</v>
      </c>
      <c r="IR134" s="39">
        <v>0</v>
      </c>
      <c r="IS134" s="39">
        <v>0</v>
      </c>
      <c r="IT134" s="39">
        <v>0</v>
      </c>
      <c r="IU134" s="39">
        <v>0</v>
      </c>
      <c r="IV134" s="39">
        <v>0</v>
      </c>
      <c r="IW134" s="39">
        <v>0</v>
      </c>
      <c r="IX134" s="39">
        <f>INDEX(Input!$1:$1048576,IX$93,$C134*2+6)+INDEX(Input!$1:$1048576,IX$94,$C134*2+6)</f>
        <v>1600</v>
      </c>
      <c r="IY134" s="39">
        <f>INDEX(Input!$1:$1048576,IY$93,$C134*2+6)+INDEX(Input!$1:$1048576,IY$94,$C134*2+6)</f>
        <v>2503.5492916397525</v>
      </c>
      <c r="IZ134" s="39">
        <f>INDEX(Input!$1:$1048576,IZ$93,$C134*2+6)+INDEX(Input!$1:$1048576,IZ$94,$C134*2+6)</f>
        <v>6273.7109265464023</v>
      </c>
      <c r="JA134" s="19">
        <f t="shared" si="328"/>
        <v>3000.0000000000005</v>
      </c>
      <c r="JB134" s="19">
        <f t="shared" si="329"/>
        <v>3903.5492916397525</v>
      </c>
      <c r="JC134" s="19">
        <f t="shared" si="330"/>
        <v>6598.7109265464014</v>
      </c>
      <c r="JD134" s="19">
        <f t="shared" si="331"/>
        <v>5421.4040277657678</v>
      </c>
      <c r="JE134" s="21"/>
      <c r="JF134" s="1">
        <f t="shared" si="332"/>
        <v>7.6148954918618686E-2</v>
      </c>
      <c r="JG134" s="15">
        <f>INDEX(Input!$1:$1048576,JG$93,$C134*2+6)/(1+VLOOKUP(C134*1000+INDEX(Input!$1:$1048576,JG$93+1,$C134*2+6),$A:$KK,$JK$92,FALSE))</f>
        <v>978</v>
      </c>
      <c r="JH134" s="1">
        <f t="shared" si="333"/>
        <v>9.343098038659077E-2</v>
      </c>
      <c r="JI134" s="1">
        <f t="shared" si="334"/>
        <v>5.511086541523446E-2</v>
      </c>
      <c r="JJ134" s="1">
        <f t="shared" si="335"/>
        <v>0</v>
      </c>
      <c r="JK134" s="1">
        <f t="shared" si="336"/>
        <v>0.14854184580182522</v>
      </c>
      <c r="JL134" s="15">
        <f t="shared" si="337"/>
        <v>145.27392519418507</v>
      </c>
      <c r="JM134" s="15">
        <f t="shared" si="338"/>
        <v>1123.273925194185</v>
      </c>
      <c r="JN134" s="21"/>
      <c r="JO134" s="19">
        <f>INDEX(Input!$1:$1048576,JO$93,$C134*2+6)</f>
        <v>5908.5</v>
      </c>
      <c r="JP134" s="19">
        <f>INDEX(Input!$1:$1048576,JP$93,$C134*2+6)</f>
        <v>4993.2939301234746</v>
      </c>
      <c r="JQ134" s="39">
        <f t="shared" si="339"/>
        <v>487.09597223423225</v>
      </c>
      <c r="JR134" s="39">
        <f t="shared" si="340"/>
        <v>428.11009764229311</v>
      </c>
      <c r="JS134" s="39">
        <f t="shared" si="341"/>
        <v>6.0897217823320178</v>
      </c>
      <c r="JT134" s="39">
        <f t="shared" si="342"/>
        <v>1.2062803186712601</v>
      </c>
      <c r="JU134" s="385">
        <f>(JQ134*JM134-INDEX(Input!$1:$1048576,Input!A$18,$C134*2+6)*JL134*INDEX(Input!$1:$1048576,Input!A$19,$C134*2+6))/1000000</f>
        <v>0.54714220467782382</v>
      </c>
      <c r="JV134" s="39">
        <f t="shared" si="343"/>
        <v>-0.34792933166141793</v>
      </c>
      <c r="JW134" s="1">
        <f t="shared" si="344"/>
        <v>-0.38871678691115141</v>
      </c>
      <c r="JX134" s="19">
        <f t="shared" si="345"/>
        <v>8303.488165951645</v>
      </c>
      <c r="JZ134" s="341"/>
      <c r="KA134" s="342"/>
      <c r="KB134" s="469">
        <f t="shared" si="110"/>
        <v>3.2656316020464753</v>
      </c>
      <c r="KI134" s="473">
        <f t="shared" si="346"/>
        <v>81.569600240654523</v>
      </c>
      <c r="KJ134" s="473">
        <f t="shared" si="347"/>
        <v>34.791941965690569</v>
      </c>
      <c r="KK134" s="473">
        <f t="shared" si="348"/>
        <v>28.912382987840033</v>
      </c>
      <c r="KN134" s="544">
        <f t="shared" si="349"/>
        <v>1002</v>
      </c>
      <c r="KO134" s="541">
        <f t="shared" si="350"/>
        <v>6.1585735279061193E-2</v>
      </c>
      <c r="KP134" s="546">
        <f t="shared" si="351"/>
        <v>366.2165861592768</v>
      </c>
      <c r="KQ134" s="546">
        <f t="shared" si="352"/>
        <v>66.950127790327315</v>
      </c>
      <c r="KR134" s="548">
        <f t="shared" si="353"/>
        <v>2.4116140809885978</v>
      </c>
      <c r="KS134" s="548">
        <f t="shared" si="354"/>
        <v>13.191506947368115</v>
      </c>
      <c r="KT134" s="473">
        <f t="shared" si="112"/>
        <v>-82.310573396665475</v>
      </c>
      <c r="KU134" s="663">
        <f t="shared" si="355"/>
        <v>-53.209105937630483</v>
      </c>
      <c r="KV134" s="117"/>
    </row>
    <row r="135" spans="1:308" s="26" customFormat="1" ht="15">
      <c r="A135" s="561">
        <f t="shared" si="300"/>
        <v>1035</v>
      </c>
      <c r="B135" s="561">
        <f t="shared" si="104"/>
        <v>35</v>
      </c>
      <c r="C135" s="561">
        <f t="shared" si="105"/>
        <v>1</v>
      </c>
      <c r="D135" s="561" t="str">
        <f t="shared" si="287"/>
        <v xml:space="preserve">250 CC, 0/0/0.9/3.9, </v>
      </c>
      <c r="E135" s="475">
        <f>INDEX(Input!$1:$1048576,E$93,$C135*2+MIN($B135,2)+5)
+INDEX(Scenarios!E$121:E$200,MATCH($B135,Scenarios!$B$121:$B$200,0))</f>
        <v>1500</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8.9999999999999993E-3</v>
      </c>
      <c r="W135" s="863">
        <f>IFERROR(MAX(0,INDEX(Input!$1:$1048576,W$93,$C135*2+MIN($B135,2)+5)-0%,),"Market")</f>
        <v>3.9E-2</v>
      </c>
      <c r="X135" s="476" t="str">
        <f>INDEX(Input!$1:$1048576,X$93,$C135*2+MIN($B135,2)+5)</f>
        <v>Y</v>
      </c>
      <c r="Y135" s="475">
        <f>INDEX(Input!$1:$1048576,Y$93,$C135*2+MIN($B135,2)+5)
++INDEX(Scenarios!Y$121:Y$200,MATCH($B135,Scenarios!$B$121:$B$200,0))</f>
        <v>2826</v>
      </c>
      <c r="Z135" s="477">
        <f>INDEX(Input!$1:$1048576,Z$93,$C135*2+MIN($B135,2)+5)
+INDEX(Scenarios!Z$121:Z$200,MATCH($B135,Scenarios!$B$121:$B$200,0))</f>
        <v>0</v>
      </c>
      <c r="AA135" s="475">
        <f>INDEX(Input!$1:$1048576,AA$93,$C135*2+MIN($B135,2)+5)</f>
        <v>0</v>
      </c>
      <c r="AB135" s="476">
        <f>INDEX(Input!$1:$1048576,AB$93,$C135*2+MIN($B135,2)+5)</f>
        <v>1</v>
      </c>
      <c r="AC135" s="475">
        <f>INDEX(Input!$1:$1048576,AC$93,$C135*2+MIN($B135,2)+5)
+INDEX(Scenarios!AC$121:AC$200,MATCH($B135,Scenarios!$B$121:$B$200,0))</f>
        <v>0</v>
      </c>
      <c r="AD135" s="476">
        <f>INDEX(Input!$1:$1048576,AD$93,$C135*2+MIN($B135,2)+5)</f>
        <v>0.35</v>
      </c>
      <c r="AE135" s="475">
        <f>INDEX(Input!$1:$1048576,AE$93,$C135*2+MIN($B135,2)+5)
+INDEX(Scenarios!AE$121:AE$200,MATCH($B135,Scenarios!$B$121:$B$200,0))</f>
        <v>0</v>
      </c>
      <c r="AF135" s="476">
        <f>INDEX(Input!$1:$1048576,AF$93,$C135*2+MIN($B135,2)+5)</f>
        <v>1</v>
      </c>
      <c r="AG135" s="475">
        <f>INDEX(Input!$1:$1048576,AG$93,$C135*2+MIN($B135,2)+5)
+INDEX(Scenarios!AG$121:AG$200,MATCH($B135,Scenarios!$B$121:$B$200,0))</f>
        <v>0</v>
      </c>
      <c r="AH135" s="476">
        <f>INDEX(Input!$1:$1048576,AH$93,$C135*2+MIN($B135,2)+5)</f>
        <v>1</v>
      </c>
      <c r="AI135" s="475">
        <f>INDEX(Input!$1:$1048576,AI$93,$C135*2+MIN($B135,2)+5)
+INDEX(Scenarios!AI$121:AI$200,MATCH($B135,Scenarios!$B$121:$B$200,0))</f>
        <v>0</v>
      </c>
      <c r="AJ135" s="476">
        <f>INDEX(Input!$1:$1048576,AJ$93,$C135*2+MIN($B135,2)+5)</f>
        <v>0.35</v>
      </c>
      <c r="AK135" s="150">
        <f>ROUND(INDEX(Input!$1:$1048576,AK$93,$C134*2+MIN($B135,1)+5)+(Y135-VLOOKUP($C135*1000+1,$A:$HH,Y$92,FALSE)),0)</f>
        <v>5482</v>
      </c>
      <c r="AL135" s="150">
        <f>ROUND(INDEX(Input!$1:$1048576,AL$93,$C134*2+MIN($B135,1)+5)-(Y135-VLOOKUP($C135*1000+1,$A:$HH,Y$92,FALSE))/36,0)</f>
        <v>5602</v>
      </c>
      <c r="AM135" s="32" t="str">
        <f t="shared" si="301"/>
        <v>std/std/std/std</v>
      </c>
      <c r="AN135" s="32" t="str">
        <f t="shared" si="302"/>
        <v>$0 + 0/0/0/0.9/3.9</v>
      </c>
      <c r="AO135" s="32" t="str">
        <f t="shared" si="303"/>
        <v>0/0/0/0.9/3.9</v>
      </c>
      <c r="AP135" s="32" t="str">
        <f t="shared" si="73"/>
        <v>0/0/0.9/3.9</v>
      </c>
      <c r="AQ135" s="536">
        <f t="shared" si="39"/>
        <v>0.16889008193068414</v>
      </c>
      <c r="AR135" s="32"/>
      <c r="AS135" s="302"/>
      <c r="AT135" s="3">
        <f t="shared" si="106"/>
        <v>35</v>
      </c>
      <c r="AU135" s="41" t="s">
        <v>121</v>
      </c>
      <c r="AV135" s="41" t="s">
        <v>116</v>
      </c>
      <c r="AW135" s="41" t="str">
        <f>INDEX(Input!$1:$1048576,AW$93,$C135*2+6)</f>
        <v>Kia</v>
      </c>
      <c r="AX135" s="41" t="str">
        <f>INDEX(Input!$1:$1048576,AX$93,$C135*2+6)</f>
        <v>Kia-LR - L1</v>
      </c>
      <c r="AY135" s="41" t="str">
        <f>IF(LEN(D135)=0,"",INDEX(Input!$1:$1048576,AY$93,$C135*2+6))</f>
        <v>Compact Conventional/Sporty Car (43)</v>
      </c>
      <c r="AZ135" s="41" t="str">
        <f>INDEX(Input!$1:$1048576,AZ$93,$C135*2+6)</f>
        <v>Kia Forte</v>
      </c>
      <c r="BA135" s="3">
        <f>INDEX(Input!$1:$1048576,BA$93,$C135*2+6)</f>
        <v>2020</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19695</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4"/>
        <v>1500</v>
      </c>
      <c r="CJ135" s="16" t="str">
        <f>INDEX(Input!$1:$1048576,CJ$93,$C135*2+6)</f>
        <v>N</v>
      </c>
      <c r="CK135" s="1" t="str">
        <f t="shared" si="75"/>
        <v>Market</v>
      </c>
      <c r="CL135" s="1" t="str">
        <f t="shared" si="76"/>
        <v>Market</v>
      </c>
      <c r="CM135" s="1" t="str">
        <f t="shared" si="77"/>
        <v>Market</v>
      </c>
      <c r="CN135" s="1" t="str">
        <f t="shared" si="78"/>
        <v>Market</v>
      </c>
      <c r="CO135" s="1" t="str">
        <f t="shared" si="79"/>
        <v>Market</v>
      </c>
      <c r="CP135" s="304">
        <f t="shared" si="80"/>
        <v>0</v>
      </c>
      <c r="CQ135" s="1">
        <f t="shared" si="81"/>
        <v>0</v>
      </c>
      <c r="CR135" s="1">
        <f t="shared" si="82"/>
        <v>0</v>
      </c>
      <c r="CS135" s="1">
        <f t="shared" si="83"/>
        <v>0</v>
      </c>
      <c r="CT135" s="1">
        <f t="shared" si="84"/>
        <v>8.9999999999999993E-3</v>
      </c>
      <c r="CU135" s="1">
        <f t="shared" si="85"/>
        <v>3.9E-2</v>
      </c>
      <c r="CV135" s="304">
        <f t="shared" si="86"/>
        <v>2826</v>
      </c>
      <c r="CW135" s="20" t="s">
        <v>122</v>
      </c>
      <c r="CX135" s="20" t="s">
        <v>122</v>
      </c>
      <c r="CY135" s="20" t="s">
        <v>122</v>
      </c>
      <c r="CZ135" s="20" t="s">
        <v>122</v>
      </c>
      <c r="DA135" s="20" t="s">
        <v>122</v>
      </c>
      <c r="DB135" s="503">
        <f t="shared" si="87"/>
        <v>0</v>
      </c>
      <c r="DC135" s="127">
        <v>0</v>
      </c>
      <c r="DD135" s="127">
        <v>0</v>
      </c>
      <c r="DE135" s="127">
        <v>0</v>
      </c>
      <c r="DF135" s="127">
        <v>0</v>
      </c>
      <c r="DG135" s="127">
        <v>0</v>
      </c>
      <c r="DH135" s="127">
        <v>0</v>
      </c>
      <c r="DI135" s="127">
        <v>0</v>
      </c>
      <c r="DJ135" s="127">
        <v>0</v>
      </c>
      <c r="DK135" s="127">
        <v>0</v>
      </c>
      <c r="DL135" s="127">
        <v>0</v>
      </c>
      <c r="DM135" s="304">
        <f>INDEX(Input!$1:$1048576,DM$93,$C135*2+6)</f>
        <v>20731.578947368424</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1.4730087569986948E-2</v>
      </c>
      <c r="DZ135" s="7">
        <v>0</v>
      </c>
      <c r="EA135" s="7">
        <v>0.22950587400317152</v>
      </c>
      <c r="EB135" s="7">
        <v>0</v>
      </c>
      <c r="EC135" s="7">
        <v>0</v>
      </c>
      <c r="ED135" s="7">
        <v>0</v>
      </c>
      <c r="EE135" s="7">
        <v>0</v>
      </c>
      <c r="EF135" s="7">
        <v>0</v>
      </c>
      <c r="EG135" s="7">
        <v>0</v>
      </c>
      <c r="EH135" s="7">
        <v>1.4476869635993293E-2</v>
      </c>
      <c r="EI135" s="7">
        <v>2.6039456772322753E-2</v>
      </c>
      <c r="EJ135" s="7">
        <v>0.20479017957701898</v>
      </c>
      <c r="EK135" s="7">
        <v>0.72317389939610388</v>
      </c>
      <c r="EL135" s="7">
        <v>3.1519594618561166E-2</v>
      </c>
      <c r="EM135" s="7">
        <v>1.8412915588966645E-2</v>
      </c>
      <c r="EN135" s="7">
        <v>5.6686594175933754E-2</v>
      </c>
      <c r="EO135" s="7">
        <v>0.54216995014193592</v>
      </c>
      <c r="EP135" s="7">
        <v>0.3117315538121922</v>
      </c>
      <c r="EQ135" s="7">
        <v>5.1954312326603497E-2</v>
      </c>
      <c r="ER135" s="7">
        <v>3.7457589543334745E-2</v>
      </c>
      <c r="ES135" s="7">
        <v>0.73735112283787496</v>
      </c>
      <c r="ET135" s="7">
        <v>0.75576403842684148</v>
      </c>
      <c r="EU135" s="6">
        <v>1850</v>
      </c>
      <c r="EV135" s="6">
        <v>0</v>
      </c>
      <c r="EW135" s="6">
        <v>1850</v>
      </c>
      <c r="EX135" s="6">
        <v>0</v>
      </c>
      <c r="EY135" s="6">
        <v>2963.2578502881042</v>
      </c>
      <c r="EZ135" s="6">
        <v>4822.9999999999991</v>
      </c>
      <c r="FA135" s="6">
        <v>0</v>
      </c>
      <c r="FB135" s="6">
        <v>0</v>
      </c>
      <c r="FC135" s="6">
        <v>0</v>
      </c>
      <c r="FD135" s="6">
        <v>0</v>
      </c>
      <c r="FE135" s="6">
        <v>0</v>
      </c>
      <c r="FF135" s="6">
        <v>0</v>
      </c>
      <c r="FG135" s="6">
        <v>0</v>
      </c>
      <c r="FH135" s="6">
        <v>1152.120827037782</v>
      </c>
      <c r="FI135" s="6">
        <v>1531.4299904380618</v>
      </c>
      <c r="FJ135" s="6">
        <v>2070.7205842538219</v>
      </c>
      <c r="FK135" s="6">
        <v>2218.639369850102</v>
      </c>
      <c r="FL135" s="6">
        <v>893.91433563489352</v>
      </c>
      <c r="FM135" s="6">
        <v>2113.2578502881042</v>
      </c>
      <c r="FN135" s="6">
        <v>0</v>
      </c>
      <c r="FO135" s="6">
        <v>0</v>
      </c>
      <c r="FP135" s="6">
        <v>0</v>
      </c>
      <c r="FQ135" s="6">
        <v>0</v>
      </c>
      <c r="FR135" s="6">
        <v>0</v>
      </c>
      <c r="FS135" s="6">
        <v>0</v>
      </c>
      <c r="FT135" s="7">
        <v>0.24423596157315847</v>
      </c>
      <c r="FU135" s="7">
        <v>1.8412915588966645E-2</v>
      </c>
      <c r="FV135" s="7">
        <v>0.73735112283787496</v>
      </c>
      <c r="FW135" s="6">
        <v>1849.9999999999998</v>
      </c>
      <c r="FX135" s="6">
        <v>2963.2578502881042</v>
      </c>
      <c r="FY135" s="6">
        <v>4822.9999999999991</v>
      </c>
      <c r="FZ135" s="6">
        <v>3077.4375890575293</v>
      </c>
      <c r="GA135" s="6">
        <v>4062.6432110231108</v>
      </c>
      <c r="GB135" s="6">
        <v>15632.356788976889</v>
      </c>
      <c r="GC135" s="7">
        <v>7.0901643973087014E-2</v>
      </c>
      <c r="GD135" s="7">
        <v>8.1152149213907773E-2</v>
      </c>
      <c r="GE135" s="7"/>
      <c r="GF135" s="7"/>
      <c r="GG135" s="7">
        <v>0.14457359048982935</v>
      </c>
      <c r="GH135" s="42">
        <v>2.8901346086681823</v>
      </c>
      <c r="GI135" s="6">
        <v>10877.204699242429</v>
      </c>
      <c r="GJ135" s="14">
        <v>0.5107463060103955</v>
      </c>
      <c r="GK135" s="14">
        <v>0.5082951978616097</v>
      </c>
      <c r="GL135" s="14">
        <v>0.48925369398960444</v>
      </c>
      <c r="GM135" s="14">
        <v>0.49170480213839035</v>
      </c>
      <c r="GO135" s="5">
        <v>338.16872463277008</v>
      </c>
      <c r="GP135" s="5">
        <v>302.87425392274076</v>
      </c>
      <c r="GQ135" s="5">
        <v>527.27910984145694</v>
      </c>
      <c r="GR135" s="5">
        <v>404.20319246551543</v>
      </c>
      <c r="GS135" s="5">
        <v>334.50205195691484</v>
      </c>
      <c r="GT135" s="5">
        <v>289.18266033348181</v>
      </c>
      <c r="GU135" s="5">
        <v>254.29573314828914</v>
      </c>
      <c r="GV135" s="39" t="s">
        <v>392</v>
      </c>
      <c r="GW135" s="5">
        <v>468.76388888888891</v>
      </c>
      <c r="GX135" s="5">
        <v>351.57291666666669</v>
      </c>
      <c r="GY135" s="5">
        <v>281.25833333333333</v>
      </c>
      <c r="GZ135" s="5">
        <v>240.8550698915011</v>
      </c>
      <c r="HA135" s="5">
        <v>229.8919505212948</v>
      </c>
      <c r="HB135" s="39">
        <v>254.96614723549271</v>
      </c>
      <c r="HC135" s="5">
        <v>72.109375000000014</v>
      </c>
      <c r="HD135" s="5">
        <v>92.305464181286524</v>
      </c>
      <c r="HE135" s="5">
        <v>103.7516995614035</v>
      </c>
      <c r="HF135" s="5">
        <v>106.17129934210527</v>
      </c>
      <c r="HG135" s="5">
        <v>115.13410087719299</v>
      </c>
      <c r="HH135" s="39">
        <v>96.304265044073475</v>
      </c>
      <c r="HI135" s="16"/>
      <c r="HJ135" s="19" t="str">
        <f t="shared" ref="HJ135" si="357">HJ134</f>
        <v>On</v>
      </c>
      <c r="HK135" s="1" t="str">
        <f t="shared" si="108"/>
        <v>On</v>
      </c>
      <c r="HL135" s="16"/>
      <c r="HM135" s="639">
        <f t="shared" si="305"/>
        <v>1.7699001661282989E-2</v>
      </c>
      <c r="HN135" s="639">
        <f t="shared" si="306"/>
        <v>1.0509929974846072E-3</v>
      </c>
      <c r="HO135" s="639">
        <f t="shared" si="307"/>
        <v>5.7398960259851091E-2</v>
      </c>
      <c r="HP135" s="644">
        <f>(FT135*$GD135-HM135)/$JF135*INDEX(Input!$1:$1048576,$JG$93,$C135*2+6)</f>
        <v>27.244018833034183</v>
      </c>
      <c r="HQ135" s="644">
        <f>(FU135*$GD135-HN135)/$JF135*INDEX(Input!$1:$1048576,$JG$93,$C135*2+6)</f>
        <v>5.6928302358029459</v>
      </c>
      <c r="HR135" s="644">
        <f>(FV135*$GD135-HO135)/$JF135*INDEX(Input!$1:$1048576,$JG$93,$C135*2+6)</f>
        <v>31.320421776469558</v>
      </c>
      <c r="HS135" s="644">
        <f t="shared" si="308"/>
        <v>-0.25459703557275665</v>
      </c>
      <c r="HT135" s="644">
        <f t="shared" si="309"/>
        <v>16.177989444553692</v>
      </c>
      <c r="HU135" s="644">
        <f t="shared" si="310"/>
        <v>19.380669637679517</v>
      </c>
      <c r="HV135" s="648">
        <f t="shared" si="311"/>
        <v>0</v>
      </c>
      <c r="HW135" s="648">
        <f t="shared" si="312"/>
        <v>0</v>
      </c>
      <c r="HX135" s="648">
        <f t="shared" si="313"/>
        <v>0</v>
      </c>
      <c r="HY135" s="644">
        <f>INDEX(Input!$1:$1048576,HY$93,$C135*2+6)*INDEX(Input!$1:$1048576,$JG$93,$C135*2+6)</f>
        <v>154.99999999999997</v>
      </c>
      <c r="HZ135" s="644">
        <f>INDEX(Input!$1:$1048576,HZ$93,$C135*2+6)*INDEX(Input!$1:$1048576,$JG$93,$C135*2+6)</f>
        <v>140</v>
      </c>
      <c r="IA135" s="644">
        <f>INDEX(Input!$1:$1048576,IA$93,$C135*2+6)*INDEX(Input!$1:$1048576,$JG$93,$C135*2+6)</f>
        <v>683</v>
      </c>
      <c r="IB135" s="644">
        <f t="shared" si="314"/>
        <v>181.98942179746155</v>
      </c>
      <c r="IC135" s="644">
        <f t="shared" si="315"/>
        <v>161.87081968035665</v>
      </c>
      <c r="ID135" s="644">
        <f>IF(AND(INDEX(Input!$1:$1048576,IA$93,$C135*2+7)="TOS",Y135&lt;=INDEX(Y:Y,MATCH(C135*1000+2,A:A))),0,1)*MAX(IA135+HR135+HU135+HX135,0%)</f>
        <v>733.701091414149</v>
      </c>
      <c r="IE135" s="128">
        <f t="shared" si="316"/>
        <v>0.16889008193068414</v>
      </c>
      <c r="IF135" s="128">
        <f t="shared" si="317"/>
        <v>0.15021958819358017</v>
      </c>
      <c r="IG135" s="128">
        <f t="shared" si="318"/>
        <v>0.68089032987573572</v>
      </c>
      <c r="IH135" s="21"/>
      <c r="II135" s="19">
        <f t="shared" si="319"/>
        <v>1200</v>
      </c>
      <c r="IJ135" s="19">
        <f t="shared" si="320"/>
        <v>2231.5502763133163</v>
      </c>
      <c r="IK135" s="19">
        <f t="shared" si="321"/>
        <v>4498</v>
      </c>
      <c r="IL135" s="19">
        <f t="shared" si="322"/>
        <v>649.99999999999977</v>
      </c>
      <c r="IM135" s="19">
        <f t="shared" si="323"/>
        <v>731.70757397478792</v>
      </c>
      <c r="IN135" s="19">
        <f t="shared" si="324"/>
        <v>324.99999999999909</v>
      </c>
      <c r="IO135" s="39">
        <f t="shared" si="325"/>
        <v>0</v>
      </c>
      <c r="IP135" s="39">
        <f t="shared" si="326"/>
        <v>0</v>
      </c>
      <c r="IQ135" s="39">
        <f t="shared" si="327"/>
        <v>0</v>
      </c>
      <c r="IR135" s="39">
        <v>0</v>
      </c>
      <c r="IS135" s="39">
        <v>0</v>
      </c>
      <c r="IT135" s="39">
        <v>0</v>
      </c>
      <c r="IU135" s="39">
        <v>0</v>
      </c>
      <c r="IV135" s="39">
        <v>0</v>
      </c>
      <c r="IW135" s="39">
        <v>0</v>
      </c>
      <c r="IX135" s="39">
        <f>INDEX(Input!$1:$1048576,IX$93,$C135*2+6)+INDEX(Input!$1:$1048576,IX$94,$C135*2+6)</f>
        <v>1600</v>
      </c>
      <c r="IY135" s="39">
        <f>INDEX(Input!$1:$1048576,IY$93,$C135*2+6)+INDEX(Input!$1:$1048576,IY$94,$C135*2+6)</f>
        <v>2503.5492916397525</v>
      </c>
      <c r="IZ135" s="39">
        <f>INDEX(Input!$1:$1048576,IZ$93,$C135*2+6)+INDEX(Input!$1:$1048576,IZ$94,$C135*2+6)</f>
        <v>6273.7109265464023</v>
      </c>
      <c r="JA135" s="19">
        <f t="shared" si="328"/>
        <v>2250</v>
      </c>
      <c r="JB135" s="19">
        <f t="shared" si="329"/>
        <v>3235.2568656145404</v>
      </c>
      <c r="JC135" s="19">
        <f t="shared" si="330"/>
        <v>6598.7109265464014</v>
      </c>
      <c r="JD135" s="19">
        <f t="shared" si="331"/>
        <v>5359.0000979279093</v>
      </c>
      <c r="JE135" s="21"/>
      <c r="JF135" s="1">
        <f t="shared" si="332"/>
        <v>7.6148954918618686E-2</v>
      </c>
      <c r="JG135" s="15">
        <f>INDEX(Input!$1:$1048576,JG$93,$C135*2+6)/(1+VLOOKUP(C135*1000+INDEX(Input!$1:$1048576,JG$93+1,$C135*2+6),$A:$KK,$JK$92,FALSE))</f>
        <v>978</v>
      </c>
      <c r="JH135" s="1">
        <f t="shared" si="333"/>
        <v>6.5702730925671471E-2</v>
      </c>
      <c r="JI135" s="1">
        <f t="shared" si="334"/>
        <v>3.6098222951595559E-2</v>
      </c>
      <c r="JJ135" s="1">
        <f t="shared" si="335"/>
        <v>0</v>
      </c>
      <c r="JK135" s="1">
        <f t="shared" si="336"/>
        <v>0.10180095387726704</v>
      </c>
      <c r="JL135" s="15">
        <f t="shared" si="337"/>
        <v>99.561332891967155</v>
      </c>
      <c r="JM135" s="15">
        <f t="shared" si="338"/>
        <v>1077.5613328919671</v>
      </c>
      <c r="JN135" s="21"/>
      <c r="JO135" s="19">
        <f>INDEX(Input!$1:$1048576,JO$93,$C135*2+6)</f>
        <v>5908.5</v>
      </c>
      <c r="JP135" s="19">
        <f>INDEX(Input!$1:$1048576,JP$93,$C135*2+6)</f>
        <v>4993.2939301234746</v>
      </c>
      <c r="JQ135" s="39">
        <f t="shared" si="339"/>
        <v>549.49990207209066</v>
      </c>
      <c r="JR135" s="39">
        <f t="shared" si="340"/>
        <v>365.7061678044347</v>
      </c>
      <c r="JS135" s="39">
        <f t="shared" si="341"/>
        <v>5.7746512884913805</v>
      </c>
      <c r="JT135" s="39">
        <f t="shared" si="342"/>
        <v>0.89120982483062239</v>
      </c>
      <c r="JU135" s="385">
        <f>(JQ135*JM135-INDEX(Input!$1:$1048576,Input!A$18,$C135*2+6)*JL135*INDEX(Input!$1:$1048576,Input!A$19,$C135*2+6))/1000000</f>
        <v>0.59211984690080743</v>
      </c>
      <c r="JV135" s="39">
        <f t="shared" si="343"/>
        <v>-0.30295168943843431</v>
      </c>
      <c r="JW135" s="1">
        <f t="shared" si="344"/>
        <v>-0.33846645451097485</v>
      </c>
      <c r="JX135" s="19">
        <f t="shared" si="345"/>
        <v>8951.3649420268794</v>
      </c>
      <c r="JZ135" s="341"/>
      <c r="KA135" s="342"/>
      <c r="KB135" s="469">
        <f t="shared" si="110"/>
        <v>3.2656316020464753</v>
      </c>
      <c r="KI135" s="473">
        <f t="shared" si="346"/>
        <v>26.989421797461574</v>
      </c>
      <c r="KJ135" s="473">
        <f t="shared" si="347"/>
        <v>21.870819680356647</v>
      </c>
      <c r="KK135" s="473">
        <f t="shared" si="348"/>
        <v>50.701091414149005</v>
      </c>
      <c r="KN135" s="544">
        <f t="shared" si="349"/>
        <v>1002</v>
      </c>
      <c r="KO135" s="541">
        <f t="shared" si="350"/>
        <v>1.8383596582329131E-2</v>
      </c>
      <c r="KP135" s="546">
        <f t="shared" si="351"/>
        <v>92.051495645855283</v>
      </c>
      <c r="KQ135" s="546">
        <f t="shared" si="352"/>
        <v>4.5461979524689013</v>
      </c>
      <c r="KR135" s="548">
        <f t="shared" si="353"/>
        <v>2.8639492756032707</v>
      </c>
      <c r="KS135" s="548">
        <f t="shared" si="354"/>
        <v>57.989295017383704</v>
      </c>
      <c r="KT135" s="473">
        <f t="shared" si="112"/>
        <v>-82.310573396665475</v>
      </c>
      <c r="KU135" s="663">
        <f t="shared" si="355"/>
        <v>-51.787664866804519</v>
      </c>
      <c r="KV135" s="117"/>
    </row>
    <row r="136" spans="1:308" s="26" customFormat="1" ht="15">
      <c r="A136" s="561">
        <f t="shared" si="300"/>
        <v>1036</v>
      </c>
      <c r="B136" s="561">
        <f t="shared" si="104"/>
        <v>36</v>
      </c>
      <c r="C136" s="561">
        <f t="shared" si="105"/>
        <v>1</v>
      </c>
      <c r="D136" s="561" t="str">
        <f t="shared" si="287"/>
        <v xml:space="preserve">500 CC, 0/0/0.9/3.9, </v>
      </c>
      <c r="E136" s="475">
        <f>INDEX(Input!$1:$1048576,E$93,$C136*2+MIN($B136,2)+5)
+INDEX(Scenarios!E$121:E$200,MATCH($B136,Scenarios!$B$121:$B$200,0))</f>
        <v>1750</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8.9999999999999993E-3</v>
      </c>
      <c r="W136" s="863">
        <f>IFERROR(MAX(0,INDEX(Input!$1:$1048576,W$93,$C136*2+MIN($B136,2)+5)-0%,),"Market")</f>
        <v>3.9E-2</v>
      </c>
      <c r="X136" s="476" t="str">
        <f>INDEX(Input!$1:$1048576,X$93,$C136*2+MIN($B136,2)+5)</f>
        <v>Y</v>
      </c>
      <c r="Y136" s="475">
        <f>INDEX(Input!$1:$1048576,Y$93,$C136*2+MIN($B136,2)+5)
++INDEX(Scenarios!Y$121:Y$200,MATCH($B136,Scenarios!$B$121:$B$200,0))</f>
        <v>2826</v>
      </c>
      <c r="Z136" s="477">
        <f>INDEX(Input!$1:$1048576,Z$93,$C136*2+MIN($B136,2)+5)
+INDEX(Scenarios!Z$121:Z$200,MATCH($B136,Scenarios!$B$121:$B$200,0))</f>
        <v>0</v>
      </c>
      <c r="AA136" s="475">
        <f>INDEX(Input!$1:$1048576,AA$93,$C136*2+MIN($B136,2)+5)</f>
        <v>0</v>
      </c>
      <c r="AB136" s="476">
        <f>INDEX(Input!$1:$1048576,AB$93,$C136*2+MIN($B136,2)+5)</f>
        <v>1</v>
      </c>
      <c r="AC136" s="475">
        <f>INDEX(Input!$1:$1048576,AC$93,$C136*2+MIN($B136,2)+5)
+INDEX(Scenarios!AC$121:AC$200,MATCH($B136,Scenarios!$B$121:$B$200,0))</f>
        <v>0</v>
      </c>
      <c r="AD136" s="476">
        <f>INDEX(Input!$1:$1048576,AD$93,$C136*2+MIN($B136,2)+5)</f>
        <v>0.35</v>
      </c>
      <c r="AE136" s="475">
        <f>INDEX(Input!$1:$1048576,AE$93,$C136*2+MIN($B136,2)+5)
+INDEX(Scenarios!AE$121:AE$200,MATCH($B136,Scenarios!$B$121:$B$200,0))</f>
        <v>0</v>
      </c>
      <c r="AF136" s="476">
        <f>INDEX(Input!$1:$1048576,AF$93,$C136*2+MIN($B136,2)+5)</f>
        <v>1</v>
      </c>
      <c r="AG136" s="475">
        <f>INDEX(Input!$1:$1048576,AG$93,$C136*2+MIN($B136,2)+5)
+INDEX(Scenarios!AG$121:AG$200,MATCH($B136,Scenarios!$B$121:$B$200,0))</f>
        <v>0</v>
      </c>
      <c r="AH136" s="476">
        <f>INDEX(Input!$1:$1048576,AH$93,$C136*2+MIN($B136,2)+5)</f>
        <v>1</v>
      </c>
      <c r="AI136" s="475">
        <f>INDEX(Input!$1:$1048576,AI$93,$C136*2+MIN($B136,2)+5)
+INDEX(Scenarios!AI$121:AI$200,MATCH($B136,Scenarios!$B$121:$B$200,0))</f>
        <v>0</v>
      </c>
      <c r="AJ136" s="476">
        <f>INDEX(Input!$1:$1048576,AJ$93,$C136*2+MIN($B136,2)+5)</f>
        <v>0.35</v>
      </c>
      <c r="AK136" s="150">
        <f>ROUND(INDEX(Input!$1:$1048576,AK$93,$C135*2+MIN($B136,1)+5)+(Y136-VLOOKUP($C136*1000+1,$A:$HH,Y$92,FALSE)),0)</f>
        <v>5482</v>
      </c>
      <c r="AL136" s="150">
        <f>ROUND(INDEX(Input!$1:$1048576,AL$93,$C135*2+MIN($B136,1)+5)-(Y136-VLOOKUP($C136*1000+1,$A:$HH,Y$92,FALSE))/36,0)</f>
        <v>5602</v>
      </c>
      <c r="AM136" s="32" t="str">
        <f t="shared" si="301"/>
        <v>std/std/std/std</v>
      </c>
      <c r="AN136" s="32" t="str">
        <f t="shared" si="302"/>
        <v>$0 + 0/0/0/0.9/3.9</v>
      </c>
      <c r="AO136" s="32" t="str">
        <f t="shared" si="303"/>
        <v>0/0/0/0.9/3.9</v>
      </c>
      <c r="AP136" s="32" t="str">
        <f t="shared" si="73"/>
        <v>0/0/0.9/3.9</v>
      </c>
      <c r="AQ136" s="536">
        <f t="shared" si="39"/>
        <v>0.18358117146426198</v>
      </c>
      <c r="AR136" s="32"/>
      <c r="AS136" s="302"/>
      <c r="AT136" s="3">
        <f t="shared" si="106"/>
        <v>36</v>
      </c>
      <c r="AU136" s="41" t="s">
        <v>121</v>
      </c>
      <c r="AV136" s="41" t="s">
        <v>116</v>
      </c>
      <c r="AW136" s="41" t="str">
        <f>INDEX(Input!$1:$1048576,AW$93,$C136*2+6)</f>
        <v>Kia</v>
      </c>
      <c r="AX136" s="41" t="str">
        <f>INDEX(Input!$1:$1048576,AX$93,$C136*2+6)</f>
        <v>Kia-LR - L1</v>
      </c>
      <c r="AY136" s="41" t="str">
        <f>IF(LEN(D136)=0,"",INDEX(Input!$1:$1048576,AY$93,$C136*2+6))</f>
        <v>Compact Conventional/Sporty Car (43)</v>
      </c>
      <c r="AZ136" s="41" t="str">
        <f>INDEX(Input!$1:$1048576,AZ$93,$C136*2+6)</f>
        <v>Kia Forte</v>
      </c>
      <c r="BA136" s="3">
        <f>INDEX(Input!$1:$1048576,BA$93,$C136*2+6)</f>
        <v>2020</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19695</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4"/>
        <v>1750</v>
      </c>
      <c r="CJ136" s="16" t="str">
        <f>INDEX(Input!$1:$1048576,CJ$93,$C136*2+6)</f>
        <v>N</v>
      </c>
      <c r="CK136" s="1" t="str">
        <f t="shared" si="75"/>
        <v>Market</v>
      </c>
      <c r="CL136" s="1" t="str">
        <f t="shared" si="76"/>
        <v>Market</v>
      </c>
      <c r="CM136" s="1" t="str">
        <f t="shared" si="77"/>
        <v>Market</v>
      </c>
      <c r="CN136" s="1" t="str">
        <f t="shared" si="78"/>
        <v>Market</v>
      </c>
      <c r="CO136" s="1" t="str">
        <f t="shared" si="79"/>
        <v>Market</v>
      </c>
      <c r="CP136" s="304">
        <f t="shared" si="80"/>
        <v>0</v>
      </c>
      <c r="CQ136" s="1">
        <f t="shared" si="81"/>
        <v>0</v>
      </c>
      <c r="CR136" s="1">
        <f t="shared" si="82"/>
        <v>0</v>
      </c>
      <c r="CS136" s="1">
        <f t="shared" si="83"/>
        <v>0</v>
      </c>
      <c r="CT136" s="1">
        <f t="shared" si="84"/>
        <v>8.9999999999999993E-3</v>
      </c>
      <c r="CU136" s="1">
        <f t="shared" si="85"/>
        <v>3.9E-2</v>
      </c>
      <c r="CV136" s="304">
        <f t="shared" si="86"/>
        <v>2826</v>
      </c>
      <c r="CW136" s="20" t="s">
        <v>122</v>
      </c>
      <c r="CX136" s="20" t="s">
        <v>122</v>
      </c>
      <c r="CY136" s="20" t="s">
        <v>122</v>
      </c>
      <c r="CZ136" s="20" t="s">
        <v>122</v>
      </c>
      <c r="DA136" s="20" t="s">
        <v>122</v>
      </c>
      <c r="DB136" s="503">
        <f t="shared" si="87"/>
        <v>0</v>
      </c>
      <c r="DC136" s="127">
        <v>0</v>
      </c>
      <c r="DD136" s="127">
        <v>0</v>
      </c>
      <c r="DE136" s="127">
        <v>0</v>
      </c>
      <c r="DF136" s="127">
        <v>0</v>
      </c>
      <c r="DG136" s="127">
        <v>0</v>
      </c>
      <c r="DH136" s="127">
        <v>0</v>
      </c>
      <c r="DI136" s="127">
        <v>0</v>
      </c>
      <c r="DJ136" s="127">
        <v>0</v>
      </c>
      <c r="DK136" s="127">
        <v>0</v>
      </c>
      <c r="DL136" s="127">
        <v>0</v>
      </c>
      <c r="DM136" s="304">
        <f>INDEX(Input!$1:$1048576,DM$93,$C136*2+6)</f>
        <v>20731.578947368424</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1.5670890626278657E-2</v>
      </c>
      <c r="DZ136" s="7">
        <v>0</v>
      </c>
      <c r="EA136" s="7">
        <v>0.24313641583395751</v>
      </c>
      <c r="EB136" s="7">
        <v>0</v>
      </c>
      <c r="EC136" s="7">
        <v>0</v>
      </c>
      <c r="ED136" s="7">
        <v>0</v>
      </c>
      <c r="EE136" s="7">
        <v>0</v>
      </c>
      <c r="EF136" s="7">
        <v>0</v>
      </c>
      <c r="EG136" s="7">
        <v>0</v>
      </c>
      <c r="EH136" s="7">
        <v>1.4476869635993294E-2</v>
      </c>
      <c r="EI136" s="7">
        <v>2.6039456772322746E-2</v>
      </c>
      <c r="EJ136" s="7">
        <v>0.20479017957701889</v>
      </c>
      <c r="EK136" s="7">
        <v>0.72317389939610377</v>
      </c>
      <c r="EL136" s="7">
        <v>3.1519594618561159E-2</v>
      </c>
      <c r="EM136" s="7">
        <v>1.8057909357151271E-2</v>
      </c>
      <c r="EN136" s="7">
        <v>5.6686594175933754E-2</v>
      </c>
      <c r="EO136" s="7">
        <v>0.5421699501419357</v>
      </c>
      <c r="EP136" s="7">
        <v>0.31173155381219225</v>
      </c>
      <c r="EQ136" s="7">
        <v>5.195431232660349E-2</v>
      </c>
      <c r="ER136" s="7">
        <v>3.7457589543334745E-2</v>
      </c>
      <c r="ES136" s="7">
        <v>0.72313478418261257</v>
      </c>
      <c r="ET136" s="7">
        <v>0.74119269353976391</v>
      </c>
      <c r="EU136" s="6">
        <v>2100</v>
      </c>
      <c r="EV136" s="6">
        <v>0</v>
      </c>
      <c r="EW136" s="6">
        <v>2100</v>
      </c>
      <c r="EX136" s="6">
        <v>0</v>
      </c>
      <c r="EY136" s="6">
        <v>2963.2578502881042</v>
      </c>
      <c r="EZ136" s="6">
        <v>4822.9999999999991</v>
      </c>
      <c r="FA136" s="6">
        <v>0</v>
      </c>
      <c r="FB136" s="6">
        <v>0</v>
      </c>
      <c r="FC136" s="6">
        <v>0</v>
      </c>
      <c r="FD136" s="6">
        <v>0</v>
      </c>
      <c r="FE136" s="6">
        <v>0</v>
      </c>
      <c r="FF136" s="6">
        <v>0</v>
      </c>
      <c r="FG136" s="6">
        <v>0</v>
      </c>
      <c r="FH136" s="6">
        <v>1152.1208270377815</v>
      </c>
      <c r="FI136" s="6">
        <v>1531.4299904380618</v>
      </c>
      <c r="FJ136" s="6">
        <v>2070.7205842538215</v>
      </c>
      <c r="FK136" s="6">
        <v>2218.6393698501024</v>
      </c>
      <c r="FL136" s="6">
        <v>893.91433563489363</v>
      </c>
      <c r="FM136" s="6">
        <v>2113.2578502881042</v>
      </c>
      <c r="FN136" s="6">
        <v>0</v>
      </c>
      <c r="FO136" s="6">
        <v>0</v>
      </c>
      <c r="FP136" s="6">
        <v>0</v>
      </c>
      <c r="FQ136" s="6">
        <v>0</v>
      </c>
      <c r="FR136" s="6">
        <v>0</v>
      </c>
      <c r="FS136" s="6">
        <v>0</v>
      </c>
      <c r="FT136" s="7">
        <v>0.25880730646023614</v>
      </c>
      <c r="FU136" s="7">
        <v>1.8057909357151271E-2</v>
      </c>
      <c r="FV136" s="7">
        <v>0.72313478418261257</v>
      </c>
      <c r="FW136" s="6">
        <v>2100.0000000000005</v>
      </c>
      <c r="FX136" s="6">
        <v>2963.2578502881042</v>
      </c>
      <c r="FY136" s="6">
        <v>4822.9999999999991</v>
      </c>
      <c r="FZ136" s="6">
        <v>3077.4375890575293</v>
      </c>
      <c r="GA136" s="6">
        <v>4084.6846493416051</v>
      </c>
      <c r="GB136" s="6">
        <v>15610.315350658395</v>
      </c>
      <c r="GC136" s="7">
        <v>7.0901643973087014E-2</v>
      </c>
      <c r="GD136" s="7">
        <v>8.1818154700647572E-2</v>
      </c>
      <c r="GE136" s="7"/>
      <c r="GF136" s="7"/>
      <c r="GG136" s="7">
        <v>0.15396696205950131</v>
      </c>
      <c r="GH136" s="42">
        <v>3.01056159638396</v>
      </c>
      <c r="GI136" s="6">
        <v>10626.653438040703</v>
      </c>
      <c r="GJ136" s="14">
        <v>0.51074630601039539</v>
      </c>
      <c r="GK136" s="14">
        <v>0.50829519786160959</v>
      </c>
      <c r="GL136" s="14">
        <v>0.48925369398960428</v>
      </c>
      <c r="GM136" s="14">
        <v>0.49170480213839007</v>
      </c>
      <c r="GO136" s="5">
        <v>338.16872463277008</v>
      </c>
      <c r="GP136" s="5">
        <v>298.1047308538179</v>
      </c>
      <c r="GQ136" s="5">
        <v>527.27910984145694</v>
      </c>
      <c r="GR136" s="5">
        <v>404.20319246551543</v>
      </c>
      <c r="GS136" s="5">
        <v>334.50205195691484</v>
      </c>
      <c r="GT136" s="5">
        <v>289.18266033348181</v>
      </c>
      <c r="GU136" s="5">
        <v>254.29573314828914</v>
      </c>
      <c r="GV136" s="39" t="s">
        <v>392</v>
      </c>
      <c r="GW136" s="5">
        <v>468.76388888888891</v>
      </c>
      <c r="GX136" s="5">
        <v>351.57291666666669</v>
      </c>
      <c r="GY136" s="5">
        <v>281.25833333333333</v>
      </c>
      <c r="GZ136" s="5">
        <v>240.8550698915011</v>
      </c>
      <c r="HA136" s="5">
        <v>229.8919505212948</v>
      </c>
      <c r="HB136" s="39">
        <v>254.96614723549266</v>
      </c>
      <c r="HC136" s="5">
        <v>72.109375000000014</v>
      </c>
      <c r="HD136" s="5">
        <v>92.305464181286524</v>
      </c>
      <c r="HE136" s="5">
        <v>103.7516995614035</v>
      </c>
      <c r="HF136" s="5">
        <v>106.17129934210527</v>
      </c>
      <c r="HG136" s="5">
        <v>115.13410087719299</v>
      </c>
      <c r="HH136" s="39">
        <v>96.304265044073475</v>
      </c>
      <c r="HI136" s="16"/>
      <c r="HJ136" s="19" t="str">
        <f t="shared" ref="HJ136" si="358">HJ135</f>
        <v>On</v>
      </c>
      <c r="HK136" s="1" t="str">
        <f t="shared" si="108"/>
        <v>On</v>
      </c>
      <c r="HL136" s="16"/>
      <c r="HM136" s="639">
        <f t="shared" si="305"/>
        <v>1.7699001661282989E-2</v>
      </c>
      <c r="HN136" s="639">
        <f t="shared" si="306"/>
        <v>1.0509929974846072E-3</v>
      </c>
      <c r="HO136" s="639">
        <f t="shared" si="307"/>
        <v>5.7398960259851091E-2</v>
      </c>
      <c r="HP136" s="644">
        <f>(FT136*$GD136-HM136)/$JF136*INDEX(Input!$1:$1048576,$JG$93,$C136*2+6)</f>
        <v>44.644862418562774</v>
      </c>
      <c r="HQ136" s="644">
        <f>(FU136*$GD136-HN136)/$JF136*INDEX(Input!$1:$1048576,$JG$93,$C136*2+6)</f>
        <v>5.4772838864262274</v>
      </c>
      <c r="HR136" s="644">
        <f>(FV136*$GD136-HO136)/$JF136*INDEX(Input!$1:$1048576,$JG$93,$C136*2+6)</f>
        <v>22.688798937131523</v>
      </c>
      <c r="HS136" s="644">
        <f t="shared" si="308"/>
        <v>-0.25459703557275665</v>
      </c>
      <c r="HT136" s="644">
        <f t="shared" si="309"/>
        <v>14.569982294148772</v>
      </c>
      <c r="HU136" s="644">
        <f t="shared" si="310"/>
        <v>20.988676788084437</v>
      </c>
      <c r="HV136" s="648">
        <f t="shared" si="311"/>
        <v>0</v>
      </c>
      <c r="HW136" s="648">
        <f t="shared" si="312"/>
        <v>0</v>
      </c>
      <c r="HX136" s="648">
        <f t="shared" si="313"/>
        <v>0</v>
      </c>
      <c r="HY136" s="644">
        <f>INDEX(Input!$1:$1048576,HY$93,$C136*2+6)*INDEX(Input!$1:$1048576,$JG$93,$C136*2+6)</f>
        <v>154.99999999999997</v>
      </c>
      <c r="HZ136" s="644">
        <f>INDEX(Input!$1:$1048576,HZ$93,$C136*2+6)*INDEX(Input!$1:$1048576,$JG$93,$C136*2+6)</f>
        <v>140</v>
      </c>
      <c r="IA136" s="644">
        <f>INDEX(Input!$1:$1048576,IA$93,$C136*2+6)*INDEX(Input!$1:$1048576,$JG$93,$C136*2+6)</f>
        <v>683</v>
      </c>
      <c r="IB136" s="644">
        <f t="shared" si="314"/>
        <v>199.39026538298981</v>
      </c>
      <c r="IC136" s="644">
        <f t="shared" si="315"/>
        <v>160.04726618057498</v>
      </c>
      <c r="ID136" s="644">
        <f>IF(AND(INDEX(Input!$1:$1048576,IA$93,$C136*2+7)="TOS",Y136&lt;=INDEX(Y:Y,MATCH(C136*1000+2,A:A))),0,1)*MAX(IA136+HR136+HU136+HX136,0%)</f>
        <v>726.67747572521603</v>
      </c>
      <c r="IE136" s="128">
        <f t="shared" si="316"/>
        <v>0.18358117146426198</v>
      </c>
      <c r="IF136" s="128">
        <f t="shared" si="317"/>
        <v>0.14735756812724063</v>
      </c>
      <c r="IG136" s="128">
        <f t="shared" si="318"/>
        <v>0.66906126040849745</v>
      </c>
      <c r="IH136" s="21"/>
      <c r="II136" s="19">
        <f t="shared" si="319"/>
        <v>1200</v>
      </c>
      <c r="IJ136" s="19">
        <f t="shared" si="320"/>
        <v>2231.5502763133163</v>
      </c>
      <c r="IK136" s="19">
        <f t="shared" si="321"/>
        <v>4498</v>
      </c>
      <c r="IL136" s="19">
        <f t="shared" si="322"/>
        <v>900.00000000000045</v>
      </c>
      <c r="IM136" s="19">
        <f t="shared" si="323"/>
        <v>731.70757397478792</v>
      </c>
      <c r="IN136" s="19">
        <f t="shared" si="324"/>
        <v>324.99999999999909</v>
      </c>
      <c r="IO136" s="39">
        <f t="shared" si="325"/>
        <v>0</v>
      </c>
      <c r="IP136" s="39">
        <f t="shared" si="326"/>
        <v>0</v>
      </c>
      <c r="IQ136" s="39">
        <f t="shared" si="327"/>
        <v>0</v>
      </c>
      <c r="IR136" s="39">
        <v>0</v>
      </c>
      <c r="IS136" s="39">
        <v>0</v>
      </c>
      <c r="IT136" s="39">
        <v>0</v>
      </c>
      <c r="IU136" s="39">
        <v>0</v>
      </c>
      <c r="IV136" s="39">
        <v>0</v>
      </c>
      <c r="IW136" s="39">
        <v>0</v>
      </c>
      <c r="IX136" s="39">
        <f>INDEX(Input!$1:$1048576,IX$93,$C136*2+6)+INDEX(Input!$1:$1048576,IX$94,$C136*2+6)</f>
        <v>1600</v>
      </c>
      <c r="IY136" s="39">
        <f>INDEX(Input!$1:$1048576,IY$93,$C136*2+6)+INDEX(Input!$1:$1048576,IY$94,$C136*2+6)</f>
        <v>2503.5492916397525</v>
      </c>
      <c r="IZ136" s="39">
        <f>INDEX(Input!$1:$1048576,IZ$93,$C136*2+6)+INDEX(Input!$1:$1048576,IZ$94,$C136*2+6)</f>
        <v>6273.7109265464023</v>
      </c>
      <c r="JA136" s="19">
        <f t="shared" si="328"/>
        <v>2500.0000000000005</v>
      </c>
      <c r="JB136" s="19">
        <f t="shared" si="329"/>
        <v>3235.2568656145404</v>
      </c>
      <c r="JC136" s="19">
        <f t="shared" si="330"/>
        <v>6598.7109265464014</v>
      </c>
      <c r="JD136" s="19">
        <f t="shared" si="331"/>
        <v>5350.6343622310324</v>
      </c>
      <c r="JE136" s="21"/>
      <c r="JF136" s="1">
        <f t="shared" si="332"/>
        <v>7.6148954918618686E-2</v>
      </c>
      <c r="JG136" s="15">
        <f>INDEX(Input!$1:$1048576,JG$93,$C136*2+6)/(1+VLOOKUP(C136*1000+INDEX(Input!$1:$1048576,JG$93+1,$C136*2+6),$A:$KK,$JK$92,FALSE))</f>
        <v>978</v>
      </c>
      <c r="JH136" s="1">
        <f t="shared" si="333"/>
        <v>7.4448819265971911E-2</v>
      </c>
      <c r="JI136" s="1">
        <f t="shared" si="334"/>
        <v>3.6098222951595559E-2</v>
      </c>
      <c r="JJ136" s="1">
        <f t="shared" si="335"/>
        <v>0</v>
      </c>
      <c r="JK136" s="1">
        <f t="shared" si="336"/>
        <v>0.11054704221756748</v>
      </c>
      <c r="JL136" s="15">
        <f t="shared" si="337"/>
        <v>108.11500728878099</v>
      </c>
      <c r="JM136" s="15">
        <f t="shared" si="338"/>
        <v>1086.115007288781</v>
      </c>
      <c r="JN136" s="21"/>
      <c r="JO136" s="19">
        <f>INDEX(Input!$1:$1048576,JO$93,$C136*2+6)</f>
        <v>5908.5</v>
      </c>
      <c r="JP136" s="19">
        <f>INDEX(Input!$1:$1048576,JP$93,$C136*2+6)</f>
        <v>4993.2939301234746</v>
      </c>
      <c r="JQ136" s="39">
        <f t="shared" si="339"/>
        <v>557.86563776896764</v>
      </c>
      <c r="JR136" s="39">
        <f t="shared" si="340"/>
        <v>357.34043210755772</v>
      </c>
      <c r="JS136" s="39">
        <f t="shared" si="341"/>
        <v>5.8114042793341598</v>
      </c>
      <c r="JT136" s="39">
        <f t="shared" si="342"/>
        <v>0.92796281567340155</v>
      </c>
      <c r="JU136" s="385">
        <f>(JQ136*JM136-INDEX(Input!$1:$1048576,Input!A$18,$C136*2+6)*JL136*INDEX(Input!$1:$1048576,Input!A$19,$C136*2+6))/1000000</f>
        <v>0.60590624123160275</v>
      </c>
      <c r="JV136" s="39">
        <f t="shared" si="343"/>
        <v>-0.289165295107639</v>
      </c>
      <c r="JW136" s="1">
        <f t="shared" si="344"/>
        <v>-0.32306389307194128</v>
      </c>
      <c r="JX136" s="19">
        <f t="shared" si="345"/>
        <v>8583.1082931416095</v>
      </c>
      <c r="JZ136" s="341"/>
      <c r="KA136" s="342"/>
      <c r="KB136" s="469">
        <f t="shared" si="110"/>
        <v>3.2656316020464753</v>
      </c>
      <c r="KI136" s="473">
        <f t="shared" si="346"/>
        <v>44.390265382989895</v>
      </c>
      <c r="KJ136" s="473">
        <f t="shared" si="347"/>
        <v>20.047266180575008</v>
      </c>
      <c r="KK136" s="473">
        <f t="shared" si="348"/>
        <v>43.677475725216254</v>
      </c>
      <c r="KN136" s="544">
        <f t="shared" si="349"/>
        <v>1002</v>
      </c>
      <c r="KO136" s="541">
        <f t="shared" si="350"/>
        <v>2.6467518518209054E-2</v>
      </c>
      <c r="KP136" s="546">
        <f t="shared" si="351"/>
        <v>140.67020716244269</v>
      </c>
      <c r="KQ136" s="546">
        <f t="shared" si="352"/>
        <v>-3.8195377444080805</v>
      </c>
      <c r="KR136" s="548">
        <f t="shared" si="353"/>
        <v>2.6982164675802682</v>
      </c>
      <c r="KS136" s="548">
        <f t="shared" si="354"/>
        <v>-99.372933287363409</v>
      </c>
      <c r="KT136" s="473">
        <f t="shared" si="112"/>
        <v>-82.310573396665475</v>
      </c>
      <c r="KU136" s="663">
        <f t="shared" si="355"/>
        <v>-52.251148526197355</v>
      </c>
      <c r="KV136" s="117"/>
    </row>
    <row r="137" spans="1:308" s="26" customFormat="1" ht="15">
      <c r="A137" s="561">
        <f t="shared" si="168"/>
        <v>1037</v>
      </c>
      <c r="B137" s="561">
        <f t="shared" si="104"/>
        <v>37</v>
      </c>
      <c r="C137" s="561">
        <f t="shared" si="105"/>
        <v>1</v>
      </c>
      <c r="D137" s="561" t="str">
        <f t="shared" si="287"/>
        <v xml:space="preserve">750 CC, 0/0/0.9/3.9, </v>
      </c>
      <c r="E137" s="475">
        <f>INDEX(Input!$1:$1048576,E$93,$C137*2+MIN($B137,2)+5)
+INDEX(Scenarios!E$121:E$200,MATCH($B137,Scenarios!$B$121:$B$200,0))</f>
        <v>2000</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8.9999999999999993E-3</v>
      </c>
      <c r="W137" s="863">
        <f>IFERROR(MAX(0,INDEX(Input!$1:$1048576,W$93,$C137*2+MIN($B137,2)+5)-0%,),"Market")</f>
        <v>3.9E-2</v>
      </c>
      <c r="X137" s="476" t="str">
        <f>INDEX(Input!$1:$1048576,X$93,$C137*2+MIN($B137,2)+5)</f>
        <v>Y</v>
      </c>
      <c r="Y137" s="475">
        <f>INDEX(Input!$1:$1048576,Y$93,$C137*2+MIN($B137,2)+5)
++INDEX(Scenarios!Y$121:Y$200,MATCH($B137,Scenarios!$B$121:$B$200,0))</f>
        <v>2826</v>
      </c>
      <c r="Z137" s="477">
        <f>INDEX(Input!$1:$1048576,Z$93,$C137*2+MIN($B137,2)+5)
+INDEX(Scenarios!Z$121:Z$200,MATCH($B137,Scenarios!$B$121:$B$200,0))</f>
        <v>0</v>
      </c>
      <c r="AA137" s="475">
        <f>INDEX(Input!$1:$1048576,AA$93,$C137*2+MIN($B137,2)+5)</f>
        <v>0</v>
      </c>
      <c r="AB137" s="476">
        <f>INDEX(Input!$1:$1048576,AB$93,$C137*2+MIN($B137,2)+5)</f>
        <v>1</v>
      </c>
      <c r="AC137" s="475">
        <f>INDEX(Input!$1:$1048576,AC$93,$C137*2+MIN($B137,2)+5)
+INDEX(Scenarios!AC$121:AC$200,MATCH($B137,Scenarios!$B$121:$B$200,0))</f>
        <v>0</v>
      </c>
      <c r="AD137" s="476">
        <f>INDEX(Input!$1:$1048576,AD$93,$C137*2+MIN($B137,2)+5)</f>
        <v>0.35</v>
      </c>
      <c r="AE137" s="475">
        <f>INDEX(Input!$1:$1048576,AE$93,$C137*2+MIN($B137,2)+5)
+INDEX(Scenarios!AE$121:AE$200,MATCH($B137,Scenarios!$B$121:$B$200,0))</f>
        <v>0</v>
      </c>
      <c r="AF137" s="476">
        <f>INDEX(Input!$1:$1048576,AF$93,$C137*2+MIN($B137,2)+5)</f>
        <v>1</v>
      </c>
      <c r="AG137" s="475">
        <f>INDEX(Input!$1:$1048576,AG$93,$C137*2+MIN($B137,2)+5)
+INDEX(Scenarios!AG$121:AG$200,MATCH($B137,Scenarios!$B$121:$B$200,0))</f>
        <v>0</v>
      </c>
      <c r="AH137" s="476">
        <f>INDEX(Input!$1:$1048576,AH$93,$C137*2+MIN($B137,2)+5)</f>
        <v>1</v>
      </c>
      <c r="AI137" s="475">
        <f>INDEX(Input!$1:$1048576,AI$93,$C137*2+MIN($B137,2)+5)
+INDEX(Scenarios!AI$121:AI$200,MATCH($B137,Scenarios!$B$121:$B$200,0))</f>
        <v>0</v>
      </c>
      <c r="AJ137" s="476">
        <f>INDEX(Input!$1:$1048576,AJ$93,$C137*2+MIN($B137,2)+5)</f>
        <v>0.35</v>
      </c>
      <c r="AK137" s="150">
        <f>ROUND(INDEX(Input!$1:$1048576,AK$93,$C136*2+MIN($B137,1)+5)+(Y137-VLOOKUP($C137*1000+1,$A:$HH,Y$92,FALSE)),0)</f>
        <v>5482</v>
      </c>
      <c r="AL137" s="150">
        <f>ROUND(INDEX(Input!$1:$1048576,AL$93,$C136*2+MIN($B137,1)+5)-(Y137-VLOOKUP($C137*1000+1,$A:$HH,Y$92,FALSE))/36,0)</f>
        <v>5602</v>
      </c>
      <c r="AM137" s="32" t="str">
        <f t="shared" si="169"/>
        <v>std/std/std/std</v>
      </c>
      <c r="AN137" s="32" t="str">
        <f t="shared" si="170"/>
        <v>$0 + 0/0/0/0.9/3.9</v>
      </c>
      <c r="AO137" s="32" t="str">
        <f t="shared" si="171"/>
        <v>0/0/0/0.9/3.9</v>
      </c>
      <c r="AP137" s="32" t="str">
        <f t="shared" si="73"/>
        <v>0/0/0.9/3.9</v>
      </c>
      <c r="AQ137" s="536">
        <f t="shared" si="39"/>
        <v>0.19883987549306392</v>
      </c>
      <c r="AR137" s="32"/>
      <c r="AS137" s="302"/>
      <c r="AT137" s="3">
        <f t="shared" si="106"/>
        <v>37</v>
      </c>
      <c r="AU137" s="41" t="s">
        <v>121</v>
      </c>
      <c r="AV137" s="41" t="s">
        <v>116</v>
      </c>
      <c r="AW137" s="41" t="str">
        <f>INDEX(Input!$1:$1048576,AW$93,$C137*2+6)</f>
        <v>Kia</v>
      </c>
      <c r="AX137" s="41" t="str">
        <f>INDEX(Input!$1:$1048576,AX$93,$C137*2+6)</f>
        <v>Kia-LR - L1</v>
      </c>
      <c r="AY137" s="41" t="str">
        <f>IF(LEN(D137)=0,"",INDEX(Input!$1:$1048576,AY$93,$C137*2+6))</f>
        <v>Compact Conventional/Sporty Car (43)</v>
      </c>
      <c r="AZ137" s="41" t="str">
        <f>INDEX(Input!$1:$1048576,AZ$93,$C137*2+6)</f>
        <v>Kia Forte</v>
      </c>
      <c r="BA137" s="3">
        <f>INDEX(Input!$1:$1048576,BA$93,$C137*2+6)</f>
        <v>2020</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19695</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4"/>
        <v>2000</v>
      </c>
      <c r="CJ137" s="16" t="str">
        <f>INDEX(Input!$1:$1048576,CJ$93,$C137*2+6)</f>
        <v>N</v>
      </c>
      <c r="CK137" s="1" t="str">
        <f t="shared" si="75"/>
        <v>Market</v>
      </c>
      <c r="CL137" s="1" t="str">
        <f t="shared" si="76"/>
        <v>Market</v>
      </c>
      <c r="CM137" s="1" t="str">
        <f t="shared" si="77"/>
        <v>Market</v>
      </c>
      <c r="CN137" s="1" t="str">
        <f t="shared" si="78"/>
        <v>Market</v>
      </c>
      <c r="CO137" s="1" t="str">
        <f t="shared" si="79"/>
        <v>Market</v>
      </c>
      <c r="CP137" s="304">
        <f t="shared" si="80"/>
        <v>0</v>
      </c>
      <c r="CQ137" s="1">
        <f t="shared" si="81"/>
        <v>0</v>
      </c>
      <c r="CR137" s="1">
        <f t="shared" si="82"/>
        <v>0</v>
      </c>
      <c r="CS137" s="1">
        <f t="shared" si="83"/>
        <v>0</v>
      </c>
      <c r="CT137" s="1">
        <f t="shared" si="84"/>
        <v>8.9999999999999993E-3</v>
      </c>
      <c r="CU137" s="1">
        <f t="shared" si="85"/>
        <v>3.9E-2</v>
      </c>
      <c r="CV137" s="304">
        <f t="shared" si="86"/>
        <v>2826</v>
      </c>
      <c r="CW137" s="20" t="s">
        <v>122</v>
      </c>
      <c r="CX137" s="20" t="s">
        <v>122</v>
      </c>
      <c r="CY137" s="20" t="s">
        <v>122</v>
      </c>
      <c r="CZ137" s="20" t="s">
        <v>122</v>
      </c>
      <c r="DA137" s="20" t="s">
        <v>122</v>
      </c>
      <c r="DB137" s="503">
        <f t="shared" si="87"/>
        <v>0</v>
      </c>
      <c r="DC137" s="127">
        <v>0</v>
      </c>
      <c r="DD137" s="127">
        <v>0</v>
      </c>
      <c r="DE137" s="127">
        <v>0</v>
      </c>
      <c r="DF137" s="127">
        <v>0</v>
      </c>
      <c r="DG137" s="127">
        <v>0</v>
      </c>
      <c r="DH137" s="127">
        <v>0</v>
      </c>
      <c r="DI137" s="127">
        <v>0</v>
      </c>
      <c r="DJ137" s="127">
        <v>0</v>
      </c>
      <c r="DK137" s="127">
        <v>0</v>
      </c>
      <c r="DL137" s="127">
        <v>0</v>
      </c>
      <c r="DM137" s="304">
        <f>INDEX(Input!$1:$1048576,DM$93,$C137*2+6)</f>
        <v>20731.578947368424</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1.6652767735430476E-2</v>
      </c>
      <c r="DZ137" s="7">
        <v>0</v>
      </c>
      <c r="EA137" s="7">
        <v>0.25727399270620549</v>
      </c>
      <c r="EB137" s="7">
        <v>0</v>
      </c>
      <c r="EC137" s="7">
        <v>0</v>
      </c>
      <c r="ED137" s="7">
        <v>0</v>
      </c>
      <c r="EE137" s="7">
        <v>0</v>
      </c>
      <c r="EF137" s="7">
        <v>0</v>
      </c>
      <c r="EG137" s="7">
        <v>0</v>
      </c>
      <c r="EH137" s="7">
        <v>1.4476869635993294E-2</v>
      </c>
      <c r="EI137" s="7">
        <v>2.6039456772322753E-2</v>
      </c>
      <c r="EJ137" s="7">
        <v>0.20479017957701898</v>
      </c>
      <c r="EK137" s="7">
        <v>0.72317389939610388</v>
      </c>
      <c r="EL137" s="7">
        <v>3.1519594618561152E-2</v>
      </c>
      <c r="EM137" s="7">
        <v>1.7689549372082027E-2</v>
      </c>
      <c r="EN137" s="7">
        <v>5.6686594175933747E-2</v>
      </c>
      <c r="EO137" s="7">
        <v>0.5421699501419357</v>
      </c>
      <c r="EP137" s="7">
        <v>0.31173155381219214</v>
      </c>
      <c r="EQ137" s="7">
        <v>5.1954312326603483E-2</v>
      </c>
      <c r="ER137" s="7">
        <v>3.7457589543334731E-2</v>
      </c>
      <c r="ES137" s="7">
        <v>0.708383690186282</v>
      </c>
      <c r="ET137" s="7">
        <v>0.72607323955836411</v>
      </c>
      <c r="EU137" s="6">
        <v>2350</v>
      </c>
      <c r="EV137" s="6">
        <v>0</v>
      </c>
      <c r="EW137" s="6">
        <v>2350</v>
      </c>
      <c r="EX137" s="6">
        <v>0</v>
      </c>
      <c r="EY137" s="6">
        <v>2963.2578502881042</v>
      </c>
      <c r="EZ137" s="6">
        <v>4822.9999999999991</v>
      </c>
      <c r="FA137" s="6">
        <v>0</v>
      </c>
      <c r="FB137" s="6">
        <v>0</v>
      </c>
      <c r="FC137" s="6">
        <v>0</v>
      </c>
      <c r="FD137" s="6">
        <v>0</v>
      </c>
      <c r="FE137" s="6">
        <v>0</v>
      </c>
      <c r="FF137" s="6">
        <v>0</v>
      </c>
      <c r="FG137" s="6">
        <v>0</v>
      </c>
      <c r="FH137" s="6">
        <v>1152.1208270377824</v>
      </c>
      <c r="FI137" s="6">
        <v>1531.4299904380618</v>
      </c>
      <c r="FJ137" s="6">
        <v>2070.7205842538215</v>
      </c>
      <c r="FK137" s="6">
        <v>2218.639369850102</v>
      </c>
      <c r="FL137" s="6">
        <v>893.91433563489386</v>
      </c>
      <c r="FM137" s="6">
        <v>2113.2578502881042</v>
      </c>
      <c r="FN137" s="6">
        <v>0</v>
      </c>
      <c r="FO137" s="6">
        <v>0</v>
      </c>
      <c r="FP137" s="6">
        <v>0</v>
      </c>
      <c r="FQ137" s="6">
        <v>0</v>
      </c>
      <c r="FR137" s="6">
        <v>0</v>
      </c>
      <c r="FS137" s="6">
        <v>0</v>
      </c>
      <c r="FT137" s="7">
        <v>0.27392676044163594</v>
      </c>
      <c r="FU137" s="7">
        <v>1.7689549372082027E-2</v>
      </c>
      <c r="FV137" s="7">
        <v>0.708383690186282</v>
      </c>
      <c r="FW137" s="6">
        <v>2350.0000000000005</v>
      </c>
      <c r="FX137" s="6">
        <v>2963.2578502881042</v>
      </c>
      <c r="FY137" s="6">
        <v>4822.9999999999991</v>
      </c>
      <c r="FZ137" s="6">
        <v>3077.4375890575293</v>
      </c>
      <c r="GA137" s="6">
        <v>4112.6811208511626</v>
      </c>
      <c r="GB137" s="6">
        <v>15582.318879148837</v>
      </c>
      <c r="GC137" s="7">
        <v>7.0901643973087014E-2</v>
      </c>
      <c r="GD137" s="7">
        <v>8.2528491102633703E-2</v>
      </c>
      <c r="GE137" s="7"/>
      <c r="GF137" s="7"/>
      <c r="GG137" s="7">
        <v>0.16398557886697282</v>
      </c>
      <c r="GH137" s="42">
        <v>3.1197451387977773</v>
      </c>
      <c r="GI137" s="6">
        <v>10425.696807635646</v>
      </c>
      <c r="GJ137" s="14">
        <v>0.51074630601039539</v>
      </c>
      <c r="GK137" s="14">
        <v>0.5082951978616097</v>
      </c>
      <c r="GL137" s="14">
        <v>0.48925369398960428</v>
      </c>
      <c r="GM137" s="14">
        <v>0.49170480213839024</v>
      </c>
      <c r="GO137" s="5">
        <v>338.16872463277008</v>
      </c>
      <c r="GP137" s="5">
        <v>293.33520778489498</v>
      </c>
      <c r="GQ137" s="5">
        <v>527.27910984145694</v>
      </c>
      <c r="GR137" s="5">
        <v>404.20319246551543</v>
      </c>
      <c r="GS137" s="5">
        <v>334.50205195691484</v>
      </c>
      <c r="GT137" s="5">
        <v>289.18266033348181</v>
      </c>
      <c r="GU137" s="5">
        <v>254.29573314828914</v>
      </c>
      <c r="GV137" s="39" t="s">
        <v>392</v>
      </c>
      <c r="GW137" s="5">
        <v>468.76388888888891</v>
      </c>
      <c r="GX137" s="5">
        <v>351.57291666666669</v>
      </c>
      <c r="GY137" s="5">
        <v>281.25833333333333</v>
      </c>
      <c r="GZ137" s="5">
        <v>240.8550698915011</v>
      </c>
      <c r="HA137" s="5">
        <v>229.8919505212948</v>
      </c>
      <c r="HB137" s="39">
        <v>254.96614723549271</v>
      </c>
      <c r="HC137" s="5">
        <v>72.109375000000014</v>
      </c>
      <c r="HD137" s="5">
        <v>92.305464181286524</v>
      </c>
      <c r="HE137" s="5">
        <v>103.7516995614035</v>
      </c>
      <c r="HF137" s="5">
        <v>106.17129934210527</v>
      </c>
      <c r="HG137" s="5">
        <v>115.13410087719299</v>
      </c>
      <c r="HH137" s="39">
        <v>96.304265044073446</v>
      </c>
      <c r="HI137" s="16"/>
      <c r="HJ137" s="19" t="str">
        <f t="shared" ref="HJ137" si="359">HJ136</f>
        <v>On</v>
      </c>
      <c r="HK137" s="1" t="str">
        <f t="shared" si="108"/>
        <v>On</v>
      </c>
      <c r="HL137" s="16"/>
      <c r="HM137" s="639">
        <f t="shared" si="261"/>
        <v>1.7699001661282989E-2</v>
      </c>
      <c r="HN137" s="639">
        <f t="shared" si="262"/>
        <v>1.0509929974846072E-3</v>
      </c>
      <c r="HO137" s="639">
        <f t="shared" si="263"/>
        <v>5.7398960259851091E-2</v>
      </c>
      <c r="HP137" s="644">
        <f>(FT137*$GD137-HM137)/$JF137*INDEX(Input!$1:$1048576,$JG$93,$C137*2+6)</f>
        <v>63.03159148558607</v>
      </c>
      <c r="HQ137" s="644">
        <f>(FU137*$GD137-HN137)/$JF137*INDEX(Input!$1:$1048576,$JG$93,$C137*2+6)</f>
        <v>5.2515894256948119</v>
      </c>
      <c r="HR137" s="644">
        <f>(FV137*$GD137-HO137)/$JF137*INDEX(Input!$1:$1048576,$JG$93,$C137*2+6)</f>
        <v>13.65079171689996</v>
      </c>
      <c r="HS137" s="644">
        <f t="shared" si="264"/>
        <v>-0.25459703557275665</v>
      </c>
      <c r="HT137" s="644">
        <f t="shared" si="265"/>
        <v>12.961975143743857</v>
      </c>
      <c r="HU137" s="644">
        <f t="shared" si="266"/>
        <v>22.596683938489353</v>
      </c>
      <c r="HV137" s="648">
        <f t="shared" si="267"/>
        <v>0</v>
      </c>
      <c r="HW137" s="648">
        <f t="shared" si="268"/>
        <v>0</v>
      </c>
      <c r="HX137" s="648">
        <f t="shared" si="269"/>
        <v>0</v>
      </c>
      <c r="HY137" s="644">
        <f>INDEX(Input!$1:$1048576,HY$93,$C137*2+6)*INDEX(Input!$1:$1048576,$JG$93,$C137*2+6)</f>
        <v>154.99999999999997</v>
      </c>
      <c r="HZ137" s="644">
        <f>INDEX(Input!$1:$1048576,HZ$93,$C137*2+6)*INDEX(Input!$1:$1048576,$JG$93,$C137*2+6)</f>
        <v>140</v>
      </c>
      <c r="IA137" s="644">
        <f>INDEX(Input!$1:$1048576,IA$93,$C137*2+6)*INDEX(Input!$1:$1048576,$JG$93,$C137*2+6)</f>
        <v>683</v>
      </c>
      <c r="IB137" s="644">
        <f t="shared" si="249"/>
        <v>217.77699445001349</v>
      </c>
      <c r="IC137" s="644">
        <f t="shared" si="172"/>
        <v>158.21356456943869</v>
      </c>
      <c r="ID137" s="644">
        <f>IF(AND(INDEX(Input!$1:$1048576,IA$93,$C137*2+7)="TOS",Y137&lt;=INDEX(Y:Y,MATCH(C137*1000+2,A:A))),0,1)*MAX(IA137+HR137+HU137+HX137,0%)</f>
        <v>719.24747565538928</v>
      </c>
      <c r="IE137" s="128">
        <f t="shared" si="270"/>
        <v>0.19883987549306392</v>
      </c>
      <c r="IF137" s="128">
        <f t="shared" si="174"/>
        <v>0.14445587129049053</v>
      </c>
      <c r="IG137" s="128">
        <f t="shared" si="175"/>
        <v>0.65670425321644565</v>
      </c>
      <c r="IH137" s="21"/>
      <c r="II137" s="19">
        <f t="shared" si="271"/>
        <v>1200</v>
      </c>
      <c r="IJ137" s="19">
        <f t="shared" si="272"/>
        <v>2231.5502763133163</v>
      </c>
      <c r="IK137" s="19">
        <f t="shared" si="273"/>
        <v>4498</v>
      </c>
      <c r="IL137" s="19">
        <f t="shared" si="176"/>
        <v>1150.0000000000005</v>
      </c>
      <c r="IM137" s="19">
        <f t="shared" si="177"/>
        <v>731.70757397478792</v>
      </c>
      <c r="IN137" s="19">
        <f t="shared" si="178"/>
        <v>324.99999999999909</v>
      </c>
      <c r="IO137" s="39">
        <f t="shared" si="274"/>
        <v>0</v>
      </c>
      <c r="IP137" s="39">
        <f t="shared" si="275"/>
        <v>0</v>
      </c>
      <c r="IQ137" s="39">
        <f t="shared" si="276"/>
        <v>0</v>
      </c>
      <c r="IR137" s="39">
        <v>0</v>
      </c>
      <c r="IS137" s="39">
        <v>0</v>
      </c>
      <c r="IT137" s="39">
        <v>0</v>
      </c>
      <c r="IU137" s="39">
        <v>0</v>
      </c>
      <c r="IV137" s="39">
        <v>0</v>
      </c>
      <c r="IW137" s="39">
        <v>0</v>
      </c>
      <c r="IX137" s="39">
        <f>INDEX(Input!$1:$1048576,IX$93,$C137*2+6)+INDEX(Input!$1:$1048576,IX$94,$C137*2+6)</f>
        <v>1600</v>
      </c>
      <c r="IY137" s="39">
        <f>INDEX(Input!$1:$1048576,IY$93,$C137*2+6)+INDEX(Input!$1:$1048576,IY$94,$C137*2+6)</f>
        <v>2503.5492916397525</v>
      </c>
      <c r="IZ137" s="39">
        <f>INDEX(Input!$1:$1048576,IZ$93,$C137*2+6)+INDEX(Input!$1:$1048576,IZ$94,$C137*2+6)</f>
        <v>6273.7109265464023</v>
      </c>
      <c r="JA137" s="19">
        <f t="shared" si="179"/>
        <v>2750.0000000000005</v>
      </c>
      <c r="JB137" s="19">
        <f t="shared" si="180"/>
        <v>3235.2568656145404</v>
      </c>
      <c r="JC137" s="19">
        <f t="shared" si="181"/>
        <v>6598.7109265464014</v>
      </c>
      <c r="JD137" s="19">
        <f t="shared" si="182"/>
        <v>5347.5630381856708</v>
      </c>
      <c r="JE137" s="21"/>
      <c r="JF137" s="1">
        <f t="shared" si="277"/>
        <v>7.6148954918618686E-2</v>
      </c>
      <c r="JG137" s="15">
        <f>INDEX(Input!$1:$1048576,JG$93,$C137*2+6)/(1+VLOOKUP(C137*1000+INDEX(Input!$1:$1048576,JG$93+1,$C137*2+6),$A:$KK,$JK$92,FALSE))</f>
        <v>978</v>
      </c>
      <c r="JH137" s="1">
        <f t="shared" si="251"/>
        <v>8.3777068126974275E-2</v>
      </c>
      <c r="JI137" s="1">
        <f t="shared" si="252"/>
        <v>3.6098222951595559E-2</v>
      </c>
      <c r="JJ137" s="1">
        <f t="shared" si="253"/>
        <v>0</v>
      </c>
      <c r="JK137" s="1">
        <f t="shared" si="254"/>
        <v>0.11987529107856984</v>
      </c>
      <c r="JL137" s="15">
        <f t="shared" si="184"/>
        <v>117.2380346748413</v>
      </c>
      <c r="JM137" s="15">
        <f t="shared" si="185"/>
        <v>1095.2380346748414</v>
      </c>
      <c r="JN137" s="21"/>
      <c r="JO137" s="19">
        <f>INDEX(Input!$1:$1048576,JO$93,$C137*2+6)</f>
        <v>5908.5</v>
      </c>
      <c r="JP137" s="19">
        <f>INDEX(Input!$1:$1048576,JP$93,$C137*2+6)</f>
        <v>4993.2939301234746</v>
      </c>
      <c r="JQ137" s="39">
        <f t="shared" si="186"/>
        <v>560.93696181432915</v>
      </c>
      <c r="JR137" s="39">
        <f t="shared" si="187"/>
        <v>354.26910806219621</v>
      </c>
      <c r="JS137" s="39">
        <f t="shared" si="188"/>
        <v>5.8568544322422973</v>
      </c>
      <c r="JT137" s="39">
        <f t="shared" si="189"/>
        <v>0.97341296858153958</v>
      </c>
      <c r="JU137" s="385">
        <f>(JQ137*JM137-INDEX(Input!$1:$1048576,Input!A$18,$C137*2+6)*JL137*INDEX(Input!$1:$1048576,Input!A$19,$C137*2+6))/1000000</f>
        <v>0.61435949563400238</v>
      </c>
      <c r="JV137" s="39">
        <f t="shared" si="192"/>
        <v>-0.28071204070523936</v>
      </c>
      <c r="JW137" s="1">
        <f t="shared" si="190"/>
        <v>-0.3136196709520282</v>
      </c>
      <c r="JX137" s="19">
        <f t="shared" si="191"/>
        <v>8302.8768887272145</v>
      </c>
      <c r="JZ137" s="341"/>
      <c r="KA137" s="342"/>
      <c r="KB137" s="469">
        <f t="shared" si="110"/>
        <v>3.2656316020464753</v>
      </c>
      <c r="KI137" s="473">
        <f t="shared" si="278"/>
        <v>62.776994450013518</v>
      </c>
      <c r="KJ137" s="473">
        <f t="shared" si="279"/>
        <v>18.213564569438688</v>
      </c>
      <c r="KK137" s="473">
        <f t="shared" si="257"/>
        <v>36.24747565538928</v>
      </c>
      <c r="KN137" s="544">
        <f t="shared" si="258"/>
        <v>1002</v>
      </c>
      <c r="KO137" s="541">
        <f t="shared" si="280"/>
        <v>3.508952559802947E-2</v>
      </c>
      <c r="KP137" s="546">
        <f t="shared" si="281"/>
        <v>197.04701323198097</v>
      </c>
      <c r="KQ137" s="546">
        <f t="shared" si="282"/>
        <v>-6.8908617897695876</v>
      </c>
      <c r="KR137" s="548">
        <f t="shared" si="283"/>
        <v>2.5537203087372804</v>
      </c>
      <c r="KS137" s="548">
        <f t="shared" si="284"/>
        <v>-73.024677437821495</v>
      </c>
      <c r="KT137" s="473">
        <f t="shared" si="112"/>
        <v>-82.310573396665475</v>
      </c>
      <c r="KU137" s="663">
        <f t="shared" si="285"/>
        <v>-52.68936731456386</v>
      </c>
      <c r="KV137" s="117"/>
    </row>
    <row r="138" spans="1:308" s="26" customFormat="1" ht="15">
      <c r="A138" s="561">
        <f t="shared" si="168"/>
        <v>1038</v>
      </c>
      <c r="B138" s="561">
        <f t="shared" si="104"/>
        <v>38</v>
      </c>
      <c r="C138" s="561">
        <f t="shared" si="105"/>
        <v>1</v>
      </c>
      <c r="D138" s="561" t="str">
        <f t="shared" si="287"/>
        <v xml:space="preserve">1000 CC, 0/0/0.9/3.9, </v>
      </c>
      <c r="E138" s="475">
        <f>INDEX(Input!$1:$1048576,E$93,$C138*2+MIN($B138,2)+5)
+INDEX(Scenarios!E$121:E$200,MATCH($B138,Scenarios!$B$121:$B$200,0))</f>
        <v>2250</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8.9999999999999993E-3</v>
      </c>
      <c r="W138" s="863">
        <f>IFERROR(MAX(0,INDEX(Input!$1:$1048576,W$93,$C138*2+MIN($B138,2)+5)-0%,),"Market")</f>
        <v>3.9E-2</v>
      </c>
      <c r="X138" s="476" t="str">
        <f>INDEX(Input!$1:$1048576,X$93,$C138*2+MIN($B138,2)+5)</f>
        <v>Y</v>
      </c>
      <c r="Y138" s="475">
        <f>INDEX(Input!$1:$1048576,Y$93,$C138*2+MIN($B138,2)+5)
++INDEX(Scenarios!Y$121:Y$200,MATCH($B138,Scenarios!$B$121:$B$200,0))</f>
        <v>2826</v>
      </c>
      <c r="Z138" s="477">
        <f>INDEX(Input!$1:$1048576,Z$93,$C138*2+MIN($B138,2)+5)
+INDEX(Scenarios!Z$121:Z$200,MATCH($B138,Scenarios!$B$121:$B$200,0))</f>
        <v>0</v>
      </c>
      <c r="AA138" s="475">
        <f>INDEX(Input!$1:$1048576,AA$93,$C138*2+MIN($B138,2)+5)</f>
        <v>0</v>
      </c>
      <c r="AB138" s="476">
        <f>INDEX(Input!$1:$1048576,AB$93,$C138*2+MIN($B138,2)+5)</f>
        <v>1</v>
      </c>
      <c r="AC138" s="475">
        <f>INDEX(Input!$1:$1048576,AC$93,$C138*2+MIN($B138,2)+5)
+INDEX(Scenarios!AC$121:AC$200,MATCH($B138,Scenarios!$B$121:$B$200,0))</f>
        <v>0</v>
      </c>
      <c r="AD138" s="476">
        <f>INDEX(Input!$1:$1048576,AD$93,$C138*2+MIN($B138,2)+5)</f>
        <v>0.35</v>
      </c>
      <c r="AE138" s="475">
        <f>INDEX(Input!$1:$1048576,AE$93,$C138*2+MIN($B138,2)+5)
+INDEX(Scenarios!AE$121:AE$200,MATCH($B138,Scenarios!$B$121:$B$200,0))</f>
        <v>0</v>
      </c>
      <c r="AF138" s="476">
        <f>INDEX(Input!$1:$1048576,AF$93,$C138*2+MIN($B138,2)+5)</f>
        <v>1</v>
      </c>
      <c r="AG138" s="475">
        <f>INDEX(Input!$1:$1048576,AG$93,$C138*2+MIN($B138,2)+5)
+INDEX(Scenarios!AG$121:AG$200,MATCH($B138,Scenarios!$B$121:$B$200,0))</f>
        <v>0</v>
      </c>
      <c r="AH138" s="476">
        <f>INDEX(Input!$1:$1048576,AH$93,$C138*2+MIN($B138,2)+5)</f>
        <v>1</v>
      </c>
      <c r="AI138" s="475">
        <f>INDEX(Input!$1:$1048576,AI$93,$C138*2+MIN($B138,2)+5)
+INDEX(Scenarios!AI$121:AI$200,MATCH($B138,Scenarios!$B$121:$B$200,0))</f>
        <v>0</v>
      </c>
      <c r="AJ138" s="476">
        <f>INDEX(Input!$1:$1048576,AJ$93,$C138*2+MIN($B138,2)+5)</f>
        <v>0.35</v>
      </c>
      <c r="AK138" s="150">
        <f>ROUND(INDEX(Input!$1:$1048576,AK$93,$C137*2+MIN($B138,1)+5)+(Y138-VLOOKUP($C138*1000+1,$A:$HH,Y$92,FALSE)),0)</f>
        <v>5482</v>
      </c>
      <c r="AL138" s="150">
        <f>ROUND(INDEX(Input!$1:$1048576,AL$93,$C137*2+MIN($B138,1)+5)-(Y138-VLOOKUP($C138*1000+1,$A:$HH,Y$92,FALSE))/36,0)</f>
        <v>5602</v>
      </c>
      <c r="AM138" s="32" t="str">
        <f t="shared" si="169"/>
        <v>std/std/std/std</v>
      </c>
      <c r="AN138" s="32" t="str">
        <f t="shared" si="170"/>
        <v>$0 + 0/0/0/0.9/3.9</v>
      </c>
      <c r="AO138" s="32" t="str">
        <f t="shared" si="171"/>
        <v>0/0/0/0.9/3.9</v>
      </c>
      <c r="AP138" s="32" t="str">
        <f t="shared" si="73"/>
        <v>0/0/0.9/3.9</v>
      </c>
      <c r="AQ138" s="536">
        <f t="shared" si="39"/>
        <v>0.21465229554705553</v>
      </c>
      <c r="AR138" s="32"/>
      <c r="AS138" s="302"/>
      <c r="AT138" s="3">
        <f t="shared" si="106"/>
        <v>38</v>
      </c>
      <c r="AU138" s="41" t="s">
        <v>121</v>
      </c>
      <c r="AV138" s="41" t="s">
        <v>116</v>
      </c>
      <c r="AW138" s="41" t="str">
        <f>INDEX(Input!$1:$1048576,AW$93,$C138*2+6)</f>
        <v>Kia</v>
      </c>
      <c r="AX138" s="41" t="str">
        <f>INDEX(Input!$1:$1048576,AX$93,$C138*2+6)</f>
        <v>Kia-LR - L1</v>
      </c>
      <c r="AY138" s="41" t="str">
        <f>IF(LEN(D138)=0,"",INDEX(Input!$1:$1048576,AY$93,$C138*2+6))</f>
        <v>Compact Conventional/Sporty Car (43)</v>
      </c>
      <c r="AZ138" s="41" t="str">
        <f>INDEX(Input!$1:$1048576,AZ$93,$C138*2+6)</f>
        <v>Kia Forte</v>
      </c>
      <c r="BA138" s="3">
        <f>INDEX(Input!$1:$1048576,BA$93,$C138*2+6)</f>
        <v>2020</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19695</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4"/>
        <v>2250</v>
      </c>
      <c r="CJ138" s="16" t="str">
        <f>INDEX(Input!$1:$1048576,CJ$93,$C138*2+6)</f>
        <v>N</v>
      </c>
      <c r="CK138" s="1" t="str">
        <f t="shared" si="75"/>
        <v>Market</v>
      </c>
      <c r="CL138" s="1" t="str">
        <f t="shared" si="76"/>
        <v>Market</v>
      </c>
      <c r="CM138" s="1" t="str">
        <f t="shared" si="77"/>
        <v>Market</v>
      </c>
      <c r="CN138" s="1" t="str">
        <f t="shared" si="78"/>
        <v>Market</v>
      </c>
      <c r="CO138" s="1" t="str">
        <f t="shared" si="79"/>
        <v>Market</v>
      </c>
      <c r="CP138" s="304">
        <f t="shared" si="80"/>
        <v>0</v>
      </c>
      <c r="CQ138" s="1">
        <f t="shared" si="81"/>
        <v>0</v>
      </c>
      <c r="CR138" s="1">
        <f t="shared" si="82"/>
        <v>0</v>
      </c>
      <c r="CS138" s="1">
        <f t="shared" si="83"/>
        <v>0</v>
      </c>
      <c r="CT138" s="1">
        <f t="shared" si="84"/>
        <v>8.9999999999999993E-3</v>
      </c>
      <c r="CU138" s="1">
        <f t="shared" si="85"/>
        <v>3.9E-2</v>
      </c>
      <c r="CV138" s="304">
        <f t="shared" si="86"/>
        <v>2826</v>
      </c>
      <c r="CW138" s="20" t="s">
        <v>122</v>
      </c>
      <c r="CX138" s="20" t="s">
        <v>122</v>
      </c>
      <c r="CY138" s="20" t="s">
        <v>122</v>
      </c>
      <c r="CZ138" s="20" t="s">
        <v>122</v>
      </c>
      <c r="DA138" s="20" t="s">
        <v>122</v>
      </c>
      <c r="DB138" s="503">
        <f t="shared" si="87"/>
        <v>0</v>
      </c>
      <c r="DC138" s="127">
        <v>0</v>
      </c>
      <c r="DD138" s="127">
        <v>0</v>
      </c>
      <c r="DE138" s="127">
        <v>0</v>
      </c>
      <c r="DF138" s="127">
        <v>0</v>
      </c>
      <c r="DG138" s="127">
        <v>0</v>
      </c>
      <c r="DH138" s="127">
        <v>0</v>
      </c>
      <c r="DI138" s="127">
        <v>0</v>
      </c>
      <c r="DJ138" s="127">
        <v>0</v>
      </c>
      <c r="DK138" s="127">
        <v>0</v>
      </c>
      <c r="DL138" s="127">
        <v>0</v>
      </c>
      <c r="DM138" s="304">
        <f>INDEX(Input!$1:$1048576,DM$93,$C138*2+6)</f>
        <v>20731.578947368424</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1.7675247778003673E-2</v>
      </c>
      <c r="DZ138" s="7">
        <v>0</v>
      </c>
      <c r="EA138" s="7">
        <v>0.2719032918767838</v>
      </c>
      <c r="EB138" s="7">
        <v>0</v>
      </c>
      <c r="EC138" s="7">
        <v>0</v>
      </c>
      <c r="ED138" s="7">
        <v>0</v>
      </c>
      <c r="EE138" s="7">
        <v>0</v>
      </c>
      <c r="EF138" s="7">
        <v>0</v>
      </c>
      <c r="EG138" s="7">
        <v>0</v>
      </c>
      <c r="EH138" s="7">
        <v>1.4476869635993291E-2</v>
      </c>
      <c r="EI138" s="7">
        <v>2.6039456772322743E-2</v>
      </c>
      <c r="EJ138" s="7">
        <v>0.20479017957701887</v>
      </c>
      <c r="EK138" s="7">
        <v>0.72317389939610388</v>
      </c>
      <c r="EL138" s="7">
        <v>3.1519594618561159E-2</v>
      </c>
      <c r="EM138" s="7">
        <v>1.7308220180938201E-2</v>
      </c>
      <c r="EN138" s="7">
        <v>5.6686594175933754E-2</v>
      </c>
      <c r="EO138" s="7">
        <v>0.54216995014193592</v>
      </c>
      <c r="EP138" s="7">
        <v>0.3117315538121922</v>
      </c>
      <c r="EQ138" s="7">
        <v>5.1954312326603504E-2</v>
      </c>
      <c r="ER138" s="7">
        <v>3.7457589543334731E-2</v>
      </c>
      <c r="ES138" s="7">
        <v>0.69311324016427434</v>
      </c>
      <c r="ET138" s="7">
        <v>0.71042146034521259</v>
      </c>
      <c r="EU138" s="6">
        <v>2600</v>
      </c>
      <c r="EV138" s="6">
        <v>0</v>
      </c>
      <c r="EW138" s="6">
        <v>2600</v>
      </c>
      <c r="EX138" s="6">
        <v>0</v>
      </c>
      <c r="EY138" s="6">
        <v>2963.2578502881042</v>
      </c>
      <c r="EZ138" s="6">
        <v>4822.9999999999991</v>
      </c>
      <c r="FA138" s="6">
        <v>0</v>
      </c>
      <c r="FB138" s="6">
        <v>0</v>
      </c>
      <c r="FC138" s="6">
        <v>0</v>
      </c>
      <c r="FD138" s="6">
        <v>0</v>
      </c>
      <c r="FE138" s="6">
        <v>0</v>
      </c>
      <c r="FF138" s="6">
        <v>0</v>
      </c>
      <c r="FG138" s="6">
        <v>0</v>
      </c>
      <c r="FH138" s="6">
        <v>1152.120827037782</v>
      </c>
      <c r="FI138" s="6">
        <v>1531.4299904380623</v>
      </c>
      <c r="FJ138" s="6">
        <v>2070.7205842538224</v>
      </c>
      <c r="FK138" s="6">
        <v>2218.639369850102</v>
      </c>
      <c r="FL138" s="6">
        <v>893.91433563489375</v>
      </c>
      <c r="FM138" s="6">
        <v>2113.2578502881042</v>
      </c>
      <c r="FN138" s="6">
        <v>0</v>
      </c>
      <c r="FO138" s="6">
        <v>0</v>
      </c>
      <c r="FP138" s="6">
        <v>0</v>
      </c>
      <c r="FQ138" s="6">
        <v>0</v>
      </c>
      <c r="FR138" s="6">
        <v>0</v>
      </c>
      <c r="FS138" s="6">
        <v>0</v>
      </c>
      <c r="FT138" s="7">
        <v>0.28957853965478747</v>
      </c>
      <c r="FU138" s="7">
        <v>1.7308220180938201E-2</v>
      </c>
      <c r="FV138" s="7">
        <v>0.69311324016427434</v>
      </c>
      <c r="FW138" s="6">
        <v>2599.9999999999995</v>
      </c>
      <c r="FX138" s="6">
        <v>2963.2578502881042</v>
      </c>
      <c r="FY138" s="6">
        <v>4822.9999999999991</v>
      </c>
      <c r="FZ138" s="6">
        <v>3077.4375890575293</v>
      </c>
      <c r="GA138" s="6">
        <v>4147.0780797404223</v>
      </c>
      <c r="GB138" s="6">
        <v>15547.921920259578</v>
      </c>
      <c r="GC138" s="7">
        <v>7.0901643973087014E-2</v>
      </c>
      <c r="GD138" s="7">
        <v>8.3285546130407603E-2</v>
      </c>
      <c r="GE138" s="7"/>
      <c r="GF138" s="7"/>
      <c r="GG138" s="7">
        <v>0.17466311728993611</v>
      </c>
      <c r="GH138" s="42">
        <v>3.2160245661877394</v>
      </c>
      <c r="GI138" s="6">
        <v>10271.098464120247</v>
      </c>
      <c r="GJ138" s="14">
        <v>0.5107463060103955</v>
      </c>
      <c r="GK138" s="14">
        <v>0.5082951978616097</v>
      </c>
      <c r="GL138" s="14">
        <v>0.48925369398960428</v>
      </c>
      <c r="GM138" s="14">
        <v>0.49170480213839018</v>
      </c>
      <c r="GO138" s="5">
        <v>338.16872463277008</v>
      </c>
      <c r="GP138" s="5">
        <v>288.56568471597211</v>
      </c>
      <c r="GQ138" s="5">
        <v>527.27910984145694</v>
      </c>
      <c r="GR138" s="5">
        <v>404.20319246551543</v>
      </c>
      <c r="GS138" s="5">
        <v>334.50205195691484</v>
      </c>
      <c r="GT138" s="5">
        <v>289.18266033348181</v>
      </c>
      <c r="GU138" s="5">
        <v>254.29573314828914</v>
      </c>
      <c r="GV138" s="39" t="s">
        <v>392</v>
      </c>
      <c r="GW138" s="5">
        <v>468.76388888888891</v>
      </c>
      <c r="GX138" s="5">
        <v>351.57291666666669</v>
      </c>
      <c r="GY138" s="5">
        <v>281.25833333333333</v>
      </c>
      <c r="GZ138" s="5">
        <v>240.8550698915011</v>
      </c>
      <c r="HA138" s="5">
        <v>229.8919505212948</v>
      </c>
      <c r="HB138" s="39">
        <v>254.96614723549266</v>
      </c>
      <c r="HC138" s="5">
        <v>72.109375000000014</v>
      </c>
      <c r="HD138" s="5">
        <v>92.305464181286524</v>
      </c>
      <c r="HE138" s="5">
        <v>103.7516995614035</v>
      </c>
      <c r="HF138" s="5">
        <v>106.17129934210527</v>
      </c>
      <c r="HG138" s="5">
        <v>115.13410087719299</v>
      </c>
      <c r="HH138" s="39">
        <v>96.304265044073475</v>
      </c>
      <c r="HI138" s="16"/>
      <c r="HJ138" s="19" t="str">
        <f t="shared" ref="HJ138" si="360">HJ137</f>
        <v>On</v>
      </c>
      <c r="HK138" s="1" t="str">
        <f t="shared" si="108"/>
        <v>On</v>
      </c>
      <c r="HL138" s="16"/>
      <c r="HM138" s="639">
        <f t="shared" si="261"/>
        <v>1.7699001661282989E-2</v>
      </c>
      <c r="HN138" s="639">
        <f t="shared" si="262"/>
        <v>1.0509929974846072E-3</v>
      </c>
      <c r="HO138" s="639">
        <f t="shared" si="263"/>
        <v>5.7398960259851091E-2</v>
      </c>
      <c r="HP138" s="644">
        <f>(FT138*$GD138-HM138)/$JF138*INDEX(Input!$1:$1048576,$JG$93,$C138*2+6)</f>
        <v>82.437029564850278</v>
      </c>
      <c r="HQ138" s="644">
        <f>(FU138*$GD138-HN138)/$JF138*INDEX(Input!$1:$1048576,$JG$93,$C138*2+6)</f>
        <v>5.0156942880712316</v>
      </c>
      <c r="HR138" s="644">
        <f>(FV138*$GD138-HO138)/$JF138*INDEX(Input!$1:$1048576,$JG$93,$C138*2+6)</f>
        <v>4.2042951119313701</v>
      </c>
      <c r="HS138" s="644">
        <f t="shared" si="264"/>
        <v>-0.25459703557275665</v>
      </c>
      <c r="HT138" s="644">
        <f t="shared" si="265"/>
        <v>11.353967993338948</v>
      </c>
      <c r="HU138" s="644">
        <f t="shared" si="266"/>
        <v>24.204691088894261</v>
      </c>
      <c r="HV138" s="648">
        <f t="shared" si="267"/>
        <v>0</v>
      </c>
      <c r="HW138" s="648">
        <f t="shared" si="268"/>
        <v>0</v>
      </c>
      <c r="HX138" s="648">
        <f t="shared" si="269"/>
        <v>0</v>
      </c>
      <c r="HY138" s="644">
        <f>INDEX(Input!$1:$1048576,HY$93,$C138*2+6)*INDEX(Input!$1:$1048576,$JG$93,$C138*2+6)</f>
        <v>154.99999999999997</v>
      </c>
      <c r="HZ138" s="644">
        <f>INDEX(Input!$1:$1048576,HZ$93,$C138*2+6)*INDEX(Input!$1:$1048576,$JG$93,$C138*2+6)</f>
        <v>140</v>
      </c>
      <c r="IA138" s="644">
        <f>INDEX(Input!$1:$1048576,IA$93,$C138*2+6)*INDEX(Input!$1:$1048576,$JG$93,$C138*2+6)</f>
        <v>683</v>
      </c>
      <c r="IB138" s="644">
        <f t="shared" si="249"/>
        <v>237.18243252927732</v>
      </c>
      <c r="IC138" s="644">
        <f t="shared" si="172"/>
        <v>156.3696622814102</v>
      </c>
      <c r="ID138" s="644">
        <f>IF(AND(INDEX(Input!$1:$1048576,IA$93,$C138*2+7)="TOS",Y138&lt;=INDEX(Y:Y,MATCH(C138*1000+2,A:A))),0,1)*MAX(IA138+HR138+HU138+HX138,0%)</f>
        <v>711.40898620082567</v>
      </c>
      <c r="IE138" s="128">
        <f t="shared" si="270"/>
        <v>0.21465229554705553</v>
      </c>
      <c r="IF138" s="128">
        <f t="shared" si="174"/>
        <v>0.14151599089649827</v>
      </c>
      <c r="IG138" s="128">
        <f t="shared" si="175"/>
        <v>0.64383171355644619</v>
      </c>
      <c r="IH138" s="21"/>
      <c r="II138" s="19">
        <f t="shared" si="271"/>
        <v>1200</v>
      </c>
      <c r="IJ138" s="19">
        <f t="shared" si="272"/>
        <v>2231.5502763133163</v>
      </c>
      <c r="IK138" s="19">
        <f t="shared" si="273"/>
        <v>4498</v>
      </c>
      <c r="IL138" s="19">
        <f t="shared" si="176"/>
        <v>1399.9999999999995</v>
      </c>
      <c r="IM138" s="19">
        <f t="shared" si="177"/>
        <v>731.70757397478792</v>
      </c>
      <c r="IN138" s="19">
        <f t="shared" si="178"/>
        <v>324.99999999999909</v>
      </c>
      <c r="IO138" s="39">
        <f t="shared" si="274"/>
        <v>0</v>
      </c>
      <c r="IP138" s="39">
        <f t="shared" si="275"/>
        <v>0</v>
      </c>
      <c r="IQ138" s="39">
        <f t="shared" si="276"/>
        <v>0</v>
      </c>
      <c r="IR138" s="39">
        <v>0</v>
      </c>
      <c r="IS138" s="39">
        <v>0</v>
      </c>
      <c r="IT138" s="39">
        <v>0</v>
      </c>
      <c r="IU138" s="39">
        <v>0</v>
      </c>
      <c r="IV138" s="39">
        <v>0</v>
      </c>
      <c r="IW138" s="39">
        <v>0</v>
      </c>
      <c r="IX138" s="39">
        <f>INDEX(Input!$1:$1048576,IX$93,$C138*2+6)+INDEX(Input!$1:$1048576,IX$94,$C138*2+6)</f>
        <v>1600</v>
      </c>
      <c r="IY138" s="39">
        <f>INDEX(Input!$1:$1048576,IY$93,$C138*2+6)+INDEX(Input!$1:$1048576,IY$94,$C138*2+6)</f>
        <v>2503.5492916397525</v>
      </c>
      <c r="IZ138" s="39">
        <f>INDEX(Input!$1:$1048576,IZ$93,$C138*2+6)+INDEX(Input!$1:$1048576,IZ$94,$C138*2+6)</f>
        <v>6273.7109265464023</v>
      </c>
      <c r="JA138" s="19">
        <f t="shared" si="179"/>
        <v>2999.9999999999995</v>
      </c>
      <c r="JB138" s="19">
        <f t="shared" si="180"/>
        <v>3235.2568656145404</v>
      </c>
      <c r="JC138" s="19">
        <f t="shared" si="181"/>
        <v>6598.7109265464014</v>
      </c>
      <c r="JD138" s="19">
        <f t="shared" si="182"/>
        <v>5350.2568308853215</v>
      </c>
      <c r="JE138" s="21"/>
      <c r="JF138" s="1">
        <f t="shared" si="277"/>
        <v>7.6148954918618686E-2</v>
      </c>
      <c r="JG138" s="15">
        <f>INDEX(Input!$1:$1048576,JG$93,$C138*2+6)/(1+VLOOKUP(C138*1000+INDEX(Input!$1:$1048576,JG$93+1,$C138*2+6),$A:$KK,$JK$92,FALSE))</f>
        <v>978</v>
      </c>
      <c r="JH138" s="1">
        <f t="shared" si="251"/>
        <v>9.3718833297395582E-2</v>
      </c>
      <c r="JI138" s="1">
        <f t="shared" si="252"/>
        <v>3.6098222951595559E-2</v>
      </c>
      <c r="JJ138" s="1">
        <f t="shared" si="253"/>
        <v>0</v>
      </c>
      <c r="JK138" s="1">
        <f t="shared" si="254"/>
        <v>0.12981705624899115</v>
      </c>
      <c r="JL138" s="15">
        <f t="shared" si="184"/>
        <v>126.96108101151334</v>
      </c>
      <c r="JM138" s="15">
        <f t="shared" si="185"/>
        <v>1104.9610810115134</v>
      </c>
      <c r="JN138" s="21"/>
      <c r="JO138" s="19">
        <f>INDEX(Input!$1:$1048576,JO$93,$C138*2+6)</f>
        <v>5908.5</v>
      </c>
      <c r="JP138" s="19">
        <f>INDEX(Input!$1:$1048576,JP$93,$C138*2+6)</f>
        <v>4993.2939301234746</v>
      </c>
      <c r="JQ138" s="39">
        <f t="shared" si="186"/>
        <v>558.24316911467849</v>
      </c>
      <c r="JR138" s="39">
        <f t="shared" si="187"/>
        <v>356.96290076184687</v>
      </c>
      <c r="JS138" s="39">
        <f t="shared" si="188"/>
        <v>5.9118255715442789</v>
      </c>
      <c r="JT138" s="39">
        <f t="shared" si="189"/>
        <v>1.0283841078835214</v>
      </c>
      <c r="JU138" s="385">
        <f>(JQ138*JM138-INDEX(Input!$1:$1048576,Input!A$18,$C138*2+6)*JL138*INDEX(Input!$1:$1048576,Input!A$19,$C138*2+6))/1000000</f>
        <v>0.61683697561224826</v>
      </c>
      <c r="JV138" s="39">
        <f t="shared" si="192"/>
        <v>-0.27823456072699349</v>
      </c>
      <c r="JW138" s="1">
        <f t="shared" si="190"/>
        <v>-0.3108517581342678</v>
      </c>
      <c r="JX138" s="19">
        <f t="shared" si="191"/>
        <v>8099.9948936340843</v>
      </c>
      <c r="JZ138" s="341"/>
      <c r="KA138" s="342"/>
      <c r="KB138" s="469">
        <f t="shared" si="110"/>
        <v>3.2656316020464753</v>
      </c>
      <c r="KI138" s="473">
        <f t="shared" si="278"/>
        <v>82.182432529277378</v>
      </c>
      <c r="KJ138" s="473">
        <f t="shared" si="279"/>
        <v>16.369662281410228</v>
      </c>
      <c r="KK138" s="473">
        <f t="shared" si="257"/>
        <v>28.408986200825893</v>
      </c>
      <c r="KN138" s="544">
        <f t="shared" si="258"/>
        <v>1002</v>
      </c>
      <c r="KO138" s="541">
        <f t="shared" si="280"/>
        <v>4.4278599663542195E-2</v>
      </c>
      <c r="KP138" s="546">
        <f t="shared" si="281"/>
        <v>261.59422156597117</v>
      </c>
      <c r="KQ138" s="546">
        <f t="shared" si="282"/>
        <v>-4.19706909011893</v>
      </c>
      <c r="KR138" s="548">
        <f t="shared" si="283"/>
        <v>2.4273445182328848</v>
      </c>
      <c r="KS138" s="548">
        <f t="shared" si="284"/>
        <v>-151.29112389750196</v>
      </c>
      <c r="KT138" s="473">
        <f t="shared" si="112"/>
        <v>-82.310573396665475</v>
      </c>
      <c r="KU138" s="663">
        <f t="shared" si="285"/>
        <v>-53.097676400771824</v>
      </c>
      <c r="KV138" s="117"/>
    </row>
    <row r="139" spans="1:308" s="26" customFormat="1" ht="15">
      <c r="A139" s="561">
        <f t="shared" si="168"/>
        <v>1039</v>
      </c>
      <c r="B139" s="561">
        <f t="shared" si="104"/>
        <v>39</v>
      </c>
      <c r="C139" s="561">
        <f t="shared" si="105"/>
        <v>1</v>
      </c>
      <c r="D139" s="561" t="str">
        <f t="shared" si="287"/>
        <v xml:space="preserve">250 CC, 360 Lease, </v>
      </c>
      <c r="E139" s="475">
        <f>INDEX(Input!$1:$1048576,E$93,$C139*2+MIN($B139,2)+5)
+INDEX(Scenarios!E$121:E$200,MATCH($B139,Scenarios!$B$121:$B$200,0))</f>
        <v>1500</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1.9E-2</v>
      </c>
      <c r="W139" s="863">
        <f>IFERROR(MAX(0,INDEX(Input!$1:$1048576,W$93,$C139*2+MIN($B139,2)+5)-0%,),"Market")</f>
        <v>3.9E-2</v>
      </c>
      <c r="X139" s="476" t="str">
        <f>INDEX(Input!$1:$1048576,X$93,$C139*2+MIN($B139,2)+5)</f>
        <v>Y</v>
      </c>
      <c r="Y139" s="475">
        <f>INDEX(Input!$1:$1048576,Y$93,$C139*2+MIN($B139,2)+5)
++INDEX(Scenarios!Y$121:Y$200,MATCH($B139,Scenarios!$B$121:$B$200,0))</f>
        <v>3186</v>
      </c>
      <c r="Z139" s="477">
        <f>INDEX(Input!$1:$1048576,Z$93,$C139*2+MIN($B139,2)+5)
+INDEX(Scenarios!Z$121:Z$200,MATCH($B139,Scenarios!$B$121:$B$200,0))</f>
        <v>0</v>
      </c>
      <c r="AA139" s="475">
        <f>INDEX(Input!$1:$1048576,AA$93,$C139*2+MIN($B139,2)+5)</f>
        <v>0</v>
      </c>
      <c r="AB139" s="476">
        <f>INDEX(Input!$1:$1048576,AB$93,$C139*2+MIN($B139,2)+5)</f>
        <v>1</v>
      </c>
      <c r="AC139" s="475">
        <f>INDEX(Input!$1:$1048576,AC$93,$C139*2+MIN($B139,2)+5)
+INDEX(Scenarios!AC$121:AC$200,MATCH($B139,Scenarios!$B$121:$B$200,0))</f>
        <v>0</v>
      </c>
      <c r="AD139" s="476">
        <f>INDEX(Input!$1:$1048576,AD$93,$C139*2+MIN($B139,2)+5)</f>
        <v>0.35</v>
      </c>
      <c r="AE139" s="475">
        <f>INDEX(Input!$1:$1048576,AE$93,$C139*2+MIN($B139,2)+5)
+INDEX(Scenarios!AE$121:AE$200,MATCH($B139,Scenarios!$B$121:$B$200,0))</f>
        <v>0</v>
      </c>
      <c r="AF139" s="476">
        <f>INDEX(Input!$1:$1048576,AF$93,$C139*2+MIN($B139,2)+5)</f>
        <v>1</v>
      </c>
      <c r="AG139" s="475">
        <f>INDEX(Input!$1:$1048576,AG$93,$C139*2+MIN($B139,2)+5)
+INDEX(Scenarios!AG$121:AG$200,MATCH($B139,Scenarios!$B$121:$B$200,0))</f>
        <v>0</v>
      </c>
      <c r="AH139" s="476">
        <f>INDEX(Input!$1:$1048576,AH$93,$C139*2+MIN($B139,2)+5)</f>
        <v>1</v>
      </c>
      <c r="AI139" s="475">
        <f>INDEX(Input!$1:$1048576,AI$93,$C139*2+MIN($B139,2)+5)
+INDEX(Scenarios!AI$121:AI$200,MATCH($B139,Scenarios!$B$121:$B$200,0))</f>
        <v>0</v>
      </c>
      <c r="AJ139" s="476">
        <f>INDEX(Input!$1:$1048576,AJ$93,$C139*2+MIN($B139,2)+5)</f>
        <v>0.35</v>
      </c>
      <c r="AK139" s="150">
        <f>ROUND(INDEX(Input!$1:$1048576,AK$93,$C138*2+MIN($B139,1)+5)+(Y139-VLOOKUP($C139*1000+1,$A:$HH,Y$92,FALSE)),0)</f>
        <v>5842</v>
      </c>
      <c r="AL139" s="150">
        <f>ROUND(INDEX(Input!$1:$1048576,AL$93,$C138*2+MIN($B139,1)+5)-(Y139-VLOOKUP($C139*1000+1,$A:$HH,Y$92,FALSE))/36,0)</f>
        <v>5592</v>
      </c>
      <c r="AM139" s="32" t="str">
        <f t="shared" si="169"/>
        <v>std/std/std/std</v>
      </c>
      <c r="AN139" s="32" t="str">
        <f t="shared" si="170"/>
        <v>$0 + 0/0/0/1.9/3.9</v>
      </c>
      <c r="AO139" s="32" t="str">
        <f t="shared" si="171"/>
        <v>0/0/0/1.9/3.9</v>
      </c>
      <c r="AP139" s="32" t="str">
        <f t="shared" si="73"/>
        <v>0/0.9/1.9/3.9</v>
      </c>
      <c r="AQ139" s="536">
        <f t="shared" si="39"/>
        <v>0.14721793144640274</v>
      </c>
      <c r="AR139" s="32"/>
      <c r="AS139" s="302"/>
      <c r="AT139" s="3">
        <f t="shared" si="106"/>
        <v>39</v>
      </c>
      <c r="AU139" s="41" t="s">
        <v>121</v>
      </c>
      <c r="AV139" s="41" t="s">
        <v>116</v>
      </c>
      <c r="AW139" s="41" t="str">
        <f>INDEX(Input!$1:$1048576,AW$93,$C139*2+6)</f>
        <v>Kia</v>
      </c>
      <c r="AX139" s="41" t="str">
        <f>INDEX(Input!$1:$1048576,AX$93,$C139*2+6)</f>
        <v>Kia-LR - L1</v>
      </c>
      <c r="AY139" s="41" t="str">
        <f>IF(LEN(D139)=0,"",INDEX(Input!$1:$1048576,AY$93,$C139*2+6))</f>
        <v>Compact Conventional/Sporty Car (43)</v>
      </c>
      <c r="AZ139" s="41" t="str">
        <f>INDEX(Input!$1:$1048576,AZ$93,$C139*2+6)</f>
        <v>Kia Forte</v>
      </c>
      <c r="BA139" s="3">
        <f>INDEX(Input!$1:$1048576,BA$93,$C139*2+6)</f>
        <v>2020</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19695</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4"/>
        <v>1500</v>
      </c>
      <c r="CJ139" s="16" t="str">
        <f>INDEX(Input!$1:$1048576,CJ$93,$C139*2+6)</f>
        <v>N</v>
      </c>
      <c r="CK139" s="1" t="str">
        <f t="shared" si="75"/>
        <v>Market</v>
      </c>
      <c r="CL139" s="1" t="str">
        <f t="shared" si="76"/>
        <v>Market</v>
      </c>
      <c r="CM139" s="1" t="str">
        <f t="shared" si="77"/>
        <v>Market</v>
      </c>
      <c r="CN139" s="1" t="str">
        <f t="shared" si="78"/>
        <v>Market</v>
      </c>
      <c r="CO139" s="1" t="str">
        <f t="shared" si="79"/>
        <v>Market</v>
      </c>
      <c r="CP139" s="304">
        <f t="shared" si="80"/>
        <v>0</v>
      </c>
      <c r="CQ139" s="1">
        <f t="shared" si="81"/>
        <v>0</v>
      </c>
      <c r="CR139" s="1">
        <f t="shared" si="82"/>
        <v>0</v>
      </c>
      <c r="CS139" s="1">
        <f t="shared" si="83"/>
        <v>0</v>
      </c>
      <c r="CT139" s="1">
        <f t="shared" si="84"/>
        <v>1.9E-2</v>
      </c>
      <c r="CU139" s="1">
        <f t="shared" si="85"/>
        <v>3.9E-2</v>
      </c>
      <c r="CV139" s="304">
        <f t="shared" si="86"/>
        <v>3186</v>
      </c>
      <c r="CW139" s="20" t="s">
        <v>122</v>
      </c>
      <c r="CX139" s="20" t="s">
        <v>122</v>
      </c>
      <c r="CY139" s="20" t="s">
        <v>122</v>
      </c>
      <c r="CZ139" s="20" t="s">
        <v>122</v>
      </c>
      <c r="DA139" s="20" t="s">
        <v>122</v>
      </c>
      <c r="DB139" s="503">
        <f t="shared" si="87"/>
        <v>0</v>
      </c>
      <c r="DC139" s="127">
        <v>0</v>
      </c>
      <c r="DD139" s="127">
        <v>0</v>
      </c>
      <c r="DE139" s="127">
        <v>0</v>
      </c>
      <c r="DF139" s="127">
        <v>0</v>
      </c>
      <c r="DG139" s="127">
        <v>0</v>
      </c>
      <c r="DH139" s="127">
        <v>0</v>
      </c>
      <c r="DI139" s="127">
        <v>0</v>
      </c>
      <c r="DJ139" s="127">
        <v>0</v>
      </c>
      <c r="DK139" s="127">
        <v>0</v>
      </c>
      <c r="DL139" s="127">
        <v>0</v>
      </c>
      <c r="DM139" s="304">
        <f>INDEX(Input!$1:$1048576,DM$93,$C139*2+6)</f>
        <v>20731.578947368424</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1.3233619842357151E-2</v>
      </c>
      <c r="DZ139" s="7">
        <v>0</v>
      </c>
      <c r="EA139" s="7">
        <v>0.20620466143062641</v>
      </c>
      <c r="EB139" s="7">
        <v>0</v>
      </c>
      <c r="EC139" s="7">
        <v>0</v>
      </c>
      <c r="ED139" s="7">
        <v>0</v>
      </c>
      <c r="EE139" s="7">
        <v>0</v>
      </c>
      <c r="EF139" s="7">
        <v>0</v>
      </c>
      <c r="EG139" s="7">
        <v>0</v>
      </c>
      <c r="EH139" s="7">
        <v>1.9867163211649871E-2</v>
      </c>
      <c r="EI139" s="7">
        <v>3.5734944822064241E-2</v>
      </c>
      <c r="EJ139" s="7">
        <v>0.28104141462213039</v>
      </c>
      <c r="EK139" s="7">
        <v>0.62010092925970728</v>
      </c>
      <c r="EL139" s="7">
        <v>4.3255548084448155E-2</v>
      </c>
      <c r="EM139" s="7">
        <v>1.2054097283858931E-2</v>
      </c>
      <c r="EN139" s="7">
        <v>5.8591856591889799E-2</v>
      </c>
      <c r="EO139" s="7">
        <v>0.54078899147893744</v>
      </c>
      <c r="EP139" s="7">
        <v>0.31356065923790416</v>
      </c>
      <c r="EQ139" s="7">
        <v>5.0607944637769235E-2</v>
      </c>
      <c r="ER139" s="7">
        <v>3.6450548053498982E-2</v>
      </c>
      <c r="ES139" s="7">
        <v>0.76850762144315743</v>
      </c>
      <c r="ET139" s="7">
        <v>0.78056171872701641</v>
      </c>
      <c r="EU139" s="6">
        <v>1850</v>
      </c>
      <c r="EV139" s="6">
        <v>0</v>
      </c>
      <c r="EW139" s="6">
        <v>1850</v>
      </c>
      <c r="EX139" s="6">
        <v>0</v>
      </c>
      <c r="EY139" s="6">
        <v>2631.5502763133163</v>
      </c>
      <c r="EZ139" s="6">
        <v>5182.9999999999991</v>
      </c>
      <c r="FA139" s="6">
        <v>0</v>
      </c>
      <c r="FB139" s="6">
        <v>0</v>
      </c>
      <c r="FC139" s="6">
        <v>0</v>
      </c>
      <c r="FD139" s="6">
        <v>0</v>
      </c>
      <c r="FE139" s="6">
        <v>0</v>
      </c>
      <c r="FF139" s="6">
        <v>0</v>
      </c>
      <c r="FG139" s="6">
        <v>0</v>
      </c>
      <c r="FH139" s="6">
        <v>1152.1208270377815</v>
      </c>
      <c r="FI139" s="6">
        <v>1531.4299904380618</v>
      </c>
      <c r="FJ139" s="6">
        <v>2070.7205842538215</v>
      </c>
      <c r="FK139" s="6">
        <v>1746.9903521590438</v>
      </c>
      <c r="FL139" s="6">
        <v>893.91433563489352</v>
      </c>
      <c r="FM139" s="6">
        <v>1781.5502763133163</v>
      </c>
      <c r="FN139" s="6">
        <v>0</v>
      </c>
      <c r="FO139" s="6">
        <v>0</v>
      </c>
      <c r="FP139" s="6">
        <v>0</v>
      </c>
      <c r="FQ139" s="6">
        <v>0</v>
      </c>
      <c r="FR139" s="6">
        <v>0</v>
      </c>
      <c r="FS139" s="6">
        <v>0</v>
      </c>
      <c r="FT139" s="7">
        <v>0.21943828127298357</v>
      </c>
      <c r="FU139" s="7">
        <v>1.2054097283858931E-2</v>
      </c>
      <c r="FV139" s="7">
        <v>0.76850762144315743</v>
      </c>
      <c r="FW139" s="6">
        <v>1849.9999999999998</v>
      </c>
      <c r="FX139" s="6">
        <v>2631.5502763133163</v>
      </c>
      <c r="FY139" s="6">
        <v>5182.9999999999991</v>
      </c>
      <c r="FZ139" s="6">
        <v>3077.4375890575293</v>
      </c>
      <c r="GA139" s="6">
        <v>4420.8567853329505</v>
      </c>
      <c r="GB139" s="6">
        <v>15274.143214667049</v>
      </c>
      <c r="GC139" s="7">
        <v>7.0901643973087014E-2</v>
      </c>
      <c r="GD139" s="7">
        <v>8.4877585595117294E-2</v>
      </c>
      <c r="GE139" s="7"/>
      <c r="GF139" s="7"/>
      <c r="GG139" s="7">
        <v>0.19711731405459787</v>
      </c>
      <c r="GH139" s="42">
        <v>2.8898094586325906</v>
      </c>
      <c r="GI139" s="6">
        <v>11236.185021305762</v>
      </c>
      <c r="GJ139" s="14">
        <v>0.51074630601039539</v>
      </c>
      <c r="GK139" s="14">
        <v>0.5082951978616097</v>
      </c>
      <c r="GL139" s="14">
        <v>0.48925369398960439</v>
      </c>
      <c r="GM139" s="14">
        <v>0.49170480213839024</v>
      </c>
      <c r="GO139" s="5">
        <v>338.16872463277008</v>
      </c>
      <c r="GP139" s="5">
        <v>302.87425392274076</v>
      </c>
      <c r="GQ139" s="5">
        <v>527.27910984145694</v>
      </c>
      <c r="GR139" s="5">
        <v>404.20319246551543</v>
      </c>
      <c r="GS139" s="5">
        <v>334.50205195691484</v>
      </c>
      <c r="GT139" s="5">
        <v>289.18266033348181</v>
      </c>
      <c r="GU139" s="5">
        <v>254.29573314828914</v>
      </c>
      <c r="GV139" s="39" t="s">
        <v>392</v>
      </c>
      <c r="GW139" s="5">
        <v>468.76388888888891</v>
      </c>
      <c r="GX139" s="5">
        <v>351.57291666666669</v>
      </c>
      <c r="GY139" s="5">
        <v>281.25833333333333</v>
      </c>
      <c r="GZ139" s="5">
        <v>248.18079879493993</v>
      </c>
      <c r="HA139" s="5">
        <v>229.8919505212948</v>
      </c>
      <c r="HB139" s="39">
        <v>264.76293361772161</v>
      </c>
      <c r="HC139" s="5">
        <v>56.359375000000007</v>
      </c>
      <c r="HD139" s="5">
        <v>81.555464181286524</v>
      </c>
      <c r="HE139" s="5">
        <v>93.770930330634272</v>
      </c>
      <c r="HF139" s="5">
        <v>97.846299342105254</v>
      </c>
      <c r="HG139" s="5">
        <v>108.23410087719299</v>
      </c>
      <c r="HH139" s="39">
        <v>85.706364768795595</v>
      </c>
      <c r="HI139" s="16"/>
      <c r="HJ139" s="19" t="str">
        <f t="shared" ref="HJ139" si="361">HJ138</f>
        <v>On</v>
      </c>
      <c r="HK139" s="1" t="str">
        <f t="shared" si="108"/>
        <v>On</v>
      </c>
      <c r="HL139" s="16"/>
      <c r="HM139" s="639">
        <f t="shared" si="261"/>
        <v>1.7699001661282989E-2</v>
      </c>
      <c r="HN139" s="639">
        <f t="shared" si="262"/>
        <v>1.0509929974846072E-3</v>
      </c>
      <c r="HO139" s="639">
        <f t="shared" si="263"/>
        <v>5.7398960259851091E-2</v>
      </c>
      <c r="HP139" s="644">
        <f>(FT139*$GD139-HM139)/$JF139*INDEX(Input!$1:$1048576,$JG$93,$C139*2+6)</f>
        <v>11.897855522660027</v>
      </c>
      <c r="HQ139" s="644">
        <f>(FU139*$GD139-HN139)/$JF139*INDEX(Input!$1:$1048576,$JG$93,$C139*2+6)</f>
        <v>-0.35794550843259687</v>
      </c>
      <c r="HR139" s="644">
        <f>(FV139*$GD139-HO139)/$JF139*INDEX(Input!$1:$1048576,$JG$93,$C139*2+6)</f>
        <v>100.56406844140342</v>
      </c>
      <c r="HS139" s="644">
        <f t="shared" si="264"/>
        <v>-0.13917966391394995</v>
      </c>
      <c r="HT139" s="644">
        <f t="shared" si="265"/>
        <v>6.9486592275315999</v>
      </c>
      <c r="HU139" s="644">
        <f t="shared" si="266"/>
        <v>35.819995170572859</v>
      </c>
      <c r="HV139" s="648">
        <f t="shared" si="267"/>
        <v>0</v>
      </c>
      <c r="HW139" s="648">
        <f t="shared" si="268"/>
        <v>0</v>
      </c>
      <c r="HX139" s="648">
        <f t="shared" si="269"/>
        <v>0</v>
      </c>
      <c r="HY139" s="644">
        <f>INDEX(Input!$1:$1048576,HY$93,$C139*2+6)*INDEX(Input!$1:$1048576,$JG$93,$C139*2+6)</f>
        <v>154.99999999999997</v>
      </c>
      <c r="HZ139" s="644">
        <f>INDEX(Input!$1:$1048576,HZ$93,$C139*2+6)*INDEX(Input!$1:$1048576,$JG$93,$C139*2+6)</f>
        <v>140</v>
      </c>
      <c r="IA139" s="644">
        <f>INDEX(Input!$1:$1048576,IA$93,$C139*2+6)*INDEX(Input!$1:$1048576,$JG$93,$C139*2+6)</f>
        <v>683</v>
      </c>
      <c r="IB139" s="644">
        <f t="shared" si="249"/>
        <v>166.75867585874619</v>
      </c>
      <c r="IC139" s="644">
        <f t="shared" si="172"/>
        <v>146.590713719099</v>
      </c>
      <c r="ID139" s="644">
        <f>IF(AND(INDEX(Input!$1:$1048576,IA$93,$C139*2+7)="TOS",Y139&lt;=INDEX(Y:Y,MATCH(C139*1000+2,A:A))),0,1)*MAX(IA139+HR139+HU139+HX139,0%)</f>
        <v>819.38406361197622</v>
      </c>
      <c r="IE139" s="128">
        <f t="shared" si="270"/>
        <v>0.14721793144640274</v>
      </c>
      <c r="IF139" s="128">
        <f t="shared" si="174"/>
        <v>0.12941324660827652</v>
      </c>
      <c r="IG139" s="128">
        <f t="shared" si="175"/>
        <v>0.72336882194532071</v>
      </c>
      <c r="IH139" s="21"/>
      <c r="II139" s="19">
        <f t="shared" si="271"/>
        <v>1200</v>
      </c>
      <c r="IJ139" s="19">
        <f t="shared" si="272"/>
        <v>2231.5502763133163</v>
      </c>
      <c r="IK139" s="19">
        <f t="shared" si="273"/>
        <v>4498</v>
      </c>
      <c r="IL139" s="19">
        <f t="shared" si="176"/>
        <v>649.99999999999977</v>
      </c>
      <c r="IM139" s="19">
        <f t="shared" si="177"/>
        <v>400</v>
      </c>
      <c r="IN139" s="19">
        <f t="shared" si="178"/>
        <v>684.99999999999909</v>
      </c>
      <c r="IO139" s="39">
        <f t="shared" si="274"/>
        <v>0</v>
      </c>
      <c r="IP139" s="39">
        <f t="shared" si="275"/>
        <v>0</v>
      </c>
      <c r="IQ139" s="39">
        <f t="shared" si="276"/>
        <v>0</v>
      </c>
      <c r="IR139" s="39">
        <v>0</v>
      </c>
      <c r="IS139" s="39">
        <v>0</v>
      </c>
      <c r="IT139" s="39">
        <v>0</v>
      </c>
      <c r="IU139" s="39">
        <v>0</v>
      </c>
      <c r="IV139" s="39">
        <v>0</v>
      </c>
      <c r="IW139" s="39">
        <v>0</v>
      </c>
      <c r="IX139" s="39">
        <f>INDEX(Input!$1:$1048576,IX$93,$C139*2+6)+INDEX(Input!$1:$1048576,IX$94,$C139*2+6)</f>
        <v>1600</v>
      </c>
      <c r="IY139" s="39">
        <f>INDEX(Input!$1:$1048576,IY$93,$C139*2+6)+INDEX(Input!$1:$1048576,IY$94,$C139*2+6)</f>
        <v>2503.5492916397525</v>
      </c>
      <c r="IZ139" s="39">
        <f>INDEX(Input!$1:$1048576,IZ$93,$C139*2+6)+INDEX(Input!$1:$1048576,IZ$94,$C139*2+6)</f>
        <v>6273.7109265464023</v>
      </c>
      <c r="JA139" s="19">
        <f t="shared" si="179"/>
        <v>2250</v>
      </c>
      <c r="JB139" s="19">
        <f t="shared" si="180"/>
        <v>2903.5492916397525</v>
      </c>
      <c r="JC139" s="19">
        <f t="shared" si="181"/>
        <v>6958.7109265464014</v>
      </c>
      <c r="JD139" s="19">
        <f t="shared" si="182"/>
        <v>5740.7126114665698</v>
      </c>
      <c r="JE139" s="21"/>
      <c r="JF139" s="1">
        <f t="shared" si="277"/>
        <v>7.6148954918618686E-2</v>
      </c>
      <c r="JG139" s="15">
        <f>INDEX(Input!$1:$1048576,JG$93,$C139*2+6)/(1+VLOOKUP(C139*1000+INDEX(Input!$1:$1048576,JG$93+1,$C139*2+6),$A:$KK,$JK$92,FALSE))</f>
        <v>978</v>
      </c>
      <c r="JH139" s="1">
        <f t="shared" si="251"/>
        <v>0.11462574484215833</v>
      </c>
      <c r="JI139" s="1">
        <f t="shared" si="252"/>
        <v>4.3588419973609925E-2</v>
      </c>
      <c r="JJ139" s="1">
        <f t="shared" si="253"/>
        <v>0</v>
      </c>
      <c r="JK139" s="1">
        <f t="shared" si="254"/>
        <v>0.15821416481576825</v>
      </c>
      <c r="JL139" s="15">
        <f t="shared" si="184"/>
        <v>154.73345318982135</v>
      </c>
      <c r="JM139" s="15">
        <f t="shared" si="185"/>
        <v>1132.7334531898214</v>
      </c>
      <c r="JN139" s="21"/>
      <c r="JO139" s="19">
        <f>INDEX(Input!$1:$1048576,JO$93,$C139*2+6)</f>
        <v>5908.5</v>
      </c>
      <c r="JP139" s="19">
        <f>INDEX(Input!$1:$1048576,JP$93,$C139*2+6)</f>
        <v>4993.2939301234746</v>
      </c>
      <c r="JQ139" s="39">
        <f t="shared" si="186"/>
        <v>167.7873885334302</v>
      </c>
      <c r="JR139" s="39">
        <f t="shared" si="187"/>
        <v>747.41868134309516</v>
      </c>
      <c r="JS139" s="39">
        <f t="shared" si="188"/>
        <v>6.5026972201568851</v>
      </c>
      <c r="JT139" s="39">
        <f t="shared" si="189"/>
        <v>1.6192557564961267</v>
      </c>
      <c r="JU139" s="385">
        <f>(JQ139*JM139-INDEX(Input!$1:$1048576,Input!A$18,$C139*2+6)*JL139*INDEX(Input!$1:$1048576,Input!A$19,$C139*2+6))/1000000</f>
        <v>0.19005838801517463</v>
      </c>
      <c r="JV139" s="39">
        <f t="shared" si="192"/>
        <v>-0.70501314832406714</v>
      </c>
      <c r="JW139" s="1">
        <f t="shared" si="190"/>
        <v>-0.78766123119891007</v>
      </c>
      <c r="JX139" s="19">
        <f t="shared" si="191"/>
        <v>10464.807209528783</v>
      </c>
      <c r="JZ139" s="341"/>
      <c r="KA139" s="342"/>
      <c r="KB139" s="469">
        <f t="shared" si="110"/>
        <v>3.2656316020464753</v>
      </c>
      <c r="KI139" s="473">
        <f t="shared" si="278"/>
        <v>11.758675858746216</v>
      </c>
      <c r="KJ139" s="473">
        <f t="shared" si="279"/>
        <v>6.5907137190989999</v>
      </c>
      <c r="KK139" s="473">
        <f t="shared" si="257"/>
        <v>136.38406361197622</v>
      </c>
      <c r="KN139" s="544">
        <f t="shared" si="258"/>
        <v>1002</v>
      </c>
      <c r="KO139" s="541">
        <f t="shared" si="280"/>
        <v>7.0525762958333127E-2</v>
      </c>
      <c r="KP139" s="546">
        <f t="shared" si="281"/>
        <v>297.21725876191624</v>
      </c>
      <c r="KQ139" s="546">
        <f t="shared" si="282"/>
        <v>386.25871149112936</v>
      </c>
      <c r="KR139" s="548">
        <f t="shared" si="283"/>
        <v>3.4028237766419132</v>
      </c>
      <c r="KS139" s="548">
        <f t="shared" si="284"/>
        <v>2.6183951969368269</v>
      </c>
      <c r="KT139" s="473">
        <f t="shared" si="112"/>
        <v>-82.310573396665475</v>
      </c>
      <c r="KU139" s="663">
        <f t="shared" si="285"/>
        <v>-50.643793851035838</v>
      </c>
      <c r="KV139" s="117"/>
    </row>
    <row r="140" spans="1:308" s="26" customFormat="1" ht="15">
      <c r="A140" s="561">
        <f t="shared" si="168"/>
        <v>1040</v>
      </c>
      <c r="B140" s="561">
        <f t="shared" si="104"/>
        <v>40</v>
      </c>
      <c r="C140" s="561">
        <f t="shared" si="105"/>
        <v>1</v>
      </c>
      <c r="D140" s="561" t="str">
        <f t="shared" si="287"/>
        <v xml:space="preserve">500 CC, 360 Lease, </v>
      </c>
      <c r="E140" s="475">
        <f>INDEX(Input!$1:$1048576,E$93,$C140*2+MIN($B140,2)+5)
+INDEX(Scenarios!E$121:E$200,MATCH($B140,Scenarios!$B$121:$B$200,0))</f>
        <v>1750</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1.9E-2</v>
      </c>
      <c r="W140" s="863">
        <f>IFERROR(MAX(0,INDEX(Input!$1:$1048576,W$93,$C140*2+MIN($B140,2)+5)-0%,),"Market")</f>
        <v>3.9E-2</v>
      </c>
      <c r="X140" s="476" t="str">
        <f>INDEX(Input!$1:$1048576,X$93,$C140*2+MIN($B140,2)+5)</f>
        <v>Y</v>
      </c>
      <c r="Y140" s="475">
        <f>INDEX(Input!$1:$1048576,Y$93,$C140*2+MIN($B140,2)+5)
++INDEX(Scenarios!Y$121:Y$200,MATCH($B140,Scenarios!$B$121:$B$200,0))</f>
        <v>3186</v>
      </c>
      <c r="Z140" s="477">
        <f>INDEX(Input!$1:$1048576,Z$93,$C140*2+MIN($B140,2)+5)
+INDEX(Scenarios!Z$121:Z$200,MATCH($B140,Scenarios!$B$121:$B$200,0))</f>
        <v>0</v>
      </c>
      <c r="AA140" s="475">
        <f>INDEX(Input!$1:$1048576,AA$93,$C140*2+MIN($B140,2)+5)</f>
        <v>0</v>
      </c>
      <c r="AB140" s="476">
        <f>INDEX(Input!$1:$1048576,AB$93,$C140*2+MIN($B140,2)+5)</f>
        <v>1</v>
      </c>
      <c r="AC140" s="475">
        <f>INDEX(Input!$1:$1048576,AC$93,$C140*2+MIN($B140,2)+5)
+INDEX(Scenarios!AC$121:AC$200,MATCH($B140,Scenarios!$B$121:$B$200,0))</f>
        <v>0</v>
      </c>
      <c r="AD140" s="476">
        <f>INDEX(Input!$1:$1048576,AD$93,$C140*2+MIN($B140,2)+5)</f>
        <v>0.35</v>
      </c>
      <c r="AE140" s="475">
        <f>INDEX(Input!$1:$1048576,AE$93,$C140*2+MIN($B140,2)+5)
+INDEX(Scenarios!AE$121:AE$200,MATCH($B140,Scenarios!$B$121:$B$200,0))</f>
        <v>0</v>
      </c>
      <c r="AF140" s="476">
        <f>INDEX(Input!$1:$1048576,AF$93,$C140*2+MIN($B140,2)+5)</f>
        <v>1</v>
      </c>
      <c r="AG140" s="475">
        <f>INDEX(Input!$1:$1048576,AG$93,$C140*2+MIN($B140,2)+5)
+INDEX(Scenarios!AG$121:AG$200,MATCH($B140,Scenarios!$B$121:$B$200,0))</f>
        <v>0</v>
      </c>
      <c r="AH140" s="476">
        <f>INDEX(Input!$1:$1048576,AH$93,$C140*2+MIN($B140,2)+5)</f>
        <v>1</v>
      </c>
      <c r="AI140" s="475">
        <f>INDEX(Input!$1:$1048576,AI$93,$C140*2+MIN($B140,2)+5)
+INDEX(Scenarios!AI$121:AI$200,MATCH($B140,Scenarios!$B$121:$B$200,0))</f>
        <v>0</v>
      </c>
      <c r="AJ140" s="476">
        <f>INDEX(Input!$1:$1048576,AJ$93,$C140*2+MIN($B140,2)+5)</f>
        <v>0.35</v>
      </c>
      <c r="AK140" s="150">
        <f>ROUND(INDEX(Input!$1:$1048576,AK$93,$C139*2+MIN($B140,1)+5)+(Y140-VLOOKUP($C140*1000+1,$A:$HH,Y$92,FALSE)),0)</f>
        <v>5842</v>
      </c>
      <c r="AL140" s="150">
        <f>ROUND(INDEX(Input!$1:$1048576,AL$93,$C139*2+MIN($B140,1)+5)-(Y140-VLOOKUP($C140*1000+1,$A:$HH,Y$92,FALSE))/36,0)</f>
        <v>5592</v>
      </c>
      <c r="AM140" s="32" t="str">
        <f t="shared" si="169"/>
        <v>std/std/std/std</v>
      </c>
      <c r="AN140" s="32" t="str">
        <f t="shared" si="170"/>
        <v>$0 + 0/0/0/1.9/3.9</v>
      </c>
      <c r="AO140" s="32" t="str">
        <f t="shared" si="171"/>
        <v>0/0/0/1.9/3.9</v>
      </c>
      <c r="AP140" s="32" t="str">
        <f t="shared" si="73"/>
        <v>0/0.9/1.9/3.9</v>
      </c>
      <c r="AQ140" s="536">
        <f t="shared" si="39"/>
        <v>0.1607653478050268</v>
      </c>
      <c r="AR140" s="32"/>
      <c r="AS140" s="302"/>
      <c r="AT140" s="3">
        <f t="shared" si="106"/>
        <v>40</v>
      </c>
      <c r="AU140" s="41" t="s">
        <v>121</v>
      </c>
      <c r="AV140" s="41" t="s">
        <v>116</v>
      </c>
      <c r="AW140" s="41" t="str">
        <f>INDEX(Input!$1:$1048576,AW$93,$C140*2+6)</f>
        <v>Kia</v>
      </c>
      <c r="AX140" s="41" t="str">
        <f>INDEX(Input!$1:$1048576,AX$93,$C140*2+6)</f>
        <v>Kia-LR - L1</v>
      </c>
      <c r="AY140" s="41" t="str">
        <f>IF(LEN(D140)=0,"",INDEX(Input!$1:$1048576,AY$93,$C140*2+6))</f>
        <v>Compact Conventional/Sporty Car (43)</v>
      </c>
      <c r="AZ140" s="41" t="str">
        <f>INDEX(Input!$1:$1048576,AZ$93,$C140*2+6)</f>
        <v>Kia Forte</v>
      </c>
      <c r="BA140" s="3">
        <f>INDEX(Input!$1:$1048576,BA$93,$C140*2+6)</f>
        <v>2020</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19695</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4"/>
        <v>1750</v>
      </c>
      <c r="CJ140" s="16" t="str">
        <f>INDEX(Input!$1:$1048576,CJ$93,$C140*2+6)</f>
        <v>N</v>
      </c>
      <c r="CK140" s="1" t="str">
        <f t="shared" si="75"/>
        <v>Market</v>
      </c>
      <c r="CL140" s="1" t="str">
        <f t="shared" si="76"/>
        <v>Market</v>
      </c>
      <c r="CM140" s="1" t="str">
        <f t="shared" si="77"/>
        <v>Market</v>
      </c>
      <c r="CN140" s="1" t="str">
        <f t="shared" si="78"/>
        <v>Market</v>
      </c>
      <c r="CO140" s="1" t="str">
        <f t="shared" si="79"/>
        <v>Market</v>
      </c>
      <c r="CP140" s="304">
        <f t="shared" si="80"/>
        <v>0</v>
      </c>
      <c r="CQ140" s="1">
        <f t="shared" si="81"/>
        <v>0</v>
      </c>
      <c r="CR140" s="1">
        <f t="shared" si="82"/>
        <v>0</v>
      </c>
      <c r="CS140" s="1">
        <f t="shared" si="83"/>
        <v>0</v>
      </c>
      <c r="CT140" s="1">
        <f t="shared" si="84"/>
        <v>1.9E-2</v>
      </c>
      <c r="CU140" s="1">
        <f t="shared" si="85"/>
        <v>3.9E-2</v>
      </c>
      <c r="CV140" s="304">
        <f t="shared" si="86"/>
        <v>3186</v>
      </c>
      <c r="CW140" s="20" t="s">
        <v>122</v>
      </c>
      <c r="CX140" s="20" t="s">
        <v>122</v>
      </c>
      <c r="CY140" s="20" t="s">
        <v>122</v>
      </c>
      <c r="CZ140" s="20" t="s">
        <v>122</v>
      </c>
      <c r="DA140" s="20" t="s">
        <v>122</v>
      </c>
      <c r="DB140" s="503">
        <f t="shared" si="87"/>
        <v>0</v>
      </c>
      <c r="DC140" s="127">
        <v>0</v>
      </c>
      <c r="DD140" s="127">
        <v>0</v>
      </c>
      <c r="DE140" s="127">
        <v>0</v>
      </c>
      <c r="DF140" s="127">
        <v>0</v>
      </c>
      <c r="DG140" s="127">
        <v>0</v>
      </c>
      <c r="DH140" s="127">
        <v>0</v>
      </c>
      <c r="DI140" s="127">
        <v>0</v>
      </c>
      <c r="DJ140" s="127">
        <v>0</v>
      </c>
      <c r="DK140" s="127">
        <v>0</v>
      </c>
      <c r="DL140" s="127">
        <v>0</v>
      </c>
      <c r="DM140" s="304">
        <f>INDEX(Input!$1:$1048576,DM$93,$C140*2+6)</f>
        <v>20731.578947368424</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1.4106474981866908E-2</v>
      </c>
      <c r="DZ140" s="7">
        <v>0</v>
      </c>
      <c r="EA140" s="7">
        <v>0.21887888695779398</v>
      </c>
      <c r="EB140" s="7">
        <v>0</v>
      </c>
      <c r="EC140" s="7">
        <v>0</v>
      </c>
      <c r="ED140" s="7">
        <v>0</v>
      </c>
      <c r="EE140" s="7">
        <v>0</v>
      </c>
      <c r="EF140" s="7">
        <v>0</v>
      </c>
      <c r="EG140" s="7">
        <v>0</v>
      </c>
      <c r="EH140" s="7">
        <v>1.9867163211649868E-2</v>
      </c>
      <c r="EI140" s="7">
        <v>3.5734944822064241E-2</v>
      </c>
      <c r="EJ140" s="7">
        <v>0.28104141462213039</v>
      </c>
      <c r="EK140" s="7">
        <v>0.62010092925970739</v>
      </c>
      <c r="EL140" s="7">
        <v>4.3255548084448162E-2</v>
      </c>
      <c r="EM140" s="7">
        <v>1.1844891753597051E-2</v>
      </c>
      <c r="EN140" s="7">
        <v>5.8591856591889806E-2</v>
      </c>
      <c r="EO140" s="7">
        <v>0.54078899147893755</v>
      </c>
      <c r="EP140" s="7">
        <v>0.31356065923790427</v>
      </c>
      <c r="EQ140" s="7">
        <v>5.0607944637769256E-2</v>
      </c>
      <c r="ER140" s="7">
        <v>3.6450548053498996E-2</v>
      </c>
      <c r="ES140" s="7">
        <v>0.75516974630674205</v>
      </c>
      <c r="ET140" s="7">
        <v>0.76701463806033909</v>
      </c>
      <c r="EU140" s="6">
        <v>2100</v>
      </c>
      <c r="EV140" s="6">
        <v>0</v>
      </c>
      <c r="EW140" s="6">
        <v>2100</v>
      </c>
      <c r="EX140" s="6">
        <v>0</v>
      </c>
      <c r="EY140" s="6">
        <v>2631.5502763133163</v>
      </c>
      <c r="EZ140" s="6">
        <v>5182.9999999999991</v>
      </c>
      <c r="FA140" s="6">
        <v>0</v>
      </c>
      <c r="FB140" s="6">
        <v>0</v>
      </c>
      <c r="FC140" s="6">
        <v>0</v>
      </c>
      <c r="FD140" s="6">
        <v>0</v>
      </c>
      <c r="FE140" s="6">
        <v>0</v>
      </c>
      <c r="FF140" s="6">
        <v>0</v>
      </c>
      <c r="FG140" s="6">
        <v>0</v>
      </c>
      <c r="FH140" s="6">
        <v>1152.1208270377815</v>
      </c>
      <c r="FI140" s="6">
        <v>1531.4299904380618</v>
      </c>
      <c r="FJ140" s="6">
        <v>2070.7205842538219</v>
      </c>
      <c r="FK140" s="6">
        <v>1746.9903521590434</v>
      </c>
      <c r="FL140" s="6">
        <v>893.91433563489363</v>
      </c>
      <c r="FM140" s="6">
        <v>1781.5502763133165</v>
      </c>
      <c r="FN140" s="6">
        <v>0</v>
      </c>
      <c r="FO140" s="6">
        <v>0</v>
      </c>
      <c r="FP140" s="6">
        <v>0</v>
      </c>
      <c r="FQ140" s="6">
        <v>0</v>
      </c>
      <c r="FR140" s="6">
        <v>0</v>
      </c>
      <c r="FS140" s="6">
        <v>0</v>
      </c>
      <c r="FT140" s="7">
        <v>0.23298536193966088</v>
      </c>
      <c r="FU140" s="7">
        <v>1.1844891753597051E-2</v>
      </c>
      <c r="FV140" s="7">
        <v>0.75516974630674205</v>
      </c>
      <c r="FW140" s="6">
        <v>2100</v>
      </c>
      <c r="FX140" s="6">
        <v>2631.5502763133163</v>
      </c>
      <c r="FY140" s="6">
        <v>5182.9999999999991</v>
      </c>
      <c r="FZ140" s="6">
        <v>3077.4375890575293</v>
      </c>
      <c r="GA140" s="6">
        <v>4434.4844833482111</v>
      </c>
      <c r="GB140" s="6">
        <v>15260.515516651789</v>
      </c>
      <c r="GC140" s="7">
        <v>7.0901643973087014E-2</v>
      </c>
      <c r="GD140" s="7">
        <v>8.5500615771852126E-2</v>
      </c>
      <c r="GE140" s="7"/>
      <c r="GF140" s="7"/>
      <c r="GG140" s="7">
        <v>0.20590455990423323</v>
      </c>
      <c r="GH140" s="42">
        <v>2.9883199500143607</v>
      </c>
      <c r="GI140" s="6">
        <v>11025.144228435198</v>
      </c>
      <c r="GJ140" s="14">
        <v>0.5107463060103955</v>
      </c>
      <c r="GK140" s="14">
        <v>0.50829519786160959</v>
      </c>
      <c r="GL140" s="14">
        <v>0.48925369398960433</v>
      </c>
      <c r="GM140" s="14">
        <v>0.49170480213839035</v>
      </c>
      <c r="GO140" s="5">
        <v>338.16872463277008</v>
      </c>
      <c r="GP140" s="5">
        <v>298.1047308538179</v>
      </c>
      <c r="GQ140" s="5">
        <v>527.27910984145694</v>
      </c>
      <c r="GR140" s="5">
        <v>404.20319246551543</v>
      </c>
      <c r="GS140" s="5">
        <v>334.50205195691484</v>
      </c>
      <c r="GT140" s="5">
        <v>289.18266033348181</v>
      </c>
      <c r="GU140" s="5">
        <v>254.29573314828914</v>
      </c>
      <c r="GV140" s="39" t="s">
        <v>392</v>
      </c>
      <c r="GW140" s="5">
        <v>468.76388888888891</v>
      </c>
      <c r="GX140" s="5">
        <v>351.57291666666669</v>
      </c>
      <c r="GY140" s="5">
        <v>281.25833333333333</v>
      </c>
      <c r="GZ140" s="5">
        <v>248.18079879493993</v>
      </c>
      <c r="HA140" s="5">
        <v>229.8919505212948</v>
      </c>
      <c r="HB140" s="39">
        <v>264.76293361772167</v>
      </c>
      <c r="HC140" s="5">
        <v>56.359375000000007</v>
      </c>
      <c r="HD140" s="5">
        <v>81.555464181286524</v>
      </c>
      <c r="HE140" s="5">
        <v>93.770930330634272</v>
      </c>
      <c r="HF140" s="5">
        <v>97.846299342105254</v>
      </c>
      <c r="HG140" s="5">
        <v>108.23410087719299</v>
      </c>
      <c r="HH140" s="39">
        <v>85.706364768795609</v>
      </c>
      <c r="HI140" s="16"/>
      <c r="HJ140" s="19" t="str">
        <f t="shared" ref="HJ140:HJ142" si="362">HJ139</f>
        <v>On</v>
      </c>
      <c r="HK140" s="1" t="str">
        <f t="shared" si="108"/>
        <v>On</v>
      </c>
      <c r="HL140" s="16"/>
      <c r="HM140" s="639">
        <f t="shared" si="261"/>
        <v>1.7699001661282989E-2</v>
      </c>
      <c r="HN140" s="639">
        <f t="shared" si="262"/>
        <v>1.0509929974846072E-3</v>
      </c>
      <c r="HO140" s="639">
        <f t="shared" si="263"/>
        <v>5.7398960259851091E-2</v>
      </c>
      <c r="HP140" s="644">
        <f>(FT140*$GD140-HM140)/$JF140*INDEX(Input!$1:$1048576,$JG$93,$C140*2+6)</f>
        <v>28.529868429568918</v>
      </c>
      <c r="HQ140" s="644">
        <f>(FU140*$GD140-HN140)/$JF140*INDEX(Input!$1:$1048576,$JG$93,$C140*2+6)</f>
        <v>-0.49122164247004335</v>
      </c>
      <c r="HR140" s="644">
        <f>(FV140*$GD140-HO140)/$JF140*INDEX(Input!$1:$1048576,$JG$93,$C140*2+6)</f>
        <v>92.067063451953786</v>
      </c>
      <c r="HS140" s="644">
        <f t="shared" si="264"/>
        <v>-0.13917966391394995</v>
      </c>
      <c r="HT140" s="644">
        <f t="shared" si="265"/>
        <v>5.3406520771266832</v>
      </c>
      <c r="HU140" s="644">
        <f t="shared" si="266"/>
        <v>37.428002320977775</v>
      </c>
      <c r="HV140" s="648">
        <f t="shared" si="267"/>
        <v>0</v>
      </c>
      <c r="HW140" s="648">
        <f t="shared" si="268"/>
        <v>0</v>
      </c>
      <c r="HX140" s="648">
        <f t="shared" si="269"/>
        <v>0</v>
      </c>
      <c r="HY140" s="644">
        <f>INDEX(Input!$1:$1048576,HY$93,$C140*2+6)*INDEX(Input!$1:$1048576,$JG$93,$C140*2+6)</f>
        <v>154.99999999999997</v>
      </c>
      <c r="HZ140" s="644">
        <f>INDEX(Input!$1:$1048576,HZ$93,$C140*2+6)*INDEX(Input!$1:$1048576,$JG$93,$C140*2+6)</f>
        <v>140</v>
      </c>
      <c r="IA140" s="644">
        <f>INDEX(Input!$1:$1048576,IA$93,$C140*2+6)*INDEX(Input!$1:$1048576,$JG$93,$C140*2+6)</f>
        <v>683</v>
      </c>
      <c r="IB140" s="644">
        <f t="shared" si="249"/>
        <v>183.390688765655</v>
      </c>
      <c r="IC140" s="644">
        <f t="shared" si="172"/>
        <v>144.84943043465665</v>
      </c>
      <c r="ID140" s="644">
        <f>IF(AND(INDEX(Input!$1:$1048576,IA$93,$C140*2+7)="TOS",Y140&lt;=INDEX(Y:Y,MATCH(C140*1000+2,A:A))),0,1)*MAX(IA140+HR140+HU140+HX140,0%)</f>
        <v>812.49506577293153</v>
      </c>
      <c r="IE140" s="128">
        <f t="shared" si="270"/>
        <v>0.1607653478050268</v>
      </c>
      <c r="IF140" s="128">
        <f t="shared" si="174"/>
        <v>0.12697901523748845</v>
      </c>
      <c r="IG140" s="128">
        <f t="shared" si="175"/>
        <v>0.71225563695748484</v>
      </c>
      <c r="IH140" s="21"/>
      <c r="II140" s="19">
        <f t="shared" si="271"/>
        <v>1200</v>
      </c>
      <c r="IJ140" s="19">
        <f t="shared" si="272"/>
        <v>2231.5502763133163</v>
      </c>
      <c r="IK140" s="19">
        <f t="shared" si="273"/>
        <v>4498</v>
      </c>
      <c r="IL140" s="19">
        <f t="shared" si="176"/>
        <v>900</v>
      </c>
      <c r="IM140" s="19">
        <f t="shared" si="177"/>
        <v>400</v>
      </c>
      <c r="IN140" s="19">
        <f t="shared" si="178"/>
        <v>684.99999999999909</v>
      </c>
      <c r="IO140" s="39">
        <f t="shared" si="274"/>
        <v>0</v>
      </c>
      <c r="IP140" s="39">
        <f t="shared" si="275"/>
        <v>0</v>
      </c>
      <c r="IQ140" s="39">
        <f t="shared" si="276"/>
        <v>0</v>
      </c>
      <c r="IR140" s="39">
        <v>0</v>
      </c>
      <c r="IS140" s="39">
        <v>0</v>
      </c>
      <c r="IT140" s="39">
        <v>0</v>
      </c>
      <c r="IU140" s="39">
        <v>0</v>
      </c>
      <c r="IV140" s="39">
        <v>0</v>
      </c>
      <c r="IW140" s="39">
        <v>0</v>
      </c>
      <c r="IX140" s="39">
        <f>INDEX(Input!$1:$1048576,IX$93,$C140*2+6)+INDEX(Input!$1:$1048576,IX$94,$C140*2+6)</f>
        <v>1600</v>
      </c>
      <c r="IY140" s="39">
        <f>INDEX(Input!$1:$1048576,IY$93,$C140*2+6)+INDEX(Input!$1:$1048576,IY$94,$C140*2+6)</f>
        <v>2503.5492916397525</v>
      </c>
      <c r="IZ140" s="39">
        <f>INDEX(Input!$1:$1048576,IZ$93,$C140*2+6)+INDEX(Input!$1:$1048576,IZ$94,$C140*2+6)</f>
        <v>6273.7109265464023</v>
      </c>
      <c r="JA140" s="19">
        <f t="shared" si="179"/>
        <v>2500</v>
      </c>
      <c r="JB140" s="19">
        <f t="shared" si="180"/>
        <v>2903.5492916397525</v>
      </c>
      <c r="JC140" s="19">
        <f t="shared" si="181"/>
        <v>6958.7109265464014</v>
      </c>
      <c r="JD140" s="19">
        <f t="shared" si="182"/>
        <v>5726.9842826488057</v>
      </c>
      <c r="JE140" s="21"/>
      <c r="JF140" s="1">
        <f t="shared" si="277"/>
        <v>7.6148954918618686E-2</v>
      </c>
      <c r="JG140" s="15">
        <f>INDEX(Input!$1:$1048576,JG$93,$C140*2+6)/(1+VLOOKUP(C140*1000+INDEX(Input!$1:$1048576,JG$93+1,$C140*2+6),$A:$KK,$JK$92,FALSE))</f>
        <v>978</v>
      </c>
      <c r="JH140" s="1">
        <f t="shared" si="251"/>
        <v>0.12280747468205792</v>
      </c>
      <c r="JI140" s="1">
        <f t="shared" si="252"/>
        <v>4.3588419973609925E-2</v>
      </c>
      <c r="JJ140" s="1">
        <f t="shared" si="253"/>
        <v>0</v>
      </c>
      <c r="JK140" s="1">
        <f t="shared" si="254"/>
        <v>0.16639589465566784</v>
      </c>
      <c r="JL140" s="15">
        <f t="shared" si="184"/>
        <v>162.73518497324315</v>
      </c>
      <c r="JM140" s="15">
        <f t="shared" si="185"/>
        <v>1140.7351849732431</v>
      </c>
      <c r="JN140" s="21"/>
      <c r="JO140" s="19">
        <f>INDEX(Input!$1:$1048576,JO$93,$C140*2+6)</f>
        <v>5908.5</v>
      </c>
      <c r="JP140" s="19">
        <f>INDEX(Input!$1:$1048576,JP$93,$C140*2+6)</f>
        <v>4993.2939301234746</v>
      </c>
      <c r="JQ140" s="39">
        <f t="shared" si="186"/>
        <v>181.51571735119433</v>
      </c>
      <c r="JR140" s="39">
        <f t="shared" si="187"/>
        <v>733.69035252533104</v>
      </c>
      <c r="JS140" s="39">
        <f t="shared" si="188"/>
        <v>6.5329724750062415</v>
      </c>
      <c r="JT140" s="39">
        <f t="shared" si="189"/>
        <v>1.6495310113454833</v>
      </c>
      <c r="JU140" s="385">
        <f>(JQ140*JM140-INDEX(Input!$1:$1048576,Input!A$18,$C140*2+6)*JL140*INDEX(Input!$1:$1048576,Input!A$19,$C140*2+6))/1000000</f>
        <v>0.20706136540816558</v>
      </c>
      <c r="JV140" s="39">
        <f t="shared" si="192"/>
        <v>-0.68801017093107619</v>
      </c>
      <c r="JW140" s="1">
        <f t="shared" si="190"/>
        <v>-0.76866500944156146</v>
      </c>
      <c r="JX140" s="19">
        <f t="shared" si="191"/>
        <v>10136.289897090777</v>
      </c>
      <c r="JZ140" s="341"/>
      <c r="KA140" s="342"/>
      <c r="KB140" s="469">
        <f t="shared" si="110"/>
        <v>3.2656316020464753</v>
      </c>
      <c r="KI140" s="473">
        <f t="shared" si="278"/>
        <v>28.390688765655028</v>
      </c>
      <c r="KJ140" s="473">
        <f t="shared" si="279"/>
        <v>4.8494304346566537</v>
      </c>
      <c r="KK140" s="473">
        <f t="shared" si="257"/>
        <v>129.49506577293153</v>
      </c>
      <c r="KN140" s="544">
        <f t="shared" si="258"/>
        <v>1002</v>
      </c>
      <c r="KO140" s="541">
        <f t="shared" si="280"/>
        <v>7.8088053979502581E-2</v>
      </c>
      <c r="KP140" s="546">
        <f t="shared" si="281"/>
        <v>336.79470320720804</v>
      </c>
      <c r="KQ140" s="546">
        <f t="shared" si="282"/>
        <v>372.53038267336524</v>
      </c>
      <c r="KR140" s="548">
        <f t="shared" si="283"/>
        <v>3.3249493750657555</v>
      </c>
      <c r="KS140" s="548">
        <f t="shared" si="284"/>
        <v>3.005997336158555</v>
      </c>
      <c r="KT140" s="473">
        <f t="shared" si="112"/>
        <v>-82.310573396665475</v>
      </c>
      <c r="KU140" s="663">
        <f t="shared" si="285"/>
        <v>-51.099509648125377</v>
      </c>
      <c r="KV140" s="117"/>
    </row>
    <row r="141" spans="1:308" s="26" customFormat="1" ht="15">
      <c r="A141" s="561">
        <f t="shared" si="168"/>
        <v>1041</v>
      </c>
      <c r="B141" s="561">
        <f t="shared" si="104"/>
        <v>41</v>
      </c>
      <c r="C141" s="561">
        <f t="shared" si="105"/>
        <v>1</v>
      </c>
      <c r="D141" s="561" t="str">
        <f t="shared" si="287"/>
        <v xml:space="preserve">750 CC, 360 Lease, </v>
      </c>
      <c r="E141" s="475">
        <f>INDEX(Input!$1:$1048576,E$93,$C141*2+MIN($B141,2)+5)
+INDEX(Scenarios!E$121:E$200,MATCH($B141,Scenarios!$B$121:$B$200,0))</f>
        <v>2000</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1.9E-2</v>
      </c>
      <c r="W141" s="863">
        <f>IFERROR(MAX(0,INDEX(Input!$1:$1048576,W$93,$C141*2+MIN($B141,2)+5)-0%,),"Market")</f>
        <v>3.9E-2</v>
      </c>
      <c r="X141" s="476" t="str">
        <f>INDEX(Input!$1:$1048576,X$93,$C141*2+MIN($B141,2)+5)</f>
        <v>Y</v>
      </c>
      <c r="Y141" s="475">
        <f>INDEX(Input!$1:$1048576,Y$93,$C141*2+MIN($B141,2)+5)
++INDEX(Scenarios!Y$121:Y$200,MATCH($B141,Scenarios!$B$121:$B$200,0))</f>
        <v>3186</v>
      </c>
      <c r="Z141" s="477">
        <f>INDEX(Input!$1:$1048576,Z$93,$C141*2+MIN($B141,2)+5)
+INDEX(Scenarios!Z$121:Z$200,MATCH($B141,Scenarios!$B$121:$B$200,0))</f>
        <v>0</v>
      </c>
      <c r="AA141" s="475">
        <f>INDEX(Input!$1:$1048576,AA$93,$C141*2+MIN($B141,2)+5)</f>
        <v>0</v>
      </c>
      <c r="AB141" s="476">
        <f>INDEX(Input!$1:$1048576,AB$93,$C141*2+MIN($B141,2)+5)</f>
        <v>1</v>
      </c>
      <c r="AC141" s="475">
        <f>INDEX(Input!$1:$1048576,AC$93,$C141*2+MIN($B141,2)+5)
+INDEX(Scenarios!AC$121:AC$200,MATCH($B141,Scenarios!$B$121:$B$200,0))</f>
        <v>0</v>
      </c>
      <c r="AD141" s="476">
        <f>INDEX(Input!$1:$1048576,AD$93,$C141*2+MIN($B141,2)+5)</f>
        <v>0.35</v>
      </c>
      <c r="AE141" s="475">
        <f>INDEX(Input!$1:$1048576,AE$93,$C141*2+MIN($B141,2)+5)
+INDEX(Scenarios!AE$121:AE$200,MATCH($B141,Scenarios!$B$121:$B$200,0))</f>
        <v>0</v>
      </c>
      <c r="AF141" s="476">
        <f>INDEX(Input!$1:$1048576,AF$93,$C141*2+MIN($B141,2)+5)</f>
        <v>1</v>
      </c>
      <c r="AG141" s="475">
        <f>INDEX(Input!$1:$1048576,AG$93,$C141*2+MIN($B141,2)+5)
+INDEX(Scenarios!AG$121:AG$200,MATCH($B141,Scenarios!$B$121:$B$200,0))</f>
        <v>0</v>
      </c>
      <c r="AH141" s="476">
        <f>INDEX(Input!$1:$1048576,AH$93,$C141*2+MIN($B141,2)+5)</f>
        <v>1</v>
      </c>
      <c r="AI141" s="475">
        <f>INDEX(Input!$1:$1048576,AI$93,$C141*2+MIN($B141,2)+5)
+INDEX(Scenarios!AI$121:AI$200,MATCH($B141,Scenarios!$B$121:$B$200,0))</f>
        <v>0</v>
      </c>
      <c r="AJ141" s="476">
        <f>INDEX(Input!$1:$1048576,AJ$93,$C141*2+MIN($B141,2)+5)</f>
        <v>0.35</v>
      </c>
      <c r="AK141" s="150">
        <f>ROUND(INDEX(Input!$1:$1048576,AK$93,$C140*2+MIN($B141,1)+5)+(Y141-VLOOKUP($C141*1000+1,$A:$HH,Y$92,FALSE)),0)</f>
        <v>5842</v>
      </c>
      <c r="AL141" s="150">
        <f>ROUND(INDEX(Input!$1:$1048576,AL$93,$C140*2+MIN($B141,1)+5)-(Y141-VLOOKUP($C141*1000+1,$A:$HH,Y$92,FALSE))/36,0)</f>
        <v>5592</v>
      </c>
      <c r="AM141" s="32" t="str">
        <f t="shared" si="169"/>
        <v>std/std/std/std</v>
      </c>
      <c r="AN141" s="32" t="str">
        <f t="shared" si="170"/>
        <v>$0 + 0/0/0/1.9/3.9</v>
      </c>
      <c r="AO141" s="32" t="str">
        <f t="shared" si="171"/>
        <v>0/0/0/1.9/3.9</v>
      </c>
      <c r="AP141" s="32" t="str">
        <f t="shared" si="73"/>
        <v>0/0.9/1.9/3.9</v>
      </c>
      <c r="AQ141" s="536">
        <f t="shared" si="39"/>
        <v>0.17489177943075526</v>
      </c>
      <c r="AR141" s="32"/>
      <c r="AS141" s="302"/>
      <c r="AT141" s="3">
        <f t="shared" si="106"/>
        <v>41</v>
      </c>
      <c r="AU141" s="41" t="s">
        <v>121</v>
      </c>
      <c r="AV141" s="41" t="s">
        <v>116</v>
      </c>
      <c r="AW141" s="41" t="str">
        <f>INDEX(Input!$1:$1048576,AW$93,$C141*2+6)</f>
        <v>Kia</v>
      </c>
      <c r="AX141" s="41" t="str">
        <f>INDEX(Input!$1:$1048576,AX$93,$C141*2+6)</f>
        <v>Kia-LR - L1</v>
      </c>
      <c r="AY141" s="41" t="str">
        <f>IF(LEN(D141)=0,"",INDEX(Input!$1:$1048576,AY$93,$C141*2+6))</f>
        <v>Compact Conventional/Sporty Car (43)</v>
      </c>
      <c r="AZ141" s="41" t="str">
        <f>INDEX(Input!$1:$1048576,AZ$93,$C141*2+6)</f>
        <v>Kia Forte</v>
      </c>
      <c r="BA141" s="3">
        <f>INDEX(Input!$1:$1048576,BA$93,$C141*2+6)</f>
        <v>2020</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19695</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4"/>
        <v>2000</v>
      </c>
      <c r="CJ141" s="16" t="str">
        <f>INDEX(Input!$1:$1048576,CJ$93,$C141*2+6)</f>
        <v>N</v>
      </c>
      <c r="CK141" s="1" t="str">
        <f t="shared" si="75"/>
        <v>Market</v>
      </c>
      <c r="CL141" s="1" t="str">
        <f t="shared" si="76"/>
        <v>Market</v>
      </c>
      <c r="CM141" s="1" t="str">
        <f t="shared" si="77"/>
        <v>Market</v>
      </c>
      <c r="CN141" s="1" t="str">
        <f t="shared" si="78"/>
        <v>Market</v>
      </c>
      <c r="CO141" s="1" t="str">
        <f t="shared" si="79"/>
        <v>Market</v>
      </c>
      <c r="CP141" s="304">
        <f t="shared" si="80"/>
        <v>0</v>
      </c>
      <c r="CQ141" s="1">
        <f t="shared" si="81"/>
        <v>0</v>
      </c>
      <c r="CR141" s="1">
        <f t="shared" si="82"/>
        <v>0</v>
      </c>
      <c r="CS141" s="1">
        <f t="shared" si="83"/>
        <v>0</v>
      </c>
      <c r="CT141" s="1">
        <f t="shared" si="84"/>
        <v>1.9E-2</v>
      </c>
      <c r="CU141" s="1">
        <f t="shared" si="85"/>
        <v>3.9E-2</v>
      </c>
      <c r="CV141" s="304">
        <f t="shared" si="86"/>
        <v>3186</v>
      </c>
      <c r="CW141" s="20" t="s">
        <v>122</v>
      </c>
      <c r="CX141" s="20" t="s">
        <v>122</v>
      </c>
      <c r="CY141" s="20" t="s">
        <v>122</v>
      </c>
      <c r="CZ141" s="20" t="s">
        <v>122</v>
      </c>
      <c r="DA141" s="20" t="s">
        <v>122</v>
      </c>
      <c r="DB141" s="503">
        <f t="shared" si="87"/>
        <v>0</v>
      </c>
      <c r="DC141" s="127">
        <v>0</v>
      </c>
      <c r="DD141" s="127">
        <v>0</v>
      </c>
      <c r="DE141" s="127">
        <v>0</v>
      </c>
      <c r="DF141" s="127">
        <v>0</v>
      </c>
      <c r="DG141" s="127">
        <v>0</v>
      </c>
      <c r="DH141" s="127">
        <v>0</v>
      </c>
      <c r="DI141" s="127">
        <v>0</v>
      </c>
      <c r="DJ141" s="127">
        <v>0</v>
      </c>
      <c r="DK141" s="127">
        <v>0</v>
      </c>
      <c r="DL141" s="127">
        <v>0</v>
      </c>
      <c r="DM141" s="304">
        <f>INDEX(Input!$1:$1048576,DM$93,$C141*2+6)</f>
        <v>20731.578947368424</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1.5020920388129088E-2</v>
      </c>
      <c r="DZ141" s="7">
        <v>0</v>
      </c>
      <c r="EA141" s="7">
        <v>0.23207742875209705</v>
      </c>
      <c r="EB141" s="7">
        <v>0</v>
      </c>
      <c r="EC141" s="7">
        <v>0</v>
      </c>
      <c r="ED141" s="7">
        <v>0</v>
      </c>
      <c r="EE141" s="7">
        <v>0</v>
      </c>
      <c r="EF141" s="7">
        <v>0</v>
      </c>
      <c r="EG141" s="7">
        <v>0</v>
      </c>
      <c r="EH141" s="7">
        <v>1.9867163211649868E-2</v>
      </c>
      <c r="EI141" s="7">
        <v>3.5734944822064241E-2</v>
      </c>
      <c r="EJ141" s="7">
        <v>0.28104141462213039</v>
      </c>
      <c r="EK141" s="7">
        <v>0.62010092925970739</v>
      </c>
      <c r="EL141" s="7">
        <v>4.3255548084448148E-2</v>
      </c>
      <c r="EM141" s="7">
        <v>1.1626947013802602E-2</v>
      </c>
      <c r="EN141" s="7">
        <v>5.8591856591889854E-2</v>
      </c>
      <c r="EO141" s="7">
        <v>0.54078899147893789</v>
      </c>
      <c r="EP141" s="7">
        <v>0.31356065923790433</v>
      </c>
      <c r="EQ141" s="7">
        <v>5.0607944637769284E-2</v>
      </c>
      <c r="ER141" s="7">
        <v>3.6450548053498996E-2</v>
      </c>
      <c r="ES141" s="7">
        <v>0.74127470384597116</v>
      </c>
      <c r="ET141" s="7">
        <v>0.75290165085977379</v>
      </c>
      <c r="EU141" s="6">
        <v>2350</v>
      </c>
      <c r="EV141" s="6">
        <v>0</v>
      </c>
      <c r="EW141" s="6">
        <v>2350</v>
      </c>
      <c r="EX141" s="6">
        <v>0</v>
      </c>
      <c r="EY141" s="6">
        <v>2631.5502763133163</v>
      </c>
      <c r="EZ141" s="6">
        <v>5182.9999999999991</v>
      </c>
      <c r="FA141" s="6">
        <v>0</v>
      </c>
      <c r="FB141" s="6">
        <v>0</v>
      </c>
      <c r="FC141" s="6">
        <v>0</v>
      </c>
      <c r="FD141" s="6">
        <v>0</v>
      </c>
      <c r="FE141" s="6">
        <v>0</v>
      </c>
      <c r="FF141" s="6">
        <v>0</v>
      </c>
      <c r="FG141" s="6">
        <v>0</v>
      </c>
      <c r="FH141" s="6">
        <v>1152.1208270377815</v>
      </c>
      <c r="FI141" s="6">
        <v>1531.4299904380616</v>
      </c>
      <c r="FJ141" s="6">
        <v>2070.7205842538215</v>
      </c>
      <c r="FK141" s="6">
        <v>1746.9903521590431</v>
      </c>
      <c r="FL141" s="6">
        <v>893.91433563489386</v>
      </c>
      <c r="FM141" s="6">
        <v>1781.5502763133163</v>
      </c>
      <c r="FN141" s="6">
        <v>0</v>
      </c>
      <c r="FO141" s="6">
        <v>0</v>
      </c>
      <c r="FP141" s="6">
        <v>0</v>
      </c>
      <c r="FQ141" s="6">
        <v>0</v>
      </c>
      <c r="FR141" s="6">
        <v>0</v>
      </c>
      <c r="FS141" s="6">
        <v>0</v>
      </c>
      <c r="FT141" s="7">
        <v>0.24709834914022613</v>
      </c>
      <c r="FU141" s="7">
        <v>1.1626947013802602E-2</v>
      </c>
      <c r="FV141" s="7">
        <v>0.74127470384597116</v>
      </c>
      <c r="FW141" s="6">
        <v>2350.0000000000005</v>
      </c>
      <c r="FX141" s="6">
        <v>2631.5502763133163</v>
      </c>
      <c r="FY141" s="6">
        <v>5182.9999999999991</v>
      </c>
      <c r="FZ141" s="6">
        <v>3077.4375890575293</v>
      </c>
      <c r="GA141" s="6">
        <v>4453.3048061400523</v>
      </c>
      <c r="GB141" s="6">
        <v>15241.695193859949</v>
      </c>
      <c r="GC141" s="7">
        <v>7.0901643973087014E-2</v>
      </c>
      <c r="GD141" s="7">
        <v>8.6165903391215451E-2</v>
      </c>
      <c r="GE141" s="7"/>
      <c r="GF141" s="7"/>
      <c r="GG141" s="7">
        <v>0.21528780663989222</v>
      </c>
      <c r="GH141" s="42">
        <v>3.0817605791666747</v>
      </c>
      <c r="GI141" s="6">
        <v>10844.132222501397</v>
      </c>
      <c r="GJ141" s="14">
        <v>0.51074630601039539</v>
      </c>
      <c r="GK141" s="14">
        <v>0.50829519786160959</v>
      </c>
      <c r="GL141" s="14">
        <v>0.48925369398960428</v>
      </c>
      <c r="GM141" s="14">
        <v>0.4917048021383903</v>
      </c>
      <c r="GO141" s="5">
        <v>338.16872463277008</v>
      </c>
      <c r="GP141" s="5">
        <v>293.33520778489498</v>
      </c>
      <c r="GQ141" s="5">
        <v>527.27910984145694</v>
      </c>
      <c r="GR141" s="5">
        <v>404.20319246551543</v>
      </c>
      <c r="GS141" s="5">
        <v>334.50205195691484</v>
      </c>
      <c r="GT141" s="5">
        <v>289.18266033348181</v>
      </c>
      <c r="GU141" s="5">
        <v>254.29573314828914</v>
      </c>
      <c r="GV141" s="39" t="s">
        <v>392</v>
      </c>
      <c r="GW141" s="5">
        <v>468.76388888888891</v>
      </c>
      <c r="GX141" s="5">
        <v>351.57291666666669</v>
      </c>
      <c r="GY141" s="5">
        <v>281.25833333333333</v>
      </c>
      <c r="GZ141" s="5">
        <v>248.18079879493993</v>
      </c>
      <c r="HA141" s="5">
        <v>229.8919505212948</v>
      </c>
      <c r="HB141" s="39">
        <v>264.76293361772167</v>
      </c>
      <c r="HC141" s="5">
        <v>56.359375000000007</v>
      </c>
      <c r="HD141" s="5">
        <v>81.555464181286524</v>
      </c>
      <c r="HE141" s="5">
        <v>93.770930330634272</v>
      </c>
      <c r="HF141" s="5">
        <v>97.846299342105254</v>
      </c>
      <c r="HG141" s="5">
        <v>108.23410087719299</v>
      </c>
      <c r="HH141" s="39">
        <v>85.706364768795652</v>
      </c>
      <c r="HI141" s="16"/>
      <c r="HJ141" s="19" t="str">
        <f t="shared" si="362"/>
        <v>On</v>
      </c>
      <c r="HK141" s="1" t="str">
        <f t="shared" si="108"/>
        <v>On</v>
      </c>
      <c r="HL141" s="16"/>
      <c r="HM141" s="639">
        <f t="shared" si="261"/>
        <v>1.7699001661282989E-2</v>
      </c>
      <c r="HN141" s="639">
        <f t="shared" si="262"/>
        <v>1.0509929974846072E-3</v>
      </c>
      <c r="HO141" s="639">
        <f t="shared" si="263"/>
        <v>5.7398960259851091E-2</v>
      </c>
      <c r="HP141" s="644">
        <f>(FT141*$GD141-HM141)/$JF141*INDEX(Input!$1:$1048576,$JG$93,$C141*2+6)</f>
        <v>46.138740900678364</v>
      </c>
      <c r="HQ141" s="644">
        <f>(FU141*$GD141-HN141)/$JF141*INDEX(Input!$1:$1048576,$JG$93,$C141*2+6)</f>
        <v>-0.63120208430952318</v>
      </c>
      <c r="HR141" s="644">
        <f>(FV141*$GD141-HO141)/$JF141*INDEX(Input!$1:$1048576,$JG$93,$C141*2+6)</f>
        <v>83.14262606992996</v>
      </c>
      <c r="HS141" s="644">
        <f t="shared" si="264"/>
        <v>-0.13917966391394995</v>
      </c>
      <c r="HT141" s="644">
        <f t="shared" si="265"/>
        <v>3.7326449267217647</v>
      </c>
      <c r="HU141" s="644">
        <f t="shared" si="266"/>
        <v>39.036009471382698</v>
      </c>
      <c r="HV141" s="648">
        <f t="shared" si="267"/>
        <v>0</v>
      </c>
      <c r="HW141" s="648">
        <f t="shared" si="268"/>
        <v>0</v>
      </c>
      <c r="HX141" s="648">
        <f t="shared" si="269"/>
        <v>0</v>
      </c>
      <c r="HY141" s="644">
        <f>INDEX(Input!$1:$1048576,HY$93,$C141*2+6)*INDEX(Input!$1:$1048576,$JG$93,$C141*2+6)</f>
        <v>154.99999999999997</v>
      </c>
      <c r="HZ141" s="644">
        <f>INDEX(Input!$1:$1048576,HZ$93,$C141*2+6)*INDEX(Input!$1:$1048576,$JG$93,$C141*2+6)</f>
        <v>140</v>
      </c>
      <c r="IA141" s="644">
        <f>INDEX(Input!$1:$1048576,IA$93,$C141*2+6)*INDEX(Input!$1:$1048576,$JG$93,$C141*2+6)</f>
        <v>683</v>
      </c>
      <c r="IB141" s="644">
        <f t="shared" si="249"/>
        <v>200.99956123676452</v>
      </c>
      <c r="IC141" s="644">
        <f t="shared" si="172"/>
        <v>143.10144284241224</v>
      </c>
      <c r="ID141" s="644">
        <f>IF(AND(INDEX(Input!$1:$1048576,IA$93,$C141*2+7)="TOS",Y141&lt;=INDEX(Y:Y,MATCH(C141*1000+2,A:A))),0,1)*MAX(IA141+HR141+HU141+HX141,0%)</f>
        <v>805.1786355413127</v>
      </c>
      <c r="IE141" s="128">
        <f t="shared" ref="IE141:IE142" si="363">IB141/SUM($IB141:$ID141)</f>
        <v>0.17489177943075526</v>
      </c>
      <c r="IF141" s="128">
        <f t="shared" si="174"/>
        <v>0.1245140328855618</v>
      </c>
      <c r="IG141" s="128">
        <f t="shared" si="175"/>
        <v>0.70059418768368298</v>
      </c>
      <c r="IH141" s="21"/>
      <c r="II141" s="19">
        <f t="shared" si="271"/>
        <v>1200</v>
      </c>
      <c r="IJ141" s="19">
        <f t="shared" si="272"/>
        <v>2231.5502763133163</v>
      </c>
      <c r="IK141" s="19">
        <f t="shared" si="273"/>
        <v>4498</v>
      </c>
      <c r="IL141" s="19">
        <f t="shared" si="176"/>
        <v>1150.0000000000005</v>
      </c>
      <c r="IM141" s="19">
        <f t="shared" si="177"/>
        <v>400</v>
      </c>
      <c r="IN141" s="19">
        <f t="shared" si="178"/>
        <v>684.99999999999909</v>
      </c>
      <c r="IO141" s="39">
        <f t="shared" si="274"/>
        <v>0</v>
      </c>
      <c r="IP141" s="39">
        <f t="shared" si="275"/>
        <v>0</v>
      </c>
      <c r="IQ141" s="39">
        <f t="shared" si="276"/>
        <v>0</v>
      </c>
      <c r="IR141" s="39">
        <v>0</v>
      </c>
      <c r="IS141" s="39">
        <v>0</v>
      </c>
      <c r="IT141" s="39">
        <v>0</v>
      </c>
      <c r="IU141" s="39">
        <v>0</v>
      </c>
      <c r="IV141" s="39">
        <v>0</v>
      </c>
      <c r="IW141" s="39">
        <v>0</v>
      </c>
      <c r="IX141" s="39">
        <f>INDEX(Input!$1:$1048576,IX$93,$C141*2+6)+INDEX(Input!$1:$1048576,IX$94,$C141*2+6)</f>
        <v>1600</v>
      </c>
      <c r="IY141" s="39">
        <f>INDEX(Input!$1:$1048576,IY$93,$C141*2+6)+INDEX(Input!$1:$1048576,IY$94,$C141*2+6)</f>
        <v>2503.5492916397525</v>
      </c>
      <c r="IZ141" s="39">
        <f>INDEX(Input!$1:$1048576,IZ$93,$C141*2+6)+INDEX(Input!$1:$1048576,IZ$94,$C141*2+6)</f>
        <v>6273.7109265464023</v>
      </c>
      <c r="JA141" s="19">
        <f t="shared" si="179"/>
        <v>2750.0000000000005</v>
      </c>
      <c r="JB141" s="19">
        <f t="shared" si="180"/>
        <v>2903.5492916397525</v>
      </c>
      <c r="JC141" s="19">
        <f t="shared" si="181"/>
        <v>6958.7109265464014</v>
      </c>
      <c r="JD141" s="19">
        <f t="shared" si="182"/>
        <v>5717.7174543280034</v>
      </c>
      <c r="JE141" s="21"/>
      <c r="JF141" s="1">
        <f t="shared" si="277"/>
        <v>7.6148954918618686E-2</v>
      </c>
      <c r="JG141" s="15">
        <f>INDEX(Input!$1:$1048576,JG$93,$C141*2+6)/(1+VLOOKUP(C141*1000+INDEX(Input!$1:$1048576,JG$93+1,$C141*2+6),$A:$KK,$JK$92,FALSE))</f>
        <v>978</v>
      </c>
      <c r="JH141" s="1">
        <f t="shared" si="251"/>
        <v>0.13154413587556113</v>
      </c>
      <c r="JI141" s="1">
        <f t="shared" si="252"/>
        <v>4.3588419973609925E-2</v>
      </c>
      <c r="JJ141" s="1">
        <f t="shared" si="253"/>
        <v>0</v>
      </c>
      <c r="JK141" s="1">
        <f t="shared" si="254"/>
        <v>0.17513255584917106</v>
      </c>
      <c r="JL141" s="15">
        <f t="shared" si="184"/>
        <v>171.27963962048929</v>
      </c>
      <c r="JM141" s="15">
        <f t="shared" si="185"/>
        <v>1149.2796396204892</v>
      </c>
      <c r="JN141" s="21"/>
      <c r="JO141" s="19">
        <f>INDEX(Input!$1:$1048576,JO$93,$C141*2+6)</f>
        <v>5908.5</v>
      </c>
      <c r="JP141" s="19">
        <f>INDEX(Input!$1:$1048576,JP$93,$C141*2+6)</f>
        <v>4993.2939301234746</v>
      </c>
      <c r="JQ141" s="39">
        <f t="shared" si="186"/>
        <v>190.78254567199656</v>
      </c>
      <c r="JR141" s="39">
        <f t="shared" si="187"/>
        <v>724.4235242045288</v>
      </c>
      <c r="JS141" s="39">
        <f t="shared" si="188"/>
        <v>6.5712562553618694</v>
      </c>
      <c r="JT141" s="39">
        <f t="shared" si="189"/>
        <v>1.687814791701111</v>
      </c>
      <c r="JU141" s="385">
        <f>(JQ141*JM141-INDEX(Input!$1:$1048576,Input!A$18,$C141*2+6)*JL141*INDEX(Input!$1:$1048576,Input!A$19,$C141*2+6))/1000000</f>
        <v>0.21926249533579173</v>
      </c>
      <c r="JV141" s="39">
        <f t="shared" si="192"/>
        <v>-0.67580904100345007</v>
      </c>
      <c r="JW141" s="1">
        <f t="shared" si="190"/>
        <v>-0.75503355158342456</v>
      </c>
      <c r="JX141" s="19">
        <f t="shared" si="191"/>
        <v>9854.1472614075174</v>
      </c>
      <c r="JZ141" s="341"/>
      <c r="KA141" s="342"/>
      <c r="KB141" s="469">
        <f t="shared" si="110"/>
        <v>3.2656316020464753</v>
      </c>
      <c r="KI141" s="473">
        <f t="shared" ref="KI141:KI142" si="364">$JM141*IE141-$JG141*HY141/SUM($HY141:$IA141)</f>
        <v>45.999561236764521</v>
      </c>
      <c r="KJ141" s="473">
        <f t="shared" ref="KJ141:KJ142" si="365">$JM141*IF141-$JG141*HZ141/SUM($HY141:$IA141)</f>
        <v>3.1014428424122116</v>
      </c>
      <c r="KK141" s="473">
        <f t="shared" si="257"/>
        <v>122.17863554131259</v>
      </c>
      <c r="KN141" s="544">
        <f t="shared" si="258"/>
        <v>1002</v>
      </c>
      <c r="KO141" s="541">
        <f t="shared" si="280"/>
        <v>8.6163262497929827E-2</v>
      </c>
      <c r="KP141" s="546">
        <f t="shared" si="281"/>
        <v>383.38274213919249</v>
      </c>
      <c r="KQ141" s="546">
        <f t="shared" si="282"/>
        <v>363.26355435256301</v>
      </c>
      <c r="KR141" s="548">
        <f t="shared" si="283"/>
        <v>3.2229625962961781</v>
      </c>
      <c r="KS141" s="548">
        <f t="shared" si="284"/>
        <v>3.401464923125344</v>
      </c>
      <c r="KT141" s="473">
        <f t="shared" si="112"/>
        <v>-82.310573396665475</v>
      </c>
      <c r="KU141" s="663">
        <f t="shared" si="285"/>
        <v>-51.539897568785982</v>
      </c>
      <c r="KV141" s="117"/>
    </row>
    <row r="142" spans="1:308" s="26" customFormat="1" ht="15">
      <c r="A142" s="561">
        <f t="shared" si="168"/>
        <v>1042</v>
      </c>
      <c r="B142" s="561">
        <f t="shared" si="104"/>
        <v>42</v>
      </c>
      <c r="C142" s="561">
        <f t="shared" si="105"/>
        <v>1</v>
      </c>
      <c r="D142" s="561" t="str">
        <f t="shared" si="287"/>
        <v xml:space="preserve">1000 CC, 360 Lease, </v>
      </c>
      <c r="E142" s="475">
        <f>INDEX(Input!$1:$1048576,E$93,$C142*2+MIN($B142,2)+5)
+INDEX(Scenarios!E$121:E$200,MATCH($B142,Scenarios!$B$121:$B$200,0))</f>
        <v>2250</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1.9E-2</v>
      </c>
      <c r="W142" s="863">
        <f>IFERROR(MAX(0,INDEX(Input!$1:$1048576,W$93,$C142*2+MIN($B142,2)+5)-0%,),"Market")</f>
        <v>3.9E-2</v>
      </c>
      <c r="X142" s="476" t="str">
        <f>INDEX(Input!$1:$1048576,X$93,$C142*2+MIN($B142,2)+5)</f>
        <v>Y</v>
      </c>
      <c r="Y142" s="475">
        <f>INDEX(Input!$1:$1048576,Y$93,$C142*2+MIN($B142,2)+5)
++INDEX(Scenarios!Y$121:Y$200,MATCH($B142,Scenarios!$B$121:$B$200,0))</f>
        <v>3186</v>
      </c>
      <c r="Z142" s="477">
        <f>INDEX(Input!$1:$1048576,Z$93,$C142*2+MIN($B142,2)+5)
+INDEX(Scenarios!Z$121:Z$200,MATCH($B142,Scenarios!$B$121:$B$200,0))</f>
        <v>0</v>
      </c>
      <c r="AA142" s="475">
        <f>INDEX(Input!$1:$1048576,AA$93,$C142*2+MIN($B142,2)+5)</f>
        <v>0</v>
      </c>
      <c r="AB142" s="476">
        <f>INDEX(Input!$1:$1048576,AB$93,$C142*2+MIN($B142,2)+5)</f>
        <v>1</v>
      </c>
      <c r="AC142" s="475">
        <f>INDEX(Input!$1:$1048576,AC$93,$C142*2+MIN($B142,2)+5)
+INDEX(Scenarios!AC$121:AC$200,MATCH($B142,Scenarios!$B$121:$B$200,0))</f>
        <v>0</v>
      </c>
      <c r="AD142" s="476">
        <f>INDEX(Input!$1:$1048576,AD$93,$C142*2+MIN($B142,2)+5)</f>
        <v>0.35</v>
      </c>
      <c r="AE142" s="475">
        <f>INDEX(Input!$1:$1048576,AE$93,$C142*2+MIN($B142,2)+5)
+INDEX(Scenarios!AE$121:AE$200,MATCH($B142,Scenarios!$B$121:$B$200,0))</f>
        <v>0</v>
      </c>
      <c r="AF142" s="476">
        <f>INDEX(Input!$1:$1048576,AF$93,$C142*2+MIN($B142,2)+5)</f>
        <v>1</v>
      </c>
      <c r="AG142" s="475">
        <f>INDEX(Input!$1:$1048576,AG$93,$C142*2+MIN($B142,2)+5)
+INDEX(Scenarios!AG$121:AG$200,MATCH($B142,Scenarios!$B$121:$B$200,0))</f>
        <v>0</v>
      </c>
      <c r="AH142" s="476">
        <f>INDEX(Input!$1:$1048576,AH$93,$C142*2+MIN($B142,2)+5)</f>
        <v>1</v>
      </c>
      <c r="AI142" s="475">
        <f>INDEX(Input!$1:$1048576,AI$93,$C142*2+MIN($B142,2)+5)
+INDEX(Scenarios!AI$121:AI$200,MATCH($B142,Scenarios!$B$121:$B$200,0))</f>
        <v>0</v>
      </c>
      <c r="AJ142" s="476">
        <f>INDEX(Input!$1:$1048576,AJ$93,$C142*2+MIN($B142,2)+5)</f>
        <v>0.35</v>
      </c>
      <c r="AK142" s="150">
        <f>ROUND(INDEX(Input!$1:$1048576,AK$93,$C141*2+MIN($B142,1)+5)+(Y142-VLOOKUP($C142*1000+1,$A:$HH,Y$92,FALSE)),0)</f>
        <v>5842</v>
      </c>
      <c r="AL142" s="150">
        <f>ROUND(INDEX(Input!$1:$1048576,AL$93,$C141*2+MIN($B142,1)+5)-(Y142-VLOOKUP($C142*1000+1,$A:$HH,Y$92,FALSE))/36,0)</f>
        <v>5592</v>
      </c>
      <c r="AM142" s="32" t="str">
        <f t="shared" si="169"/>
        <v>std/std/std/std</v>
      </c>
      <c r="AN142" s="32" t="str">
        <f t="shared" si="170"/>
        <v>$0 + 0/0/0/1.9/3.9</v>
      </c>
      <c r="AO142" s="32" t="str">
        <f t="shared" si="171"/>
        <v>0/0/0/1.9/3.9</v>
      </c>
      <c r="AP142" s="32" t="str">
        <f t="shared" si="73"/>
        <v>0/0.9/1.9/3.9</v>
      </c>
      <c r="AQ142" s="536">
        <f t="shared" si="39"/>
        <v>0.18959090183464208</v>
      </c>
      <c r="AR142" s="32"/>
      <c r="AS142" s="302"/>
      <c r="AT142" s="3">
        <f t="shared" si="106"/>
        <v>42</v>
      </c>
      <c r="AU142" s="41" t="s">
        <v>121</v>
      </c>
      <c r="AV142" s="41" t="s">
        <v>116</v>
      </c>
      <c r="AW142" s="41" t="str">
        <f>INDEX(Input!$1:$1048576,AW$93,$C142*2+6)</f>
        <v>Kia</v>
      </c>
      <c r="AX142" s="41" t="str">
        <f>INDEX(Input!$1:$1048576,AX$93,$C142*2+6)</f>
        <v>Kia-LR - L1</v>
      </c>
      <c r="AY142" s="41" t="str">
        <f>IF(LEN(D142)=0,"",INDEX(Input!$1:$1048576,AY$93,$C142*2+6))</f>
        <v>Compact Conventional/Sporty Car (43)</v>
      </c>
      <c r="AZ142" s="41" t="str">
        <f>INDEX(Input!$1:$1048576,AZ$93,$C142*2+6)</f>
        <v>Kia Forte</v>
      </c>
      <c r="BA142" s="3">
        <f>INDEX(Input!$1:$1048576,BA$93,$C142*2+6)</f>
        <v>2020</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19695</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4"/>
        <v>2250</v>
      </c>
      <c r="CJ142" s="16" t="str">
        <f>INDEX(Input!$1:$1048576,CJ$93,$C142*2+6)</f>
        <v>N</v>
      </c>
      <c r="CK142" s="1" t="str">
        <f t="shared" si="75"/>
        <v>Market</v>
      </c>
      <c r="CL142" s="1" t="str">
        <f t="shared" si="76"/>
        <v>Market</v>
      </c>
      <c r="CM142" s="1" t="str">
        <f t="shared" si="77"/>
        <v>Market</v>
      </c>
      <c r="CN142" s="1" t="str">
        <f t="shared" si="78"/>
        <v>Market</v>
      </c>
      <c r="CO142" s="1" t="str">
        <f t="shared" si="79"/>
        <v>Market</v>
      </c>
      <c r="CP142" s="304">
        <f t="shared" si="80"/>
        <v>0</v>
      </c>
      <c r="CQ142" s="1">
        <f t="shared" si="81"/>
        <v>0</v>
      </c>
      <c r="CR142" s="1">
        <f t="shared" si="82"/>
        <v>0</v>
      </c>
      <c r="CS142" s="1">
        <f t="shared" si="83"/>
        <v>0</v>
      </c>
      <c r="CT142" s="1">
        <f t="shared" si="84"/>
        <v>1.9E-2</v>
      </c>
      <c r="CU142" s="1">
        <f t="shared" si="85"/>
        <v>3.9E-2</v>
      </c>
      <c r="CV142" s="304">
        <f t="shared" si="86"/>
        <v>3186</v>
      </c>
      <c r="CW142" s="20" t="s">
        <v>122</v>
      </c>
      <c r="CX142" s="20" t="s">
        <v>122</v>
      </c>
      <c r="CY142" s="20" t="s">
        <v>122</v>
      </c>
      <c r="CZ142" s="20" t="s">
        <v>122</v>
      </c>
      <c r="DA142" s="20" t="s">
        <v>122</v>
      </c>
      <c r="DB142" s="503">
        <f t="shared" si="87"/>
        <v>0</v>
      </c>
      <c r="DC142" s="127">
        <v>0</v>
      </c>
      <c r="DD142" s="127">
        <v>0</v>
      </c>
      <c r="DE142" s="127">
        <v>0</v>
      </c>
      <c r="DF142" s="127">
        <v>0</v>
      </c>
      <c r="DG142" s="127">
        <v>0</v>
      </c>
      <c r="DH142" s="127">
        <v>0</v>
      </c>
      <c r="DI142" s="127">
        <v>0</v>
      </c>
      <c r="DJ142" s="127">
        <v>0</v>
      </c>
      <c r="DK142" s="127">
        <v>0</v>
      </c>
      <c r="DL142" s="127">
        <v>0</v>
      </c>
      <c r="DM142" s="304">
        <f>INDEX(Input!$1:$1048576,DM$93,$C142*2+6)</f>
        <v>20731.578947368424</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1.5976954608704765E-2</v>
      </c>
      <c r="DZ142" s="7">
        <v>0</v>
      </c>
      <c r="EA142" s="7">
        <v>0.24579207277853615</v>
      </c>
      <c r="EB142" s="7">
        <v>0</v>
      </c>
      <c r="EC142" s="7">
        <v>0</v>
      </c>
      <c r="ED142" s="7">
        <v>0</v>
      </c>
      <c r="EE142" s="7">
        <v>0</v>
      </c>
      <c r="EF142" s="7">
        <v>0</v>
      </c>
      <c r="EG142" s="7">
        <v>0</v>
      </c>
      <c r="EH142" s="7">
        <v>1.9867163211649878E-2</v>
      </c>
      <c r="EI142" s="7">
        <v>3.5734944822064241E-2</v>
      </c>
      <c r="EJ142" s="7">
        <v>0.28104141462213039</v>
      </c>
      <c r="EK142" s="7">
        <v>0.62010092925970761</v>
      </c>
      <c r="EL142" s="7">
        <v>4.3255548084448162E-2</v>
      </c>
      <c r="EM142" s="7">
        <v>1.140038993501309E-2</v>
      </c>
      <c r="EN142" s="7">
        <v>5.859185659188984E-2</v>
      </c>
      <c r="EO142" s="7">
        <v>0.54078899147893766</v>
      </c>
      <c r="EP142" s="7">
        <v>0.31356065923790438</v>
      </c>
      <c r="EQ142" s="7">
        <v>5.060794463776927E-2</v>
      </c>
      <c r="ER142" s="7">
        <v>3.6450548053498996E-2</v>
      </c>
      <c r="ES142" s="7">
        <v>0.72683058267774581</v>
      </c>
      <c r="ET142" s="7">
        <v>0.73823097261275905</v>
      </c>
      <c r="EU142" s="6">
        <v>2600</v>
      </c>
      <c r="EV142" s="6">
        <v>0</v>
      </c>
      <c r="EW142" s="6">
        <v>2600</v>
      </c>
      <c r="EX142" s="6">
        <v>0</v>
      </c>
      <c r="EY142" s="6">
        <v>2631.5502763133168</v>
      </c>
      <c r="EZ142" s="6">
        <v>5182.9999999999991</v>
      </c>
      <c r="FA142" s="6">
        <v>0</v>
      </c>
      <c r="FB142" s="6">
        <v>0</v>
      </c>
      <c r="FC142" s="6">
        <v>0</v>
      </c>
      <c r="FD142" s="6">
        <v>0</v>
      </c>
      <c r="FE142" s="6">
        <v>0</v>
      </c>
      <c r="FF142" s="6">
        <v>0</v>
      </c>
      <c r="FG142" s="6">
        <v>0</v>
      </c>
      <c r="FH142" s="6">
        <v>1152.1208270377815</v>
      </c>
      <c r="FI142" s="6">
        <v>1531.4299904380621</v>
      </c>
      <c r="FJ142" s="6">
        <v>2070.7205842538219</v>
      </c>
      <c r="FK142" s="6">
        <v>1746.9903521590431</v>
      </c>
      <c r="FL142" s="6">
        <v>893.91433563489397</v>
      </c>
      <c r="FM142" s="6">
        <v>1781.5502763133168</v>
      </c>
      <c r="FN142" s="6">
        <v>0</v>
      </c>
      <c r="FO142" s="6">
        <v>0</v>
      </c>
      <c r="FP142" s="6">
        <v>0</v>
      </c>
      <c r="FQ142" s="6">
        <v>0</v>
      </c>
      <c r="FR142" s="6">
        <v>0</v>
      </c>
      <c r="FS142" s="6">
        <v>0</v>
      </c>
      <c r="FT142" s="7">
        <v>0.26176902738724089</v>
      </c>
      <c r="FU142" s="7">
        <v>1.140038993501309E-2</v>
      </c>
      <c r="FV142" s="7">
        <v>0.72683058267774581</v>
      </c>
      <c r="FW142" s="6">
        <v>2600</v>
      </c>
      <c r="FX142" s="6">
        <v>2631.5502763133168</v>
      </c>
      <c r="FY142" s="6">
        <v>5182.9999999999991</v>
      </c>
      <c r="FZ142" s="6">
        <v>3077.4375890575293</v>
      </c>
      <c r="GA142" s="6">
        <v>4477.7630805091458</v>
      </c>
      <c r="GB142" s="6">
        <v>15217.236919490853</v>
      </c>
      <c r="GC142" s="7">
        <v>7.0901643973087014E-2</v>
      </c>
      <c r="GD142" s="7">
        <v>8.6875819709734306E-2</v>
      </c>
      <c r="GE142" s="7"/>
      <c r="GF142" s="7"/>
      <c r="GG142" s="7">
        <v>0.22530049857110226</v>
      </c>
      <c r="GH142" s="42">
        <v>3.1687585111073262</v>
      </c>
      <c r="GI142" s="6">
        <v>10693.131001719892</v>
      </c>
      <c r="GJ142" s="14">
        <v>0.51074630601039539</v>
      </c>
      <c r="GK142" s="14">
        <v>0.50829519786160959</v>
      </c>
      <c r="GL142" s="14">
        <v>0.48925369398960422</v>
      </c>
      <c r="GM142" s="14">
        <v>0.49170480213839024</v>
      </c>
      <c r="GO142" s="5">
        <v>338.16872463277008</v>
      </c>
      <c r="GP142" s="5">
        <v>288.56568471597211</v>
      </c>
      <c r="GQ142" s="5">
        <v>527.27910984145694</v>
      </c>
      <c r="GR142" s="5">
        <v>404.20319246551543</v>
      </c>
      <c r="GS142" s="5">
        <v>334.50205195691484</v>
      </c>
      <c r="GT142" s="5">
        <v>289.18266033348181</v>
      </c>
      <c r="GU142" s="5">
        <v>254.29573314828914</v>
      </c>
      <c r="GV142" s="39" t="s">
        <v>392</v>
      </c>
      <c r="GW142" s="5">
        <v>468.76388888888891</v>
      </c>
      <c r="GX142" s="5">
        <v>351.57291666666669</v>
      </c>
      <c r="GY142" s="5">
        <v>281.25833333333333</v>
      </c>
      <c r="GZ142" s="5">
        <v>248.18079879493993</v>
      </c>
      <c r="HA142" s="5">
        <v>229.8919505212948</v>
      </c>
      <c r="HB142" s="39">
        <v>264.76293361772167</v>
      </c>
      <c r="HC142" s="5">
        <v>56.359375000000007</v>
      </c>
      <c r="HD142" s="5">
        <v>81.555464181286524</v>
      </c>
      <c r="HE142" s="5">
        <v>93.770930330634272</v>
      </c>
      <c r="HF142" s="5">
        <v>97.846299342105254</v>
      </c>
      <c r="HG142" s="5">
        <v>108.23410087719299</v>
      </c>
      <c r="HH142" s="39">
        <v>85.706364768795623</v>
      </c>
      <c r="HI142" s="16"/>
      <c r="HJ142" s="19" t="str">
        <f t="shared" si="362"/>
        <v>On</v>
      </c>
      <c r="HK142" s="1" t="str">
        <f t="shared" si="108"/>
        <v>On</v>
      </c>
      <c r="HL142" s="16"/>
      <c r="HM142" s="639">
        <f t="shared" si="261"/>
        <v>1.7699001661282989E-2</v>
      </c>
      <c r="HN142" s="639">
        <f t="shared" si="262"/>
        <v>1.0509929974846072E-3</v>
      </c>
      <c r="HO142" s="639">
        <f t="shared" si="263"/>
        <v>5.7398960259851091E-2</v>
      </c>
      <c r="HP142" s="644">
        <f>(FT142*$GD142-HM142)/$JF142*INDEX(Input!$1:$1048576,$JG$93,$C142*2+6)</f>
        <v>64.760763101561835</v>
      </c>
      <c r="HQ142" s="644">
        <f>(FU142*$GD142-HN142)/$JF142*INDEX(Input!$1:$1048576,$JG$93,$C142*2+6)</f>
        <v>-0.77797695112058984</v>
      </c>
      <c r="HR142" s="644">
        <f>(FV142*$GD142-HO142)/$JF142*INDEX(Input!$1:$1048576,$JG$93,$C142*2+6)</f>
        <v>73.785010885286766</v>
      </c>
      <c r="HS142" s="644">
        <f t="shared" si="264"/>
        <v>-0.13917966391395012</v>
      </c>
      <c r="HT142" s="644">
        <f t="shared" si="265"/>
        <v>2.1246377763168667</v>
      </c>
      <c r="HU142" s="644">
        <f t="shared" si="266"/>
        <v>40.644016621787607</v>
      </c>
      <c r="HV142" s="648">
        <f t="shared" si="267"/>
        <v>0</v>
      </c>
      <c r="HW142" s="648">
        <f t="shared" si="268"/>
        <v>0</v>
      </c>
      <c r="HX142" s="648">
        <f t="shared" si="269"/>
        <v>0</v>
      </c>
      <c r="HY142" s="644">
        <f>INDEX(Input!$1:$1048576,HY$93,$C142*2+6)*INDEX(Input!$1:$1048576,$JG$93,$C142*2+6)</f>
        <v>154.99999999999997</v>
      </c>
      <c r="HZ142" s="644">
        <f>INDEX(Input!$1:$1048576,HZ$93,$C142*2+6)*INDEX(Input!$1:$1048576,$JG$93,$C142*2+6)</f>
        <v>140</v>
      </c>
      <c r="IA142" s="644">
        <f>INDEX(Input!$1:$1048576,IA$93,$C142*2+6)*INDEX(Input!$1:$1048576,$JG$93,$C142*2+6)</f>
        <v>683</v>
      </c>
      <c r="IB142" s="644">
        <f t="shared" si="249"/>
        <v>219.62158343764781</v>
      </c>
      <c r="IC142" s="644">
        <f t="shared" si="172"/>
        <v>141.34666082519627</v>
      </c>
      <c r="ID142" s="644">
        <f>IF(AND(INDEX(Input!$1:$1048576,IA$93,$C142*2+7)="TOS",Y142&lt;=INDEX(Y:Y,MATCH(C142*1000+2,A:A))),0,1)*MAX(IA142+HR142+HU142+HX142,0%)</f>
        <v>797.42902750707435</v>
      </c>
      <c r="IE142" s="128">
        <f t="shared" si="363"/>
        <v>0.18959090183464208</v>
      </c>
      <c r="IF142" s="128">
        <f t="shared" si="174"/>
        <v>0.12201915894469632</v>
      </c>
      <c r="IG142" s="128">
        <f t="shared" si="175"/>
        <v>0.68838993922066161</v>
      </c>
      <c r="IH142" s="21"/>
      <c r="II142" s="19">
        <f t="shared" si="271"/>
        <v>1200</v>
      </c>
      <c r="IJ142" s="19">
        <f t="shared" si="272"/>
        <v>2231.5502763133163</v>
      </c>
      <c r="IK142" s="19">
        <f t="shared" si="273"/>
        <v>4498</v>
      </c>
      <c r="IL142" s="19">
        <f t="shared" si="176"/>
        <v>1400</v>
      </c>
      <c r="IM142" s="19">
        <f t="shared" si="177"/>
        <v>400.00000000000045</v>
      </c>
      <c r="IN142" s="19">
        <f t="shared" si="178"/>
        <v>684.99999999999909</v>
      </c>
      <c r="IO142" s="39">
        <f t="shared" si="274"/>
        <v>0</v>
      </c>
      <c r="IP142" s="39">
        <f t="shared" si="275"/>
        <v>0</v>
      </c>
      <c r="IQ142" s="39">
        <f t="shared" si="276"/>
        <v>0</v>
      </c>
      <c r="IR142" s="39">
        <v>0</v>
      </c>
      <c r="IS142" s="39">
        <v>0</v>
      </c>
      <c r="IT142" s="39">
        <v>0</v>
      </c>
      <c r="IU142" s="39">
        <v>0</v>
      </c>
      <c r="IV142" s="39">
        <v>0</v>
      </c>
      <c r="IW142" s="39">
        <v>0</v>
      </c>
      <c r="IX142" s="39">
        <f>INDEX(Input!$1:$1048576,IX$93,$C142*2+6)+INDEX(Input!$1:$1048576,IX$94,$C142*2+6)</f>
        <v>1600</v>
      </c>
      <c r="IY142" s="39">
        <f>INDEX(Input!$1:$1048576,IY$93,$C142*2+6)+INDEX(Input!$1:$1048576,IY$94,$C142*2+6)</f>
        <v>2503.5492916397525</v>
      </c>
      <c r="IZ142" s="39">
        <f>INDEX(Input!$1:$1048576,IZ$93,$C142*2+6)+INDEX(Input!$1:$1048576,IZ$94,$C142*2+6)</f>
        <v>6273.7109265464023</v>
      </c>
      <c r="JA142" s="19">
        <f t="shared" si="179"/>
        <v>3000</v>
      </c>
      <c r="JB142" s="19">
        <f t="shared" si="180"/>
        <v>2903.5492916397529</v>
      </c>
      <c r="JC142" s="19">
        <f t="shared" si="181"/>
        <v>6958.7109265464014</v>
      </c>
      <c r="JD142" s="19">
        <f t="shared" si="182"/>
        <v>5713.3679398037084</v>
      </c>
      <c r="JE142" s="21"/>
      <c r="JF142" s="1">
        <f t="shared" si="277"/>
        <v>7.6148954918618686E-2</v>
      </c>
      <c r="JG142" s="15">
        <f>INDEX(Input!$1:$1048576,JG$93,$C142*2+6)/(1+VLOOKUP(C142*1000+INDEX(Input!$1:$1048576,JG$93+1,$C142*2+6),$A:$KK,$JK$92,FALSE))</f>
        <v>978</v>
      </c>
      <c r="JH142" s="1">
        <f t="shared" si="251"/>
        <v>0.14086686813469121</v>
      </c>
      <c r="JI142" s="1">
        <f t="shared" si="252"/>
        <v>4.3588419973609939E-2</v>
      </c>
      <c r="JJ142" s="1">
        <f t="shared" si="253"/>
        <v>0</v>
      </c>
      <c r="JK142" s="1">
        <f t="shared" si="254"/>
        <v>0.18445528810830114</v>
      </c>
      <c r="JL142" s="15">
        <f t="shared" si="184"/>
        <v>180.39727176991852</v>
      </c>
      <c r="JM142" s="15">
        <f t="shared" si="185"/>
        <v>1158.3972717699185</v>
      </c>
      <c r="JN142" s="21"/>
      <c r="JO142" s="19">
        <f>INDEX(Input!$1:$1048576,JO$93,$C142*2+6)</f>
        <v>5908.5</v>
      </c>
      <c r="JP142" s="19">
        <f>INDEX(Input!$1:$1048576,JP$93,$C142*2+6)</f>
        <v>4993.2939301234746</v>
      </c>
      <c r="JQ142" s="39">
        <f t="shared" si="186"/>
        <v>195.1320601962916</v>
      </c>
      <c r="JR142" s="39">
        <f t="shared" si="187"/>
        <v>720.07400968023376</v>
      </c>
      <c r="JS142" s="39">
        <f t="shared" si="188"/>
        <v>6.6183498340863354</v>
      </c>
      <c r="JT142" s="39">
        <f t="shared" si="189"/>
        <v>1.7349083704255772</v>
      </c>
      <c r="JU142" s="385">
        <f>(JQ142*JM142-INDEX(Input!$1:$1048576,Input!A$18,$C142*2+6)*JL142*INDEX(Input!$1:$1048576,Input!A$19,$C142*2+6))/1000000</f>
        <v>0.22604044616622768</v>
      </c>
      <c r="JV142" s="39">
        <f t="shared" si="192"/>
        <v>-0.6690310901730141</v>
      </c>
      <c r="JW142" s="1">
        <f t="shared" si="190"/>
        <v>-0.74746102742724696</v>
      </c>
      <c r="JX142" s="19">
        <f t="shared" si="191"/>
        <v>9617.1541476431339</v>
      </c>
      <c r="JZ142" s="341"/>
      <c r="KA142" s="342"/>
      <c r="KB142" s="469">
        <f t="shared" si="110"/>
        <v>3.2656316020464753</v>
      </c>
      <c r="KI142" s="473">
        <f t="shared" si="364"/>
        <v>64.621583437647843</v>
      </c>
      <c r="KJ142" s="473">
        <f t="shared" si="365"/>
        <v>1.3466608251962668</v>
      </c>
      <c r="KK142" s="473">
        <f t="shared" si="257"/>
        <v>114.42902750707435</v>
      </c>
      <c r="KN142" s="544">
        <f t="shared" si="258"/>
        <v>1002</v>
      </c>
      <c r="KO142" s="541">
        <f t="shared" si="280"/>
        <v>9.4780170637841055E-2</v>
      </c>
      <c r="KP142" s="546">
        <f t="shared" si="281"/>
        <v>437.41127995408044</v>
      </c>
      <c r="KQ142" s="546">
        <f t="shared" si="282"/>
        <v>358.91403982826796</v>
      </c>
      <c r="KR142" s="548">
        <f t="shared" si="283"/>
        <v>3.1073716401251539</v>
      </c>
      <c r="KS142" s="548">
        <f t="shared" si="284"/>
        <v>3.7869775366004048</v>
      </c>
      <c r="KT142" s="473">
        <f t="shared" si="112"/>
        <v>-82.310573396665475</v>
      </c>
      <c r="KU142" s="663">
        <f t="shared" si="285"/>
        <v>-51.960981015982313</v>
      </c>
      <c r="KV142" s="117"/>
    </row>
    <row r="143" spans="1:308" s="26" customFormat="1" ht="15">
      <c r="A143" s="561">
        <f t="shared" si="168"/>
        <v>1043</v>
      </c>
      <c r="B143" s="561">
        <f t="shared" si="104"/>
        <v>43</v>
      </c>
      <c r="C143" s="561">
        <f t="shared" si="105"/>
        <v>1</v>
      </c>
      <c r="D143" s="561" t="str">
        <f t="shared" si="287"/>
        <v xml:space="preserve">0/0/0.9/3.9, 360 Lease, </v>
      </c>
      <c r="E143" s="475">
        <f>INDEX(Input!$1:$1048576,E$93,$C143*2+MIN($B143,2)+5)
+INDEX(Scenarios!E$121:E$200,MATCH($B143,Scenarios!$B$121:$B$200,0))</f>
        <v>1250</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8.9999999999999993E-3</v>
      </c>
      <c r="W143" s="863">
        <f>IFERROR(MAX(0,INDEX(Input!$1:$1048576,W$93,$C143*2+MIN($B143,2)+5)-0%,),"Market")</f>
        <v>3.9E-2</v>
      </c>
      <c r="X143" s="476" t="str">
        <f>INDEX(Input!$1:$1048576,X$93,$C143*2+MIN($B143,2)+5)</f>
        <v>Y</v>
      </c>
      <c r="Y143" s="475">
        <f>INDEX(Input!$1:$1048576,Y$93,$C143*2+MIN($B143,2)+5)
++INDEX(Scenarios!Y$121:Y$200,MATCH($B143,Scenarios!$B$121:$B$200,0))</f>
        <v>3186</v>
      </c>
      <c r="Z143" s="477">
        <f>INDEX(Input!$1:$1048576,Z$93,$C143*2+MIN($B143,2)+5)
+INDEX(Scenarios!Z$121:Z$200,MATCH($B143,Scenarios!$B$121:$B$200,0))</f>
        <v>0</v>
      </c>
      <c r="AA143" s="475">
        <f>INDEX(Input!$1:$1048576,AA$93,$C143*2+MIN($B143,2)+5)</f>
        <v>0</v>
      </c>
      <c r="AB143" s="476">
        <f>INDEX(Input!$1:$1048576,AB$93,$C143*2+MIN($B143,2)+5)</f>
        <v>1</v>
      </c>
      <c r="AC143" s="475">
        <f>INDEX(Input!$1:$1048576,AC$93,$C143*2+MIN($B143,2)+5)
+INDEX(Scenarios!AC$121:AC$200,MATCH($B143,Scenarios!$B$121:$B$200,0))</f>
        <v>0</v>
      </c>
      <c r="AD143" s="476">
        <f>INDEX(Input!$1:$1048576,AD$93,$C143*2+MIN($B143,2)+5)</f>
        <v>0.35</v>
      </c>
      <c r="AE143" s="475">
        <f>INDEX(Input!$1:$1048576,AE$93,$C143*2+MIN($B143,2)+5)
+INDEX(Scenarios!AE$121:AE$200,MATCH($B143,Scenarios!$B$121:$B$200,0))</f>
        <v>0</v>
      </c>
      <c r="AF143" s="476">
        <f>INDEX(Input!$1:$1048576,AF$93,$C143*2+MIN($B143,2)+5)</f>
        <v>1</v>
      </c>
      <c r="AG143" s="475">
        <f>INDEX(Input!$1:$1048576,AG$93,$C143*2+MIN($B143,2)+5)
+INDEX(Scenarios!AG$121:AG$200,MATCH($B143,Scenarios!$B$121:$B$200,0))</f>
        <v>0</v>
      </c>
      <c r="AH143" s="476">
        <f>INDEX(Input!$1:$1048576,AH$93,$C143*2+MIN($B143,2)+5)</f>
        <v>1</v>
      </c>
      <c r="AI143" s="475">
        <f>INDEX(Input!$1:$1048576,AI$93,$C143*2+MIN($B143,2)+5)
+INDEX(Scenarios!AI$121:AI$200,MATCH($B143,Scenarios!$B$121:$B$200,0))</f>
        <v>0</v>
      </c>
      <c r="AJ143" s="476">
        <f>INDEX(Input!$1:$1048576,AJ$93,$C143*2+MIN($B143,2)+5)</f>
        <v>0.35</v>
      </c>
      <c r="AK143" s="150">
        <f>ROUND(INDEX(Input!$1:$1048576,AK$93,$C142*2+MIN($B143,1)+5)+(Y143-VLOOKUP($C143*1000+1,$A:$HH,Y$92,FALSE)),0)</f>
        <v>5842</v>
      </c>
      <c r="AL143" s="150">
        <f>ROUND(INDEX(Input!$1:$1048576,AL$93,$C142*2+MIN($B143,1)+5)-(Y143-VLOOKUP($C143*1000+1,$A:$HH,Y$92,FALSE))/36,0)</f>
        <v>5592</v>
      </c>
      <c r="AM143" s="32" t="str">
        <f t="shared" si="169"/>
        <v>std/std/std/std</v>
      </c>
      <c r="AN143" s="32" t="str">
        <f t="shared" si="170"/>
        <v>$0 + 0/0/0/0.9/3.9</v>
      </c>
      <c r="AO143" s="32" t="str">
        <f t="shared" si="171"/>
        <v>0/0/0/0.9/3.9</v>
      </c>
      <c r="AP143" s="32" t="str">
        <f t="shared" si="73"/>
        <v>0/0/0.9/3.9</v>
      </c>
      <c r="AQ143" s="536">
        <f t="shared" si="39"/>
        <v>0.13228459603861428</v>
      </c>
      <c r="AR143" s="32"/>
      <c r="AS143" s="302"/>
      <c r="AT143" s="3">
        <f t="shared" si="106"/>
        <v>43</v>
      </c>
      <c r="AU143" s="41" t="s">
        <v>121</v>
      </c>
      <c r="AV143" s="41" t="s">
        <v>116</v>
      </c>
      <c r="AW143" s="41" t="str">
        <f>INDEX(Input!$1:$1048576,AW$93,$C143*2+6)</f>
        <v>Kia</v>
      </c>
      <c r="AX143" s="41" t="str">
        <f>INDEX(Input!$1:$1048576,AX$93,$C143*2+6)</f>
        <v>Kia-LR - L1</v>
      </c>
      <c r="AY143" s="41" t="str">
        <f>IF(LEN(D143)=0,"",INDEX(Input!$1:$1048576,AY$93,$C143*2+6))</f>
        <v>Compact Conventional/Sporty Car (43)</v>
      </c>
      <c r="AZ143" s="41" t="str">
        <f>INDEX(Input!$1:$1048576,AZ$93,$C143*2+6)</f>
        <v>Kia Forte</v>
      </c>
      <c r="BA143" s="3">
        <f>INDEX(Input!$1:$1048576,BA$93,$C143*2+6)</f>
        <v>2020</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19695</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4"/>
        <v>1250</v>
      </c>
      <c r="CJ143" s="16" t="str">
        <f>INDEX(Input!$1:$1048576,CJ$93,$C143*2+6)</f>
        <v>N</v>
      </c>
      <c r="CK143" s="1" t="str">
        <f t="shared" si="75"/>
        <v>Market</v>
      </c>
      <c r="CL143" s="1" t="str">
        <f t="shared" si="76"/>
        <v>Market</v>
      </c>
      <c r="CM143" s="1" t="str">
        <f t="shared" si="77"/>
        <v>Market</v>
      </c>
      <c r="CN143" s="1" t="str">
        <f t="shared" si="78"/>
        <v>Market</v>
      </c>
      <c r="CO143" s="1" t="str">
        <f t="shared" si="79"/>
        <v>Market</v>
      </c>
      <c r="CP143" s="304">
        <f t="shared" si="80"/>
        <v>0</v>
      </c>
      <c r="CQ143" s="1">
        <f t="shared" si="81"/>
        <v>0</v>
      </c>
      <c r="CR143" s="1">
        <f t="shared" si="82"/>
        <v>0</v>
      </c>
      <c r="CS143" s="1">
        <f t="shared" si="83"/>
        <v>0</v>
      </c>
      <c r="CT143" s="1">
        <f t="shared" si="84"/>
        <v>8.9999999999999993E-3</v>
      </c>
      <c r="CU143" s="1">
        <f t="shared" si="85"/>
        <v>3.9E-2</v>
      </c>
      <c r="CV143" s="304">
        <f t="shared" si="86"/>
        <v>3186</v>
      </c>
      <c r="CW143" s="20" t="s">
        <v>122</v>
      </c>
      <c r="CX143" s="20" t="s">
        <v>122</v>
      </c>
      <c r="CY143" s="20" t="s">
        <v>122</v>
      </c>
      <c r="CZ143" s="20" t="s">
        <v>122</v>
      </c>
      <c r="DA143" s="20" t="s">
        <v>122</v>
      </c>
      <c r="DB143" s="503">
        <f t="shared" si="87"/>
        <v>0</v>
      </c>
      <c r="DC143" s="127">
        <v>0</v>
      </c>
      <c r="DD143" s="127">
        <v>0</v>
      </c>
      <c r="DE143" s="127">
        <v>0</v>
      </c>
      <c r="DF143" s="127">
        <v>0</v>
      </c>
      <c r="DG143" s="127">
        <v>0</v>
      </c>
      <c r="DH143" s="127">
        <v>0</v>
      </c>
      <c r="DI143" s="127">
        <v>0</v>
      </c>
      <c r="DJ143" s="127">
        <v>0</v>
      </c>
      <c r="DK143" s="127">
        <v>0</v>
      </c>
      <c r="DL143" s="127">
        <v>0</v>
      </c>
      <c r="DM143" s="304">
        <f>INDEX(Input!$1:$1048576,DM$93,$C143*2+6)</f>
        <v>20731.578947368424</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1.2345975813788712E-2</v>
      </c>
      <c r="DZ143" s="7">
        <v>0</v>
      </c>
      <c r="EA143" s="7">
        <v>0.19316576104442951</v>
      </c>
      <c r="EB143" s="7">
        <v>0</v>
      </c>
      <c r="EC143" s="7">
        <v>0</v>
      </c>
      <c r="ED143" s="7">
        <v>0</v>
      </c>
      <c r="EE143" s="7">
        <v>0</v>
      </c>
      <c r="EF143" s="7">
        <v>0</v>
      </c>
      <c r="EG143" s="7">
        <v>0</v>
      </c>
      <c r="EH143" s="7">
        <v>1.4476869635993293E-2</v>
      </c>
      <c r="EI143" s="7">
        <v>2.603945677232275E-2</v>
      </c>
      <c r="EJ143" s="7">
        <v>0.20479017957701898</v>
      </c>
      <c r="EK143" s="7">
        <v>0.72317389939610388</v>
      </c>
      <c r="EL143" s="7">
        <v>3.1519594618561152E-2</v>
      </c>
      <c r="EM143" s="7">
        <v>1.6741181297627437E-2</v>
      </c>
      <c r="EN143" s="7">
        <v>5.8591856591889833E-2</v>
      </c>
      <c r="EO143" s="7">
        <v>0.54078899147893777</v>
      </c>
      <c r="EP143" s="7">
        <v>0.31356065923790433</v>
      </c>
      <c r="EQ143" s="7">
        <v>5.060794463776927E-2</v>
      </c>
      <c r="ER143" s="7">
        <v>3.6450548053498996E-2</v>
      </c>
      <c r="ES143" s="7">
        <v>0.77774708184415442</v>
      </c>
      <c r="ET143" s="7">
        <v>0.79448826314178189</v>
      </c>
      <c r="EU143" s="6">
        <v>1600</v>
      </c>
      <c r="EV143" s="6">
        <v>0</v>
      </c>
      <c r="EW143" s="6">
        <v>1600</v>
      </c>
      <c r="EX143" s="6">
        <v>0</v>
      </c>
      <c r="EY143" s="6">
        <v>2963.2578502881047</v>
      </c>
      <c r="EZ143" s="6">
        <v>5182.9999999999991</v>
      </c>
      <c r="FA143" s="6">
        <v>0</v>
      </c>
      <c r="FB143" s="6">
        <v>0</v>
      </c>
      <c r="FC143" s="6">
        <v>0</v>
      </c>
      <c r="FD143" s="6">
        <v>0</v>
      </c>
      <c r="FE143" s="6">
        <v>0</v>
      </c>
      <c r="FF143" s="6">
        <v>0</v>
      </c>
      <c r="FG143" s="6">
        <v>0</v>
      </c>
      <c r="FH143" s="6">
        <v>1152.120827037782</v>
      </c>
      <c r="FI143" s="6">
        <v>1531.4299904380623</v>
      </c>
      <c r="FJ143" s="6">
        <v>2070.7205842538215</v>
      </c>
      <c r="FK143" s="6">
        <v>2218.6393698501024</v>
      </c>
      <c r="FL143" s="6">
        <v>893.91433563489363</v>
      </c>
      <c r="FM143" s="6">
        <v>2113.2578502881047</v>
      </c>
      <c r="FN143" s="6">
        <v>0</v>
      </c>
      <c r="FO143" s="6">
        <v>0</v>
      </c>
      <c r="FP143" s="6">
        <v>0</v>
      </c>
      <c r="FQ143" s="6">
        <v>0</v>
      </c>
      <c r="FR143" s="6">
        <v>0</v>
      </c>
      <c r="FS143" s="6">
        <v>0</v>
      </c>
      <c r="FT143" s="7">
        <v>0.20551173685821822</v>
      </c>
      <c r="FU143" s="7">
        <v>1.6741181297627437E-2</v>
      </c>
      <c r="FV143" s="7">
        <v>0.77774708184415442</v>
      </c>
      <c r="FW143" s="6">
        <v>1600</v>
      </c>
      <c r="FX143" s="6">
        <v>2963.2578502881047</v>
      </c>
      <c r="FY143" s="6">
        <v>5182.9999999999991</v>
      </c>
      <c r="FZ143" s="6">
        <v>3077.4375890575293</v>
      </c>
      <c r="GA143" s="6">
        <v>4409.490341074692</v>
      </c>
      <c r="GB143" s="6">
        <v>15285.509658925308</v>
      </c>
      <c r="GC143" s="7">
        <v>7.0901643973087014E-2</v>
      </c>
      <c r="GD143" s="7">
        <v>8.4454616597168908E-2</v>
      </c>
      <c r="GE143" s="7"/>
      <c r="GF143" s="7"/>
      <c r="GG143" s="7">
        <v>0.19115174013773725</v>
      </c>
      <c r="GH143" s="42">
        <v>2.8262645877287516</v>
      </c>
      <c r="GI143" s="6">
        <v>11378.052338246845</v>
      </c>
      <c r="GJ143" s="14">
        <v>0.5107463060103955</v>
      </c>
      <c r="GK143" s="14">
        <v>0.5082951978616097</v>
      </c>
      <c r="GL143" s="14">
        <v>0.48925369398960444</v>
      </c>
      <c r="GM143" s="14">
        <v>0.49170480213839035</v>
      </c>
      <c r="GO143" s="5">
        <v>338.16872463277008</v>
      </c>
      <c r="GP143" s="5">
        <v>307.64377699166363</v>
      </c>
      <c r="GQ143" s="5">
        <v>527.27910984145694</v>
      </c>
      <c r="GR143" s="5">
        <v>404.20319246551543</v>
      </c>
      <c r="GS143" s="5">
        <v>334.50205195691484</v>
      </c>
      <c r="GT143" s="5">
        <v>289.18266033348181</v>
      </c>
      <c r="GU143" s="5">
        <v>254.29573314828914</v>
      </c>
      <c r="GV143" s="39" t="s">
        <v>392</v>
      </c>
      <c r="GW143" s="5">
        <v>468.76388888888891</v>
      </c>
      <c r="GX143" s="5">
        <v>351.57291666666669</v>
      </c>
      <c r="GY143" s="5">
        <v>281.25833333333333</v>
      </c>
      <c r="GZ143" s="5">
        <v>240.8550698915011</v>
      </c>
      <c r="HA143" s="5">
        <v>229.8919505212948</v>
      </c>
      <c r="HB143" s="39">
        <v>254.96614723549271</v>
      </c>
      <c r="HC143" s="5">
        <v>56.359375000000007</v>
      </c>
      <c r="HD143" s="5">
        <v>81.555464181286524</v>
      </c>
      <c r="HE143" s="5">
        <v>93.770930330634272</v>
      </c>
      <c r="HF143" s="5">
        <v>97.846299342105254</v>
      </c>
      <c r="HG143" s="5">
        <v>108.23410087719299</v>
      </c>
      <c r="HH143" s="39">
        <v>85.706364768795638</v>
      </c>
      <c r="HI143" s="16"/>
      <c r="HJ143" s="19" t="str">
        <f t="shared" ref="HJ143" si="366">HJ142</f>
        <v>On</v>
      </c>
      <c r="HK143" s="1" t="str">
        <f t="shared" si="108"/>
        <v>On</v>
      </c>
      <c r="HL143" s="16"/>
      <c r="HM143" s="639">
        <f t="shared" si="261"/>
        <v>1.7699001661282989E-2</v>
      </c>
      <c r="HN143" s="639">
        <f t="shared" si="262"/>
        <v>1.0509929974846072E-3</v>
      </c>
      <c r="HO143" s="639">
        <f t="shared" si="263"/>
        <v>5.7398960259851091E-2</v>
      </c>
      <c r="HP143" s="644">
        <f>(FT143*$GD143-HM143)/$JF143*INDEX(Input!$1:$1048576,$JG$93,$C143*2+6)</f>
        <v>-4.399926581402072</v>
      </c>
      <c r="HQ143" s="644">
        <f>(FU143*$GD143-HN143)/$JF143*INDEX(Input!$1:$1048576,$JG$93,$C143*2+6)</f>
        <v>4.6605203664437305</v>
      </c>
      <c r="HR143" s="644">
        <f>(FV143*$GD143-HO143)/$JF143*INDEX(Input!$1:$1048576,$JG$93,$C143*2+6)</f>
        <v>106.411088450167</v>
      </c>
      <c r="HS143" s="644">
        <f t="shared" si="264"/>
        <v>-0.25459703557275681</v>
      </c>
      <c r="HT143" s="644">
        <f t="shared" si="265"/>
        <v>17.785996594958618</v>
      </c>
      <c r="HU143" s="644">
        <f t="shared" si="266"/>
        <v>34.327405391826751</v>
      </c>
      <c r="HV143" s="648">
        <f t="shared" si="267"/>
        <v>0</v>
      </c>
      <c r="HW143" s="648">
        <f t="shared" si="268"/>
        <v>0</v>
      </c>
      <c r="HX143" s="648">
        <f t="shared" si="269"/>
        <v>0</v>
      </c>
      <c r="HY143" s="644">
        <f>INDEX(Input!$1:$1048576,HY$93,$C143*2+6)*INDEX(Input!$1:$1048576,$JG$93,$C143*2+6)</f>
        <v>154.99999999999997</v>
      </c>
      <c r="HZ143" s="644">
        <f>INDEX(Input!$1:$1048576,HZ$93,$C143*2+6)*INDEX(Input!$1:$1048576,$JG$93,$C143*2+6)</f>
        <v>140</v>
      </c>
      <c r="IA143" s="644">
        <f>INDEX(Input!$1:$1048576,IA$93,$C143*2+6)*INDEX(Input!$1:$1048576,$JG$93,$C143*2+6)</f>
        <v>683</v>
      </c>
      <c r="IB143" s="644">
        <f t="shared" si="249"/>
        <v>150.34547638302524</v>
      </c>
      <c r="IC143" s="644">
        <f t="shared" si="172"/>
        <v>162.44651696140235</v>
      </c>
      <c r="ID143" s="644">
        <f>IF(AND(INDEX(Input!$1:$1048576,IA$93,$C143*2+7)="TOS",Y143&lt;=INDEX(Y:Y,MATCH(C143*1000+2,A:A))),0,1)*MAX(IA143+HR143+HU143+HX143,0%)</f>
        <v>823.73849384199377</v>
      </c>
      <c r="IE143" s="128">
        <f t="shared" si="270"/>
        <v>0.13228459603861428</v>
      </c>
      <c r="IF143" s="128">
        <f t="shared" si="174"/>
        <v>0.14293194841042287</v>
      </c>
      <c r="IG143" s="128">
        <f t="shared" si="175"/>
        <v>0.7247834555509628</v>
      </c>
      <c r="IH143" s="21"/>
      <c r="II143" s="19">
        <f t="shared" si="271"/>
        <v>1200</v>
      </c>
      <c r="IJ143" s="19">
        <f t="shared" si="272"/>
        <v>2231.5502763133163</v>
      </c>
      <c r="IK143" s="19">
        <f t="shared" si="273"/>
        <v>4498</v>
      </c>
      <c r="IL143" s="19">
        <f t="shared" si="176"/>
        <v>400</v>
      </c>
      <c r="IM143" s="19">
        <f t="shared" si="177"/>
        <v>731.70757397478837</v>
      </c>
      <c r="IN143" s="19">
        <f t="shared" si="178"/>
        <v>684.99999999999909</v>
      </c>
      <c r="IO143" s="39">
        <f t="shared" si="274"/>
        <v>0</v>
      </c>
      <c r="IP143" s="39">
        <f t="shared" si="275"/>
        <v>0</v>
      </c>
      <c r="IQ143" s="39">
        <f t="shared" si="276"/>
        <v>0</v>
      </c>
      <c r="IR143" s="39">
        <v>0</v>
      </c>
      <c r="IS143" s="39">
        <v>0</v>
      </c>
      <c r="IT143" s="39">
        <v>0</v>
      </c>
      <c r="IU143" s="39">
        <v>0</v>
      </c>
      <c r="IV143" s="39">
        <v>0</v>
      </c>
      <c r="IW143" s="39">
        <v>0</v>
      </c>
      <c r="IX143" s="39">
        <f>INDEX(Input!$1:$1048576,IX$93,$C143*2+6)+INDEX(Input!$1:$1048576,IX$94,$C143*2+6)</f>
        <v>1600</v>
      </c>
      <c r="IY143" s="39">
        <f>INDEX(Input!$1:$1048576,IY$93,$C143*2+6)+INDEX(Input!$1:$1048576,IY$94,$C143*2+6)</f>
        <v>2503.5492916397525</v>
      </c>
      <c r="IZ143" s="39">
        <f>INDEX(Input!$1:$1048576,IZ$93,$C143*2+6)+INDEX(Input!$1:$1048576,IZ$94,$C143*2+6)</f>
        <v>6273.7109265464023</v>
      </c>
      <c r="JA143" s="19">
        <f t="shared" si="179"/>
        <v>2000</v>
      </c>
      <c r="JB143" s="19">
        <f t="shared" si="180"/>
        <v>3235.2568656145409</v>
      </c>
      <c r="JC143" s="19">
        <f t="shared" si="181"/>
        <v>6958.7109265464014</v>
      </c>
      <c r="JD143" s="19">
        <f t="shared" si="182"/>
        <v>5770.5493110102552</v>
      </c>
      <c r="JE143" s="21"/>
      <c r="JF143" s="1">
        <f t="shared" si="277"/>
        <v>7.6148954918618686E-2</v>
      </c>
      <c r="JG143" s="15">
        <f>INDEX(Input!$1:$1048576,JG$93,$C143*2+6)/(1+VLOOKUP(C143*1000+INDEX(Input!$1:$1048576,JG$93+1,$C143*2+6),$A:$KK,$JK$92,FALSE))</f>
        <v>978</v>
      </c>
      <c r="JH143" s="1">
        <f t="shared" si="251"/>
        <v>0.10907124972925221</v>
      </c>
      <c r="JI143" s="1">
        <f t="shared" si="252"/>
        <v>5.3025362935800215E-2</v>
      </c>
      <c r="JJ143" s="1">
        <f t="shared" si="253"/>
        <v>0</v>
      </c>
      <c r="JK143" s="1">
        <f t="shared" si="254"/>
        <v>0.16209661266505243</v>
      </c>
      <c r="JL143" s="15">
        <f t="shared" si="184"/>
        <v>158.53048718642128</v>
      </c>
      <c r="JM143" s="15">
        <f t="shared" si="185"/>
        <v>1136.5304871864214</v>
      </c>
      <c r="JN143" s="21"/>
      <c r="JO143" s="19">
        <f>INDEX(Input!$1:$1048576,JO$93,$C143*2+6)</f>
        <v>5908.5</v>
      </c>
      <c r="JP143" s="19">
        <f>INDEX(Input!$1:$1048576,JP$93,$C143*2+6)</f>
        <v>4993.2939301234746</v>
      </c>
      <c r="JQ143" s="39">
        <f t="shared" si="186"/>
        <v>137.95068898974478</v>
      </c>
      <c r="JR143" s="39">
        <f t="shared" si="187"/>
        <v>777.25538088678059</v>
      </c>
      <c r="JS143" s="39">
        <f t="shared" si="188"/>
        <v>6.5584052197757536</v>
      </c>
      <c r="JT143" s="39">
        <f t="shared" si="189"/>
        <v>1.6749637561149959</v>
      </c>
      <c r="JU143" s="385">
        <f>(JQ143*JM143-INDEX(Input!$1:$1048576,Input!A$18,$C143*2+6)*JL143*INDEX(Input!$1:$1048576,Input!A$19,$C143*2+6))/1000000</f>
        <v>0.15678516376521712</v>
      </c>
      <c r="JV143" s="39">
        <f t="shared" si="192"/>
        <v>-0.73828637257402463</v>
      </c>
      <c r="JW143" s="1">
        <f t="shared" si="190"/>
        <v>-0.82483504680927111</v>
      </c>
      <c r="JX143" s="19">
        <f t="shared" si="191"/>
        <v>10565.562409111568</v>
      </c>
      <c r="JZ143" s="341"/>
      <c r="KA143" s="342"/>
      <c r="KB143" s="469">
        <f t="shared" si="110"/>
        <v>3.2656316020464753</v>
      </c>
      <c r="KI143" s="473">
        <f t="shared" si="278"/>
        <v>-4.6545236169747284</v>
      </c>
      <c r="KJ143" s="473">
        <f t="shared" si="279"/>
        <v>22.446516961402352</v>
      </c>
      <c r="KK143" s="473">
        <f t="shared" si="257"/>
        <v>140.73849384199377</v>
      </c>
      <c r="KN143" s="544">
        <f t="shared" si="258"/>
        <v>1002</v>
      </c>
      <c r="KO143" s="541">
        <f t="shared" si="280"/>
        <v>7.4114270656011172E-2</v>
      </c>
      <c r="KP143" s="546">
        <f t="shared" si="281"/>
        <v>308.33365384905767</v>
      </c>
      <c r="KQ143" s="546">
        <f t="shared" si="282"/>
        <v>416.09541103481479</v>
      </c>
      <c r="KR143" s="548">
        <f t="shared" si="283"/>
        <v>3.4470421951816208</v>
      </c>
      <c r="KS143" s="548">
        <f t="shared" si="284"/>
        <v>2.5543158776228312</v>
      </c>
      <c r="KT143" s="473">
        <f t="shared" si="112"/>
        <v>-82.310573396665475</v>
      </c>
      <c r="KU143" s="663">
        <f t="shared" si="285"/>
        <v>-50.539379830910583</v>
      </c>
      <c r="KV143" s="117"/>
    </row>
    <row r="144" spans="1:308" s="26" customFormat="1" ht="15">
      <c r="A144" s="561">
        <f t="shared" si="168"/>
        <v>1044</v>
      </c>
      <c r="B144" s="561">
        <f t="shared" si="104"/>
        <v>44</v>
      </c>
      <c r="C144" s="561">
        <f t="shared" si="105"/>
        <v>1</v>
      </c>
      <c r="D144" s="561" t="str">
        <f t="shared" si="287"/>
        <v xml:space="preserve">0/0/0/3.9, 360 Lease, </v>
      </c>
      <c r="E144" s="475">
        <f>INDEX(Input!$1:$1048576,E$93,$C144*2+MIN($B144,2)+5)
+INDEX(Scenarios!E$121:E$200,MATCH($B144,Scenarios!$B$121:$B$200,0))</f>
        <v>1250</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63">
        <f>IFERROR(MAX(0,INDEX(Input!$1:$1048576,W$93,$C144*2+MIN($B144,2)+5)-0%,),"Market")</f>
        <v>3.9E-2</v>
      </c>
      <c r="X144" s="476" t="str">
        <f>INDEX(Input!$1:$1048576,X$93,$C144*2+MIN($B144,2)+5)</f>
        <v>Y</v>
      </c>
      <c r="Y144" s="475">
        <f>INDEX(Input!$1:$1048576,Y$93,$C144*2+MIN($B144,2)+5)
++INDEX(Scenarios!Y$121:Y$200,MATCH($B144,Scenarios!$B$121:$B$200,0))</f>
        <v>3186</v>
      </c>
      <c r="Z144" s="477">
        <f>INDEX(Input!$1:$1048576,Z$93,$C144*2+MIN($B144,2)+5)
+INDEX(Scenarios!Z$121:Z$200,MATCH($B144,Scenarios!$B$121:$B$200,0))</f>
        <v>0</v>
      </c>
      <c r="AA144" s="475">
        <f>INDEX(Input!$1:$1048576,AA$93,$C144*2+MIN($B144,2)+5)</f>
        <v>0</v>
      </c>
      <c r="AB144" s="476">
        <f>INDEX(Input!$1:$1048576,AB$93,$C144*2+MIN($B144,2)+5)</f>
        <v>1</v>
      </c>
      <c r="AC144" s="475">
        <f>INDEX(Input!$1:$1048576,AC$93,$C144*2+MIN($B144,2)+5)
+INDEX(Scenarios!AC$121:AC$200,MATCH($B144,Scenarios!$B$121:$B$200,0))</f>
        <v>0</v>
      </c>
      <c r="AD144" s="476">
        <f>INDEX(Input!$1:$1048576,AD$93,$C144*2+MIN($B144,2)+5)</f>
        <v>0.35</v>
      </c>
      <c r="AE144" s="475">
        <f>INDEX(Input!$1:$1048576,AE$93,$C144*2+MIN($B144,2)+5)
+INDEX(Scenarios!AE$121:AE$200,MATCH($B144,Scenarios!$B$121:$B$200,0))</f>
        <v>0</v>
      </c>
      <c r="AF144" s="476">
        <f>INDEX(Input!$1:$1048576,AF$93,$C144*2+MIN($B144,2)+5)</f>
        <v>1</v>
      </c>
      <c r="AG144" s="475">
        <f>INDEX(Input!$1:$1048576,AG$93,$C144*2+MIN($B144,2)+5)
+INDEX(Scenarios!AG$121:AG$200,MATCH($B144,Scenarios!$B$121:$B$200,0))</f>
        <v>0</v>
      </c>
      <c r="AH144" s="476">
        <f>INDEX(Input!$1:$1048576,AH$93,$C144*2+MIN($B144,2)+5)</f>
        <v>1</v>
      </c>
      <c r="AI144" s="475">
        <f>INDEX(Input!$1:$1048576,AI$93,$C144*2+MIN($B144,2)+5)
+INDEX(Scenarios!AI$121:AI$200,MATCH($B144,Scenarios!$B$121:$B$200,0))</f>
        <v>0</v>
      </c>
      <c r="AJ144" s="476">
        <f>INDEX(Input!$1:$1048576,AJ$93,$C144*2+MIN($B144,2)+5)</f>
        <v>0.35</v>
      </c>
      <c r="AK144" s="150">
        <f>ROUND(INDEX(Input!$1:$1048576,AK$93,$C143*2+MIN($B144,1)+5)+(Y144-VLOOKUP($C144*1000+1,$A:$HH,Y$92,FALSE)),0)</f>
        <v>5842</v>
      </c>
      <c r="AL144" s="150">
        <f>ROUND(INDEX(Input!$1:$1048576,AL$93,$C143*2+MIN($B144,1)+5)-(Y144-VLOOKUP($C144*1000+1,$A:$HH,Y$92,FALSE))/36,0)</f>
        <v>5592</v>
      </c>
      <c r="AM144" s="32" t="str">
        <f t="shared" si="169"/>
        <v>std/std/std/std</v>
      </c>
      <c r="AN144" s="32" t="str">
        <f t="shared" si="170"/>
        <v>$0 + 0/0/0/0/3.9</v>
      </c>
      <c r="AO144" s="32" t="str">
        <f t="shared" si="171"/>
        <v>0/0/0/0/3.9</v>
      </c>
      <c r="AP144" s="32" t="str">
        <f t="shared" si="73"/>
        <v>0/0/0/3.9</v>
      </c>
      <c r="AQ144" s="536">
        <f t="shared" si="39"/>
        <v>0.12991740455365738</v>
      </c>
      <c r="AR144" s="32"/>
      <c r="AS144" s="302"/>
      <c r="AT144" s="3">
        <f t="shared" si="106"/>
        <v>44</v>
      </c>
      <c r="AU144" s="41" t="s">
        <v>121</v>
      </c>
      <c r="AV144" s="41" t="s">
        <v>116</v>
      </c>
      <c r="AW144" s="41" t="str">
        <f>INDEX(Input!$1:$1048576,AW$93,$C144*2+6)</f>
        <v>Kia</v>
      </c>
      <c r="AX144" s="41" t="str">
        <f>INDEX(Input!$1:$1048576,AX$93,$C144*2+6)</f>
        <v>Kia-LR - L1</v>
      </c>
      <c r="AY144" s="41" t="str">
        <f>IF(LEN(D144)=0,"",INDEX(Input!$1:$1048576,AY$93,$C144*2+6))</f>
        <v>Compact Conventional/Sporty Car (43)</v>
      </c>
      <c r="AZ144" s="41" t="str">
        <f>INDEX(Input!$1:$1048576,AZ$93,$C144*2+6)</f>
        <v>Kia Forte</v>
      </c>
      <c r="BA144" s="3">
        <f>INDEX(Input!$1:$1048576,BA$93,$C144*2+6)</f>
        <v>2020</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19695</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4"/>
        <v>1250</v>
      </c>
      <c r="CJ144" s="16" t="str">
        <f>INDEX(Input!$1:$1048576,CJ$93,$C144*2+6)</f>
        <v>N</v>
      </c>
      <c r="CK144" s="1" t="str">
        <f t="shared" si="75"/>
        <v>Market</v>
      </c>
      <c r="CL144" s="1" t="str">
        <f t="shared" si="76"/>
        <v>Market</v>
      </c>
      <c r="CM144" s="1" t="str">
        <f t="shared" si="77"/>
        <v>Market</v>
      </c>
      <c r="CN144" s="1" t="str">
        <f t="shared" si="78"/>
        <v>Market</v>
      </c>
      <c r="CO144" s="1" t="str">
        <f t="shared" si="79"/>
        <v>Market</v>
      </c>
      <c r="CP144" s="304">
        <f t="shared" si="80"/>
        <v>0</v>
      </c>
      <c r="CQ144" s="1">
        <f t="shared" si="81"/>
        <v>0</v>
      </c>
      <c r="CR144" s="1">
        <f t="shared" si="82"/>
        <v>0</v>
      </c>
      <c r="CS144" s="1">
        <f t="shared" si="83"/>
        <v>0</v>
      </c>
      <c r="CT144" s="1">
        <f t="shared" si="84"/>
        <v>0</v>
      </c>
      <c r="CU144" s="1">
        <f t="shared" si="85"/>
        <v>3.9E-2</v>
      </c>
      <c r="CV144" s="304">
        <f t="shared" si="86"/>
        <v>3186</v>
      </c>
      <c r="CW144" s="20" t="s">
        <v>122</v>
      </c>
      <c r="CX144" s="20" t="s">
        <v>122</v>
      </c>
      <c r="CY144" s="20" t="s">
        <v>122</v>
      </c>
      <c r="CZ144" s="20" t="s">
        <v>122</v>
      </c>
      <c r="DA144" s="20" t="s">
        <v>122</v>
      </c>
      <c r="DB144" s="503">
        <f t="shared" si="87"/>
        <v>0</v>
      </c>
      <c r="DC144" s="127">
        <v>0</v>
      </c>
      <c r="DD144" s="127">
        <v>0</v>
      </c>
      <c r="DE144" s="127">
        <v>0</v>
      </c>
      <c r="DF144" s="127">
        <v>0</v>
      </c>
      <c r="DG144" s="127">
        <v>0</v>
      </c>
      <c r="DH144" s="127">
        <v>0</v>
      </c>
      <c r="DI144" s="127">
        <v>0</v>
      </c>
      <c r="DJ144" s="127">
        <v>0</v>
      </c>
      <c r="DK144" s="127">
        <v>0</v>
      </c>
      <c r="DL144" s="127">
        <v>0</v>
      </c>
      <c r="DM144" s="304">
        <f>INDEX(Input!$1:$1048576,DM$93,$C144*2+6)</f>
        <v>20731.578947368424</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1.2269037607944767E-2</v>
      </c>
      <c r="DZ144" s="7">
        <v>0</v>
      </c>
      <c r="EA144" s="7">
        <v>0.19189072150847825</v>
      </c>
      <c r="EB144" s="7">
        <v>0</v>
      </c>
      <c r="EC144" s="7">
        <v>0</v>
      </c>
      <c r="ED144" s="7">
        <v>0</v>
      </c>
      <c r="EE144" s="7">
        <v>0</v>
      </c>
      <c r="EF144" s="7">
        <v>0</v>
      </c>
      <c r="EG144" s="7">
        <v>0</v>
      </c>
      <c r="EH144" s="7">
        <v>1.0499127675873868E-2</v>
      </c>
      <c r="EI144" s="7">
        <v>1.8884716664387995E-2</v>
      </c>
      <c r="EJ144" s="7">
        <v>0.14852093692952112</v>
      </c>
      <c r="EK144" s="7">
        <v>0.79923611614015921</v>
      </c>
      <c r="EL144" s="7">
        <v>2.2859102590057599E-2</v>
      </c>
      <c r="EM144" s="7">
        <v>2.2939958189200423E-2</v>
      </c>
      <c r="EN144" s="7">
        <v>5.8591856591889806E-2</v>
      </c>
      <c r="EO144" s="7">
        <v>0.54078899147893777</v>
      </c>
      <c r="EP144" s="7">
        <v>0.31356065923790416</v>
      </c>
      <c r="EQ144" s="7">
        <v>5.060794463776927E-2</v>
      </c>
      <c r="ER144" s="7">
        <v>3.6450548053498989E-2</v>
      </c>
      <c r="ES144" s="7">
        <v>0.77290028269437649</v>
      </c>
      <c r="ET144" s="7">
        <v>0.79584024088357697</v>
      </c>
      <c r="EU144" s="6">
        <v>1600</v>
      </c>
      <c r="EV144" s="6">
        <v>0</v>
      </c>
      <c r="EW144" s="6">
        <v>1600</v>
      </c>
      <c r="EX144" s="6">
        <v>0</v>
      </c>
      <c r="EY144" s="6">
        <v>3325.2996804024192</v>
      </c>
      <c r="EZ144" s="6">
        <v>5182.9999999999991</v>
      </c>
      <c r="FA144" s="6">
        <v>0</v>
      </c>
      <c r="FB144" s="6">
        <v>0</v>
      </c>
      <c r="FC144" s="6">
        <v>0</v>
      </c>
      <c r="FD144" s="6">
        <v>0</v>
      </c>
      <c r="FE144" s="6">
        <v>0</v>
      </c>
      <c r="FF144" s="6">
        <v>0</v>
      </c>
      <c r="FG144" s="6">
        <v>0</v>
      </c>
      <c r="FH144" s="6">
        <v>1152.1208270377822</v>
      </c>
      <c r="FI144" s="6">
        <v>1531.4299904380612</v>
      </c>
      <c r="FJ144" s="6">
        <v>2070.7205842538215</v>
      </c>
      <c r="FK144" s="6">
        <v>2635.3956133202914</v>
      </c>
      <c r="FL144" s="6">
        <v>893.91433563489363</v>
      </c>
      <c r="FM144" s="6">
        <v>2475.2996804024192</v>
      </c>
      <c r="FN144" s="6">
        <v>0</v>
      </c>
      <c r="FO144" s="6">
        <v>0</v>
      </c>
      <c r="FP144" s="6">
        <v>0</v>
      </c>
      <c r="FQ144" s="6">
        <v>0</v>
      </c>
      <c r="FR144" s="6">
        <v>0</v>
      </c>
      <c r="FS144" s="6">
        <v>0</v>
      </c>
      <c r="FT144" s="7">
        <v>0.20415975911642301</v>
      </c>
      <c r="FU144" s="7">
        <v>2.2939958189200423E-2</v>
      </c>
      <c r="FV144" s="7">
        <v>0.77290028269437649</v>
      </c>
      <c r="FW144" s="6">
        <v>1600.0000000000002</v>
      </c>
      <c r="FX144" s="6">
        <v>3325.2996804024192</v>
      </c>
      <c r="FY144" s="6">
        <v>5182.9999999999991</v>
      </c>
      <c r="FZ144" s="6">
        <v>3077.4375890575293</v>
      </c>
      <c r="GA144" s="6">
        <v>4408.8800154262226</v>
      </c>
      <c r="GB144" s="6">
        <v>15286.119984573777</v>
      </c>
      <c r="GC144" s="7">
        <v>7.0901643973087014E-2</v>
      </c>
      <c r="GD144" s="7">
        <v>8.4675632119848618E-2</v>
      </c>
      <c r="GE144" s="7"/>
      <c r="GF144" s="7"/>
      <c r="GG144" s="7">
        <v>0.19426895308647513</v>
      </c>
      <c r="GH144" s="42">
        <v>2.8736706561719738</v>
      </c>
      <c r="GI144" s="6">
        <v>11262.483770505023</v>
      </c>
      <c r="GJ144" s="14">
        <v>0.5107463060103955</v>
      </c>
      <c r="GK144" s="14">
        <v>0.5082951978616097</v>
      </c>
      <c r="GL144" s="14">
        <v>0.48925369398960428</v>
      </c>
      <c r="GM144" s="14">
        <v>0.4917048021383903</v>
      </c>
      <c r="GO144" s="5">
        <v>338.16872463277008</v>
      </c>
      <c r="GP144" s="5">
        <v>307.64377699166363</v>
      </c>
      <c r="GQ144" s="5">
        <v>527.27910984145694</v>
      </c>
      <c r="GR144" s="5">
        <v>404.20319246551543</v>
      </c>
      <c r="GS144" s="5">
        <v>334.50205195691484</v>
      </c>
      <c r="GT144" s="5">
        <v>289.18266033348181</v>
      </c>
      <c r="GU144" s="5">
        <v>254.29573314828914</v>
      </c>
      <c r="GV144" s="39" t="s">
        <v>392</v>
      </c>
      <c r="GW144" s="5">
        <v>468.76388888888891</v>
      </c>
      <c r="GX144" s="5">
        <v>351.57291666666669</v>
      </c>
      <c r="GY144" s="5">
        <v>281.25833333333333</v>
      </c>
      <c r="GZ144" s="5">
        <v>234.38194444444446</v>
      </c>
      <c r="HA144" s="5">
        <v>229.8919505212948</v>
      </c>
      <c r="HB144" s="39">
        <v>245.91535667605936</v>
      </c>
      <c r="HC144" s="5">
        <v>56.359375000000007</v>
      </c>
      <c r="HD144" s="5">
        <v>81.555464181286524</v>
      </c>
      <c r="HE144" s="5">
        <v>93.770930330634272</v>
      </c>
      <c r="HF144" s="5">
        <v>97.846299342105254</v>
      </c>
      <c r="HG144" s="5">
        <v>108.23410087719299</v>
      </c>
      <c r="HH144" s="39">
        <v>85.706364768795623</v>
      </c>
      <c r="HI144" s="16"/>
      <c r="HJ144" s="19" t="str">
        <f t="shared" ref="HJ144" si="367">HJ143</f>
        <v>On</v>
      </c>
      <c r="HK144" s="1" t="str">
        <f t="shared" si="108"/>
        <v>On</v>
      </c>
      <c r="HL144" s="16"/>
      <c r="HM144" s="639">
        <f t="shared" si="261"/>
        <v>1.7699001661282989E-2</v>
      </c>
      <c r="HN144" s="639">
        <f t="shared" si="262"/>
        <v>1.0509929974846072E-3</v>
      </c>
      <c r="HO144" s="639">
        <f t="shared" si="263"/>
        <v>5.7398960259851091E-2</v>
      </c>
      <c r="HP144" s="644">
        <f>(FT144*$GD144-HM144)/$JF144*INDEX(Input!$1:$1048576,$JG$93,$C144*2+6)</f>
        <v>-5.2868593533751227</v>
      </c>
      <c r="HQ144" s="644">
        <f>(FU144*$GD144-HN144)/$JF144*INDEX(Input!$1:$1048576,$JG$93,$C144*2+6)</f>
        <v>11.449274513810979</v>
      </c>
      <c r="HR144" s="644">
        <f>(FV144*$GD144-HO144)/$JF144*INDEX(Input!$1:$1048576,$JG$93,$C144*2+6)</f>
        <v>103.34782449702168</v>
      </c>
      <c r="HS144" s="644">
        <f t="shared" si="264"/>
        <v>-0.38056918616801094</v>
      </c>
      <c r="HT144" s="644">
        <f t="shared" si="265"/>
        <v>27.859337889101013</v>
      </c>
      <c r="HU144" s="644">
        <f t="shared" si="266"/>
        <v>34.453377542422011</v>
      </c>
      <c r="HV144" s="648">
        <f t="shared" si="267"/>
        <v>0</v>
      </c>
      <c r="HW144" s="648">
        <f t="shared" si="268"/>
        <v>0</v>
      </c>
      <c r="HX144" s="648">
        <f t="shared" si="269"/>
        <v>0</v>
      </c>
      <c r="HY144" s="644">
        <f>INDEX(Input!$1:$1048576,HY$93,$C144*2+6)*INDEX(Input!$1:$1048576,$JG$93,$C144*2+6)</f>
        <v>154.99999999999997</v>
      </c>
      <c r="HZ144" s="644">
        <f>INDEX(Input!$1:$1048576,HZ$93,$C144*2+6)*INDEX(Input!$1:$1048576,$JG$93,$C144*2+6)</f>
        <v>140</v>
      </c>
      <c r="IA144" s="644">
        <f>INDEX(Input!$1:$1048576,IA$93,$C144*2+6)*INDEX(Input!$1:$1048576,$JG$93,$C144*2+6)</f>
        <v>683</v>
      </c>
      <c r="IB144" s="644">
        <f t="shared" si="249"/>
        <v>149.33257146045685</v>
      </c>
      <c r="IC144" s="644">
        <f t="shared" si="172"/>
        <v>179.30861240291199</v>
      </c>
      <c r="ID144" s="644">
        <f>IF(AND(INDEX(Input!$1:$1048576,IA$93,$C144*2+7)="TOS",Y144&lt;=INDEX(Y:Y,MATCH(C144*1000+2,A:A))),0,1)*MAX(IA144+HR144+HU144+HX144,0%)</f>
        <v>820.80120203944364</v>
      </c>
      <c r="IE144" s="128">
        <f t="shared" si="270"/>
        <v>0.12991740455365738</v>
      </c>
      <c r="IF144" s="128">
        <f t="shared" si="174"/>
        <v>0.15599617223274456</v>
      </c>
      <c r="IG144" s="128">
        <f t="shared" si="175"/>
        <v>0.71408642321359805</v>
      </c>
      <c r="IH144" s="21"/>
      <c r="II144" s="19">
        <f t="shared" si="271"/>
        <v>1200</v>
      </c>
      <c r="IJ144" s="19">
        <f t="shared" si="272"/>
        <v>2231.5502763133163</v>
      </c>
      <c r="IK144" s="19">
        <f t="shared" si="273"/>
        <v>4498</v>
      </c>
      <c r="IL144" s="19">
        <f t="shared" si="176"/>
        <v>400.00000000000023</v>
      </c>
      <c r="IM144" s="19">
        <f t="shared" si="177"/>
        <v>1093.7494040891029</v>
      </c>
      <c r="IN144" s="19">
        <f t="shared" si="178"/>
        <v>684.99999999999909</v>
      </c>
      <c r="IO144" s="39">
        <f t="shared" si="274"/>
        <v>0</v>
      </c>
      <c r="IP144" s="39">
        <f t="shared" si="275"/>
        <v>0</v>
      </c>
      <c r="IQ144" s="39">
        <f t="shared" si="276"/>
        <v>0</v>
      </c>
      <c r="IR144" s="39">
        <v>0</v>
      </c>
      <c r="IS144" s="39">
        <v>0</v>
      </c>
      <c r="IT144" s="39">
        <v>0</v>
      </c>
      <c r="IU144" s="39">
        <v>0</v>
      </c>
      <c r="IV144" s="39">
        <v>0</v>
      </c>
      <c r="IW144" s="39">
        <v>0</v>
      </c>
      <c r="IX144" s="39">
        <f>INDEX(Input!$1:$1048576,IX$93,$C144*2+6)+INDEX(Input!$1:$1048576,IX$94,$C144*2+6)</f>
        <v>1600</v>
      </c>
      <c r="IY144" s="39">
        <f>INDEX(Input!$1:$1048576,IY$93,$C144*2+6)+INDEX(Input!$1:$1048576,IY$94,$C144*2+6)</f>
        <v>2503.5492916397525</v>
      </c>
      <c r="IZ144" s="39">
        <f>INDEX(Input!$1:$1048576,IZ$93,$C144*2+6)+INDEX(Input!$1:$1048576,IZ$94,$C144*2+6)</f>
        <v>6273.7109265464023</v>
      </c>
      <c r="JA144" s="19">
        <f t="shared" si="179"/>
        <v>2000.0000000000002</v>
      </c>
      <c r="JB144" s="19">
        <f t="shared" si="180"/>
        <v>3597.2986957288554</v>
      </c>
      <c r="JC144" s="19">
        <f t="shared" si="181"/>
        <v>6958.7109265464014</v>
      </c>
      <c r="JD144" s="19">
        <f t="shared" si="182"/>
        <v>5790.1206317337637</v>
      </c>
      <c r="JE144" s="21"/>
      <c r="JF144" s="1">
        <f t="shared" si="277"/>
        <v>7.6148954918618686E-2</v>
      </c>
      <c r="JG144" s="15">
        <f>INDEX(Input!$1:$1048576,JG$93,$C144*2+6)/(1+VLOOKUP(C144*1000+INDEX(Input!$1:$1048576,JG$93+1,$C144*2+6),$A:$KK,$JK$92,FALSE))</f>
        <v>978</v>
      </c>
      <c r="JH144" s="1">
        <f t="shared" si="251"/>
        <v>0.11197366018144941</v>
      </c>
      <c r="JI144" s="1">
        <f t="shared" si="252"/>
        <v>6.3325302909360962E-2</v>
      </c>
      <c r="JJ144" s="1">
        <f t="shared" si="253"/>
        <v>0</v>
      </c>
      <c r="JK144" s="1">
        <f t="shared" si="254"/>
        <v>0.17529896309081039</v>
      </c>
      <c r="JL144" s="15">
        <f t="shared" si="184"/>
        <v>171.44238590281256</v>
      </c>
      <c r="JM144" s="15">
        <f t="shared" si="185"/>
        <v>1149.4423859028125</v>
      </c>
      <c r="JN144" s="21"/>
      <c r="JO144" s="19">
        <f>INDEX(Input!$1:$1048576,JO$93,$C144*2+6)</f>
        <v>5908.5</v>
      </c>
      <c r="JP144" s="19">
        <f>INDEX(Input!$1:$1048576,JP$93,$C144*2+6)</f>
        <v>4993.2939301234746</v>
      </c>
      <c r="JQ144" s="39">
        <f t="shared" si="186"/>
        <v>118.37936826623627</v>
      </c>
      <c r="JR144" s="39">
        <f t="shared" si="187"/>
        <v>796.82670161028909</v>
      </c>
      <c r="JS144" s="39">
        <f t="shared" si="188"/>
        <v>6.6554100736051574</v>
      </c>
      <c r="JT144" s="39">
        <f t="shared" si="189"/>
        <v>1.7719686099443994</v>
      </c>
      <c r="JU144" s="385">
        <f>(JQ144*JM144-INDEX(Input!$1:$1048576,Input!A$18,$C144*2+6)*JL144*INDEX(Input!$1:$1048576,Input!A$19,$C144*2+6))/1000000</f>
        <v>0.13607026350161031</v>
      </c>
      <c r="JV144" s="39">
        <f t="shared" si="192"/>
        <v>-0.75900127283763141</v>
      </c>
      <c r="JW144" s="1">
        <f t="shared" si="190"/>
        <v>-0.84797833695156377</v>
      </c>
      <c r="JX144" s="19">
        <f t="shared" si="191"/>
        <v>10335.650665459678</v>
      </c>
      <c r="JZ144" s="341"/>
      <c r="KA144" s="342"/>
      <c r="KB144" s="469">
        <f t="shared" si="110"/>
        <v>3.2656316020464753</v>
      </c>
      <c r="KI144" s="473">
        <f t="shared" si="278"/>
        <v>-5.6674285395431241</v>
      </c>
      <c r="KJ144" s="473">
        <f t="shared" si="279"/>
        <v>39.308612402911962</v>
      </c>
      <c r="KK144" s="473">
        <f t="shared" si="257"/>
        <v>137.80120203944364</v>
      </c>
      <c r="KN144" s="544">
        <f t="shared" si="258"/>
        <v>1002</v>
      </c>
      <c r="KO144" s="541">
        <f t="shared" si="280"/>
        <v>8.631707104623576E-2</v>
      </c>
      <c r="KP144" s="546">
        <f t="shared" si="281"/>
        <v>365.29336388354301</v>
      </c>
      <c r="KQ144" s="546">
        <f t="shared" si="282"/>
        <v>435.66673175832329</v>
      </c>
      <c r="KR144" s="548">
        <f t="shared" si="283"/>
        <v>3.3886023096556044</v>
      </c>
      <c r="KS144" s="548">
        <f t="shared" si="284"/>
        <v>2.8412404398238529</v>
      </c>
      <c r="KT144" s="473">
        <f t="shared" si="112"/>
        <v>-82.310573396665475</v>
      </c>
      <c r="KU144" s="663">
        <f t="shared" si="285"/>
        <v>-50.902133430137432</v>
      </c>
      <c r="KV144" s="117"/>
    </row>
    <row r="145" spans="1:308" s="26" customFormat="1" ht="15">
      <c r="A145" s="561">
        <f t="shared" si="168"/>
        <v>1045</v>
      </c>
      <c r="B145" s="561">
        <f t="shared" si="104"/>
        <v>45</v>
      </c>
      <c r="C145" s="561">
        <f t="shared" si="105"/>
        <v>1</v>
      </c>
      <c r="D145" s="561" t="str">
        <f t="shared" si="287"/>
        <v xml:space="preserve">0/0/0/3.9, 360 Lease, </v>
      </c>
      <c r="E145" s="475">
        <f>INDEX(Input!$1:$1048576,E$93,$C145*2+MIN($B145,2)+5)
+INDEX(Scenarios!E$121:E$200,MATCH($B145,Scenarios!$B$121:$B$200,0))</f>
        <v>1250</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63">
        <f>IFERROR(MAX(0,INDEX(Input!$1:$1048576,W$93,$C145*2+MIN($B145,2)+5)-0%,),"Market")</f>
        <v>3.9E-2</v>
      </c>
      <c r="X145" s="476" t="str">
        <f>INDEX(Input!$1:$1048576,X$93,$C145*2+MIN($B145,2)+5)</f>
        <v>Y</v>
      </c>
      <c r="Y145" s="475">
        <f>INDEX(Input!$1:$1048576,Y$93,$C145*2+MIN($B145,2)+5)
++INDEX(Scenarios!Y$121:Y$200,MATCH($B145,Scenarios!$B$121:$B$200,0))</f>
        <v>3186</v>
      </c>
      <c r="Z145" s="477">
        <f>INDEX(Input!$1:$1048576,Z$93,$C145*2+MIN($B145,2)+5)
+INDEX(Scenarios!Z$121:Z$200,MATCH($B145,Scenarios!$B$121:$B$200,0))</f>
        <v>0</v>
      </c>
      <c r="AA145" s="475">
        <f>INDEX(Input!$1:$1048576,AA$93,$C145*2+MIN($B145,2)+5)</f>
        <v>0</v>
      </c>
      <c r="AB145" s="476">
        <f>INDEX(Input!$1:$1048576,AB$93,$C145*2+MIN($B145,2)+5)</f>
        <v>1</v>
      </c>
      <c r="AC145" s="475">
        <f>INDEX(Input!$1:$1048576,AC$93,$C145*2+MIN($B145,2)+5)
+INDEX(Scenarios!AC$121:AC$200,MATCH($B145,Scenarios!$B$121:$B$200,0))</f>
        <v>0</v>
      </c>
      <c r="AD145" s="476">
        <f>INDEX(Input!$1:$1048576,AD$93,$C145*2+MIN($B145,2)+5)</f>
        <v>0.35</v>
      </c>
      <c r="AE145" s="475">
        <f>INDEX(Input!$1:$1048576,AE$93,$C145*2+MIN($B145,2)+5)
+INDEX(Scenarios!AE$121:AE$200,MATCH($B145,Scenarios!$B$121:$B$200,0))</f>
        <v>0</v>
      </c>
      <c r="AF145" s="476">
        <f>INDEX(Input!$1:$1048576,AF$93,$C145*2+MIN($B145,2)+5)</f>
        <v>1</v>
      </c>
      <c r="AG145" s="475">
        <f>INDEX(Input!$1:$1048576,AG$93,$C145*2+MIN($B145,2)+5)
+INDEX(Scenarios!AG$121:AG$200,MATCH($B145,Scenarios!$B$121:$B$200,0))</f>
        <v>0</v>
      </c>
      <c r="AH145" s="476">
        <f>INDEX(Input!$1:$1048576,AH$93,$C145*2+MIN($B145,2)+5)</f>
        <v>1</v>
      </c>
      <c r="AI145" s="475">
        <f>INDEX(Input!$1:$1048576,AI$93,$C145*2+MIN($B145,2)+5)
+INDEX(Scenarios!AI$121:AI$200,MATCH($B145,Scenarios!$B$121:$B$200,0))</f>
        <v>0</v>
      </c>
      <c r="AJ145" s="476">
        <f>INDEX(Input!$1:$1048576,AJ$93,$C145*2+MIN($B145,2)+5)</f>
        <v>0.35</v>
      </c>
      <c r="AK145" s="150">
        <f>ROUND(INDEX(Input!$1:$1048576,AK$93,$C144*2+MIN($B145,1)+5)+(Y145-VLOOKUP($C145*1000+1,$A:$HH,Y$92,FALSE)),0)</f>
        <v>5842</v>
      </c>
      <c r="AL145" s="150">
        <f>ROUND(INDEX(Input!$1:$1048576,AL$93,$C144*2+MIN($B145,1)+5)-(Y145-VLOOKUP($C145*1000+1,$A:$HH,Y$92,FALSE))/36,0)</f>
        <v>5592</v>
      </c>
      <c r="AM145" s="32" t="str">
        <f t="shared" si="169"/>
        <v>std/std/std/std</v>
      </c>
      <c r="AN145" s="32" t="str">
        <f t="shared" si="170"/>
        <v>$0 + 0/0/0/0/3.9</v>
      </c>
      <c r="AO145" s="32" t="str">
        <f t="shared" si="171"/>
        <v>0/0/0/0/3.9</v>
      </c>
      <c r="AP145" s="32" t="str">
        <f t="shared" si="73"/>
        <v>0/0/0/3.9</v>
      </c>
      <c r="AQ145" s="536">
        <f t="shared" si="39"/>
        <v>0.12991740455365738</v>
      </c>
      <c r="AR145" s="32"/>
      <c r="AS145" s="302"/>
      <c r="AT145" s="3">
        <f t="shared" si="106"/>
        <v>45</v>
      </c>
      <c r="AU145" s="41" t="s">
        <v>121</v>
      </c>
      <c r="AV145" s="41" t="s">
        <v>116</v>
      </c>
      <c r="AW145" s="41" t="str">
        <f>INDEX(Input!$1:$1048576,AW$93,$C145*2+6)</f>
        <v>Kia</v>
      </c>
      <c r="AX145" s="41" t="str">
        <f>INDEX(Input!$1:$1048576,AX$93,$C145*2+6)</f>
        <v>Kia-LR - L1</v>
      </c>
      <c r="AY145" s="41" t="str">
        <f>IF(LEN(D145)=0,"",INDEX(Input!$1:$1048576,AY$93,$C145*2+6))</f>
        <v>Compact Conventional/Sporty Car (43)</v>
      </c>
      <c r="AZ145" s="41" t="str">
        <f>INDEX(Input!$1:$1048576,AZ$93,$C145*2+6)</f>
        <v>Kia Forte</v>
      </c>
      <c r="BA145" s="3">
        <f>INDEX(Input!$1:$1048576,BA$93,$C145*2+6)</f>
        <v>2020</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19695</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4"/>
        <v>1250</v>
      </c>
      <c r="CJ145" s="16" t="str">
        <f>INDEX(Input!$1:$1048576,CJ$93,$C145*2+6)</f>
        <v>N</v>
      </c>
      <c r="CK145" s="1" t="str">
        <f t="shared" si="75"/>
        <v>Market</v>
      </c>
      <c r="CL145" s="1" t="str">
        <f t="shared" si="76"/>
        <v>Market</v>
      </c>
      <c r="CM145" s="1" t="str">
        <f t="shared" si="77"/>
        <v>Market</v>
      </c>
      <c r="CN145" s="1" t="str">
        <f t="shared" si="78"/>
        <v>Market</v>
      </c>
      <c r="CO145" s="1" t="str">
        <f t="shared" si="79"/>
        <v>Market</v>
      </c>
      <c r="CP145" s="304">
        <f t="shared" si="80"/>
        <v>0</v>
      </c>
      <c r="CQ145" s="1">
        <f t="shared" si="81"/>
        <v>0</v>
      </c>
      <c r="CR145" s="1">
        <f t="shared" si="82"/>
        <v>0</v>
      </c>
      <c r="CS145" s="1">
        <f t="shared" si="83"/>
        <v>0</v>
      </c>
      <c r="CT145" s="1">
        <f t="shared" si="84"/>
        <v>0</v>
      </c>
      <c r="CU145" s="1">
        <f t="shared" si="85"/>
        <v>3.9E-2</v>
      </c>
      <c r="CV145" s="304">
        <f t="shared" si="86"/>
        <v>3186</v>
      </c>
      <c r="CW145" s="20" t="s">
        <v>122</v>
      </c>
      <c r="CX145" s="20" t="s">
        <v>122</v>
      </c>
      <c r="CY145" s="20" t="s">
        <v>122</v>
      </c>
      <c r="CZ145" s="20" t="s">
        <v>122</v>
      </c>
      <c r="DA145" s="20" t="s">
        <v>122</v>
      </c>
      <c r="DB145" s="503">
        <f t="shared" si="87"/>
        <v>0</v>
      </c>
      <c r="DC145" s="127">
        <v>0</v>
      </c>
      <c r="DD145" s="127">
        <v>0</v>
      </c>
      <c r="DE145" s="127">
        <v>0</v>
      </c>
      <c r="DF145" s="127">
        <v>0</v>
      </c>
      <c r="DG145" s="127">
        <v>0</v>
      </c>
      <c r="DH145" s="127">
        <v>0</v>
      </c>
      <c r="DI145" s="127">
        <v>0</v>
      </c>
      <c r="DJ145" s="127">
        <v>0</v>
      </c>
      <c r="DK145" s="127">
        <v>0</v>
      </c>
      <c r="DL145" s="127">
        <v>0</v>
      </c>
      <c r="DM145" s="304">
        <f>INDEX(Input!$1:$1048576,DM$93,$C145*2+6)</f>
        <v>20731.578947368424</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1.2269037607944767E-2</v>
      </c>
      <c r="DZ145" s="7">
        <v>0</v>
      </c>
      <c r="EA145" s="7">
        <v>0.19189072150847825</v>
      </c>
      <c r="EB145" s="7">
        <v>0</v>
      </c>
      <c r="EC145" s="7">
        <v>0</v>
      </c>
      <c r="ED145" s="7">
        <v>0</v>
      </c>
      <c r="EE145" s="7">
        <v>0</v>
      </c>
      <c r="EF145" s="7">
        <v>0</v>
      </c>
      <c r="EG145" s="7">
        <v>0</v>
      </c>
      <c r="EH145" s="7">
        <v>1.0499127675873868E-2</v>
      </c>
      <c r="EI145" s="7">
        <v>1.8884716664387995E-2</v>
      </c>
      <c r="EJ145" s="7">
        <v>0.14852093692952112</v>
      </c>
      <c r="EK145" s="7">
        <v>0.79923611614015921</v>
      </c>
      <c r="EL145" s="7">
        <v>2.2859102590057599E-2</v>
      </c>
      <c r="EM145" s="7">
        <v>2.2939958189200423E-2</v>
      </c>
      <c r="EN145" s="7">
        <v>5.8591856591889806E-2</v>
      </c>
      <c r="EO145" s="7">
        <v>0.54078899147893777</v>
      </c>
      <c r="EP145" s="7">
        <v>0.31356065923790416</v>
      </c>
      <c r="EQ145" s="7">
        <v>5.060794463776927E-2</v>
      </c>
      <c r="ER145" s="7">
        <v>3.6450548053498989E-2</v>
      </c>
      <c r="ES145" s="7">
        <v>0.77290028269437649</v>
      </c>
      <c r="ET145" s="7">
        <v>0.79584024088357697</v>
      </c>
      <c r="EU145" s="6">
        <v>1600</v>
      </c>
      <c r="EV145" s="6">
        <v>0</v>
      </c>
      <c r="EW145" s="6">
        <v>1600</v>
      </c>
      <c r="EX145" s="6">
        <v>0</v>
      </c>
      <c r="EY145" s="6">
        <v>3325.2996804024192</v>
      </c>
      <c r="EZ145" s="6">
        <v>5182.9999999999991</v>
      </c>
      <c r="FA145" s="6">
        <v>0</v>
      </c>
      <c r="FB145" s="6">
        <v>0</v>
      </c>
      <c r="FC145" s="6">
        <v>0</v>
      </c>
      <c r="FD145" s="6">
        <v>0</v>
      </c>
      <c r="FE145" s="6">
        <v>0</v>
      </c>
      <c r="FF145" s="6">
        <v>0</v>
      </c>
      <c r="FG145" s="6">
        <v>0</v>
      </c>
      <c r="FH145" s="6">
        <v>1152.1208270377822</v>
      </c>
      <c r="FI145" s="6">
        <v>1531.4299904380612</v>
      </c>
      <c r="FJ145" s="6">
        <v>2070.7205842538215</v>
      </c>
      <c r="FK145" s="6">
        <v>2635.3956133202914</v>
      </c>
      <c r="FL145" s="6">
        <v>893.91433563489363</v>
      </c>
      <c r="FM145" s="6">
        <v>2475.2996804024192</v>
      </c>
      <c r="FN145" s="6">
        <v>0</v>
      </c>
      <c r="FO145" s="6">
        <v>0</v>
      </c>
      <c r="FP145" s="6">
        <v>0</v>
      </c>
      <c r="FQ145" s="6">
        <v>0</v>
      </c>
      <c r="FR145" s="6">
        <v>0</v>
      </c>
      <c r="FS145" s="6">
        <v>0</v>
      </c>
      <c r="FT145" s="7">
        <v>0.20415975911642301</v>
      </c>
      <c r="FU145" s="7">
        <v>2.2939958189200423E-2</v>
      </c>
      <c r="FV145" s="7">
        <v>0.77290028269437649</v>
      </c>
      <c r="FW145" s="6">
        <v>1600.0000000000002</v>
      </c>
      <c r="FX145" s="6">
        <v>3325.2996804024192</v>
      </c>
      <c r="FY145" s="6">
        <v>5182.9999999999991</v>
      </c>
      <c r="FZ145" s="6">
        <v>3077.4375890575293</v>
      </c>
      <c r="GA145" s="6">
        <v>4408.8800154262226</v>
      </c>
      <c r="GB145" s="6">
        <v>15286.119984573777</v>
      </c>
      <c r="GC145" s="7">
        <v>7.0901643973087014E-2</v>
      </c>
      <c r="GD145" s="7">
        <v>8.4675632119848618E-2</v>
      </c>
      <c r="GE145" s="7"/>
      <c r="GF145" s="7"/>
      <c r="GG145" s="7">
        <v>0.19426895308647513</v>
      </c>
      <c r="GH145" s="42">
        <v>2.8736706561719738</v>
      </c>
      <c r="GI145" s="6">
        <v>11262.483770505023</v>
      </c>
      <c r="GJ145" s="14">
        <v>0.5107463060103955</v>
      </c>
      <c r="GK145" s="14">
        <v>0.5082951978616097</v>
      </c>
      <c r="GL145" s="14">
        <v>0.48925369398960428</v>
      </c>
      <c r="GM145" s="14">
        <v>0.4917048021383903</v>
      </c>
      <c r="GO145" s="5">
        <v>338.16872463277008</v>
      </c>
      <c r="GP145" s="5">
        <v>307.64377699166363</v>
      </c>
      <c r="GQ145" s="5">
        <v>527.27910984145694</v>
      </c>
      <c r="GR145" s="5">
        <v>404.20319246551543</v>
      </c>
      <c r="GS145" s="5">
        <v>334.50205195691484</v>
      </c>
      <c r="GT145" s="5">
        <v>289.18266033348181</v>
      </c>
      <c r="GU145" s="5">
        <v>254.29573314828914</v>
      </c>
      <c r="GV145" s="39" t="s">
        <v>392</v>
      </c>
      <c r="GW145" s="5">
        <v>468.76388888888891</v>
      </c>
      <c r="GX145" s="5">
        <v>351.57291666666669</v>
      </c>
      <c r="GY145" s="5">
        <v>281.25833333333333</v>
      </c>
      <c r="GZ145" s="5">
        <v>234.38194444444446</v>
      </c>
      <c r="HA145" s="5">
        <v>229.8919505212948</v>
      </c>
      <c r="HB145" s="39">
        <v>245.91535667605936</v>
      </c>
      <c r="HC145" s="5">
        <v>56.359375000000007</v>
      </c>
      <c r="HD145" s="5">
        <v>81.555464181286524</v>
      </c>
      <c r="HE145" s="5">
        <v>93.770930330634272</v>
      </c>
      <c r="HF145" s="5">
        <v>97.846299342105254</v>
      </c>
      <c r="HG145" s="5">
        <v>108.23410087719299</v>
      </c>
      <c r="HH145" s="39">
        <v>85.706364768795623</v>
      </c>
      <c r="HI145" s="16"/>
      <c r="HJ145" s="19" t="str">
        <f t="shared" ref="HJ145" si="368">HJ144</f>
        <v>On</v>
      </c>
      <c r="HK145" s="1" t="str">
        <f t="shared" si="108"/>
        <v>On</v>
      </c>
      <c r="HL145" s="16"/>
      <c r="HM145" s="639">
        <f t="shared" si="261"/>
        <v>1.7699001661282989E-2</v>
      </c>
      <c r="HN145" s="639">
        <f t="shared" si="262"/>
        <v>1.0509929974846072E-3</v>
      </c>
      <c r="HO145" s="639">
        <f t="shared" si="263"/>
        <v>5.7398960259851091E-2</v>
      </c>
      <c r="HP145" s="644">
        <f>(FT145*$GD145-HM145)/$JF145*INDEX(Input!$1:$1048576,$JG$93,$C145*2+6)</f>
        <v>-5.2868593533751227</v>
      </c>
      <c r="HQ145" s="644">
        <f>(FU145*$GD145-HN145)/$JF145*INDEX(Input!$1:$1048576,$JG$93,$C145*2+6)</f>
        <v>11.449274513810979</v>
      </c>
      <c r="HR145" s="644">
        <f>(FV145*$GD145-HO145)/$JF145*INDEX(Input!$1:$1048576,$JG$93,$C145*2+6)</f>
        <v>103.34782449702168</v>
      </c>
      <c r="HS145" s="644">
        <f t="shared" si="264"/>
        <v>-0.38056918616801094</v>
      </c>
      <c r="HT145" s="644">
        <f t="shared" si="265"/>
        <v>27.859337889101013</v>
      </c>
      <c r="HU145" s="644">
        <f t="shared" si="266"/>
        <v>34.453377542422011</v>
      </c>
      <c r="HV145" s="648">
        <f t="shared" si="267"/>
        <v>0</v>
      </c>
      <c r="HW145" s="648">
        <f t="shared" si="268"/>
        <v>0</v>
      </c>
      <c r="HX145" s="648">
        <f t="shared" si="269"/>
        <v>0</v>
      </c>
      <c r="HY145" s="644">
        <f>INDEX(Input!$1:$1048576,HY$93,$C145*2+6)*INDEX(Input!$1:$1048576,$JG$93,$C145*2+6)</f>
        <v>154.99999999999997</v>
      </c>
      <c r="HZ145" s="644">
        <f>INDEX(Input!$1:$1048576,HZ$93,$C145*2+6)*INDEX(Input!$1:$1048576,$JG$93,$C145*2+6)</f>
        <v>140</v>
      </c>
      <c r="IA145" s="644">
        <f>INDEX(Input!$1:$1048576,IA$93,$C145*2+6)*INDEX(Input!$1:$1048576,$JG$93,$C145*2+6)</f>
        <v>683</v>
      </c>
      <c r="IB145" s="644">
        <f t="shared" si="249"/>
        <v>149.33257146045685</v>
      </c>
      <c r="IC145" s="644">
        <f t="shared" si="172"/>
        <v>179.30861240291199</v>
      </c>
      <c r="ID145" s="644">
        <f>IF(AND(INDEX(Input!$1:$1048576,IA$93,$C145*2+7)="TOS",Y145&lt;=INDEX(Y:Y,MATCH(C145*1000+2,A:A))),0,1)*MAX(IA145+HR145+HU145+HX145,0%)</f>
        <v>820.80120203944364</v>
      </c>
      <c r="IE145" s="128">
        <f t="shared" si="270"/>
        <v>0.12991740455365738</v>
      </c>
      <c r="IF145" s="128">
        <f t="shared" si="174"/>
        <v>0.15599617223274456</v>
      </c>
      <c r="IG145" s="128">
        <f t="shared" si="175"/>
        <v>0.71408642321359805</v>
      </c>
      <c r="IH145" s="21"/>
      <c r="II145" s="19">
        <f t="shared" si="271"/>
        <v>1200</v>
      </c>
      <c r="IJ145" s="19">
        <f t="shared" si="272"/>
        <v>2231.5502763133163</v>
      </c>
      <c r="IK145" s="19">
        <f t="shared" si="273"/>
        <v>4498</v>
      </c>
      <c r="IL145" s="19">
        <f t="shared" si="176"/>
        <v>400.00000000000023</v>
      </c>
      <c r="IM145" s="19">
        <f t="shared" si="177"/>
        <v>1093.7494040891029</v>
      </c>
      <c r="IN145" s="19">
        <f t="shared" si="178"/>
        <v>684.99999999999909</v>
      </c>
      <c r="IO145" s="39">
        <f t="shared" si="274"/>
        <v>0</v>
      </c>
      <c r="IP145" s="39">
        <f t="shared" si="275"/>
        <v>0</v>
      </c>
      <c r="IQ145" s="39">
        <f t="shared" si="276"/>
        <v>0</v>
      </c>
      <c r="IR145" s="39">
        <v>0</v>
      </c>
      <c r="IS145" s="39">
        <v>0</v>
      </c>
      <c r="IT145" s="39">
        <v>0</v>
      </c>
      <c r="IU145" s="39">
        <v>0</v>
      </c>
      <c r="IV145" s="39">
        <v>0</v>
      </c>
      <c r="IW145" s="39">
        <v>0</v>
      </c>
      <c r="IX145" s="39">
        <f>INDEX(Input!$1:$1048576,IX$93,$C145*2+6)+INDEX(Input!$1:$1048576,IX$94,$C145*2+6)</f>
        <v>1600</v>
      </c>
      <c r="IY145" s="39">
        <f>INDEX(Input!$1:$1048576,IY$93,$C145*2+6)+INDEX(Input!$1:$1048576,IY$94,$C145*2+6)</f>
        <v>2503.5492916397525</v>
      </c>
      <c r="IZ145" s="39">
        <f>INDEX(Input!$1:$1048576,IZ$93,$C145*2+6)+INDEX(Input!$1:$1048576,IZ$94,$C145*2+6)</f>
        <v>6273.7109265464023</v>
      </c>
      <c r="JA145" s="19">
        <f t="shared" si="179"/>
        <v>2000.0000000000002</v>
      </c>
      <c r="JB145" s="19">
        <f t="shared" si="180"/>
        <v>3597.2986957288554</v>
      </c>
      <c r="JC145" s="19">
        <f t="shared" si="181"/>
        <v>6958.7109265464014</v>
      </c>
      <c r="JD145" s="19">
        <f t="shared" si="182"/>
        <v>5790.1206317337637</v>
      </c>
      <c r="JE145" s="21"/>
      <c r="JF145" s="1">
        <f t="shared" si="277"/>
        <v>7.6148954918618686E-2</v>
      </c>
      <c r="JG145" s="15">
        <f>INDEX(Input!$1:$1048576,JG$93,$C145*2+6)/(1+VLOOKUP(C145*1000+INDEX(Input!$1:$1048576,JG$93+1,$C145*2+6),$A:$KK,$JK$92,FALSE))</f>
        <v>978</v>
      </c>
      <c r="JH145" s="1">
        <f t="shared" si="251"/>
        <v>0.11197366018144941</v>
      </c>
      <c r="JI145" s="1">
        <f t="shared" si="252"/>
        <v>6.3325302909360962E-2</v>
      </c>
      <c r="JJ145" s="1">
        <f t="shared" si="253"/>
        <v>0</v>
      </c>
      <c r="JK145" s="1">
        <f t="shared" si="254"/>
        <v>0.17529896309081039</v>
      </c>
      <c r="JL145" s="15">
        <f t="shared" si="184"/>
        <v>171.44238590281256</v>
      </c>
      <c r="JM145" s="15">
        <f t="shared" si="185"/>
        <v>1149.4423859028125</v>
      </c>
      <c r="JN145" s="21"/>
      <c r="JO145" s="19">
        <f>INDEX(Input!$1:$1048576,JO$93,$C145*2+6)</f>
        <v>5908.5</v>
      </c>
      <c r="JP145" s="19">
        <f>INDEX(Input!$1:$1048576,JP$93,$C145*2+6)</f>
        <v>4993.2939301234746</v>
      </c>
      <c r="JQ145" s="39">
        <f t="shared" si="186"/>
        <v>118.37936826623627</v>
      </c>
      <c r="JR145" s="39">
        <f t="shared" si="187"/>
        <v>796.82670161028909</v>
      </c>
      <c r="JS145" s="39">
        <f t="shared" si="188"/>
        <v>6.6554100736051574</v>
      </c>
      <c r="JT145" s="39">
        <f t="shared" si="189"/>
        <v>1.7719686099443994</v>
      </c>
      <c r="JU145" s="385">
        <f>(JQ145*JM145-INDEX(Input!$1:$1048576,Input!A$18,$C145*2+6)*JL145*INDEX(Input!$1:$1048576,Input!A$19,$C145*2+6))/1000000</f>
        <v>0.13607026350161031</v>
      </c>
      <c r="JV145" s="39">
        <f t="shared" si="192"/>
        <v>-0.75900127283763141</v>
      </c>
      <c r="JW145" s="1">
        <f t="shared" si="190"/>
        <v>-0.84797833695156377</v>
      </c>
      <c r="JX145" s="19">
        <f t="shared" si="191"/>
        <v>10335.650665459678</v>
      </c>
      <c r="JZ145" s="341"/>
      <c r="KA145" s="342"/>
      <c r="KB145" s="469">
        <f t="shared" si="110"/>
        <v>3.2656316020464753</v>
      </c>
      <c r="KI145" s="473">
        <f t="shared" si="278"/>
        <v>-5.6674285395431241</v>
      </c>
      <c r="KJ145" s="473">
        <f t="shared" si="279"/>
        <v>39.308612402911962</v>
      </c>
      <c r="KK145" s="473">
        <f t="shared" si="257"/>
        <v>137.80120203944364</v>
      </c>
      <c r="KN145" s="544">
        <f t="shared" si="258"/>
        <v>1002</v>
      </c>
      <c r="KO145" s="541">
        <f t="shared" si="280"/>
        <v>8.631707104623576E-2</v>
      </c>
      <c r="KP145" s="546">
        <f t="shared" si="281"/>
        <v>365.29336388354301</v>
      </c>
      <c r="KQ145" s="546">
        <f t="shared" si="282"/>
        <v>435.66673175832329</v>
      </c>
      <c r="KR145" s="548">
        <f t="shared" si="283"/>
        <v>3.3886023096556044</v>
      </c>
      <c r="KS145" s="548">
        <f t="shared" si="284"/>
        <v>2.8412404398238529</v>
      </c>
      <c r="KT145" s="473">
        <f t="shared" si="112"/>
        <v>-82.310573396665475</v>
      </c>
      <c r="KU145" s="663">
        <f t="shared" si="285"/>
        <v>-50.902132430137435</v>
      </c>
      <c r="KV145" s="117"/>
    </row>
    <row r="146" spans="1:308" s="26" customFormat="1" ht="15">
      <c r="A146" s="561">
        <f t="shared" si="168"/>
        <v>1046</v>
      </c>
      <c r="B146" s="561">
        <f t="shared" si="104"/>
        <v>46</v>
      </c>
      <c r="C146" s="561">
        <f t="shared" si="105"/>
        <v>1</v>
      </c>
      <c r="D146" s="561" t="str">
        <f t="shared" si="287"/>
        <v xml:space="preserve">0/0/0/3.9, 360 Lease, </v>
      </c>
      <c r="E146" s="475">
        <f>INDEX(Input!$1:$1048576,E$93,$C146*2+MIN($B146,2)+5)
+INDEX(Scenarios!E$121:E$200,MATCH($B146,Scenarios!$B$121:$B$200,0))</f>
        <v>1250</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63">
        <f>IFERROR(MAX(0,INDEX(Input!$1:$1048576,W$93,$C146*2+MIN($B146,2)+5)-0%,),"Market")</f>
        <v>3.9E-2</v>
      </c>
      <c r="X146" s="476" t="str">
        <f>INDEX(Input!$1:$1048576,X$93,$C146*2+MIN($B146,2)+5)</f>
        <v>Y</v>
      </c>
      <c r="Y146" s="475">
        <f>INDEX(Input!$1:$1048576,Y$93,$C146*2+MIN($B146,2)+5)
++INDEX(Scenarios!Y$121:Y$200,MATCH($B146,Scenarios!$B$121:$B$200,0))</f>
        <v>3186</v>
      </c>
      <c r="Z146" s="477">
        <f>INDEX(Input!$1:$1048576,Z$93,$C146*2+MIN($B146,2)+5)
+INDEX(Scenarios!Z$121:Z$200,MATCH($B146,Scenarios!$B$121:$B$200,0))</f>
        <v>0</v>
      </c>
      <c r="AA146" s="475">
        <f>INDEX(Input!$1:$1048576,AA$93,$C146*2+MIN($B146,2)+5)</f>
        <v>0</v>
      </c>
      <c r="AB146" s="476">
        <f>INDEX(Input!$1:$1048576,AB$93,$C146*2+MIN($B146,2)+5)</f>
        <v>1</v>
      </c>
      <c r="AC146" s="475">
        <f>INDEX(Input!$1:$1048576,AC$93,$C146*2+MIN($B146,2)+5)
+INDEX(Scenarios!AC$121:AC$200,MATCH($B146,Scenarios!$B$121:$B$200,0))</f>
        <v>0</v>
      </c>
      <c r="AD146" s="476">
        <f>INDEX(Input!$1:$1048576,AD$93,$C146*2+MIN($B146,2)+5)</f>
        <v>0.35</v>
      </c>
      <c r="AE146" s="475">
        <f>INDEX(Input!$1:$1048576,AE$93,$C146*2+MIN($B146,2)+5)
+INDEX(Scenarios!AE$121:AE$200,MATCH($B146,Scenarios!$B$121:$B$200,0))</f>
        <v>0</v>
      </c>
      <c r="AF146" s="476">
        <f>INDEX(Input!$1:$1048576,AF$93,$C146*2+MIN($B146,2)+5)</f>
        <v>1</v>
      </c>
      <c r="AG146" s="475">
        <f>INDEX(Input!$1:$1048576,AG$93,$C146*2+MIN($B146,2)+5)
+INDEX(Scenarios!AG$121:AG$200,MATCH($B146,Scenarios!$B$121:$B$200,0))</f>
        <v>0</v>
      </c>
      <c r="AH146" s="476">
        <f>INDEX(Input!$1:$1048576,AH$93,$C146*2+MIN($B146,2)+5)</f>
        <v>1</v>
      </c>
      <c r="AI146" s="475">
        <f>INDEX(Input!$1:$1048576,AI$93,$C146*2+MIN($B146,2)+5)
+INDEX(Scenarios!AI$121:AI$200,MATCH($B146,Scenarios!$B$121:$B$200,0))</f>
        <v>0</v>
      </c>
      <c r="AJ146" s="476">
        <f>INDEX(Input!$1:$1048576,AJ$93,$C146*2+MIN($B146,2)+5)</f>
        <v>0.35</v>
      </c>
      <c r="AK146" s="150">
        <f>ROUND(INDEX(Input!$1:$1048576,AK$93,$C145*2+MIN($B146,1)+5)+(Y146-VLOOKUP($C146*1000+1,$A:$HH,Y$92,FALSE)),0)</f>
        <v>5842</v>
      </c>
      <c r="AL146" s="150">
        <f>ROUND(INDEX(Input!$1:$1048576,AL$93,$C145*2+MIN($B146,1)+5)-(Y146-VLOOKUP($C146*1000+1,$A:$HH,Y$92,FALSE))/36,0)</f>
        <v>5592</v>
      </c>
      <c r="AM146" s="32" t="str">
        <f t="shared" si="169"/>
        <v>std/std/std/std</v>
      </c>
      <c r="AN146" s="32" t="str">
        <f t="shared" si="170"/>
        <v>$0 + 0/0/0/0/3.9</v>
      </c>
      <c r="AO146" s="32" t="str">
        <f t="shared" si="171"/>
        <v>0/0/0/0/3.9</v>
      </c>
      <c r="AP146" s="32" t="str">
        <f t="shared" si="73"/>
        <v>0/0/0/3.9</v>
      </c>
      <c r="AQ146" s="536">
        <f t="shared" si="39"/>
        <v>0.12991740455365738</v>
      </c>
      <c r="AR146" s="32"/>
      <c r="AS146" s="302"/>
      <c r="AT146" s="3">
        <f t="shared" si="106"/>
        <v>46</v>
      </c>
      <c r="AU146" s="41" t="s">
        <v>121</v>
      </c>
      <c r="AV146" s="41" t="s">
        <v>116</v>
      </c>
      <c r="AW146" s="41" t="str">
        <f>INDEX(Input!$1:$1048576,AW$93,$C146*2+6)</f>
        <v>Kia</v>
      </c>
      <c r="AX146" s="41" t="str">
        <f>INDEX(Input!$1:$1048576,AX$93,$C146*2+6)</f>
        <v>Kia-LR - L1</v>
      </c>
      <c r="AY146" s="41" t="str">
        <f>IF(LEN(D146)=0,"",INDEX(Input!$1:$1048576,AY$93,$C146*2+6))</f>
        <v>Compact Conventional/Sporty Car (43)</v>
      </c>
      <c r="AZ146" s="41" t="str">
        <f>INDEX(Input!$1:$1048576,AZ$93,$C146*2+6)</f>
        <v>Kia Forte</v>
      </c>
      <c r="BA146" s="3">
        <f>INDEX(Input!$1:$1048576,BA$93,$C146*2+6)</f>
        <v>2020</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19695</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4"/>
        <v>1250</v>
      </c>
      <c r="CJ146" s="16" t="str">
        <f>INDEX(Input!$1:$1048576,CJ$93,$C146*2+6)</f>
        <v>N</v>
      </c>
      <c r="CK146" s="1" t="str">
        <f t="shared" si="75"/>
        <v>Market</v>
      </c>
      <c r="CL146" s="1" t="str">
        <f t="shared" si="76"/>
        <v>Market</v>
      </c>
      <c r="CM146" s="1" t="str">
        <f t="shared" si="77"/>
        <v>Market</v>
      </c>
      <c r="CN146" s="1" t="str">
        <f t="shared" si="78"/>
        <v>Market</v>
      </c>
      <c r="CO146" s="1" t="str">
        <f t="shared" si="79"/>
        <v>Market</v>
      </c>
      <c r="CP146" s="304">
        <f t="shared" si="80"/>
        <v>0</v>
      </c>
      <c r="CQ146" s="1">
        <f t="shared" si="81"/>
        <v>0</v>
      </c>
      <c r="CR146" s="1">
        <f t="shared" si="82"/>
        <v>0</v>
      </c>
      <c r="CS146" s="1">
        <f t="shared" si="83"/>
        <v>0</v>
      </c>
      <c r="CT146" s="1">
        <f t="shared" si="84"/>
        <v>0</v>
      </c>
      <c r="CU146" s="1">
        <f t="shared" si="85"/>
        <v>3.9E-2</v>
      </c>
      <c r="CV146" s="304">
        <f t="shared" si="86"/>
        <v>3186</v>
      </c>
      <c r="CW146" s="20" t="s">
        <v>122</v>
      </c>
      <c r="CX146" s="20" t="s">
        <v>122</v>
      </c>
      <c r="CY146" s="20" t="s">
        <v>122</v>
      </c>
      <c r="CZ146" s="20" t="s">
        <v>122</v>
      </c>
      <c r="DA146" s="20" t="s">
        <v>122</v>
      </c>
      <c r="DB146" s="503">
        <f t="shared" si="87"/>
        <v>0</v>
      </c>
      <c r="DC146" s="127">
        <v>0</v>
      </c>
      <c r="DD146" s="127">
        <v>0</v>
      </c>
      <c r="DE146" s="127">
        <v>0</v>
      </c>
      <c r="DF146" s="127">
        <v>0</v>
      </c>
      <c r="DG146" s="127">
        <v>0</v>
      </c>
      <c r="DH146" s="127">
        <v>0</v>
      </c>
      <c r="DI146" s="127">
        <v>0</v>
      </c>
      <c r="DJ146" s="127">
        <v>0</v>
      </c>
      <c r="DK146" s="127">
        <v>0</v>
      </c>
      <c r="DL146" s="127">
        <v>0</v>
      </c>
      <c r="DM146" s="304">
        <f>INDEX(Input!$1:$1048576,DM$93,$C146*2+6)</f>
        <v>20731.578947368424</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1.2269037607944767E-2</v>
      </c>
      <c r="DZ146" s="7">
        <v>0</v>
      </c>
      <c r="EA146" s="7">
        <v>0.19189072150847825</v>
      </c>
      <c r="EB146" s="7">
        <v>0</v>
      </c>
      <c r="EC146" s="7">
        <v>0</v>
      </c>
      <c r="ED146" s="7">
        <v>0</v>
      </c>
      <c r="EE146" s="7">
        <v>0</v>
      </c>
      <c r="EF146" s="7">
        <v>0</v>
      </c>
      <c r="EG146" s="7">
        <v>0</v>
      </c>
      <c r="EH146" s="7">
        <v>1.0499127675873868E-2</v>
      </c>
      <c r="EI146" s="7">
        <v>1.8884716664387995E-2</v>
      </c>
      <c r="EJ146" s="7">
        <v>0.14852093692952112</v>
      </c>
      <c r="EK146" s="7">
        <v>0.79923611614015921</v>
      </c>
      <c r="EL146" s="7">
        <v>2.2859102590057599E-2</v>
      </c>
      <c r="EM146" s="7">
        <v>2.2939958189200423E-2</v>
      </c>
      <c r="EN146" s="7">
        <v>5.8591856591889806E-2</v>
      </c>
      <c r="EO146" s="7">
        <v>0.54078899147893777</v>
      </c>
      <c r="EP146" s="7">
        <v>0.31356065923790416</v>
      </c>
      <c r="EQ146" s="7">
        <v>5.060794463776927E-2</v>
      </c>
      <c r="ER146" s="7">
        <v>3.6450548053498989E-2</v>
      </c>
      <c r="ES146" s="7">
        <v>0.77290028269437649</v>
      </c>
      <c r="ET146" s="7">
        <v>0.79584024088357697</v>
      </c>
      <c r="EU146" s="6">
        <v>1600</v>
      </c>
      <c r="EV146" s="6">
        <v>0</v>
      </c>
      <c r="EW146" s="6">
        <v>1600</v>
      </c>
      <c r="EX146" s="6">
        <v>0</v>
      </c>
      <c r="EY146" s="6">
        <v>3325.2996804024192</v>
      </c>
      <c r="EZ146" s="6">
        <v>5182.9999999999991</v>
      </c>
      <c r="FA146" s="6">
        <v>0</v>
      </c>
      <c r="FB146" s="6">
        <v>0</v>
      </c>
      <c r="FC146" s="6">
        <v>0</v>
      </c>
      <c r="FD146" s="6">
        <v>0</v>
      </c>
      <c r="FE146" s="6">
        <v>0</v>
      </c>
      <c r="FF146" s="6">
        <v>0</v>
      </c>
      <c r="FG146" s="6">
        <v>0</v>
      </c>
      <c r="FH146" s="6">
        <v>1152.1208270377822</v>
      </c>
      <c r="FI146" s="6">
        <v>1531.4299904380612</v>
      </c>
      <c r="FJ146" s="6">
        <v>2070.7205842538215</v>
      </c>
      <c r="FK146" s="6">
        <v>2635.3956133202914</v>
      </c>
      <c r="FL146" s="6">
        <v>893.91433563489363</v>
      </c>
      <c r="FM146" s="6">
        <v>2475.2996804024192</v>
      </c>
      <c r="FN146" s="6">
        <v>0</v>
      </c>
      <c r="FO146" s="6">
        <v>0</v>
      </c>
      <c r="FP146" s="6">
        <v>0</v>
      </c>
      <c r="FQ146" s="6">
        <v>0</v>
      </c>
      <c r="FR146" s="6">
        <v>0</v>
      </c>
      <c r="FS146" s="6">
        <v>0</v>
      </c>
      <c r="FT146" s="7">
        <v>0.20415975911642301</v>
      </c>
      <c r="FU146" s="7">
        <v>2.2939958189200423E-2</v>
      </c>
      <c r="FV146" s="7">
        <v>0.77290028269437649</v>
      </c>
      <c r="FW146" s="6">
        <v>1600.0000000000002</v>
      </c>
      <c r="FX146" s="6">
        <v>3325.2996804024192</v>
      </c>
      <c r="FY146" s="6">
        <v>5182.9999999999991</v>
      </c>
      <c r="FZ146" s="6">
        <v>3077.4375890575293</v>
      </c>
      <c r="GA146" s="6">
        <v>4408.8800154262226</v>
      </c>
      <c r="GB146" s="6">
        <v>15286.119984573777</v>
      </c>
      <c r="GC146" s="7">
        <v>7.0901643973087014E-2</v>
      </c>
      <c r="GD146" s="7">
        <v>8.4675632119848618E-2</v>
      </c>
      <c r="GE146" s="7"/>
      <c r="GF146" s="7"/>
      <c r="GG146" s="7">
        <v>0.19426895308647513</v>
      </c>
      <c r="GH146" s="42">
        <v>2.8736706561719738</v>
      </c>
      <c r="GI146" s="6">
        <v>11262.483770505023</v>
      </c>
      <c r="GJ146" s="14">
        <v>0.5107463060103955</v>
      </c>
      <c r="GK146" s="14">
        <v>0.5082951978616097</v>
      </c>
      <c r="GL146" s="14">
        <v>0.48925369398960428</v>
      </c>
      <c r="GM146" s="14">
        <v>0.4917048021383903</v>
      </c>
      <c r="GO146" s="5">
        <v>338.16872463277008</v>
      </c>
      <c r="GP146" s="5">
        <v>307.64377699166363</v>
      </c>
      <c r="GQ146" s="5">
        <v>527.27910984145694</v>
      </c>
      <c r="GR146" s="5">
        <v>404.20319246551543</v>
      </c>
      <c r="GS146" s="5">
        <v>334.50205195691484</v>
      </c>
      <c r="GT146" s="5">
        <v>289.18266033348181</v>
      </c>
      <c r="GU146" s="5">
        <v>254.29573314828914</v>
      </c>
      <c r="GV146" s="39" t="s">
        <v>392</v>
      </c>
      <c r="GW146" s="5">
        <v>468.76388888888891</v>
      </c>
      <c r="GX146" s="5">
        <v>351.57291666666669</v>
      </c>
      <c r="GY146" s="5">
        <v>281.25833333333333</v>
      </c>
      <c r="GZ146" s="5">
        <v>234.38194444444446</v>
      </c>
      <c r="HA146" s="5">
        <v>229.8919505212948</v>
      </c>
      <c r="HB146" s="39">
        <v>245.91535667605936</v>
      </c>
      <c r="HC146" s="5">
        <v>56.359375000000007</v>
      </c>
      <c r="HD146" s="5">
        <v>81.555464181286524</v>
      </c>
      <c r="HE146" s="5">
        <v>93.770930330634272</v>
      </c>
      <c r="HF146" s="5">
        <v>97.846299342105254</v>
      </c>
      <c r="HG146" s="5">
        <v>108.23410087719299</v>
      </c>
      <c r="HH146" s="39">
        <v>85.706364768795623</v>
      </c>
      <c r="HI146" s="16"/>
      <c r="HJ146" s="19" t="str">
        <f t="shared" ref="HJ146" si="369">HJ145</f>
        <v>On</v>
      </c>
      <c r="HK146" s="1" t="str">
        <f t="shared" si="108"/>
        <v>On</v>
      </c>
      <c r="HL146" s="16"/>
      <c r="HM146" s="639">
        <f t="shared" si="261"/>
        <v>1.7699001661282989E-2</v>
      </c>
      <c r="HN146" s="639">
        <f t="shared" si="262"/>
        <v>1.0509929974846072E-3</v>
      </c>
      <c r="HO146" s="639">
        <f t="shared" si="263"/>
        <v>5.7398960259851091E-2</v>
      </c>
      <c r="HP146" s="644">
        <f>(FT146*$GD146-HM146)/$JF146*INDEX(Input!$1:$1048576,$JG$93,$C146*2+6)</f>
        <v>-5.2868593533751227</v>
      </c>
      <c r="HQ146" s="644">
        <f>(FU146*$GD146-HN146)/$JF146*INDEX(Input!$1:$1048576,$JG$93,$C146*2+6)</f>
        <v>11.449274513810979</v>
      </c>
      <c r="HR146" s="644">
        <f>(FV146*$GD146-HO146)/$JF146*INDEX(Input!$1:$1048576,$JG$93,$C146*2+6)</f>
        <v>103.34782449702168</v>
      </c>
      <c r="HS146" s="644">
        <f t="shared" si="264"/>
        <v>-0.38056918616801094</v>
      </c>
      <c r="HT146" s="644">
        <f t="shared" si="265"/>
        <v>27.859337889101013</v>
      </c>
      <c r="HU146" s="644">
        <f t="shared" si="266"/>
        <v>34.453377542422011</v>
      </c>
      <c r="HV146" s="648">
        <f t="shared" si="267"/>
        <v>0</v>
      </c>
      <c r="HW146" s="648">
        <f t="shared" si="268"/>
        <v>0</v>
      </c>
      <c r="HX146" s="648">
        <f t="shared" si="269"/>
        <v>0</v>
      </c>
      <c r="HY146" s="644">
        <f>INDEX(Input!$1:$1048576,HY$93,$C146*2+6)*INDEX(Input!$1:$1048576,$JG$93,$C146*2+6)</f>
        <v>154.99999999999997</v>
      </c>
      <c r="HZ146" s="644">
        <f>INDEX(Input!$1:$1048576,HZ$93,$C146*2+6)*INDEX(Input!$1:$1048576,$JG$93,$C146*2+6)</f>
        <v>140</v>
      </c>
      <c r="IA146" s="644">
        <f>INDEX(Input!$1:$1048576,IA$93,$C146*2+6)*INDEX(Input!$1:$1048576,$JG$93,$C146*2+6)</f>
        <v>683</v>
      </c>
      <c r="IB146" s="644">
        <f t="shared" si="249"/>
        <v>149.33257146045685</v>
      </c>
      <c r="IC146" s="644">
        <f t="shared" si="172"/>
        <v>179.30861240291199</v>
      </c>
      <c r="ID146" s="644">
        <f>IF(AND(INDEX(Input!$1:$1048576,IA$93,$C146*2+7)="TOS",Y146&lt;=INDEX(Y:Y,MATCH(C146*1000+2,A:A))),0,1)*MAX(IA146+HR146+HU146+HX146,0%)</f>
        <v>820.80120203944364</v>
      </c>
      <c r="IE146" s="128">
        <f t="shared" si="270"/>
        <v>0.12991740455365738</v>
      </c>
      <c r="IF146" s="128">
        <f t="shared" si="174"/>
        <v>0.15599617223274456</v>
      </c>
      <c r="IG146" s="128">
        <f t="shared" si="175"/>
        <v>0.71408642321359805</v>
      </c>
      <c r="IH146" s="21"/>
      <c r="II146" s="19">
        <f t="shared" si="271"/>
        <v>1200</v>
      </c>
      <c r="IJ146" s="19">
        <f t="shared" si="272"/>
        <v>2231.5502763133163</v>
      </c>
      <c r="IK146" s="19">
        <f t="shared" si="273"/>
        <v>4498</v>
      </c>
      <c r="IL146" s="19">
        <f t="shared" si="176"/>
        <v>400.00000000000023</v>
      </c>
      <c r="IM146" s="19">
        <f t="shared" si="177"/>
        <v>1093.7494040891029</v>
      </c>
      <c r="IN146" s="19">
        <f t="shared" si="178"/>
        <v>684.99999999999909</v>
      </c>
      <c r="IO146" s="39">
        <f t="shared" si="274"/>
        <v>0</v>
      </c>
      <c r="IP146" s="39">
        <f t="shared" si="275"/>
        <v>0</v>
      </c>
      <c r="IQ146" s="39">
        <f t="shared" si="276"/>
        <v>0</v>
      </c>
      <c r="IR146" s="39">
        <v>0</v>
      </c>
      <c r="IS146" s="39">
        <v>0</v>
      </c>
      <c r="IT146" s="39">
        <v>0</v>
      </c>
      <c r="IU146" s="39">
        <v>0</v>
      </c>
      <c r="IV146" s="39">
        <v>0</v>
      </c>
      <c r="IW146" s="39">
        <v>0</v>
      </c>
      <c r="IX146" s="39">
        <f>INDEX(Input!$1:$1048576,IX$93,$C146*2+6)+INDEX(Input!$1:$1048576,IX$94,$C146*2+6)</f>
        <v>1600</v>
      </c>
      <c r="IY146" s="39">
        <f>INDEX(Input!$1:$1048576,IY$93,$C146*2+6)+INDEX(Input!$1:$1048576,IY$94,$C146*2+6)</f>
        <v>2503.5492916397525</v>
      </c>
      <c r="IZ146" s="39">
        <f>INDEX(Input!$1:$1048576,IZ$93,$C146*2+6)+INDEX(Input!$1:$1048576,IZ$94,$C146*2+6)</f>
        <v>6273.7109265464023</v>
      </c>
      <c r="JA146" s="19">
        <f t="shared" si="179"/>
        <v>2000.0000000000002</v>
      </c>
      <c r="JB146" s="19">
        <f t="shared" si="180"/>
        <v>3597.2986957288554</v>
      </c>
      <c r="JC146" s="19">
        <f t="shared" si="181"/>
        <v>6958.7109265464014</v>
      </c>
      <c r="JD146" s="19">
        <f t="shared" si="182"/>
        <v>5790.1206317337637</v>
      </c>
      <c r="JE146" s="21"/>
      <c r="JF146" s="1">
        <f t="shared" si="277"/>
        <v>7.6148954918618686E-2</v>
      </c>
      <c r="JG146" s="15">
        <f>INDEX(Input!$1:$1048576,JG$93,$C146*2+6)/(1+VLOOKUP(C146*1000+INDEX(Input!$1:$1048576,JG$93+1,$C146*2+6),$A:$KK,$JK$92,FALSE))</f>
        <v>978</v>
      </c>
      <c r="JH146" s="1">
        <f t="shared" si="251"/>
        <v>0.11197366018144941</v>
      </c>
      <c r="JI146" s="1">
        <f t="shared" si="252"/>
        <v>6.3325302909360962E-2</v>
      </c>
      <c r="JJ146" s="1">
        <f t="shared" si="253"/>
        <v>0</v>
      </c>
      <c r="JK146" s="1">
        <f t="shared" si="254"/>
        <v>0.17529896309081039</v>
      </c>
      <c r="JL146" s="15">
        <f t="shared" si="184"/>
        <v>171.44238590281256</v>
      </c>
      <c r="JM146" s="15">
        <f t="shared" si="185"/>
        <v>1149.4423859028125</v>
      </c>
      <c r="JN146" s="21"/>
      <c r="JO146" s="19">
        <f>INDEX(Input!$1:$1048576,JO$93,$C146*2+6)</f>
        <v>5908.5</v>
      </c>
      <c r="JP146" s="19">
        <f>INDEX(Input!$1:$1048576,JP$93,$C146*2+6)</f>
        <v>4993.2939301234746</v>
      </c>
      <c r="JQ146" s="39">
        <f t="shared" si="186"/>
        <v>118.37936826623627</v>
      </c>
      <c r="JR146" s="39">
        <f t="shared" si="187"/>
        <v>796.82670161028909</v>
      </c>
      <c r="JS146" s="39">
        <f t="shared" si="188"/>
        <v>6.6554100736051574</v>
      </c>
      <c r="JT146" s="39">
        <f t="shared" si="189"/>
        <v>1.7719686099443994</v>
      </c>
      <c r="JU146" s="385">
        <f>(JQ146*JM146-INDEX(Input!$1:$1048576,Input!A$18,$C146*2+6)*JL146*INDEX(Input!$1:$1048576,Input!A$19,$C146*2+6))/1000000</f>
        <v>0.13607026350161031</v>
      </c>
      <c r="JV146" s="39">
        <f t="shared" si="192"/>
        <v>-0.75900127283763141</v>
      </c>
      <c r="JW146" s="1">
        <f t="shared" si="190"/>
        <v>-0.84797833695156377</v>
      </c>
      <c r="JX146" s="19">
        <f t="shared" si="191"/>
        <v>10335.650665459678</v>
      </c>
      <c r="JZ146" s="341"/>
      <c r="KA146" s="342"/>
      <c r="KB146" s="469">
        <f t="shared" si="110"/>
        <v>3.2656316020464753</v>
      </c>
      <c r="KI146" s="473">
        <f t="shared" si="278"/>
        <v>-5.6674285395431241</v>
      </c>
      <c r="KJ146" s="473">
        <f t="shared" si="279"/>
        <v>39.308612402911962</v>
      </c>
      <c r="KK146" s="473">
        <f t="shared" si="257"/>
        <v>137.80120203944364</v>
      </c>
      <c r="KN146" s="544">
        <f t="shared" si="258"/>
        <v>1002</v>
      </c>
      <c r="KO146" s="541">
        <f t="shared" si="280"/>
        <v>8.631707104623576E-2</v>
      </c>
      <c r="KP146" s="546">
        <f t="shared" si="281"/>
        <v>365.29336388354301</v>
      </c>
      <c r="KQ146" s="546">
        <f t="shared" si="282"/>
        <v>435.66673175832329</v>
      </c>
      <c r="KR146" s="548">
        <f t="shared" si="283"/>
        <v>3.3886023096556044</v>
      </c>
      <c r="KS146" s="548">
        <f t="shared" si="284"/>
        <v>2.8412404398238529</v>
      </c>
      <c r="KT146" s="473">
        <f t="shared" si="112"/>
        <v>-82.310573396665475</v>
      </c>
      <c r="KU146" s="663">
        <f t="shared" si="285"/>
        <v>-50.902131430137437</v>
      </c>
      <c r="KV146" s="117"/>
    </row>
    <row r="147" spans="1:308" s="26" customFormat="1" ht="15">
      <c r="A147" s="561">
        <f t="shared" si="168"/>
        <v>1047</v>
      </c>
      <c r="B147" s="561">
        <f t="shared" si="104"/>
        <v>47</v>
      </c>
      <c r="C147" s="561">
        <f t="shared" si="105"/>
        <v>1</v>
      </c>
      <c r="D147" s="561" t="str">
        <f t="shared" si="287"/>
        <v xml:space="preserve">250 CC, -360 Lease, </v>
      </c>
      <c r="E147" s="475">
        <f>INDEX(Input!$1:$1048576,E$93,$C147*2+MIN($B147,2)+5)
+INDEX(Scenarios!E$121:E$200,MATCH($B147,Scenarios!$B$121:$B$200,0))</f>
        <v>1500</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1.9E-2</v>
      </c>
      <c r="W147" s="863">
        <f>IFERROR(MAX(0,INDEX(Input!$1:$1048576,W$93,$C147*2+MIN($B147,2)+5)-0%,),"Market")</f>
        <v>3.9E-2</v>
      </c>
      <c r="X147" s="476" t="str">
        <f>INDEX(Input!$1:$1048576,X$93,$C147*2+MIN($B147,2)+5)</f>
        <v>Y</v>
      </c>
      <c r="Y147" s="475">
        <f>INDEX(Input!$1:$1048576,Y$93,$C147*2+MIN($B147,2)+5)
++INDEX(Scenarios!Y$121:Y$200,MATCH($B147,Scenarios!$B$121:$B$200,0))</f>
        <v>2466</v>
      </c>
      <c r="Z147" s="477">
        <f>INDEX(Input!$1:$1048576,Z$93,$C147*2+MIN($B147,2)+5)
+INDEX(Scenarios!Z$121:Z$200,MATCH($B147,Scenarios!$B$121:$B$200,0))</f>
        <v>0</v>
      </c>
      <c r="AA147" s="475">
        <f>INDEX(Input!$1:$1048576,AA$93,$C147*2+MIN($B147,2)+5)</f>
        <v>0</v>
      </c>
      <c r="AB147" s="476">
        <f>INDEX(Input!$1:$1048576,AB$93,$C147*2+MIN($B147,2)+5)</f>
        <v>1</v>
      </c>
      <c r="AC147" s="475">
        <f>INDEX(Input!$1:$1048576,AC$93,$C147*2+MIN($B147,2)+5)
+INDEX(Scenarios!AC$121:AC$200,MATCH($B147,Scenarios!$B$121:$B$200,0))</f>
        <v>0</v>
      </c>
      <c r="AD147" s="476">
        <f>INDEX(Input!$1:$1048576,AD$93,$C147*2+MIN($B147,2)+5)</f>
        <v>0.35</v>
      </c>
      <c r="AE147" s="475">
        <f>INDEX(Input!$1:$1048576,AE$93,$C147*2+MIN($B147,2)+5)
+INDEX(Scenarios!AE$121:AE$200,MATCH($B147,Scenarios!$B$121:$B$200,0))</f>
        <v>0</v>
      </c>
      <c r="AF147" s="476">
        <f>INDEX(Input!$1:$1048576,AF$93,$C147*2+MIN($B147,2)+5)</f>
        <v>1</v>
      </c>
      <c r="AG147" s="475">
        <f>INDEX(Input!$1:$1048576,AG$93,$C147*2+MIN($B147,2)+5)
+INDEX(Scenarios!AG$121:AG$200,MATCH($B147,Scenarios!$B$121:$B$200,0))</f>
        <v>0</v>
      </c>
      <c r="AH147" s="476">
        <f>INDEX(Input!$1:$1048576,AH$93,$C147*2+MIN($B147,2)+5)</f>
        <v>1</v>
      </c>
      <c r="AI147" s="475">
        <f>INDEX(Input!$1:$1048576,AI$93,$C147*2+MIN($B147,2)+5)
+INDEX(Scenarios!AI$121:AI$200,MATCH($B147,Scenarios!$B$121:$B$200,0))</f>
        <v>0</v>
      </c>
      <c r="AJ147" s="476">
        <f>INDEX(Input!$1:$1048576,AJ$93,$C147*2+MIN($B147,2)+5)</f>
        <v>0.35</v>
      </c>
      <c r="AK147" s="150">
        <f>ROUND(INDEX(Input!$1:$1048576,AK$93,$C146*2+MIN($B147,1)+5)+(Y147-VLOOKUP($C147*1000+1,$A:$HH,Y$92,FALSE)),0)</f>
        <v>5122</v>
      </c>
      <c r="AL147" s="150">
        <f>ROUND(INDEX(Input!$1:$1048576,AL$93,$C146*2+MIN($B147,1)+5)-(Y147-VLOOKUP($C147*1000+1,$A:$HH,Y$92,FALSE))/36,0)</f>
        <v>5612</v>
      </c>
      <c r="AM147" s="32" t="str">
        <f t="shared" si="169"/>
        <v>std/std/std/std</v>
      </c>
      <c r="AN147" s="32" t="str">
        <f t="shared" si="170"/>
        <v>$0 + 0/0/0/1.9/3.9</v>
      </c>
      <c r="AO147" s="32" t="str">
        <f t="shared" si="171"/>
        <v>0/0/0/1.9/3.9</v>
      </c>
      <c r="AP147" s="32" t="str">
        <f t="shared" si="73"/>
        <v>0/0.9/1.9/3.9</v>
      </c>
      <c r="AQ147" s="536">
        <f t="shared" si="39"/>
        <v>0.19762838571616348</v>
      </c>
      <c r="AR147" s="32"/>
      <c r="AS147" s="302"/>
      <c r="AT147" s="3">
        <f t="shared" si="106"/>
        <v>47</v>
      </c>
      <c r="AU147" s="41" t="s">
        <v>121</v>
      </c>
      <c r="AV147" s="41" t="s">
        <v>116</v>
      </c>
      <c r="AW147" s="41" t="str">
        <f>INDEX(Input!$1:$1048576,AW$93,$C147*2+6)</f>
        <v>Kia</v>
      </c>
      <c r="AX147" s="41" t="str">
        <f>INDEX(Input!$1:$1048576,AX$93,$C147*2+6)</f>
        <v>Kia-LR - L1</v>
      </c>
      <c r="AY147" s="41" t="str">
        <f>IF(LEN(D147)=0,"",INDEX(Input!$1:$1048576,AY$93,$C147*2+6))</f>
        <v>Compact Conventional/Sporty Car (43)</v>
      </c>
      <c r="AZ147" s="41" t="str">
        <f>INDEX(Input!$1:$1048576,AZ$93,$C147*2+6)</f>
        <v>Kia Forte</v>
      </c>
      <c r="BA147" s="3">
        <f>INDEX(Input!$1:$1048576,BA$93,$C147*2+6)</f>
        <v>2020</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19695</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4"/>
        <v>1500</v>
      </c>
      <c r="CJ147" s="16" t="str">
        <f>INDEX(Input!$1:$1048576,CJ$93,$C147*2+6)</f>
        <v>N</v>
      </c>
      <c r="CK147" s="1" t="str">
        <f t="shared" si="75"/>
        <v>Market</v>
      </c>
      <c r="CL147" s="1" t="str">
        <f t="shared" si="76"/>
        <v>Market</v>
      </c>
      <c r="CM147" s="1" t="str">
        <f t="shared" si="77"/>
        <v>Market</v>
      </c>
      <c r="CN147" s="1" t="str">
        <f t="shared" si="78"/>
        <v>Market</v>
      </c>
      <c r="CO147" s="1" t="str">
        <f t="shared" si="79"/>
        <v>Market</v>
      </c>
      <c r="CP147" s="304">
        <f t="shared" si="80"/>
        <v>0</v>
      </c>
      <c r="CQ147" s="1">
        <f t="shared" si="81"/>
        <v>0</v>
      </c>
      <c r="CR147" s="1">
        <f t="shared" si="82"/>
        <v>0</v>
      </c>
      <c r="CS147" s="1">
        <f t="shared" si="83"/>
        <v>0</v>
      </c>
      <c r="CT147" s="1">
        <f t="shared" si="84"/>
        <v>1.9E-2</v>
      </c>
      <c r="CU147" s="1">
        <f t="shared" si="85"/>
        <v>3.9E-2</v>
      </c>
      <c r="CV147" s="304">
        <f t="shared" si="86"/>
        <v>2466</v>
      </c>
      <c r="CW147" s="20" t="s">
        <v>122</v>
      </c>
      <c r="CX147" s="20" t="s">
        <v>122</v>
      </c>
      <c r="CY147" s="20" t="s">
        <v>122</v>
      </c>
      <c r="CZ147" s="20" t="s">
        <v>122</v>
      </c>
      <c r="DA147" s="20" t="s">
        <v>122</v>
      </c>
      <c r="DB147" s="503">
        <f t="shared" si="87"/>
        <v>0</v>
      </c>
      <c r="DC147" s="127">
        <v>0</v>
      </c>
      <c r="DD147" s="127">
        <v>0</v>
      </c>
      <c r="DE147" s="127">
        <v>0</v>
      </c>
      <c r="DF147" s="127">
        <v>0</v>
      </c>
      <c r="DG147" s="127">
        <v>0</v>
      </c>
      <c r="DH147" s="127">
        <v>0</v>
      </c>
      <c r="DI147" s="127">
        <v>0</v>
      </c>
      <c r="DJ147" s="127">
        <v>0</v>
      </c>
      <c r="DK147" s="127">
        <v>0</v>
      </c>
      <c r="DL147" s="127">
        <v>0</v>
      </c>
      <c r="DM147" s="304">
        <f>INDEX(Input!$1:$1048576,DM$93,$C147*2+6)</f>
        <v>20731.578947368424</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1.6420723001675956E-2</v>
      </c>
      <c r="DZ147" s="7">
        <v>0</v>
      </c>
      <c r="EA147" s="7">
        <v>0.25586571681384918</v>
      </c>
      <c r="EB147" s="7">
        <v>0</v>
      </c>
      <c r="EC147" s="7">
        <v>0</v>
      </c>
      <c r="ED147" s="7">
        <v>0</v>
      </c>
      <c r="EE147" s="7">
        <v>0</v>
      </c>
      <c r="EF147" s="7">
        <v>0</v>
      </c>
      <c r="EG147" s="7">
        <v>0</v>
      </c>
      <c r="EH147" s="7">
        <v>1.9867163211649871E-2</v>
      </c>
      <c r="EI147" s="7">
        <v>3.5734944822064241E-2</v>
      </c>
      <c r="EJ147" s="7">
        <v>0.28104141462213034</v>
      </c>
      <c r="EK147" s="7">
        <v>0.62010092925970739</v>
      </c>
      <c r="EL147" s="7">
        <v>4.3255548084448148E-2</v>
      </c>
      <c r="EM147" s="7">
        <v>1.495713152496345E-2</v>
      </c>
      <c r="EN147" s="7">
        <v>5.4991458321761229E-2</v>
      </c>
      <c r="EO147" s="7">
        <v>0.5434635046233609</v>
      </c>
      <c r="EP147" s="7">
        <v>0.30989234739924149</v>
      </c>
      <c r="EQ147" s="7">
        <v>5.3241409624822621E-2</v>
      </c>
      <c r="ER147" s="7">
        <v>3.8411280030814017E-2</v>
      </c>
      <c r="ES147" s="7">
        <v>0.71275642865951128</v>
      </c>
      <c r="ET147" s="7">
        <v>0.72771356018447486</v>
      </c>
      <c r="EU147" s="6">
        <v>1850</v>
      </c>
      <c r="EV147" s="6">
        <v>0</v>
      </c>
      <c r="EW147" s="6">
        <v>1850</v>
      </c>
      <c r="EX147" s="6">
        <v>0</v>
      </c>
      <c r="EY147" s="6">
        <v>2631.5502763133163</v>
      </c>
      <c r="EZ147" s="6">
        <v>4462.9999999999991</v>
      </c>
      <c r="FA147" s="6">
        <v>0</v>
      </c>
      <c r="FB147" s="6">
        <v>0</v>
      </c>
      <c r="FC147" s="6">
        <v>0</v>
      </c>
      <c r="FD147" s="6">
        <v>0</v>
      </c>
      <c r="FE147" s="6">
        <v>0</v>
      </c>
      <c r="FF147" s="6">
        <v>0</v>
      </c>
      <c r="FG147" s="6">
        <v>0</v>
      </c>
      <c r="FH147" s="6">
        <v>1152.1208270377815</v>
      </c>
      <c r="FI147" s="6">
        <v>1531.4299904380623</v>
      </c>
      <c r="FJ147" s="6">
        <v>2070.7205842538224</v>
      </c>
      <c r="FK147" s="6">
        <v>1746.9903521590436</v>
      </c>
      <c r="FL147" s="6">
        <v>893.91433563489375</v>
      </c>
      <c r="FM147" s="6">
        <v>1781.5502763133165</v>
      </c>
      <c r="FN147" s="6">
        <v>0</v>
      </c>
      <c r="FO147" s="6">
        <v>0</v>
      </c>
      <c r="FP147" s="6">
        <v>0</v>
      </c>
      <c r="FQ147" s="6">
        <v>0</v>
      </c>
      <c r="FR147" s="6">
        <v>0</v>
      </c>
      <c r="FS147" s="6">
        <v>0</v>
      </c>
      <c r="FT147" s="7">
        <v>0.27228643981552514</v>
      </c>
      <c r="FU147" s="7">
        <v>1.495713152496345E-2</v>
      </c>
      <c r="FV147" s="7">
        <v>0.71275642865951128</v>
      </c>
      <c r="FW147" s="6">
        <v>1849.9999999999998</v>
      </c>
      <c r="FX147" s="6">
        <v>2631.5502763133163</v>
      </c>
      <c r="FY147" s="6">
        <v>4462.9999999999991</v>
      </c>
      <c r="FZ147" s="6">
        <v>3077.4375890575293</v>
      </c>
      <c r="GA147" s="6">
        <v>3724.1222983634921</v>
      </c>
      <c r="GB147" s="6">
        <v>15970.877701636507</v>
      </c>
      <c r="GC147" s="7">
        <v>7.0901643973087014E-2</v>
      </c>
      <c r="GD147" s="7">
        <v>7.7523213648001452E-2</v>
      </c>
      <c r="GE147" s="7"/>
      <c r="GF147" s="7"/>
      <c r="GG147" s="7">
        <v>9.3390918797706099E-2</v>
      </c>
      <c r="GH147" s="42">
        <v>2.8442517957395936</v>
      </c>
      <c r="GI147" s="6">
        <v>10648.61471830365</v>
      </c>
      <c r="GJ147" s="14">
        <v>0.51074630601039539</v>
      </c>
      <c r="GK147" s="14">
        <v>0.50829519786160948</v>
      </c>
      <c r="GL147" s="14">
        <v>0.48925369398960422</v>
      </c>
      <c r="GM147" s="14">
        <v>0.49170480213839007</v>
      </c>
      <c r="GO147" s="5">
        <v>338.16872463277008</v>
      </c>
      <c r="GP147" s="5">
        <v>302.87425392274076</v>
      </c>
      <c r="GQ147" s="5">
        <v>527.27910984145694</v>
      </c>
      <c r="GR147" s="5">
        <v>404.20319246551543</v>
      </c>
      <c r="GS147" s="5">
        <v>334.50205195691484</v>
      </c>
      <c r="GT147" s="5">
        <v>289.18266033348181</v>
      </c>
      <c r="GU147" s="5">
        <v>254.29573314828914</v>
      </c>
      <c r="GV147" s="39" t="s">
        <v>392</v>
      </c>
      <c r="GW147" s="5">
        <v>468.76388888888891</v>
      </c>
      <c r="GX147" s="5">
        <v>351.57291666666669</v>
      </c>
      <c r="GY147" s="5">
        <v>281.25833333333333</v>
      </c>
      <c r="GZ147" s="5">
        <v>248.18079879493993</v>
      </c>
      <c r="HA147" s="5">
        <v>229.8919505212948</v>
      </c>
      <c r="HB147" s="39">
        <v>264.76293361772161</v>
      </c>
      <c r="HC147" s="5">
        <v>87.859375</v>
      </c>
      <c r="HD147" s="5">
        <v>103.05546418128652</v>
      </c>
      <c r="HE147" s="5">
        <v>113.73246879217274</v>
      </c>
      <c r="HF147" s="5">
        <v>114.49629934210526</v>
      </c>
      <c r="HG147" s="5">
        <v>122.034100877193</v>
      </c>
      <c r="HH147" s="39">
        <v>106.86665101845689</v>
      </c>
      <c r="HI147" s="16"/>
      <c r="HJ147" s="19" t="str">
        <f t="shared" ref="HJ147" si="370">HJ146</f>
        <v>On</v>
      </c>
      <c r="HK147" s="1" t="str">
        <f t="shared" si="108"/>
        <v>On</v>
      </c>
      <c r="HL147" s="16"/>
      <c r="HM147" s="639">
        <f t="shared" si="261"/>
        <v>1.7699001661282989E-2</v>
      </c>
      <c r="HN147" s="639">
        <f t="shared" si="262"/>
        <v>1.0509929974846072E-3</v>
      </c>
      <c r="HO147" s="639">
        <f t="shared" si="263"/>
        <v>5.7398960259851091E-2</v>
      </c>
      <c r="HP147" s="644">
        <f>(FT147*$GD147-HM147)/$JF147*INDEX(Input!$1:$1048576,$JG$93,$C147*2+6)</f>
        <v>43.789291520304012</v>
      </c>
      <c r="HQ147" s="644">
        <f>(FU147*$GD147-HN147)/$JF147*INDEX(Input!$1:$1048576,$JG$93,$C147*2+6)</f>
        <v>1.3939022995591874</v>
      </c>
      <c r="HR147" s="644">
        <f>(FV147*$GD147-HO147)/$JF147*INDEX(Input!$1:$1048576,$JG$93,$C147*2+6)</f>
        <v>-27.533246571437935</v>
      </c>
      <c r="HS147" s="644">
        <f t="shared" si="264"/>
        <v>-0.13917966391394995</v>
      </c>
      <c r="HT147" s="644">
        <f t="shared" si="265"/>
        <v>6.9486592275315999</v>
      </c>
      <c r="HU147" s="644">
        <f t="shared" si="266"/>
        <v>2.7105093614685591</v>
      </c>
      <c r="HV147" s="648">
        <f t="shared" si="267"/>
        <v>0</v>
      </c>
      <c r="HW147" s="648">
        <f t="shared" si="268"/>
        <v>0</v>
      </c>
      <c r="HX147" s="648">
        <f t="shared" si="269"/>
        <v>0</v>
      </c>
      <c r="HY147" s="644">
        <f>INDEX(Input!$1:$1048576,HY$93,$C147*2+6)*INDEX(Input!$1:$1048576,$JG$93,$C147*2+6)</f>
        <v>154.99999999999997</v>
      </c>
      <c r="HZ147" s="644">
        <f>INDEX(Input!$1:$1048576,HZ$93,$C147*2+6)*INDEX(Input!$1:$1048576,$JG$93,$C147*2+6)</f>
        <v>140</v>
      </c>
      <c r="IA147" s="644">
        <f>INDEX(Input!$1:$1048576,IA$93,$C147*2+6)*INDEX(Input!$1:$1048576,$JG$93,$C147*2+6)</f>
        <v>683</v>
      </c>
      <c r="IB147" s="644">
        <f t="shared" si="249"/>
        <v>198.65011185639014</v>
      </c>
      <c r="IC147" s="644">
        <f t="shared" si="172"/>
        <v>148.34256152709079</v>
      </c>
      <c r="ID147" s="644">
        <f>IF(AND(INDEX(Input!$1:$1048576,IA$93,$C147*2+7)="TOS",Y147&lt;=INDEX(Y:Y,MATCH(C147*1000+2,A:A))),0,1)*MAX(IA147+HR147+HU147+HX147,0%)</f>
        <v>658.17726279003057</v>
      </c>
      <c r="IE147" s="128">
        <f t="shared" si="270"/>
        <v>0.19762838571616348</v>
      </c>
      <c r="IF147" s="128">
        <f t="shared" si="174"/>
        <v>0.14757958449473965</v>
      </c>
      <c r="IG147" s="128">
        <f t="shared" si="175"/>
        <v>0.6547920297890969</v>
      </c>
      <c r="IH147" s="21"/>
      <c r="II147" s="19">
        <f t="shared" si="271"/>
        <v>1200</v>
      </c>
      <c r="IJ147" s="19">
        <f t="shared" si="272"/>
        <v>2231.5502763133163</v>
      </c>
      <c r="IK147" s="19">
        <f t="shared" si="273"/>
        <v>4498</v>
      </c>
      <c r="IL147" s="19">
        <f t="shared" si="176"/>
        <v>649.99999999999977</v>
      </c>
      <c r="IM147" s="19">
        <f t="shared" si="177"/>
        <v>400</v>
      </c>
      <c r="IN147" s="19">
        <f t="shared" si="178"/>
        <v>-35.000000000000909</v>
      </c>
      <c r="IO147" s="39">
        <f t="shared" si="274"/>
        <v>0</v>
      </c>
      <c r="IP147" s="39">
        <f t="shared" si="275"/>
        <v>0</v>
      </c>
      <c r="IQ147" s="39">
        <f t="shared" si="276"/>
        <v>0</v>
      </c>
      <c r="IR147" s="39">
        <v>0</v>
      </c>
      <c r="IS147" s="39">
        <v>0</v>
      </c>
      <c r="IT147" s="39">
        <v>0</v>
      </c>
      <c r="IU147" s="39">
        <v>0</v>
      </c>
      <c r="IV147" s="39">
        <v>0</v>
      </c>
      <c r="IW147" s="39">
        <v>0</v>
      </c>
      <c r="IX147" s="39">
        <f>INDEX(Input!$1:$1048576,IX$93,$C147*2+6)+INDEX(Input!$1:$1048576,IX$94,$C147*2+6)</f>
        <v>1600</v>
      </c>
      <c r="IY147" s="39">
        <f>INDEX(Input!$1:$1048576,IY$93,$C147*2+6)+INDEX(Input!$1:$1048576,IY$94,$C147*2+6)</f>
        <v>2503.5492916397525</v>
      </c>
      <c r="IZ147" s="39">
        <f>INDEX(Input!$1:$1048576,IZ$93,$C147*2+6)+INDEX(Input!$1:$1048576,IZ$94,$C147*2+6)</f>
        <v>6273.7109265464023</v>
      </c>
      <c r="JA147" s="19">
        <f t="shared" si="179"/>
        <v>2250</v>
      </c>
      <c r="JB147" s="19">
        <f t="shared" si="180"/>
        <v>2903.5492916397525</v>
      </c>
      <c r="JC147" s="19">
        <f t="shared" si="181"/>
        <v>6238.7109265464014</v>
      </c>
      <c r="JD147" s="19">
        <f t="shared" si="182"/>
        <v>4958.2266567422939</v>
      </c>
      <c r="JE147" s="21"/>
      <c r="JF147" s="1">
        <f t="shared" si="277"/>
        <v>7.6148954918618686E-2</v>
      </c>
      <c r="JG147" s="15">
        <f>INDEX(Input!$1:$1048576,JG$93,$C147*2+6)/(1+VLOOKUP(C147*1000+INDEX(Input!$1:$1048576,JG$93+1,$C147*2+6),$A:$KK,$JK$92,FALSE))</f>
        <v>978</v>
      </c>
      <c r="JH147" s="1">
        <f t="shared" si="251"/>
        <v>1.8046980826610697E-2</v>
      </c>
      <c r="JI147" s="1">
        <f t="shared" si="252"/>
        <v>9.7341400052006234E-3</v>
      </c>
      <c r="JJ147" s="1">
        <f t="shared" si="253"/>
        <v>0</v>
      </c>
      <c r="JK147" s="1">
        <f t="shared" si="254"/>
        <v>2.7781120831811321E-2</v>
      </c>
      <c r="JL147" s="15">
        <f t="shared" si="184"/>
        <v>27.16993617351147</v>
      </c>
      <c r="JM147" s="15">
        <f t="shared" si="185"/>
        <v>1005.1699361735115</v>
      </c>
      <c r="JN147" s="21"/>
      <c r="JO147" s="19">
        <f>INDEX(Input!$1:$1048576,JO$93,$C147*2+6)</f>
        <v>5908.5</v>
      </c>
      <c r="JP147" s="19">
        <f>INDEX(Input!$1:$1048576,JP$93,$C147*2+6)</f>
        <v>4993.2939301234746</v>
      </c>
      <c r="JQ147" s="39">
        <f t="shared" si="186"/>
        <v>950.27334325770607</v>
      </c>
      <c r="JR147" s="39">
        <f t="shared" si="187"/>
        <v>-35.067273381180712</v>
      </c>
      <c r="JS147" s="39">
        <f t="shared" si="188"/>
        <v>4.9838603720914545</v>
      </c>
      <c r="JT147" s="39">
        <f t="shared" si="189"/>
        <v>0.10041890843069647</v>
      </c>
      <c r="JU147" s="385">
        <f>(JQ147*JM147-INDEX(Input!$1:$1048576,Input!A$18,$C147*2+6)*JL147*INDEX(Input!$1:$1048576,Input!A$19,$C147*2+6))/1000000</f>
        <v>0.95518619578973774</v>
      </c>
      <c r="JV147" s="39">
        <f t="shared" si="192"/>
        <v>6.0114659450495989E-2</v>
      </c>
      <c r="JW147" s="1">
        <f t="shared" si="190"/>
        <v>6.7161849092374534E-2</v>
      </c>
      <c r="JX147" s="19">
        <f t="shared" si="191"/>
        <v>3695.9567291364096</v>
      </c>
      <c r="JZ147" s="341"/>
      <c r="KA147" s="342"/>
      <c r="KB147" s="469">
        <f t="shared" si="110"/>
        <v>3.2656316020464753</v>
      </c>
      <c r="KI147" s="473">
        <f t="shared" si="278"/>
        <v>43.650111856390168</v>
      </c>
      <c r="KJ147" s="473">
        <f t="shared" si="279"/>
        <v>8.342561527090794</v>
      </c>
      <c r="KK147" s="473">
        <f t="shared" si="257"/>
        <v>-24.822737209969432</v>
      </c>
      <c r="KN147" s="544">
        <f t="shared" si="258"/>
        <v>1002</v>
      </c>
      <c r="KO147" s="541">
        <f t="shared" si="280"/>
        <v>-5.003219442782425E-2</v>
      </c>
      <c r="KP147" s="546">
        <f t="shared" si="281"/>
        <v>-186.31803429503395</v>
      </c>
      <c r="KQ147" s="546">
        <f t="shared" si="282"/>
        <v>-396.22724323314651</v>
      </c>
      <c r="KR147" s="548">
        <f t="shared" si="283"/>
        <v>3.8508832137068612</v>
      </c>
      <c r="KS147" s="548">
        <f t="shared" si="284"/>
        <v>1.8108017632079463</v>
      </c>
      <c r="KT147" s="473">
        <f t="shared" si="112"/>
        <v>-82.310573396665475</v>
      </c>
      <c r="KU147" s="663">
        <f t="shared" si="285"/>
        <v>-52.480150911001651</v>
      </c>
      <c r="KV147" s="117"/>
    </row>
    <row r="148" spans="1:308" s="26" customFormat="1" ht="15">
      <c r="A148" s="561">
        <f t="shared" si="168"/>
        <v>1048</v>
      </c>
      <c r="B148" s="561">
        <f t="shared" si="104"/>
        <v>48</v>
      </c>
      <c r="C148" s="561">
        <f t="shared" si="105"/>
        <v>1</v>
      </c>
      <c r="D148" s="561" t="str">
        <f t="shared" si="287"/>
        <v xml:space="preserve">500 CC, -360 Lease, </v>
      </c>
      <c r="E148" s="475">
        <f>INDEX(Input!$1:$1048576,E$93,$C148*2+MIN($B148,2)+5)
+INDEX(Scenarios!E$121:E$200,MATCH($B148,Scenarios!$B$121:$B$200,0))</f>
        <v>1750</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1.9E-2</v>
      </c>
      <c r="W148" s="863">
        <f>IFERROR(MAX(0,INDEX(Input!$1:$1048576,W$93,$C148*2+MIN($B148,2)+5)-0%,),"Market")</f>
        <v>3.9E-2</v>
      </c>
      <c r="X148" s="476" t="str">
        <f>INDEX(Input!$1:$1048576,X$93,$C148*2+MIN($B148,2)+5)</f>
        <v>Y</v>
      </c>
      <c r="Y148" s="475">
        <f>INDEX(Input!$1:$1048576,Y$93,$C148*2+MIN($B148,2)+5)
++INDEX(Scenarios!Y$121:Y$200,MATCH($B148,Scenarios!$B$121:$B$200,0))</f>
        <v>2466</v>
      </c>
      <c r="Z148" s="477">
        <f>INDEX(Input!$1:$1048576,Z$93,$C148*2+MIN($B148,2)+5)
+INDEX(Scenarios!Z$121:Z$200,MATCH($B148,Scenarios!$B$121:$B$200,0))</f>
        <v>0</v>
      </c>
      <c r="AA148" s="475">
        <f>INDEX(Input!$1:$1048576,AA$93,$C148*2+MIN($B148,2)+5)</f>
        <v>0</v>
      </c>
      <c r="AB148" s="476">
        <f>INDEX(Input!$1:$1048576,AB$93,$C148*2+MIN($B148,2)+5)</f>
        <v>1</v>
      </c>
      <c r="AC148" s="475">
        <f>INDEX(Input!$1:$1048576,AC$93,$C148*2+MIN($B148,2)+5)
+INDEX(Scenarios!AC$121:AC$200,MATCH($B148,Scenarios!$B$121:$B$200,0))</f>
        <v>0</v>
      </c>
      <c r="AD148" s="476">
        <f>INDEX(Input!$1:$1048576,AD$93,$C148*2+MIN($B148,2)+5)</f>
        <v>0.35</v>
      </c>
      <c r="AE148" s="475">
        <f>INDEX(Input!$1:$1048576,AE$93,$C148*2+MIN($B148,2)+5)
+INDEX(Scenarios!AE$121:AE$200,MATCH($B148,Scenarios!$B$121:$B$200,0))</f>
        <v>0</v>
      </c>
      <c r="AF148" s="476">
        <f>INDEX(Input!$1:$1048576,AF$93,$C148*2+MIN($B148,2)+5)</f>
        <v>1</v>
      </c>
      <c r="AG148" s="475">
        <f>INDEX(Input!$1:$1048576,AG$93,$C148*2+MIN($B148,2)+5)
+INDEX(Scenarios!AG$121:AG$200,MATCH($B148,Scenarios!$B$121:$B$200,0))</f>
        <v>0</v>
      </c>
      <c r="AH148" s="476">
        <f>INDEX(Input!$1:$1048576,AH$93,$C148*2+MIN($B148,2)+5)</f>
        <v>1</v>
      </c>
      <c r="AI148" s="475">
        <f>INDEX(Input!$1:$1048576,AI$93,$C148*2+MIN($B148,2)+5)
+INDEX(Scenarios!AI$121:AI$200,MATCH($B148,Scenarios!$B$121:$B$200,0))</f>
        <v>0</v>
      </c>
      <c r="AJ148" s="476">
        <f>INDEX(Input!$1:$1048576,AJ$93,$C148*2+MIN($B148,2)+5)</f>
        <v>0.35</v>
      </c>
      <c r="AK148" s="150">
        <f>ROUND(INDEX(Input!$1:$1048576,AK$93,$C147*2+MIN($B148,1)+5)+(Y148-VLOOKUP($C148*1000+1,$A:$HH,Y$92,FALSE)),0)</f>
        <v>5122</v>
      </c>
      <c r="AL148" s="150">
        <f>ROUND(INDEX(Input!$1:$1048576,AL$93,$C147*2+MIN($B148,1)+5)-(Y148-VLOOKUP($C148*1000+1,$A:$HH,Y$92,FALSE))/36,0)</f>
        <v>5612</v>
      </c>
      <c r="AM148" s="32" t="str">
        <f t="shared" si="169"/>
        <v>std/std/std/std</v>
      </c>
      <c r="AN148" s="32" t="str">
        <f t="shared" si="170"/>
        <v>$0 + 0/0/0/1.9/3.9</v>
      </c>
      <c r="AO148" s="32" t="str">
        <f t="shared" si="171"/>
        <v>0/0/0/1.9/3.9</v>
      </c>
      <c r="AP148" s="32" t="str">
        <f t="shared" si="73"/>
        <v>0/0.9/1.9/3.9</v>
      </c>
      <c r="AQ148" s="536">
        <f t="shared" si="39"/>
        <v>0.21376157653603819</v>
      </c>
      <c r="AR148" s="32"/>
      <c r="AS148" s="302"/>
      <c r="AT148" s="3">
        <f t="shared" si="106"/>
        <v>48</v>
      </c>
      <c r="AU148" s="41" t="s">
        <v>121</v>
      </c>
      <c r="AV148" s="41" t="s">
        <v>116</v>
      </c>
      <c r="AW148" s="41" t="str">
        <f>INDEX(Input!$1:$1048576,AW$93,$C148*2+6)</f>
        <v>Kia</v>
      </c>
      <c r="AX148" s="41" t="str">
        <f>INDEX(Input!$1:$1048576,AX$93,$C148*2+6)</f>
        <v>Kia-LR - L1</v>
      </c>
      <c r="AY148" s="41" t="str">
        <f>IF(LEN(D148)=0,"",INDEX(Input!$1:$1048576,AY$93,$C148*2+6))</f>
        <v>Compact Conventional/Sporty Car (43)</v>
      </c>
      <c r="AZ148" s="41" t="str">
        <f>INDEX(Input!$1:$1048576,AZ$93,$C148*2+6)</f>
        <v>Kia Forte</v>
      </c>
      <c r="BA148" s="3">
        <f>INDEX(Input!$1:$1048576,BA$93,$C148*2+6)</f>
        <v>2020</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19695</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4"/>
        <v>1750</v>
      </c>
      <c r="CJ148" s="16" t="str">
        <f>INDEX(Input!$1:$1048576,CJ$93,$C148*2+6)</f>
        <v>N</v>
      </c>
      <c r="CK148" s="1" t="str">
        <f t="shared" si="75"/>
        <v>Market</v>
      </c>
      <c r="CL148" s="1" t="str">
        <f t="shared" si="76"/>
        <v>Market</v>
      </c>
      <c r="CM148" s="1" t="str">
        <f t="shared" si="77"/>
        <v>Market</v>
      </c>
      <c r="CN148" s="1" t="str">
        <f t="shared" si="78"/>
        <v>Market</v>
      </c>
      <c r="CO148" s="1" t="str">
        <f t="shared" si="79"/>
        <v>Market</v>
      </c>
      <c r="CP148" s="304">
        <f t="shared" si="80"/>
        <v>0</v>
      </c>
      <c r="CQ148" s="1">
        <f t="shared" si="81"/>
        <v>0</v>
      </c>
      <c r="CR148" s="1">
        <f t="shared" si="82"/>
        <v>0</v>
      </c>
      <c r="CS148" s="1">
        <f t="shared" si="83"/>
        <v>0</v>
      </c>
      <c r="CT148" s="1">
        <f t="shared" si="84"/>
        <v>1.9E-2</v>
      </c>
      <c r="CU148" s="1">
        <f t="shared" si="85"/>
        <v>3.9E-2</v>
      </c>
      <c r="CV148" s="304">
        <f t="shared" si="86"/>
        <v>2466</v>
      </c>
      <c r="CW148" s="20" t="s">
        <v>122</v>
      </c>
      <c r="CX148" s="20" t="s">
        <v>122</v>
      </c>
      <c r="CY148" s="20" t="s">
        <v>122</v>
      </c>
      <c r="CZ148" s="20" t="s">
        <v>122</v>
      </c>
      <c r="DA148" s="20" t="s">
        <v>122</v>
      </c>
      <c r="DB148" s="503">
        <f t="shared" si="87"/>
        <v>0</v>
      </c>
      <c r="DC148" s="127">
        <v>0</v>
      </c>
      <c r="DD148" s="127">
        <v>0</v>
      </c>
      <c r="DE148" s="127">
        <v>0</v>
      </c>
      <c r="DF148" s="127">
        <v>0</v>
      </c>
      <c r="DG148" s="127">
        <v>0</v>
      </c>
      <c r="DH148" s="127">
        <v>0</v>
      </c>
      <c r="DI148" s="127">
        <v>0</v>
      </c>
      <c r="DJ148" s="127">
        <v>0</v>
      </c>
      <c r="DK148" s="127">
        <v>0</v>
      </c>
      <c r="DL148" s="127">
        <v>0</v>
      </c>
      <c r="DM148" s="304">
        <f>INDEX(Input!$1:$1048576,DM$93,$C148*2+6)</f>
        <v>20731.578947368424</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1.7430933287186669E-2</v>
      </c>
      <c r="DZ148" s="7">
        <v>0</v>
      </c>
      <c r="EA148" s="7">
        <v>0.27046184687806768</v>
      </c>
      <c r="EB148" s="7">
        <v>0</v>
      </c>
      <c r="EC148" s="7">
        <v>0</v>
      </c>
      <c r="ED148" s="7">
        <v>0</v>
      </c>
      <c r="EE148" s="7">
        <v>0</v>
      </c>
      <c r="EF148" s="7">
        <v>0</v>
      </c>
      <c r="EG148" s="7">
        <v>0</v>
      </c>
      <c r="EH148" s="7">
        <v>1.9867163211649875E-2</v>
      </c>
      <c r="EI148" s="7">
        <v>3.5734944822064255E-2</v>
      </c>
      <c r="EJ148" s="7">
        <v>0.2810414146221305</v>
      </c>
      <c r="EK148" s="7">
        <v>0.62010092925970761</v>
      </c>
      <c r="EL148" s="7">
        <v>4.3255548084448155E-2</v>
      </c>
      <c r="EM148" s="7">
        <v>1.4636365088819155E-2</v>
      </c>
      <c r="EN148" s="7">
        <v>5.4991458321761208E-2</v>
      </c>
      <c r="EO148" s="7">
        <v>0.54346350462336057</v>
      </c>
      <c r="EP148" s="7">
        <v>0.30989234739924154</v>
      </c>
      <c r="EQ148" s="7">
        <v>5.3241409624822614E-2</v>
      </c>
      <c r="ER148" s="7">
        <v>3.8411280030814003E-2</v>
      </c>
      <c r="ES148" s="7">
        <v>0.69747085474592629</v>
      </c>
      <c r="ET148" s="7">
        <v>0.71210721983474567</v>
      </c>
      <c r="EU148" s="6">
        <v>2100</v>
      </c>
      <c r="EV148" s="6">
        <v>0</v>
      </c>
      <c r="EW148" s="6">
        <v>2100</v>
      </c>
      <c r="EX148" s="6">
        <v>0</v>
      </c>
      <c r="EY148" s="6">
        <v>2631.5502763133168</v>
      </c>
      <c r="EZ148" s="6">
        <v>4462.9999999999991</v>
      </c>
      <c r="FA148" s="6">
        <v>0</v>
      </c>
      <c r="FB148" s="6">
        <v>0</v>
      </c>
      <c r="FC148" s="6">
        <v>0</v>
      </c>
      <c r="FD148" s="6">
        <v>0</v>
      </c>
      <c r="FE148" s="6">
        <v>0</v>
      </c>
      <c r="FF148" s="6">
        <v>0</v>
      </c>
      <c r="FG148" s="6">
        <v>0</v>
      </c>
      <c r="FH148" s="6">
        <v>1152.1208270377817</v>
      </c>
      <c r="FI148" s="6">
        <v>1531.4299904380618</v>
      </c>
      <c r="FJ148" s="6">
        <v>2070.720584253821</v>
      </c>
      <c r="FK148" s="6">
        <v>1746.9903521590431</v>
      </c>
      <c r="FL148" s="6">
        <v>893.91433563489375</v>
      </c>
      <c r="FM148" s="6">
        <v>1781.5502763133168</v>
      </c>
      <c r="FN148" s="6">
        <v>0</v>
      </c>
      <c r="FO148" s="6">
        <v>0</v>
      </c>
      <c r="FP148" s="6">
        <v>0</v>
      </c>
      <c r="FQ148" s="6">
        <v>0</v>
      </c>
      <c r="FR148" s="6">
        <v>0</v>
      </c>
      <c r="FS148" s="6">
        <v>0</v>
      </c>
      <c r="FT148" s="7">
        <v>0.28789278016525433</v>
      </c>
      <c r="FU148" s="7">
        <v>1.4636365088819155E-2</v>
      </c>
      <c r="FV148" s="7">
        <v>0.69747085474592629</v>
      </c>
      <c r="FW148" s="6">
        <v>2100</v>
      </c>
      <c r="FX148" s="6">
        <v>2631.5502763133168</v>
      </c>
      <c r="FY148" s="6">
        <v>4462.9999999999991</v>
      </c>
      <c r="FZ148" s="6">
        <v>3077.4375890575293</v>
      </c>
      <c r="GA148" s="6">
        <v>3755.9035936718074</v>
      </c>
      <c r="GB148" s="6">
        <v>15939.096406328194</v>
      </c>
      <c r="GC148" s="7">
        <v>7.0901643973087014E-2</v>
      </c>
      <c r="GD148" s="7">
        <v>7.8235488363127478E-2</v>
      </c>
      <c r="GE148" s="7"/>
      <c r="GF148" s="7"/>
      <c r="GG148" s="7">
        <v>0.10343687366155091</v>
      </c>
      <c r="GH148" s="42">
        <v>3.0026400923690044</v>
      </c>
      <c r="GI148" s="6">
        <v>10315.131271359001</v>
      </c>
      <c r="GJ148" s="14">
        <v>0.51074630601039572</v>
      </c>
      <c r="GK148" s="14">
        <v>0.50829519786160993</v>
      </c>
      <c r="GL148" s="14">
        <v>0.48925369398960433</v>
      </c>
      <c r="GM148" s="14">
        <v>0.49170480213839046</v>
      </c>
      <c r="GO148" s="5">
        <v>338.16872463277008</v>
      </c>
      <c r="GP148" s="5">
        <v>298.1047308538179</v>
      </c>
      <c r="GQ148" s="5">
        <v>527.27910984145694</v>
      </c>
      <c r="GR148" s="5">
        <v>404.20319246551543</v>
      </c>
      <c r="GS148" s="5">
        <v>334.50205195691484</v>
      </c>
      <c r="GT148" s="5">
        <v>289.18266033348181</v>
      </c>
      <c r="GU148" s="5">
        <v>254.29573314828914</v>
      </c>
      <c r="GV148" s="39" t="s">
        <v>392</v>
      </c>
      <c r="GW148" s="5">
        <v>468.76388888888891</v>
      </c>
      <c r="GX148" s="5">
        <v>351.57291666666669</v>
      </c>
      <c r="GY148" s="5">
        <v>281.25833333333333</v>
      </c>
      <c r="GZ148" s="5">
        <v>248.18079879493993</v>
      </c>
      <c r="HA148" s="5">
        <v>229.8919505212948</v>
      </c>
      <c r="HB148" s="39">
        <v>264.76293361772173</v>
      </c>
      <c r="HC148" s="5">
        <v>87.859375</v>
      </c>
      <c r="HD148" s="5">
        <v>103.05546418128652</v>
      </c>
      <c r="HE148" s="5">
        <v>113.73246879217274</v>
      </c>
      <c r="HF148" s="5">
        <v>114.49629934210526</v>
      </c>
      <c r="HG148" s="5">
        <v>122.034100877193</v>
      </c>
      <c r="HH148" s="39">
        <v>106.86665101845685</v>
      </c>
      <c r="HI148" s="16"/>
      <c r="HJ148" s="19" t="str">
        <f t="shared" ref="HJ148" si="371">HJ147</f>
        <v>On</v>
      </c>
      <c r="HK148" s="1" t="str">
        <f t="shared" si="108"/>
        <v>On</v>
      </c>
      <c r="HL148" s="16"/>
      <c r="HM148" s="639">
        <f t="shared" si="261"/>
        <v>1.7699001661282989E-2</v>
      </c>
      <c r="HN148" s="639">
        <f t="shared" si="262"/>
        <v>1.0509929974846072E-3</v>
      </c>
      <c r="HO148" s="639">
        <f t="shared" si="263"/>
        <v>5.7398960259851091E-2</v>
      </c>
      <c r="HP148" s="644">
        <f>(FT148*$GD148-HM148)/$JF148*INDEX(Input!$1:$1048576,$JG$93,$C148*2+6)</f>
        <v>61.961364055502401</v>
      </c>
      <c r="HQ148" s="644">
        <f>(FU148*$GD148-HN148)/$JF148*INDEX(Input!$1:$1048576,$JG$93,$C148*2+6)</f>
        <v>1.2084235350350911</v>
      </c>
      <c r="HR148" s="644">
        <f>(FV148*$GD148-HO148)/$JF148*INDEX(Input!$1:$1048576,$JG$93,$C148*2+6)</f>
        <v>-36.371918717479041</v>
      </c>
      <c r="HS148" s="644">
        <f t="shared" si="264"/>
        <v>-0.13917966391395012</v>
      </c>
      <c r="HT148" s="644">
        <f t="shared" si="265"/>
        <v>5.3406520771266957</v>
      </c>
      <c r="HU148" s="644">
        <f t="shared" si="266"/>
        <v>4.3185165118734758</v>
      </c>
      <c r="HV148" s="648">
        <f t="shared" si="267"/>
        <v>0</v>
      </c>
      <c r="HW148" s="648">
        <f t="shared" si="268"/>
        <v>0</v>
      </c>
      <c r="HX148" s="648">
        <f t="shared" si="269"/>
        <v>0</v>
      </c>
      <c r="HY148" s="644">
        <f>INDEX(Input!$1:$1048576,HY$93,$C148*2+6)*INDEX(Input!$1:$1048576,$JG$93,$C148*2+6)</f>
        <v>154.99999999999997</v>
      </c>
      <c r="HZ148" s="644">
        <f>INDEX(Input!$1:$1048576,HZ$93,$C148*2+6)*INDEX(Input!$1:$1048576,$JG$93,$C148*2+6)</f>
        <v>140</v>
      </c>
      <c r="IA148" s="644">
        <f>INDEX(Input!$1:$1048576,IA$93,$C148*2+6)*INDEX(Input!$1:$1048576,$JG$93,$C148*2+6)</f>
        <v>683</v>
      </c>
      <c r="IB148" s="644">
        <f t="shared" si="249"/>
        <v>216.82218439158839</v>
      </c>
      <c r="IC148" s="644">
        <f t="shared" si="172"/>
        <v>146.54907561216177</v>
      </c>
      <c r="ID148" s="644">
        <f>IF(AND(INDEX(Input!$1:$1048576,IA$93,$C148*2+7)="TOS",Y148&lt;=INDEX(Y:Y,MATCH(C148*1000+2,A:A))),0,1)*MAX(IA148+HR148+HU148+HX148,0%)</f>
        <v>650.94659779439439</v>
      </c>
      <c r="IE148" s="128">
        <f t="shared" si="270"/>
        <v>0.21376157653603819</v>
      </c>
      <c r="IF148" s="128">
        <f t="shared" si="174"/>
        <v>0.14448042542629269</v>
      </c>
      <c r="IG148" s="128">
        <f t="shared" si="175"/>
        <v>0.64175799803766909</v>
      </c>
      <c r="IH148" s="21"/>
      <c r="II148" s="19">
        <f t="shared" si="271"/>
        <v>1200</v>
      </c>
      <c r="IJ148" s="19">
        <f t="shared" si="272"/>
        <v>2231.5502763133163</v>
      </c>
      <c r="IK148" s="19">
        <f t="shared" si="273"/>
        <v>4498</v>
      </c>
      <c r="IL148" s="19">
        <f t="shared" si="176"/>
        <v>900</v>
      </c>
      <c r="IM148" s="19">
        <f t="shared" si="177"/>
        <v>400.00000000000045</v>
      </c>
      <c r="IN148" s="19">
        <f t="shared" si="178"/>
        <v>-35.000000000000909</v>
      </c>
      <c r="IO148" s="39">
        <f t="shared" si="274"/>
        <v>0</v>
      </c>
      <c r="IP148" s="39">
        <f t="shared" si="275"/>
        <v>0</v>
      </c>
      <c r="IQ148" s="39">
        <f t="shared" si="276"/>
        <v>0</v>
      </c>
      <c r="IR148" s="39">
        <v>0</v>
      </c>
      <c r="IS148" s="39">
        <v>0</v>
      </c>
      <c r="IT148" s="39">
        <v>0</v>
      </c>
      <c r="IU148" s="39">
        <v>0</v>
      </c>
      <c r="IV148" s="39">
        <v>0</v>
      </c>
      <c r="IW148" s="39">
        <v>0</v>
      </c>
      <c r="IX148" s="39">
        <f>INDEX(Input!$1:$1048576,IX$93,$C148*2+6)+INDEX(Input!$1:$1048576,IX$94,$C148*2+6)</f>
        <v>1600</v>
      </c>
      <c r="IY148" s="39">
        <f>INDEX(Input!$1:$1048576,IY$93,$C148*2+6)+INDEX(Input!$1:$1048576,IY$94,$C148*2+6)</f>
        <v>2503.5492916397525</v>
      </c>
      <c r="IZ148" s="39">
        <f>INDEX(Input!$1:$1048576,IZ$93,$C148*2+6)+INDEX(Input!$1:$1048576,IZ$94,$C148*2+6)</f>
        <v>6273.7109265464023</v>
      </c>
      <c r="JA148" s="19">
        <f t="shared" si="179"/>
        <v>2500</v>
      </c>
      <c r="JB148" s="19">
        <f t="shared" si="180"/>
        <v>2903.5492916397529</v>
      </c>
      <c r="JC148" s="19">
        <f t="shared" si="181"/>
        <v>6238.7109265464014</v>
      </c>
      <c r="JD148" s="19">
        <f t="shared" si="182"/>
        <v>4957.652612798568</v>
      </c>
      <c r="JE148" s="21"/>
      <c r="JF148" s="1">
        <f t="shared" si="277"/>
        <v>7.6148954918618686E-2</v>
      </c>
      <c r="JG148" s="15">
        <f>INDEX(Input!$1:$1048576,JG$93,$C148*2+6)/(1+VLOOKUP(C148*1000+INDEX(Input!$1:$1048576,JG$93+1,$C148*2+6),$A:$KK,$JK$92,FALSE))</f>
        <v>978</v>
      </c>
      <c r="JH148" s="1">
        <f t="shared" si="251"/>
        <v>2.7400683919282666E-2</v>
      </c>
      <c r="JI148" s="1">
        <f t="shared" si="252"/>
        <v>9.7341400052006338E-3</v>
      </c>
      <c r="JJ148" s="1">
        <f t="shared" si="253"/>
        <v>0</v>
      </c>
      <c r="JK148" s="1">
        <f t="shared" si="254"/>
        <v>3.71348239244833E-2</v>
      </c>
      <c r="JL148" s="15">
        <f t="shared" si="184"/>
        <v>36.317857798144665</v>
      </c>
      <c r="JM148" s="15">
        <f t="shared" si="185"/>
        <v>1014.3178577981447</v>
      </c>
      <c r="JN148" s="21"/>
      <c r="JO148" s="19">
        <f>INDEX(Input!$1:$1048576,JO$93,$C148*2+6)</f>
        <v>5908.5</v>
      </c>
      <c r="JP148" s="19">
        <f>INDEX(Input!$1:$1048576,JP$93,$C148*2+6)</f>
        <v>4993.2939301234746</v>
      </c>
      <c r="JQ148" s="39">
        <f t="shared" si="186"/>
        <v>950.84738720143196</v>
      </c>
      <c r="JR148" s="39">
        <f t="shared" si="187"/>
        <v>-35.641317324906595</v>
      </c>
      <c r="JS148" s="39">
        <f t="shared" si="188"/>
        <v>5.028635577921218</v>
      </c>
      <c r="JT148" s="39">
        <f t="shared" si="189"/>
        <v>0.14519411426046025</v>
      </c>
      <c r="JU148" s="385">
        <f>(JQ148*JM148-INDEX(Input!$1:$1048576,Input!A$18,$C148*2+6)*JL148*INDEX(Input!$1:$1048576,Input!A$19,$C148*2+6))/1000000</f>
        <v>0.96446148487911942</v>
      </c>
      <c r="JV148" s="39">
        <f t="shared" si="192"/>
        <v>6.9389948539877677E-2</v>
      </c>
      <c r="JW148" s="1">
        <f t="shared" si="190"/>
        <v>7.7524472316119031E-2</v>
      </c>
      <c r="JX148" s="19">
        <f t="shared" si="191"/>
        <v>3997.8711042774567</v>
      </c>
      <c r="JZ148" s="341"/>
      <c r="KA148" s="342"/>
      <c r="KB148" s="469">
        <f t="shared" si="110"/>
        <v>3.2656316020464753</v>
      </c>
      <c r="KI148" s="473">
        <f t="shared" si="278"/>
        <v>61.822184391588451</v>
      </c>
      <c r="KJ148" s="473">
        <f t="shared" si="279"/>
        <v>6.5490756121618006</v>
      </c>
      <c r="KK148" s="473">
        <f t="shared" si="257"/>
        <v>-32.053402205605494</v>
      </c>
      <c r="KN148" s="544">
        <f t="shared" si="258"/>
        <v>1002</v>
      </c>
      <c r="KO148" s="541">
        <f t="shared" si="280"/>
        <v>-4.1386660256377494E-2</v>
      </c>
      <c r="KP148" s="546">
        <f t="shared" si="281"/>
        <v>-124.15209102554161</v>
      </c>
      <c r="KQ148" s="546">
        <f t="shared" si="282"/>
        <v>-396.80128717687239</v>
      </c>
      <c r="KR148" s="548">
        <f t="shared" si="283"/>
        <v>4.780485809220357</v>
      </c>
      <c r="KS148" s="548">
        <f t="shared" si="284"/>
        <v>1.4957292945173397</v>
      </c>
      <c r="KT148" s="473">
        <f t="shared" si="112"/>
        <v>-82.310573396665475</v>
      </c>
      <c r="KU148" s="663">
        <f t="shared" si="285"/>
        <v>-52.927742823828943</v>
      </c>
      <c r="KV148" s="117"/>
    </row>
    <row r="149" spans="1:308" s="26" customFormat="1" ht="15">
      <c r="A149" s="561">
        <f t="shared" si="168"/>
        <v>1049</v>
      </c>
      <c r="B149" s="561">
        <f t="shared" si="104"/>
        <v>49</v>
      </c>
      <c r="C149" s="561">
        <f t="shared" si="105"/>
        <v>1</v>
      </c>
      <c r="D149" s="561" t="str">
        <f t="shared" si="287"/>
        <v xml:space="preserve">750 CC, -360 Lease, </v>
      </c>
      <c r="E149" s="475">
        <f>INDEX(Input!$1:$1048576,E$93,$C149*2+MIN($B149,2)+5)
+INDEX(Scenarios!E$121:E$200,MATCH($B149,Scenarios!$B$121:$B$200,0))</f>
        <v>2000</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1.9E-2</v>
      </c>
      <c r="W149" s="863">
        <f>IFERROR(MAX(0,INDEX(Input!$1:$1048576,W$93,$C149*2+MIN($B149,2)+5)-0%,),"Market")</f>
        <v>3.9E-2</v>
      </c>
      <c r="X149" s="476" t="str">
        <f>INDEX(Input!$1:$1048576,X$93,$C149*2+MIN($B149,2)+5)</f>
        <v>Y</v>
      </c>
      <c r="Y149" s="475">
        <f>INDEX(Input!$1:$1048576,Y$93,$C149*2+MIN($B149,2)+5)
++INDEX(Scenarios!Y$121:Y$200,MATCH($B149,Scenarios!$B$121:$B$200,0))</f>
        <v>2466</v>
      </c>
      <c r="Z149" s="477">
        <f>INDEX(Input!$1:$1048576,Z$93,$C149*2+MIN($B149,2)+5)
+INDEX(Scenarios!Z$121:Z$200,MATCH($B149,Scenarios!$B$121:$B$200,0))</f>
        <v>0</v>
      </c>
      <c r="AA149" s="475">
        <f>INDEX(Input!$1:$1048576,AA$93,$C149*2+MIN($B149,2)+5)</f>
        <v>0</v>
      </c>
      <c r="AB149" s="476">
        <f>INDEX(Input!$1:$1048576,AB$93,$C149*2+MIN($B149,2)+5)</f>
        <v>1</v>
      </c>
      <c r="AC149" s="475">
        <f>INDEX(Input!$1:$1048576,AC$93,$C149*2+MIN($B149,2)+5)
+INDEX(Scenarios!AC$121:AC$200,MATCH($B149,Scenarios!$B$121:$B$200,0))</f>
        <v>0</v>
      </c>
      <c r="AD149" s="476">
        <f>INDEX(Input!$1:$1048576,AD$93,$C149*2+MIN($B149,2)+5)</f>
        <v>0.35</v>
      </c>
      <c r="AE149" s="475">
        <f>INDEX(Input!$1:$1048576,AE$93,$C149*2+MIN($B149,2)+5)
+INDEX(Scenarios!AE$121:AE$200,MATCH($B149,Scenarios!$B$121:$B$200,0))</f>
        <v>0</v>
      </c>
      <c r="AF149" s="476">
        <f>INDEX(Input!$1:$1048576,AF$93,$C149*2+MIN($B149,2)+5)</f>
        <v>1</v>
      </c>
      <c r="AG149" s="475">
        <f>INDEX(Input!$1:$1048576,AG$93,$C149*2+MIN($B149,2)+5)
+INDEX(Scenarios!AG$121:AG$200,MATCH($B149,Scenarios!$B$121:$B$200,0))</f>
        <v>0</v>
      </c>
      <c r="AH149" s="476">
        <f>INDEX(Input!$1:$1048576,AH$93,$C149*2+MIN($B149,2)+5)</f>
        <v>1</v>
      </c>
      <c r="AI149" s="475">
        <f>INDEX(Input!$1:$1048576,AI$93,$C149*2+MIN($B149,2)+5)
+INDEX(Scenarios!AI$121:AI$200,MATCH($B149,Scenarios!$B$121:$B$200,0))</f>
        <v>0</v>
      </c>
      <c r="AJ149" s="476">
        <f>INDEX(Input!$1:$1048576,AJ$93,$C149*2+MIN($B149,2)+5)</f>
        <v>0.35</v>
      </c>
      <c r="AK149" s="150">
        <f>ROUND(INDEX(Input!$1:$1048576,AK$93,$C148*2+MIN($B149,1)+5)+(Y149-VLOOKUP($C149*1000+1,$A:$HH,Y$92,FALSE)),0)</f>
        <v>5122</v>
      </c>
      <c r="AL149" s="150">
        <f>ROUND(INDEX(Input!$1:$1048576,AL$93,$C148*2+MIN($B149,1)+5)-(Y149-VLOOKUP($C149*1000+1,$A:$HH,Y$92,FALSE))/36,0)</f>
        <v>5612</v>
      </c>
      <c r="AM149" s="32" t="str">
        <f t="shared" si="169"/>
        <v>std/std/std/std</v>
      </c>
      <c r="AN149" s="32" t="str">
        <f t="shared" si="170"/>
        <v>$0 + 0/0/0/1.9/3.9</v>
      </c>
      <c r="AO149" s="32" t="str">
        <f t="shared" si="171"/>
        <v>0/0/0/1.9/3.9</v>
      </c>
      <c r="AP149" s="32" t="str">
        <f t="shared" si="73"/>
        <v>0/0.9/1.9/3.9</v>
      </c>
      <c r="AQ149" s="536">
        <f t="shared" si="39"/>
        <v>0.23043776021094509</v>
      </c>
      <c r="AR149" s="32"/>
      <c r="AS149" s="302"/>
      <c r="AT149" s="3">
        <f t="shared" si="106"/>
        <v>49</v>
      </c>
      <c r="AU149" s="41" t="s">
        <v>121</v>
      </c>
      <c r="AV149" s="41" t="s">
        <v>116</v>
      </c>
      <c r="AW149" s="41" t="str">
        <f>INDEX(Input!$1:$1048576,AW$93,$C149*2+6)</f>
        <v>Kia</v>
      </c>
      <c r="AX149" s="41" t="str">
        <f>INDEX(Input!$1:$1048576,AX$93,$C149*2+6)</f>
        <v>Kia-LR - L1</v>
      </c>
      <c r="AY149" s="41" t="str">
        <f>IF(LEN(D149)=0,"",INDEX(Input!$1:$1048576,AY$93,$C149*2+6))</f>
        <v>Compact Conventional/Sporty Car (43)</v>
      </c>
      <c r="AZ149" s="41" t="str">
        <f>INDEX(Input!$1:$1048576,AZ$93,$C149*2+6)</f>
        <v>Kia Forte</v>
      </c>
      <c r="BA149" s="3">
        <f>INDEX(Input!$1:$1048576,BA$93,$C149*2+6)</f>
        <v>2020</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19695</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4"/>
        <v>2000</v>
      </c>
      <c r="CJ149" s="16" t="str">
        <f>INDEX(Input!$1:$1048576,CJ$93,$C149*2+6)</f>
        <v>N</v>
      </c>
      <c r="CK149" s="1" t="str">
        <f t="shared" si="75"/>
        <v>Market</v>
      </c>
      <c r="CL149" s="1" t="str">
        <f t="shared" si="76"/>
        <v>Market</v>
      </c>
      <c r="CM149" s="1" t="str">
        <f t="shared" si="77"/>
        <v>Market</v>
      </c>
      <c r="CN149" s="1" t="str">
        <f t="shared" si="78"/>
        <v>Market</v>
      </c>
      <c r="CO149" s="1" t="str">
        <f t="shared" si="79"/>
        <v>Market</v>
      </c>
      <c r="CP149" s="304">
        <f t="shared" si="80"/>
        <v>0</v>
      </c>
      <c r="CQ149" s="1">
        <f t="shared" si="81"/>
        <v>0</v>
      </c>
      <c r="CR149" s="1">
        <f t="shared" si="82"/>
        <v>0</v>
      </c>
      <c r="CS149" s="1">
        <f t="shared" si="83"/>
        <v>0</v>
      </c>
      <c r="CT149" s="1">
        <f t="shared" si="84"/>
        <v>1.9E-2</v>
      </c>
      <c r="CU149" s="1">
        <f t="shared" si="85"/>
        <v>3.9E-2</v>
      </c>
      <c r="CV149" s="304">
        <f t="shared" si="86"/>
        <v>2466</v>
      </c>
      <c r="CW149" s="20" t="s">
        <v>122</v>
      </c>
      <c r="CX149" s="20" t="s">
        <v>122</v>
      </c>
      <c r="CY149" s="20" t="s">
        <v>122</v>
      </c>
      <c r="CZ149" s="20" t="s">
        <v>122</v>
      </c>
      <c r="DA149" s="20" t="s">
        <v>122</v>
      </c>
      <c r="DB149" s="503">
        <f t="shared" si="87"/>
        <v>0</v>
      </c>
      <c r="DC149" s="127">
        <v>0</v>
      </c>
      <c r="DD149" s="127">
        <v>0</v>
      </c>
      <c r="DE149" s="127">
        <v>0</v>
      </c>
      <c r="DF149" s="127">
        <v>0</v>
      </c>
      <c r="DG149" s="127">
        <v>0</v>
      </c>
      <c r="DH149" s="127">
        <v>0</v>
      </c>
      <c r="DI149" s="127">
        <v>0</v>
      </c>
      <c r="DJ149" s="127">
        <v>0</v>
      </c>
      <c r="DK149" s="127">
        <v>0</v>
      </c>
      <c r="DL149" s="127">
        <v>0</v>
      </c>
      <c r="DM149" s="304">
        <f>INDEX(Input!$1:$1048576,DM$93,$C149*2+6)</f>
        <v>20731.578947368424</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1.8480747329968548E-2</v>
      </c>
      <c r="DZ149" s="7">
        <v>0</v>
      </c>
      <c r="EA149" s="7">
        <v>0.28553272442252065</v>
      </c>
      <c r="EB149" s="7">
        <v>0</v>
      </c>
      <c r="EC149" s="7">
        <v>0</v>
      </c>
      <c r="ED149" s="7">
        <v>0</v>
      </c>
      <c r="EE149" s="7">
        <v>0</v>
      </c>
      <c r="EF149" s="7">
        <v>0</v>
      </c>
      <c r="EG149" s="7">
        <v>0</v>
      </c>
      <c r="EH149" s="7">
        <v>1.9867163211649864E-2</v>
      </c>
      <c r="EI149" s="7">
        <v>3.5734944822064234E-2</v>
      </c>
      <c r="EJ149" s="7">
        <v>0.28104141462213034</v>
      </c>
      <c r="EK149" s="7">
        <v>0.62010092925970728</v>
      </c>
      <c r="EL149" s="7">
        <v>4.3255548084448141E-2</v>
      </c>
      <c r="EM149" s="7">
        <v>1.4305026884426605E-2</v>
      </c>
      <c r="EN149" s="7">
        <v>5.4991458321761208E-2</v>
      </c>
      <c r="EO149" s="7">
        <v>0.54346350462336057</v>
      </c>
      <c r="EP149" s="7">
        <v>0.30989234739924154</v>
      </c>
      <c r="EQ149" s="7">
        <v>5.3241409624822621E-2</v>
      </c>
      <c r="ER149" s="7">
        <v>3.8411280030814003E-2</v>
      </c>
      <c r="ES149" s="7">
        <v>0.68168150136308436</v>
      </c>
      <c r="ET149" s="7">
        <v>0.69598652824751084</v>
      </c>
      <c r="EU149" s="6">
        <v>2350</v>
      </c>
      <c r="EV149" s="6">
        <v>0</v>
      </c>
      <c r="EW149" s="6">
        <v>2350</v>
      </c>
      <c r="EX149" s="6">
        <v>0</v>
      </c>
      <c r="EY149" s="6">
        <v>2631.5502763133163</v>
      </c>
      <c r="EZ149" s="6">
        <v>4462.9999999999991</v>
      </c>
      <c r="FA149" s="6">
        <v>0</v>
      </c>
      <c r="FB149" s="6">
        <v>0</v>
      </c>
      <c r="FC149" s="6">
        <v>0</v>
      </c>
      <c r="FD149" s="6">
        <v>0</v>
      </c>
      <c r="FE149" s="6">
        <v>0</v>
      </c>
      <c r="FF149" s="6">
        <v>0</v>
      </c>
      <c r="FG149" s="6">
        <v>0</v>
      </c>
      <c r="FH149" s="6">
        <v>1152.1208270377817</v>
      </c>
      <c r="FI149" s="6">
        <v>1531.4299904380618</v>
      </c>
      <c r="FJ149" s="6">
        <v>2070.7205842538215</v>
      </c>
      <c r="FK149" s="6">
        <v>1746.9903521590436</v>
      </c>
      <c r="FL149" s="6">
        <v>893.91433563489375</v>
      </c>
      <c r="FM149" s="6">
        <v>1781.5502763133163</v>
      </c>
      <c r="FN149" s="6">
        <v>0</v>
      </c>
      <c r="FO149" s="6">
        <v>0</v>
      </c>
      <c r="FP149" s="6">
        <v>0</v>
      </c>
      <c r="FQ149" s="6">
        <v>0</v>
      </c>
      <c r="FR149" s="6">
        <v>0</v>
      </c>
      <c r="FS149" s="6">
        <v>0</v>
      </c>
      <c r="FT149" s="7">
        <v>0.30401347175248922</v>
      </c>
      <c r="FU149" s="7">
        <v>1.4305026884426605E-2</v>
      </c>
      <c r="FV149" s="7">
        <v>0.68168150136308436</v>
      </c>
      <c r="FW149" s="6">
        <v>2350</v>
      </c>
      <c r="FX149" s="6">
        <v>2631.5502763133163</v>
      </c>
      <c r="FY149" s="6">
        <v>4462.9999999999991</v>
      </c>
      <c r="FZ149" s="6">
        <v>3077.4375890575293</v>
      </c>
      <c r="GA149" s="6">
        <v>3794.4205966521768</v>
      </c>
      <c r="GB149" s="6">
        <v>15900.579403347823</v>
      </c>
      <c r="GC149" s="7">
        <v>7.0901643973087014E-2</v>
      </c>
      <c r="GD149" s="7">
        <v>7.8994167069673438E-2</v>
      </c>
      <c r="GE149" s="7"/>
      <c r="GF149" s="7"/>
      <c r="GG149" s="7">
        <v>0.11413731252350368</v>
      </c>
      <c r="GH149" s="42">
        <v>3.1352686832730265</v>
      </c>
      <c r="GI149" s="6">
        <v>10076.178873087878</v>
      </c>
      <c r="GJ149" s="14">
        <v>0.5107463060103955</v>
      </c>
      <c r="GK149" s="14">
        <v>0.50829519786160959</v>
      </c>
      <c r="GL149" s="14">
        <v>0.48925369398960433</v>
      </c>
      <c r="GM149" s="14">
        <v>0.4917048021383903</v>
      </c>
      <c r="GO149" s="5">
        <v>338.16872463277008</v>
      </c>
      <c r="GP149" s="5">
        <v>293.33520778489498</v>
      </c>
      <c r="GQ149" s="5">
        <v>527.27910984145694</v>
      </c>
      <c r="GR149" s="5">
        <v>404.20319246551543</v>
      </c>
      <c r="GS149" s="5">
        <v>334.50205195691484</v>
      </c>
      <c r="GT149" s="5">
        <v>289.18266033348181</v>
      </c>
      <c r="GU149" s="5">
        <v>254.29573314828914</v>
      </c>
      <c r="GV149" s="39" t="s">
        <v>392</v>
      </c>
      <c r="GW149" s="5">
        <v>468.76388888888891</v>
      </c>
      <c r="GX149" s="5">
        <v>351.57291666666669</v>
      </c>
      <c r="GY149" s="5">
        <v>281.25833333333333</v>
      </c>
      <c r="GZ149" s="5">
        <v>248.18079879493993</v>
      </c>
      <c r="HA149" s="5">
        <v>229.8919505212948</v>
      </c>
      <c r="HB149" s="39">
        <v>264.76293361772161</v>
      </c>
      <c r="HC149" s="5">
        <v>87.859375</v>
      </c>
      <c r="HD149" s="5">
        <v>103.05546418128652</v>
      </c>
      <c r="HE149" s="5">
        <v>113.73246879217274</v>
      </c>
      <c r="HF149" s="5">
        <v>114.49629934210526</v>
      </c>
      <c r="HG149" s="5">
        <v>122.034100877193</v>
      </c>
      <c r="HH149" s="39">
        <v>106.86665101845685</v>
      </c>
      <c r="HI149" s="16"/>
      <c r="HJ149" s="19" t="str">
        <f t="shared" ref="HJ149" si="372">HJ148</f>
        <v>On</v>
      </c>
      <c r="HK149" s="1" t="str">
        <f t="shared" si="108"/>
        <v>On</v>
      </c>
      <c r="HL149" s="16"/>
      <c r="HM149" s="639">
        <f t="shared" si="261"/>
        <v>1.7699001661282989E-2</v>
      </c>
      <c r="HN149" s="639">
        <f t="shared" si="262"/>
        <v>1.0509929974846072E-3</v>
      </c>
      <c r="HO149" s="639">
        <f t="shared" si="263"/>
        <v>5.7398960259851091E-2</v>
      </c>
      <c r="HP149" s="644">
        <f>(FT149*$GD149-HM149)/$JF149*INDEX(Input!$1:$1048576,$JG$93,$C149*2+6)</f>
        <v>81.121677367411792</v>
      </c>
      <c r="HQ149" s="644">
        <f>(FU149*$GD149-HN149)/$JF149*INDEX(Input!$1:$1048576,$JG$93,$C149*2+6)</f>
        <v>1.0148823598042993</v>
      </c>
      <c r="HR149" s="644">
        <f>(FV149*$GD149-HO149)/$JF149*INDEX(Input!$1:$1048576,$JG$93,$C149*2+6)</f>
        <v>-45.5947912064875</v>
      </c>
      <c r="HS149" s="644">
        <f t="shared" si="264"/>
        <v>-0.13917966391394995</v>
      </c>
      <c r="HT149" s="644">
        <f t="shared" si="265"/>
        <v>3.7326449267217683</v>
      </c>
      <c r="HU149" s="644">
        <f t="shared" si="266"/>
        <v>5.9265236622783908</v>
      </c>
      <c r="HV149" s="648">
        <f t="shared" si="267"/>
        <v>0</v>
      </c>
      <c r="HW149" s="648">
        <f t="shared" si="268"/>
        <v>0</v>
      </c>
      <c r="HX149" s="648">
        <f t="shared" si="269"/>
        <v>0</v>
      </c>
      <c r="HY149" s="644">
        <f>INDEX(Input!$1:$1048576,HY$93,$C149*2+6)*INDEX(Input!$1:$1048576,$JG$93,$C149*2+6)</f>
        <v>154.99999999999997</v>
      </c>
      <c r="HZ149" s="644">
        <f>INDEX(Input!$1:$1048576,HZ$93,$C149*2+6)*INDEX(Input!$1:$1048576,$JG$93,$C149*2+6)</f>
        <v>140</v>
      </c>
      <c r="IA149" s="644">
        <f>INDEX(Input!$1:$1048576,IA$93,$C149*2+6)*INDEX(Input!$1:$1048576,$JG$93,$C149*2+6)</f>
        <v>683</v>
      </c>
      <c r="IB149" s="644">
        <f t="shared" si="249"/>
        <v>235.98249770349764</v>
      </c>
      <c r="IC149" s="644">
        <f t="shared" si="172"/>
        <v>144.74752728652606</v>
      </c>
      <c r="ID149" s="644">
        <f>IF(AND(INDEX(Input!$1:$1048576,IA$93,$C149*2+7)="TOS",Y149&lt;=INDEX(Y:Y,MATCH(C149*1000+2,A:A))),0,1)*MAX(IA149+HR149+HU149+HX149,0%)</f>
        <v>643.33173245579098</v>
      </c>
      <c r="IE149" s="128">
        <f t="shared" si="270"/>
        <v>0.23043776021094509</v>
      </c>
      <c r="IF149" s="128">
        <f t="shared" si="174"/>
        <v>0.14134648250858539</v>
      </c>
      <c r="IG149" s="128">
        <f t="shared" si="175"/>
        <v>0.62821575728046952</v>
      </c>
      <c r="IH149" s="21"/>
      <c r="II149" s="19">
        <f t="shared" si="271"/>
        <v>1200</v>
      </c>
      <c r="IJ149" s="19">
        <f t="shared" si="272"/>
        <v>2231.5502763133163</v>
      </c>
      <c r="IK149" s="19">
        <f t="shared" si="273"/>
        <v>4498</v>
      </c>
      <c r="IL149" s="19">
        <f t="shared" si="176"/>
        <v>1150</v>
      </c>
      <c r="IM149" s="19">
        <f t="shared" si="177"/>
        <v>400</v>
      </c>
      <c r="IN149" s="19">
        <f t="shared" si="178"/>
        <v>-35.000000000000909</v>
      </c>
      <c r="IO149" s="39">
        <f t="shared" si="274"/>
        <v>0</v>
      </c>
      <c r="IP149" s="39">
        <f t="shared" si="275"/>
        <v>0</v>
      </c>
      <c r="IQ149" s="39">
        <f t="shared" si="276"/>
        <v>0</v>
      </c>
      <c r="IR149" s="39">
        <v>0</v>
      </c>
      <c r="IS149" s="39">
        <v>0</v>
      </c>
      <c r="IT149" s="39">
        <v>0</v>
      </c>
      <c r="IU149" s="39">
        <v>0</v>
      </c>
      <c r="IV149" s="39">
        <v>0</v>
      </c>
      <c r="IW149" s="39">
        <v>0</v>
      </c>
      <c r="IX149" s="39">
        <f>INDEX(Input!$1:$1048576,IX$93,$C149*2+6)+INDEX(Input!$1:$1048576,IX$94,$C149*2+6)</f>
        <v>1600</v>
      </c>
      <c r="IY149" s="39">
        <f>INDEX(Input!$1:$1048576,IY$93,$C149*2+6)+INDEX(Input!$1:$1048576,IY$94,$C149*2+6)</f>
        <v>2503.5492916397525</v>
      </c>
      <c r="IZ149" s="39">
        <f>INDEX(Input!$1:$1048576,IZ$93,$C149*2+6)+INDEX(Input!$1:$1048576,IZ$94,$C149*2+6)</f>
        <v>6273.7109265464023</v>
      </c>
      <c r="JA149" s="19">
        <f t="shared" si="179"/>
        <v>2750</v>
      </c>
      <c r="JB149" s="19">
        <f t="shared" si="180"/>
        <v>2903.5492916397525</v>
      </c>
      <c r="JC149" s="19">
        <f t="shared" si="181"/>
        <v>6238.7109265464014</v>
      </c>
      <c r="JD149" s="19">
        <f t="shared" si="182"/>
        <v>4963.3668289179604</v>
      </c>
      <c r="JE149" s="21"/>
      <c r="JF149" s="1">
        <f t="shared" si="277"/>
        <v>7.6148954918618686E-2</v>
      </c>
      <c r="JG149" s="15">
        <f>INDEX(Input!$1:$1048576,JG$93,$C149*2+6)/(1+VLOOKUP(C149*1000+INDEX(Input!$1:$1048576,JG$93+1,$C149*2+6),$A:$KK,$JK$92,FALSE))</f>
        <v>978</v>
      </c>
      <c r="JH149" s="1">
        <f t="shared" si="251"/>
        <v>3.7363771493587522E-2</v>
      </c>
      <c r="JI149" s="1">
        <f t="shared" si="252"/>
        <v>9.7341400052006234E-3</v>
      </c>
      <c r="JJ149" s="1">
        <f t="shared" si="253"/>
        <v>0</v>
      </c>
      <c r="JK149" s="1">
        <f t="shared" si="254"/>
        <v>4.7097911498788142E-2</v>
      </c>
      <c r="JL149" s="15">
        <f t="shared" si="184"/>
        <v>46.061757445814806</v>
      </c>
      <c r="JM149" s="15">
        <f t="shared" si="185"/>
        <v>1024.0617574458147</v>
      </c>
      <c r="JN149" s="21"/>
      <c r="JO149" s="19">
        <f>INDEX(Input!$1:$1048576,JO$93,$C149*2+6)</f>
        <v>5908.5</v>
      </c>
      <c r="JP149" s="19">
        <f>INDEX(Input!$1:$1048576,JP$93,$C149*2+6)</f>
        <v>4993.2939301234746</v>
      </c>
      <c r="JQ149" s="39">
        <f t="shared" si="186"/>
        <v>945.13317108203955</v>
      </c>
      <c r="JR149" s="39">
        <f t="shared" si="187"/>
        <v>-29.927101205514191</v>
      </c>
      <c r="JS149" s="39">
        <f t="shared" si="188"/>
        <v>5.0827941576699862</v>
      </c>
      <c r="JT149" s="39">
        <f t="shared" si="189"/>
        <v>0.19935269400922861</v>
      </c>
      <c r="JU149" s="385">
        <f>(JQ149*JM149-INDEX(Input!$1:$1048576,Input!A$18,$C149*2+6)*JL149*INDEX(Input!$1:$1048576,Input!A$19,$C149*2+6))/1000000</f>
        <v>0.9678747361986092</v>
      </c>
      <c r="JV149" s="39">
        <f t="shared" si="192"/>
        <v>7.2803199859367451E-2</v>
      </c>
      <c r="JW149" s="1">
        <f t="shared" si="190"/>
        <v>8.1337856141784695E-2</v>
      </c>
      <c r="JX149" s="19">
        <f t="shared" si="191"/>
        <v>4327.9437230274834</v>
      </c>
      <c r="JZ149" s="341"/>
      <c r="KA149" s="342"/>
      <c r="KB149" s="469">
        <f t="shared" si="110"/>
        <v>3.2656316020464753</v>
      </c>
      <c r="KI149" s="473">
        <f t="shared" si="278"/>
        <v>80.982497703497671</v>
      </c>
      <c r="KJ149" s="473">
        <f t="shared" si="279"/>
        <v>4.7475272865260649</v>
      </c>
      <c r="KK149" s="473">
        <f t="shared" si="257"/>
        <v>-39.668267544209016</v>
      </c>
      <c r="KN149" s="544">
        <f t="shared" si="258"/>
        <v>1002</v>
      </c>
      <c r="KO149" s="541">
        <f t="shared" si="280"/>
        <v>-3.2177878106316449E-2</v>
      </c>
      <c r="KP149" s="546">
        <f t="shared" si="281"/>
        <v>-53.329352462760113</v>
      </c>
      <c r="KQ149" s="546">
        <f t="shared" si="282"/>
        <v>-391.08707105747999</v>
      </c>
      <c r="KR149" s="548">
        <f t="shared" si="283"/>
        <v>8.6528023138257932</v>
      </c>
      <c r="KS149" s="548">
        <f t="shared" si="284"/>
        <v>1.1799120414205169</v>
      </c>
      <c r="KT149" s="473">
        <f t="shared" si="112"/>
        <v>-82.310573396665475</v>
      </c>
      <c r="KU149" s="663">
        <f t="shared" si="285"/>
        <v>-53.33654639254857</v>
      </c>
      <c r="KV149" s="117"/>
    </row>
    <row r="150" spans="1:308" s="26" customFormat="1" ht="15">
      <c r="A150" s="561">
        <f t="shared" si="168"/>
        <v>1050</v>
      </c>
      <c r="B150" s="561">
        <f t="shared" si="104"/>
        <v>50</v>
      </c>
      <c r="C150" s="561">
        <f t="shared" si="105"/>
        <v>1</v>
      </c>
      <c r="D150" s="561" t="str">
        <f t="shared" si="287"/>
        <v xml:space="preserve">1000 CC, -360 Lease, </v>
      </c>
      <c r="E150" s="475">
        <f>INDEX(Input!$1:$1048576,E$93,$C150*2+MIN($B150,2)+5)
+INDEX(Scenarios!E$121:E$200,MATCH($B150,Scenarios!$B$121:$B$200,0))</f>
        <v>2250</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1.9E-2</v>
      </c>
      <c r="W150" s="863">
        <f>IFERROR(MAX(0,INDEX(Input!$1:$1048576,W$93,$C150*2+MIN($B150,2)+5)-0%,),"Market")</f>
        <v>3.9E-2</v>
      </c>
      <c r="X150" s="476" t="str">
        <f>INDEX(Input!$1:$1048576,X$93,$C150*2+MIN($B150,2)+5)</f>
        <v>Y</v>
      </c>
      <c r="Y150" s="475">
        <f>INDEX(Input!$1:$1048576,Y$93,$C150*2+MIN($B150,2)+5)
++INDEX(Scenarios!Y$121:Y$200,MATCH($B150,Scenarios!$B$121:$B$200,0))</f>
        <v>2466</v>
      </c>
      <c r="Z150" s="477">
        <f>INDEX(Input!$1:$1048576,Z$93,$C150*2+MIN($B150,2)+5)
+INDEX(Scenarios!Z$121:Z$200,MATCH($B150,Scenarios!$B$121:$B$200,0))</f>
        <v>0</v>
      </c>
      <c r="AA150" s="475">
        <f>INDEX(Input!$1:$1048576,AA$93,$C150*2+MIN($B150,2)+5)</f>
        <v>0</v>
      </c>
      <c r="AB150" s="476">
        <f>INDEX(Input!$1:$1048576,AB$93,$C150*2+MIN($B150,2)+5)</f>
        <v>1</v>
      </c>
      <c r="AC150" s="475">
        <f>INDEX(Input!$1:$1048576,AC$93,$C150*2+MIN($B150,2)+5)
+INDEX(Scenarios!AC$121:AC$200,MATCH($B150,Scenarios!$B$121:$B$200,0))</f>
        <v>0</v>
      </c>
      <c r="AD150" s="476">
        <f>INDEX(Input!$1:$1048576,AD$93,$C150*2+MIN($B150,2)+5)</f>
        <v>0.35</v>
      </c>
      <c r="AE150" s="475">
        <f>INDEX(Input!$1:$1048576,AE$93,$C150*2+MIN($B150,2)+5)
+INDEX(Scenarios!AE$121:AE$200,MATCH($B150,Scenarios!$B$121:$B$200,0))</f>
        <v>0</v>
      </c>
      <c r="AF150" s="476">
        <f>INDEX(Input!$1:$1048576,AF$93,$C150*2+MIN($B150,2)+5)</f>
        <v>1</v>
      </c>
      <c r="AG150" s="475">
        <f>INDEX(Input!$1:$1048576,AG$93,$C150*2+MIN($B150,2)+5)
+INDEX(Scenarios!AG$121:AG$200,MATCH($B150,Scenarios!$B$121:$B$200,0))</f>
        <v>0</v>
      </c>
      <c r="AH150" s="476">
        <f>INDEX(Input!$1:$1048576,AH$93,$C150*2+MIN($B150,2)+5)</f>
        <v>1</v>
      </c>
      <c r="AI150" s="475">
        <f>INDEX(Input!$1:$1048576,AI$93,$C150*2+MIN($B150,2)+5)
+INDEX(Scenarios!AI$121:AI$200,MATCH($B150,Scenarios!$B$121:$B$200,0))</f>
        <v>0</v>
      </c>
      <c r="AJ150" s="476">
        <f>INDEX(Input!$1:$1048576,AJ$93,$C150*2+MIN($B150,2)+5)</f>
        <v>0.35</v>
      </c>
      <c r="AK150" s="150">
        <f>ROUND(INDEX(Input!$1:$1048576,AK$93,$C149*2+MIN($B150,1)+5)+(Y150-VLOOKUP($C150*1000+1,$A:$HH,Y$92,FALSE)),0)</f>
        <v>5122</v>
      </c>
      <c r="AL150" s="150">
        <f>ROUND(INDEX(Input!$1:$1048576,AL$93,$C149*2+MIN($B150,1)+5)-(Y150-VLOOKUP($C150*1000+1,$A:$HH,Y$92,FALSE))/36,0)</f>
        <v>5612</v>
      </c>
      <c r="AM150" s="32" t="str">
        <f t="shared" si="169"/>
        <v>std/std/std/std</v>
      </c>
      <c r="AN150" s="32" t="str">
        <f t="shared" si="170"/>
        <v>$0 + 0/0/0/1.9/3.9</v>
      </c>
      <c r="AO150" s="32" t="str">
        <f t="shared" si="171"/>
        <v>0/0/0/1.9/3.9</v>
      </c>
      <c r="AP150" s="32" t="str">
        <f t="shared" si="73"/>
        <v>0/0.9/1.9/3.9</v>
      </c>
      <c r="AQ150" s="536">
        <f t="shared" si="39"/>
        <v>0.24763332363076587</v>
      </c>
      <c r="AR150" s="32"/>
      <c r="AS150" s="302"/>
      <c r="AT150" s="3">
        <f t="shared" si="106"/>
        <v>50</v>
      </c>
      <c r="AU150" s="41" t="s">
        <v>121</v>
      </c>
      <c r="AV150" s="41" t="s">
        <v>116</v>
      </c>
      <c r="AW150" s="41" t="str">
        <f>INDEX(Input!$1:$1048576,AW$93,$C150*2+6)</f>
        <v>Kia</v>
      </c>
      <c r="AX150" s="41" t="str">
        <f>INDEX(Input!$1:$1048576,AX$93,$C150*2+6)</f>
        <v>Kia-LR - L1</v>
      </c>
      <c r="AY150" s="41" t="str">
        <f>IF(LEN(D150)=0,"",INDEX(Input!$1:$1048576,AY$93,$C150*2+6))</f>
        <v>Compact Conventional/Sporty Car (43)</v>
      </c>
      <c r="AZ150" s="41" t="str">
        <f>INDEX(Input!$1:$1048576,AZ$93,$C150*2+6)</f>
        <v>Kia Forte</v>
      </c>
      <c r="BA150" s="3">
        <f>INDEX(Input!$1:$1048576,BA$93,$C150*2+6)</f>
        <v>2020</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19695</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4"/>
        <v>2250</v>
      </c>
      <c r="CJ150" s="16" t="str">
        <f>INDEX(Input!$1:$1048576,CJ$93,$C150*2+6)</f>
        <v>N</v>
      </c>
      <c r="CK150" s="1" t="str">
        <f t="shared" si="75"/>
        <v>Market</v>
      </c>
      <c r="CL150" s="1" t="str">
        <f t="shared" si="76"/>
        <v>Market</v>
      </c>
      <c r="CM150" s="1" t="str">
        <f t="shared" si="77"/>
        <v>Market</v>
      </c>
      <c r="CN150" s="1" t="str">
        <f t="shared" si="78"/>
        <v>Market</v>
      </c>
      <c r="CO150" s="1" t="str">
        <f t="shared" si="79"/>
        <v>Market</v>
      </c>
      <c r="CP150" s="304">
        <f t="shared" si="80"/>
        <v>0</v>
      </c>
      <c r="CQ150" s="1">
        <f t="shared" si="81"/>
        <v>0</v>
      </c>
      <c r="CR150" s="1">
        <f t="shared" si="82"/>
        <v>0</v>
      </c>
      <c r="CS150" s="1">
        <f t="shared" si="83"/>
        <v>0</v>
      </c>
      <c r="CT150" s="1">
        <f t="shared" si="84"/>
        <v>1.9E-2</v>
      </c>
      <c r="CU150" s="1">
        <f t="shared" si="85"/>
        <v>3.9E-2</v>
      </c>
      <c r="CV150" s="304">
        <f t="shared" si="86"/>
        <v>2466</v>
      </c>
      <c r="CW150" s="20" t="s">
        <v>122</v>
      </c>
      <c r="CX150" s="20" t="s">
        <v>122</v>
      </c>
      <c r="CY150" s="20" t="s">
        <v>122</v>
      </c>
      <c r="CZ150" s="20" t="s">
        <v>122</v>
      </c>
      <c r="DA150" s="20" t="s">
        <v>122</v>
      </c>
      <c r="DB150" s="503">
        <f t="shared" si="87"/>
        <v>0</v>
      </c>
      <c r="DC150" s="127">
        <v>0</v>
      </c>
      <c r="DD150" s="127">
        <v>0</v>
      </c>
      <c r="DE150" s="127">
        <v>0</v>
      </c>
      <c r="DF150" s="127">
        <v>0</v>
      </c>
      <c r="DG150" s="127">
        <v>0</v>
      </c>
      <c r="DH150" s="127">
        <v>0</v>
      </c>
      <c r="DI150" s="127">
        <v>0</v>
      </c>
      <c r="DJ150" s="127">
        <v>0</v>
      </c>
      <c r="DK150" s="127">
        <v>0</v>
      </c>
      <c r="DL150" s="127">
        <v>0</v>
      </c>
      <c r="DM150" s="304">
        <f>INDEX(Input!$1:$1048576,DM$93,$C150*2+6)</f>
        <v>20731.578947368424</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1.9569158818414003E-2</v>
      </c>
      <c r="DZ150" s="7">
        <v>0</v>
      </c>
      <c r="EA150" s="7">
        <v>0.30105512760796926</v>
      </c>
      <c r="EB150" s="7">
        <v>0</v>
      </c>
      <c r="EC150" s="7">
        <v>0</v>
      </c>
      <c r="ED150" s="7">
        <v>0</v>
      </c>
      <c r="EE150" s="7">
        <v>0</v>
      </c>
      <c r="EF150" s="7">
        <v>0</v>
      </c>
      <c r="EG150" s="7">
        <v>0</v>
      </c>
      <c r="EH150" s="7">
        <v>1.9867163211649871E-2</v>
      </c>
      <c r="EI150" s="7">
        <v>3.5734944822064241E-2</v>
      </c>
      <c r="EJ150" s="7">
        <v>0.28104141462213034</v>
      </c>
      <c r="EK150" s="7">
        <v>0.62010092925970739</v>
      </c>
      <c r="EL150" s="7">
        <v>4.3255548084448141E-2</v>
      </c>
      <c r="EM150" s="7">
        <v>1.3963614887443548E-2</v>
      </c>
      <c r="EN150" s="7">
        <v>5.4991458321761208E-2</v>
      </c>
      <c r="EO150" s="7">
        <v>0.54346350462336079</v>
      </c>
      <c r="EP150" s="7">
        <v>0.30989234739924154</v>
      </c>
      <c r="EQ150" s="7">
        <v>5.3241409624822607E-2</v>
      </c>
      <c r="ER150" s="7">
        <v>3.8411280030814003E-2</v>
      </c>
      <c r="ES150" s="7">
        <v>0.66541209868617324</v>
      </c>
      <c r="ET150" s="7">
        <v>0.67937571357361681</v>
      </c>
      <c r="EU150" s="6">
        <v>2600</v>
      </c>
      <c r="EV150" s="6">
        <v>0</v>
      </c>
      <c r="EW150" s="6">
        <v>2600</v>
      </c>
      <c r="EX150" s="6">
        <v>0</v>
      </c>
      <c r="EY150" s="6">
        <v>2631.5502763133163</v>
      </c>
      <c r="EZ150" s="6">
        <v>4462.9999999999991</v>
      </c>
      <c r="FA150" s="6">
        <v>0</v>
      </c>
      <c r="FB150" s="6">
        <v>0</v>
      </c>
      <c r="FC150" s="6">
        <v>0</v>
      </c>
      <c r="FD150" s="6">
        <v>0</v>
      </c>
      <c r="FE150" s="6">
        <v>0</v>
      </c>
      <c r="FF150" s="6">
        <v>0</v>
      </c>
      <c r="FG150" s="6">
        <v>0</v>
      </c>
      <c r="FH150" s="6">
        <v>1152.1208270377813</v>
      </c>
      <c r="FI150" s="6">
        <v>1531.4299904380621</v>
      </c>
      <c r="FJ150" s="6">
        <v>2070.7205842538219</v>
      </c>
      <c r="FK150" s="6">
        <v>1746.9903521590431</v>
      </c>
      <c r="FL150" s="6">
        <v>893.91433563489397</v>
      </c>
      <c r="FM150" s="6">
        <v>1781.5502763133163</v>
      </c>
      <c r="FN150" s="6">
        <v>0</v>
      </c>
      <c r="FO150" s="6">
        <v>0</v>
      </c>
      <c r="FP150" s="6">
        <v>0</v>
      </c>
      <c r="FQ150" s="6">
        <v>0</v>
      </c>
      <c r="FR150" s="6">
        <v>0</v>
      </c>
      <c r="FS150" s="6">
        <v>0</v>
      </c>
      <c r="FT150" s="7">
        <v>0.32062428642638324</v>
      </c>
      <c r="FU150" s="7">
        <v>1.3963614887443548E-2</v>
      </c>
      <c r="FV150" s="7">
        <v>0.66541209868617324</v>
      </c>
      <c r="FW150" s="6">
        <v>2600</v>
      </c>
      <c r="FX150" s="6">
        <v>2631.5502763133159</v>
      </c>
      <c r="FY150" s="6">
        <v>4462.9999999999991</v>
      </c>
      <c r="FZ150" s="6">
        <v>3077.4375890575293</v>
      </c>
      <c r="GA150" s="6">
        <v>3840.1032957603716</v>
      </c>
      <c r="GB150" s="6">
        <v>15854.896704239629</v>
      </c>
      <c r="GC150" s="7">
        <v>7.0901643973087014E-2</v>
      </c>
      <c r="GD150" s="7">
        <v>7.9801634956135639E-2</v>
      </c>
      <c r="GE150" s="7"/>
      <c r="GF150" s="7"/>
      <c r="GG150" s="7">
        <v>0.12552587619021782</v>
      </c>
      <c r="GH150" s="42">
        <v>3.2415671897118576</v>
      </c>
      <c r="GI150" s="6">
        <v>9915.868148794525</v>
      </c>
      <c r="GJ150" s="14">
        <v>0.5107463060103955</v>
      </c>
      <c r="GK150" s="14">
        <v>0.5082951978616097</v>
      </c>
      <c r="GL150" s="14">
        <v>0.48925369398960433</v>
      </c>
      <c r="GM150" s="14">
        <v>0.49170480213839035</v>
      </c>
      <c r="GO150" s="5">
        <v>338.16872463277008</v>
      </c>
      <c r="GP150" s="5">
        <v>288.56568471597211</v>
      </c>
      <c r="GQ150" s="5">
        <v>527.27910984145694</v>
      </c>
      <c r="GR150" s="5">
        <v>404.20319246551543</v>
      </c>
      <c r="GS150" s="5">
        <v>334.50205195691484</v>
      </c>
      <c r="GT150" s="5">
        <v>289.18266033348181</v>
      </c>
      <c r="GU150" s="5">
        <v>254.29573314828914</v>
      </c>
      <c r="GV150" s="39" t="s">
        <v>392</v>
      </c>
      <c r="GW150" s="5">
        <v>468.76388888888891</v>
      </c>
      <c r="GX150" s="5">
        <v>351.57291666666669</v>
      </c>
      <c r="GY150" s="5">
        <v>281.25833333333333</v>
      </c>
      <c r="GZ150" s="5">
        <v>248.18079879493993</v>
      </c>
      <c r="HA150" s="5">
        <v>229.8919505212948</v>
      </c>
      <c r="HB150" s="39">
        <v>264.76293361772161</v>
      </c>
      <c r="HC150" s="5">
        <v>87.859375</v>
      </c>
      <c r="HD150" s="5">
        <v>103.05546418128652</v>
      </c>
      <c r="HE150" s="5">
        <v>113.73246879217274</v>
      </c>
      <c r="HF150" s="5">
        <v>114.49629934210526</v>
      </c>
      <c r="HG150" s="5">
        <v>122.034100877193</v>
      </c>
      <c r="HH150" s="39">
        <v>106.86665101845686</v>
      </c>
      <c r="HI150" s="16"/>
      <c r="HJ150" s="19" t="str">
        <f t="shared" ref="HJ150" si="373">HJ149</f>
        <v>On</v>
      </c>
      <c r="HK150" s="1" t="str">
        <f t="shared" si="108"/>
        <v>On</v>
      </c>
      <c r="HL150" s="16"/>
      <c r="HM150" s="639">
        <f t="shared" si="261"/>
        <v>1.7699001661282989E-2</v>
      </c>
      <c r="HN150" s="639">
        <f t="shared" si="262"/>
        <v>1.0509929974846072E-3</v>
      </c>
      <c r="HO150" s="639">
        <f t="shared" si="263"/>
        <v>5.7398960259851091E-2</v>
      </c>
      <c r="HP150" s="644">
        <f>(FT150*$GD150-HM150)/$JF150*INDEX(Input!$1:$1048576,$JG$93,$C150*2+6)</f>
        <v>101.29908042969814</v>
      </c>
      <c r="HQ150" s="644">
        <f>(FU150*$GD150-HN150)/$JF150*INDEX(Input!$1:$1048576,$JG$93,$C150*2+6)</f>
        <v>0.81331545374359437</v>
      </c>
      <c r="HR150" s="644">
        <f>(FV150*$GD150-HO150)/$JF150*INDEX(Input!$1:$1048576,$JG$93,$C150*2+6)</f>
        <v>-55.200116121895967</v>
      </c>
      <c r="HS150" s="644">
        <f t="shared" si="264"/>
        <v>-0.13917966391394979</v>
      </c>
      <c r="HT150" s="644">
        <f t="shared" si="265"/>
        <v>2.1246377763168418</v>
      </c>
      <c r="HU150" s="644">
        <f t="shared" si="266"/>
        <v>7.5345308126833048</v>
      </c>
      <c r="HV150" s="648">
        <f t="shared" si="267"/>
        <v>0</v>
      </c>
      <c r="HW150" s="648">
        <f t="shared" si="268"/>
        <v>0</v>
      </c>
      <c r="HX150" s="648">
        <f t="shared" si="269"/>
        <v>0</v>
      </c>
      <c r="HY150" s="644">
        <f>INDEX(Input!$1:$1048576,HY$93,$C150*2+6)*INDEX(Input!$1:$1048576,$JG$93,$C150*2+6)</f>
        <v>154.99999999999997</v>
      </c>
      <c r="HZ150" s="644">
        <f>INDEX(Input!$1:$1048576,HZ$93,$C150*2+6)*INDEX(Input!$1:$1048576,$JG$93,$C150*2+6)</f>
        <v>140</v>
      </c>
      <c r="IA150" s="644">
        <f>INDEX(Input!$1:$1048576,IA$93,$C150*2+6)*INDEX(Input!$1:$1048576,$JG$93,$C150*2+6)</f>
        <v>683</v>
      </c>
      <c r="IB150" s="644">
        <f t="shared" si="249"/>
        <v>256.15990076578407</v>
      </c>
      <c r="IC150" s="644">
        <f t="shared" si="172"/>
        <v>142.93795323006043</v>
      </c>
      <c r="ID150" s="644">
        <f>IF(AND(INDEX(Input!$1:$1048576,IA$93,$C150*2+7)="TOS",Y150&lt;=INDEX(Y:Y,MATCH(C150*1000+2,A:A))),0,1)*MAX(IA150+HR150+HU150+HX150,0%)</f>
        <v>635.33441469078741</v>
      </c>
      <c r="IE150" s="128">
        <f t="shared" si="270"/>
        <v>0.24763332363076587</v>
      </c>
      <c r="IF150" s="128">
        <f t="shared" si="174"/>
        <v>0.13818009893633904</v>
      </c>
      <c r="IG150" s="128">
        <f t="shared" si="175"/>
        <v>0.61418657743289506</v>
      </c>
      <c r="IH150" s="21"/>
      <c r="II150" s="19">
        <f t="shared" si="271"/>
        <v>1200</v>
      </c>
      <c r="IJ150" s="19">
        <f t="shared" si="272"/>
        <v>2231.5502763133163</v>
      </c>
      <c r="IK150" s="19">
        <f t="shared" si="273"/>
        <v>4498</v>
      </c>
      <c r="IL150" s="19">
        <f t="shared" si="176"/>
        <v>1400</v>
      </c>
      <c r="IM150" s="19">
        <f t="shared" si="177"/>
        <v>399.99999999999955</v>
      </c>
      <c r="IN150" s="19">
        <f t="shared" si="178"/>
        <v>-35.000000000000909</v>
      </c>
      <c r="IO150" s="39">
        <f t="shared" si="274"/>
        <v>0</v>
      </c>
      <c r="IP150" s="39">
        <f t="shared" si="275"/>
        <v>0</v>
      </c>
      <c r="IQ150" s="39">
        <f t="shared" si="276"/>
        <v>0</v>
      </c>
      <c r="IR150" s="39">
        <v>0</v>
      </c>
      <c r="IS150" s="39">
        <v>0</v>
      </c>
      <c r="IT150" s="39">
        <v>0</v>
      </c>
      <c r="IU150" s="39">
        <v>0</v>
      </c>
      <c r="IV150" s="39">
        <v>0</v>
      </c>
      <c r="IW150" s="39">
        <v>0</v>
      </c>
      <c r="IX150" s="39">
        <f>INDEX(Input!$1:$1048576,IX$93,$C150*2+6)+INDEX(Input!$1:$1048576,IX$94,$C150*2+6)</f>
        <v>1600</v>
      </c>
      <c r="IY150" s="39">
        <f>INDEX(Input!$1:$1048576,IY$93,$C150*2+6)+INDEX(Input!$1:$1048576,IY$94,$C150*2+6)</f>
        <v>2503.5492916397525</v>
      </c>
      <c r="IZ150" s="39">
        <f>INDEX(Input!$1:$1048576,IZ$93,$C150*2+6)+INDEX(Input!$1:$1048576,IZ$94,$C150*2+6)</f>
        <v>6273.7109265464023</v>
      </c>
      <c r="JA150" s="19">
        <f t="shared" si="179"/>
        <v>3000</v>
      </c>
      <c r="JB150" s="19">
        <f t="shared" si="180"/>
        <v>2903.549291639752</v>
      </c>
      <c r="JC150" s="19">
        <f t="shared" si="181"/>
        <v>6238.7109265464014</v>
      </c>
      <c r="JD150" s="19">
        <f t="shared" si="182"/>
        <v>4975.8452108463553</v>
      </c>
      <c r="JE150" s="21"/>
      <c r="JF150" s="1">
        <f t="shared" si="277"/>
        <v>7.6148954918618686E-2</v>
      </c>
      <c r="JG150" s="15">
        <f>INDEX(Input!$1:$1048576,JG$93,$C150*2+6)/(1+VLOOKUP(C150*1000+INDEX(Input!$1:$1048576,JG$93+1,$C150*2+6),$A:$KK,$JK$92,FALSE))</f>
        <v>978</v>
      </c>
      <c r="JH150" s="1">
        <f t="shared" si="251"/>
        <v>4.796756621834946E-2</v>
      </c>
      <c r="JI150" s="1">
        <f t="shared" si="252"/>
        <v>9.7341400052006113E-3</v>
      </c>
      <c r="JJ150" s="1">
        <f t="shared" si="253"/>
        <v>0</v>
      </c>
      <c r="JK150" s="1">
        <f t="shared" si="254"/>
        <v>5.7701706223550073E-2</v>
      </c>
      <c r="JL150" s="15">
        <f t="shared" si="184"/>
        <v>56.432268686631971</v>
      </c>
      <c r="JM150" s="15">
        <f t="shared" si="185"/>
        <v>1034.4322686866319</v>
      </c>
      <c r="JN150" s="21"/>
      <c r="JO150" s="19">
        <f>INDEX(Input!$1:$1048576,JO$93,$C150*2+6)</f>
        <v>5908.5</v>
      </c>
      <c r="JP150" s="19">
        <f>INDEX(Input!$1:$1048576,JP$93,$C150*2+6)</f>
        <v>4993.2939301234746</v>
      </c>
      <c r="JQ150" s="39">
        <f t="shared" si="186"/>
        <v>932.65478915364474</v>
      </c>
      <c r="JR150" s="39">
        <f t="shared" si="187"/>
        <v>-17.44871927711938</v>
      </c>
      <c r="JS150" s="39">
        <f t="shared" si="188"/>
        <v>5.147174850089308</v>
      </c>
      <c r="JT150" s="39">
        <f t="shared" si="189"/>
        <v>0.26373338642854988</v>
      </c>
      <c r="JU150" s="385">
        <f>(JQ150*JM150-INDEX(Input!$1:$1048576,Input!A$18,$C150*2+6)*JL150*INDEX(Input!$1:$1048576,Input!A$19,$C150*2+6))/1000000</f>
        <v>0.96476820944565711</v>
      </c>
      <c r="JV150" s="39">
        <f t="shared" si="192"/>
        <v>6.9696673106415363E-2</v>
      </c>
      <c r="JW150" s="1">
        <f t="shared" si="190"/>
        <v>7.7867153938855196E-2</v>
      </c>
      <c r="JX150" s="19">
        <f t="shared" si="191"/>
        <v>4673.4500059364918</v>
      </c>
      <c r="JZ150" s="341"/>
      <c r="KA150" s="342"/>
      <c r="KB150" s="469">
        <f t="shared" si="110"/>
        <v>3.2656316020464753</v>
      </c>
      <c r="KI150" s="473">
        <f t="shared" si="278"/>
        <v>101.1599007657841</v>
      </c>
      <c r="KJ150" s="473">
        <f t="shared" si="279"/>
        <v>2.9379532300604296</v>
      </c>
      <c r="KK150" s="473">
        <f t="shared" si="257"/>
        <v>-47.665585309212588</v>
      </c>
      <c r="KN150" s="544">
        <f t="shared" si="258"/>
        <v>1002</v>
      </c>
      <c r="KO150" s="541">
        <f t="shared" si="280"/>
        <v>-2.2376896748274588E-2</v>
      </c>
      <c r="KP150" s="546">
        <f t="shared" si="281"/>
        <v>26.526155754923678</v>
      </c>
      <c r="KQ150" s="546">
        <f t="shared" si="282"/>
        <v>-378.60868912908518</v>
      </c>
      <c r="KR150" s="548">
        <f t="shared" si="283"/>
        <v>-12.097377485034098</v>
      </c>
      <c r="KS150" s="548">
        <f t="shared" si="284"/>
        <v>0.84756881869848699</v>
      </c>
      <c r="KT150" s="473">
        <f t="shared" si="112"/>
        <v>-82.310573396665475</v>
      </c>
      <c r="KU150" s="663">
        <f t="shared" si="285"/>
        <v>-53.701481784751167</v>
      </c>
      <c r="KV150" s="117"/>
    </row>
    <row r="151" spans="1:308" s="26" customFormat="1" ht="15" outlineLevel="1">
      <c r="A151" s="561">
        <f t="shared" si="168"/>
        <v>1051</v>
      </c>
      <c r="B151" s="561">
        <f t="shared" si="104"/>
        <v>51</v>
      </c>
      <c r="C151" s="561">
        <f t="shared" si="105"/>
        <v>1</v>
      </c>
      <c r="D151" s="561" t="str">
        <f t="shared" si="287"/>
        <v xml:space="preserve">0/0/0.9/3.9, -360 Lease, </v>
      </c>
      <c r="E151" s="475">
        <f>INDEX(Input!$1:$1048576,E$93,$C151*2+MIN($B151,2)+5)
+INDEX(Scenarios!E$121:E$200,MATCH($B151,Scenarios!$B$121:$B$200,0))</f>
        <v>1250</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8.9999999999999993E-3</v>
      </c>
      <c r="W151" s="863">
        <f>IFERROR(MAX(0,INDEX(Input!$1:$1048576,W$93,$C151*2+MIN($B151,2)+5)-0%,),"Market")</f>
        <v>3.9E-2</v>
      </c>
      <c r="X151" s="476" t="str">
        <f>INDEX(Input!$1:$1048576,X$93,$C151*2+MIN($B151,2)+5)</f>
        <v>Y</v>
      </c>
      <c r="Y151" s="475">
        <f>INDEX(Input!$1:$1048576,Y$93,$C151*2+MIN($B151,2)+5)
++INDEX(Scenarios!Y$121:Y$200,MATCH($B151,Scenarios!$B$121:$B$200,0))</f>
        <v>2466</v>
      </c>
      <c r="Z151" s="477">
        <f>INDEX(Input!$1:$1048576,Z$93,$C151*2+MIN($B151,2)+5)
+INDEX(Scenarios!Z$121:Z$200,MATCH($B151,Scenarios!$B$121:$B$200,0))</f>
        <v>0</v>
      </c>
      <c r="AA151" s="475">
        <f>INDEX(Input!$1:$1048576,AA$93,$C151*2+MIN($B151,2)+5)</f>
        <v>0</v>
      </c>
      <c r="AB151" s="476">
        <f>INDEX(Input!$1:$1048576,AB$93,$C151*2+MIN($B151,2)+5)</f>
        <v>1</v>
      </c>
      <c r="AC151" s="475">
        <f>INDEX(Input!$1:$1048576,AC$93,$C151*2+MIN($B151,2)+5)
+INDEX(Scenarios!AC$121:AC$200,MATCH($B151,Scenarios!$B$121:$B$200,0))</f>
        <v>0</v>
      </c>
      <c r="AD151" s="476">
        <f>INDEX(Input!$1:$1048576,AD$93,$C151*2+MIN($B151,2)+5)</f>
        <v>0.35</v>
      </c>
      <c r="AE151" s="475">
        <f>INDEX(Input!$1:$1048576,AE$93,$C151*2+MIN($B151,2)+5)
+INDEX(Scenarios!AE$121:AE$200,MATCH($B151,Scenarios!$B$121:$B$200,0))</f>
        <v>0</v>
      </c>
      <c r="AF151" s="476">
        <f>INDEX(Input!$1:$1048576,AF$93,$C151*2+MIN($B151,2)+5)</f>
        <v>1</v>
      </c>
      <c r="AG151" s="475">
        <f>INDEX(Input!$1:$1048576,AG$93,$C151*2+MIN($B151,2)+5)
+INDEX(Scenarios!AG$121:AG$200,MATCH($B151,Scenarios!$B$121:$B$200,0))</f>
        <v>0</v>
      </c>
      <c r="AH151" s="476">
        <f>INDEX(Input!$1:$1048576,AH$93,$C151*2+MIN($B151,2)+5)</f>
        <v>1</v>
      </c>
      <c r="AI151" s="475">
        <f>INDEX(Input!$1:$1048576,AI$93,$C151*2+MIN($B151,2)+5)
+INDEX(Scenarios!AI$121:AI$200,MATCH($B151,Scenarios!$B$121:$B$200,0))</f>
        <v>0</v>
      </c>
      <c r="AJ151" s="476">
        <f>INDEX(Input!$1:$1048576,AJ$93,$C151*2+MIN($B151,2)+5)</f>
        <v>0.35</v>
      </c>
      <c r="AK151" s="150">
        <f>ROUND(INDEX(Input!$1:$1048576,AK$93,$C150*2+MIN($B151,1)+5)+(Y151-VLOOKUP($C151*1000+1,$A:$HH,Y$92,FALSE)),0)</f>
        <v>5122</v>
      </c>
      <c r="AL151" s="150">
        <f>ROUND(INDEX(Input!$1:$1048576,AL$93,$C150*2+MIN($B151,1)+5)-(Y151-VLOOKUP($C151*1000+1,$A:$HH,Y$92,FALSE))/36,0)</f>
        <v>5612</v>
      </c>
      <c r="AM151" s="32" t="str">
        <f t="shared" si="169"/>
        <v>std/std/std/std</v>
      </c>
      <c r="AN151" s="32" t="str">
        <f t="shared" si="170"/>
        <v>$0 + 0/0/0/0.9/3.9</v>
      </c>
      <c r="AO151" s="32" t="str">
        <f t="shared" si="171"/>
        <v>0/0/0/0.9/3.9</v>
      </c>
      <c r="AP151" s="32" t="str">
        <f t="shared" si="73"/>
        <v>0/0/0.9/3.9</v>
      </c>
      <c r="AQ151" s="536">
        <f t="shared" si="39"/>
        <v>0.17901143047987914</v>
      </c>
      <c r="AR151" s="32"/>
      <c r="AS151" s="302"/>
      <c r="AT151" s="3">
        <f t="shared" si="106"/>
        <v>51</v>
      </c>
      <c r="AU151" s="41" t="s">
        <v>121</v>
      </c>
      <c r="AV151" s="41" t="s">
        <v>116</v>
      </c>
      <c r="AW151" s="41" t="str">
        <f>INDEX(Input!$1:$1048576,AW$93,$C151*2+6)</f>
        <v>Kia</v>
      </c>
      <c r="AX151" s="41" t="str">
        <f>INDEX(Input!$1:$1048576,AX$93,$C151*2+6)</f>
        <v>Kia-LR - L1</v>
      </c>
      <c r="AY151" s="41" t="str">
        <f>IF(LEN(D151)=0,"",INDEX(Input!$1:$1048576,AY$93,$C151*2+6))</f>
        <v>Compact Conventional/Sporty Car (43)</v>
      </c>
      <c r="AZ151" s="41" t="str">
        <f>INDEX(Input!$1:$1048576,AZ$93,$C151*2+6)</f>
        <v>Kia Forte</v>
      </c>
      <c r="BA151" s="3">
        <f>INDEX(Input!$1:$1048576,BA$93,$C151*2+6)</f>
        <v>2020</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19695</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4"/>
        <v>1250</v>
      </c>
      <c r="CJ151" s="16" t="str">
        <f>INDEX(Input!$1:$1048576,CJ$93,$C151*2+6)</f>
        <v>N</v>
      </c>
      <c r="CK151" s="1" t="str">
        <f t="shared" si="75"/>
        <v>Market</v>
      </c>
      <c r="CL151" s="1" t="str">
        <f t="shared" si="76"/>
        <v>Market</v>
      </c>
      <c r="CM151" s="1" t="str">
        <f t="shared" si="77"/>
        <v>Market</v>
      </c>
      <c r="CN151" s="1" t="str">
        <f t="shared" si="78"/>
        <v>Market</v>
      </c>
      <c r="CO151" s="1" t="str">
        <f t="shared" si="79"/>
        <v>Market</v>
      </c>
      <c r="CP151" s="304">
        <f t="shared" si="80"/>
        <v>0</v>
      </c>
      <c r="CQ151" s="1">
        <f t="shared" si="81"/>
        <v>0</v>
      </c>
      <c r="CR151" s="1">
        <f t="shared" si="82"/>
        <v>0</v>
      </c>
      <c r="CS151" s="1">
        <f t="shared" si="83"/>
        <v>0</v>
      </c>
      <c r="CT151" s="1">
        <f t="shared" si="84"/>
        <v>8.9999999999999993E-3</v>
      </c>
      <c r="CU151" s="1">
        <f t="shared" si="85"/>
        <v>3.9E-2</v>
      </c>
      <c r="CV151" s="304">
        <f t="shared" si="86"/>
        <v>2466</v>
      </c>
      <c r="CW151" s="20" t="s">
        <v>122</v>
      </c>
      <c r="CX151" s="20" t="s">
        <v>122</v>
      </c>
      <c r="CY151" s="20" t="s">
        <v>122</v>
      </c>
      <c r="CZ151" s="20" t="s">
        <v>122</v>
      </c>
      <c r="DA151" s="20" t="s">
        <v>122</v>
      </c>
      <c r="DB151" s="503">
        <f t="shared" si="87"/>
        <v>0</v>
      </c>
      <c r="DC151" s="127">
        <v>0</v>
      </c>
      <c r="DD151" s="127">
        <v>0</v>
      </c>
      <c r="DE151" s="127">
        <v>0</v>
      </c>
      <c r="DF151" s="127">
        <v>0</v>
      </c>
      <c r="DG151" s="127">
        <v>0</v>
      </c>
      <c r="DH151" s="127">
        <v>0</v>
      </c>
      <c r="DI151" s="127">
        <v>0</v>
      </c>
      <c r="DJ151" s="127">
        <v>0</v>
      </c>
      <c r="DK151" s="127">
        <v>0</v>
      </c>
      <c r="DL151" s="127">
        <v>0</v>
      </c>
      <c r="DM151" s="304">
        <f>INDEX(Input!$1:$1048576,DM$93,$C151*2+6)</f>
        <v>20731.578947368424</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1.5363789340946938E-2</v>
      </c>
      <c r="DZ151" s="7">
        <v>0</v>
      </c>
      <c r="EA151" s="7">
        <v>0.24038262388751352</v>
      </c>
      <c r="EB151" s="7">
        <v>0</v>
      </c>
      <c r="EC151" s="7">
        <v>0</v>
      </c>
      <c r="ED151" s="7">
        <v>0</v>
      </c>
      <c r="EE151" s="7">
        <v>0</v>
      </c>
      <c r="EF151" s="7">
        <v>0</v>
      </c>
      <c r="EG151" s="7">
        <v>0</v>
      </c>
      <c r="EH151" s="7">
        <v>1.4476869635993293E-2</v>
      </c>
      <c r="EI151" s="7">
        <v>2.603945677232274E-2</v>
      </c>
      <c r="EJ151" s="7">
        <v>0.20479017957701889</v>
      </c>
      <c r="EK151" s="7">
        <v>0.72317389939610388</v>
      </c>
      <c r="EL151" s="7">
        <v>3.1519594618561152E-2</v>
      </c>
      <c r="EM151" s="7">
        <v>2.0833345752069573E-2</v>
      </c>
      <c r="EN151" s="7">
        <v>5.4991458321761208E-2</v>
      </c>
      <c r="EO151" s="7">
        <v>0.54346350462336068</v>
      </c>
      <c r="EP151" s="7">
        <v>0.30989234739924137</v>
      </c>
      <c r="EQ151" s="7">
        <v>5.3241409624822607E-2</v>
      </c>
      <c r="ER151" s="7">
        <v>3.8411280030813996E-2</v>
      </c>
      <c r="ES151" s="7">
        <v>0.72342024101947</v>
      </c>
      <c r="ET151" s="7">
        <v>0.74425358677153952</v>
      </c>
      <c r="EU151" s="6">
        <v>1600</v>
      </c>
      <c r="EV151" s="6">
        <v>0</v>
      </c>
      <c r="EW151" s="6">
        <v>1600</v>
      </c>
      <c r="EX151" s="6">
        <v>0</v>
      </c>
      <c r="EY151" s="6">
        <v>2963.2578502881047</v>
      </c>
      <c r="EZ151" s="6">
        <v>4462.9999999999991</v>
      </c>
      <c r="FA151" s="6">
        <v>0</v>
      </c>
      <c r="FB151" s="6">
        <v>0</v>
      </c>
      <c r="FC151" s="6">
        <v>0</v>
      </c>
      <c r="FD151" s="6">
        <v>0</v>
      </c>
      <c r="FE151" s="6">
        <v>0</v>
      </c>
      <c r="FF151" s="6">
        <v>0</v>
      </c>
      <c r="FG151" s="6">
        <v>0</v>
      </c>
      <c r="FH151" s="6">
        <v>1152.1208270377815</v>
      </c>
      <c r="FI151" s="6">
        <v>1531.4299904380623</v>
      </c>
      <c r="FJ151" s="6">
        <v>2070.7205842538224</v>
      </c>
      <c r="FK151" s="6">
        <v>2218.6393698501024</v>
      </c>
      <c r="FL151" s="6">
        <v>893.91433563489375</v>
      </c>
      <c r="FM151" s="6">
        <v>2113.2578502881047</v>
      </c>
      <c r="FN151" s="6">
        <v>0</v>
      </c>
      <c r="FO151" s="6">
        <v>0</v>
      </c>
      <c r="FP151" s="6">
        <v>0</v>
      </c>
      <c r="FQ151" s="6">
        <v>0</v>
      </c>
      <c r="FR151" s="6">
        <v>0</v>
      </c>
      <c r="FS151" s="6">
        <v>0</v>
      </c>
      <c r="FT151" s="7">
        <v>0.25574641322846048</v>
      </c>
      <c r="FU151" s="7">
        <v>2.0833345752069573E-2</v>
      </c>
      <c r="FV151" s="7">
        <v>0.72342024101947</v>
      </c>
      <c r="FW151" s="6">
        <v>1599.9999999999998</v>
      </c>
      <c r="FX151" s="6">
        <v>2963.2578502881047</v>
      </c>
      <c r="FY151" s="6">
        <v>4462.9999999999991</v>
      </c>
      <c r="FZ151" s="6">
        <v>3077.4375890575293</v>
      </c>
      <c r="GA151" s="6">
        <v>3699.5533721830175</v>
      </c>
      <c r="GB151" s="6">
        <v>15995.446627816982</v>
      </c>
      <c r="GC151" s="7">
        <v>7.0901643973087014E-2</v>
      </c>
      <c r="GD151" s="7">
        <v>7.7038646129184943E-2</v>
      </c>
      <c r="GE151" s="7"/>
      <c r="GF151" s="7"/>
      <c r="GG151" s="7">
        <v>8.6556556550753949E-2</v>
      </c>
      <c r="GH151" s="42">
        <v>2.7402156117991217</v>
      </c>
      <c r="GI151" s="6">
        <v>10886.943997648808</v>
      </c>
      <c r="GJ151" s="14">
        <v>0.51074630601039539</v>
      </c>
      <c r="GK151" s="14">
        <v>0.5082951978616097</v>
      </c>
      <c r="GL151" s="14">
        <v>0.4892536939896045</v>
      </c>
      <c r="GM151" s="14">
        <v>0.49170480213839035</v>
      </c>
      <c r="GO151" s="5">
        <v>338.16872463277008</v>
      </c>
      <c r="GP151" s="5">
        <v>307.64377699166363</v>
      </c>
      <c r="GQ151" s="5">
        <v>527.27910984145694</v>
      </c>
      <c r="GR151" s="5">
        <v>404.20319246551543</v>
      </c>
      <c r="GS151" s="5">
        <v>334.50205195691484</v>
      </c>
      <c r="GT151" s="5">
        <v>289.18266033348181</v>
      </c>
      <c r="GU151" s="5">
        <v>254.29573314828914</v>
      </c>
      <c r="GV151" s="39" t="s">
        <v>392</v>
      </c>
      <c r="GW151" s="5">
        <v>468.76388888888891</v>
      </c>
      <c r="GX151" s="5">
        <v>351.57291666666669</v>
      </c>
      <c r="GY151" s="5">
        <v>281.25833333333333</v>
      </c>
      <c r="GZ151" s="5">
        <v>240.8550698915011</v>
      </c>
      <c r="HA151" s="5">
        <v>229.8919505212948</v>
      </c>
      <c r="HB151" s="39">
        <v>254.96614723549266</v>
      </c>
      <c r="HC151" s="5">
        <v>87.859375</v>
      </c>
      <c r="HD151" s="5">
        <v>103.05546418128652</v>
      </c>
      <c r="HE151" s="5">
        <v>113.73246879217274</v>
      </c>
      <c r="HF151" s="5">
        <v>114.49629934210526</v>
      </c>
      <c r="HG151" s="5">
        <v>122.034100877193</v>
      </c>
      <c r="HH151" s="39">
        <v>106.86665101845684</v>
      </c>
      <c r="HI151" s="16"/>
      <c r="HJ151" s="19" t="str">
        <f t="shared" ref="HJ151" si="374">HJ150</f>
        <v>On</v>
      </c>
      <c r="HK151" s="1" t="str">
        <f t="shared" si="108"/>
        <v>On</v>
      </c>
      <c r="HL151" s="16"/>
      <c r="HM151" s="639">
        <f t="shared" si="261"/>
        <v>1.7699001661282989E-2</v>
      </c>
      <c r="HN151" s="639">
        <f t="shared" si="262"/>
        <v>1.0509929974846072E-3</v>
      </c>
      <c r="HO151" s="639">
        <f t="shared" si="263"/>
        <v>5.7398960259851091E-2</v>
      </c>
      <c r="HP151" s="644">
        <f>(FT151*$GD151-HM151)/$JF151*INDEX(Input!$1:$1048576,$JG$93,$C151*2+6)</f>
        <v>25.729597227821042</v>
      </c>
      <c r="HQ151" s="644">
        <f>(FU151*$GD151-HN151)/$JF151*INDEX(Input!$1:$1048576,$JG$93,$C151*2+6)</f>
        <v>7.1148999956197159</v>
      </c>
      <c r="HR151" s="644">
        <f>(FV151*$GD151-HO151)/$JF151*INDEX(Input!$1:$1048576,$JG$93,$C151*2+6)</f>
        <v>-21.417971345788096</v>
      </c>
      <c r="HS151" s="644">
        <f t="shared" si="264"/>
        <v>-0.25459703557275681</v>
      </c>
      <c r="HT151" s="644">
        <f t="shared" si="265"/>
        <v>17.785996594958622</v>
      </c>
      <c r="HU151" s="644">
        <f t="shared" si="266"/>
        <v>1.2179195827224514</v>
      </c>
      <c r="HV151" s="648">
        <f t="shared" si="267"/>
        <v>0</v>
      </c>
      <c r="HW151" s="648">
        <f t="shared" si="268"/>
        <v>0</v>
      </c>
      <c r="HX151" s="648">
        <f t="shared" si="269"/>
        <v>0</v>
      </c>
      <c r="HY151" s="644">
        <f>INDEX(Input!$1:$1048576,HY$93,$C151*2+6)*INDEX(Input!$1:$1048576,$JG$93,$C151*2+6)</f>
        <v>154.99999999999997</v>
      </c>
      <c r="HZ151" s="644">
        <f>INDEX(Input!$1:$1048576,HZ$93,$C151*2+6)*INDEX(Input!$1:$1048576,$JG$93,$C151*2+6)</f>
        <v>140</v>
      </c>
      <c r="IA151" s="644">
        <f>INDEX(Input!$1:$1048576,IA$93,$C151*2+6)*INDEX(Input!$1:$1048576,$JG$93,$C151*2+6)</f>
        <v>683</v>
      </c>
      <c r="IB151" s="644">
        <f t="shared" si="249"/>
        <v>180.47500019224833</v>
      </c>
      <c r="IC151" s="644">
        <f t="shared" si="172"/>
        <v>164.90089659057833</v>
      </c>
      <c r="ID151" s="644">
        <f>IF(AND(INDEX(Input!$1:$1048576,IA$93,$C151*2+7)="TOS",Y151&lt;=INDEX(Y:Y,MATCH(C151*1000+2,A:A))),0,1)*MAX(IA151+HR151+HU151+HX151,0%)</f>
        <v>662.79994823693426</v>
      </c>
      <c r="IE151" s="128">
        <f t="shared" si="270"/>
        <v>0.17901143047987914</v>
      </c>
      <c r="IF151" s="128">
        <f t="shared" si="174"/>
        <v>0.16356362573569314</v>
      </c>
      <c r="IG151" s="128">
        <f t="shared" si="175"/>
        <v>0.65742494378442773</v>
      </c>
      <c r="IH151" s="21"/>
      <c r="II151" s="19">
        <f t="shared" si="271"/>
        <v>1200</v>
      </c>
      <c r="IJ151" s="19">
        <f t="shared" si="272"/>
        <v>2231.5502763133163</v>
      </c>
      <c r="IK151" s="19">
        <f t="shared" si="273"/>
        <v>4498</v>
      </c>
      <c r="IL151" s="19">
        <f t="shared" si="176"/>
        <v>399.99999999999977</v>
      </c>
      <c r="IM151" s="19">
        <f t="shared" si="177"/>
        <v>731.70757397478837</v>
      </c>
      <c r="IN151" s="19">
        <f t="shared" si="178"/>
        <v>-35.000000000000909</v>
      </c>
      <c r="IO151" s="39">
        <f t="shared" si="274"/>
        <v>0</v>
      </c>
      <c r="IP151" s="39">
        <f t="shared" si="275"/>
        <v>0</v>
      </c>
      <c r="IQ151" s="39">
        <f t="shared" si="276"/>
        <v>0</v>
      </c>
      <c r="IR151" s="39">
        <v>0</v>
      </c>
      <c r="IS151" s="39">
        <v>0</v>
      </c>
      <c r="IT151" s="39">
        <v>0</v>
      </c>
      <c r="IU151" s="39">
        <v>0</v>
      </c>
      <c r="IV151" s="39">
        <v>0</v>
      </c>
      <c r="IW151" s="39">
        <v>0</v>
      </c>
      <c r="IX151" s="39">
        <f>INDEX(Input!$1:$1048576,IX$93,$C151*2+6)+INDEX(Input!$1:$1048576,IX$94,$C151*2+6)</f>
        <v>1600</v>
      </c>
      <c r="IY151" s="39">
        <f>INDEX(Input!$1:$1048576,IY$93,$C151*2+6)+INDEX(Input!$1:$1048576,IY$94,$C151*2+6)</f>
        <v>2503.5492916397525</v>
      </c>
      <c r="IZ151" s="39">
        <f>INDEX(Input!$1:$1048576,IZ$93,$C151*2+6)+INDEX(Input!$1:$1048576,IZ$94,$C151*2+6)</f>
        <v>6273.7109265464023</v>
      </c>
      <c r="JA151" s="19">
        <f t="shared" si="179"/>
        <v>1999.9999999999998</v>
      </c>
      <c r="JB151" s="19">
        <f t="shared" si="180"/>
        <v>3235.2568656145409</v>
      </c>
      <c r="JC151" s="19">
        <f t="shared" si="181"/>
        <v>6238.7109265464014</v>
      </c>
      <c r="JD151" s="19">
        <f t="shared" si="182"/>
        <v>4988.6773842580296</v>
      </c>
      <c r="JE151" s="21"/>
      <c r="JF151" s="1">
        <f t="shared" si="277"/>
        <v>7.6148954918618686E-2</v>
      </c>
      <c r="JG151" s="15">
        <f>INDEX(Input!$1:$1048576,JG$93,$C151*2+6)/(1+VLOOKUP(C151*1000+INDEX(Input!$1:$1048576,JG$93+1,$C151*2+6),$A:$KK,$JK$92,FALSE))</f>
        <v>978</v>
      </c>
      <c r="JH151" s="1">
        <f t="shared" si="251"/>
        <v>1.1683564292078383E-2</v>
      </c>
      <c r="JI151" s="1">
        <f t="shared" si="252"/>
        <v>1.9171082967390916E-2</v>
      </c>
      <c r="JJ151" s="1">
        <f t="shared" si="253"/>
        <v>0</v>
      </c>
      <c r="JK151" s="1">
        <f t="shared" si="254"/>
        <v>3.0854647259469299E-2</v>
      </c>
      <c r="JL151" s="15">
        <f t="shared" si="184"/>
        <v>30.175845019760974</v>
      </c>
      <c r="JM151" s="15">
        <f t="shared" si="185"/>
        <v>1008.175845019761</v>
      </c>
      <c r="JN151" s="21"/>
      <c r="JO151" s="19">
        <f>INDEX(Input!$1:$1048576,JO$93,$C151*2+6)</f>
        <v>5908.5</v>
      </c>
      <c r="JP151" s="19">
        <f>INDEX(Input!$1:$1048576,JP$93,$C151*2+6)</f>
        <v>4993.2939301234746</v>
      </c>
      <c r="JQ151" s="39">
        <f t="shared" si="186"/>
        <v>919.82261574197037</v>
      </c>
      <c r="JR151" s="39">
        <f t="shared" si="187"/>
        <v>-4.6165458654450049</v>
      </c>
      <c r="JS151" s="39">
        <f t="shared" si="188"/>
        <v>5.0294640374053099</v>
      </c>
      <c r="JT151" s="39">
        <f t="shared" si="189"/>
        <v>0.14602257374455221</v>
      </c>
      <c r="JU151" s="385">
        <f>(JQ151*JM151-INDEX(Input!$1:$1048576,Input!A$18,$C151*2+6)*JL151*INDEX(Input!$1:$1048576,Input!A$19,$C151*2+6))/1000000</f>
        <v>0.92734294289394792</v>
      </c>
      <c r="JV151" s="39">
        <f t="shared" si="192"/>
        <v>3.2271406554706172E-2</v>
      </c>
      <c r="JW151" s="1">
        <f t="shared" si="190"/>
        <v>3.6054555691373211E-2</v>
      </c>
      <c r="JX151" s="19">
        <f t="shared" si="191"/>
        <v>4839.0550007440643</v>
      </c>
      <c r="JZ151" s="341"/>
      <c r="KA151" s="342"/>
      <c r="KB151" s="469">
        <f t="shared" si="110"/>
        <v>3.2656316020464753</v>
      </c>
      <c r="KI151" s="473">
        <f t="shared" si="278"/>
        <v>25.475000192248388</v>
      </c>
      <c r="KJ151" s="473">
        <f t="shared" si="279"/>
        <v>24.900896590578355</v>
      </c>
      <c r="KK151" s="473">
        <f t="shared" si="257"/>
        <v>-20.20005176306563</v>
      </c>
      <c r="KN151" s="544">
        <f t="shared" si="258"/>
        <v>1002</v>
      </c>
      <c r="KO151" s="541">
        <f t="shared" si="280"/>
        <v>-4.7191364705745475E-2</v>
      </c>
      <c r="KP151" s="546">
        <f t="shared" si="281"/>
        <v>-182.41768627908689</v>
      </c>
      <c r="KQ151" s="546">
        <f t="shared" si="282"/>
        <v>-365.7765157174108</v>
      </c>
      <c r="KR151" s="548">
        <f t="shared" si="283"/>
        <v>3.7098921430810861</v>
      </c>
      <c r="KS151" s="548">
        <f t="shared" si="284"/>
        <v>1.8501732943638565</v>
      </c>
      <c r="KT151" s="473">
        <f t="shared" si="112"/>
        <v>-82.310573396665475</v>
      </c>
      <c r="KU151" s="663">
        <f t="shared" si="285"/>
        <v>-52.303984718809325</v>
      </c>
      <c r="KV151" s="117"/>
    </row>
    <row r="152" spans="1:308" s="26" customFormat="1" ht="15" outlineLevel="1">
      <c r="A152" s="561">
        <f t="shared" si="168"/>
        <v>1052</v>
      </c>
      <c r="B152" s="561">
        <f t="shared" si="104"/>
        <v>52</v>
      </c>
      <c r="C152" s="561">
        <f t="shared" si="105"/>
        <v>1</v>
      </c>
      <c r="D152" s="561" t="str">
        <f t="shared" si="287"/>
        <v xml:space="preserve">0/0/0/3.9, -360 Lease, </v>
      </c>
      <c r="E152" s="475">
        <f>INDEX(Input!$1:$1048576,E$93,$C152*2+MIN($B152,2)+5)
+INDEX(Scenarios!E$121:E$200,MATCH($B152,Scenarios!$B$121:$B$200,0))</f>
        <v>1250</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63">
        <f>IFERROR(MAX(0,INDEX(Input!$1:$1048576,W$93,$C152*2+MIN($B152,2)+5)-0%,),"Market")</f>
        <v>3.9E-2</v>
      </c>
      <c r="X152" s="476" t="str">
        <f>INDEX(Input!$1:$1048576,X$93,$C152*2+MIN($B152,2)+5)</f>
        <v>Y</v>
      </c>
      <c r="Y152" s="475">
        <f>INDEX(Input!$1:$1048576,Y$93,$C152*2+MIN($B152,2)+5)
++INDEX(Scenarios!Y$121:Y$200,MATCH($B152,Scenarios!$B$121:$B$200,0))</f>
        <v>2466</v>
      </c>
      <c r="Z152" s="477">
        <f>INDEX(Input!$1:$1048576,Z$93,$C152*2+MIN($B152,2)+5)
+INDEX(Scenarios!Z$121:Z$200,MATCH($B152,Scenarios!$B$121:$B$200,0))</f>
        <v>0</v>
      </c>
      <c r="AA152" s="475">
        <f>INDEX(Input!$1:$1048576,AA$93,$C152*2+MIN($B152,2)+5)</f>
        <v>0</v>
      </c>
      <c r="AB152" s="476">
        <f>INDEX(Input!$1:$1048576,AB$93,$C152*2+MIN($B152,2)+5)</f>
        <v>1</v>
      </c>
      <c r="AC152" s="475">
        <f>INDEX(Input!$1:$1048576,AC$93,$C152*2+MIN($B152,2)+5)
+INDEX(Scenarios!AC$121:AC$200,MATCH($B152,Scenarios!$B$121:$B$200,0))</f>
        <v>0</v>
      </c>
      <c r="AD152" s="476">
        <f>INDEX(Input!$1:$1048576,AD$93,$C152*2+MIN($B152,2)+5)</f>
        <v>0.35</v>
      </c>
      <c r="AE152" s="475">
        <f>INDEX(Input!$1:$1048576,AE$93,$C152*2+MIN($B152,2)+5)
+INDEX(Scenarios!AE$121:AE$200,MATCH($B152,Scenarios!$B$121:$B$200,0))</f>
        <v>0</v>
      </c>
      <c r="AF152" s="476">
        <f>INDEX(Input!$1:$1048576,AF$93,$C152*2+MIN($B152,2)+5)</f>
        <v>1</v>
      </c>
      <c r="AG152" s="475">
        <f>INDEX(Input!$1:$1048576,AG$93,$C152*2+MIN($B152,2)+5)
+INDEX(Scenarios!AG$121:AG$200,MATCH($B152,Scenarios!$B$121:$B$200,0))</f>
        <v>0</v>
      </c>
      <c r="AH152" s="476">
        <f>INDEX(Input!$1:$1048576,AH$93,$C152*2+MIN($B152,2)+5)</f>
        <v>1</v>
      </c>
      <c r="AI152" s="475">
        <f>INDEX(Input!$1:$1048576,AI$93,$C152*2+MIN($B152,2)+5)
+INDEX(Scenarios!AI$121:AI$200,MATCH($B152,Scenarios!$B$121:$B$200,0))</f>
        <v>0</v>
      </c>
      <c r="AJ152" s="476">
        <f>INDEX(Input!$1:$1048576,AJ$93,$C152*2+MIN($B152,2)+5)</f>
        <v>0.35</v>
      </c>
      <c r="AK152" s="150">
        <f>ROUND(INDEX(Input!$1:$1048576,AK$93,$C151*2+MIN($B152,1)+5)+(Y152-VLOOKUP($C152*1000+1,$A:$HH,Y$92,FALSE)),0)</f>
        <v>5122</v>
      </c>
      <c r="AL152" s="150">
        <f>ROUND(INDEX(Input!$1:$1048576,AL$93,$C151*2+MIN($B152,1)+5)-(Y152-VLOOKUP($C152*1000+1,$A:$HH,Y$92,FALSE))/36,0)</f>
        <v>5612</v>
      </c>
      <c r="AM152" s="32" t="str">
        <f t="shared" si="169"/>
        <v>std/std/std/std</v>
      </c>
      <c r="AN152" s="32" t="str">
        <f t="shared" si="170"/>
        <v>$0 + 0/0/0/0/3.9</v>
      </c>
      <c r="AO152" s="32" t="str">
        <f t="shared" si="171"/>
        <v>0/0/0/0/3.9</v>
      </c>
      <c r="AP152" s="32" t="str">
        <f t="shared" si="73"/>
        <v>0/0/0/3.9</v>
      </c>
      <c r="AQ152" s="536">
        <f t="shared" si="39"/>
        <v>0.17535670865665845</v>
      </c>
      <c r="AR152" s="32"/>
      <c r="AS152" s="302"/>
      <c r="AT152" s="3">
        <f t="shared" si="106"/>
        <v>52</v>
      </c>
      <c r="AU152" s="41" t="s">
        <v>121</v>
      </c>
      <c r="AV152" s="41" t="s">
        <v>116</v>
      </c>
      <c r="AW152" s="41" t="str">
        <f>INDEX(Input!$1:$1048576,AW$93,$C152*2+6)</f>
        <v>Kia</v>
      </c>
      <c r="AX152" s="41" t="str">
        <f>INDEX(Input!$1:$1048576,AX$93,$C152*2+6)</f>
        <v>Kia-LR - L1</v>
      </c>
      <c r="AY152" s="41" t="str">
        <f>IF(LEN(D152)=0,"",INDEX(Input!$1:$1048576,AY$93,$C152*2+6))</f>
        <v>Compact Conventional/Sporty Car (43)</v>
      </c>
      <c r="AZ152" s="41" t="str">
        <f>INDEX(Input!$1:$1048576,AZ$93,$C152*2+6)</f>
        <v>Kia Forte</v>
      </c>
      <c r="BA152" s="3">
        <f>INDEX(Input!$1:$1048576,BA$93,$C152*2+6)</f>
        <v>2020</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19695</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4"/>
        <v>1250</v>
      </c>
      <c r="CJ152" s="16" t="str">
        <f>INDEX(Input!$1:$1048576,CJ$93,$C152*2+6)</f>
        <v>N</v>
      </c>
      <c r="CK152" s="1" t="str">
        <f t="shared" si="75"/>
        <v>Market</v>
      </c>
      <c r="CL152" s="1" t="str">
        <f t="shared" si="76"/>
        <v>Market</v>
      </c>
      <c r="CM152" s="1" t="str">
        <f t="shared" si="77"/>
        <v>Market</v>
      </c>
      <c r="CN152" s="1" t="str">
        <f t="shared" si="78"/>
        <v>Market</v>
      </c>
      <c r="CO152" s="1" t="str">
        <f t="shared" si="79"/>
        <v>Market</v>
      </c>
      <c r="CP152" s="304">
        <f t="shared" si="80"/>
        <v>0</v>
      </c>
      <c r="CQ152" s="1">
        <f t="shared" si="81"/>
        <v>0</v>
      </c>
      <c r="CR152" s="1">
        <f t="shared" si="82"/>
        <v>0</v>
      </c>
      <c r="CS152" s="1">
        <f t="shared" si="83"/>
        <v>0</v>
      </c>
      <c r="CT152" s="1">
        <f t="shared" si="84"/>
        <v>0</v>
      </c>
      <c r="CU152" s="1">
        <f t="shared" si="85"/>
        <v>3.9E-2</v>
      </c>
      <c r="CV152" s="304">
        <f t="shared" si="86"/>
        <v>2466</v>
      </c>
      <c r="CW152" s="20" t="s">
        <v>122</v>
      </c>
      <c r="CX152" s="20" t="s">
        <v>122</v>
      </c>
      <c r="CY152" s="20" t="s">
        <v>122</v>
      </c>
      <c r="CZ152" s="20" t="s">
        <v>122</v>
      </c>
      <c r="DA152" s="20" t="s">
        <v>122</v>
      </c>
      <c r="DB152" s="503">
        <f t="shared" si="87"/>
        <v>0</v>
      </c>
      <c r="DC152" s="127">
        <v>0</v>
      </c>
      <c r="DD152" s="127">
        <v>0</v>
      </c>
      <c r="DE152" s="127">
        <v>0</v>
      </c>
      <c r="DF152" s="127">
        <v>0</v>
      </c>
      <c r="DG152" s="127">
        <v>0</v>
      </c>
      <c r="DH152" s="127">
        <v>0</v>
      </c>
      <c r="DI152" s="127">
        <v>0</v>
      </c>
      <c r="DJ152" s="127">
        <v>0</v>
      </c>
      <c r="DK152" s="127">
        <v>0</v>
      </c>
      <c r="DL152" s="127">
        <v>0</v>
      </c>
      <c r="DM152" s="304">
        <f>INDEX(Input!$1:$1048576,DM$93,$C152*2+6)</f>
        <v>20731.578947368424</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1.5244822249537436E-2</v>
      </c>
      <c r="DZ152" s="7">
        <v>0</v>
      </c>
      <c r="EA152" s="7">
        <v>0.23843271446473915</v>
      </c>
      <c r="EB152" s="7">
        <v>0</v>
      </c>
      <c r="EC152" s="7">
        <v>0</v>
      </c>
      <c r="ED152" s="7">
        <v>0</v>
      </c>
      <c r="EE152" s="7">
        <v>0</v>
      </c>
      <c r="EF152" s="7">
        <v>0</v>
      </c>
      <c r="EG152" s="7">
        <v>0</v>
      </c>
      <c r="EH152" s="7">
        <v>1.0499127675873869E-2</v>
      </c>
      <c r="EI152" s="7">
        <v>1.8884716664387988E-2</v>
      </c>
      <c r="EJ152" s="7">
        <v>0.14852093692952106</v>
      </c>
      <c r="EK152" s="7">
        <v>0.79923611614015933</v>
      </c>
      <c r="EL152" s="7">
        <v>2.2859102590057599E-2</v>
      </c>
      <c r="EM152" s="7">
        <v>2.8503913361527577E-2</v>
      </c>
      <c r="EN152" s="7">
        <v>5.4991458321761215E-2</v>
      </c>
      <c r="EO152" s="7">
        <v>0.54346350462336068</v>
      </c>
      <c r="EP152" s="7">
        <v>0.3098923473992416</v>
      </c>
      <c r="EQ152" s="7">
        <v>5.3241409624822628E-2</v>
      </c>
      <c r="ER152" s="7">
        <v>3.8411280030814017E-2</v>
      </c>
      <c r="ES152" s="7">
        <v>0.7178185499241958</v>
      </c>
      <c r="ET152" s="7">
        <v>0.74632246328572338</v>
      </c>
      <c r="EU152" s="6">
        <v>1600</v>
      </c>
      <c r="EV152" s="6">
        <v>0</v>
      </c>
      <c r="EW152" s="6">
        <v>1600</v>
      </c>
      <c r="EX152" s="6">
        <v>0</v>
      </c>
      <c r="EY152" s="6">
        <v>3325.2996804024192</v>
      </c>
      <c r="EZ152" s="6">
        <v>4462.9999999999991</v>
      </c>
      <c r="FA152" s="6">
        <v>0</v>
      </c>
      <c r="FB152" s="6">
        <v>0</v>
      </c>
      <c r="FC152" s="6">
        <v>0</v>
      </c>
      <c r="FD152" s="6">
        <v>0</v>
      </c>
      <c r="FE152" s="6">
        <v>0</v>
      </c>
      <c r="FF152" s="6">
        <v>0</v>
      </c>
      <c r="FG152" s="6">
        <v>0</v>
      </c>
      <c r="FH152" s="6">
        <v>1152.1208270377817</v>
      </c>
      <c r="FI152" s="6">
        <v>1531.4299904380623</v>
      </c>
      <c r="FJ152" s="6">
        <v>2070.7205842538224</v>
      </c>
      <c r="FK152" s="6">
        <v>2635.3956133202914</v>
      </c>
      <c r="FL152" s="6">
        <v>893.91433563489363</v>
      </c>
      <c r="FM152" s="6">
        <v>2475.2996804024192</v>
      </c>
      <c r="FN152" s="6">
        <v>0</v>
      </c>
      <c r="FO152" s="6">
        <v>0</v>
      </c>
      <c r="FP152" s="6">
        <v>0</v>
      </c>
      <c r="FQ152" s="6">
        <v>0</v>
      </c>
      <c r="FR152" s="6">
        <v>0</v>
      </c>
      <c r="FS152" s="6">
        <v>0</v>
      </c>
      <c r="FT152" s="7">
        <v>0.25367753671427656</v>
      </c>
      <c r="FU152" s="7">
        <v>2.8503913361527577E-2</v>
      </c>
      <c r="FV152" s="7">
        <v>0.7178185499241958</v>
      </c>
      <c r="FW152" s="6">
        <v>1600.0000000000002</v>
      </c>
      <c r="FX152" s="6">
        <v>3325.2996804024192</v>
      </c>
      <c r="FY152" s="6">
        <v>4462.9999999999991</v>
      </c>
      <c r="FZ152" s="6">
        <v>3077.4375890575293</v>
      </c>
      <c r="GA152" s="6">
        <v>3704.2923010458339</v>
      </c>
      <c r="GB152" s="6">
        <v>15990.707698954166</v>
      </c>
      <c r="GC152" s="7">
        <v>7.0901643973087014E-2</v>
      </c>
      <c r="GD152" s="7">
        <v>7.7291952330354616E-2</v>
      </c>
      <c r="GE152" s="7"/>
      <c r="GF152" s="7"/>
      <c r="GG152" s="7">
        <v>9.0129198692392068E-2</v>
      </c>
      <c r="GH152" s="42">
        <v>2.8317479860943919</v>
      </c>
      <c r="GI152" s="6">
        <v>10659.360370914503</v>
      </c>
      <c r="GJ152" s="14">
        <v>0.5107463060103955</v>
      </c>
      <c r="GK152" s="14">
        <v>0.5082951978616097</v>
      </c>
      <c r="GL152" s="14">
        <v>0.48925369398960439</v>
      </c>
      <c r="GM152" s="14">
        <v>0.49170480213839041</v>
      </c>
      <c r="GO152" s="5">
        <v>338.16872463277008</v>
      </c>
      <c r="GP152" s="5">
        <v>307.64377699166363</v>
      </c>
      <c r="GQ152" s="5">
        <v>527.27910984145694</v>
      </c>
      <c r="GR152" s="5">
        <v>404.20319246551543</v>
      </c>
      <c r="GS152" s="5">
        <v>334.50205195691484</v>
      </c>
      <c r="GT152" s="5">
        <v>289.18266033348181</v>
      </c>
      <c r="GU152" s="5">
        <v>254.29573314828914</v>
      </c>
      <c r="GV152" s="39" t="s">
        <v>392</v>
      </c>
      <c r="GW152" s="5">
        <v>468.76388888888891</v>
      </c>
      <c r="GX152" s="5">
        <v>351.57291666666669</v>
      </c>
      <c r="GY152" s="5">
        <v>281.25833333333333</v>
      </c>
      <c r="GZ152" s="5">
        <v>234.38194444444446</v>
      </c>
      <c r="HA152" s="5">
        <v>229.8919505212948</v>
      </c>
      <c r="HB152" s="39">
        <v>245.91535667605936</v>
      </c>
      <c r="HC152" s="5">
        <v>87.859375</v>
      </c>
      <c r="HD152" s="5">
        <v>103.05546418128652</v>
      </c>
      <c r="HE152" s="5">
        <v>113.73246879217274</v>
      </c>
      <c r="HF152" s="5">
        <v>114.49629934210526</v>
      </c>
      <c r="HG152" s="5">
        <v>122.034100877193</v>
      </c>
      <c r="HH152" s="39">
        <v>106.86665101845688</v>
      </c>
      <c r="HI152" s="16"/>
      <c r="HJ152" s="19" t="str">
        <f t="shared" ref="HJ152" si="375">HJ151</f>
        <v>On</v>
      </c>
      <c r="HK152" s="1" t="str">
        <f t="shared" si="108"/>
        <v>On</v>
      </c>
      <c r="HL152" s="16"/>
      <c r="HM152" s="639">
        <f t="shared" si="261"/>
        <v>1.7699001661282989E-2</v>
      </c>
      <c r="HN152" s="639">
        <f t="shared" si="262"/>
        <v>1.0509929974846072E-3</v>
      </c>
      <c r="HO152" s="639">
        <f t="shared" si="263"/>
        <v>5.7398960259851091E-2</v>
      </c>
      <c r="HP152" s="644">
        <f>(FT152*$GD152-HM152)/$JF152*INDEX(Input!$1:$1048576,$JG$93,$C152*2+6)</f>
        <v>24.507878625666365</v>
      </c>
      <c r="HQ152" s="644">
        <f>(FU152*$GD152-HN152)/$JF152*INDEX(Input!$1:$1048576,$JG$93,$C152*2+6)</f>
        <v>14.797094115751397</v>
      </c>
      <c r="HR152" s="644">
        <f>(FV152*$GD152-HO152)/$JF152*INDEX(Input!$1:$1048576,$JG$93,$C152*2+6)</f>
        <v>-24.625172212672592</v>
      </c>
      <c r="HS152" s="644">
        <f t="shared" si="264"/>
        <v>-0.38056918616801094</v>
      </c>
      <c r="HT152" s="644">
        <f t="shared" si="265"/>
        <v>27.859337889101013</v>
      </c>
      <c r="HU152" s="644">
        <f t="shared" si="266"/>
        <v>1.3438917333177083</v>
      </c>
      <c r="HV152" s="648">
        <f t="shared" si="267"/>
        <v>0</v>
      </c>
      <c r="HW152" s="648">
        <f t="shared" si="268"/>
        <v>0</v>
      </c>
      <c r="HX152" s="648">
        <f t="shared" si="269"/>
        <v>0</v>
      </c>
      <c r="HY152" s="644">
        <f>INDEX(Input!$1:$1048576,HY$93,$C152*2+6)*INDEX(Input!$1:$1048576,$JG$93,$C152*2+6)</f>
        <v>154.99999999999997</v>
      </c>
      <c r="HZ152" s="644">
        <f>INDEX(Input!$1:$1048576,HZ$93,$C152*2+6)*INDEX(Input!$1:$1048576,$JG$93,$C152*2+6)</f>
        <v>140</v>
      </c>
      <c r="IA152" s="644">
        <f>INDEX(Input!$1:$1048576,IA$93,$C152*2+6)*INDEX(Input!$1:$1048576,$JG$93,$C152*2+6)</f>
        <v>683</v>
      </c>
      <c r="IB152" s="644">
        <f t="shared" si="249"/>
        <v>179.12730943949839</v>
      </c>
      <c r="IC152" s="644">
        <f t="shared" si="172"/>
        <v>182.65643200485243</v>
      </c>
      <c r="ID152" s="644">
        <f>IF(AND(INDEX(Input!$1:$1048576,IA$93,$C152*2+7)="TOS",Y152&lt;=INDEX(Y:Y,MATCH(C152*1000+2,A:A))),0,1)*MAX(IA152+HR152+HU152+HX152,0%)</f>
        <v>659.7187195206451</v>
      </c>
      <c r="IE152" s="128">
        <f t="shared" si="270"/>
        <v>0.17535670865665845</v>
      </c>
      <c r="IF152" s="128">
        <f t="shared" si="174"/>
        <v>0.17881154376495581</v>
      </c>
      <c r="IG152" s="128">
        <f t="shared" si="175"/>
        <v>0.6458317475783858</v>
      </c>
      <c r="IH152" s="21"/>
      <c r="II152" s="19">
        <f t="shared" si="271"/>
        <v>1200</v>
      </c>
      <c r="IJ152" s="19">
        <f t="shared" si="272"/>
        <v>2231.5502763133163</v>
      </c>
      <c r="IK152" s="19">
        <f t="shared" si="273"/>
        <v>4498</v>
      </c>
      <c r="IL152" s="19">
        <f t="shared" si="176"/>
        <v>400.00000000000023</v>
      </c>
      <c r="IM152" s="19">
        <f t="shared" si="177"/>
        <v>1093.7494040891029</v>
      </c>
      <c r="IN152" s="19">
        <f t="shared" si="178"/>
        <v>-35.000000000000909</v>
      </c>
      <c r="IO152" s="39">
        <f t="shared" si="274"/>
        <v>0</v>
      </c>
      <c r="IP152" s="39">
        <f t="shared" si="275"/>
        <v>0</v>
      </c>
      <c r="IQ152" s="39">
        <f t="shared" si="276"/>
        <v>0</v>
      </c>
      <c r="IR152" s="39">
        <v>0</v>
      </c>
      <c r="IS152" s="39">
        <v>0</v>
      </c>
      <c r="IT152" s="39">
        <v>0</v>
      </c>
      <c r="IU152" s="39">
        <v>0</v>
      </c>
      <c r="IV152" s="39">
        <v>0</v>
      </c>
      <c r="IW152" s="39">
        <v>0</v>
      </c>
      <c r="IX152" s="39">
        <f>INDEX(Input!$1:$1048576,IX$93,$C152*2+6)+INDEX(Input!$1:$1048576,IX$94,$C152*2+6)</f>
        <v>1600</v>
      </c>
      <c r="IY152" s="39">
        <f>INDEX(Input!$1:$1048576,IY$93,$C152*2+6)+INDEX(Input!$1:$1048576,IY$94,$C152*2+6)</f>
        <v>2503.5492916397525</v>
      </c>
      <c r="IZ152" s="39">
        <f>INDEX(Input!$1:$1048576,IZ$93,$C152*2+6)+INDEX(Input!$1:$1048576,IZ$94,$C152*2+6)</f>
        <v>6273.7109265464023</v>
      </c>
      <c r="JA152" s="19">
        <f t="shared" si="179"/>
        <v>2000.0000000000002</v>
      </c>
      <c r="JB152" s="19">
        <f t="shared" si="180"/>
        <v>3597.2986957288554</v>
      </c>
      <c r="JC152" s="19">
        <f t="shared" si="181"/>
        <v>6238.7109265464014</v>
      </c>
      <c r="JD152" s="19">
        <f t="shared" si="182"/>
        <v>5023.1095308080885</v>
      </c>
      <c r="JE152" s="21"/>
      <c r="JF152" s="1">
        <f t="shared" si="277"/>
        <v>7.6148954918618686E-2</v>
      </c>
      <c r="JG152" s="15">
        <f>INDEX(Input!$1:$1048576,JG$93,$C152*2+6)/(1+VLOOKUP(C152*1000+INDEX(Input!$1:$1048576,JG$93+1,$C152*2+6),$A:$KK,$JK$92,FALSE))</f>
        <v>978</v>
      </c>
      <c r="JH152" s="1">
        <f t="shared" si="251"/>
        <v>1.5010020990536986E-2</v>
      </c>
      <c r="JI152" s="1">
        <f t="shared" si="252"/>
        <v>2.9471022940951646E-2</v>
      </c>
      <c r="JJ152" s="1">
        <f t="shared" si="253"/>
        <v>0</v>
      </c>
      <c r="JK152" s="1">
        <f t="shared" si="254"/>
        <v>4.4481043931488634E-2</v>
      </c>
      <c r="JL152" s="15">
        <f t="shared" si="184"/>
        <v>43.502460964995883</v>
      </c>
      <c r="JM152" s="15">
        <f t="shared" si="185"/>
        <v>1021.5024609649959</v>
      </c>
      <c r="JN152" s="21"/>
      <c r="JO152" s="19">
        <f>INDEX(Input!$1:$1048576,JO$93,$C152*2+6)</f>
        <v>5908.5</v>
      </c>
      <c r="JP152" s="19">
        <f>INDEX(Input!$1:$1048576,JP$93,$C152*2+6)</f>
        <v>4993.2939301234746</v>
      </c>
      <c r="JQ152" s="39">
        <f t="shared" si="186"/>
        <v>885.39046919191151</v>
      </c>
      <c r="JR152" s="39">
        <f t="shared" si="187"/>
        <v>29.815600684613855</v>
      </c>
      <c r="JS152" s="39">
        <f t="shared" si="188"/>
        <v>5.1311187474171884</v>
      </c>
      <c r="JT152" s="39">
        <f t="shared" si="189"/>
        <v>0.24767728375643025</v>
      </c>
      <c r="JU152" s="385">
        <f>(JQ152*JM152-INDEX(Input!$1:$1048576,Input!A$18,$C152*2+6)*JL152*INDEX(Input!$1:$1048576,Input!A$19,$C152*2+6))/1000000</f>
        <v>0.90442854319448995</v>
      </c>
      <c r="JV152" s="39">
        <f t="shared" si="192"/>
        <v>9.3570068552482066E-3</v>
      </c>
      <c r="JW152" s="1">
        <f t="shared" si="190"/>
        <v>1.0453920692772203E-2</v>
      </c>
      <c r="JX152" s="19">
        <f t="shared" si="191"/>
        <v>5693.4085626954065</v>
      </c>
      <c r="JZ152" s="341"/>
      <c r="KA152" s="342"/>
      <c r="KB152" s="469">
        <f t="shared" si="110"/>
        <v>3.2656316020464753</v>
      </c>
      <c r="KI152" s="473">
        <f t="shared" si="278"/>
        <v>24.127309439498418</v>
      </c>
      <c r="KJ152" s="473">
        <f t="shared" si="279"/>
        <v>42.656432004852434</v>
      </c>
      <c r="KK152" s="473">
        <f t="shared" si="257"/>
        <v>-23.281280479354905</v>
      </c>
      <c r="KN152" s="544">
        <f t="shared" si="258"/>
        <v>1002</v>
      </c>
      <c r="KO152" s="541">
        <f t="shared" si="280"/>
        <v>-3.4596622613287442E-2</v>
      </c>
      <c r="KP152" s="546">
        <f t="shared" si="281"/>
        <v>-108.44902719702807</v>
      </c>
      <c r="KQ152" s="546">
        <f t="shared" si="282"/>
        <v>-331.34436916735194</v>
      </c>
      <c r="KR152" s="548">
        <f t="shared" si="283"/>
        <v>4.5748170759488076</v>
      </c>
      <c r="KS152" s="548">
        <f t="shared" si="284"/>
        <v>1.497337838387766</v>
      </c>
      <c r="KT152" s="473">
        <f t="shared" si="112"/>
        <v>-82.310573396665475</v>
      </c>
      <c r="KU152" s="663">
        <f t="shared" si="285"/>
        <v>-52.580268372583127</v>
      </c>
      <c r="KV152" s="117"/>
    </row>
    <row r="153" spans="1:308" s="26" customFormat="1" ht="15" outlineLevel="1">
      <c r="A153" s="561">
        <f t="shared" si="168"/>
        <v>1053</v>
      </c>
      <c r="B153" s="561">
        <f t="shared" si="104"/>
        <v>53</v>
      </c>
      <c r="C153" s="561">
        <f t="shared" si="105"/>
        <v>1</v>
      </c>
      <c r="D153" s="561" t="str">
        <f t="shared" ref="D153:D184" si="376">IF(E153=INDEX(E:E,MATCH(C153*1000+2,A:A,0)),"",E153-INDEX(E:E,MATCH(C153*1000+2,A:A,0))&amp;E$100&amp;", ")
&amp;IF(F153=INDEX(F:F,MATCH(C153*1000+2,A:A,0)),"",F153-INDEX(F:F,MATCH(C153*1000+2,A:A,0))&amp;F$100&amp;", ")
&amp;IF(AM153=INDEX(AM:AM,MATCH(C153*1000+2,A:A,0)),"",AM153&amp;AM$100&amp;", ")
&amp;IF(AP153=INDEX(AP:AP,MATCH(C153*1000+2,A:A,0)),"",AP153&amp;AP$100&amp;", ")
&amp;IF(Q153=INDEX(Q:Q,MATCH(C153*1000+2,A:A,0)),"",Q153-INDEX(Q:Q,MATCH(C153*1000+2,A:A,0))&amp;Q$100&amp;", ")
&amp;IF(Y153=INDEX(Y:Y,MATCH(C153*1000+2,A:A,0)),"",Y153-INDEX(Y:Y,MATCH(C153*1000+2,A:A,0))&amp;Y$100&amp;", ")
&amp;IF(Z153=INDEX(Z:Z,MATCH(C153*1000+2,A:A,0)),"",Z153-INDEX(Z:Z,MATCH(C153*1000+2,A:A,0))&amp;Z$100&amp;", ")
&amp;IF(AA153=INDEX(AA:AA,MATCH(C153*1000+2,A:A,0)),"",AA153-INDEX(AA:AA,MATCH(C153*1000+2,A:A,0))&amp;AA$100&amp;", ")
&amp;IF(AC153=INDEX(AC:AC,MATCH(C153*1000+2,A:A,0)),"",AC153-INDEX(AC:AC,MATCH(C153*1000+2,A:A,0))&amp;AC$100&amp;", ")
&amp;IF(AE153=INDEX(AE:AE,MATCH(C153*1000+2,A:A,0)),"",AE153-INDEX(AE:AE,MATCH(C153*1000+2,A:A,0))&amp;AE$100&amp;", ")
&amp;IF(AG153=INDEX(AG:AG,MATCH(C153*1000+2,A:A,0)),"",AG153-INDEX(AG:AG,MATCH(C153*1000+2,A:A,0))&amp;AG$100&amp;", ")
&amp;IF(AI153=INDEX(AI:AI,MATCH(C153*1000+2,A:A,0)),"",AI153-INDEX(AI:AI,MATCH(C153*1000+2,A:A,0))&amp;AI$100&amp;", ")</f>
        <v xml:space="preserve">0/0/0/3.9, -360 Lease, </v>
      </c>
      <c r="E153" s="475">
        <f>INDEX(Input!$1:$1048576,E$93,$C153*2+MIN($B153,2)+5)
+INDEX(Scenarios!E$121:E$200,MATCH($B153,Scenarios!$B$121:$B$200,0))</f>
        <v>1250</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63">
        <f>IFERROR(MAX(0,INDEX(Input!$1:$1048576,W$93,$C153*2+MIN($B153,2)+5)-0%,),"Market")</f>
        <v>3.9E-2</v>
      </c>
      <c r="X153" s="476" t="str">
        <f>INDEX(Input!$1:$1048576,X$93,$C153*2+MIN($B153,2)+5)</f>
        <v>Y</v>
      </c>
      <c r="Y153" s="475">
        <f>INDEX(Input!$1:$1048576,Y$93,$C153*2+MIN($B153,2)+5)
++INDEX(Scenarios!Y$121:Y$200,MATCH($B153,Scenarios!$B$121:$B$200,0))</f>
        <v>2466</v>
      </c>
      <c r="Z153" s="477">
        <f>INDEX(Input!$1:$1048576,Z$93,$C153*2+MIN($B153,2)+5)
+INDEX(Scenarios!Z$121:Z$200,MATCH($B153,Scenarios!$B$121:$B$200,0))</f>
        <v>0</v>
      </c>
      <c r="AA153" s="475">
        <f>INDEX(Input!$1:$1048576,AA$93,$C153*2+MIN($B153,2)+5)</f>
        <v>0</v>
      </c>
      <c r="AB153" s="476">
        <f>INDEX(Input!$1:$1048576,AB$93,$C153*2+MIN($B153,2)+5)</f>
        <v>1</v>
      </c>
      <c r="AC153" s="475">
        <f>INDEX(Input!$1:$1048576,AC$93,$C153*2+MIN($B153,2)+5)
+INDEX(Scenarios!AC$121:AC$200,MATCH($B153,Scenarios!$B$121:$B$200,0))</f>
        <v>0</v>
      </c>
      <c r="AD153" s="476">
        <f>INDEX(Input!$1:$1048576,AD$93,$C153*2+MIN($B153,2)+5)</f>
        <v>0.35</v>
      </c>
      <c r="AE153" s="475">
        <f>INDEX(Input!$1:$1048576,AE$93,$C153*2+MIN($B153,2)+5)
+INDEX(Scenarios!AE$121:AE$200,MATCH($B153,Scenarios!$B$121:$B$200,0))</f>
        <v>0</v>
      </c>
      <c r="AF153" s="476">
        <f>INDEX(Input!$1:$1048576,AF$93,$C153*2+MIN($B153,2)+5)</f>
        <v>1</v>
      </c>
      <c r="AG153" s="475">
        <f>INDEX(Input!$1:$1048576,AG$93,$C153*2+MIN($B153,2)+5)
+INDEX(Scenarios!AG$121:AG$200,MATCH($B153,Scenarios!$B$121:$B$200,0))</f>
        <v>0</v>
      </c>
      <c r="AH153" s="476">
        <f>INDEX(Input!$1:$1048576,AH$93,$C153*2+MIN($B153,2)+5)</f>
        <v>1</v>
      </c>
      <c r="AI153" s="475">
        <f>INDEX(Input!$1:$1048576,AI$93,$C153*2+MIN($B153,2)+5)
+INDEX(Scenarios!AI$121:AI$200,MATCH($B153,Scenarios!$B$121:$B$200,0))</f>
        <v>0</v>
      </c>
      <c r="AJ153" s="476">
        <f>INDEX(Input!$1:$1048576,AJ$93,$C153*2+MIN($B153,2)+5)</f>
        <v>0.35</v>
      </c>
      <c r="AK153" s="150">
        <f>ROUND(INDEX(Input!$1:$1048576,AK$93,$C152*2+MIN($B153,1)+5)+(Y153-VLOOKUP($C153*1000+1,$A:$HH,Y$92,FALSE)),0)</f>
        <v>5122</v>
      </c>
      <c r="AL153" s="150">
        <f>ROUND(INDEX(Input!$1:$1048576,AL$93,$C152*2+MIN($B153,1)+5)-(Y153-VLOOKUP($C153*1000+1,$A:$HH,Y$92,FALSE))/36,0)</f>
        <v>5612</v>
      </c>
      <c r="AM153" s="32" t="str">
        <f t="shared" si="169"/>
        <v>std/std/std/std</v>
      </c>
      <c r="AN153" s="32" t="str">
        <f t="shared" si="170"/>
        <v>$0 + 0/0/0/0/3.9</v>
      </c>
      <c r="AO153" s="32" t="str">
        <f t="shared" si="171"/>
        <v>0/0/0/0/3.9</v>
      </c>
      <c r="AP153" s="32" t="str">
        <f t="shared" si="73"/>
        <v>0/0/0/3.9</v>
      </c>
      <c r="AQ153" s="536">
        <f t="shared" si="39"/>
        <v>0.17535670865665845</v>
      </c>
      <c r="AR153" s="32"/>
      <c r="AS153" s="302"/>
      <c r="AT153" s="3">
        <f t="shared" si="106"/>
        <v>53</v>
      </c>
      <c r="AU153" s="41" t="s">
        <v>121</v>
      </c>
      <c r="AV153" s="41" t="s">
        <v>116</v>
      </c>
      <c r="AW153" s="41" t="str">
        <f>INDEX(Input!$1:$1048576,AW$93,$C153*2+6)</f>
        <v>Kia</v>
      </c>
      <c r="AX153" s="41" t="str">
        <f>INDEX(Input!$1:$1048576,AX$93,$C153*2+6)</f>
        <v>Kia-LR - L1</v>
      </c>
      <c r="AY153" s="41" t="str">
        <f>IF(LEN(D153)=0,"",INDEX(Input!$1:$1048576,AY$93,$C153*2+6))</f>
        <v>Compact Conventional/Sporty Car (43)</v>
      </c>
      <c r="AZ153" s="41" t="str">
        <f>INDEX(Input!$1:$1048576,AZ$93,$C153*2+6)</f>
        <v>Kia Forte</v>
      </c>
      <c r="BA153" s="3">
        <f>INDEX(Input!$1:$1048576,BA$93,$C153*2+6)</f>
        <v>2020</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19695</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4"/>
        <v>1250</v>
      </c>
      <c r="CJ153" s="16" t="str">
        <f>INDEX(Input!$1:$1048576,CJ$93,$C153*2+6)</f>
        <v>N</v>
      </c>
      <c r="CK153" s="1" t="str">
        <f t="shared" si="75"/>
        <v>Market</v>
      </c>
      <c r="CL153" s="1" t="str">
        <f t="shared" si="76"/>
        <v>Market</v>
      </c>
      <c r="CM153" s="1" t="str">
        <f t="shared" si="77"/>
        <v>Market</v>
      </c>
      <c r="CN153" s="1" t="str">
        <f t="shared" si="78"/>
        <v>Market</v>
      </c>
      <c r="CO153" s="1" t="str">
        <f t="shared" si="79"/>
        <v>Market</v>
      </c>
      <c r="CP153" s="304">
        <f t="shared" si="80"/>
        <v>0</v>
      </c>
      <c r="CQ153" s="1">
        <f t="shared" si="81"/>
        <v>0</v>
      </c>
      <c r="CR153" s="1">
        <f t="shared" si="82"/>
        <v>0</v>
      </c>
      <c r="CS153" s="1">
        <f t="shared" si="83"/>
        <v>0</v>
      </c>
      <c r="CT153" s="1">
        <f t="shared" si="84"/>
        <v>0</v>
      </c>
      <c r="CU153" s="1">
        <f t="shared" si="85"/>
        <v>3.9E-2</v>
      </c>
      <c r="CV153" s="304">
        <f t="shared" si="86"/>
        <v>2466</v>
      </c>
      <c r="CW153" s="20" t="s">
        <v>122</v>
      </c>
      <c r="CX153" s="20" t="s">
        <v>122</v>
      </c>
      <c r="CY153" s="20" t="s">
        <v>122</v>
      </c>
      <c r="CZ153" s="20" t="s">
        <v>122</v>
      </c>
      <c r="DA153" s="20" t="s">
        <v>122</v>
      </c>
      <c r="DB153" s="503">
        <f t="shared" si="87"/>
        <v>0</v>
      </c>
      <c r="DC153" s="127">
        <v>0</v>
      </c>
      <c r="DD153" s="127">
        <v>0</v>
      </c>
      <c r="DE153" s="127">
        <v>0</v>
      </c>
      <c r="DF153" s="127">
        <v>0</v>
      </c>
      <c r="DG153" s="127">
        <v>0</v>
      </c>
      <c r="DH153" s="127">
        <v>0</v>
      </c>
      <c r="DI153" s="127">
        <v>0</v>
      </c>
      <c r="DJ153" s="127">
        <v>0</v>
      </c>
      <c r="DK153" s="127">
        <v>0</v>
      </c>
      <c r="DL153" s="127">
        <v>0</v>
      </c>
      <c r="DM153" s="304">
        <f>INDEX(Input!$1:$1048576,DM$93,$C153*2+6)</f>
        <v>20731.578947368424</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1.5244822249537436E-2</v>
      </c>
      <c r="DZ153" s="7">
        <v>0</v>
      </c>
      <c r="EA153" s="7">
        <v>0.23843271446473915</v>
      </c>
      <c r="EB153" s="7">
        <v>0</v>
      </c>
      <c r="EC153" s="7">
        <v>0</v>
      </c>
      <c r="ED153" s="7">
        <v>0</v>
      </c>
      <c r="EE153" s="7">
        <v>0</v>
      </c>
      <c r="EF153" s="7">
        <v>0</v>
      </c>
      <c r="EG153" s="7">
        <v>0</v>
      </c>
      <c r="EH153" s="7">
        <v>1.0499127675873869E-2</v>
      </c>
      <c r="EI153" s="7">
        <v>1.8884716664387988E-2</v>
      </c>
      <c r="EJ153" s="7">
        <v>0.14852093692952106</v>
      </c>
      <c r="EK153" s="7">
        <v>0.79923611614015933</v>
      </c>
      <c r="EL153" s="7">
        <v>2.2859102590057599E-2</v>
      </c>
      <c r="EM153" s="7">
        <v>2.8503913361527577E-2</v>
      </c>
      <c r="EN153" s="7">
        <v>5.4991458321761215E-2</v>
      </c>
      <c r="EO153" s="7">
        <v>0.54346350462336068</v>
      </c>
      <c r="EP153" s="7">
        <v>0.3098923473992416</v>
      </c>
      <c r="EQ153" s="7">
        <v>5.3241409624822628E-2</v>
      </c>
      <c r="ER153" s="7">
        <v>3.8411280030814017E-2</v>
      </c>
      <c r="ES153" s="7">
        <v>0.7178185499241958</v>
      </c>
      <c r="ET153" s="7">
        <v>0.74632246328572338</v>
      </c>
      <c r="EU153" s="6">
        <v>1600</v>
      </c>
      <c r="EV153" s="6">
        <v>0</v>
      </c>
      <c r="EW153" s="6">
        <v>1600</v>
      </c>
      <c r="EX153" s="6">
        <v>0</v>
      </c>
      <c r="EY153" s="6">
        <v>3325.2996804024192</v>
      </c>
      <c r="EZ153" s="6">
        <v>4462.9999999999991</v>
      </c>
      <c r="FA153" s="6">
        <v>0</v>
      </c>
      <c r="FB153" s="6">
        <v>0</v>
      </c>
      <c r="FC153" s="6">
        <v>0</v>
      </c>
      <c r="FD153" s="6">
        <v>0</v>
      </c>
      <c r="FE153" s="6">
        <v>0</v>
      </c>
      <c r="FF153" s="6">
        <v>0</v>
      </c>
      <c r="FG153" s="6">
        <v>0</v>
      </c>
      <c r="FH153" s="6">
        <v>1152.1208270377817</v>
      </c>
      <c r="FI153" s="6">
        <v>1531.4299904380623</v>
      </c>
      <c r="FJ153" s="6">
        <v>2070.7205842538224</v>
      </c>
      <c r="FK153" s="6">
        <v>2635.3956133202914</v>
      </c>
      <c r="FL153" s="6">
        <v>893.91433563489363</v>
      </c>
      <c r="FM153" s="6">
        <v>2475.2996804024192</v>
      </c>
      <c r="FN153" s="6">
        <v>0</v>
      </c>
      <c r="FO153" s="6">
        <v>0</v>
      </c>
      <c r="FP153" s="6">
        <v>0</v>
      </c>
      <c r="FQ153" s="6">
        <v>0</v>
      </c>
      <c r="FR153" s="6">
        <v>0</v>
      </c>
      <c r="FS153" s="6">
        <v>0</v>
      </c>
      <c r="FT153" s="7">
        <v>0.25367753671427656</v>
      </c>
      <c r="FU153" s="7">
        <v>2.8503913361527577E-2</v>
      </c>
      <c r="FV153" s="7">
        <v>0.7178185499241958</v>
      </c>
      <c r="FW153" s="6">
        <v>1600.0000000000002</v>
      </c>
      <c r="FX153" s="6">
        <v>3325.2996804024192</v>
      </c>
      <c r="FY153" s="6">
        <v>4462.9999999999991</v>
      </c>
      <c r="FZ153" s="6">
        <v>3077.4375890575293</v>
      </c>
      <c r="GA153" s="6">
        <v>3704.2923010458339</v>
      </c>
      <c r="GB153" s="6">
        <v>15990.707698954166</v>
      </c>
      <c r="GC153" s="7">
        <v>7.0901643973087014E-2</v>
      </c>
      <c r="GD153" s="7">
        <v>7.7291952330354616E-2</v>
      </c>
      <c r="GE153" s="7"/>
      <c r="GF153" s="7"/>
      <c r="GG153" s="7">
        <v>9.0129198692392068E-2</v>
      </c>
      <c r="GH153" s="42">
        <v>2.8317479860943919</v>
      </c>
      <c r="GI153" s="6">
        <v>10659.360370914503</v>
      </c>
      <c r="GJ153" s="14">
        <v>0.5107463060103955</v>
      </c>
      <c r="GK153" s="14">
        <v>0.5082951978616097</v>
      </c>
      <c r="GL153" s="14">
        <v>0.48925369398960439</v>
      </c>
      <c r="GM153" s="14">
        <v>0.49170480213839041</v>
      </c>
      <c r="GO153" s="5">
        <v>338.16872463277008</v>
      </c>
      <c r="GP153" s="5">
        <v>307.64377699166363</v>
      </c>
      <c r="GQ153" s="5">
        <v>527.27910984145694</v>
      </c>
      <c r="GR153" s="5">
        <v>404.20319246551543</v>
      </c>
      <c r="GS153" s="5">
        <v>334.50205195691484</v>
      </c>
      <c r="GT153" s="5">
        <v>289.18266033348181</v>
      </c>
      <c r="GU153" s="5">
        <v>254.29573314828914</v>
      </c>
      <c r="GV153" s="39" t="s">
        <v>392</v>
      </c>
      <c r="GW153" s="5">
        <v>468.76388888888891</v>
      </c>
      <c r="GX153" s="5">
        <v>351.57291666666669</v>
      </c>
      <c r="GY153" s="5">
        <v>281.25833333333333</v>
      </c>
      <c r="GZ153" s="5">
        <v>234.38194444444446</v>
      </c>
      <c r="HA153" s="5">
        <v>229.8919505212948</v>
      </c>
      <c r="HB153" s="39">
        <v>245.91535667605936</v>
      </c>
      <c r="HC153" s="5">
        <v>87.859375</v>
      </c>
      <c r="HD153" s="5">
        <v>103.05546418128652</v>
      </c>
      <c r="HE153" s="5">
        <v>113.73246879217274</v>
      </c>
      <c r="HF153" s="5">
        <v>114.49629934210526</v>
      </c>
      <c r="HG153" s="5">
        <v>122.034100877193</v>
      </c>
      <c r="HH153" s="39">
        <v>106.86665101845688</v>
      </c>
      <c r="HI153" s="16"/>
      <c r="HJ153" s="19" t="str">
        <f t="shared" ref="HJ153" si="377">HJ152</f>
        <v>On</v>
      </c>
      <c r="HK153" s="1" t="str">
        <f t="shared" si="108"/>
        <v>On</v>
      </c>
      <c r="HL153" s="16"/>
      <c r="HM153" s="639">
        <f t="shared" si="261"/>
        <v>1.7699001661282989E-2</v>
      </c>
      <c r="HN153" s="639">
        <f t="shared" si="262"/>
        <v>1.0509929974846072E-3</v>
      </c>
      <c r="HO153" s="639">
        <f t="shared" si="263"/>
        <v>5.7398960259851091E-2</v>
      </c>
      <c r="HP153" s="644">
        <f>(FT153*$GD153-HM153)/$JF153*INDEX(Input!$1:$1048576,$JG$93,$C153*2+6)</f>
        <v>24.507878625666365</v>
      </c>
      <c r="HQ153" s="644">
        <f>(FU153*$GD153-HN153)/$JF153*INDEX(Input!$1:$1048576,$JG$93,$C153*2+6)</f>
        <v>14.797094115751397</v>
      </c>
      <c r="HR153" s="644">
        <f>(FV153*$GD153-HO153)/$JF153*INDEX(Input!$1:$1048576,$JG$93,$C153*2+6)</f>
        <v>-24.625172212672592</v>
      </c>
      <c r="HS153" s="644">
        <f t="shared" si="264"/>
        <v>-0.38056918616801094</v>
      </c>
      <c r="HT153" s="644">
        <f t="shared" si="265"/>
        <v>27.859337889101013</v>
      </c>
      <c r="HU153" s="644">
        <f t="shared" si="266"/>
        <v>1.3438917333177083</v>
      </c>
      <c r="HV153" s="648">
        <f t="shared" si="267"/>
        <v>0</v>
      </c>
      <c r="HW153" s="648">
        <f t="shared" si="268"/>
        <v>0</v>
      </c>
      <c r="HX153" s="648">
        <f t="shared" si="269"/>
        <v>0</v>
      </c>
      <c r="HY153" s="644">
        <f>INDEX(Input!$1:$1048576,HY$93,$C153*2+6)*INDEX(Input!$1:$1048576,$JG$93,$C153*2+6)</f>
        <v>154.99999999999997</v>
      </c>
      <c r="HZ153" s="644">
        <f>INDEX(Input!$1:$1048576,HZ$93,$C153*2+6)*INDEX(Input!$1:$1048576,$JG$93,$C153*2+6)</f>
        <v>140</v>
      </c>
      <c r="IA153" s="644">
        <f>INDEX(Input!$1:$1048576,IA$93,$C153*2+6)*INDEX(Input!$1:$1048576,$JG$93,$C153*2+6)</f>
        <v>683</v>
      </c>
      <c r="IB153" s="644">
        <f t="shared" si="249"/>
        <v>179.12730943949839</v>
      </c>
      <c r="IC153" s="644">
        <f t="shared" si="172"/>
        <v>182.65643200485243</v>
      </c>
      <c r="ID153" s="644">
        <f>IF(AND(INDEX(Input!$1:$1048576,IA$93,$C153*2+7)="TOS",Y153&lt;=INDEX(Y:Y,MATCH(C153*1000+2,A:A))),0,1)*MAX(IA153+HR153+HU153+HX153,0%)</f>
        <v>659.7187195206451</v>
      </c>
      <c r="IE153" s="128">
        <f t="shared" si="270"/>
        <v>0.17535670865665845</v>
      </c>
      <c r="IF153" s="128">
        <f t="shared" si="174"/>
        <v>0.17881154376495581</v>
      </c>
      <c r="IG153" s="128">
        <f t="shared" si="175"/>
        <v>0.6458317475783858</v>
      </c>
      <c r="IH153" s="21"/>
      <c r="II153" s="19">
        <f t="shared" si="271"/>
        <v>1200</v>
      </c>
      <c r="IJ153" s="19">
        <f t="shared" si="272"/>
        <v>2231.5502763133163</v>
      </c>
      <c r="IK153" s="19">
        <f t="shared" si="273"/>
        <v>4498</v>
      </c>
      <c r="IL153" s="19">
        <f t="shared" si="176"/>
        <v>400.00000000000023</v>
      </c>
      <c r="IM153" s="19">
        <f t="shared" si="177"/>
        <v>1093.7494040891029</v>
      </c>
      <c r="IN153" s="19">
        <f t="shared" si="178"/>
        <v>-35.000000000000909</v>
      </c>
      <c r="IO153" s="39">
        <f t="shared" si="274"/>
        <v>0</v>
      </c>
      <c r="IP153" s="39">
        <f t="shared" si="275"/>
        <v>0</v>
      </c>
      <c r="IQ153" s="39">
        <f t="shared" si="276"/>
        <v>0</v>
      </c>
      <c r="IR153" s="39">
        <v>0</v>
      </c>
      <c r="IS153" s="39">
        <v>0</v>
      </c>
      <c r="IT153" s="39">
        <v>0</v>
      </c>
      <c r="IU153" s="39">
        <v>0</v>
      </c>
      <c r="IV153" s="39">
        <v>0</v>
      </c>
      <c r="IW153" s="39">
        <v>0</v>
      </c>
      <c r="IX153" s="39">
        <f>INDEX(Input!$1:$1048576,IX$93,$C153*2+6)+INDEX(Input!$1:$1048576,IX$94,$C153*2+6)</f>
        <v>1600</v>
      </c>
      <c r="IY153" s="39">
        <f>INDEX(Input!$1:$1048576,IY$93,$C153*2+6)+INDEX(Input!$1:$1048576,IY$94,$C153*2+6)</f>
        <v>2503.5492916397525</v>
      </c>
      <c r="IZ153" s="39">
        <f>INDEX(Input!$1:$1048576,IZ$93,$C153*2+6)+INDEX(Input!$1:$1048576,IZ$94,$C153*2+6)</f>
        <v>6273.7109265464023</v>
      </c>
      <c r="JA153" s="19">
        <f t="shared" si="179"/>
        <v>2000.0000000000002</v>
      </c>
      <c r="JB153" s="19">
        <f t="shared" si="180"/>
        <v>3597.2986957288554</v>
      </c>
      <c r="JC153" s="19">
        <f t="shared" si="181"/>
        <v>6238.7109265464014</v>
      </c>
      <c r="JD153" s="19">
        <f t="shared" si="182"/>
        <v>5023.1095308080885</v>
      </c>
      <c r="JE153" s="21"/>
      <c r="JF153" s="1">
        <f t="shared" si="277"/>
        <v>7.6148954918618686E-2</v>
      </c>
      <c r="JG153" s="15">
        <f>INDEX(Input!$1:$1048576,JG$93,$C153*2+6)/(1+VLOOKUP(C153*1000+INDEX(Input!$1:$1048576,JG$93+1,$C153*2+6),$A:$KK,$JK$92,FALSE))</f>
        <v>978</v>
      </c>
      <c r="JH153" s="1">
        <f t="shared" si="251"/>
        <v>1.5010020990536986E-2</v>
      </c>
      <c r="JI153" s="1">
        <f t="shared" si="252"/>
        <v>2.9471022940951646E-2</v>
      </c>
      <c r="JJ153" s="1">
        <f t="shared" si="253"/>
        <v>0</v>
      </c>
      <c r="JK153" s="1">
        <f t="shared" si="254"/>
        <v>4.4481043931488634E-2</v>
      </c>
      <c r="JL153" s="15">
        <f t="shared" si="184"/>
        <v>43.502460964995883</v>
      </c>
      <c r="JM153" s="15">
        <f t="shared" si="185"/>
        <v>1021.5024609649959</v>
      </c>
      <c r="JN153" s="21"/>
      <c r="JO153" s="19">
        <f>INDEX(Input!$1:$1048576,JO$93,$C153*2+6)</f>
        <v>5908.5</v>
      </c>
      <c r="JP153" s="19">
        <f>INDEX(Input!$1:$1048576,JP$93,$C153*2+6)</f>
        <v>4993.2939301234746</v>
      </c>
      <c r="JQ153" s="39">
        <f t="shared" si="186"/>
        <v>885.39046919191151</v>
      </c>
      <c r="JR153" s="39">
        <f t="shared" si="187"/>
        <v>29.815600684613855</v>
      </c>
      <c r="JS153" s="39">
        <f t="shared" si="188"/>
        <v>5.1311187474171884</v>
      </c>
      <c r="JT153" s="39">
        <f t="shared" si="189"/>
        <v>0.24767728375643025</v>
      </c>
      <c r="JU153" s="385">
        <f>(JQ153*JM153-INDEX(Input!$1:$1048576,Input!A$18,$C153*2+6)*JL153*INDEX(Input!$1:$1048576,Input!A$19,$C153*2+6))/1000000</f>
        <v>0.90442854319448995</v>
      </c>
      <c r="JV153" s="39">
        <f t="shared" si="192"/>
        <v>9.3570068552482066E-3</v>
      </c>
      <c r="JW153" s="1">
        <f t="shared" si="190"/>
        <v>1.0453920692772203E-2</v>
      </c>
      <c r="JX153" s="19">
        <f t="shared" si="191"/>
        <v>5693.4085626954065</v>
      </c>
      <c r="JZ153" s="341"/>
      <c r="KA153" s="342"/>
      <c r="KB153" s="469">
        <f t="shared" si="110"/>
        <v>3.2656316020464753</v>
      </c>
      <c r="KI153" s="473">
        <f t="shared" si="278"/>
        <v>24.127309439498418</v>
      </c>
      <c r="KJ153" s="473">
        <f t="shared" si="279"/>
        <v>42.656432004852434</v>
      </c>
      <c r="KK153" s="473">
        <f t="shared" si="257"/>
        <v>-23.281280479354905</v>
      </c>
      <c r="KN153" s="544">
        <f t="shared" si="258"/>
        <v>1002</v>
      </c>
      <c r="KO153" s="541">
        <f t="shared" si="280"/>
        <v>-3.4596622613287442E-2</v>
      </c>
      <c r="KP153" s="546">
        <f t="shared" si="281"/>
        <v>-108.44902719702807</v>
      </c>
      <c r="KQ153" s="546">
        <f t="shared" si="282"/>
        <v>-331.34436916735194</v>
      </c>
      <c r="KR153" s="548">
        <f t="shared" si="283"/>
        <v>4.5748170759488076</v>
      </c>
      <c r="KS153" s="548">
        <f t="shared" si="284"/>
        <v>1.497337838387766</v>
      </c>
      <c r="KT153" s="473">
        <f t="shared" si="112"/>
        <v>-82.310573396665475</v>
      </c>
      <c r="KU153" s="663">
        <f t="shared" si="285"/>
        <v>-52.580267372583123</v>
      </c>
      <c r="KV153" s="117"/>
    </row>
    <row r="154" spans="1:308" s="26" customFormat="1" ht="15" outlineLevel="1">
      <c r="A154" s="561">
        <f t="shared" si="168"/>
        <v>1054</v>
      </c>
      <c r="B154" s="561">
        <f t="shared" si="104"/>
        <v>54</v>
      </c>
      <c r="C154" s="561">
        <f t="shared" si="105"/>
        <v>1</v>
      </c>
      <c r="D154" s="561" t="str">
        <f t="shared" si="376"/>
        <v xml:space="preserve">0/0/0/3.9, -360 Lease, </v>
      </c>
      <c r="E154" s="475">
        <f>INDEX(Input!$1:$1048576,E$93,$C154*2+MIN($B154,2)+5)
+INDEX(Scenarios!E$121:E$200,MATCH($B154,Scenarios!$B$121:$B$200,0))</f>
        <v>1250</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63">
        <f>IFERROR(MAX(0,INDEX(Input!$1:$1048576,W$93,$C154*2+MIN($B154,2)+5)-0%,),"Market")</f>
        <v>3.9E-2</v>
      </c>
      <c r="X154" s="476" t="str">
        <f>INDEX(Input!$1:$1048576,X$93,$C154*2+MIN($B154,2)+5)</f>
        <v>Y</v>
      </c>
      <c r="Y154" s="475">
        <f>INDEX(Input!$1:$1048576,Y$93,$C154*2+MIN($B154,2)+5)
++INDEX(Scenarios!Y$121:Y$200,MATCH($B154,Scenarios!$B$121:$B$200,0))</f>
        <v>2466</v>
      </c>
      <c r="Z154" s="477">
        <f>INDEX(Input!$1:$1048576,Z$93,$C154*2+MIN($B154,2)+5)
+INDEX(Scenarios!Z$121:Z$200,MATCH($B154,Scenarios!$B$121:$B$200,0))</f>
        <v>0</v>
      </c>
      <c r="AA154" s="475">
        <f>INDEX(Input!$1:$1048576,AA$93,$C154*2+MIN($B154,2)+5)</f>
        <v>0</v>
      </c>
      <c r="AB154" s="476">
        <f>INDEX(Input!$1:$1048576,AB$93,$C154*2+MIN($B154,2)+5)</f>
        <v>1</v>
      </c>
      <c r="AC154" s="475">
        <f>INDEX(Input!$1:$1048576,AC$93,$C154*2+MIN($B154,2)+5)
+INDEX(Scenarios!AC$121:AC$200,MATCH($B154,Scenarios!$B$121:$B$200,0))</f>
        <v>0</v>
      </c>
      <c r="AD154" s="476">
        <f>INDEX(Input!$1:$1048576,AD$93,$C154*2+MIN($B154,2)+5)</f>
        <v>0.35</v>
      </c>
      <c r="AE154" s="475">
        <f>INDEX(Input!$1:$1048576,AE$93,$C154*2+MIN($B154,2)+5)
+INDEX(Scenarios!AE$121:AE$200,MATCH($B154,Scenarios!$B$121:$B$200,0))</f>
        <v>0</v>
      </c>
      <c r="AF154" s="476">
        <f>INDEX(Input!$1:$1048576,AF$93,$C154*2+MIN($B154,2)+5)</f>
        <v>1</v>
      </c>
      <c r="AG154" s="475">
        <f>INDEX(Input!$1:$1048576,AG$93,$C154*2+MIN($B154,2)+5)
+INDEX(Scenarios!AG$121:AG$200,MATCH($B154,Scenarios!$B$121:$B$200,0))</f>
        <v>0</v>
      </c>
      <c r="AH154" s="476">
        <f>INDEX(Input!$1:$1048576,AH$93,$C154*2+MIN($B154,2)+5)</f>
        <v>1</v>
      </c>
      <c r="AI154" s="475">
        <f>INDEX(Input!$1:$1048576,AI$93,$C154*2+MIN($B154,2)+5)
+INDEX(Scenarios!AI$121:AI$200,MATCH($B154,Scenarios!$B$121:$B$200,0))</f>
        <v>0</v>
      </c>
      <c r="AJ154" s="476">
        <f>INDEX(Input!$1:$1048576,AJ$93,$C154*2+MIN($B154,2)+5)</f>
        <v>0.35</v>
      </c>
      <c r="AK154" s="150">
        <f>ROUND(INDEX(Input!$1:$1048576,AK$93,$C153*2+MIN($B154,1)+5)+(Y154-VLOOKUP($C154*1000+1,$A:$HH,Y$92,FALSE)),0)</f>
        <v>5122</v>
      </c>
      <c r="AL154" s="150">
        <f>ROUND(INDEX(Input!$1:$1048576,AL$93,$C153*2+MIN($B154,1)+5)-(Y154-VLOOKUP($C154*1000+1,$A:$HH,Y$92,FALSE))/36,0)</f>
        <v>5612</v>
      </c>
      <c r="AM154" s="32" t="str">
        <f t="shared" si="169"/>
        <v>std/std/std/std</v>
      </c>
      <c r="AN154" s="32" t="str">
        <f t="shared" si="170"/>
        <v>$0 + 0/0/0/0/3.9</v>
      </c>
      <c r="AO154" s="32" t="str">
        <f t="shared" si="171"/>
        <v>0/0/0/0/3.9</v>
      </c>
      <c r="AP154" s="32" t="str">
        <f t="shared" si="73"/>
        <v>0/0/0/3.9</v>
      </c>
      <c r="AQ154" s="536">
        <f t="shared" si="39"/>
        <v>0.17535670865665845</v>
      </c>
      <c r="AR154" s="32"/>
      <c r="AS154" s="302"/>
      <c r="AT154" s="3">
        <f t="shared" si="106"/>
        <v>54</v>
      </c>
      <c r="AU154" s="41" t="s">
        <v>121</v>
      </c>
      <c r="AV154" s="41" t="s">
        <v>116</v>
      </c>
      <c r="AW154" s="41" t="str">
        <f>INDEX(Input!$1:$1048576,AW$93,$C154*2+6)</f>
        <v>Kia</v>
      </c>
      <c r="AX154" s="41" t="str">
        <f>INDEX(Input!$1:$1048576,AX$93,$C154*2+6)</f>
        <v>Kia-LR - L1</v>
      </c>
      <c r="AY154" s="41" t="str">
        <f>IF(LEN(D154)=0,"",INDEX(Input!$1:$1048576,AY$93,$C154*2+6))</f>
        <v>Compact Conventional/Sporty Car (43)</v>
      </c>
      <c r="AZ154" s="41" t="str">
        <f>INDEX(Input!$1:$1048576,AZ$93,$C154*2+6)</f>
        <v>Kia Forte</v>
      </c>
      <c r="BA154" s="3">
        <f>INDEX(Input!$1:$1048576,BA$93,$C154*2+6)</f>
        <v>2020</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19695</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4"/>
        <v>1250</v>
      </c>
      <c r="CJ154" s="16" t="str">
        <f>INDEX(Input!$1:$1048576,CJ$93,$C154*2+6)</f>
        <v>N</v>
      </c>
      <c r="CK154" s="1" t="str">
        <f t="shared" si="75"/>
        <v>Market</v>
      </c>
      <c r="CL154" s="1" t="str">
        <f t="shared" si="76"/>
        <v>Market</v>
      </c>
      <c r="CM154" s="1" t="str">
        <f t="shared" si="77"/>
        <v>Market</v>
      </c>
      <c r="CN154" s="1" t="str">
        <f t="shared" si="78"/>
        <v>Market</v>
      </c>
      <c r="CO154" s="1" t="str">
        <f t="shared" si="79"/>
        <v>Market</v>
      </c>
      <c r="CP154" s="304">
        <f t="shared" si="80"/>
        <v>0</v>
      </c>
      <c r="CQ154" s="1">
        <f t="shared" si="81"/>
        <v>0</v>
      </c>
      <c r="CR154" s="1">
        <f t="shared" si="82"/>
        <v>0</v>
      </c>
      <c r="CS154" s="1">
        <f t="shared" si="83"/>
        <v>0</v>
      </c>
      <c r="CT154" s="1">
        <f t="shared" si="84"/>
        <v>0</v>
      </c>
      <c r="CU154" s="1">
        <f t="shared" si="85"/>
        <v>3.9E-2</v>
      </c>
      <c r="CV154" s="304">
        <f t="shared" si="86"/>
        <v>2466</v>
      </c>
      <c r="CW154" s="20" t="s">
        <v>122</v>
      </c>
      <c r="CX154" s="20" t="s">
        <v>122</v>
      </c>
      <c r="CY154" s="20" t="s">
        <v>122</v>
      </c>
      <c r="CZ154" s="20" t="s">
        <v>122</v>
      </c>
      <c r="DA154" s="20" t="s">
        <v>122</v>
      </c>
      <c r="DB154" s="503">
        <f t="shared" si="87"/>
        <v>0</v>
      </c>
      <c r="DC154" s="127">
        <v>0</v>
      </c>
      <c r="DD154" s="127">
        <v>0</v>
      </c>
      <c r="DE154" s="127">
        <v>0</v>
      </c>
      <c r="DF154" s="127">
        <v>0</v>
      </c>
      <c r="DG154" s="127">
        <v>0</v>
      </c>
      <c r="DH154" s="127">
        <v>0</v>
      </c>
      <c r="DI154" s="127">
        <v>0</v>
      </c>
      <c r="DJ154" s="127">
        <v>0</v>
      </c>
      <c r="DK154" s="127">
        <v>0</v>
      </c>
      <c r="DL154" s="127">
        <v>0</v>
      </c>
      <c r="DM154" s="304">
        <f>INDEX(Input!$1:$1048576,DM$93,$C154*2+6)</f>
        <v>20731.578947368424</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1.5244822249537436E-2</v>
      </c>
      <c r="DZ154" s="7">
        <v>0</v>
      </c>
      <c r="EA154" s="7">
        <v>0.23843271446473915</v>
      </c>
      <c r="EB154" s="7">
        <v>0</v>
      </c>
      <c r="EC154" s="7">
        <v>0</v>
      </c>
      <c r="ED154" s="7">
        <v>0</v>
      </c>
      <c r="EE154" s="7">
        <v>0</v>
      </c>
      <c r="EF154" s="7">
        <v>0</v>
      </c>
      <c r="EG154" s="7">
        <v>0</v>
      </c>
      <c r="EH154" s="7">
        <v>1.0499127675873869E-2</v>
      </c>
      <c r="EI154" s="7">
        <v>1.8884716664387988E-2</v>
      </c>
      <c r="EJ154" s="7">
        <v>0.14852093692952106</v>
      </c>
      <c r="EK154" s="7">
        <v>0.79923611614015933</v>
      </c>
      <c r="EL154" s="7">
        <v>2.2859102590057599E-2</v>
      </c>
      <c r="EM154" s="7">
        <v>2.8503913361527577E-2</v>
      </c>
      <c r="EN154" s="7">
        <v>5.4991458321761215E-2</v>
      </c>
      <c r="EO154" s="7">
        <v>0.54346350462336068</v>
      </c>
      <c r="EP154" s="7">
        <v>0.3098923473992416</v>
      </c>
      <c r="EQ154" s="7">
        <v>5.3241409624822628E-2</v>
      </c>
      <c r="ER154" s="7">
        <v>3.8411280030814017E-2</v>
      </c>
      <c r="ES154" s="7">
        <v>0.7178185499241958</v>
      </c>
      <c r="ET154" s="7">
        <v>0.74632246328572338</v>
      </c>
      <c r="EU154" s="6">
        <v>1600</v>
      </c>
      <c r="EV154" s="6">
        <v>0</v>
      </c>
      <c r="EW154" s="6">
        <v>1600</v>
      </c>
      <c r="EX154" s="6">
        <v>0</v>
      </c>
      <c r="EY154" s="6">
        <v>3325.2996804024192</v>
      </c>
      <c r="EZ154" s="6">
        <v>4462.9999999999991</v>
      </c>
      <c r="FA154" s="6">
        <v>0</v>
      </c>
      <c r="FB154" s="6">
        <v>0</v>
      </c>
      <c r="FC154" s="6">
        <v>0</v>
      </c>
      <c r="FD154" s="6">
        <v>0</v>
      </c>
      <c r="FE154" s="6">
        <v>0</v>
      </c>
      <c r="FF154" s="6">
        <v>0</v>
      </c>
      <c r="FG154" s="6">
        <v>0</v>
      </c>
      <c r="FH154" s="6">
        <v>1152.1208270377817</v>
      </c>
      <c r="FI154" s="6">
        <v>1531.4299904380623</v>
      </c>
      <c r="FJ154" s="6">
        <v>2070.7205842538224</v>
      </c>
      <c r="FK154" s="6">
        <v>2635.3956133202914</v>
      </c>
      <c r="FL154" s="6">
        <v>893.91433563489363</v>
      </c>
      <c r="FM154" s="6">
        <v>2475.2996804024192</v>
      </c>
      <c r="FN154" s="6">
        <v>0</v>
      </c>
      <c r="FO154" s="6">
        <v>0</v>
      </c>
      <c r="FP154" s="6">
        <v>0</v>
      </c>
      <c r="FQ154" s="6">
        <v>0</v>
      </c>
      <c r="FR154" s="6">
        <v>0</v>
      </c>
      <c r="FS154" s="6">
        <v>0</v>
      </c>
      <c r="FT154" s="7">
        <v>0.25367753671427656</v>
      </c>
      <c r="FU154" s="7">
        <v>2.8503913361527577E-2</v>
      </c>
      <c r="FV154" s="7">
        <v>0.7178185499241958</v>
      </c>
      <c r="FW154" s="6">
        <v>1600.0000000000002</v>
      </c>
      <c r="FX154" s="6">
        <v>3325.2996804024192</v>
      </c>
      <c r="FY154" s="6">
        <v>4462.9999999999991</v>
      </c>
      <c r="FZ154" s="6">
        <v>3077.4375890575293</v>
      </c>
      <c r="GA154" s="6">
        <v>3704.2923010458339</v>
      </c>
      <c r="GB154" s="6">
        <v>15990.707698954166</v>
      </c>
      <c r="GC154" s="7">
        <v>7.0901643973087014E-2</v>
      </c>
      <c r="GD154" s="7">
        <v>7.7291952330354616E-2</v>
      </c>
      <c r="GE154" s="7"/>
      <c r="GF154" s="7"/>
      <c r="GG154" s="7">
        <v>9.0129198692392068E-2</v>
      </c>
      <c r="GH154" s="42">
        <v>2.8317479860943919</v>
      </c>
      <c r="GI154" s="6">
        <v>10659.360370914503</v>
      </c>
      <c r="GJ154" s="14">
        <v>0.5107463060103955</v>
      </c>
      <c r="GK154" s="14">
        <v>0.5082951978616097</v>
      </c>
      <c r="GL154" s="14">
        <v>0.48925369398960439</v>
      </c>
      <c r="GM154" s="14">
        <v>0.49170480213839041</v>
      </c>
      <c r="GO154" s="5">
        <v>338.16872463277008</v>
      </c>
      <c r="GP154" s="5">
        <v>307.64377699166363</v>
      </c>
      <c r="GQ154" s="5">
        <v>527.27910984145694</v>
      </c>
      <c r="GR154" s="5">
        <v>404.20319246551543</v>
      </c>
      <c r="GS154" s="5">
        <v>334.50205195691484</v>
      </c>
      <c r="GT154" s="5">
        <v>289.18266033348181</v>
      </c>
      <c r="GU154" s="5">
        <v>254.29573314828914</v>
      </c>
      <c r="GV154" s="39" t="s">
        <v>392</v>
      </c>
      <c r="GW154" s="5">
        <v>468.76388888888891</v>
      </c>
      <c r="GX154" s="5">
        <v>351.57291666666669</v>
      </c>
      <c r="GY154" s="5">
        <v>281.25833333333333</v>
      </c>
      <c r="GZ154" s="5">
        <v>234.38194444444446</v>
      </c>
      <c r="HA154" s="5">
        <v>229.8919505212948</v>
      </c>
      <c r="HB154" s="39">
        <v>245.91535667605936</v>
      </c>
      <c r="HC154" s="5">
        <v>87.859375</v>
      </c>
      <c r="HD154" s="5">
        <v>103.05546418128652</v>
      </c>
      <c r="HE154" s="5">
        <v>113.73246879217274</v>
      </c>
      <c r="HF154" s="5">
        <v>114.49629934210526</v>
      </c>
      <c r="HG154" s="5">
        <v>122.034100877193</v>
      </c>
      <c r="HH154" s="39">
        <v>106.86665101845688</v>
      </c>
      <c r="HI154" s="16"/>
      <c r="HJ154" s="19" t="str">
        <f t="shared" ref="HJ154" si="378">HJ153</f>
        <v>On</v>
      </c>
      <c r="HK154" s="1" t="str">
        <f t="shared" si="108"/>
        <v>On</v>
      </c>
      <c r="HL154" s="16"/>
      <c r="HM154" s="639">
        <f t="shared" si="261"/>
        <v>1.7699001661282989E-2</v>
      </c>
      <c r="HN154" s="639">
        <f t="shared" si="262"/>
        <v>1.0509929974846072E-3</v>
      </c>
      <c r="HO154" s="639">
        <f t="shared" si="263"/>
        <v>5.7398960259851091E-2</v>
      </c>
      <c r="HP154" s="644">
        <f>(FT154*$GD154-HM154)/$JF154*INDEX(Input!$1:$1048576,$JG$93,$C154*2+6)</f>
        <v>24.507878625666365</v>
      </c>
      <c r="HQ154" s="644">
        <f>(FU154*$GD154-HN154)/$JF154*INDEX(Input!$1:$1048576,$JG$93,$C154*2+6)</f>
        <v>14.797094115751397</v>
      </c>
      <c r="HR154" s="644">
        <f>(FV154*$GD154-HO154)/$JF154*INDEX(Input!$1:$1048576,$JG$93,$C154*2+6)</f>
        <v>-24.625172212672592</v>
      </c>
      <c r="HS154" s="644">
        <f t="shared" si="264"/>
        <v>-0.38056918616801094</v>
      </c>
      <c r="HT154" s="644">
        <f t="shared" si="265"/>
        <v>27.859337889101013</v>
      </c>
      <c r="HU154" s="644">
        <f t="shared" si="266"/>
        <v>1.3438917333177083</v>
      </c>
      <c r="HV154" s="648">
        <f t="shared" si="267"/>
        <v>0</v>
      </c>
      <c r="HW154" s="648">
        <f t="shared" si="268"/>
        <v>0</v>
      </c>
      <c r="HX154" s="648">
        <f t="shared" si="269"/>
        <v>0</v>
      </c>
      <c r="HY154" s="644">
        <f>INDEX(Input!$1:$1048576,HY$93,$C154*2+6)*INDEX(Input!$1:$1048576,$JG$93,$C154*2+6)</f>
        <v>154.99999999999997</v>
      </c>
      <c r="HZ154" s="644">
        <f>INDEX(Input!$1:$1048576,HZ$93,$C154*2+6)*INDEX(Input!$1:$1048576,$JG$93,$C154*2+6)</f>
        <v>140</v>
      </c>
      <c r="IA154" s="644">
        <f>INDEX(Input!$1:$1048576,IA$93,$C154*2+6)*INDEX(Input!$1:$1048576,$JG$93,$C154*2+6)</f>
        <v>683</v>
      </c>
      <c r="IB154" s="644">
        <f t="shared" si="249"/>
        <v>179.12730943949839</v>
      </c>
      <c r="IC154" s="644">
        <f t="shared" si="172"/>
        <v>182.65643200485243</v>
      </c>
      <c r="ID154" s="644">
        <f>IF(AND(INDEX(Input!$1:$1048576,IA$93,$C154*2+7)="TOS",Y154&lt;=INDEX(Y:Y,MATCH(C154*1000+2,A:A))),0,1)*MAX(IA154+HR154+HU154+HX154,0%)</f>
        <v>659.7187195206451</v>
      </c>
      <c r="IE154" s="128">
        <f t="shared" si="270"/>
        <v>0.17535670865665845</v>
      </c>
      <c r="IF154" s="128">
        <f t="shared" si="174"/>
        <v>0.17881154376495581</v>
      </c>
      <c r="IG154" s="128">
        <f t="shared" si="175"/>
        <v>0.6458317475783858</v>
      </c>
      <c r="IH154" s="21"/>
      <c r="II154" s="19">
        <f t="shared" si="271"/>
        <v>1200</v>
      </c>
      <c r="IJ154" s="19">
        <f t="shared" si="272"/>
        <v>2231.5502763133163</v>
      </c>
      <c r="IK154" s="19">
        <f t="shared" si="273"/>
        <v>4498</v>
      </c>
      <c r="IL154" s="19">
        <f t="shared" si="176"/>
        <v>400.00000000000023</v>
      </c>
      <c r="IM154" s="19">
        <f t="shared" si="177"/>
        <v>1093.7494040891029</v>
      </c>
      <c r="IN154" s="19">
        <f t="shared" si="178"/>
        <v>-35.000000000000909</v>
      </c>
      <c r="IO154" s="39">
        <f t="shared" si="274"/>
        <v>0</v>
      </c>
      <c r="IP154" s="39">
        <f t="shared" si="275"/>
        <v>0</v>
      </c>
      <c r="IQ154" s="39">
        <f t="shared" si="276"/>
        <v>0</v>
      </c>
      <c r="IR154" s="39">
        <v>0</v>
      </c>
      <c r="IS154" s="39">
        <v>0</v>
      </c>
      <c r="IT154" s="39">
        <v>0</v>
      </c>
      <c r="IU154" s="39">
        <v>0</v>
      </c>
      <c r="IV154" s="39">
        <v>0</v>
      </c>
      <c r="IW154" s="39">
        <v>0</v>
      </c>
      <c r="IX154" s="39">
        <f>INDEX(Input!$1:$1048576,IX$93,$C154*2+6)+INDEX(Input!$1:$1048576,IX$94,$C154*2+6)</f>
        <v>1600</v>
      </c>
      <c r="IY154" s="39">
        <f>INDEX(Input!$1:$1048576,IY$93,$C154*2+6)+INDEX(Input!$1:$1048576,IY$94,$C154*2+6)</f>
        <v>2503.5492916397525</v>
      </c>
      <c r="IZ154" s="39">
        <f>INDEX(Input!$1:$1048576,IZ$93,$C154*2+6)+INDEX(Input!$1:$1048576,IZ$94,$C154*2+6)</f>
        <v>6273.7109265464023</v>
      </c>
      <c r="JA154" s="19">
        <f t="shared" si="179"/>
        <v>2000.0000000000002</v>
      </c>
      <c r="JB154" s="19">
        <f t="shared" si="180"/>
        <v>3597.2986957288554</v>
      </c>
      <c r="JC154" s="19">
        <f t="shared" si="181"/>
        <v>6238.7109265464014</v>
      </c>
      <c r="JD154" s="19">
        <f t="shared" si="182"/>
        <v>5023.1095308080885</v>
      </c>
      <c r="JE154" s="21"/>
      <c r="JF154" s="1">
        <f t="shared" si="277"/>
        <v>7.6148954918618686E-2</v>
      </c>
      <c r="JG154" s="15">
        <f>INDEX(Input!$1:$1048576,JG$93,$C154*2+6)/(1+VLOOKUP(C154*1000+INDEX(Input!$1:$1048576,JG$93+1,$C154*2+6),$A:$KK,$JK$92,FALSE))</f>
        <v>978</v>
      </c>
      <c r="JH154" s="1">
        <f t="shared" si="251"/>
        <v>1.5010020990536986E-2</v>
      </c>
      <c r="JI154" s="1">
        <f t="shared" si="252"/>
        <v>2.9471022940951646E-2</v>
      </c>
      <c r="JJ154" s="1">
        <f t="shared" si="253"/>
        <v>0</v>
      </c>
      <c r="JK154" s="1">
        <f t="shared" si="254"/>
        <v>4.4481043931488634E-2</v>
      </c>
      <c r="JL154" s="15">
        <f t="shared" si="184"/>
        <v>43.502460964995883</v>
      </c>
      <c r="JM154" s="15">
        <f t="shared" si="185"/>
        <v>1021.5024609649959</v>
      </c>
      <c r="JN154" s="21"/>
      <c r="JO154" s="19">
        <f>INDEX(Input!$1:$1048576,JO$93,$C154*2+6)</f>
        <v>5908.5</v>
      </c>
      <c r="JP154" s="19">
        <f>INDEX(Input!$1:$1048576,JP$93,$C154*2+6)</f>
        <v>4993.2939301234746</v>
      </c>
      <c r="JQ154" s="39">
        <f t="shared" si="186"/>
        <v>885.39046919191151</v>
      </c>
      <c r="JR154" s="39">
        <f t="shared" si="187"/>
        <v>29.815600684613855</v>
      </c>
      <c r="JS154" s="39">
        <f t="shared" si="188"/>
        <v>5.1311187474171884</v>
      </c>
      <c r="JT154" s="39">
        <f t="shared" si="189"/>
        <v>0.24767728375643025</v>
      </c>
      <c r="JU154" s="385">
        <f>(JQ154*JM154-INDEX(Input!$1:$1048576,Input!A$18,$C154*2+6)*JL154*INDEX(Input!$1:$1048576,Input!A$19,$C154*2+6))/1000000</f>
        <v>0.90442854319448995</v>
      </c>
      <c r="JV154" s="39">
        <f t="shared" si="192"/>
        <v>9.3570068552482066E-3</v>
      </c>
      <c r="JW154" s="1">
        <f t="shared" si="190"/>
        <v>1.0453920692772203E-2</v>
      </c>
      <c r="JX154" s="19">
        <f t="shared" si="191"/>
        <v>5693.4085626954065</v>
      </c>
      <c r="JZ154" s="341"/>
      <c r="KA154" s="342"/>
      <c r="KB154" s="469">
        <f t="shared" si="110"/>
        <v>3.2656316020464753</v>
      </c>
      <c r="KI154" s="473">
        <f t="shared" si="278"/>
        <v>24.127309439498418</v>
      </c>
      <c r="KJ154" s="473">
        <f t="shared" si="279"/>
        <v>42.656432004852434</v>
      </c>
      <c r="KK154" s="473">
        <f t="shared" si="257"/>
        <v>-23.281280479354905</v>
      </c>
      <c r="KN154" s="544">
        <f t="shared" si="258"/>
        <v>1002</v>
      </c>
      <c r="KO154" s="541">
        <f t="shared" si="280"/>
        <v>-3.4596622613287442E-2</v>
      </c>
      <c r="KP154" s="546">
        <f t="shared" si="281"/>
        <v>-108.44902719702807</v>
      </c>
      <c r="KQ154" s="546">
        <f t="shared" si="282"/>
        <v>-331.34436916735194</v>
      </c>
      <c r="KR154" s="548">
        <f t="shared" si="283"/>
        <v>4.5748170759488076</v>
      </c>
      <c r="KS154" s="548">
        <f t="shared" si="284"/>
        <v>1.497337838387766</v>
      </c>
      <c r="KT154" s="473">
        <f t="shared" si="112"/>
        <v>-82.310573396665475</v>
      </c>
      <c r="KU154" s="663">
        <f t="shared" si="285"/>
        <v>-52.580266372583125</v>
      </c>
      <c r="KV154" s="117"/>
    </row>
    <row r="155" spans="1:308" s="26" customFormat="1" ht="15" outlineLevel="1">
      <c r="A155" s="561">
        <f t="shared" si="168"/>
        <v>1055</v>
      </c>
      <c r="B155" s="561">
        <f t="shared" si="104"/>
        <v>55</v>
      </c>
      <c r="C155" s="561">
        <f t="shared" si="105"/>
        <v>1</v>
      </c>
      <c r="D155" s="561" t="str">
        <f t="shared" si="376"/>
        <v xml:space="preserve">500 CC, 500 Combo, 360 Lease, </v>
      </c>
      <c r="E155" s="475">
        <f>INDEX(Input!$1:$1048576,E$93,$C155*2+MIN($B155,2)+5)
+INDEX(Scenarios!E$121:E$200,MATCH($B155,Scenarios!$B$121:$B$200,0))</f>
        <v>1750</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1.9E-2</v>
      </c>
      <c r="W155" s="863">
        <f>IFERROR(MAX(0,INDEX(Input!$1:$1048576,W$93,$C155*2+MIN($B155,2)+5)-0%,),"Market")</f>
        <v>3.9E-2</v>
      </c>
      <c r="X155" s="476" t="str">
        <f>INDEX(Input!$1:$1048576,X$93,$C155*2+MIN($B155,2)+5)</f>
        <v>Y</v>
      </c>
      <c r="Y155" s="475">
        <f>INDEX(Input!$1:$1048576,Y$93,$C155*2+MIN($B155,2)+5)
++INDEX(Scenarios!Y$121:Y$200,MATCH($B155,Scenarios!$B$121:$B$200,0))</f>
        <v>3186</v>
      </c>
      <c r="Z155" s="477">
        <f>INDEX(Input!$1:$1048576,Z$93,$C155*2+MIN($B155,2)+5)
+INDEX(Scenarios!Z$121:Z$200,MATCH($B155,Scenarios!$B$121:$B$200,0))</f>
        <v>0</v>
      </c>
      <c r="AA155" s="475">
        <f>INDEX(Input!$1:$1048576,AA$93,$C155*2+MIN($B155,2)+5)</f>
        <v>0</v>
      </c>
      <c r="AB155" s="476">
        <f>INDEX(Input!$1:$1048576,AB$93,$C155*2+MIN($B155,2)+5)</f>
        <v>1</v>
      </c>
      <c r="AC155" s="475">
        <f>INDEX(Input!$1:$1048576,AC$93,$C155*2+MIN($B155,2)+5)
+INDEX(Scenarios!AC$121:AC$200,MATCH($B155,Scenarios!$B$121:$B$200,0))</f>
        <v>0</v>
      </c>
      <c r="AD155" s="476">
        <f>INDEX(Input!$1:$1048576,AD$93,$C155*2+MIN($B155,2)+5)</f>
        <v>0.35</v>
      </c>
      <c r="AE155" s="475">
        <f>INDEX(Input!$1:$1048576,AE$93,$C155*2+MIN($B155,2)+5)
+INDEX(Scenarios!AE$121:AE$200,MATCH($B155,Scenarios!$B$121:$B$200,0))</f>
        <v>0</v>
      </c>
      <c r="AF155" s="476">
        <f>INDEX(Input!$1:$1048576,AF$93,$C155*2+MIN($B155,2)+5)</f>
        <v>1</v>
      </c>
      <c r="AG155" s="475">
        <f>INDEX(Input!$1:$1048576,AG$93,$C155*2+MIN($B155,2)+5)
+INDEX(Scenarios!AG$121:AG$200,MATCH($B155,Scenarios!$B$121:$B$200,0))</f>
        <v>0</v>
      </c>
      <c r="AH155" s="476">
        <f>INDEX(Input!$1:$1048576,AH$93,$C155*2+MIN($B155,2)+5)</f>
        <v>1</v>
      </c>
      <c r="AI155" s="475">
        <f>INDEX(Input!$1:$1048576,AI$93,$C155*2+MIN($B155,2)+5)
+INDEX(Scenarios!AI$121:AI$200,MATCH($B155,Scenarios!$B$121:$B$200,0))</f>
        <v>0</v>
      </c>
      <c r="AJ155" s="476">
        <f>INDEX(Input!$1:$1048576,AJ$93,$C155*2+MIN($B155,2)+5)</f>
        <v>0.35</v>
      </c>
      <c r="AK155" s="150">
        <f>ROUND(INDEX(Input!$1:$1048576,AK$93,$C154*2+MIN($B155,1)+5)+(Y155-VLOOKUP($C155*1000+1,$A:$HH,Y$92,FALSE)),0)</f>
        <v>5842</v>
      </c>
      <c r="AL155" s="150">
        <f>ROUND(INDEX(Input!$1:$1048576,AL$93,$C154*2+MIN($B155,1)+5)-(Y155-VLOOKUP($C155*1000+1,$A:$HH,Y$92,FALSE))/36,0)</f>
        <v>5592</v>
      </c>
      <c r="AM155" s="32" t="str">
        <f t="shared" si="169"/>
        <v>std/std/std/std</v>
      </c>
      <c r="AN155" s="32" t="str">
        <f t="shared" si="170"/>
        <v>$500 + 0/0/0/1.9/3.9</v>
      </c>
      <c r="AO155" s="32" t="str">
        <f t="shared" si="171"/>
        <v>0/0/0/1.9/3.9</v>
      </c>
      <c r="AP155" s="32" t="str">
        <f t="shared" si="73"/>
        <v>0/0.9/1.9/3.9</v>
      </c>
      <c r="AQ155" s="536">
        <f t="shared" si="39"/>
        <v>0.15814459114130217</v>
      </c>
      <c r="AR155" s="32"/>
      <c r="AS155" s="302"/>
      <c r="AT155" s="3">
        <f t="shared" si="106"/>
        <v>55</v>
      </c>
      <c r="AU155" s="41" t="s">
        <v>121</v>
      </c>
      <c r="AV155" s="41" t="s">
        <v>116</v>
      </c>
      <c r="AW155" s="41" t="str">
        <f>INDEX(Input!$1:$1048576,AW$93,$C155*2+6)</f>
        <v>Kia</v>
      </c>
      <c r="AX155" s="41" t="str">
        <f>INDEX(Input!$1:$1048576,AX$93,$C155*2+6)</f>
        <v>Kia-LR - L1</v>
      </c>
      <c r="AY155" s="41" t="str">
        <f>IF(LEN(D155)=0,"",INDEX(Input!$1:$1048576,AY$93,$C155*2+6))</f>
        <v>Compact Conventional/Sporty Car (43)</v>
      </c>
      <c r="AZ155" s="41" t="str">
        <f>INDEX(Input!$1:$1048576,AZ$93,$C155*2+6)</f>
        <v>Kia Forte</v>
      </c>
      <c r="BA155" s="3">
        <f>INDEX(Input!$1:$1048576,BA$93,$C155*2+6)</f>
        <v>2020</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19695</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4"/>
        <v>1750</v>
      </c>
      <c r="CJ155" s="16" t="str">
        <f>INDEX(Input!$1:$1048576,CJ$93,$C155*2+6)</f>
        <v>N</v>
      </c>
      <c r="CK155" s="1" t="str">
        <f t="shared" si="75"/>
        <v>Market</v>
      </c>
      <c r="CL155" s="1" t="str">
        <f t="shared" si="76"/>
        <v>Market</v>
      </c>
      <c r="CM155" s="1" t="str">
        <f t="shared" si="77"/>
        <v>Market</v>
      </c>
      <c r="CN155" s="1" t="str">
        <f t="shared" si="78"/>
        <v>Market</v>
      </c>
      <c r="CO155" s="1" t="str">
        <f t="shared" si="79"/>
        <v>Market</v>
      </c>
      <c r="CP155" s="304">
        <f t="shared" si="80"/>
        <v>500</v>
      </c>
      <c r="CQ155" s="1">
        <f t="shared" si="81"/>
        <v>0</v>
      </c>
      <c r="CR155" s="1">
        <f t="shared" si="82"/>
        <v>0</v>
      </c>
      <c r="CS155" s="1">
        <f t="shared" si="83"/>
        <v>0</v>
      </c>
      <c r="CT155" s="1">
        <f t="shared" si="84"/>
        <v>1.9E-2</v>
      </c>
      <c r="CU155" s="1">
        <f t="shared" si="85"/>
        <v>3.9E-2</v>
      </c>
      <c r="CV155" s="304">
        <f t="shared" si="86"/>
        <v>3186</v>
      </c>
      <c r="CW155" s="20" t="s">
        <v>122</v>
      </c>
      <c r="CX155" s="20" t="s">
        <v>122</v>
      </c>
      <c r="CY155" s="20" t="s">
        <v>122</v>
      </c>
      <c r="CZ155" s="20" t="s">
        <v>122</v>
      </c>
      <c r="DA155" s="20" t="s">
        <v>122</v>
      </c>
      <c r="DB155" s="503">
        <f t="shared" si="87"/>
        <v>0</v>
      </c>
      <c r="DC155" s="127">
        <v>0</v>
      </c>
      <c r="DD155" s="127">
        <v>0</v>
      </c>
      <c r="DE155" s="127">
        <v>0</v>
      </c>
      <c r="DF155" s="127">
        <v>0</v>
      </c>
      <c r="DG155" s="127">
        <v>0</v>
      </c>
      <c r="DH155" s="127">
        <v>0</v>
      </c>
      <c r="DI155" s="127">
        <v>0</v>
      </c>
      <c r="DJ155" s="127">
        <v>0</v>
      </c>
      <c r="DK155" s="127">
        <v>0</v>
      </c>
      <c r="DL155" s="127">
        <v>0</v>
      </c>
      <c r="DM155" s="304">
        <f>INDEX(Input!$1:$1048576,DM$93,$C155*2+6)</f>
        <v>20731.578947368424</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1.4081730284136694E-2</v>
      </c>
      <c r="DZ155" s="7">
        <v>0</v>
      </c>
      <c r="EA155" s="7">
        <v>0.21828866096925567</v>
      </c>
      <c r="EB155" s="7">
        <v>0</v>
      </c>
      <c r="EC155" s="7">
        <v>0</v>
      </c>
      <c r="ED155" s="7">
        <v>0</v>
      </c>
      <c r="EE155" s="7">
        <v>0</v>
      </c>
      <c r="EF155" s="7">
        <v>0</v>
      </c>
      <c r="EG155" s="7">
        <v>0</v>
      </c>
      <c r="EH155" s="7">
        <v>1.9867163211649875E-2</v>
      </c>
      <c r="EI155" s="7">
        <v>3.5734944822064262E-2</v>
      </c>
      <c r="EJ155" s="7">
        <v>0.28104141462213045</v>
      </c>
      <c r="EK155" s="7">
        <v>0.62010092925970761</v>
      </c>
      <c r="EL155" s="7">
        <v>4.3255548084448162E-2</v>
      </c>
      <c r="EM155" s="7">
        <v>1.3784534062746837E-2</v>
      </c>
      <c r="EN155" s="7">
        <v>5.8591856591889833E-2</v>
      </c>
      <c r="EO155" s="7">
        <v>0.54078899147893789</v>
      </c>
      <c r="EP155" s="7">
        <v>0.31356065923790416</v>
      </c>
      <c r="EQ155" s="7">
        <v>5.0607944637769256E-2</v>
      </c>
      <c r="ER155" s="7">
        <v>3.6450548053498996E-2</v>
      </c>
      <c r="ES155" s="7">
        <v>0.75384507468386075</v>
      </c>
      <c r="ET155" s="7">
        <v>0.76762960874660757</v>
      </c>
      <c r="EU155" s="6">
        <v>2100</v>
      </c>
      <c r="EV155" s="6">
        <v>0</v>
      </c>
      <c r="EW155" s="6">
        <v>2100</v>
      </c>
      <c r="EX155" s="6">
        <v>0</v>
      </c>
      <c r="EY155" s="6">
        <v>3131.5502763133168</v>
      </c>
      <c r="EZ155" s="6">
        <v>5182.9999999999991</v>
      </c>
      <c r="FA155" s="6">
        <v>0</v>
      </c>
      <c r="FB155" s="6">
        <v>0</v>
      </c>
      <c r="FC155" s="6">
        <v>0</v>
      </c>
      <c r="FD155" s="6">
        <v>0</v>
      </c>
      <c r="FE155" s="6">
        <v>0</v>
      </c>
      <c r="FF155" s="6">
        <v>0</v>
      </c>
      <c r="FG155" s="6">
        <v>0</v>
      </c>
      <c r="FH155" s="6">
        <v>1152.120827037782</v>
      </c>
      <c r="FI155" s="6">
        <v>1531.4299904380618</v>
      </c>
      <c r="FJ155" s="6">
        <v>2070.7205842538219</v>
      </c>
      <c r="FK155" s="6">
        <v>1746.9903521590434</v>
      </c>
      <c r="FL155" s="6">
        <v>893.91433563489409</v>
      </c>
      <c r="FM155" s="6">
        <v>1781.5502763133168</v>
      </c>
      <c r="FN155" s="6">
        <v>0</v>
      </c>
      <c r="FO155" s="6">
        <v>0</v>
      </c>
      <c r="FP155" s="6">
        <v>0</v>
      </c>
      <c r="FQ155" s="6">
        <v>0</v>
      </c>
      <c r="FR155" s="6">
        <v>0</v>
      </c>
      <c r="FS155" s="6">
        <v>0</v>
      </c>
      <c r="FT155" s="7">
        <v>0.23237039125339237</v>
      </c>
      <c r="FU155" s="7">
        <v>1.3784534062746837E-2</v>
      </c>
      <c r="FV155" s="7">
        <v>0.75384507468386075</v>
      </c>
      <c r="FW155" s="6">
        <v>2100</v>
      </c>
      <c r="FX155" s="6">
        <v>3131.5502763133168</v>
      </c>
      <c r="FY155" s="6">
        <v>5182.9999999999991</v>
      </c>
      <c r="FZ155" s="6">
        <v>3077.4375890575293</v>
      </c>
      <c r="GA155" s="6">
        <v>4438.3238051716189</v>
      </c>
      <c r="GB155" s="6">
        <v>15256.676194828382</v>
      </c>
      <c r="GC155" s="7">
        <v>7.0901643973087014E-2</v>
      </c>
      <c r="GD155" s="7">
        <v>8.5563315274397631E-2</v>
      </c>
      <c r="GE155" s="7"/>
      <c r="GF155" s="7"/>
      <c r="GG155" s="7">
        <v>0.20678887652980124</v>
      </c>
      <c r="GH155" s="42">
        <v>2.9926873202402988</v>
      </c>
      <c r="GI155" s="6">
        <v>11019.365488610361</v>
      </c>
      <c r="GJ155" s="14">
        <v>0.51074630601039561</v>
      </c>
      <c r="GK155" s="14">
        <v>0.50829519786160982</v>
      </c>
      <c r="GL155" s="14">
        <v>0.48925369398960444</v>
      </c>
      <c r="GM155" s="14">
        <v>0.49170480213839046</v>
      </c>
      <c r="GO155" s="5">
        <v>338.16872463277008</v>
      </c>
      <c r="GP155" s="5">
        <v>298.1047308538179</v>
      </c>
      <c r="GQ155" s="5">
        <v>527.27910984145694</v>
      </c>
      <c r="GR155" s="5">
        <v>404.20319246551543</v>
      </c>
      <c r="GS155" s="5">
        <v>334.50205195691484</v>
      </c>
      <c r="GT155" s="5">
        <v>289.18266033348181</v>
      </c>
      <c r="GU155" s="5">
        <v>254.29573314828914</v>
      </c>
      <c r="GV155" s="39" t="s">
        <v>392</v>
      </c>
      <c r="GW155" s="5">
        <v>454.875</v>
      </c>
      <c r="GX155" s="5">
        <v>341.15625</v>
      </c>
      <c r="GY155" s="5">
        <v>272.92500000000001</v>
      </c>
      <c r="GZ155" s="5">
        <v>240.82751152063875</v>
      </c>
      <c r="HA155" s="5">
        <v>223.08053899211657</v>
      </c>
      <c r="HB155" s="39">
        <v>256.91833838742571</v>
      </c>
      <c r="HC155" s="5">
        <v>56.359375000000007</v>
      </c>
      <c r="HD155" s="5">
        <v>81.555464181286524</v>
      </c>
      <c r="HE155" s="5">
        <v>93.770930330634272</v>
      </c>
      <c r="HF155" s="5">
        <v>97.846299342105254</v>
      </c>
      <c r="HG155" s="5">
        <v>108.23410087719299</v>
      </c>
      <c r="HH155" s="39">
        <v>85.706364768795623</v>
      </c>
      <c r="HI155" s="16"/>
      <c r="HJ155" s="19" t="str">
        <f t="shared" ref="HJ155" si="379">HJ154</f>
        <v>On</v>
      </c>
      <c r="HK155" s="1" t="str">
        <f t="shared" si="108"/>
        <v>On</v>
      </c>
      <c r="HL155" s="16"/>
      <c r="HM155" s="639">
        <f t="shared" si="261"/>
        <v>1.7699001661282989E-2</v>
      </c>
      <c r="HN155" s="639">
        <f t="shared" si="262"/>
        <v>1.0509929974846072E-3</v>
      </c>
      <c r="HO155" s="639">
        <f t="shared" si="263"/>
        <v>5.7398960259851091E-2</v>
      </c>
      <c r="HP155" s="644">
        <f>(FT155*$GD155-HM155)/$JF155*INDEX(Input!$1:$1048576,$JG$93,$C155*2+6)</f>
        <v>28.041685427685312</v>
      </c>
      <c r="HQ155" s="644">
        <f>(FU155*$GD155-HN155)/$JF155*INDEX(Input!$1:$1048576,$JG$93,$C155*2+6)</f>
        <v>1.6498108604317181</v>
      </c>
      <c r="HR155" s="644">
        <f>(FV155*$GD155-HO155)/$JF155*INDEX(Input!$1:$1048576,$JG$93,$C155*2+6)</f>
        <v>91.219479283270672</v>
      </c>
      <c r="HS155" s="644">
        <f t="shared" si="264"/>
        <v>-0.31315424380638757</v>
      </c>
      <c r="HT155" s="644">
        <f t="shared" si="265"/>
        <v>19.252499350357166</v>
      </c>
      <c r="HU155" s="644">
        <f t="shared" si="266"/>
        <v>37.601976900870213</v>
      </c>
      <c r="HV155" s="648">
        <f t="shared" si="267"/>
        <v>0</v>
      </c>
      <c r="HW155" s="648">
        <f t="shared" si="268"/>
        <v>0</v>
      </c>
      <c r="HX155" s="648">
        <f t="shared" si="269"/>
        <v>0</v>
      </c>
      <c r="HY155" s="644">
        <f>INDEX(Input!$1:$1048576,HY$93,$C155*2+6)*INDEX(Input!$1:$1048576,$JG$93,$C155*2+6)</f>
        <v>154.99999999999997</v>
      </c>
      <c r="HZ155" s="644">
        <f>INDEX(Input!$1:$1048576,HZ$93,$C155*2+6)*INDEX(Input!$1:$1048576,$JG$93,$C155*2+6)</f>
        <v>140</v>
      </c>
      <c r="IA155" s="644">
        <f>INDEX(Input!$1:$1048576,IA$93,$C155*2+6)*INDEX(Input!$1:$1048576,$JG$93,$C155*2+6)</f>
        <v>683</v>
      </c>
      <c r="IB155" s="644">
        <f t="shared" si="249"/>
        <v>182.72853118387889</v>
      </c>
      <c r="IC155" s="644">
        <f t="shared" si="172"/>
        <v>160.9023102107889</v>
      </c>
      <c r="ID155" s="644">
        <f>IF(AND(INDEX(Input!$1:$1048576,IA$93,$C155*2+7)="TOS",Y155&lt;=INDEX(Y:Y,MATCH(C155*1000+2,A:A))),0,1)*MAX(IA155+HR155+HU155+HX155,0%)</f>
        <v>811.82145618414086</v>
      </c>
      <c r="IE155" s="128">
        <f t="shared" si="270"/>
        <v>0.15814459114130217</v>
      </c>
      <c r="IF155" s="128">
        <f t="shared" si="174"/>
        <v>0.13925482735025191</v>
      </c>
      <c r="IG155" s="128">
        <f t="shared" si="175"/>
        <v>0.70260058150844595</v>
      </c>
      <c r="IH155" s="21"/>
      <c r="II155" s="19">
        <f t="shared" si="271"/>
        <v>1200</v>
      </c>
      <c r="IJ155" s="19">
        <f t="shared" si="272"/>
        <v>2231.5502763133163</v>
      </c>
      <c r="IK155" s="19">
        <f t="shared" si="273"/>
        <v>4498</v>
      </c>
      <c r="IL155" s="19">
        <f t="shared" si="176"/>
        <v>900</v>
      </c>
      <c r="IM155" s="19">
        <f t="shared" si="177"/>
        <v>900.00000000000045</v>
      </c>
      <c r="IN155" s="19">
        <f t="shared" si="178"/>
        <v>684.99999999999909</v>
      </c>
      <c r="IO155" s="39">
        <f t="shared" si="274"/>
        <v>0</v>
      </c>
      <c r="IP155" s="39">
        <f t="shared" si="275"/>
        <v>0</v>
      </c>
      <c r="IQ155" s="39">
        <f t="shared" si="276"/>
        <v>0</v>
      </c>
      <c r="IR155" s="39">
        <v>0</v>
      </c>
      <c r="IS155" s="39">
        <v>0</v>
      </c>
      <c r="IT155" s="39">
        <v>0</v>
      </c>
      <c r="IU155" s="39">
        <v>0</v>
      </c>
      <c r="IV155" s="39">
        <v>0</v>
      </c>
      <c r="IW155" s="39">
        <v>0</v>
      </c>
      <c r="IX155" s="39">
        <f>INDEX(Input!$1:$1048576,IX$93,$C155*2+6)+INDEX(Input!$1:$1048576,IX$94,$C155*2+6)</f>
        <v>1600</v>
      </c>
      <c r="IY155" s="39">
        <f>INDEX(Input!$1:$1048576,IY$93,$C155*2+6)+INDEX(Input!$1:$1048576,IY$94,$C155*2+6)</f>
        <v>2503.5492916397525</v>
      </c>
      <c r="IZ155" s="39">
        <f>INDEX(Input!$1:$1048576,IZ$93,$C155*2+6)+INDEX(Input!$1:$1048576,IZ$94,$C155*2+6)</f>
        <v>6273.7109265464023</v>
      </c>
      <c r="JA155" s="19">
        <f t="shared" si="179"/>
        <v>2500</v>
      </c>
      <c r="JB155" s="19">
        <f t="shared" si="180"/>
        <v>3403.5492916397529</v>
      </c>
      <c r="JC155" s="19">
        <f t="shared" si="181"/>
        <v>6958.7109265464014</v>
      </c>
      <c r="JD155" s="19">
        <f t="shared" si="182"/>
        <v>5758.5164903792993</v>
      </c>
      <c r="JE155" s="21"/>
      <c r="JF155" s="1">
        <f t="shared" si="277"/>
        <v>7.6148954918618686E-2</v>
      </c>
      <c r="JG155" s="15">
        <f>INDEX(Input!$1:$1048576,JG$93,$C155*2+6)/(1+VLOOKUP(C155*1000+INDEX(Input!$1:$1048576,JG$93+1,$C155*2+6),$A:$KK,$JK$92,FALSE))</f>
        <v>978</v>
      </c>
      <c r="JH155" s="1">
        <f t="shared" si="251"/>
        <v>0.12363085436747208</v>
      </c>
      <c r="JI155" s="1">
        <f t="shared" si="252"/>
        <v>5.7813212686524527E-2</v>
      </c>
      <c r="JJ155" s="1">
        <f t="shared" si="253"/>
        <v>0</v>
      </c>
      <c r="JK155" s="1">
        <f t="shared" si="254"/>
        <v>0.1814440670539966</v>
      </c>
      <c r="JL155" s="15">
        <f t="shared" si="184"/>
        <v>177.45229757880867</v>
      </c>
      <c r="JM155" s="15">
        <f t="shared" si="185"/>
        <v>1155.4522975788086</v>
      </c>
      <c r="JN155" s="21"/>
      <c r="JO155" s="19">
        <f>INDEX(Input!$1:$1048576,JO$93,$C155*2+6)</f>
        <v>5908.5</v>
      </c>
      <c r="JP155" s="19">
        <f>INDEX(Input!$1:$1048576,JP$93,$C155*2+6)</f>
        <v>4993.2939301234746</v>
      </c>
      <c r="JQ155" s="39">
        <f t="shared" si="186"/>
        <v>149.98350962070072</v>
      </c>
      <c r="JR155" s="39">
        <f t="shared" si="187"/>
        <v>765.22256025582465</v>
      </c>
      <c r="JS155" s="39">
        <f t="shared" si="188"/>
        <v>6.6536911094542184</v>
      </c>
      <c r="JT155" s="39">
        <f t="shared" si="189"/>
        <v>1.7702496457934602</v>
      </c>
      <c r="JU155" s="385">
        <f>(JQ155*JM155-INDEX(Input!$1:$1048576,Input!A$18,$C155*2+6)*JL155*INDEX(Input!$1:$1048576,Input!A$19,$C155*2+6))/1000000</f>
        <v>0.17329879079017196</v>
      </c>
      <c r="JV155" s="39">
        <f t="shared" si="192"/>
        <v>-0.72177274554906978</v>
      </c>
      <c r="JW155" s="1">
        <f t="shared" si="190"/>
        <v>-0.80638554154124076</v>
      </c>
      <c r="JX155" s="19">
        <f t="shared" si="191"/>
        <v>9975.9184296121693</v>
      </c>
      <c r="JZ155" s="341"/>
      <c r="KA155" s="342"/>
      <c r="KB155" s="469">
        <f t="shared" si="110"/>
        <v>3.2656316020464753</v>
      </c>
      <c r="KI155" s="473">
        <f t="shared" si="278"/>
        <v>27.728531183878914</v>
      </c>
      <c r="KJ155" s="473">
        <f t="shared" si="279"/>
        <v>20.902310210788897</v>
      </c>
      <c r="KK155" s="473">
        <f t="shared" si="257"/>
        <v>128.82145618414086</v>
      </c>
      <c r="KN155" s="544">
        <f t="shared" si="258"/>
        <v>1002</v>
      </c>
      <c r="KO155" s="541">
        <f t="shared" si="280"/>
        <v>9.199692914889912E-2</v>
      </c>
      <c r="KP155" s="546">
        <f t="shared" si="281"/>
        <v>401.63591858881773</v>
      </c>
      <c r="KQ155" s="546">
        <f t="shared" si="282"/>
        <v>404.06259040385885</v>
      </c>
      <c r="KR155" s="548">
        <f t="shared" si="283"/>
        <v>3.284781421332799</v>
      </c>
      <c r="KS155" s="548">
        <f t="shared" si="284"/>
        <v>3.2650540655146028</v>
      </c>
      <c r="KT155" s="473">
        <f t="shared" si="112"/>
        <v>-82.310573396665475</v>
      </c>
      <c r="KU155" s="663">
        <f t="shared" si="285"/>
        <v>-51.431208571572569</v>
      </c>
      <c r="KV155" s="117"/>
    </row>
    <row r="156" spans="1:308" s="26" customFormat="1" ht="15" outlineLevel="1">
      <c r="A156" s="561">
        <f t="shared" si="168"/>
        <v>1056</v>
      </c>
      <c r="B156" s="561">
        <f t="shared" si="104"/>
        <v>56</v>
      </c>
      <c r="C156" s="561">
        <f t="shared" si="105"/>
        <v>1</v>
      </c>
      <c r="D156" s="561" t="str">
        <f t="shared" si="376"/>
        <v xml:space="preserve">1000 CC, 1000 Combo, 720 Lease, </v>
      </c>
      <c r="E156" s="475">
        <f>INDEX(Input!$1:$1048576,E$93,$C156*2+MIN($B156,2)+5)
+INDEX(Scenarios!E$121:E$200,MATCH($B156,Scenarios!$B$121:$B$200,0))</f>
        <v>2250</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1.9E-2</v>
      </c>
      <c r="W156" s="863">
        <f>IFERROR(MAX(0,INDEX(Input!$1:$1048576,W$93,$C156*2+MIN($B156,2)+5)-0%,),"Market")</f>
        <v>3.9E-2</v>
      </c>
      <c r="X156" s="476" t="str">
        <f>INDEX(Input!$1:$1048576,X$93,$C156*2+MIN($B156,2)+5)</f>
        <v>Y</v>
      </c>
      <c r="Y156" s="475">
        <f>INDEX(Input!$1:$1048576,Y$93,$C156*2+MIN($B156,2)+5)
++INDEX(Scenarios!Y$121:Y$200,MATCH($B156,Scenarios!$B$121:$B$200,0))</f>
        <v>3546</v>
      </c>
      <c r="Z156" s="477">
        <f>INDEX(Input!$1:$1048576,Z$93,$C156*2+MIN($B156,2)+5)
+INDEX(Scenarios!Z$121:Z$200,MATCH($B156,Scenarios!$B$121:$B$200,0))</f>
        <v>0</v>
      </c>
      <c r="AA156" s="475">
        <f>INDEX(Input!$1:$1048576,AA$93,$C156*2+MIN($B156,2)+5)</f>
        <v>0</v>
      </c>
      <c r="AB156" s="476">
        <f>INDEX(Input!$1:$1048576,AB$93,$C156*2+MIN($B156,2)+5)</f>
        <v>1</v>
      </c>
      <c r="AC156" s="475">
        <f>INDEX(Input!$1:$1048576,AC$93,$C156*2+MIN($B156,2)+5)
+INDEX(Scenarios!AC$121:AC$200,MATCH($B156,Scenarios!$B$121:$B$200,0))</f>
        <v>0</v>
      </c>
      <c r="AD156" s="476">
        <f>INDEX(Input!$1:$1048576,AD$93,$C156*2+MIN($B156,2)+5)</f>
        <v>0.35</v>
      </c>
      <c r="AE156" s="475">
        <f>INDEX(Input!$1:$1048576,AE$93,$C156*2+MIN($B156,2)+5)
+INDEX(Scenarios!AE$121:AE$200,MATCH($B156,Scenarios!$B$121:$B$200,0))</f>
        <v>0</v>
      </c>
      <c r="AF156" s="476">
        <f>INDEX(Input!$1:$1048576,AF$93,$C156*2+MIN($B156,2)+5)</f>
        <v>1</v>
      </c>
      <c r="AG156" s="475">
        <f>INDEX(Input!$1:$1048576,AG$93,$C156*2+MIN($B156,2)+5)
+INDEX(Scenarios!AG$121:AG$200,MATCH($B156,Scenarios!$B$121:$B$200,0))</f>
        <v>0</v>
      </c>
      <c r="AH156" s="476">
        <f>INDEX(Input!$1:$1048576,AH$93,$C156*2+MIN($B156,2)+5)</f>
        <v>1</v>
      </c>
      <c r="AI156" s="475">
        <f>INDEX(Input!$1:$1048576,AI$93,$C156*2+MIN($B156,2)+5)
+INDEX(Scenarios!AI$121:AI$200,MATCH($B156,Scenarios!$B$121:$B$200,0))</f>
        <v>0</v>
      </c>
      <c r="AJ156" s="476">
        <f>INDEX(Input!$1:$1048576,AJ$93,$C156*2+MIN($B156,2)+5)</f>
        <v>0.35</v>
      </c>
      <c r="AK156" s="150">
        <f>ROUND(INDEX(Input!$1:$1048576,AK$93,$C155*2+MIN($B156,1)+5)+(Y156-VLOOKUP($C156*1000+1,$A:$HH,Y$92,FALSE)),0)</f>
        <v>6202</v>
      </c>
      <c r="AL156" s="150">
        <f>ROUND(INDEX(Input!$1:$1048576,AL$93,$C155*2+MIN($B156,1)+5)-(Y156-VLOOKUP($C156*1000+1,$A:$HH,Y$92,FALSE))/36,0)</f>
        <v>5582</v>
      </c>
      <c r="AM156" s="32" t="str">
        <f t="shared" si="169"/>
        <v>std/std/std/std</v>
      </c>
      <c r="AN156" s="32" t="str">
        <f t="shared" si="170"/>
        <v>$1000 + 0/0/0/1.9/3.9</v>
      </c>
      <c r="AO156" s="32" t="str">
        <f t="shared" si="171"/>
        <v>0/0/0/1.9/3.9</v>
      </c>
      <c r="AP156" s="32" t="str">
        <f t="shared" si="73"/>
        <v>0/0.9/1.9/3.9</v>
      </c>
      <c r="AQ156" s="536">
        <f t="shared" si="39"/>
        <v>0.15832269760048173</v>
      </c>
      <c r="AR156" s="32"/>
      <c r="AS156" s="302"/>
      <c r="AT156" s="3">
        <f t="shared" si="106"/>
        <v>56</v>
      </c>
      <c r="AU156" s="41" t="s">
        <v>121</v>
      </c>
      <c r="AV156" s="41" t="s">
        <v>116</v>
      </c>
      <c r="AW156" s="41" t="str">
        <f>INDEX(Input!$1:$1048576,AW$93,$C156*2+6)</f>
        <v>Kia</v>
      </c>
      <c r="AX156" s="41" t="str">
        <f>INDEX(Input!$1:$1048576,AX$93,$C156*2+6)</f>
        <v>Kia-LR - L1</v>
      </c>
      <c r="AY156" s="41" t="str">
        <f>IF(LEN(D156)=0,"",INDEX(Input!$1:$1048576,AY$93,$C156*2+6))</f>
        <v>Compact Conventional/Sporty Car (43)</v>
      </c>
      <c r="AZ156" s="41" t="str">
        <f>INDEX(Input!$1:$1048576,AZ$93,$C156*2+6)</f>
        <v>Kia Forte</v>
      </c>
      <c r="BA156" s="3">
        <f>INDEX(Input!$1:$1048576,BA$93,$C156*2+6)</f>
        <v>2020</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19695</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4"/>
        <v>2250</v>
      </c>
      <c r="CJ156" s="16" t="str">
        <f>INDEX(Input!$1:$1048576,CJ$93,$C156*2+6)</f>
        <v>N</v>
      </c>
      <c r="CK156" s="1" t="str">
        <f t="shared" si="75"/>
        <v>Market</v>
      </c>
      <c r="CL156" s="1" t="str">
        <f t="shared" si="76"/>
        <v>Market</v>
      </c>
      <c r="CM156" s="1" t="str">
        <f t="shared" si="77"/>
        <v>Market</v>
      </c>
      <c r="CN156" s="1" t="str">
        <f t="shared" si="78"/>
        <v>Market</v>
      </c>
      <c r="CO156" s="1" t="str">
        <f t="shared" si="79"/>
        <v>Market</v>
      </c>
      <c r="CP156" s="304">
        <f t="shared" si="80"/>
        <v>1000</v>
      </c>
      <c r="CQ156" s="1">
        <f t="shared" si="81"/>
        <v>0</v>
      </c>
      <c r="CR156" s="1">
        <f t="shared" si="82"/>
        <v>0</v>
      </c>
      <c r="CS156" s="1">
        <f t="shared" si="83"/>
        <v>0</v>
      </c>
      <c r="CT156" s="1">
        <f t="shared" si="84"/>
        <v>1.9E-2</v>
      </c>
      <c r="CU156" s="1">
        <f t="shared" si="85"/>
        <v>3.9E-2</v>
      </c>
      <c r="CV156" s="304">
        <f t="shared" si="86"/>
        <v>3546</v>
      </c>
      <c r="CW156" s="20" t="s">
        <v>122</v>
      </c>
      <c r="CX156" s="20" t="s">
        <v>122</v>
      </c>
      <c r="CY156" s="20" t="s">
        <v>122</v>
      </c>
      <c r="CZ156" s="20" t="s">
        <v>122</v>
      </c>
      <c r="DA156" s="20" t="s">
        <v>122</v>
      </c>
      <c r="DB156" s="503">
        <f t="shared" si="87"/>
        <v>0</v>
      </c>
      <c r="DC156" s="127">
        <v>0</v>
      </c>
      <c r="DD156" s="127">
        <v>0</v>
      </c>
      <c r="DE156" s="127">
        <v>0</v>
      </c>
      <c r="DF156" s="127">
        <v>0</v>
      </c>
      <c r="DG156" s="127">
        <v>0</v>
      </c>
      <c r="DH156" s="127">
        <v>0</v>
      </c>
      <c r="DI156" s="127">
        <v>0</v>
      </c>
      <c r="DJ156" s="127">
        <v>0</v>
      </c>
      <c r="DK156" s="127">
        <v>0</v>
      </c>
      <c r="DL156" s="127">
        <v>0</v>
      </c>
      <c r="DM156" s="304">
        <f>INDEX(Input!$1:$1048576,DM$93,$C156*2+6)</f>
        <v>20731.578947368424</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1.4195275688576439E-2</v>
      </c>
      <c r="DZ156" s="7">
        <v>0</v>
      </c>
      <c r="EA156" s="7">
        <v>0.21799953832950386</v>
      </c>
      <c r="EB156" s="7">
        <v>0</v>
      </c>
      <c r="EC156" s="7">
        <v>0</v>
      </c>
      <c r="ED156" s="7">
        <v>0</v>
      </c>
      <c r="EE156" s="7">
        <v>0</v>
      </c>
      <c r="EF156" s="7">
        <v>0</v>
      </c>
      <c r="EG156" s="7">
        <v>0</v>
      </c>
      <c r="EH156" s="7">
        <v>1.9867163211649875E-2</v>
      </c>
      <c r="EI156" s="7">
        <v>3.5734944822064248E-2</v>
      </c>
      <c r="EJ156" s="7">
        <v>0.28104141462213039</v>
      </c>
      <c r="EK156" s="7">
        <v>0.62010092925970728</v>
      </c>
      <c r="EL156" s="7">
        <v>4.3255548084448162E-2</v>
      </c>
      <c r="EM156" s="7">
        <v>1.3766276491060457E-2</v>
      </c>
      <c r="EN156" s="7">
        <v>6.0747828296114387E-2</v>
      </c>
      <c r="EO156" s="7">
        <v>0.53930344106078676</v>
      </c>
      <c r="EP156" s="7">
        <v>0.31536507596782865</v>
      </c>
      <c r="EQ156" s="7">
        <v>4.9197464135323006E-2</v>
      </c>
      <c r="ER156" s="7">
        <v>3.5386190539946669E-2</v>
      </c>
      <c r="ES156" s="7">
        <v>0.75403890949085928</v>
      </c>
      <c r="ET156" s="7">
        <v>0.76780518598191971</v>
      </c>
      <c r="EU156" s="6">
        <v>2600</v>
      </c>
      <c r="EV156" s="6">
        <v>0</v>
      </c>
      <c r="EW156" s="6">
        <v>2600</v>
      </c>
      <c r="EX156" s="6">
        <v>0</v>
      </c>
      <c r="EY156" s="6">
        <v>3631.5502763133168</v>
      </c>
      <c r="EZ156" s="6">
        <v>5542.9999999999991</v>
      </c>
      <c r="FA156" s="6">
        <v>0</v>
      </c>
      <c r="FB156" s="6">
        <v>0</v>
      </c>
      <c r="FC156" s="6">
        <v>0</v>
      </c>
      <c r="FD156" s="6">
        <v>0</v>
      </c>
      <c r="FE156" s="6">
        <v>0</v>
      </c>
      <c r="FF156" s="6">
        <v>0</v>
      </c>
      <c r="FG156" s="6">
        <v>0</v>
      </c>
      <c r="FH156" s="6">
        <v>1152.1208270377813</v>
      </c>
      <c r="FI156" s="6">
        <v>1531.4299904380614</v>
      </c>
      <c r="FJ156" s="6">
        <v>2070.7205842538219</v>
      </c>
      <c r="FK156" s="6">
        <v>1746.9903521590441</v>
      </c>
      <c r="FL156" s="6">
        <v>893.91433563489375</v>
      </c>
      <c r="FM156" s="6">
        <v>1781.5502763133168</v>
      </c>
      <c r="FN156" s="6">
        <v>0</v>
      </c>
      <c r="FO156" s="6">
        <v>0</v>
      </c>
      <c r="FP156" s="6">
        <v>0</v>
      </c>
      <c r="FQ156" s="6">
        <v>0</v>
      </c>
      <c r="FR156" s="6">
        <v>0</v>
      </c>
      <c r="FS156" s="6">
        <v>0</v>
      </c>
      <c r="FT156" s="7">
        <v>0.23219481401808029</v>
      </c>
      <c r="FU156" s="7">
        <v>1.3766276491060457E-2</v>
      </c>
      <c r="FV156" s="7">
        <v>0.75403890949085928</v>
      </c>
      <c r="FW156" s="6">
        <v>2600</v>
      </c>
      <c r="FX156" s="6">
        <v>3631.5502763133168</v>
      </c>
      <c r="FY156" s="6">
        <v>5542.9999999999991</v>
      </c>
      <c r="FZ156" s="6">
        <v>3077.4375890575293</v>
      </c>
      <c r="GA156" s="6">
        <v>4833.3371169497568</v>
      </c>
      <c r="GB156" s="6">
        <v>14861.662883050243</v>
      </c>
      <c r="GC156" s="7">
        <v>7.0901643973087014E-2</v>
      </c>
      <c r="GD156" s="7">
        <v>9.1251029755243199E-2</v>
      </c>
      <c r="GE156" s="7"/>
      <c r="GF156" s="7"/>
      <c r="GG156" s="7">
        <v>0.28700865934618447</v>
      </c>
      <c r="GH156" s="42">
        <v>3.219224936297179</v>
      </c>
      <c r="GI156" s="6">
        <v>10951.269349002359</v>
      </c>
      <c r="GJ156" s="14">
        <v>0.51074630601039561</v>
      </c>
      <c r="GK156" s="14">
        <v>0.5082951978616097</v>
      </c>
      <c r="GL156" s="14">
        <v>0.48925369398960439</v>
      </c>
      <c r="GM156" s="14">
        <v>0.49170480213839018</v>
      </c>
      <c r="GO156" s="5">
        <v>338.16872463277008</v>
      </c>
      <c r="GP156" s="5">
        <v>288.56568471597211</v>
      </c>
      <c r="GQ156" s="5">
        <v>527.27910984145694</v>
      </c>
      <c r="GR156" s="5">
        <v>404.20319246551543</v>
      </c>
      <c r="GS156" s="5">
        <v>334.50205195691484</v>
      </c>
      <c r="GT156" s="5">
        <v>289.18266033348181</v>
      </c>
      <c r="GU156" s="5">
        <v>254.29573314828914</v>
      </c>
      <c r="GV156" s="39" t="s">
        <v>392</v>
      </c>
      <c r="GW156" s="5">
        <v>440.98611111111109</v>
      </c>
      <c r="GX156" s="5">
        <v>330.73958333333331</v>
      </c>
      <c r="GY156" s="5">
        <v>264.59166666666664</v>
      </c>
      <c r="GZ156" s="5">
        <v>233.47422424633754</v>
      </c>
      <c r="HA156" s="5">
        <v>216.26912746293831</v>
      </c>
      <c r="HB156" s="39">
        <v>249.07374315712954</v>
      </c>
      <c r="HC156" s="5">
        <v>40.609375000000007</v>
      </c>
      <c r="HD156" s="5">
        <v>70.805464181286524</v>
      </c>
      <c r="HE156" s="5">
        <v>83.790161099865031</v>
      </c>
      <c r="HF156" s="5">
        <v>89.521299342105266</v>
      </c>
      <c r="HG156" s="5">
        <v>101.33410087719298</v>
      </c>
      <c r="HH156" s="39">
        <v>75.067101054767434</v>
      </c>
      <c r="HI156" s="16"/>
      <c r="HJ156" s="19" t="str">
        <f t="shared" ref="HJ156" si="380">HJ155</f>
        <v>On</v>
      </c>
      <c r="HK156" s="1" t="str">
        <f t="shared" si="108"/>
        <v>On</v>
      </c>
      <c r="HL156" s="16"/>
      <c r="HM156" s="639">
        <f t="shared" si="261"/>
        <v>1.7699001661282989E-2</v>
      </c>
      <c r="HN156" s="639">
        <f t="shared" si="262"/>
        <v>1.0509929974846072E-3</v>
      </c>
      <c r="HO156" s="639">
        <f t="shared" si="263"/>
        <v>5.7398960259851091E-2</v>
      </c>
      <c r="HP156" s="644">
        <f>(FT156*$GD156-HM156)/$JF156*INDEX(Input!$1:$1048576,$JG$93,$C156*2+6)</f>
        <v>44.810278912737111</v>
      </c>
      <c r="HQ156" s="644">
        <f>(FU156*$GD156-HN156)/$JF156*INDEX(Input!$1:$1048576,$JG$93,$C156*2+6)</f>
        <v>2.635356485899027</v>
      </c>
      <c r="HR156" s="644">
        <f>(FV156*$GD156-HO156)/$JF156*INDEX(Input!$1:$1048576,$JG$93,$C156*2+6)</f>
        <v>146.51407430458258</v>
      </c>
      <c r="HS156" s="644">
        <f t="shared" si="264"/>
        <v>-0.48712882369882504</v>
      </c>
      <c r="HT156" s="644">
        <f t="shared" si="265"/>
        <v>29.948332322777802</v>
      </c>
      <c r="HU156" s="644">
        <f t="shared" si="266"/>
        <v>57.546708686124639</v>
      </c>
      <c r="HV156" s="648">
        <f t="shared" si="267"/>
        <v>0</v>
      </c>
      <c r="HW156" s="648">
        <f t="shared" si="268"/>
        <v>0</v>
      </c>
      <c r="HX156" s="648">
        <f t="shared" si="269"/>
        <v>0</v>
      </c>
      <c r="HY156" s="644">
        <f>INDEX(Input!$1:$1048576,HY$93,$C156*2+6)*INDEX(Input!$1:$1048576,$JG$93,$C156*2+6)</f>
        <v>154.99999999999997</v>
      </c>
      <c r="HZ156" s="644">
        <f>INDEX(Input!$1:$1048576,HZ$93,$C156*2+6)*INDEX(Input!$1:$1048576,$JG$93,$C156*2+6)</f>
        <v>140</v>
      </c>
      <c r="IA156" s="644">
        <f>INDEX(Input!$1:$1048576,IA$93,$C156*2+6)*INDEX(Input!$1:$1048576,$JG$93,$C156*2+6)</f>
        <v>683</v>
      </c>
      <c r="IB156" s="644">
        <f t="shared" si="249"/>
        <v>199.32315008903834</v>
      </c>
      <c r="IC156" s="644">
        <f t="shared" si="172"/>
        <v>172.58368880867681</v>
      </c>
      <c r="ID156" s="644">
        <f>IF(AND(INDEX(Input!$1:$1048576,IA$93,$C156*2+7)="TOS",Y156&lt;=INDEX(Y:Y,MATCH(C156*1000+2,A:A))),0,1)*MAX(IA156+HR156+HU156+HX156,0%)</f>
        <v>887.06078299070714</v>
      </c>
      <c r="IE156" s="128">
        <f t="shared" si="270"/>
        <v>0.15832269760048173</v>
      </c>
      <c r="IF156" s="128">
        <f t="shared" si="174"/>
        <v>0.13708350064619235</v>
      </c>
      <c r="IG156" s="128">
        <f t="shared" si="175"/>
        <v>0.70459380175332575</v>
      </c>
      <c r="IH156" s="21"/>
      <c r="II156" s="19">
        <f t="shared" si="271"/>
        <v>1200</v>
      </c>
      <c r="IJ156" s="19">
        <f t="shared" si="272"/>
        <v>2231.5502763133163</v>
      </c>
      <c r="IK156" s="19">
        <f t="shared" si="273"/>
        <v>4498</v>
      </c>
      <c r="IL156" s="19">
        <f t="shared" si="176"/>
        <v>1400</v>
      </c>
      <c r="IM156" s="19">
        <f t="shared" si="177"/>
        <v>1400.0000000000005</v>
      </c>
      <c r="IN156" s="19">
        <f t="shared" si="178"/>
        <v>1044.9999999999991</v>
      </c>
      <c r="IO156" s="39">
        <f t="shared" si="274"/>
        <v>0</v>
      </c>
      <c r="IP156" s="39">
        <f t="shared" si="275"/>
        <v>0</v>
      </c>
      <c r="IQ156" s="39">
        <f t="shared" si="276"/>
        <v>0</v>
      </c>
      <c r="IR156" s="39">
        <v>0</v>
      </c>
      <c r="IS156" s="39">
        <v>0</v>
      </c>
      <c r="IT156" s="39">
        <v>0</v>
      </c>
      <c r="IU156" s="39">
        <v>0</v>
      </c>
      <c r="IV156" s="39">
        <v>0</v>
      </c>
      <c r="IW156" s="39">
        <v>0</v>
      </c>
      <c r="IX156" s="39">
        <f>INDEX(Input!$1:$1048576,IX$93,$C156*2+6)+INDEX(Input!$1:$1048576,IX$94,$C156*2+6)</f>
        <v>1600</v>
      </c>
      <c r="IY156" s="39">
        <f>INDEX(Input!$1:$1048576,IY$93,$C156*2+6)+INDEX(Input!$1:$1048576,IY$94,$C156*2+6)</f>
        <v>2503.5492916397525</v>
      </c>
      <c r="IZ156" s="39">
        <f>INDEX(Input!$1:$1048576,IZ$93,$C156*2+6)+INDEX(Input!$1:$1048576,IZ$94,$C156*2+6)</f>
        <v>6273.7109265464023</v>
      </c>
      <c r="JA156" s="19">
        <f t="shared" si="179"/>
        <v>3000</v>
      </c>
      <c r="JB156" s="19">
        <f t="shared" si="180"/>
        <v>3903.5492916397529</v>
      </c>
      <c r="JC156" s="19">
        <f t="shared" si="181"/>
        <v>7318.7109265464014</v>
      </c>
      <c r="JD156" s="19">
        <f t="shared" si="182"/>
        <v>6166.7986503133216</v>
      </c>
      <c r="JE156" s="21"/>
      <c r="JF156" s="1">
        <f t="shared" si="277"/>
        <v>7.6148954918618686E-2</v>
      </c>
      <c r="JG156" s="15">
        <f>INDEX(Input!$1:$1048576,JG$93,$C156*2+6)/(1+VLOOKUP(C156*1000+INDEX(Input!$1:$1048576,JG$93+1,$C156*2+6),$A:$KK,$JK$92,FALSE))</f>
        <v>978</v>
      </c>
      <c r="JH156" s="1">
        <f t="shared" si="251"/>
        <v>0.19832281155748335</v>
      </c>
      <c r="JI156" s="1">
        <f t="shared" si="252"/>
        <v>8.8965145383643779E-2</v>
      </c>
      <c r="JJ156" s="1">
        <f t="shared" si="253"/>
        <v>0</v>
      </c>
      <c r="JK156" s="1">
        <f t="shared" si="254"/>
        <v>0.28728795694112713</v>
      </c>
      <c r="JL156" s="15">
        <f t="shared" si="184"/>
        <v>280.96762188842234</v>
      </c>
      <c r="JM156" s="15">
        <f t="shared" si="185"/>
        <v>1258.9676218884224</v>
      </c>
      <c r="JN156" s="21"/>
      <c r="JO156" s="19">
        <f>INDEX(Input!$1:$1048576,JO$93,$C156*2+6)</f>
        <v>5908.5</v>
      </c>
      <c r="JP156" s="19">
        <f>INDEX(Input!$1:$1048576,JP$93,$C156*2+6)</f>
        <v>4993.2939301234746</v>
      </c>
      <c r="JQ156" s="39">
        <f t="shared" si="186"/>
        <v>-258.29865031332156</v>
      </c>
      <c r="JR156" s="39">
        <f t="shared" si="187"/>
        <v>1173.5047201898469</v>
      </c>
      <c r="JS156" s="39">
        <f t="shared" si="188"/>
        <v>7.7637998314496954</v>
      </c>
      <c r="JT156" s="39">
        <f t="shared" si="189"/>
        <v>2.8803583677889377</v>
      </c>
      <c r="JU156" s="385">
        <f>(JQ156*JM156-INDEX(Input!$1:$1048576,Input!A$18,$C156*2+6)*JL156*INDEX(Input!$1:$1048576,Input!A$19,$C156*2+6))/1000000</f>
        <v>-0.32518963752195162</v>
      </c>
      <c r="JV156" s="39">
        <f t="shared" si="192"/>
        <v>-1.2202611738611933</v>
      </c>
      <c r="JW156" s="1">
        <f t="shared" si="190"/>
        <v>-1.3633113380545501</v>
      </c>
      <c r="JX156" s="19">
        <f t="shared" si="191"/>
        <v>10251.566883150628</v>
      </c>
      <c r="JZ156" s="341"/>
      <c r="KA156" s="342"/>
      <c r="KB156" s="469">
        <f t="shared" si="110"/>
        <v>3.2656316020464753</v>
      </c>
      <c r="KI156" s="473">
        <f t="shared" si="278"/>
        <v>44.323150089038364</v>
      </c>
      <c r="KJ156" s="473">
        <f t="shared" si="279"/>
        <v>32.583688808676783</v>
      </c>
      <c r="KK156" s="473">
        <f t="shared" si="257"/>
        <v>204.06078299070703</v>
      </c>
      <c r="KN156" s="544">
        <f t="shared" si="258"/>
        <v>1002</v>
      </c>
      <c r="KO156" s="541">
        <f t="shared" si="280"/>
        <v>0.18982737745283762</v>
      </c>
      <c r="KP156" s="546">
        <f t="shared" si="281"/>
        <v>802.71373550906878</v>
      </c>
      <c r="KQ156" s="546">
        <f t="shared" si="282"/>
        <v>812.34475033788112</v>
      </c>
      <c r="KR156" s="548">
        <f t="shared" si="283"/>
        <v>3.3912815204075022</v>
      </c>
      <c r="KS156" s="548">
        <f t="shared" si="284"/>
        <v>3.3510750900734148</v>
      </c>
      <c r="KT156" s="473">
        <f t="shared" si="112"/>
        <v>-82.310573396665475</v>
      </c>
      <c r="KU156" s="663">
        <f t="shared" si="285"/>
        <v>-52.042600134383768</v>
      </c>
      <c r="KV156" s="117"/>
    </row>
    <row r="157" spans="1:308" s="26" customFormat="1" ht="15" outlineLevel="1">
      <c r="A157" s="561">
        <f t="shared" si="168"/>
        <v>1057</v>
      </c>
      <c r="B157" s="561">
        <f t="shared" si="104"/>
        <v>57</v>
      </c>
      <c r="C157" s="561">
        <f t="shared" si="105"/>
        <v>1</v>
      </c>
      <c r="D157" s="561" t="str">
        <f t="shared" si="376"/>
        <v xml:space="preserve">500 CC, 0/0/0.9/3.9, 360 Lease, </v>
      </c>
      <c r="E157" s="475">
        <f>INDEX(Input!$1:$1048576,E$93,$C157*2+MIN($B157,2)+5)
+INDEX(Scenarios!E$121:E$200,MATCH($B157,Scenarios!$B$121:$B$200,0))</f>
        <v>1750</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8.9999999999999993E-3</v>
      </c>
      <c r="W157" s="863">
        <f>IFERROR(MAX(0,INDEX(Input!$1:$1048576,W$93,$C157*2+MIN($B157,2)+5)-0%,),"Market")</f>
        <v>3.9E-2</v>
      </c>
      <c r="X157" s="476" t="str">
        <f>INDEX(Input!$1:$1048576,X$93,$C157*2+MIN($B157,2)+5)</f>
        <v>Y</v>
      </c>
      <c r="Y157" s="475">
        <f>INDEX(Input!$1:$1048576,Y$93,$C157*2+MIN($B157,2)+5)
++INDEX(Scenarios!Y$121:Y$200,MATCH($B157,Scenarios!$B$121:$B$200,0))</f>
        <v>3186</v>
      </c>
      <c r="Z157" s="477">
        <f>INDEX(Input!$1:$1048576,Z$93,$C157*2+MIN($B157,2)+5)
+INDEX(Scenarios!Z$121:Z$200,MATCH($B157,Scenarios!$B$121:$B$200,0))</f>
        <v>0</v>
      </c>
      <c r="AA157" s="475">
        <f>INDEX(Input!$1:$1048576,AA$93,$C157*2+MIN($B157,2)+5)</f>
        <v>0</v>
      </c>
      <c r="AB157" s="476">
        <f>INDEX(Input!$1:$1048576,AB$93,$C157*2+MIN($B157,2)+5)</f>
        <v>1</v>
      </c>
      <c r="AC157" s="475">
        <f>INDEX(Input!$1:$1048576,AC$93,$C157*2+MIN($B157,2)+5)
+INDEX(Scenarios!AC$121:AC$200,MATCH($B157,Scenarios!$B$121:$B$200,0))</f>
        <v>0</v>
      </c>
      <c r="AD157" s="476">
        <f>INDEX(Input!$1:$1048576,AD$93,$C157*2+MIN($B157,2)+5)</f>
        <v>0.35</v>
      </c>
      <c r="AE157" s="475">
        <f>INDEX(Input!$1:$1048576,AE$93,$C157*2+MIN($B157,2)+5)
+INDEX(Scenarios!AE$121:AE$200,MATCH($B157,Scenarios!$B$121:$B$200,0))</f>
        <v>0</v>
      </c>
      <c r="AF157" s="476">
        <f>INDEX(Input!$1:$1048576,AF$93,$C157*2+MIN($B157,2)+5)</f>
        <v>1</v>
      </c>
      <c r="AG157" s="475">
        <f>INDEX(Input!$1:$1048576,AG$93,$C157*2+MIN($B157,2)+5)
+INDEX(Scenarios!AG$121:AG$200,MATCH($B157,Scenarios!$B$121:$B$200,0))</f>
        <v>0</v>
      </c>
      <c r="AH157" s="476">
        <f>INDEX(Input!$1:$1048576,AH$93,$C157*2+MIN($B157,2)+5)</f>
        <v>1</v>
      </c>
      <c r="AI157" s="475">
        <f>INDEX(Input!$1:$1048576,AI$93,$C157*2+MIN($B157,2)+5)
+INDEX(Scenarios!AI$121:AI$200,MATCH($B157,Scenarios!$B$121:$B$200,0))</f>
        <v>0</v>
      </c>
      <c r="AJ157" s="476">
        <f>INDEX(Input!$1:$1048576,AJ$93,$C157*2+MIN($B157,2)+5)</f>
        <v>0.35</v>
      </c>
      <c r="AK157" s="150">
        <f>ROUND(INDEX(Input!$1:$1048576,AK$93,$C156*2+MIN($B157,1)+5)+(Y157-VLOOKUP($C157*1000+1,$A:$HH,Y$92,FALSE)),0)</f>
        <v>5842</v>
      </c>
      <c r="AL157" s="150">
        <f>ROUND(INDEX(Input!$1:$1048576,AL$93,$C156*2+MIN($B157,1)+5)-(Y157-VLOOKUP($C157*1000+1,$A:$HH,Y$92,FALSE))/36,0)</f>
        <v>5592</v>
      </c>
      <c r="AM157" s="32" t="str">
        <f t="shared" si="169"/>
        <v>std/std/std/std</v>
      </c>
      <c r="AN157" s="32" t="str">
        <f t="shared" si="170"/>
        <v>$0 + 0/0/0/0.9/3.9</v>
      </c>
      <c r="AO157" s="32" t="str">
        <f t="shared" si="171"/>
        <v>0/0/0/0.9/3.9</v>
      </c>
      <c r="AP157" s="32" t="str">
        <f t="shared" si="73"/>
        <v>0/0/0.9/3.9</v>
      </c>
      <c r="AQ157" s="536">
        <f t="shared" si="39"/>
        <v>0.15851567074874165</v>
      </c>
      <c r="AR157" s="32"/>
      <c r="AS157" s="302"/>
      <c r="AT157" s="3">
        <f t="shared" si="106"/>
        <v>57</v>
      </c>
      <c r="AU157" s="41" t="s">
        <v>121</v>
      </c>
      <c r="AV157" s="41" t="s">
        <v>116</v>
      </c>
      <c r="AW157" s="41" t="str">
        <f>INDEX(Input!$1:$1048576,AW$93,$C157*2+6)</f>
        <v>Kia</v>
      </c>
      <c r="AX157" s="41" t="str">
        <f>INDEX(Input!$1:$1048576,AX$93,$C157*2+6)</f>
        <v>Kia-LR - L1</v>
      </c>
      <c r="AY157" s="41" t="str">
        <f>IF(LEN(D157)=0,"",INDEX(Input!$1:$1048576,AY$93,$C157*2+6))</f>
        <v>Compact Conventional/Sporty Car (43)</v>
      </c>
      <c r="AZ157" s="41" t="str">
        <f>INDEX(Input!$1:$1048576,AZ$93,$C157*2+6)</f>
        <v>Kia Forte</v>
      </c>
      <c r="BA157" s="3">
        <f>INDEX(Input!$1:$1048576,BA$93,$C157*2+6)</f>
        <v>2020</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19695</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4"/>
        <v>1750</v>
      </c>
      <c r="CJ157" s="16" t="str">
        <f>INDEX(Input!$1:$1048576,CJ$93,$C157*2+6)</f>
        <v>N</v>
      </c>
      <c r="CK157" s="1" t="str">
        <f t="shared" si="75"/>
        <v>Market</v>
      </c>
      <c r="CL157" s="1" t="str">
        <f t="shared" si="76"/>
        <v>Market</v>
      </c>
      <c r="CM157" s="1" t="str">
        <f t="shared" si="77"/>
        <v>Market</v>
      </c>
      <c r="CN157" s="1" t="str">
        <f t="shared" si="78"/>
        <v>Market</v>
      </c>
      <c r="CO157" s="1" t="str">
        <f t="shared" si="79"/>
        <v>Market</v>
      </c>
      <c r="CP157" s="304">
        <f t="shared" si="80"/>
        <v>0</v>
      </c>
      <c r="CQ157" s="1">
        <f t="shared" si="81"/>
        <v>0</v>
      </c>
      <c r="CR157" s="1">
        <f t="shared" si="82"/>
        <v>0</v>
      </c>
      <c r="CS157" s="1">
        <f t="shared" si="83"/>
        <v>0</v>
      </c>
      <c r="CT157" s="1">
        <f t="shared" si="84"/>
        <v>8.9999999999999993E-3</v>
      </c>
      <c r="CU157" s="1">
        <f t="shared" si="85"/>
        <v>3.9E-2</v>
      </c>
      <c r="CV157" s="304">
        <f t="shared" si="86"/>
        <v>3186</v>
      </c>
      <c r="CW157" s="20" t="s">
        <v>122</v>
      </c>
      <c r="CX157" s="20" t="s">
        <v>122</v>
      </c>
      <c r="CY157" s="20" t="s">
        <v>122</v>
      </c>
      <c r="CZ157" s="20" t="s">
        <v>122</v>
      </c>
      <c r="DA157" s="20" t="s">
        <v>122</v>
      </c>
      <c r="DB157" s="503">
        <f t="shared" si="87"/>
        <v>0</v>
      </c>
      <c r="DC157" s="127">
        <v>0</v>
      </c>
      <c r="DD157" s="127">
        <v>0</v>
      </c>
      <c r="DE157" s="127">
        <v>0</v>
      </c>
      <c r="DF157" s="127">
        <v>0</v>
      </c>
      <c r="DG157" s="127">
        <v>0</v>
      </c>
      <c r="DH157" s="127">
        <v>0</v>
      </c>
      <c r="DI157" s="127">
        <v>0</v>
      </c>
      <c r="DJ157" s="127">
        <v>0</v>
      </c>
      <c r="DK157" s="127">
        <v>0</v>
      </c>
      <c r="DL157" s="127">
        <v>0</v>
      </c>
      <c r="DM157" s="304">
        <f>INDEX(Input!$1:$1048576,DM$93,$C157*2+6)</f>
        <v>20731.578947368424</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1.4044738900645453E-2</v>
      </c>
      <c r="DZ157" s="7">
        <v>0</v>
      </c>
      <c r="EA157" s="7">
        <v>0.21790640743164941</v>
      </c>
      <c r="EB157" s="7">
        <v>0</v>
      </c>
      <c r="EC157" s="7">
        <v>0</v>
      </c>
      <c r="ED157" s="7">
        <v>0</v>
      </c>
      <c r="EE157" s="7">
        <v>0</v>
      </c>
      <c r="EF157" s="7">
        <v>0</v>
      </c>
      <c r="EG157" s="7">
        <v>0</v>
      </c>
      <c r="EH157" s="7">
        <v>1.4476869635993289E-2</v>
      </c>
      <c r="EI157" s="7">
        <v>2.603945677232275E-2</v>
      </c>
      <c r="EJ157" s="7">
        <v>0.20479017957701892</v>
      </c>
      <c r="EK157" s="7">
        <v>0.72317389939610377</v>
      </c>
      <c r="EL157" s="7">
        <v>3.1519594618561145E-2</v>
      </c>
      <c r="EM157" s="7">
        <v>1.6184059225543744E-2</v>
      </c>
      <c r="EN157" s="7">
        <v>5.8591856591889827E-2</v>
      </c>
      <c r="EO157" s="7">
        <v>0.54078899147893766</v>
      </c>
      <c r="EP157" s="7">
        <v>0.31356065923790433</v>
      </c>
      <c r="EQ157" s="7">
        <v>5.0607944637769284E-2</v>
      </c>
      <c r="ER157" s="7">
        <v>3.6450548053498996E-2</v>
      </c>
      <c r="ES157" s="7">
        <v>0.75186479444216148</v>
      </c>
      <c r="ET157" s="7">
        <v>0.76804885366770503</v>
      </c>
      <c r="EU157" s="6">
        <v>2100</v>
      </c>
      <c r="EV157" s="6">
        <v>0</v>
      </c>
      <c r="EW157" s="6">
        <v>2100</v>
      </c>
      <c r="EX157" s="6">
        <v>0</v>
      </c>
      <c r="EY157" s="6">
        <v>2963.2578502881047</v>
      </c>
      <c r="EZ157" s="6">
        <v>5182.9999999999991</v>
      </c>
      <c r="FA157" s="6">
        <v>0</v>
      </c>
      <c r="FB157" s="6">
        <v>0</v>
      </c>
      <c r="FC157" s="6">
        <v>0</v>
      </c>
      <c r="FD157" s="6">
        <v>0</v>
      </c>
      <c r="FE157" s="6">
        <v>0</v>
      </c>
      <c r="FF157" s="6">
        <v>0</v>
      </c>
      <c r="FG157" s="6">
        <v>0</v>
      </c>
      <c r="FH157" s="6">
        <v>1152.120827037782</v>
      </c>
      <c r="FI157" s="6">
        <v>1531.4299904380616</v>
      </c>
      <c r="FJ157" s="6">
        <v>2070.7205842538215</v>
      </c>
      <c r="FK157" s="6">
        <v>2218.6393698501024</v>
      </c>
      <c r="FL157" s="6">
        <v>893.91433563489375</v>
      </c>
      <c r="FM157" s="6">
        <v>2113.2578502881047</v>
      </c>
      <c r="FN157" s="6">
        <v>0</v>
      </c>
      <c r="FO157" s="6">
        <v>0</v>
      </c>
      <c r="FP157" s="6">
        <v>0</v>
      </c>
      <c r="FQ157" s="6">
        <v>0</v>
      </c>
      <c r="FR157" s="6">
        <v>0</v>
      </c>
      <c r="FS157" s="6">
        <v>0</v>
      </c>
      <c r="FT157" s="7">
        <v>0.23195114633229486</v>
      </c>
      <c r="FU157" s="7">
        <v>1.6184059225543744E-2</v>
      </c>
      <c r="FV157" s="7">
        <v>0.75186479444216148</v>
      </c>
      <c r="FW157" s="6">
        <v>2100</v>
      </c>
      <c r="FX157" s="6">
        <v>2963.2578502881047</v>
      </c>
      <c r="FY157" s="6">
        <v>5182.9999999999991</v>
      </c>
      <c r="FZ157" s="6">
        <v>3077.4375890575293</v>
      </c>
      <c r="GA157" s="6">
        <v>4431.9701774411615</v>
      </c>
      <c r="GB157" s="6">
        <v>15263.029822558838</v>
      </c>
      <c r="GC157" s="7">
        <v>7.0901643973087014E-2</v>
      </c>
      <c r="GD157" s="7">
        <v>8.5657327976324846E-2</v>
      </c>
      <c r="GE157" s="7"/>
      <c r="GF157" s="7"/>
      <c r="GG157" s="7">
        <v>0.2081148359386254</v>
      </c>
      <c r="GH157" s="42">
        <v>3.026004489639015</v>
      </c>
      <c r="GI157" s="6">
        <v>10940.552721662534</v>
      </c>
      <c r="GJ157" s="14">
        <v>0.5107463060103955</v>
      </c>
      <c r="GK157" s="14">
        <v>0.50829519786160959</v>
      </c>
      <c r="GL157" s="14">
        <v>0.48925369398960422</v>
      </c>
      <c r="GM157" s="14">
        <v>0.4917048021383903</v>
      </c>
      <c r="GO157" s="5">
        <v>338.16872463277008</v>
      </c>
      <c r="GP157" s="5">
        <v>298.1047308538179</v>
      </c>
      <c r="GQ157" s="5">
        <v>527.27910984145694</v>
      </c>
      <c r="GR157" s="5">
        <v>404.20319246551543</v>
      </c>
      <c r="GS157" s="5">
        <v>334.50205195691484</v>
      </c>
      <c r="GT157" s="5">
        <v>289.18266033348181</v>
      </c>
      <c r="GU157" s="5">
        <v>254.29573314828914</v>
      </c>
      <c r="GV157" s="39" t="s">
        <v>392</v>
      </c>
      <c r="GW157" s="5">
        <v>468.76388888888891</v>
      </c>
      <c r="GX157" s="5">
        <v>351.57291666666669</v>
      </c>
      <c r="GY157" s="5">
        <v>281.25833333333333</v>
      </c>
      <c r="GZ157" s="5">
        <v>240.8550698915011</v>
      </c>
      <c r="HA157" s="5">
        <v>229.8919505212948</v>
      </c>
      <c r="HB157" s="39">
        <v>254.96614723549268</v>
      </c>
      <c r="HC157" s="5">
        <v>56.359375000000007</v>
      </c>
      <c r="HD157" s="5">
        <v>81.555464181286524</v>
      </c>
      <c r="HE157" s="5">
        <v>93.770930330634272</v>
      </c>
      <c r="HF157" s="5">
        <v>97.846299342105254</v>
      </c>
      <c r="HG157" s="5">
        <v>108.23410087719299</v>
      </c>
      <c r="HH157" s="39">
        <v>85.706364768795623</v>
      </c>
      <c r="HI157" s="16"/>
      <c r="HJ157" s="19" t="str">
        <f t="shared" ref="HJ157" si="381">HJ156</f>
        <v>On</v>
      </c>
      <c r="HK157" s="1" t="str">
        <f t="shared" si="108"/>
        <v>On</v>
      </c>
      <c r="HL157" s="16"/>
      <c r="HM157" s="639">
        <f t="shared" si="261"/>
        <v>1.7699001661282989E-2</v>
      </c>
      <c r="HN157" s="639">
        <f t="shared" si="262"/>
        <v>1.0509929974846072E-3</v>
      </c>
      <c r="HO157" s="639">
        <f t="shared" si="263"/>
        <v>5.7398960259851091E-2</v>
      </c>
      <c r="HP157" s="644">
        <f>(FT157*$GD157-HM157)/$JF157*INDEX(Input!$1:$1048576,$JG$93,$C157*2+6)</f>
        <v>27.861037019527913</v>
      </c>
      <c r="HQ157" s="644">
        <f>(FU157*$GD157-HN157)/$JF157*INDEX(Input!$1:$1048576,$JG$93,$C157*2+6)</f>
        <v>4.3062164932087574</v>
      </c>
      <c r="HR157" s="644">
        <f>(FV157*$GD157-HO157)/$JF157*INDEX(Input!$1:$1048576,$JG$93,$C157*2+6)</f>
        <v>89.95115061211024</v>
      </c>
      <c r="HS157" s="644">
        <f t="shared" si="264"/>
        <v>-0.25459703557275681</v>
      </c>
      <c r="HT157" s="644">
        <f t="shared" si="265"/>
        <v>14.56998229414879</v>
      </c>
      <c r="HU157" s="644">
        <f t="shared" si="266"/>
        <v>37.543419692636583</v>
      </c>
      <c r="HV157" s="648">
        <f t="shared" si="267"/>
        <v>0</v>
      </c>
      <c r="HW157" s="648">
        <f t="shared" si="268"/>
        <v>0</v>
      </c>
      <c r="HX157" s="648">
        <f t="shared" si="269"/>
        <v>0</v>
      </c>
      <c r="HY157" s="644">
        <f>INDEX(Input!$1:$1048576,HY$93,$C157*2+6)*INDEX(Input!$1:$1048576,$JG$93,$C157*2+6)</f>
        <v>154.99999999999997</v>
      </c>
      <c r="HZ157" s="644">
        <f>INDEX(Input!$1:$1048576,HZ$93,$C157*2+6)*INDEX(Input!$1:$1048576,$JG$93,$C157*2+6)</f>
        <v>140</v>
      </c>
      <c r="IA157" s="644">
        <f>INDEX(Input!$1:$1048576,IA$93,$C157*2+6)*INDEX(Input!$1:$1048576,$JG$93,$C157*2+6)</f>
        <v>683</v>
      </c>
      <c r="IB157" s="644">
        <f t="shared" si="249"/>
        <v>182.60643998395494</v>
      </c>
      <c r="IC157" s="644">
        <f t="shared" si="172"/>
        <v>158.87619878735754</v>
      </c>
      <c r="ID157" s="644">
        <f>IF(AND(INDEX(Input!$1:$1048576,IA$93,$C157*2+7)="TOS",Y157&lt;=INDEX(Y:Y,MATCH(C157*1000+2,A:A))),0,1)*MAX(IA157+HR157+HU157+HX157,0%)</f>
        <v>810.49457030474684</v>
      </c>
      <c r="IE157" s="128">
        <f t="shared" si="270"/>
        <v>0.15851567074874165</v>
      </c>
      <c r="IF157" s="128">
        <f t="shared" si="174"/>
        <v>0.1379160955057295</v>
      </c>
      <c r="IG157" s="128">
        <f t="shared" si="175"/>
        <v>0.70356823374552879</v>
      </c>
      <c r="IH157" s="21"/>
      <c r="II157" s="19">
        <f t="shared" si="271"/>
        <v>1200</v>
      </c>
      <c r="IJ157" s="19">
        <f t="shared" si="272"/>
        <v>2231.5502763133163</v>
      </c>
      <c r="IK157" s="19">
        <f t="shared" si="273"/>
        <v>4498</v>
      </c>
      <c r="IL157" s="19">
        <f t="shared" si="176"/>
        <v>900</v>
      </c>
      <c r="IM157" s="19">
        <f t="shared" si="177"/>
        <v>731.70757397478837</v>
      </c>
      <c r="IN157" s="19">
        <f t="shared" si="178"/>
        <v>684.99999999999909</v>
      </c>
      <c r="IO157" s="39">
        <f t="shared" si="274"/>
        <v>0</v>
      </c>
      <c r="IP157" s="39">
        <f t="shared" si="275"/>
        <v>0</v>
      </c>
      <c r="IQ157" s="39">
        <f t="shared" si="276"/>
        <v>0</v>
      </c>
      <c r="IR157" s="39">
        <v>0</v>
      </c>
      <c r="IS157" s="39">
        <v>0</v>
      </c>
      <c r="IT157" s="39">
        <v>0</v>
      </c>
      <c r="IU157" s="39">
        <v>0</v>
      </c>
      <c r="IV157" s="39">
        <v>0</v>
      </c>
      <c r="IW157" s="39">
        <v>0</v>
      </c>
      <c r="IX157" s="39">
        <f>INDEX(Input!$1:$1048576,IX$93,$C157*2+6)+INDEX(Input!$1:$1048576,IX$94,$C157*2+6)</f>
        <v>1600</v>
      </c>
      <c r="IY157" s="39">
        <f>INDEX(Input!$1:$1048576,IY$93,$C157*2+6)+INDEX(Input!$1:$1048576,IY$94,$C157*2+6)</f>
        <v>2503.5492916397525</v>
      </c>
      <c r="IZ157" s="39">
        <f>INDEX(Input!$1:$1048576,IZ$93,$C157*2+6)+INDEX(Input!$1:$1048576,IZ$94,$C157*2+6)</f>
        <v>6273.7109265464023</v>
      </c>
      <c r="JA157" s="19">
        <f t="shared" si="179"/>
        <v>2500</v>
      </c>
      <c r="JB157" s="19">
        <f t="shared" si="180"/>
        <v>3235.2568656145409</v>
      </c>
      <c r="JC157" s="19">
        <f t="shared" si="181"/>
        <v>6958.7109265464014</v>
      </c>
      <c r="JD157" s="19">
        <f t="shared" si="182"/>
        <v>5738.4111274714805</v>
      </c>
      <c r="JE157" s="21"/>
      <c r="JF157" s="1">
        <f t="shared" si="277"/>
        <v>7.6148954918618686E-2</v>
      </c>
      <c r="JG157" s="15">
        <f>INDEX(Input!$1:$1048576,JG$93,$C157*2+6)/(1+VLOOKUP(C157*1000+INDEX(Input!$1:$1048576,JG$93+1,$C157*2+6),$A:$KK,$JK$92,FALSE))</f>
        <v>978</v>
      </c>
      <c r="JH157" s="1">
        <f t="shared" si="251"/>
        <v>0.12486544389043651</v>
      </c>
      <c r="JI157" s="1">
        <f t="shared" si="252"/>
        <v>5.3025362935800222E-2</v>
      </c>
      <c r="JJ157" s="1">
        <f t="shared" si="253"/>
        <v>0</v>
      </c>
      <c r="JK157" s="1">
        <f t="shared" si="254"/>
        <v>0.17789080682623673</v>
      </c>
      <c r="JL157" s="15">
        <f t="shared" si="184"/>
        <v>173.97720907605952</v>
      </c>
      <c r="JM157" s="15">
        <f t="shared" si="185"/>
        <v>1151.9772090760596</v>
      </c>
      <c r="JN157" s="21"/>
      <c r="JO157" s="19">
        <f>INDEX(Input!$1:$1048576,JO$93,$C157*2+6)</f>
        <v>5908.5</v>
      </c>
      <c r="JP157" s="19">
        <f>INDEX(Input!$1:$1048576,JP$93,$C157*2+6)</f>
        <v>4993.2939301234746</v>
      </c>
      <c r="JQ157" s="39">
        <f t="shared" si="186"/>
        <v>170.08887252851946</v>
      </c>
      <c r="JR157" s="39">
        <f t="shared" si="187"/>
        <v>745.1171973480059</v>
      </c>
      <c r="JS157" s="39">
        <f t="shared" si="188"/>
        <v>6.6105188351556006</v>
      </c>
      <c r="JT157" s="39">
        <f t="shared" si="189"/>
        <v>1.7270773714948426</v>
      </c>
      <c r="JU157" s="385">
        <f>(JQ157*JM157-INDEX(Input!$1:$1048576,Input!A$18,$C157*2+6)*JL157*INDEX(Input!$1:$1048576,Input!A$19,$C157*2+6))/1000000</f>
        <v>0.1959385046702975</v>
      </c>
      <c r="JV157" s="39">
        <f t="shared" si="192"/>
        <v>-0.69913303166894425</v>
      </c>
      <c r="JW157" s="1">
        <f t="shared" si="190"/>
        <v>-0.78109179354348868</v>
      </c>
      <c r="JX157" s="19">
        <f t="shared" si="191"/>
        <v>9927.0322858196741</v>
      </c>
      <c r="JZ157" s="341"/>
      <c r="KA157" s="342"/>
      <c r="KB157" s="469">
        <f t="shared" si="110"/>
        <v>3.2656316020464753</v>
      </c>
      <c r="KI157" s="473">
        <f t="shared" si="278"/>
        <v>27.606439983954999</v>
      </c>
      <c r="KJ157" s="473">
        <f t="shared" si="279"/>
        <v>18.876198787357566</v>
      </c>
      <c r="KK157" s="473">
        <f t="shared" si="257"/>
        <v>127.49457030474696</v>
      </c>
      <c r="KN157" s="544">
        <f t="shared" si="258"/>
        <v>1002</v>
      </c>
      <c r="KO157" s="541">
        <f t="shared" si="280"/>
        <v>8.8712686275805641E-2</v>
      </c>
      <c r="KP157" s="546">
        <f t="shared" si="281"/>
        <v>378.29021297504204</v>
      </c>
      <c r="KQ157" s="546">
        <f t="shared" si="282"/>
        <v>383.9572274960401</v>
      </c>
      <c r="KR157" s="548">
        <f t="shared" si="283"/>
        <v>3.3629957201116918</v>
      </c>
      <c r="KS157" s="548">
        <f t="shared" si="284"/>
        <v>3.313359603859332</v>
      </c>
      <c r="KT157" s="473">
        <f t="shared" si="112"/>
        <v>-82.310573396665475</v>
      </c>
      <c r="KU157" s="663">
        <f t="shared" si="285"/>
        <v>-51.466501465166616</v>
      </c>
      <c r="KV157" s="117"/>
    </row>
    <row r="158" spans="1:308" s="26" customFormat="1" ht="15" outlineLevel="1">
      <c r="A158" s="561">
        <f t="shared" si="168"/>
        <v>1058</v>
      </c>
      <c r="B158" s="561">
        <f t="shared" si="104"/>
        <v>58</v>
      </c>
      <c r="C158" s="561">
        <f t="shared" si="105"/>
        <v>1</v>
      </c>
      <c r="D158" s="561" t="str">
        <f t="shared" si="376"/>
        <v xml:space="preserve">1000 CC, 0/0/0.9/3.9, 360 Lease, </v>
      </c>
      <c r="E158" s="475">
        <f>INDEX(Input!$1:$1048576,E$93,$C158*2+MIN($B158,2)+5)
+INDEX(Scenarios!E$121:E$200,MATCH($B158,Scenarios!$B$121:$B$200,0))</f>
        <v>2250</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8.9999999999999993E-3</v>
      </c>
      <c r="W158" s="863">
        <f>IFERROR(MAX(0,INDEX(Input!$1:$1048576,W$93,$C158*2+MIN($B158,2)+5)-0%,),"Market")</f>
        <v>3.9E-2</v>
      </c>
      <c r="X158" s="476" t="str">
        <f>INDEX(Input!$1:$1048576,X$93,$C158*2+MIN($B158,2)+5)</f>
        <v>Y</v>
      </c>
      <c r="Y158" s="475">
        <f>INDEX(Input!$1:$1048576,Y$93,$C158*2+MIN($B158,2)+5)
++INDEX(Scenarios!Y$121:Y$200,MATCH($B158,Scenarios!$B$121:$B$200,0))</f>
        <v>3186</v>
      </c>
      <c r="Z158" s="477">
        <f>INDEX(Input!$1:$1048576,Z$93,$C158*2+MIN($B158,2)+5)
+INDEX(Scenarios!Z$121:Z$200,MATCH($B158,Scenarios!$B$121:$B$200,0))</f>
        <v>0</v>
      </c>
      <c r="AA158" s="475">
        <f>INDEX(Input!$1:$1048576,AA$93,$C158*2+MIN($B158,2)+5)</f>
        <v>0</v>
      </c>
      <c r="AB158" s="476">
        <f>INDEX(Input!$1:$1048576,AB$93,$C158*2+MIN($B158,2)+5)</f>
        <v>1</v>
      </c>
      <c r="AC158" s="475">
        <f>INDEX(Input!$1:$1048576,AC$93,$C158*2+MIN($B158,2)+5)
+INDEX(Scenarios!AC$121:AC$200,MATCH($B158,Scenarios!$B$121:$B$200,0))</f>
        <v>0</v>
      </c>
      <c r="AD158" s="476">
        <f>INDEX(Input!$1:$1048576,AD$93,$C158*2+MIN($B158,2)+5)</f>
        <v>0.35</v>
      </c>
      <c r="AE158" s="475">
        <f>INDEX(Input!$1:$1048576,AE$93,$C158*2+MIN($B158,2)+5)
+INDEX(Scenarios!AE$121:AE$200,MATCH($B158,Scenarios!$B$121:$B$200,0))</f>
        <v>0</v>
      </c>
      <c r="AF158" s="476">
        <f>INDEX(Input!$1:$1048576,AF$93,$C158*2+MIN($B158,2)+5)</f>
        <v>1</v>
      </c>
      <c r="AG158" s="475">
        <f>INDEX(Input!$1:$1048576,AG$93,$C158*2+MIN($B158,2)+5)
+INDEX(Scenarios!AG$121:AG$200,MATCH($B158,Scenarios!$B$121:$B$200,0))</f>
        <v>0</v>
      </c>
      <c r="AH158" s="476">
        <f>INDEX(Input!$1:$1048576,AH$93,$C158*2+MIN($B158,2)+5)</f>
        <v>1</v>
      </c>
      <c r="AI158" s="475">
        <f>INDEX(Input!$1:$1048576,AI$93,$C158*2+MIN($B158,2)+5)
+INDEX(Scenarios!AI$121:AI$200,MATCH($B158,Scenarios!$B$121:$B$200,0))</f>
        <v>0</v>
      </c>
      <c r="AJ158" s="476">
        <f>INDEX(Input!$1:$1048576,AJ$93,$C158*2+MIN($B158,2)+5)</f>
        <v>0.35</v>
      </c>
      <c r="AK158" s="150">
        <f>ROUND(INDEX(Input!$1:$1048576,AK$93,$C157*2+MIN($B158,1)+5)+(Y158-VLOOKUP($C158*1000+1,$A:$HH,Y$92,FALSE)),0)</f>
        <v>5842</v>
      </c>
      <c r="AL158" s="150">
        <f>ROUND(INDEX(Input!$1:$1048576,AL$93,$C157*2+MIN($B158,1)+5)-(Y158-VLOOKUP($C158*1000+1,$A:$HH,Y$92,FALSE))/36,0)</f>
        <v>5592</v>
      </c>
      <c r="AM158" s="32" t="str">
        <f t="shared" si="169"/>
        <v>std/std/std/std</v>
      </c>
      <c r="AN158" s="32" t="str">
        <f t="shared" si="170"/>
        <v>$0 + 0/0/0/0.9/3.9</v>
      </c>
      <c r="AO158" s="32" t="str">
        <f t="shared" si="171"/>
        <v>0/0/0/0.9/3.9</v>
      </c>
      <c r="AP158" s="32" t="str">
        <f t="shared" si="73"/>
        <v>0/0/0.9/3.9</v>
      </c>
      <c r="AQ158" s="536">
        <f t="shared" si="39"/>
        <v>0.18705007158339854</v>
      </c>
      <c r="AR158" s="32"/>
      <c r="AS158" s="302"/>
      <c r="AT158" s="3">
        <f t="shared" si="106"/>
        <v>58</v>
      </c>
      <c r="AU158" s="41" t="s">
        <v>121</v>
      </c>
      <c r="AV158" s="41" t="s">
        <v>116</v>
      </c>
      <c r="AW158" s="41" t="str">
        <f>INDEX(Input!$1:$1048576,AW$93,$C158*2+6)</f>
        <v>Kia</v>
      </c>
      <c r="AX158" s="41" t="str">
        <f>INDEX(Input!$1:$1048576,AX$93,$C158*2+6)</f>
        <v>Kia-LR - L1</v>
      </c>
      <c r="AY158" s="41" t="str">
        <f>IF(LEN(D158)=0,"",INDEX(Input!$1:$1048576,AY$93,$C158*2+6))</f>
        <v>Compact Conventional/Sporty Car (43)</v>
      </c>
      <c r="AZ158" s="41" t="str">
        <f>INDEX(Input!$1:$1048576,AZ$93,$C158*2+6)</f>
        <v>Kia Forte</v>
      </c>
      <c r="BA158" s="3">
        <f>INDEX(Input!$1:$1048576,BA$93,$C158*2+6)</f>
        <v>2020</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19695</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4"/>
        <v>2250</v>
      </c>
      <c r="CJ158" s="16" t="str">
        <f>INDEX(Input!$1:$1048576,CJ$93,$C158*2+6)</f>
        <v>N</v>
      </c>
      <c r="CK158" s="1" t="str">
        <f t="shared" si="75"/>
        <v>Market</v>
      </c>
      <c r="CL158" s="1" t="str">
        <f t="shared" si="76"/>
        <v>Market</v>
      </c>
      <c r="CM158" s="1" t="str">
        <f t="shared" si="77"/>
        <v>Market</v>
      </c>
      <c r="CN158" s="1" t="str">
        <f t="shared" si="78"/>
        <v>Market</v>
      </c>
      <c r="CO158" s="1" t="str">
        <f t="shared" si="79"/>
        <v>Market</v>
      </c>
      <c r="CP158" s="304">
        <f t="shared" si="80"/>
        <v>0</v>
      </c>
      <c r="CQ158" s="1">
        <f t="shared" si="81"/>
        <v>0</v>
      </c>
      <c r="CR158" s="1">
        <f t="shared" si="82"/>
        <v>0</v>
      </c>
      <c r="CS158" s="1">
        <f t="shared" si="83"/>
        <v>0</v>
      </c>
      <c r="CT158" s="1">
        <f t="shared" si="84"/>
        <v>8.9999999999999993E-3</v>
      </c>
      <c r="CU158" s="1">
        <f t="shared" si="85"/>
        <v>3.9E-2</v>
      </c>
      <c r="CV158" s="304">
        <f t="shared" si="86"/>
        <v>3186</v>
      </c>
      <c r="CW158" s="20" t="s">
        <v>122</v>
      </c>
      <c r="CX158" s="20" t="s">
        <v>122</v>
      </c>
      <c r="CY158" s="20" t="s">
        <v>122</v>
      </c>
      <c r="CZ158" s="20" t="s">
        <v>122</v>
      </c>
      <c r="DA158" s="20" t="s">
        <v>122</v>
      </c>
      <c r="DB158" s="503">
        <f t="shared" si="87"/>
        <v>0</v>
      </c>
      <c r="DC158" s="127">
        <v>0</v>
      </c>
      <c r="DD158" s="127">
        <v>0</v>
      </c>
      <c r="DE158" s="127">
        <v>0</v>
      </c>
      <c r="DF158" s="127">
        <v>0</v>
      </c>
      <c r="DG158" s="127">
        <v>0</v>
      </c>
      <c r="DH158" s="127">
        <v>0</v>
      </c>
      <c r="DI158" s="127">
        <v>0</v>
      </c>
      <c r="DJ158" s="127">
        <v>0</v>
      </c>
      <c r="DK158" s="127">
        <v>0</v>
      </c>
      <c r="DL158" s="127">
        <v>0</v>
      </c>
      <c r="DM158" s="304">
        <f>INDEX(Input!$1:$1048576,DM$93,$C158*2+6)</f>
        <v>20731.578947368424</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1.5909645648725265E-2</v>
      </c>
      <c r="DZ158" s="7">
        <v>0</v>
      </c>
      <c r="EA158" s="7">
        <v>0.24474253933033885</v>
      </c>
      <c r="EB158" s="7">
        <v>0</v>
      </c>
      <c r="EC158" s="7">
        <v>0</v>
      </c>
      <c r="ED158" s="7">
        <v>0</v>
      </c>
      <c r="EE158" s="7">
        <v>0</v>
      </c>
      <c r="EF158" s="7">
        <v>0</v>
      </c>
      <c r="EG158" s="7">
        <v>0</v>
      </c>
      <c r="EH158" s="7">
        <v>1.4476869635993293E-2</v>
      </c>
      <c r="EI158" s="7">
        <v>2.603945677232275E-2</v>
      </c>
      <c r="EJ158" s="7">
        <v>0.20479017957701895</v>
      </c>
      <c r="EK158" s="7">
        <v>0.7231738993961041</v>
      </c>
      <c r="EL158" s="7">
        <v>3.1519594618561152E-2</v>
      </c>
      <c r="EM158" s="7">
        <v>1.5579280887452633E-2</v>
      </c>
      <c r="EN158" s="7">
        <v>5.859185659188982E-2</v>
      </c>
      <c r="EO158" s="7">
        <v>0.54078899147893777</v>
      </c>
      <c r="EP158" s="7">
        <v>0.31356065923790416</v>
      </c>
      <c r="EQ158" s="7">
        <v>5.0607944637769256E-2</v>
      </c>
      <c r="ER158" s="7">
        <v>3.6450548053498989E-2</v>
      </c>
      <c r="ES158" s="7">
        <v>0.72376853413348341</v>
      </c>
      <c r="ET158" s="7">
        <v>0.73934781502093583</v>
      </c>
      <c r="EU158" s="6">
        <v>2600</v>
      </c>
      <c r="EV158" s="6">
        <v>0</v>
      </c>
      <c r="EW158" s="6">
        <v>2600</v>
      </c>
      <c r="EX158" s="6">
        <v>0</v>
      </c>
      <c r="EY158" s="6">
        <v>2963.2578502881047</v>
      </c>
      <c r="EZ158" s="6">
        <v>5182.9999999999991</v>
      </c>
      <c r="FA158" s="6">
        <v>0</v>
      </c>
      <c r="FB158" s="6">
        <v>0</v>
      </c>
      <c r="FC158" s="6">
        <v>0</v>
      </c>
      <c r="FD158" s="6">
        <v>0</v>
      </c>
      <c r="FE158" s="6">
        <v>0</v>
      </c>
      <c r="FF158" s="6">
        <v>0</v>
      </c>
      <c r="FG158" s="6">
        <v>0</v>
      </c>
      <c r="FH158" s="6">
        <v>1152.1208270377817</v>
      </c>
      <c r="FI158" s="6">
        <v>1531.4299904380616</v>
      </c>
      <c r="FJ158" s="6">
        <v>2070.7205842538215</v>
      </c>
      <c r="FK158" s="6">
        <v>2218.6393698501015</v>
      </c>
      <c r="FL158" s="6">
        <v>893.91433563489363</v>
      </c>
      <c r="FM158" s="6">
        <v>2113.2578502881047</v>
      </c>
      <c r="FN158" s="6">
        <v>0</v>
      </c>
      <c r="FO158" s="6">
        <v>0</v>
      </c>
      <c r="FP158" s="6">
        <v>0</v>
      </c>
      <c r="FQ158" s="6">
        <v>0</v>
      </c>
      <c r="FR158" s="6">
        <v>0</v>
      </c>
      <c r="FS158" s="6">
        <v>0</v>
      </c>
      <c r="FT158" s="7">
        <v>0.26065218497906412</v>
      </c>
      <c r="FU158" s="7">
        <v>1.5579280887452633E-2</v>
      </c>
      <c r="FV158" s="7">
        <v>0.72376853413348341</v>
      </c>
      <c r="FW158" s="6">
        <v>2600</v>
      </c>
      <c r="FX158" s="6">
        <v>2963.2578502881047</v>
      </c>
      <c r="FY158" s="6">
        <v>5182.9999999999991</v>
      </c>
      <c r="FZ158" s="6">
        <v>3077.4375890575293</v>
      </c>
      <c r="GA158" s="6">
        <v>4475.1534197509982</v>
      </c>
      <c r="GB158" s="6">
        <v>15219.846580249003</v>
      </c>
      <c r="GC158" s="7">
        <v>7.0901643973087014E-2</v>
      </c>
      <c r="GD158" s="7">
        <v>8.702879939740002E-2</v>
      </c>
      <c r="GE158" s="7"/>
      <c r="GF158" s="7"/>
      <c r="GG158" s="7">
        <v>0.22745813101928331</v>
      </c>
      <c r="GH158" s="42">
        <v>3.2050777361533944</v>
      </c>
      <c r="GI158" s="6">
        <v>10620.09017989247</v>
      </c>
      <c r="GJ158" s="14">
        <v>0.51074630601039561</v>
      </c>
      <c r="GK158" s="14">
        <v>0.50829519786160982</v>
      </c>
      <c r="GL158" s="14">
        <v>0.48925369398960433</v>
      </c>
      <c r="GM158" s="14">
        <v>0.49170480213839041</v>
      </c>
      <c r="GO158" s="5">
        <v>338.16872463277008</v>
      </c>
      <c r="GP158" s="5">
        <v>288.56568471597211</v>
      </c>
      <c r="GQ158" s="5">
        <v>527.27910984145694</v>
      </c>
      <c r="GR158" s="5">
        <v>404.20319246551543</v>
      </c>
      <c r="GS158" s="5">
        <v>334.50205195691484</v>
      </c>
      <c r="GT158" s="5">
        <v>289.18266033348181</v>
      </c>
      <c r="GU158" s="5">
        <v>254.29573314828914</v>
      </c>
      <c r="GV158" s="39" t="s">
        <v>392</v>
      </c>
      <c r="GW158" s="5">
        <v>468.76388888888891</v>
      </c>
      <c r="GX158" s="5">
        <v>351.57291666666669</v>
      </c>
      <c r="GY158" s="5">
        <v>281.25833333333333</v>
      </c>
      <c r="GZ158" s="5">
        <v>240.8550698915011</v>
      </c>
      <c r="HA158" s="5">
        <v>229.8919505212948</v>
      </c>
      <c r="HB158" s="39">
        <v>254.96614723549274</v>
      </c>
      <c r="HC158" s="5">
        <v>56.359375000000007</v>
      </c>
      <c r="HD158" s="5">
        <v>81.555464181286524</v>
      </c>
      <c r="HE158" s="5">
        <v>93.770930330634272</v>
      </c>
      <c r="HF158" s="5">
        <v>97.846299342105254</v>
      </c>
      <c r="HG158" s="5">
        <v>108.23410087719299</v>
      </c>
      <c r="HH158" s="39">
        <v>85.706364768795623</v>
      </c>
      <c r="HI158" s="16"/>
      <c r="HJ158" s="19" t="str">
        <f t="shared" ref="HJ158" si="382">HJ157</f>
        <v>On</v>
      </c>
      <c r="HK158" s="1" t="str">
        <f t="shared" si="108"/>
        <v>On</v>
      </c>
      <c r="HL158" s="16"/>
      <c r="HM158" s="639">
        <f t="shared" si="261"/>
        <v>1.7699001661282989E-2</v>
      </c>
      <c r="HN158" s="639">
        <f t="shared" si="262"/>
        <v>1.0509929974846072E-3</v>
      </c>
      <c r="HO158" s="639">
        <f t="shared" si="263"/>
        <v>5.7398960259851091E-2</v>
      </c>
      <c r="HP158" s="644">
        <f>(FT158*$GD158-HM158)/$JF158*INDEX(Input!$1:$1048576,$JG$93,$C158*2+6)</f>
        <v>64.026744315716186</v>
      </c>
      <c r="HQ158" s="644">
        <f>(FU158*$GD158-HN158)/$JF158*INDEX(Input!$1:$1048576,$JG$93,$C158*2+6)</f>
        <v>3.9153044903128777</v>
      </c>
      <c r="HR158" s="644">
        <f>(FV158*$GD158-HO158)/$JF158*INDEX(Input!$1:$1048576,$JG$93,$C158*2+6)</f>
        <v>71.790504472210586</v>
      </c>
      <c r="HS158" s="644">
        <f t="shared" si="264"/>
        <v>-0.25459703557275681</v>
      </c>
      <c r="HT158" s="644">
        <f t="shared" si="265"/>
        <v>11.35396799333896</v>
      </c>
      <c r="HU158" s="644">
        <f t="shared" si="266"/>
        <v>40.759433993446414</v>
      </c>
      <c r="HV158" s="648">
        <f t="shared" si="267"/>
        <v>0</v>
      </c>
      <c r="HW158" s="648">
        <f t="shared" si="268"/>
        <v>0</v>
      </c>
      <c r="HX158" s="648">
        <f t="shared" si="269"/>
        <v>0</v>
      </c>
      <c r="HY158" s="644">
        <f>INDEX(Input!$1:$1048576,HY$93,$C158*2+6)*INDEX(Input!$1:$1048576,$JG$93,$C158*2+6)</f>
        <v>154.99999999999997</v>
      </c>
      <c r="HZ158" s="644">
        <f>INDEX(Input!$1:$1048576,HZ$93,$C158*2+6)*INDEX(Input!$1:$1048576,$JG$93,$C158*2+6)</f>
        <v>140</v>
      </c>
      <c r="IA158" s="644">
        <f>INDEX(Input!$1:$1048576,IA$93,$C158*2+6)*INDEX(Input!$1:$1048576,$JG$93,$C158*2+6)</f>
        <v>683</v>
      </c>
      <c r="IB158" s="644">
        <f t="shared" si="249"/>
        <v>218.77214728014337</v>
      </c>
      <c r="IC158" s="644">
        <f t="shared" si="172"/>
        <v>155.26927248365183</v>
      </c>
      <c r="ID158" s="644">
        <f>IF(AND(INDEX(Input!$1:$1048576,IA$93,$C158*2+7)="TOS",Y158&lt;=INDEX(Y:Y,MATCH(C158*1000+2,A:A))),0,1)*MAX(IA158+HR158+HU158+HX158,0%)</f>
        <v>795.54993846565708</v>
      </c>
      <c r="IE158" s="128">
        <f t="shared" si="270"/>
        <v>0.18705007158339854</v>
      </c>
      <c r="IF158" s="128">
        <f t="shared" si="174"/>
        <v>0.13275514682213552</v>
      </c>
      <c r="IG158" s="128">
        <f t="shared" si="175"/>
        <v>0.680194781594466</v>
      </c>
      <c r="IH158" s="21"/>
      <c r="II158" s="19">
        <f t="shared" si="271"/>
        <v>1200</v>
      </c>
      <c r="IJ158" s="19">
        <f t="shared" si="272"/>
        <v>2231.5502763133163</v>
      </c>
      <c r="IK158" s="19">
        <f t="shared" si="273"/>
        <v>4498</v>
      </c>
      <c r="IL158" s="19">
        <f t="shared" si="176"/>
        <v>1400</v>
      </c>
      <c r="IM158" s="19">
        <f t="shared" si="177"/>
        <v>731.70757397478837</v>
      </c>
      <c r="IN158" s="19">
        <f t="shared" si="178"/>
        <v>684.99999999999909</v>
      </c>
      <c r="IO158" s="39">
        <f t="shared" si="274"/>
        <v>0</v>
      </c>
      <c r="IP158" s="39">
        <f t="shared" si="275"/>
        <v>0</v>
      </c>
      <c r="IQ158" s="39">
        <f t="shared" si="276"/>
        <v>0</v>
      </c>
      <c r="IR158" s="39">
        <v>0</v>
      </c>
      <c r="IS158" s="39">
        <v>0</v>
      </c>
      <c r="IT158" s="39">
        <v>0</v>
      </c>
      <c r="IU158" s="39">
        <v>0</v>
      </c>
      <c r="IV158" s="39">
        <v>0</v>
      </c>
      <c r="IW158" s="39">
        <v>0</v>
      </c>
      <c r="IX158" s="39">
        <f>INDEX(Input!$1:$1048576,IX$93,$C158*2+6)+INDEX(Input!$1:$1048576,IX$94,$C158*2+6)</f>
        <v>1600</v>
      </c>
      <c r="IY158" s="39">
        <f>INDEX(Input!$1:$1048576,IY$93,$C158*2+6)+INDEX(Input!$1:$1048576,IY$94,$C158*2+6)</f>
        <v>2503.5492916397525</v>
      </c>
      <c r="IZ158" s="39">
        <f>INDEX(Input!$1:$1048576,IZ$93,$C158*2+6)+INDEX(Input!$1:$1048576,IZ$94,$C158*2+6)</f>
        <v>6273.7109265464023</v>
      </c>
      <c r="JA158" s="19">
        <f t="shared" si="179"/>
        <v>3000</v>
      </c>
      <c r="JB158" s="19">
        <f t="shared" si="180"/>
        <v>3235.2568656145409</v>
      </c>
      <c r="JC158" s="19">
        <f t="shared" si="181"/>
        <v>6958.7109265464014</v>
      </c>
      <c r="JD158" s="19">
        <f t="shared" si="182"/>
        <v>5723.9260738134299</v>
      </c>
      <c r="JE158" s="21"/>
      <c r="JF158" s="1">
        <f t="shared" si="277"/>
        <v>7.6148954918618686E-2</v>
      </c>
      <c r="JG158" s="15">
        <f>INDEX(Input!$1:$1048576,JG$93,$C158*2+6)/(1+VLOOKUP(C158*1000+INDEX(Input!$1:$1048576,JG$93+1,$C158*2+6),$A:$KK,$JK$92,FALSE))</f>
        <v>978</v>
      </c>
      <c r="JH158" s="1">
        <f t="shared" si="251"/>
        <v>0.14287582134789331</v>
      </c>
      <c r="JI158" s="1">
        <f t="shared" si="252"/>
        <v>5.3025362935800222E-2</v>
      </c>
      <c r="JJ158" s="1">
        <f t="shared" si="253"/>
        <v>0</v>
      </c>
      <c r="JK158" s="1">
        <f t="shared" si="254"/>
        <v>0.19590118428369352</v>
      </c>
      <c r="JL158" s="15">
        <f t="shared" si="184"/>
        <v>191.59135822945225</v>
      </c>
      <c r="JM158" s="15">
        <f t="shared" si="185"/>
        <v>1169.5913582294522</v>
      </c>
      <c r="JN158" s="21"/>
      <c r="JO158" s="19">
        <f>INDEX(Input!$1:$1048576,JO$93,$C158*2+6)</f>
        <v>5908.5</v>
      </c>
      <c r="JP158" s="19">
        <f>INDEX(Input!$1:$1048576,JP$93,$C158*2+6)</f>
        <v>4993.2939301234746</v>
      </c>
      <c r="JQ158" s="39">
        <f t="shared" si="186"/>
        <v>184.57392618657013</v>
      </c>
      <c r="JR158" s="39">
        <f t="shared" si="187"/>
        <v>730.63214368995523</v>
      </c>
      <c r="JS158" s="39">
        <f t="shared" si="188"/>
        <v>6.6946544710764249</v>
      </c>
      <c r="JT158" s="39">
        <f t="shared" si="189"/>
        <v>1.8112130074156672</v>
      </c>
      <c r="JU158" s="385">
        <f>(JQ158*JM158-INDEX(Input!$1:$1048576,Input!A$18,$C158*2+6)*JL158*INDEX(Input!$1:$1048576,Input!A$19,$C158*2+6))/1000000</f>
        <v>0.21587606902229323</v>
      </c>
      <c r="JV158" s="39">
        <f t="shared" si="192"/>
        <v>-0.67919546731694846</v>
      </c>
      <c r="JW158" s="1">
        <f t="shared" si="190"/>
        <v>-0.7588169657307996</v>
      </c>
      <c r="JX158" s="19">
        <f t="shared" si="191"/>
        <v>9453.5214122055313</v>
      </c>
      <c r="JZ158" s="341"/>
      <c r="KA158" s="342"/>
      <c r="KB158" s="469">
        <f t="shared" si="110"/>
        <v>3.2656316020464753</v>
      </c>
      <c r="KI158" s="473">
        <f t="shared" si="278"/>
        <v>63.7721472801434</v>
      </c>
      <c r="KJ158" s="473">
        <f t="shared" si="279"/>
        <v>15.269272483651832</v>
      </c>
      <c r="KK158" s="473">
        <f t="shared" si="257"/>
        <v>112.54993846565708</v>
      </c>
      <c r="KN158" s="544">
        <f t="shared" si="258"/>
        <v>1002</v>
      </c>
      <c r="KO158" s="541">
        <f t="shared" si="280"/>
        <v>0.10535949794027721</v>
      </c>
      <c r="KP158" s="546">
        <f t="shared" si="281"/>
        <v>475.95608064244379</v>
      </c>
      <c r="KQ158" s="546">
        <f t="shared" si="282"/>
        <v>369.47217383798943</v>
      </c>
      <c r="KR158" s="548">
        <f t="shared" si="283"/>
        <v>3.1744793243287561</v>
      </c>
      <c r="KS158" s="548">
        <f t="shared" si="284"/>
        <v>4.089381675466881</v>
      </c>
      <c r="KT158" s="473">
        <f t="shared" si="112"/>
        <v>-82.310573396665475</v>
      </c>
      <c r="KU158" s="663">
        <f t="shared" si="285"/>
        <v>-52.333064912534176</v>
      </c>
      <c r="KV158" s="117"/>
    </row>
    <row r="159" spans="1:308" s="26" customFormat="1" ht="15" outlineLevel="1">
      <c r="A159" s="561">
        <f t="shared" si="168"/>
        <v>1059</v>
      </c>
      <c r="B159" s="561">
        <f t="shared" si="104"/>
        <v>59</v>
      </c>
      <c r="C159" s="561">
        <f t="shared" si="105"/>
        <v>1</v>
      </c>
      <c r="D159" s="561" t="str">
        <f t="shared" si="376"/>
        <v xml:space="preserve">250 CC, 0/0/0.9/3.9, -360 Lease, </v>
      </c>
      <c r="E159" s="475">
        <f>INDEX(Input!$1:$1048576,E$93,$C159*2+MIN($B159,2)+5)
+INDEX(Scenarios!E$121:E$200,MATCH($B159,Scenarios!$B$121:$B$200,0))</f>
        <v>1500</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8.9999999999999993E-3</v>
      </c>
      <c r="W159" s="863">
        <f>IFERROR(MAX(0,INDEX(Input!$1:$1048576,W$93,$C159*2+MIN($B159,2)+5)-0%,),"Market")</f>
        <v>3.9E-2</v>
      </c>
      <c r="X159" s="476" t="str">
        <f>INDEX(Input!$1:$1048576,X$93,$C159*2+MIN($B159,2)+5)</f>
        <v>Y</v>
      </c>
      <c r="Y159" s="475">
        <f>INDEX(Input!$1:$1048576,Y$93,$C159*2+MIN($B159,2)+5)
++INDEX(Scenarios!Y$121:Y$200,MATCH($B159,Scenarios!$B$121:$B$200,0))</f>
        <v>2466</v>
      </c>
      <c r="Z159" s="477">
        <f>INDEX(Input!$1:$1048576,Z$93,$C159*2+MIN($B159,2)+5)
+INDEX(Scenarios!Z$121:Z$200,MATCH($B159,Scenarios!$B$121:$B$200,0))</f>
        <v>0</v>
      </c>
      <c r="AA159" s="475">
        <f>INDEX(Input!$1:$1048576,AA$93,$C159*2+MIN($B159,2)+5)</f>
        <v>0</v>
      </c>
      <c r="AB159" s="476">
        <f>INDEX(Input!$1:$1048576,AB$93,$C159*2+MIN($B159,2)+5)</f>
        <v>1</v>
      </c>
      <c r="AC159" s="475">
        <f>INDEX(Input!$1:$1048576,AC$93,$C159*2+MIN($B159,2)+5)
+INDEX(Scenarios!AC$121:AC$200,MATCH($B159,Scenarios!$B$121:$B$200,0))</f>
        <v>0</v>
      </c>
      <c r="AD159" s="476">
        <f>INDEX(Input!$1:$1048576,AD$93,$C159*2+MIN($B159,2)+5)</f>
        <v>0.35</v>
      </c>
      <c r="AE159" s="475">
        <f>INDEX(Input!$1:$1048576,AE$93,$C159*2+MIN($B159,2)+5)
+INDEX(Scenarios!AE$121:AE$200,MATCH($B159,Scenarios!$B$121:$B$200,0))</f>
        <v>0</v>
      </c>
      <c r="AF159" s="476">
        <f>INDEX(Input!$1:$1048576,AF$93,$C159*2+MIN($B159,2)+5)</f>
        <v>1</v>
      </c>
      <c r="AG159" s="475">
        <f>INDEX(Input!$1:$1048576,AG$93,$C159*2+MIN($B159,2)+5)
+INDEX(Scenarios!AG$121:AG$200,MATCH($B159,Scenarios!$B$121:$B$200,0))</f>
        <v>0</v>
      </c>
      <c r="AH159" s="476">
        <f>INDEX(Input!$1:$1048576,AH$93,$C159*2+MIN($B159,2)+5)</f>
        <v>1</v>
      </c>
      <c r="AI159" s="475">
        <f>INDEX(Input!$1:$1048576,AI$93,$C159*2+MIN($B159,2)+5)
+INDEX(Scenarios!AI$121:AI$200,MATCH($B159,Scenarios!$B$121:$B$200,0))</f>
        <v>0</v>
      </c>
      <c r="AJ159" s="476">
        <f>INDEX(Input!$1:$1048576,AJ$93,$C159*2+MIN($B159,2)+5)</f>
        <v>0.35</v>
      </c>
      <c r="AK159" s="150">
        <f>ROUND(INDEX(Input!$1:$1048576,AK$93,$C158*2+MIN($B159,1)+5)+(Y159-VLOOKUP($C159*1000+1,$A:$HH,Y$92,FALSE)),0)</f>
        <v>5122</v>
      </c>
      <c r="AL159" s="150">
        <f>ROUND(INDEX(Input!$1:$1048576,AL$93,$C158*2+MIN($B159,1)+5)-(Y159-VLOOKUP($C159*1000+1,$A:$HH,Y$92,FALSE))/36,0)</f>
        <v>5612</v>
      </c>
      <c r="AM159" s="32" t="str">
        <f t="shared" si="169"/>
        <v>std/std/std/std</v>
      </c>
      <c r="AN159" s="32" t="str">
        <f t="shared" si="170"/>
        <v>$0 + 0/0/0/0.9/3.9</v>
      </c>
      <c r="AO159" s="32" t="str">
        <f t="shared" si="171"/>
        <v>0/0/0/0.9/3.9</v>
      </c>
      <c r="AP159" s="32" t="str">
        <f t="shared" si="73"/>
        <v>0/0/0.9/3.9</v>
      </c>
      <c r="AQ159" s="536">
        <f t="shared" si="39"/>
        <v>0.19439855638961639</v>
      </c>
      <c r="AR159" s="32"/>
      <c r="AS159" s="302"/>
      <c r="AT159" s="3">
        <f t="shared" si="106"/>
        <v>59</v>
      </c>
      <c r="AU159" s="41" t="s">
        <v>121</v>
      </c>
      <c r="AV159" s="41" t="s">
        <v>116</v>
      </c>
      <c r="AW159" s="41" t="str">
        <f>INDEX(Input!$1:$1048576,AW$93,$C159*2+6)</f>
        <v>Kia</v>
      </c>
      <c r="AX159" s="41" t="str">
        <f>INDEX(Input!$1:$1048576,AX$93,$C159*2+6)</f>
        <v>Kia-LR - L1</v>
      </c>
      <c r="AY159" s="41" t="str">
        <f>IF(LEN(D159)=0,"",INDEX(Input!$1:$1048576,AY$93,$C159*2+6))</f>
        <v>Compact Conventional/Sporty Car (43)</v>
      </c>
      <c r="AZ159" s="41" t="str">
        <f>INDEX(Input!$1:$1048576,AZ$93,$C159*2+6)</f>
        <v>Kia Forte</v>
      </c>
      <c r="BA159" s="3">
        <f>INDEX(Input!$1:$1048576,BA$93,$C159*2+6)</f>
        <v>2020</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19695</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4"/>
        <v>1500</v>
      </c>
      <c r="CJ159" s="16" t="str">
        <f>INDEX(Input!$1:$1048576,CJ$93,$C159*2+6)</f>
        <v>N</v>
      </c>
      <c r="CK159" s="1" t="str">
        <f t="shared" si="75"/>
        <v>Market</v>
      </c>
      <c r="CL159" s="1" t="str">
        <f t="shared" si="76"/>
        <v>Market</v>
      </c>
      <c r="CM159" s="1" t="str">
        <f t="shared" si="77"/>
        <v>Market</v>
      </c>
      <c r="CN159" s="1" t="str">
        <f t="shared" si="78"/>
        <v>Market</v>
      </c>
      <c r="CO159" s="1" t="str">
        <f t="shared" si="79"/>
        <v>Market</v>
      </c>
      <c r="CP159" s="304">
        <f t="shared" si="80"/>
        <v>0</v>
      </c>
      <c r="CQ159" s="1">
        <f t="shared" si="81"/>
        <v>0</v>
      </c>
      <c r="CR159" s="1">
        <f t="shared" si="82"/>
        <v>0</v>
      </c>
      <c r="CS159" s="1">
        <f t="shared" si="83"/>
        <v>0</v>
      </c>
      <c r="CT159" s="1">
        <f t="shared" si="84"/>
        <v>8.9999999999999993E-3</v>
      </c>
      <c r="CU159" s="1">
        <f t="shared" si="85"/>
        <v>3.9E-2</v>
      </c>
      <c r="CV159" s="304">
        <f t="shared" si="86"/>
        <v>2466</v>
      </c>
      <c r="CW159" s="20" t="s">
        <v>122</v>
      </c>
      <c r="CX159" s="20" t="s">
        <v>122</v>
      </c>
      <c r="CY159" s="20" t="s">
        <v>122</v>
      </c>
      <c r="CZ159" s="20" t="s">
        <v>122</v>
      </c>
      <c r="DA159" s="20" t="s">
        <v>122</v>
      </c>
      <c r="DB159" s="503">
        <f t="shared" si="87"/>
        <v>0</v>
      </c>
      <c r="DC159" s="127">
        <v>0</v>
      </c>
      <c r="DD159" s="127">
        <v>0</v>
      </c>
      <c r="DE159" s="127">
        <v>0</v>
      </c>
      <c r="DF159" s="127">
        <v>0</v>
      </c>
      <c r="DG159" s="127">
        <v>0</v>
      </c>
      <c r="DH159" s="127">
        <v>0</v>
      </c>
      <c r="DI159" s="127">
        <v>0</v>
      </c>
      <c r="DJ159" s="127">
        <v>0</v>
      </c>
      <c r="DK159" s="127">
        <v>0</v>
      </c>
      <c r="DL159" s="127">
        <v>0</v>
      </c>
      <c r="DM159" s="304">
        <f>INDEX(Input!$1:$1048576,DM$93,$C159*2+6)</f>
        <v>20731.578947368424</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1.6330080508758525E-2</v>
      </c>
      <c r="DZ159" s="7">
        <v>0</v>
      </c>
      <c r="EA159" s="7">
        <v>0.25443497072896926</v>
      </c>
      <c r="EB159" s="7">
        <v>0</v>
      </c>
      <c r="EC159" s="7">
        <v>0</v>
      </c>
      <c r="ED159" s="7">
        <v>0</v>
      </c>
      <c r="EE159" s="7">
        <v>0</v>
      </c>
      <c r="EF159" s="7">
        <v>0</v>
      </c>
      <c r="EG159" s="7">
        <v>0</v>
      </c>
      <c r="EH159" s="7">
        <v>1.44768696359933E-2</v>
      </c>
      <c r="EI159" s="7">
        <v>2.6039456772322757E-2</v>
      </c>
      <c r="EJ159" s="7">
        <v>0.20479017957701895</v>
      </c>
      <c r="EK159" s="7">
        <v>0.72317389939610421</v>
      </c>
      <c r="EL159" s="7">
        <v>3.1519594618561159E-2</v>
      </c>
      <c r="EM159" s="7">
        <v>2.0412940014114703E-2</v>
      </c>
      <c r="EN159" s="7">
        <v>5.4991458321761229E-2</v>
      </c>
      <c r="EO159" s="7">
        <v>0.54346350462336079</v>
      </c>
      <c r="EP159" s="7">
        <v>0.30989234739924154</v>
      </c>
      <c r="EQ159" s="7">
        <v>5.3241409624822614E-2</v>
      </c>
      <c r="ER159" s="7">
        <v>3.8411280030814003E-2</v>
      </c>
      <c r="ES159" s="7">
        <v>0.70882200874815737</v>
      </c>
      <c r="ET159" s="7">
        <v>0.72923494876227224</v>
      </c>
      <c r="EU159" s="6">
        <v>1850</v>
      </c>
      <c r="EV159" s="6">
        <v>0</v>
      </c>
      <c r="EW159" s="6">
        <v>1850</v>
      </c>
      <c r="EX159" s="6">
        <v>0</v>
      </c>
      <c r="EY159" s="6">
        <v>2963.2578502881047</v>
      </c>
      <c r="EZ159" s="6">
        <v>4462.9999999999991</v>
      </c>
      <c r="FA159" s="6">
        <v>0</v>
      </c>
      <c r="FB159" s="6">
        <v>0</v>
      </c>
      <c r="FC159" s="6">
        <v>0</v>
      </c>
      <c r="FD159" s="6">
        <v>0</v>
      </c>
      <c r="FE159" s="6">
        <v>0</v>
      </c>
      <c r="FF159" s="6">
        <v>0</v>
      </c>
      <c r="FG159" s="6">
        <v>0</v>
      </c>
      <c r="FH159" s="6">
        <v>1152.120827037782</v>
      </c>
      <c r="FI159" s="6">
        <v>1531.4299904380618</v>
      </c>
      <c r="FJ159" s="6">
        <v>2070.7205842538224</v>
      </c>
      <c r="FK159" s="6">
        <v>2218.6393698501015</v>
      </c>
      <c r="FL159" s="6">
        <v>893.9143356348942</v>
      </c>
      <c r="FM159" s="6">
        <v>2113.2578502881047</v>
      </c>
      <c r="FN159" s="6">
        <v>0</v>
      </c>
      <c r="FO159" s="6">
        <v>0</v>
      </c>
      <c r="FP159" s="6">
        <v>0</v>
      </c>
      <c r="FQ159" s="6">
        <v>0</v>
      </c>
      <c r="FR159" s="6">
        <v>0</v>
      </c>
      <c r="FS159" s="6">
        <v>0</v>
      </c>
      <c r="FT159" s="7">
        <v>0.27076505123772776</v>
      </c>
      <c r="FU159" s="7">
        <v>2.0412940014114703E-2</v>
      </c>
      <c r="FV159" s="7">
        <v>0.70882200874815737</v>
      </c>
      <c r="FW159" s="6">
        <v>1850.0000000000002</v>
      </c>
      <c r="FX159" s="6">
        <v>2963.2578502881047</v>
      </c>
      <c r="FY159" s="6">
        <v>4462.9999999999991</v>
      </c>
      <c r="FZ159" s="6">
        <v>3077.4375890575293</v>
      </c>
      <c r="GA159" s="6">
        <v>3724.8767745771079</v>
      </c>
      <c r="GB159" s="6">
        <v>15970.123225422893</v>
      </c>
      <c r="GC159" s="7">
        <v>7.0901643973087014E-2</v>
      </c>
      <c r="GD159" s="7">
        <v>7.7704524887768356E-2</v>
      </c>
      <c r="GE159" s="7"/>
      <c r="GF159" s="7"/>
      <c r="GG159" s="7">
        <v>9.5948140740764673E-2</v>
      </c>
      <c r="GH159" s="42">
        <v>2.9187276182130559</v>
      </c>
      <c r="GI159" s="6">
        <v>10472.680124606031</v>
      </c>
      <c r="GJ159" s="14">
        <v>0.51074630601039539</v>
      </c>
      <c r="GK159" s="14">
        <v>0.5082951978616097</v>
      </c>
      <c r="GL159" s="14">
        <v>0.48925369398960433</v>
      </c>
      <c r="GM159" s="14">
        <v>0.49170480213839018</v>
      </c>
      <c r="GO159" s="5">
        <v>338.16872463277008</v>
      </c>
      <c r="GP159" s="5">
        <v>302.87425392274076</v>
      </c>
      <c r="GQ159" s="5">
        <v>527.27910984145694</v>
      </c>
      <c r="GR159" s="5">
        <v>404.20319246551543</v>
      </c>
      <c r="GS159" s="5">
        <v>334.50205195691484</v>
      </c>
      <c r="GT159" s="5">
        <v>289.18266033348181</v>
      </c>
      <c r="GU159" s="5">
        <v>254.29573314828914</v>
      </c>
      <c r="GV159" s="39" t="s">
        <v>392</v>
      </c>
      <c r="GW159" s="5">
        <v>468.76388888888891</v>
      </c>
      <c r="GX159" s="5">
        <v>351.57291666666669</v>
      </c>
      <c r="GY159" s="5">
        <v>281.25833333333333</v>
      </c>
      <c r="GZ159" s="5">
        <v>240.8550698915011</v>
      </c>
      <c r="HA159" s="5">
        <v>229.8919505212948</v>
      </c>
      <c r="HB159" s="39">
        <v>254.96614723549277</v>
      </c>
      <c r="HC159" s="5">
        <v>87.859375</v>
      </c>
      <c r="HD159" s="5">
        <v>103.05546418128652</v>
      </c>
      <c r="HE159" s="5">
        <v>113.73246879217274</v>
      </c>
      <c r="HF159" s="5">
        <v>114.49629934210526</v>
      </c>
      <c r="HG159" s="5">
        <v>122.034100877193</v>
      </c>
      <c r="HH159" s="39">
        <v>106.86665101845688</v>
      </c>
      <c r="HI159" s="16"/>
      <c r="HJ159" s="19" t="str">
        <f t="shared" ref="HJ159" si="383">HJ158</f>
        <v>On</v>
      </c>
      <c r="HK159" s="1" t="str">
        <f t="shared" si="108"/>
        <v>On</v>
      </c>
      <c r="HL159" s="16"/>
      <c r="HM159" s="639">
        <f t="shared" si="261"/>
        <v>1.7699001661282989E-2</v>
      </c>
      <c r="HN159" s="639">
        <f t="shared" si="262"/>
        <v>1.0509929974846072E-3</v>
      </c>
      <c r="HO159" s="639">
        <f t="shared" si="263"/>
        <v>5.7398960259851091E-2</v>
      </c>
      <c r="HP159" s="644">
        <f>(FT159*$GD159-HM159)/$JF159*INDEX(Input!$1:$1048576,$JG$93,$C159*2+6)</f>
        <v>42.905031445523029</v>
      </c>
      <c r="HQ159" s="644">
        <f>(FU159*$GD159-HN159)/$JF159*INDEX(Input!$1:$1048576,$JG$93,$C159*2+6)</f>
        <v>6.8735118250910148</v>
      </c>
      <c r="HR159" s="644">
        <f>(FV159*$GD159-HO159)/$JF159*INDEX(Input!$1:$1048576,$JG$93,$C159*2+6)</f>
        <v>-29.799970597433578</v>
      </c>
      <c r="HS159" s="644">
        <f t="shared" si="264"/>
        <v>-0.25459703557275681</v>
      </c>
      <c r="HT159" s="644">
        <f t="shared" si="265"/>
        <v>16.177989444553702</v>
      </c>
      <c r="HU159" s="644">
        <f t="shared" si="266"/>
        <v>2.8259267331273685</v>
      </c>
      <c r="HV159" s="648">
        <f t="shared" si="267"/>
        <v>0</v>
      </c>
      <c r="HW159" s="648">
        <f t="shared" si="268"/>
        <v>0</v>
      </c>
      <c r="HX159" s="648">
        <f t="shared" si="269"/>
        <v>0</v>
      </c>
      <c r="HY159" s="644">
        <f>INDEX(Input!$1:$1048576,HY$93,$C159*2+6)*INDEX(Input!$1:$1048576,$JG$93,$C159*2+6)</f>
        <v>154.99999999999997</v>
      </c>
      <c r="HZ159" s="644">
        <f>INDEX(Input!$1:$1048576,HZ$93,$C159*2+6)*INDEX(Input!$1:$1048576,$JG$93,$C159*2+6)</f>
        <v>140</v>
      </c>
      <c r="IA159" s="644">
        <f>INDEX(Input!$1:$1048576,IA$93,$C159*2+6)*INDEX(Input!$1:$1048576,$JG$93,$C159*2+6)</f>
        <v>683</v>
      </c>
      <c r="IB159" s="644">
        <f t="shared" si="249"/>
        <v>197.65043440995021</v>
      </c>
      <c r="IC159" s="644">
        <f t="shared" si="172"/>
        <v>163.05150126964472</v>
      </c>
      <c r="ID159" s="644">
        <f>IF(AND(INDEX(Input!$1:$1048576,IA$93,$C159*2+7)="TOS",Y159&lt;=INDEX(Y:Y,MATCH(C159*1000+2,A:A))),0,1)*MAX(IA159+HR159+HU159+HX159,0%)</f>
        <v>656.02595613569383</v>
      </c>
      <c r="IE159" s="128">
        <f t="shared" si="270"/>
        <v>0.19439855638961639</v>
      </c>
      <c r="IF159" s="128">
        <f t="shared" si="174"/>
        <v>0.16036886819198881</v>
      </c>
      <c r="IG159" s="128">
        <f t="shared" si="175"/>
        <v>0.64523257541839474</v>
      </c>
      <c r="IH159" s="21"/>
      <c r="II159" s="19">
        <f t="shared" si="271"/>
        <v>1200</v>
      </c>
      <c r="IJ159" s="19">
        <f t="shared" si="272"/>
        <v>2231.5502763133163</v>
      </c>
      <c r="IK159" s="19">
        <f t="shared" si="273"/>
        <v>4498</v>
      </c>
      <c r="IL159" s="19">
        <f t="shared" si="176"/>
        <v>650.00000000000023</v>
      </c>
      <c r="IM159" s="19">
        <f t="shared" si="177"/>
        <v>731.70757397478837</v>
      </c>
      <c r="IN159" s="19">
        <f t="shared" si="178"/>
        <v>-35.000000000000909</v>
      </c>
      <c r="IO159" s="39">
        <f t="shared" si="274"/>
        <v>0</v>
      </c>
      <c r="IP159" s="39">
        <f t="shared" si="275"/>
        <v>0</v>
      </c>
      <c r="IQ159" s="39">
        <f t="shared" si="276"/>
        <v>0</v>
      </c>
      <c r="IR159" s="39">
        <v>0</v>
      </c>
      <c r="IS159" s="39">
        <v>0</v>
      </c>
      <c r="IT159" s="39">
        <v>0</v>
      </c>
      <c r="IU159" s="39">
        <v>0</v>
      </c>
      <c r="IV159" s="39">
        <v>0</v>
      </c>
      <c r="IW159" s="39">
        <v>0</v>
      </c>
      <c r="IX159" s="39">
        <f>INDEX(Input!$1:$1048576,IX$93,$C159*2+6)+INDEX(Input!$1:$1048576,IX$94,$C159*2+6)</f>
        <v>1600</v>
      </c>
      <c r="IY159" s="39">
        <f>INDEX(Input!$1:$1048576,IY$93,$C159*2+6)+INDEX(Input!$1:$1048576,IY$94,$C159*2+6)</f>
        <v>2503.5492916397525</v>
      </c>
      <c r="IZ159" s="39">
        <f>INDEX(Input!$1:$1048576,IZ$93,$C159*2+6)+INDEX(Input!$1:$1048576,IZ$94,$C159*2+6)</f>
        <v>6273.7109265464023</v>
      </c>
      <c r="JA159" s="19">
        <f t="shared" si="179"/>
        <v>2250</v>
      </c>
      <c r="JB159" s="19">
        <f t="shared" si="180"/>
        <v>3235.2568656145409</v>
      </c>
      <c r="JC159" s="19">
        <f t="shared" si="181"/>
        <v>6238.7109265464014</v>
      </c>
      <c r="JD159" s="19">
        <f t="shared" si="182"/>
        <v>4981.6507521520161</v>
      </c>
      <c r="JE159" s="21"/>
      <c r="JF159" s="1">
        <f t="shared" si="277"/>
        <v>7.6148954918618686E-2</v>
      </c>
      <c r="JG159" s="15">
        <f>INDEX(Input!$1:$1048576,JG$93,$C159*2+6)/(1+VLOOKUP(C159*1000+INDEX(Input!$1:$1048576,JG$93+1,$C159*2+6),$A:$KK,$JK$92,FALSE))</f>
        <v>978</v>
      </c>
      <c r="JH159" s="1">
        <f t="shared" si="251"/>
        <v>2.0427988418384935E-2</v>
      </c>
      <c r="JI159" s="1">
        <f t="shared" si="252"/>
        <v>1.9171082967390913E-2</v>
      </c>
      <c r="JJ159" s="1">
        <f t="shared" si="253"/>
        <v>0</v>
      </c>
      <c r="JK159" s="1">
        <f t="shared" si="254"/>
        <v>3.9599071385775848E-2</v>
      </c>
      <c r="JL159" s="15">
        <f t="shared" si="184"/>
        <v>38.727891815288778</v>
      </c>
      <c r="JM159" s="15">
        <f t="shared" si="185"/>
        <v>1016.7278918152888</v>
      </c>
      <c r="JN159" s="21"/>
      <c r="JO159" s="19">
        <f>INDEX(Input!$1:$1048576,JO$93,$C159*2+6)</f>
        <v>5908.5</v>
      </c>
      <c r="JP159" s="19">
        <f>INDEX(Input!$1:$1048576,JP$93,$C159*2+6)</f>
        <v>4993.2939301234746</v>
      </c>
      <c r="JQ159" s="39">
        <f t="shared" si="186"/>
        <v>926.84924784798386</v>
      </c>
      <c r="JR159" s="39">
        <f t="shared" si="187"/>
        <v>-11.643177971458499</v>
      </c>
      <c r="JS159" s="39">
        <f t="shared" si="188"/>
        <v>5.0649832669955668</v>
      </c>
      <c r="JT159" s="39">
        <f t="shared" si="189"/>
        <v>0.1815418033348089</v>
      </c>
      <c r="JU159" s="385">
        <f>(JQ159*JM159-INDEX(Input!$1:$1048576,Input!A$18,$C159*2+6)*JL159*INDEX(Input!$1:$1048576,Input!A$19,$C159*2+6))/1000000</f>
        <v>0.94235348179506673</v>
      </c>
      <c r="JV159" s="39">
        <f t="shared" si="192"/>
        <v>4.7281945455824981E-2</v>
      </c>
      <c r="JW159" s="1">
        <f t="shared" si="190"/>
        <v>5.2824767112139084E-2</v>
      </c>
      <c r="JX159" s="19">
        <f t="shared" si="191"/>
        <v>4687.6242115286241</v>
      </c>
      <c r="JZ159" s="341"/>
      <c r="KA159" s="342"/>
      <c r="KB159" s="469">
        <f t="shared" si="110"/>
        <v>3.2656316020464753</v>
      </c>
      <c r="KI159" s="473">
        <f t="shared" si="278"/>
        <v>42.650434409950236</v>
      </c>
      <c r="KJ159" s="473">
        <f t="shared" si="279"/>
        <v>23.051501269644717</v>
      </c>
      <c r="KK159" s="473">
        <f t="shared" si="257"/>
        <v>-26.974043864306168</v>
      </c>
      <c r="KN159" s="544">
        <f t="shared" si="258"/>
        <v>1002</v>
      </c>
      <c r="KO159" s="541">
        <f t="shared" si="280"/>
        <v>-3.9108980986207298E-2</v>
      </c>
      <c r="KP159" s="546">
        <f t="shared" si="281"/>
        <v>-130.48851984417064</v>
      </c>
      <c r="KQ159" s="546">
        <f t="shared" si="282"/>
        <v>-372.8031478234243</v>
      </c>
      <c r="KR159" s="548">
        <f t="shared" si="283"/>
        <v>4.2980343820854872</v>
      </c>
      <c r="KS159" s="548">
        <f t="shared" si="284"/>
        <v>1.5043975568128243</v>
      </c>
      <c r="KT159" s="473">
        <f t="shared" si="112"/>
        <v>-82.310573396665475</v>
      </c>
      <c r="KU159" s="663">
        <f t="shared" si="285"/>
        <v>-52.788520221598013</v>
      </c>
      <c r="KV159" s="117"/>
    </row>
    <row r="160" spans="1:308" s="26" customFormat="1" ht="15" outlineLevel="1">
      <c r="A160" s="561">
        <f t="shared" si="168"/>
        <v>1060</v>
      </c>
      <c r="B160" s="561">
        <f t="shared" si="104"/>
        <v>60</v>
      </c>
      <c r="C160" s="561">
        <f t="shared" si="105"/>
        <v>1</v>
      </c>
      <c r="D160" s="561" t="str">
        <f t="shared" si="376"/>
        <v xml:space="preserve">500 CC, 0/0/0.9/3.9, -360 Lease, </v>
      </c>
      <c r="E160" s="475">
        <f>INDEX(Input!$1:$1048576,E$93,$C160*2+MIN($B160,2)+5)
+INDEX(Scenarios!E$121:E$200,MATCH($B160,Scenarios!$B$121:$B$200,0))</f>
        <v>1750</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8.9999999999999993E-3</v>
      </c>
      <c r="W160" s="863">
        <f>IFERROR(MAX(0,INDEX(Input!$1:$1048576,W$93,$C160*2+MIN($B160,2)+5)-0%,),"Market")</f>
        <v>3.9E-2</v>
      </c>
      <c r="X160" s="476" t="str">
        <f>INDEX(Input!$1:$1048576,X$93,$C160*2+MIN($B160,2)+5)</f>
        <v>Y</v>
      </c>
      <c r="Y160" s="475">
        <f>INDEX(Input!$1:$1048576,Y$93,$C160*2+MIN($B160,2)+5)
++INDEX(Scenarios!Y$121:Y$200,MATCH($B160,Scenarios!$B$121:$B$200,0))</f>
        <v>2466</v>
      </c>
      <c r="Z160" s="477">
        <f>INDEX(Input!$1:$1048576,Z$93,$C160*2+MIN($B160,2)+5)
+INDEX(Scenarios!Z$121:Z$200,MATCH($B160,Scenarios!$B$121:$B$200,0))</f>
        <v>0</v>
      </c>
      <c r="AA160" s="475">
        <f>INDEX(Input!$1:$1048576,AA$93,$C160*2+MIN($B160,2)+5)</f>
        <v>0</v>
      </c>
      <c r="AB160" s="476">
        <f>INDEX(Input!$1:$1048576,AB$93,$C160*2+MIN($B160,2)+5)</f>
        <v>1</v>
      </c>
      <c r="AC160" s="475">
        <f>INDEX(Input!$1:$1048576,AC$93,$C160*2+MIN($B160,2)+5)
+INDEX(Scenarios!AC$121:AC$200,MATCH($B160,Scenarios!$B$121:$B$200,0))</f>
        <v>0</v>
      </c>
      <c r="AD160" s="476">
        <f>INDEX(Input!$1:$1048576,AD$93,$C160*2+MIN($B160,2)+5)</f>
        <v>0.35</v>
      </c>
      <c r="AE160" s="475">
        <f>INDEX(Input!$1:$1048576,AE$93,$C160*2+MIN($B160,2)+5)
+INDEX(Scenarios!AE$121:AE$200,MATCH($B160,Scenarios!$B$121:$B$200,0))</f>
        <v>0</v>
      </c>
      <c r="AF160" s="476">
        <f>INDEX(Input!$1:$1048576,AF$93,$C160*2+MIN($B160,2)+5)</f>
        <v>1</v>
      </c>
      <c r="AG160" s="475">
        <f>INDEX(Input!$1:$1048576,AG$93,$C160*2+MIN($B160,2)+5)
+INDEX(Scenarios!AG$121:AG$200,MATCH($B160,Scenarios!$B$121:$B$200,0))</f>
        <v>0</v>
      </c>
      <c r="AH160" s="476">
        <f>INDEX(Input!$1:$1048576,AH$93,$C160*2+MIN($B160,2)+5)</f>
        <v>1</v>
      </c>
      <c r="AI160" s="475">
        <f>INDEX(Input!$1:$1048576,AI$93,$C160*2+MIN($B160,2)+5)
+INDEX(Scenarios!AI$121:AI$200,MATCH($B160,Scenarios!$B$121:$B$200,0))</f>
        <v>0</v>
      </c>
      <c r="AJ160" s="476">
        <f>INDEX(Input!$1:$1048576,AJ$93,$C160*2+MIN($B160,2)+5)</f>
        <v>0.35</v>
      </c>
      <c r="AK160" s="150">
        <f>ROUND(INDEX(Input!$1:$1048576,AK$93,$C159*2+MIN($B160,1)+5)+(Y160-VLOOKUP($C160*1000+1,$A:$HH,Y$92,FALSE)),0)</f>
        <v>5122</v>
      </c>
      <c r="AL160" s="150">
        <f>ROUND(INDEX(Input!$1:$1048576,AL$93,$C159*2+MIN($B160,1)+5)-(Y160-VLOOKUP($C160*1000+1,$A:$HH,Y$92,FALSE))/36,0)</f>
        <v>5612</v>
      </c>
      <c r="AM160" s="32" t="str">
        <f t="shared" si="169"/>
        <v>std/std/std/std</v>
      </c>
      <c r="AN160" s="32" t="str">
        <f t="shared" si="170"/>
        <v>$0 + 0/0/0/0.9/3.9</v>
      </c>
      <c r="AO160" s="32" t="str">
        <f t="shared" si="171"/>
        <v>0/0/0/0.9/3.9</v>
      </c>
      <c r="AP160" s="32" t="str">
        <f t="shared" si="73"/>
        <v>0/0/0.9/3.9</v>
      </c>
      <c r="AQ160" s="536">
        <f t="shared" si="39"/>
        <v>0.2103474176134856</v>
      </c>
      <c r="AR160" s="32"/>
      <c r="AS160" s="302"/>
      <c r="AT160" s="3">
        <f t="shared" si="106"/>
        <v>60</v>
      </c>
      <c r="AU160" s="41" t="s">
        <v>121</v>
      </c>
      <c r="AV160" s="41" t="s">
        <v>116</v>
      </c>
      <c r="AW160" s="41" t="str">
        <f>INDEX(Input!$1:$1048576,AW$93,$C160*2+6)</f>
        <v>Kia</v>
      </c>
      <c r="AX160" s="41" t="str">
        <f>INDEX(Input!$1:$1048576,AX$93,$C160*2+6)</f>
        <v>Kia-LR - L1</v>
      </c>
      <c r="AY160" s="41" t="str">
        <f>IF(LEN(D160)=0,"",INDEX(Input!$1:$1048576,AY$93,$C160*2+6))</f>
        <v>Compact Conventional/Sporty Car (43)</v>
      </c>
      <c r="AZ160" s="41" t="str">
        <f>INDEX(Input!$1:$1048576,AZ$93,$C160*2+6)</f>
        <v>Kia Forte</v>
      </c>
      <c r="BA160" s="3">
        <f>INDEX(Input!$1:$1048576,BA$93,$C160*2+6)</f>
        <v>2020</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19695</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4"/>
        <v>1750</v>
      </c>
      <c r="CJ160" s="16" t="str">
        <f>INDEX(Input!$1:$1048576,CJ$93,$C160*2+6)</f>
        <v>N</v>
      </c>
      <c r="CK160" s="1" t="str">
        <f t="shared" si="75"/>
        <v>Market</v>
      </c>
      <c r="CL160" s="1" t="str">
        <f t="shared" si="76"/>
        <v>Market</v>
      </c>
      <c r="CM160" s="1" t="str">
        <f t="shared" si="77"/>
        <v>Market</v>
      </c>
      <c r="CN160" s="1" t="str">
        <f t="shared" si="78"/>
        <v>Market</v>
      </c>
      <c r="CO160" s="1" t="str">
        <f t="shared" si="79"/>
        <v>Market</v>
      </c>
      <c r="CP160" s="304">
        <f t="shared" si="80"/>
        <v>0</v>
      </c>
      <c r="CQ160" s="1">
        <f t="shared" si="81"/>
        <v>0</v>
      </c>
      <c r="CR160" s="1">
        <f t="shared" si="82"/>
        <v>0</v>
      </c>
      <c r="CS160" s="1">
        <f t="shared" si="83"/>
        <v>0</v>
      </c>
      <c r="CT160" s="1">
        <f t="shared" si="84"/>
        <v>8.9999999999999993E-3</v>
      </c>
      <c r="CU160" s="1">
        <f t="shared" si="85"/>
        <v>3.9E-2</v>
      </c>
      <c r="CV160" s="304">
        <f t="shared" si="86"/>
        <v>2466</v>
      </c>
      <c r="CW160" s="20" t="s">
        <v>122</v>
      </c>
      <c r="CX160" s="20" t="s">
        <v>122</v>
      </c>
      <c r="CY160" s="20" t="s">
        <v>122</v>
      </c>
      <c r="CZ160" s="20" t="s">
        <v>122</v>
      </c>
      <c r="DA160" s="20" t="s">
        <v>122</v>
      </c>
      <c r="DB160" s="503">
        <f t="shared" si="87"/>
        <v>0</v>
      </c>
      <c r="DC160" s="127">
        <v>0</v>
      </c>
      <c r="DD160" s="127">
        <v>0</v>
      </c>
      <c r="DE160" s="127">
        <v>0</v>
      </c>
      <c r="DF160" s="127">
        <v>0</v>
      </c>
      <c r="DG160" s="127">
        <v>0</v>
      </c>
      <c r="DH160" s="127">
        <v>0</v>
      </c>
      <c r="DI160" s="127">
        <v>0</v>
      </c>
      <c r="DJ160" s="127">
        <v>0</v>
      </c>
      <c r="DK160" s="127">
        <v>0</v>
      </c>
      <c r="DL160" s="127">
        <v>0</v>
      </c>
      <c r="DM160" s="304">
        <f>INDEX(Input!$1:$1048576,DM$93,$C160*2+6)</f>
        <v>20731.578947368424</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1.7336766958656036E-2</v>
      </c>
      <c r="DZ160" s="7">
        <v>0</v>
      </c>
      <c r="EA160" s="7">
        <v>0.26898275796831261</v>
      </c>
      <c r="EB160" s="7">
        <v>0</v>
      </c>
      <c r="EC160" s="7">
        <v>0</v>
      </c>
      <c r="ED160" s="7">
        <v>0</v>
      </c>
      <c r="EE160" s="7">
        <v>0</v>
      </c>
      <c r="EF160" s="7">
        <v>0</v>
      </c>
      <c r="EG160" s="7">
        <v>0</v>
      </c>
      <c r="EH160" s="7">
        <v>1.4476869635993291E-2</v>
      </c>
      <c r="EI160" s="7">
        <v>2.6039456772322746E-2</v>
      </c>
      <c r="EJ160" s="7">
        <v>0.20479017957701898</v>
      </c>
      <c r="EK160" s="7">
        <v>0.72317389939610388</v>
      </c>
      <c r="EL160" s="7">
        <v>3.1519594618561152E-2</v>
      </c>
      <c r="EM160" s="7">
        <v>1.9977535020280407E-2</v>
      </c>
      <c r="EN160" s="7">
        <v>5.4991458321761229E-2</v>
      </c>
      <c r="EO160" s="7">
        <v>0.54346350462336068</v>
      </c>
      <c r="EP160" s="7">
        <v>0.30989234739924143</v>
      </c>
      <c r="EQ160" s="7">
        <v>5.3241409624822628E-2</v>
      </c>
      <c r="ER160" s="7">
        <v>3.841128003081401E-2</v>
      </c>
      <c r="ES160" s="7">
        <v>0.69370294005275102</v>
      </c>
      <c r="ET160" s="7">
        <v>0.71368047507303123</v>
      </c>
      <c r="EU160" s="6">
        <v>2100</v>
      </c>
      <c r="EV160" s="6">
        <v>0</v>
      </c>
      <c r="EW160" s="6">
        <v>2100</v>
      </c>
      <c r="EX160" s="6">
        <v>0</v>
      </c>
      <c r="EY160" s="6">
        <v>2963.2578502881042</v>
      </c>
      <c r="EZ160" s="6">
        <v>4462.9999999999991</v>
      </c>
      <c r="FA160" s="6">
        <v>0</v>
      </c>
      <c r="FB160" s="6">
        <v>0</v>
      </c>
      <c r="FC160" s="6">
        <v>0</v>
      </c>
      <c r="FD160" s="6">
        <v>0</v>
      </c>
      <c r="FE160" s="6">
        <v>0</v>
      </c>
      <c r="FF160" s="6">
        <v>0</v>
      </c>
      <c r="FG160" s="6">
        <v>0</v>
      </c>
      <c r="FH160" s="6">
        <v>1152.120827037782</v>
      </c>
      <c r="FI160" s="6">
        <v>1531.4299904380621</v>
      </c>
      <c r="FJ160" s="6">
        <v>2070.7205842538215</v>
      </c>
      <c r="FK160" s="6">
        <v>2218.639369850102</v>
      </c>
      <c r="FL160" s="6">
        <v>893.91433563489363</v>
      </c>
      <c r="FM160" s="6">
        <v>2113.2578502881042</v>
      </c>
      <c r="FN160" s="6">
        <v>0</v>
      </c>
      <c r="FO160" s="6">
        <v>0</v>
      </c>
      <c r="FP160" s="6">
        <v>0</v>
      </c>
      <c r="FQ160" s="6">
        <v>0</v>
      </c>
      <c r="FR160" s="6">
        <v>0</v>
      </c>
      <c r="FS160" s="6">
        <v>0</v>
      </c>
      <c r="FT160" s="7">
        <v>0.28631952492696866</v>
      </c>
      <c r="FU160" s="7">
        <v>1.9977535020280407E-2</v>
      </c>
      <c r="FV160" s="7">
        <v>0.69370294005275102</v>
      </c>
      <c r="FW160" s="6">
        <v>2100</v>
      </c>
      <c r="FX160" s="6">
        <v>2963.2578502881042</v>
      </c>
      <c r="FY160" s="6">
        <v>4462.9999999999991</v>
      </c>
      <c r="FZ160" s="6">
        <v>3077.4375890575293</v>
      </c>
      <c r="GA160" s="6">
        <v>3756.4658112803127</v>
      </c>
      <c r="GB160" s="6">
        <v>15938.534188719688</v>
      </c>
      <c r="GC160" s="7">
        <v>7.0901643973087014E-2</v>
      </c>
      <c r="GD160" s="7">
        <v>7.8414374455997624E-2</v>
      </c>
      <c r="GE160" s="7"/>
      <c r="GF160" s="7"/>
      <c r="GG160" s="7">
        <v>0.1059598912228651</v>
      </c>
      <c r="GH160" s="42">
        <v>3.073333315665399</v>
      </c>
      <c r="GI160" s="6">
        <v>10164.817258098863</v>
      </c>
      <c r="GJ160" s="14">
        <v>0.5107463060103955</v>
      </c>
      <c r="GK160" s="14">
        <v>0.5082951978616097</v>
      </c>
      <c r="GL160" s="14">
        <v>0.48925369398960444</v>
      </c>
      <c r="GM160" s="14">
        <v>0.49170480213839035</v>
      </c>
      <c r="GO160" s="5">
        <v>338.16872463277008</v>
      </c>
      <c r="GP160" s="5">
        <v>298.1047308538179</v>
      </c>
      <c r="GQ160" s="5">
        <v>527.27910984145694</v>
      </c>
      <c r="GR160" s="5">
        <v>404.20319246551543</v>
      </c>
      <c r="GS160" s="5">
        <v>334.50205195691484</v>
      </c>
      <c r="GT160" s="5">
        <v>289.18266033348181</v>
      </c>
      <c r="GU160" s="5">
        <v>254.29573314828914</v>
      </c>
      <c r="GV160" s="39" t="s">
        <v>392</v>
      </c>
      <c r="GW160" s="5">
        <v>468.76388888888891</v>
      </c>
      <c r="GX160" s="5">
        <v>351.57291666666669</v>
      </c>
      <c r="GY160" s="5">
        <v>281.25833333333333</v>
      </c>
      <c r="GZ160" s="5">
        <v>240.8550698915011</v>
      </c>
      <c r="HA160" s="5">
        <v>229.8919505212948</v>
      </c>
      <c r="HB160" s="39">
        <v>254.96614723549271</v>
      </c>
      <c r="HC160" s="5">
        <v>87.859375</v>
      </c>
      <c r="HD160" s="5">
        <v>103.05546418128652</v>
      </c>
      <c r="HE160" s="5">
        <v>113.73246879217274</v>
      </c>
      <c r="HF160" s="5">
        <v>114.49629934210526</v>
      </c>
      <c r="HG160" s="5">
        <v>122.034100877193</v>
      </c>
      <c r="HH160" s="39">
        <v>106.86665101845686</v>
      </c>
      <c r="HI160" s="16"/>
      <c r="HJ160" s="19" t="str">
        <f t="shared" ref="HJ160" si="384">HJ159</f>
        <v>On</v>
      </c>
      <c r="HK160" s="1" t="str">
        <f t="shared" si="108"/>
        <v>On</v>
      </c>
      <c r="HL160" s="16"/>
      <c r="HM160" s="639">
        <f t="shared" si="261"/>
        <v>1.7699001661282989E-2</v>
      </c>
      <c r="HN160" s="639">
        <f t="shared" si="262"/>
        <v>1.0509929974846072E-3</v>
      </c>
      <c r="HO160" s="639">
        <f t="shared" si="263"/>
        <v>5.7398960259851091E-2</v>
      </c>
      <c r="HP160" s="644">
        <f>(FT160*$GD160-HM160)/$JF160*INDEX(Input!$1:$1048576,$JG$93,$C160*2+6)</f>
        <v>61.038373543040464</v>
      </c>
      <c r="HQ160" s="644">
        <f>(FU160*$GD160-HN160)/$JF160*INDEX(Input!$1:$1048576,$JG$93,$C160*2+6)</f>
        <v>6.6211176598237715</v>
      </c>
      <c r="HR160" s="644">
        <f>(FV160*$GD160-HO160)/$JF160*INDEX(Input!$1:$1048576,$JG$93,$C160*2+6)</f>
        <v>-38.564143670853809</v>
      </c>
      <c r="HS160" s="644">
        <f t="shared" si="264"/>
        <v>-0.25459703557275665</v>
      </c>
      <c r="HT160" s="644">
        <f t="shared" si="265"/>
        <v>14.569982294148776</v>
      </c>
      <c r="HU160" s="644">
        <f t="shared" si="266"/>
        <v>4.4339338835322826</v>
      </c>
      <c r="HV160" s="648">
        <f t="shared" si="267"/>
        <v>0</v>
      </c>
      <c r="HW160" s="648">
        <f t="shared" si="268"/>
        <v>0</v>
      </c>
      <c r="HX160" s="648">
        <f t="shared" si="269"/>
        <v>0</v>
      </c>
      <c r="HY160" s="644">
        <f>INDEX(Input!$1:$1048576,HY$93,$C160*2+6)*INDEX(Input!$1:$1048576,$JG$93,$C160*2+6)</f>
        <v>154.99999999999997</v>
      </c>
      <c r="HZ160" s="644">
        <f>INDEX(Input!$1:$1048576,HZ$93,$C160*2+6)*INDEX(Input!$1:$1048576,$JG$93,$C160*2+6)</f>
        <v>140</v>
      </c>
      <c r="IA160" s="644">
        <f>INDEX(Input!$1:$1048576,IA$93,$C160*2+6)*INDEX(Input!$1:$1048576,$JG$93,$C160*2+6)</f>
        <v>683</v>
      </c>
      <c r="IB160" s="644">
        <f t="shared" si="249"/>
        <v>215.78377650746779</v>
      </c>
      <c r="IC160" s="644">
        <f t="shared" si="172"/>
        <v>161.19109995397255</v>
      </c>
      <c r="ID160" s="644">
        <f>IF(AND(INDEX(Input!$1:$1048576,IA$93,$C160*2+7)="TOS",Y160&lt;=INDEX(Y:Y,MATCH(C160*1000+2,A:A))),0,1)*MAX(IA160+HR160+HU160+HX160,0%)</f>
        <v>648.86979021267848</v>
      </c>
      <c r="IE160" s="128">
        <f t="shared" si="270"/>
        <v>0.2103474176134856</v>
      </c>
      <c r="IF160" s="128">
        <f t="shared" si="174"/>
        <v>0.15713012426780817</v>
      </c>
      <c r="IG160" s="128">
        <f t="shared" si="175"/>
        <v>0.63252245811870622</v>
      </c>
      <c r="IH160" s="21"/>
      <c r="II160" s="19">
        <f t="shared" si="271"/>
        <v>1200</v>
      </c>
      <c r="IJ160" s="19">
        <f t="shared" si="272"/>
        <v>2231.5502763133163</v>
      </c>
      <c r="IK160" s="19">
        <f t="shared" si="273"/>
        <v>4498</v>
      </c>
      <c r="IL160" s="19">
        <f t="shared" si="176"/>
        <v>900</v>
      </c>
      <c r="IM160" s="19">
        <f t="shared" si="177"/>
        <v>731.70757397478792</v>
      </c>
      <c r="IN160" s="19">
        <f t="shared" si="178"/>
        <v>-35.000000000000909</v>
      </c>
      <c r="IO160" s="39">
        <f t="shared" si="274"/>
        <v>0</v>
      </c>
      <c r="IP160" s="39">
        <f t="shared" si="275"/>
        <v>0</v>
      </c>
      <c r="IQ160" s="39">
        <f t="shared" si="276"/>
        <v>0</v>
      </c>
      <c r="IR160" s="39">
        <v>0</v>
      </c>
      <c r="IS160" s="39">
        <v>0</v>
      </c>
      <c r="IT160" s="39">
        <v>0</v>
      </c>
      <c r="IU160" s="39">
        <v>0</v>
      </c>
      <c r="IV160" s="39">
        <v>0</v>
      </c>
      <c r="IW160" s="39">
        <v>0</v>
      </c>
      <c r="IX160" s="39">
        <f>INDEX(Input!$1:$1048576,IX$93,$C160*2+6)+INDEX(Input!$1:$1048576,IX$94,$C160*2+6)</f>
        <v>1600</v>
      </c>
      <c r="IY160" s="39">
        <f>INDEX(Input!$1:$1048576,IY$93,$C160*2+6)+INDEX(Input!$1:$1048576,IY$94,$C160*2+6)</f>
        <v>2503.5492916397525</v>
      </c>
      <c r="IZ160" s="39">
        <f>INDEX(Input!$1:$1048576,IZ$93,$C160*2+6)+INDEX(Input!$1:$1048576,IZ$94,$C160*2+6)</f>
        <v>6273.7109265464023</v>
      </c>
      <c r="JA160" s="19">
        <f t="shared" si="179"/>
        <v>2500</v>
      </c>
      <c r="JB160" s="19">
        <f t="shared" si="180"/>
        <v>3235.2568656145404</v>
      </c>
      <c r="JC160" s="19">
        <f t="shared" si="181"/>
        <v>6238.7109265464014</v>
      </c>
      <c r="JD160" s="19">
        <f t="shared" si="182"/>
        <v>4980.3496281171674</v>
      </c>
      <c r="JE160" s="21"/>
      <c r="JF160" s="1">
        <f t="shared" si="277"/>
        <v>7.6148954918618686E-2</v>
      </c>
      <c r="JG160" s="15">
        <f>INDEX(Input!$1:$1048576,JG$93,$C160*2+6)/(1+VLOOKUP(C160*1000+INDEX(Input!$1:$1048576,JG$93+1,$C160*2+6),$A:$KK,$JK$92,FALSE))</f>
        <v>978</v>
      </c>
      <c r="JH160" s="1">
        <f t="shared" si="251"/>
        <v>2.9749844102260146E-2</v>
      </c>
      <c r="JI160" s="1">
        <f t="shared" si="252"/>
        <v>1.9171082967390903E-2</v>
      </c>
      <c r="JJ160" s="1">
        <f t="shared" si="253"/>
        <v>0</v>
      </c>
      <c r="JK160" s="1">
        <f t="shared" si="254"/>
        <v>4.8920927069651052E-2</v>
      </c>
      <c r="JL160" s="15">
        <f t="shared" si="184"/>
        <v>47.844666674118727</v>
      </c>
      <c r="JM160" s="15">
        <f t="shared" si="185"/>
        <v>1025.8446666741188</v>
      </c>
      <c r="JN160" s="21"/>
      <c r="JO160" s="19">
        <f>INDEX(Input!$1:$1048576,JO$93,$C160*2+6)</f>
        <v>5908.5</v>
      </c>
      <c r="JP160" s="19">
        <f>INDEX(Input!$1:$1048576,JP$93,$C160*2+6)</f>
        <v>4993.2939301234746</v>
      </c>
      <c r="JQ160" s="39">
        <f t="shared" si="186"/>
        <v>928.15037188283259</v>
      </c>
      <c r="JR160" s="39">
        <f t="shared" si="187"/>
        <v>-12.944302006307225</v>
      </c>
      <c r="JS160" s="39">
        <f t="shared" si="188"/>
        <v>5.1090651041764277</v>
      </c>
      <c r="JT160" s="39">
        <f t="shared" si="189"/>
        <v>0.22562364051566924</v>
      </c>
      <c r="JU160" s="385">
        <f>(JQ160*JM160-INDEX(Input!$1:$1048576,Input!A$18,$C160*2+6)*JL160*INDEX(Input!$1:$1048576,Input!A$19,$C160*2+6))/1000000</f>
        <v>0.95213810886760386</v>
      </c>
      <c r="JV160" s="39">
        <f t="shared" si="192"/>
        <v>5.7066572528362114E-2</v>
      </c>
      <c r="JW160" s="1">
        <f t="shared" si="190"/>
        <v>6.3756437571190136E-2</v>
      </c>
      <c r="JX160" s="19">
        <f t="shared" si="191"/>
        <v>4715.7532113755733</v>
      </c>
      <c r="JZ160" s="341"/>
      <c r="KA160" s="342"/>
      <c r="KB160" s="469">
        <f t="shared" si="110"/>
        <v>3.2656316020464753</v>
      </c>
      <c r="KI160" s="473">
        <f t="shared" si="278"/>
        <v>60.78377650746782</v>
      </c>
      <c r="KJ160" s="473">
        <f t="shared" si="279"/>
        <v>21.191099953972554</v>
      </c>
      <c r="KK160" s="473">
        <f t="shared" si="257"/>
        <v>-34.130209787321519</v>
      </c>
      <c r="KN160" s="544">
        <f t="shared" si="258"/>
        <v>1002</v>
      </c>
      <c r="KO160" s="541">
        <f t="shared" si="280"/>
        <v>-3.0492883056032705E-2</v>
      </c>
      <c r="KP160" s="546">
        <f t="shared" si="281"/>
        <v>-70.41312379675972</v>
      </c>
      <c r="KQ160" s="546">
        <f t="shared" si="282"/>
        <v>-374.10427185827302</v>
      </c>
      <c r="KR160" s="548">
        <f t="shared" si="283"/>
        <v>6.2102712052638376</v>
      </c>
      <c r="KS160" s="548">
        <f t="shared" si="284"/>
        <v>1.1688842605714944</v>
      </c>
      <c r="KT160" s="473">
        <f t="shared" si="112"/>
        <v>-82.310573396665475</v>
      </c>
      <c r="KU160" s="663">
        <f t="shared" si="285"/>
        <v>-53.240318030264376</v>
      </c>
      <c r="KV160" s="117"/>
    </row>
    <row r="161" spans="1:308" s="26" customFormat="1" ht="15" outlineLevel="1">
      <c r="A161" s="561">
        <f t="shared" si="168"/>
        <v>1061</v>
      </c>
      <c r="B161" s="561">
        <f t="shared" si="104"/>
        <v>61</v>
      </c>
      <c r="C161" s="561">
        <f t="shared" si="105"/>
        <v>1</v>
      </c>
      <c r="D161" s="561" t="str">
        <f t="shared" si="376"/>
        <v xml:space="preserve">750 CC, 0/0/0.9/3.9, -360 Lease, </v>
      </c>
      <c r="E161" s="475">
        <f>INDEX(Input!$1:$1048576,E$93,$C161*2+MIN($B161,2)+5)
+INDEX(Scenarios!E$121:E$200,MATCH($B161,Scenarios!$B$121:$B$200,0))</f>
        <v>2000</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8.9999999999999993E-3</v>
      </c>
      <c r="W161" s="863">
        <f>IFERROR(MAX(0,INDEX(Input!$1:$1048576,W$93,$C161*2+MIN($B161,2)+5)-0%,),"Market")</f>
        <v>3.9E-2</v>
      </c>
      <c r="X161" s="476" t="str">
        <f>INDEX(Input!$1:$1048576,X$93,$C161*2+MIN($B161,2)+5)</f>
        <v>Y</v>
      </c>
      <c r="Y161" s="475">
        <f>INDEX(Input!$1:$1048576,Y$93,$C161*2+MIN($B161,2)+5)
++INDEX(Scenarios!Y$121:Y$200,MATCH($B161,Scenarios!$B$121:$B$200,0))</f>
        <v>2466</v>
      </c>
      <c r="Z161" s="477">
        <f>INDEX(Input!$1:$1048576,Z$93,$C161*2+MIN($B161,2)+5)
+INDEX(Scenarios!Z$121:Z$200,MATCH($B161,Scenarios!$B$121:$B$200,0))</f>
        <v>0</v>
      </c>
      <c r="AA161" s="475">
        <f>INDEX(Input!$1:$1048576,AA$93,$C161*2+MIN($B161,2)+5)</f>
        <v>0</v>
      </c>
      <c r="AB161" s="476">
        <f>INDEX(Input!$1:$1048576,AB$93,$C161*2+MIN($B161,2)+5)</f>
        <v>1</v>
      </c>
      <c r="AC161" s="475">
        <f>INDEX(Input!$1:$1048576,AC$93,$C161*2+MIN($B161,2)+5)
+INDEX(Scenarios!AC$121:AC$200,MATCH($B161,Scenarios!$B$121:$B$200,0))</f>
        <v>0</v>
      </c>
      <c r="AD161" s="476">
        <f>INDEX(Input!$1:$1048576,AD$93,$C161*2+MIN($B161,2)+5)</f>
        <v>0.35</v>
      </c>
      <c r="AE161" s="475">
        <f>INDEX(Input!$1:$1048576,AE$93,$C161*2+MIN($B161,2)+5)
+INDEX(Scenarios!AE$121:AE$200,MATCH($B161,Scenarios!$B$121:$B$200,0))</f>
        <v>0</v>
      </c>
      <c r="AF161" s="476">
        <f>INDEX(Input!$1:$1048576,AF$93,$C161*2+MIN($B161,2)+5)</f>
        <v>1</v>
      </c>
      <c r="AG161" s="475">
        <f>INDEX(Input!$1:$1048576,AG$93,$C161*2+MIN($B161,2)+5)
+INDEX(Scenarios!AG$121:AG$200,MATCH($B161,Scenarios!$B$121:$B$200,0))</f>
        <v>0</v>
      </c>
      <c r="AH161" s="476">
        <f>INDEX(Input!$1:$1048576,AH$93,$C161*2+MIN($B161,2)+5)</f>
        <v>1</v>
      </c>
      <c r="AI161" s="475">
        <f>INDEX(Input!$1:$1048576,AI$93,$C161*2+MIN($B161,2)+5)
+INDEX(Scenarios!AI$121:AI$200,MATCH($B161,Scenarios!$B$121:$B$200,0))</f>
        <v>0</v>
      </c>
      <c r="AJ161" s="476">
        <f>INDEX(Input!$1:$1048576,AJ$93,$C161*2+MIN($B161,2)+5)</f>
        <v>0.35</v>
      </c>
      <c r="AK161" s="150">
        <f>ROUND(INDEX(Input!$1:$1048576,AK$93,$C160*2+MIN($B161,1)+5)+(Y161-VLOOKUP($C161*1000+1,$A:$HH,Y$92,FALSE)),0)</f>
        <v>5122</v>
      </c>
      <c r="AL161" s="150">
        <f>ROUND(INDEX(Input!$1:$1048576,AL$93,$C160*2+MIN($B161,1)+5)-(Y161-VLOOKUP($C161*1000+1,$A:$HH,Y$92,FALSE))/36,0)</f>
        <v>5612</v>
      </c>
      <c r="AM161" s="32" t="str">
        <f t="shared" si="169"/>
        <v>std/std/std/std</v>
      </c>
      <c r="AN161" s="32" t="str">
        <f t="shared" si="170"/>
        <v>$0 + 0/0/0/0.9/3.9</v>
      </c>
      <c r="AO161" s="32" t="str">
        <f t="shared" si="171"/>
        <v>0/0/0/0.9/3.9</v>
      </c>
      <c r="AP161" s="32" t="str">
        <f t="shared" si="73"/>
        <v>0/0/0.9/3.9</v>
      </c>
      <c r="AQ161" s="536">
        <f t="shared" si="39"/>
        <v>0.22683989225237336</v>
      </c>
      <c r="AR161" s="32"/>
      <c r="AS161" s="302"/>
      <c r="AT161" s="3">
        <f t="shared" si="106"/>
        <v>61</v>
      </c>
      <c r="AU161" s="41" t="s">
        <v>121</v>
      </c>
      <c r="AV161" s="41" t="s">
        <v>116</v>
      </c>
      <c r="AW161" s="41" t="str">
        <f>INDEX(Input!$1:$1048576,AW$93,$C161*2+6)</f>
        <v>Kia</v>
      </c>
      <c r="AX161" s="41" t="str">
        <f>INDEX(Input!$1:$1048576,AX$93,$C161*2+6)</f>
        <v>Kia-LR - L1</v>
      </c>
      <c r="AY161" s="41" t="str">
        <f>IF(LEN(D161)=0,"",INDEX(Input!$1:$1048576,AY$93,$C161*2+6))</f>
        <v>Compact Conventional/Sporty Car (43)</v>
      </c>
      <c r="AZ161" s="41" t="str">
        <f>INDEX(Input!$1:$1048576,AZ$93,$C161*2+6)</f>
        <v>Kia Forte</v>
      </c>
      <c r="BA161" s="3">
        <f>INDEX(Input!$1:$1048576,BA$93,$C161*2+6)</f>
        <v>2020</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19695</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4"/>
        <v>2000</v>
      </c>
      <c r="CJ161" s="16" t="str">
        <f>INDEX(Input!$1:$1048576,CJ$93,$C161*2+6)</f>
        <v>N</v>
      </c>
      <c r="CK161" s="1" t="str">
        <f t="shared" si="75"/>
        <v>Market</v>
      </c>
      <c r="CL161" s="1" t="str">
        <f t="shared" si="76"/>
        <v>Market</v>
      </c>
      <c r="CM161" s="1" t="str">
        <f t="shared" si="77"/>
        <v>Market</v>
      </c>
      <c r="CN161" s="1" t="str">
        <f t="shared" si="78"/>
        <v>Market</v>
      </c>
      <c r="CO161" s="1" t="str">
        <f t="shared" si="79"/>
        <v>Market</v>
      </c>
      <c r="CP161" s="304">
        <f t="shared" si="80"/>
        <v>0</v>
      </c>
      <c r="CQ161" s="1">
        <f t="shared" si="81"/>
        <v>0</v>
      </c>
      <c r="CR161" s="1">
        <f t="shared" si="82"/>
        <v>0</v>
      </c>
      <c r="CS161" s="1">
        <f t="shared" si="83"/>
        <v>0</v>
      </c>
      <c r="CT161" s="1">
        <f t="shared" si="84"/>
        <v>8.9999999999999993E-3</v>
      </c>
      <c r="CU161" s="1">
        <f t="shared" si="85"/>
        <v>3.9E-2</v>
      </c>
      <c r="CV161" s="304">
        <f t="shared" si="86"/>
        <v>2466</v>
      </c>
      <c r="CW161" s="20" t="s">
        <v>122</v>
      </c>
      <c r="CX161" s="20" t="s">
        <v>122</v>
      </c>
      <c r="CY161" s="20" t="s">
        <v>122</v>
      </c>
      <c r="CZ161" s="20" t="s">
        <v>122</v>
      </c>
      <c r="DA161" s="20" t="s">
        <v>122</v>
      </c>
      <c r="DB161" s="503">
        <f t="shared" si="87"/>
        <v>0</v>
      </c>
      <c r="DC161" s="127">
        <v>0</v>
      </c>
      <c r="DD161" s="127">
        <v>0</v>
      </c>
      <c r="DE161" s="127">
        <v>0</v>
      </c>
      <c r="DF161" s="127">
        <v>0</v>
      </c>
      <c r="DG161" s="127">
        <v>0</v>
      </c>
      <c r="DH161" s="127">
        <v>0</v>
      </c>
      <c r="DI161" s="127">
        <v>0</v>
      </c>
      <c r="DJ161" s="127">
        <v>0</v>
      </c>
      <c r="DK161" s="127">
        <v>0</v>
      </c>
      <c r="DL161" s="127">
        <v>0</v>
      </c>
      <c r="DM161" s="304">
        <f>INDEX(Input!$1:$1048576,DM$93,$C161*2+6)</f>
        <v>20731.578947368424</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1.8383158019892466E-2</v>
      </c>
      <c r="DZ161" s="7">
        <v>0</v>
      </c>
      <c r="EA161" s="7">
        <v>0.28400735165868679</v>
      </c>
      <c r="EB161" s="7">
        <v>0</v>
      </c>
      <c r="EC161" s="7">
        <v>0</v>
      </c>
      <c r="ED161" s="7">
        <v>0</v>
      </c>
      <c r="EE161" s="7">
        <v>0</v>
      </c>
      <c r="EF161" s="7">
        <v>0</v>
      </c>
      <c r="EG161" s="7">
        <v>0</v>
      </c>
      <c r="EH161" s="7">
        <v>1.4476869635993293E-2</v>
      </c>
      <c r="EI161" s="7">
        <v>2.6039456772322753E-2</v>
      </c>
      <c r="EJ161" s="7">
        <v>0.20479017957701892</v>
      </c>
      <c r="EK161" s="7">
        <v>0.72317389939610399</v>
      </c>
      <c r="EL161" s="7">
        <v>3.1519594618561166E-2</v>
      </c>
      <c r="EM161" s="7">
        <v>1.9527671710438777E-2</v>
      </c>
      <c r="EN161" s="7">
        <v>5.4991458321761208E-2</v>
      </c>
      <c r="EO161" s="7">
        <v>0.54346350462336068</v>
      </c>
      <c r="EP161" s="7">
        <v>0.30989234739924149</v>
      </c>
      <c r="EQ161" s="7">
        <v>5.3241409624822607E-2</v>
      </c>
      <c r="ER161" s="7">
        <v>3.8411280030814003E-2</v>
      </c>
      <c r="ES161" s="7">
        <v>0.67808181861098193</v>
      </c>
      <c r="ET161" s="7">
        <v>0.69760949032142072</v>
      </c>
      <c r="EU161" s="6">
        <v>2350</v>
      </c>
      <c r="EV161" s="6">
        <v>0</v>
      </c>
      <c r="EW161" s="6">
        <v>2350</v>
      </c>
      <c r="EX161" s="6">
        <v>0</v>
      </c>
      <c r="EY161" s="6">
        <v>2963.2578502881042</v>
      </c>
      <c r="EZ161" s="6">
        <v>4462.9999999999991</v>
      </c>
      <c r="FA161" s="6">
        <v>0</v>
      </c>
      <c r="FB161" s="6">
        <v>0</v>
      </c>
      <c r="FC161" s="6">
        <v>0</v>
      </c>
      <c r="FD161" s="6">
        <v>0</v>
      </c>
      <c r="FE161" s="6">
        <v>0</v>
      </c>
      <c r="FF161" s="6">
        <v>0</v>
      </c>
      <c r="FG161" s="6">
        <v>0</v>
      </c>
      <c r="FH161" s="6">
        <v>1152.1208270377817</v>
      </c>
      <c r="FI161" s="6">
        <v>1531.4299904380618</v>
      </c>
      <c r="FJ161" s="6">
        <v>2070.7205842538215</v>
      </c>
      <c r="FK161" s="6">
        <v>2218.6393698501015</v>
      </c>
      <c r="FL161" s="6">
        <v>893.91433563489352</v>
      </c>
      <c r="FM161" s="6">
        <v>2113.2578502881042</v>
      </c>
      <c r="FN161" s="6">
        <v>0</v>
      </c>
      <c r="FO161" s="6">
        <v>0</v>
      </c>
      <c r="FP161" s="6">
        <v>0</v>
      </c>
      <c r="FQ161" s="6">
        <v>0</v>
      </c>
      <c r="FR161" s="6">
        <v>0</v>
      </c>
      <c r="FS161" s="6">
        <v>0</v>
      </c>
      <c r="FT161" s="7">
        <v>0.30239050967857928</v>
      </c>
      <c r="FU161" s="7">
        <v>1.9527671710438777E-2</v>
      </c>
      <c r="FV161" s="7">
        <v>0.67808181861098193</v>
      </c>
      <c r="FW161" s="6">
        <v>2349.9999999999995</v>
      </c>
      <c r="FX161" s="6">
        <v>2963.2578502881042</v>
      </c>
      <c r="FY161" s="6">
        <v>4462.9999999999991</v>
      </c>
      <c r="FZ161" s="6">
        <v>3077.4375890575293</v>
      </c>
      <c r="GA161" s="6">
        <v>3794.7623806992797</v>
      </c>
      <c r="GB161" s="6">
        <v>15900.23761930072</v>
      </c>
      <c r="GC161" s="7">
        <v>7.0901643973087014E-2</v>
      </c>
      <c r="GD161" s="7">
        <v>7.9170523614359972E-2</v>
      </c>
      <c r="GE161" s="7"/>
      <c r="GF161" s="7"/>
      <c r="GG161" s="7">
        <v>0.11662465322259208</v>
      </c>
      <c r="GH161" s="42">
        <v>3.2020676992941444</v>
      </c>
      <c r="GI161" s="6">
        <v>9945.4755602930545</v>
      </c>
      <c r="GJ161" s="14">
        <v>0.5107463060103955</v>
      </c>
      <c r="GK161" s="14">
        <v>0.50829519786160982</v>
      </c>
      <c r="GL161" s="14">
        <v>0.48925369398960439</v>
      </c>
      <c r="GM161" s="14">
        <v>0.4917048021383903</v>
      </c>
      <c r="GO161" s="5">
        <v>338.16872463277008</v>
      </c>
      <c r="GP161" s="5">
        <v>293.33520778489498</v>
      </c>
      <c r="GQ161" s="5">
        <v>527.27910984145694</v>
      </c>
      <c r="GR161" s="5">
        <v>404.20319246551543</v>
      </c>
      <c r="GS161" s="5">
        <v>334.50205195691484</v>
      </c>
      <c r="GT161" s="5">
        <v>289.18266033348181</v>
      </c>
      <c r="GU161" s="5">
        <v>254.29573314828914</v>
      </c>
      <c r="GV161" s="39" t="s">
        <v>392</v>
      </c>
      <c r="GW161" s="5">
        <v>468.76388888888891</v>
      </c>
      <c r="GX161" s="5">
        <v>351.57291666666669</v>
      </c>
      <c r="GY161" s="5">
        <v>281.25833333333333</v>
      </c>
      <c r="GZ161" s="5">
        <v>240.8550698915011</v>
      </c>
      <c r="HA161" s="5">
        <v>229.8919505212948</v>
      </c>
      <c r="HB161" s="39">
        <v>254.96614723549271</v>
      </c>
      <c r="HC161" s="5">
        <v>87.859375</v>
      </c>
      <c r="HD161" s="5">
        <v>103.05546418128652</v>
      </c>
      <c r="HE161" s="5">
        <v>113.73246879217274</v>
      </c>
      <c r="HF161" s="5">
        <v>114.49629934210526</v>
      </c>
      <c r="HG161" s="5">
        <v>122.034100877193</v>
      </c>
      <c r="HH161" s="39">
        <v>106.86665101845685</v>
      </c>
      <c r="HI161" s="16"/>
      <c r="HJ161" s="19" t="str">
        <f t="shared" ref="HJ161:HK168" si="385">HJ160</f>
        <v>On</v>
      </c>
      <c r="HK161" s="1" t="str">
        <f t="shared" si="108"/>
        <v>On</v>
      </c>
      <c r="HL161" s="16"/>
      <c r="HM161" s="639">
        <f t="shared" si="261"/>
        <v>1.7699001661282989E-2</v>
      </c>
      <c r="HN161" s="639">
        <f t="shared" si="262"/>
        <v>1.0509929974846072E-3</v>
      </c>
      <c r="HO161" s="639">
        <f t="shared" si="263"/>
        <v>5.7398960259851091E-2</v>
      </c>
      <c r="HP161" s="644">
        <f>(FT161*$GD161-HM161)/$JF161*INDEX(Input!$1:$1048576,$JG$93,$C161*2+6)</f>
        <v>80.160026350134601</v>
      </c>
      <c r="HQ161" s="644">
        <f>(FU161*$GD161-HN161)/$JF161*INDEX(Input!$1:$1048576,$JG$93,$C161*2+6)</f>
        <v>6.3577036794260664</v>
      </c>
      <c r="HR161" s="644">
        <f>(FV161*$GD161-HO161)/$JF161*INDEX(Input!$1:$1048576,$JG$93,$C161*2+6)</f>
        <v>-47.710970467421987</v>
      </c>
      <c r="HS161" s="644">
        <f t="shared" si="264"/>
        <v>-0.25459703557275665</v>
      </c>
      <c r="HT161" s="644">
        <f t="shared" si="265"/>
        <v>12.961975143743864</v>
      </c>
      <c r="HU161" s="644">
        <f t="shared" si="266"/>
        <v>6.041941033937194</v>
      </c>
      <c r="HV161" s="648">
        <f t="shared" si="267"/>
        <v>0</v>
      </c>
      <c r="HW161" s="648">
        <f t="shared" si="268"/>
        <v>0</v>
      </c>
      <c r="HX161" s="648">
        <f t="shared" si="269"/>
        <v>0</v>
      </c>
      <c r="HY161" s="644">
        <f>INDEX(Input!$1:$1048576,HY$93,$C161*2+6)*INDEX(Input!$1:$1048576,$JG$93,$C161*2+6)</f>
        <v>154.99999999999997</v>
      </c>
      <c r="HZ161" s="644">
        <f>INDEX(Input!$1:$1048576,HZ$93,$C161*2+6)*INDEX(Input!$1:$1048576,$JG$93,$C161*2+6)</f>
        <v>140</v>
      </c>
      <c r="IA161" s="644">
        <f>INDEX(Input!$1:$1048576,IA$93,$C161*2+6)*INDEX(Input!$1:$1048576,$JG$93,$C161*2+6)</f>
        <v>683</v>
      </c>
      <c r="IB161" s="644">
        <f t="shared" si="249"/>
        <v>234.90542931456162</v>
      </c>
      <c r="IC161" s="644">
        <f t="shared" si="172"/>
        <v>159.31967882316994</v>
      </c>
      <c r="ID161" s="644">
        <f>IF(AND(INDEX(Input!$1:$1048576,IA$93,$C161*2+7)="TOS",Y161&lt;=INDEX(Y:Y,MATCH(C161*1000+2,A:A))),0,1)*MAX(IA161+HR161+HU161+HX161,0%)</f>
        <v>641.33097056651525</v>
      </c>
      <c r="IE161" s="128">
        <f t="shared" si="270"/>
        <v>0.22683989225237336</v>
      </c>
      <c r="IF161" s="128">
        <f t="shared" si="174"/>
        <v>0.15384939753578655</v>
      </c>
      <c r="IG161" s="128">
        <f t="shared" si="175"/>
        <v>0.61931071021184003</v>
      </c>
      <c r="IH161" s="21"/>
      <c r="II161" s="19">
        <f t="shared" si="271"/>
        <v>1200</v>
      </c>
      <c r="IJ161" s="19">
        <f t="shared" si="272"/>
        <v>2231.5502763133163</v>
      </c>
      <c r="IK161" s="19">
        <f t="shared" si="273"/>
        <v>4498</v>
      </c>
      <c r="IL161" s="19">
        <f t="shared" si="176"/>
        <v>1149.9999999999995</v>
      </c>
      <c r="IM161" s="19">
        <f t="shared" si="177"/>
        <v>731.70757397478792</v>
      </c>
      <c r="IN161" s="19">
        <f t="shared" si="178"/>
        <v>-35.000000000000909</v>
      </c>
      <c r="IO161" s="39">
        <f t="shared" si="274"/>
        <v>0</v>
      </c>
      <c r="IP161" s="39">
        <f t="shared" si="275"/>
        <v>0</v>
      </c>
      <c r="IQ161" s="39">
        <f t="shared" si="276"/>
        <v>0</v>
      </c>
      <c r="IR161" s="39">
        <v>0</v>
      </c>
      <c r="IS161" s="39">
        <v>0</v>
      </c>
      <c r="IT161" s="39">
        <v>0</v>
      </c>
      <c r="IU161" s="39">
        <v>0</v>
      </c>
      <c r="IV161" s="39">
        <v>0</v>
      </c>
      <c r="IW161" s="39">
        <v>0</v>
      </c>
      <c r="IX161" s="39">
        <f>INDEX(Input!$1:$1048576,IX$93,$C161*2+6)+INDEX(Input!$1:$1048576,IX$94,$C161*2+6)</f>
        <v>1600</v>
      </c>
      <c r="IY161" s="39">
        <f>INDEX(Input!$1:$1048576,IY$93,$C161*2+6)+INDEX(Input!$1:$1048576,IY$94,$C161*2+6)</f>
        <v>2503.5492916397525</v>
      </c>
      <c r="IZ161" s="39">
        <f>INDEX(Input!$1:$1048576,IZ$93,$C161*2+6)+INDEX(Input!$1:$1048576,IZ$94,$C161*2+6)</f>
        <v>6273.7109265464023</v>
      </c>
      <c r="JA161" s="19">
        <f t="shared" si="179"/>
        <v>2749.9999999999995</v>
      </c>
      <c r="JB161" s="19">
        <f t="shared" si="180"/>
        <v>3235.2568656145404</v>
      </c>
      <c r="JC161" s="19">
        <f t="shared" si="181"/>
        <v>6238.7109265464014</v>
      </c>
      <c r="JD161" s="19">
        <f t="shared" si="182"/>
        <v>4985.2525180681587</v>
      </c>
      <c r="JE161" s="21"/>
      <c r="JF161" s="1">
        <f t="shared" si="277"/>
        <v>7.6148954918618686E-2</v>
      </c>
      <c r="JG161" s="15">
        <f>INDEX(Input!$1:$1048576,JG$93,$C161*2+6)/(1+VLOOKUP(C161*1000+INDEX(Input!$1:$1048576,JG$93+1,$C161*2+6),$A:$KK,$JK$92,FALSE))</f>
        <v>978</v>
      </c>
      <c r="JH161" s="1">
        <f t="shared" si="251"/>
        <v>3.9679713253720529E-2</v>
      </c>
      <c r="JI161" s="1">
        <f t="shared" si="252"/>
        <v>1.9171082967390903E-2</v>
      </c>
      <c r="JJ161" s="1">
        <f t="shared" si="253"/>
        <v>0</v>
      </c>
      <c r="JK161" s="1">
        <f t="shared" si="254"/>
        <v>5.8850796221111432E-2</v>
      </c>
      <c r="JL161" s="15">
        <f t="shared" si="184"/>
        <v>57.556078704246978</v>
      </c>
      <c r="JM161" s="15">
        <f t="shared" si="185"/>
        <v>1035.5560787042471</v>
      </c>
      <c r="JN161" s="21"/>
      <c r="JO161" s="19">
        <f>INDEX(Input!$1:$1048576,JO$93,$C161*2+6)</f>
        <v>5908.5</v>
      </c>
      <c r="JP161" s="19">
        <f>INDEX(Input!$1:$1048576,JP$93,$C161*2+6)</f>
        <v>4993.2939301234746</v>
      </c>
      <c r="JQ161" s="39">
        <f t="shared" si="186"/>
        <v>923.24748193184132</v>
      </c>
      <c r="JR161" s="39">
        <f t="shared" si="187"/>
        <v>-8.0414120553159592</v>
      </c>
      <c r="JS161" s="39">
        <f t="shared" si="188"/>
        <v>5.162508548961136</v>
      </c>
      <c r="JT161" s="39">
        <f t="shared" si="189"/>
        <v>0.27906708530037755</v>
      </c>
      <c r="JU161" s="385">
        <f>(JQ161*JM161-INDEX(Input!$1:$1048576,Input!A$18,$C161*2+6)*JL161*INDEX(Input!$1:$1048576,Input!A$19,$C161*2+6))/1000000</f>
        <v>0.95607454206290787</v>
      </c>
      <c r="JV161" s="39">
        <f t="shared" si="192"/>
        <v>6.1003005723666126E-2</v>
      </c>
      <c r="JW161" s="1">
        <f t="shared" si="190"/>
        <v>6.8154335432408758E-2</v>
      </c>
      <c r="JX161" s="19">
        <f t="shared" si="191"/>
        <v>4848.6118509631124</v>
      </c>
      <c r="JZ161" s="341"/>
      <c r="KA161" s="342"/>
      <c r="KB161" s="469">
        <f t="shared" si="110"/>
        <v>3.2656316020464753</v>
      </c>
      <c r="KI161" s="473">
        <f t="shared" si="278"/>
        <v>79.905429314561701</v>
      </c>
      <c r="KJ161" s="473">
        <f t="shared" si="279"/>
        <v>19.319678823169966</v>
      </c>
      <c r="KK161" s="473">
        <f t="shared" si="257"/>
        <v>-41.669029433484639</v>
      </c>
      <c r="KN161" s="544">
        <f t="shared" si="258"/>
        <v>1002</v>
      </c>
      <c r="KO161" s="541">
        <f t="shared" si="280"/>
        <v>-2.1314804361809103E-2</v>
      </c>
      <c r="KP161" s="546">
        <f t="shared" si="281"/>
        <v>-1.7889260729039052</v>
      </c>
      <c r="KQ161" s="546">
        <f t="shared" si="282"/>
        <v>-369.20138190728176</v>
      </c>
      <c r="KR161" s="548">
        <f t="shared" si="283"/>
        <v>170.86560433844565</v>
      </c>
      <c r="KS161" s="548">
        <f t="shared" si="284"/>
        <v>0.82791113344286038</v>
      </c>
      <c r="KT161" s="473">
        <f t="shared" si="112"/>
        <v>-82.310573396665475</v>
      </c>
      <c r="KU161" s="663">
        <f t="shared" si="285"/>
        <v>-53.65407393034058</v>
      </c>
      <c r="KV161" s="117"/>
    </row>
    <row r="162" spans="1:308" s="26" customFormat="1" ht="15" outlineLevel="1">
      <c r="A162" s="561">
        <f t="shared" ref="A162:A198" si="386">C162*1000+B162</f>
        <v>1062</v>
      </c>
      <c r="B162" s="561">
        <f t="shared" si="104"/>
        <v>62</v>
      </c>
      <c r="C162" s="561">
        <f t="shared" si="105"/>
        <v>1</v>
      </c>
      <c r="D162" s="561" t="str">
        <f t="shared" si="376"/>
        <v xml:space="preserve">1000 CC, 0/0/0.9/3.9, -360 Lease, </v>
      </c>
      <c r="E162" s="475">
        <f>INDEX(Input!$1:$1048576,E$93,$C162*2+MIN($B162,2)+5)
+INDEX(Scenarios!E$121:E$200,MATCH($B162,Scenarios!$B$121:$B$200,0))</f>
        <v>2250</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8.9999999999999993E-3</v>
      </c>
      <c r="W162" s="863">
        <f>IFERROR(MAX(0,INDEX(Input!$1:$1048576,W$93,$C162*2+MIN($B162,2)+5)-0%,),"Market")</f>
        <v>3.9E-2</v>
      </c>
      <c r="X162" s="476" t="str">
        <f>INDEX(Input!$1:$1048576,X$93,$C162*2+MIN($B162,2)+5)</f>
        <v>Y</v>
      </c>
      <c r="Y162" s="475">
        <f>INDEX(Input!$1:$1048576,Y$93,$C162*2+MIN($B162,2)+5)
++INDEX(Scenarios!Y$121:Y$200,MATCH($B162,Scenarios!$B$121:$B$200,0))</f>
        <v>2466</v>
      </c>
      <c r="Z162" s="477">
        <f>INDEX(Input!$1:$1048576,Z$93,$C162*2+MIN($B162,2)+5)
+INDEX(Scenarios!Z$121:Z$200,MATCH($B162,Scenarios!$B$121:$B$200,0))</f>
        <v>0</v>
      </c>
      <c r="AA162" s="475">
        <f>INDEX(Input!$1:$1048576,AA$93,$C162*2+MIN($B162,2)+5)</f>
        <v>0</v>
      </c>
      <c r="AB162" s="476">
        <f>INDEX(Input!$1:$1048576,AB$93,$C162*2+MIN($B162,2)+5)</f>
        <v>1</v>
      </c>
      <c r="AC162" s="475">
        <f>INDEX(Input!$1:$1048576,AC$93,$C162*2+MIN($B162,2)+5)
+INDEX(Scenarios!AC$121:AC$200,MATCH($B162,Scenarios!$B$121:$B$200,0))</f>
        <v>0</v>
      </c>
      <c r="AD162" s="476">
        <f>INDEX(Input!$1:$1048576,AD$93,$C162*2+MIN($B162,2)+5)</f>
        <v>0.35</v>
      </c>
      <c r="AE162" s="475">
        <f>INDEX(Input!$1:$1048576,AE$93,$C162*2+MIN($B162,2)+5)
+INDEX(Scenarios!AE$121:AE$200,MATCH($B162,Scenarios!$B$121:$B$200,0))</f>
        <v>0</v>
      </c>
      <c r="AF162" s="476">
        <f>INDEX(Input!$1:$1048576,AF$93,$C162*2+MIN($B162,2)+5)</f>
        <v>1</v>
      </c>
      <c r="AG162" s="475">
        <f>INDEX(Input!$1:$1048576,AG$93,$C162*2+MIN($B162,2)+5)
+INDEX(Scenarios!AG$121:AG$200,MATCH($B162,Scenarios!$B$121:$B$200,0))</f>
        <v>0</v>
      </c>
      <c r="AH162" s="476">
        <f>INDEX(Input!$1:$1048576,AH$93,$C162*2+MIN($B162,2)+5)</f>
        <v>1</v>
      </c>
      <c r="AI162" s="475">
        <f>INDEX(Input!$1:$1048576,AI$93,$C162*2+MIN($B162,2)+5)
+INDEX(Scenarios!AI$121:AI$200,MATCH($B162,Scenarios!$B$121:$B$200,0))</f>
        <v>0</v>
      </c>
      <c r="AJ162" s="476">
        <f>INDEX(Input!$1:$1048576,AJ$93,$C162*2+MIN($B162,2)+5)</f>
        <v>0.35</v>
      </c>
      <c r="AK162" s="150">
        <f>ROUND(INDEX(Input!$1:$1048576,AK$93,$C161*2+MIN($B162,1)+5)+(Y162-VLOOKUP($C162*1000+1,$A:$HH,Y$92,FALSE)),0)</f>
        <v>5122</v>
      </c>
      <c r="AL162" s="150">
        <f>ROUND(INDEX(Input!$1:$1048576,AL$93,$C161*2+MIN($B162,1)+5)-(Y162-VLOOKUP($C162*1000+1,$A:$HH,Y$92,FALSE))/36,0)</f>
        <v>5612</v>
      </c>
      <c r="AM162" s="32" t="str">
        <f t="shared" ref="AM162:AM198" si="387">IF(K162="market","std",ROUND(K162*1000,0)/10)&amp;"/"&amp;IF(L162="market","std",ROUND(L162*1000,0)/10)&amp;"/"&amp;IF(M162="market","std",ROUND(M162*1000,0)/10)&amp;"/"&amp;IF(N162="market","std",ROUND(N162*1000,0)/10)&amp;IF(P162="N","","/"&amp;IF(O162="market","std",ROUND(O162*1000,0)/10))</f>
        <v>std/std/std/std</v>
      </c>
      <c r="AN162" s="32" t="str">
        <f t="shared" ref="AN162:AN198" si="388">"$"&amp;ROUND(Q162,0)&amp;" + "&amp;IF(S162="market","std",ROUND(S162*1000,0)/10)&amp;"/"&amp;IF(T162="market","std",ROUND(T162*1000,0)/10)&amp;"/"&amp;IF(U162="market","std",ROUND(U162*1000,0)/10)&amp;"/"&amp;IF(V162="market","std",ROUND(V162*1000,0)/10)&amp;IF(X162="N","","/"&amp;IF(W162="market","std",ROUND(W162*1000,0)/10))</f>
        <v>$0 + 0/0/0/0.9/3.9</v>
      </c>
      <c r="AO162" s="32" t="str">
        <f t="shared" ref="AO162:AO198" si="389">IF(S162="market","std",ROUND(S162*1000,0)/10)&amp;"/"&amp;IF(T162="market","std",ROUND(T162*1000,0)/10)&amp;"/"&amp;IF(U162="market","std",ROUND(U162*1000,0)/10)&amp;"/"&amp;IF(V162="market","std",ROUND(V162*1000,0)/10)&amp;IF(X162="N","","/"&amp;IF(W162="market","std",ROUND(W162*1000,0)/10))</f>
        <v>0/0/0/0.9/3.9</v>
      </c>
      <c r="AP162" s="32" t="str">
        <f t="shared" si="73"/>
        <v>0/0/0.9/3.9</v>
      </c>
      <c r="AQ162" s="536">
        <f t="shared" si="39"/>
        <v>0.24385334820611695</v>
      </c>
      <c r="AR162" s="32"/>
      <c r="AS162" s="302"/>
      <c r="AT162" s="3">
        <f t="shared" si="106"/>
        <v>62</v>
      </c>
      <c r="AU162" s="41" t="s">
        <v>121</v>
      </c>
      <c r="AV162" s="41" t="s">
        <v>116</v>
      </c>
      <c r="AW162" s="41" t="str">
        <f>INDEX(Input!$1:$1048576,AW$93,$C162*2+6)</f>
        <v>Kia</v>
      </c>
      <c r="AX162" s="41" t="str">
        <f>INDEX(Input!$1:$1048576,AX$93,$C162*2+6)</f>
        <v>Kia-LR - L1</v>
      </c>
      <c r="AY162" s="41" t="str">
        <f>IF(LEN(D162)=0,"",INDEX(Input!$1:$1048576,AY$93,$C162*2+6))</f>
        <v>Compact Conventional/Sporty Car (43)</v>
      </c>
      <c r="AZ162" s="41" t="str">
        <f>INDEX(Input!$1:$1048576,AZ$93,$C162*2+6)</f>
        <v>Kia Forte</v>
      </c>
      <c r="BA162" s="3">
        <f>INDEX(Input!$1:$1048576,BA$93,$C162*2+6)</f>
        <v>2020</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19695</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4"/>
        <v>2250</v>
      </c>
      <c r="CJ162" s="16" t="str">
        <f>INDEX(Input!$1:$1048576,CJ$93,$C162*2+6)</f>
        <v>N</v>
      </c>
      <c r="CK162" s="1" t="str">
        <f t="shared" si="75"/>
        <v>Market</v>
      </c>
      <c r="CL162" s="1" t="str">
        <f t="shared" si="76"/>
        <v>Market</v>
      </c>
      <c r="CM162" s="1" t="str">
        <f t="shared" si="77"/>
        <v>Market</v>
      </c>
      <c r="CN162" s="1" t="str">
        <f t="shared" si="78"/>
        <v>Market</v>
      </c>
      <c r="CO162" s="1" t="str">
        <f t="shared" si="79"/>
        <v>Market</v>
      </c>
      <c r="CP162" s="304">
        <f t="shared" si="80"/>
        <v>0</v>
      </c>
      <c r="CQ162" s="1">
        <f t="shared" si="81"/>
        <v>0</v>
      </c>
      <c r="CR162" s="1">
        <f t="shared" si="82"/>
        <v>0</v>
      </c>
      <c r="CS162" s="1">
        <f t="shared" si="83"/>
        <v>0</v>
      </c>
      <c r="CT162" s="1">
        <f t="shared" si="84"/>
        <v>8.9999999999999993E-3</v>
      </c>
      <c r="CU162" s="1">
        <f t="shared" si="85"/>
        <v>3.9E-2</v>
      </c>
      <c r="CV162" s="304">
        <f t="shared" si="86"/>
        <v>2466</v>
      </c>
      <c r="CW162" s="20" t="s">
        <v>122</v>
      </c>
      <c r="CX162" s="20" t="s">
        <v>122</v>
      </c>
      <c r="CY162" s="20" t="s">
        <v>122</v>
      </c>
      <c r="CZ162" s="20" t="s">
        <v>122</v>
      </c>
      <c r="DA162" s="20" t="s">
        <v>122</v>
      </c>
      <c r="DB162" s="503">
        <f t="shared" si="87"/>
        <v>0</v>
      </c>
      <c r="DC162" s="127">
        <v>0</v>
      </c>
      <c r="DD162" s="127">
        <v>0</v>
      </c>
      <c r="DE162" s="127">
        <v>0</v>
      </c>
      <c r="DF162" s="127">
        <v>0</v>
      </c>
      <c r="DG162" s="127">
        <v>0</v>
      </c>
      <c r="DH162" s="127">
        <v>0</v>
      </c>
      <c r="DI162" s="127">
        <v>0</v>
      </c>
      <c r="DJ162" s="127">
        <v>0</v>
      </c>
      <c r="DK162" s="127">
        <v>0</v>
      </c>
      <c r="DL162" s="127">
        <v>0</v>
      </c>
      <c r="DM162" s="304">
        <f>INDEX(Input!$1:$1048576,DM$93,$C162*2+6)</f>
        <v>20731.578947368424</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1.9468275811063855E-2</v>
      </c>
      <c r="DZ162" s="7">
        <v>0</v>
      </c>
      <c r="EA162" s="7">
        <v>0.2994859447900366</v>
      </c>
      <c r="EB162" s="7">
        <v>0</v>
      </c>
      <c r="EC162" s="7">
        <v>0</v>
      </c>
      <c r="ED162" s="7">
        <v>0</v>
      </c>
      <c r="EE162" s="7">
        <v>0</v>
      </c>
      <c r="EF162" s="7">
        <v>0</v>
      </c>
      <c r="EG162" s="7">
        <v>0</v>
      </c>
      <c r="EH162" s="7">
        <v>1.4476869635993291E-2</v>
      </c>
      <c r="EI162" s="7">
        <v>2.6039456772322743E-2</v>
      </c>
      <c r="EJ162" s="7">
        <v>0.20479017957701889</v>
      </c>
      <c r="EK162" s="7">
        <v>0.72317389939610399</v>
      </c>
      <c r="EL162" s="7">
        <v>3.1519594618561159E-2</v>
      </c>
      <c r="EM162" s="7">
        <v>1.9064015877642455E-2</v>
      </c>
      <c r="EN162" s="7">
        <v>5.4991458321761208E-2</v>
      </c>
      <c r="EO162" s="7">
        <v>0.54346350462336068</v>
      </c>
      <c r="EP162" s="7">
        <v>0.30989234739924149</v>
      </c>
      <c r="EQ162" s="7">
        <v>5.3241409624822607E-2</v>
      </c>
      <c r="ER162" s="7">
        <v>3.8411280030814003E-2</v>
      </c>
      <c r="ES162" s="7">
        <v>0.66198176352125715</v>
      </c>
      <c r="ET162" s="7">
        <v>0.68104577939889954</v>
      </c>
      <c r="EU162" s="6">
        <v>2600</v>
      </c>
      <c r="EV162" s="6">
        <v>0</v>
      </c>
      <c r="EW162" s="6">
        <v>2600</v>
      </c>
      <c r="EX162" s="6">
        <v>0</v>
      </c>
      <c r="EY162" s="6">
        <v>2963.2578502881047</v>
      </c>
      <c r="EZ162" s="6">
        <v>4462.9999999999991</v>
      </c>
      <c r="FA162" s="6">
        <v>0</v>
      </c>
      <c r="FB162" s="6">
        <v>0</v>
      </c>
      <c r="FC162" s="6">
        <v>0</v>
      </c>
      <c r="FD162" s="6">
        <v>0</v>
      </c>
      <c r="FE162" s="6">
        <v>0</v>
      </c>
      <c r="FF162" s="6">
        <v>0</v>
      </c>
      <c r="FG162" s="6">
        <v>0</v>
      </c>
      <c r="FH162" s="6">
        <v>1152.120827037782</v>
      </c>
      <c r="FI162" s="6">
        <v>1531.4299904380621</v>
      </c>
      <c r="FJ162" s="6">
        <v>2070.7205842538224</v>
      </c>
      <c r="FK162" s="6">
        <v>2218.639369850102</v>
      </c>
      <c r="FL162" s="6">
        <v>893.91433563489375</v>
      </c>
      <c r="FM162" s="6">
        <v>2113.2578502881047</v>
      </c>
      <c r="FN162" s="6">
        <v>0</v>
      </c>
      <c r="FO162" s="6">
        <v>0</v>
      </c>
      <c r="FP162" s="6">
        <v>0</v>
      </c>
      <c r="FQ162" s="6">
        <v>0</v>
      </c>
      <c r="FR162" s="6">
        <v>0</v>
      </c>
      <c r="FS162" s="6">
        <v>0</v>
      </c>
      <c r="FT162" s="7">
        <v>0.31895422060110046</v>
      </c>
      <c r="FU162" s="7">
        <v>1.9064015877642455E-2</v>
      </c>
      <c r="FV162" s="7">
        <v>0.66198176352125715</v>
      </c>
      <c r="FW162" s="6">
        <v>2600</v>
      </c>
      <c r="FX162" s="6">
        <v>2963.2578502881047</v>
      </c>
      <c r="FY162" s="6">
        <v>4462.9999999999991</v>
      </c>
      <c r="FZ162" s="6">
        <v>3077.4375890575293</v>
      </c>
      <c r="GA162" s="6">
        <v>3840.1971788656724</v>
      </c>
      <c r="GB162" s="6">
        <v>15854.802821134328</v>
      </c>
      <c r="GC162" s="7">
        <v>7.0901643973087014E-2</v>
      </c>
      <c r="GD162" s="7">
        <v>7.9975358183156556E-2</v>
      </c>
      <c r="GE162" s="7"/>
      <c r="GF162" s="7"/>
      <c r="GG162" s="7">
        <v>0.12797607645760314</v>
      </c>
      <c r="GH162" s="42">
        <v>3.304434135618632</v>
      </c>
      <c r="GI162" s="6">
        <v>9800.3704465688406</v>
      </c>
      <c r="GJ162" s="14">
        <v>0.5107463060103955</v>
      </c>
      <c r="GK162" s="14">
        <v>0.50829519786160959</v>
      </c>
      <c r="GL162" s="14">
        <v>0.48925369398960422</v>
      </c>
      <c r="GM162" s="14">
        <v>0.49170480213839024</v>
      </c>
      <c r="GO162" s="5">
        <v>338.16872463277008</v>
      </c>
      <c r="GP162" s="5">
        <v>288.56568471597211</v>
      </c>
      <c r="GQ162" s="5">
        <v>527.27910984145694</v>
      </c>
      <c r="GR162" s="5">
        <v>404.20319246551543</v>
      </c>
      <c r="GS162" s="5">
        <v>334.50205195691484</v>
      </c>
      <c r="GT162" s="5">
        <v>289.18266033348181</v>
      </c>
      <c r="GU162" s="5">
        <v>254.29573314828914</v>
      </c>
      <c r="GV162" s="39" t="s">
        <v>392</v>
      </c>
      <c r="GW162" s="5">
        <v>468.76388888888891</v>
      </c>
      <c r="GX162" s="5">
        <v>351.57291666666669</v>
      </c>
      <c r="GY162" s="5">
        <v>281.25833333333333</v>
      </c>
      <c r="GZ162" s="5">
        <v>240.8550698915011</v>
      </c>
      <c r="HA162" s="5">
        <v>229.8919505212948</v>
      </c>
      <c r="HB162" s="39">
        <v>254.96614723549271</v>
      </c>
      <c r="HC162" s="5">
        <v>87.859375</v>
      </c>
      <c r="HD162" s="5">
        <v>103.05546418128652</v>
      </c>
      <c r="HE162" s="5">
        <v>113.73246879217274</v>
      </c>
      <c r="HF162" s="5">
        <v>114.49629934210526</v>
      </c>
      <c r="HG162" s="5">
        <v>122.034100877193</v>
      </c>
      <c r="HH162" s="39">
        <v>106.86665101845685</v>
      </c>
      <c r="HI162" s="16"/>
      <c r="HJ162" s="19" t="str">
        <f t="shared" si="385"/>
        <v>On</v>
      </c>
      <c r="HK162" s="1" t="str">
        <f t="shared" si="108"/>
        <v>On</v>
      </c>
      <c r="HL162" s="16"/>
      <c r="HM162" s="639">
        <f t="shared" ref="HM162" si="390">VLOOKUP($C162*1000+1,$A:$HH,FT$92,FALSE)*$JF162</f>
        <v>1.7699001661282989E-2</v>
      </c>
      <c r="HN162" s="639">
        <f t="shared" ref="HN162" si="391">VLOOKUP($C162*1000+1,$A:$HH,FU$92,FALSE)*$JF162</f>
        <v>1.0509929974846072E-3</v>
      </c>
      <c r="HO162" s="639">
        <f t="shared" ref="HO162" si="392">VLOOKUP($C162*1000+1,$A:$HH,FV$92,FALSE)*$JF162</f>
        <v>5.7398960259851091E-2</v>
      </c>
      <c r="HP162" s="644">
        <f>(FT162*$GD162-HM162)/$JF162*INDEX(Input!$1:$1048576,$JG$93,$C162*2+6)</f>
        <v>100.29905076471491</v>
      </c>
      <c r="HQ162" s="644">
        <f>(FU162*$GD162-HN162)/$JF162*INDEX(Input!$1:$1048576,$JG$93,$C162*2+6)</f>
        <v>6.0833141337006769</v>
      </c>
      <c r="HR162" s="644">
        <f>(FV162*$GD162-HO162)/$JF162*INDEX(Input!$1:$1048576,$JG$93,$C162*2+6)</f>
        <v>-57.23891445031159</v>
      </c>
      <c r="HS162" s="644">
        <f t="shared" ref="HS162" si="393">IF(AND(HJ162="On",HK162="On"),IL162/1000*INDEX(KG:KG,MATCH(C162*1000+3,$KF:$KF,0))*SUM(HY162:IA162)*1.1
+INDEX(HR:HR,MATCH(C162*1000+4,$KF:$KF,0))/INDEX(IM:IM,MATCH(C162*1000+4,$KF:$KF,0))*IM162*20%,0)</f>
        <v>-0.25459703557275681</v>
      </c>
      <c r="HT162" s="644">
        <f t="shared" ref="HT162" si="394">IF(AND(HJ162="On",HK162="On"),IM162/1000*INDEX(KG:KG,MATCH(C162*1000+4,$KF:$KF,0))*SUM(HY162:IA162)*1.1
+INDEX(HR:HR,MATCH(C162*1000+3,$KF:$KF,0))/INDEX(IL:IL,MATCH(C162*1000+3,$KF:$KF,0))*IL162*20%,0)</f>
        <v>11.35396799333896</v>
      </c>
      <c r="HU162" s="644">
        <f t="shared" ref="HU162" si="395">IF(HJ162="On",IN162/1000*INDEX(KG:KG,MATCH(C162*1000+5,$KF:$KF,0))*SUM(HY162:IA162)*1.1
-INDEX(HR:HR,MATCH(C162*1000+3,$KF:$KF,0))/INDEX(IL:IL,MATCH(C162*1000+3,$KF:$KF,0))*IL162*20%
-INDEX(HR:HR,MATCH(C162*1000+4,$KF:$KF,0))/INDEX(IM:IM,MATCH(C162*1000+4,$KF:$KF,0))*IM162*20%,0)</f>
        <v>7.6499481843421115</v>
      </c>
      <c r="HV162" s="648">
        <f t="shared" ref="HV162" si="396">IL162/1000*0+IM162/1000*0+IN162/1000*0
+(CP162-INDEX(CP:CP,MATCH(C162*1000+1,A:A,0)))/1000*0+IF(FU162&gt;0,0,0)</f>
        <v>0</v>
      </c>
      <c r="HW162" s="648">
        <f t="shared" ref="HW162" si="397">IL162/1000*0+IM162/1000*0+IN162/1000*0
+(CP162-INDEX(CP:CP,MATCH(C162*1000+1,A:A,0)))/1000*0+IF(FU162&gt;0,0,0)</f>
        <v>0</v>
      </c>
      <c r="HX162" s="648">
        <f t="shared" ref="HX162" si="398">IL162/1000*0+IM162/1000*0+IN162/1000*0
+(CP162-INDEX(CP:CP,MATCH(C162*1000+1,A:A,0)))/1000*0+IF(FU162&gt;0,0,0)</f>
        <v>0</v>
      </c>
      <c r="HY162" s="644">
        <f>INDEX(Input!$1:$1048576,HY$93,$C162*2+6)*INDEX(Input!$1:$1048576,$JG$93,$C162*2+6)</f>
        <v>154.99999999999997</v>
      </c>
      <c r="HZ162" s="644">
        <f>INDEX(Input!$1:$1048576,HZ$93,$C162*2+6)*INDEX(Input!$1:$1048576,$JG$93,$C162*2+6)</f>
        <v>140</v>
      </c>
      <c r="IA162" s="644">
        <f>INDEX(Input!$1:$1048576,IA$93,$C162*2+6)*INDEX(Input!$1:$1048576,$JG$93,$C162*2+6)</f>
        <v>683</v>
      </c>
      <c r="IB162" s="644">
        <f t="shared" ref="IB162" si="399">SUM(HP162:IA162)-IC162-ID162</f>
        <v>255.04445372914211</v>
      </c>
      <c r="IC162" s="644">
        <f t="shared" ref="IC162" si="400">MAX(HZ162+HQ162+HT162+HW162,0%)</f>
        <v>157.43728212703962</v>
      </c>
      <c r="ID162" s="644">
        <f>IF(AND(INDEX(Input!$1:$1048576,IA$93,$C162*2+7)="TOS",Y162&lt;=INDEX(Y:Y,MATCH(C162*1000+2,A:A))),0,1)*MAX(IA162+HR162+HU162+HX162,0%)</f>
        <v>633.41103373403053</v>
      </c>
      <c r="IE162" s="128">
        <f t="shared" ref="IE162" si="401">IB162/SUM($IB162:$ID162)</f>
        <v>0.24385334820611695</v>
      </c>
      <c r="IF162" s="128">
        <f t="shared" ref="IF162" si="402">IC162/SUM($IB162:$ID162)</f>
        <v>0.15052908549002073</v>
      </c>
      <c r="IG162" s="128">
        <f t="shared" ref="IG162" si="403">ID162/SUM($IB162:$ID162)</f>
        <v>0.60561756630386221</v>
      </c>
      <c r="IH162" s="21"/>
      <c r="II162" s="19">
        <f t="shared" ref="II162" si="404">VLOOKUP($C162*1000+1,$A:$HH,FW$92,FALSE)-VLOOKUP($C162*1000+1,$A:$HH,FA$92,FALSE)*VLOOKUP($C162*1000+1,$A:$HH,DZ$92,FALSE)/VLOOKUP($C162*1000+1,$A:$HH,FT$92,FALSE)</f>
        <v>1200</v>
      </c>
      <c r="IJ162" s="19">
        <f t="shared" ref="IJ162" si="405">VLOOKUP($C162*1000+1,$A:$HH,FX$92,FALSE)</f>
        <v>2231.5502763133163</v>
      </c>
      <c r="IK162" s="19">
        <f t="shared" ref="IK162" si="406">VLOOKUP($C162*1000+1,$A:$HH,FY$92,FALSE)</f>
        <v>4498</v>
      </c>
      <c r="IL162" s="19">
        <f t="shared" ref="IL162" si="407">(FW162-FA162*DZ162/FT162)-II162</f>
        <v>1400</v>
      </c>
      <c r="IM162" s="19">
        <f t="shared" ref="IM162" si="408">FX162-IJ162</f>
        <v>731.70757397478837</v>
      </c>
      <c r="IN162" s="19">
        <f t="shared" ref="IN162" si="409">FY162-IK162</f>
        <v>-35.000000000000909</v>
      </c>
      <c r="IO162" s="39">
        <f t="shared" ref="IO162" si="410">(F162-VLOOKUP($C162*1000+1,$A:$HH,F$92,FALSE))*(1-$I162)</f>
        <v>0</v>
      </c>
      <c r="IP162" s="39">
        <f t="shared" ref="IP162" si="411">(G162-VLOOKUP($C162*1000+1,$A:$HH,G$92,FALSE))*(1-$I162)</f>
        <v>0</v>
      </c>
      <c r="IQ162" s="39">
        <f t="shared" ref="IQ162" si="412">(H162-VLOOKUP($C162*1000+1,$A:$HH,H$92,FALSE))*(1-$I162)</f>
        <v>0</v>
      </c>
      <c r="IR162" s="39">
        <v>0</v>
      </c>
      <c r="IS162" s="39">
        <v>0</v>
      </c>
      <c r="IT162" s="39">
        <v>0</v>
      </c>
      <c r="IU162" s="39">
        <v>0</v>
      </c>
      <c r="IV162" s="39">
        <v>0</v>
      </c>
      <c r="IW162" s="39">
        <v>0</v>
      </c>
      <c r="IX162" s="39">
        <f>INDEX(Input!$1:$1048576,IX$93,$C162*2+6)+INDEX(Input!$1:$1048576,IX$94,$C162*2+6)</f>
        <v>1600</v>
      </c>
      <c r="IY162" s="39">
        <f>INDEX(Input!$1:$1048576,IY$93,$C162*2+6)+INDEX(Input!$1:$1048576,IY$94,$C162*2+6)</f>
        <v>2503.5492916397525</v>
      </c>
      <c r="IZ162" s="39">
        <f>INDEX(Input!$1:$1048576,IZ$93,$C162*2+6)+INDEX(Input!$1:$1048576,IZ$94,$C162*2+6)</f>
        <v>6273.7109265464023</v>
      </c>
      <c r="JA162" s="19">
        <f t="shared" ref="JA162" si="413">(IL162+IO162+IR162+IU162+IX162)</f>
        <v>3000</v>
      </c>
      <c r="JB162" s="19">
        <f t="shared" ref="JB162" si="414">(IM162+IP162+IS162+IV162+IY162)</f>
        <v>3235.2568656145409</v>
      </c>
      <c r="JC162" s="19">
        <f t="shared" ref="JC162" si="415">(IN162+IQ162+IT162+IW162+IZ162)</f>
        <v>6238.7109265464014</v>
      </c>
      <c r="JD162" s="19">
        <f t="shared" ref="JD162" si="416">SUMPRODUCT(IE162:IG162,JA162:JC162)</f>
        <v>4996.8332301329638</v>
      </c>
      <c r="JE162" s="21"/>
      <c r="JF162" s="1">
        <f t="shared" ref="JF162" si="417">VLOOKUP($C162*1000+1,$A:$HH,GD$92,FALSE)</f>
        <v>7.6148954918618686E-2</v>
      </c>
      <c r="JG162" s="15">
        <f>INDEX(Input!$1:$1048576,JG$93,$C162*2+6)/(1+VLOOKUP(C162*1000+INDEX(Input!$1:$1048576,JG$93+1,$C162*2+6),$A:$KK,$JK$92,FALSE))</f>
        <v>978</v>
      </c>
      <c r="JH162" s="1">
        <f t="shared" ref="JH162" si="418">SUM(HP162:HR162)/SUM(HY162:IA162)</f>
        <v>5.0248926838552144E-2</v>
      </c>
      <c r="JI162" s="1">
        <f t="shared" ref="JI162" si="419">SUM(HS162:HU162)/SUM(HY162:IA162)</f>
        <v>1.9171082967390913E-2</v>
      </c>
      <c r="JJ162" s="1">
        <f t="shared" ref="JJ162" si="420">SUM(HV162:HX162)/SUM(HY162:IA162)</f>
        <v>0</v>
      </c>
      <c r="JK162" s="1">
        <f t="shared" ref="JK162" si="421">SUM(JH162:JJ162)</f>
        <v>6.9420009805943053E-2</v>
      </c>
      <c r="JL162" s="15">
        <f t="shared" ref="JL162" si="422">JG162*JK162</f>
        <v>67.892769590212311</v>
      </c>
      <c r="JM162" s="15">
        <f t="shared" ref="JM162" si="423">JG162+JL162</f>
        <v>1045.8927695902123</v>
      </c>
      <c r="JN162" s="21"/>
      <c r="JO162" s="19">
        <f>INDEX(Input!$1:$1048576,JO$93,$C162*2+6)</f>
        <v>5908.5</v>
      </c>
      <c r="JP162" s="19">
        <f>INDEX(Input!$1:$1048576,JP$93,$C162*2+6)</f>
        <v>4993.2939301234746</v>
      </c>
      <c r="JQ162" s="39">
        <f t="shared" ref="JQ162" si="424">JO162-JD162</f>
        <v>911.66676986703624</v>
      </c>
      <c r="JR162" s="39">
        <f t="shared" ref="JR162" si="425">JD162-JP162</f>
        <v>3.5393000094891249</v>
      </c>
      <c r="JS162" s="39">
        <f t="shared" ref="JS162" si="426">JM162*JD162/1000000</f>
        <v>5.2261517462441729</v>
      </c>
      <c r="JT162" s="39">
        <f t="shared" ref="JT162" si="427">(JD162*JM162-JP162*JG162)/1000000</f>
        <v>0.34271028258341457</v>
      </c>
      <c r="JU162" s="385">
        <f>(JQ162*JM162-INDEX(Input!$1:$1048576,Input!A$18,$C162*2+6)*JL162*INDEX(Input!$1:$1048576,Input!A$19,$C162*2+6))/1000000</f>
        <v>0.95350568287959725</v>
      </c>
      <c r="JV162" s="39">
        <f t="shared" ref="JV162" si="428">JU162-(JO162-JP162)*JG162/1000000</f>
        <v>5.8434146540355503E-2</v>
      </c>
      <c r="JW162" s="1">
        <f t="shared" ref="JW162" si="429">JV162/(JU162-JV162)</f>
        <v>6.5284331104244087E-2</v>
      </c>
      <c r="JX162" s="19">
        <f t="shared" ref="JX162" si="430">IF(JL162=0,0,JT162/JL162)*1000000</f>
        <v>5047.8170893888682</v>
      </c>
      <c r="JZ162" s="341"/>
      <c r="KA162" s="342"/>
      <c r="KB162" s="469">
        <f t="shared" si="110"/>
        <v>3.2656316020464753</v>
      </c>
      <c r="KI162" s="473">
        <f t="shared" ref="KI162" si="431">$JM162*IE162-$JG162*HY162/SUM($HY162:$IA162)</f>
        <v>100.04445372914213</v>
      </c>
      <c r="KJ162" s="473">
        <f t="shared" ref="KJ162" si="432">$JM162*IF162-$JG162*HZ162/SUM($HY162:$IA162)</f>
        <v>17.437282127039623</v>
      </c>
      <c r="KK162" s="473">
        <f t="shared" ref="KK162" si="433">$JM162*IG162-$JG162*IA162/SUM($HY162:$IA162)</f>
        <v>-49.588966265969475</v>
      </c>
      <c r="KN162" s="544">
        <f t="shared" ref="KN162" si="434">KM162+(KN161-KM161)</f>
        <v>1002</v>
      </c>
      <c r="KO162" s="541">
        <f t="shared" ref="KO162" si="435">JM162/INDEX(JM:JM,MATCH(KN162,A:A,0))-1</f>
        <v>-1.1545786005371483E-2</v>
      </c>
      <c r="KP162" s="546">
        <f t="shared" ref="KP162" si="436">(IL162-INDEX(IL:IL,MATCH(KN162,A:A,0)))*IE162
+(IM162-IF(HN162=0,INDEX(IX:IX,MATCH(KN162,A:A,0)),INDEX(IM:IM,MATCH(KN162,A:A,0))))*IF162
+(IN162-INDEX(IN:IN,MATCH(KN162,A:A,0)))*IG162</f>
        <v>75.762662097264979</v>
      </c>
      <c r="KQ162" s="546">
        <f t="shared" ref="KQ162" si="437">JD162-INDEX(JD:JD,MATCH(KN162,A:A,0))</f>
        <v>-357.62066984247667</v>
      </c>
      <c r="KR162" s="548">
        <f t="shared" ref="KR162" si="438">KO162/(KP162/(BX162-INDEX(JD:JD,MATCH(KN162,A:A,0))))</f>
        <v>-2.1854152413293475</v>
      </c>
      <c r="KS162" s="548">
        <f t="shared" ref="KS162" si="439">KO162/(KQ162/(BX162-INDEX(JD:JD,MATCH(KN162,A:A,0))))</f>
        <v>0.46298463828720821</v>
      </c>
      <c r="KT162" s="473">
        <f t="shared" si="112"/>
        <v>-82.310573396665475</v>
      </c>
      <c r="KU162" s="663">
        <f t="shared" ref="KU162" si="440">IF(D162="",0,IFERROR((JM162/KT162-1)/(JD162/BX162)+B162*10^-6,0))</f>
        <v>-54.024702849839564</v>
      </c>
      <c r="KV162" s="117"/>
    </row>
    <row r="163" spans="1:308" s="26" customFormat="1" ht="15" outlineLevel="1">
      <c r="A163" s="561">
        <f t="shared" si="386"/>
        <v>1063</v>
      </c>
      <c r="B163" s="561">
        <f t="shared" si="104"/>
        <v>63</v>
      </c>
      <c r="C163" s="561">
        <f t="shared" si="105"/>
        <v>1</v>
      </c>
      <c r="D163" s="561" t="str">
        <f t="shared" si="376"/>
        <v xml:space="preserve">-250 CC, 0/0/0.9/3.9, </v>
      </c>
      <c r="E163" s="475">
        <f>INDEX(Input!$1:$1048576,E$93,$C163*2+MIN($B163,2)+5)
+INDEX(Scenarios!E$121:E$200,MATCH($B163,Scenarios!$B$121:$B$200,0))</f>
        <v>1000</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8.9999999999999993E-3</v>
      </c>
      <c r="W163" s="863">
        <f>IFERROR(MAX(0,INDEX(Input!$1:$1048576,W$93,$C163*2+MIN($B163,2)+5)-0%,),"Market")</f>
        <v>3.9E-2</v>
      </c>
      <c r="X163" s="476" t="str">
        <f>INDEX(Input!$1:$1048576,X$93,$C163*2+MIN($B163,2)+5)</f>
        <v>Y</v>
      </c>
      <c r="Y163" s="475">
        <f>INDEX(Input!$1:$1048576,Y$93,$C163*2+MIN($B163,2)+5)
++INDEX(Scenarios!Y$121:Y$200,MATCH($B163,Scenarios!$B$121:$B$200,0))</f>
        <v>2826</v>
      </c>
      <c r="Z163" s="477">
        <f>INDEX(Input!$1:$1048576,Z$93,$C163*2+MIN($B163,2)+5)
+INDEX(Scenarios!Z$121:Z$200,MATCH($B163,Scenarios!$B$121:$B$200,0))</f>
        <v>0</v>
      </c>
      <c r="AA163" s="475">
        <f>INDEX(Input!$1:$1048576,AA$93,$C163*2+MIN($B163,2)+5)</f>
        <v>0</v>
      </c>
      <c r="AB163" s="476">
        <f>INDEX(Input!$1:$1048576,AB$93,$C163*2+MIN($B163,2)+5)</f>
        <v>1</v>
      </c>
      <c r="AC163" s="475">
        <f>INDEX(Input!$1:$1048576,AC$93,$C163*2+MIN($B163,2)+5)
+INDEX(Scenarios!AC$121:AC$200,MATCH($B163,Scenarios!$B$121:$B$200,0))</f>
        <v>0</v>
      </c>
      <c r="AD163" s="476">
        <f>INDEX(Input!$1:$1048576,AD$93,$C163*2+MIN($B163,2)+5)</f>
        <v>0.35</v>
      </c>
      <c r="AE163" s="475">
        <f>INDEX(Input!$1:$1048576,AE$93,$C163*2+MIN($B163,2)+5)
+INDEX(Scenarios!AE$121:AE$200,MATCH($B163,Scenarios!$B$121:$B$200,0))</f>
        <v>0</v>
      </c>
      <c r="AF163" s="476">
        <f>INDEX(Input!$1:$1048576,AF$93,$C163*2+MIN($B163,2)+5)</f>
        <v>1</v>
      </c>
      <c r="AG163" s="475">
        <f>INDEX(Input!$1:$1048576,AG$93,$C163*2+MIN($B163,2)+5)
+INDEX(Scenarios!AG$121:AG$200,MATCH($B163,Scenarios!$B$121:$B$200,0))</f>
        <v>0</v>
      </c>
      <c r="AH163" s="476">
        <f>INDEX(Input!$1:$1048576,AH$93,$C163*2+MIN($B163,2)+5)</f>
        <v>1</v>
      </c>
      <c r="AI163" s="475">
        <f>INDEX(Input!$1:$1048576,AI$93,$C163*2+MIN($B163,2)+5)
+INDEX(Scenarios!AI$121:AI$200,MATCH($B163,Scenarios!$B$121:$B$200,0))</f>
        <v>0</v>
      </c>
      <c r="AJ163" s="476">
        <f>INDEX(Input!$1:$1048576,AJ$93,$C163*2+MIN($B163,2)+5)</f>
        <v>0.35</v>
      </c>
      <c r="AK163" s="150">
        <f>ROUND(INDEX(Input!$1:$1048576,AK$93,$C162*2+MIN($B163,1)+5)+(Y163-VLOOKUP($C163*1000+1,$A:$HH,Y$92,FALSE)),0)</f>
        <v>5482</v>
      </c>
      <c r="AL163" s="150">
        <f>ROUND(INDEX(Input!$1:$1048576,AL$93,$C162*2+MIN($B163,1)+5)-(Y163-VLOOKUP($C163*1000+1,$A:$HH,Y$92,FALSE))/36,0)</f>
        <v>5602</v>
      </c>
      <c r="AM163" s="32" t="str">
        <f t="shared" si="387"/>
        <v>std/std/std/std</v>
      </c>
      <c r="AN163" s="32" t="str">
        <f t="shared" si="388"/>
        <v>$0 + 0/0/0/0.9/3.9</v>
      </c>
      <c r="AO163" s="32" t="str">
        <f t="shared" si="389"/>
        <v>0/0/0/0.9/3.9</v>
      </c>
      <c r="AP163" s="32" t="str">
        <f t="shared" si="73"/>
        <v>0/0/0.9/3.9</v>
      </c>
      <c r="AQ163" s="536">
        <f t="shared" si="39"/>
        <v>0.1412456168885857</v>
      </c>
      <c r="AR163" s="32"/>
      <c r="AS163" s="302"/>
      <c r="AT163" s="3">
        <f t="shared" si="106"/>
        <v>63</v>
      </c>
      <c r="AU163" s="41" t="s">
        <v>121</v>
      </c>
      <c r="AV163" s="41" t="s">
        <v>116</v>
      </c>
      <c r="AW163" s="41" t="str">
        <f>INDEX(Input!$1:$1048576,AW$93,$C163*2+6)</f>
        <v>Kia</v>
      </c>
      <c r="AX163" s="41" t="str">
        <f>INDEX(Input!$1:$1048576,AX$93,$C163*2+6)</f>
        <v>Kia-LR - L1</v>
      </c>
      <c r="AY163" s="41" t="str">
        <f>IF(LEN(D163)=0,"",INDEX(Input!$1:$1048576,AY$93,$C163*2+6))</f>
        <v>Compact Conventional/Sporty Car (43)</v>
      </c>
      <c r="AZ163" s="41" t="str">
        <f>INDEX(Input!$1:$1048576,AZ$93,$C163*2+6)</f>
        <v>Kia Forte</v>
      </c>
      <c r="BA163" s="3">
        <f>INDEX(Input!$1:$1048576,BA$93,$C163*2+6)</f>
        <v>2020</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19695</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si="74"/>
        <v>1000</v>
      </c>
      <c r="CJ163" s="16" t="str">
        <f>INDEX(Input!$1:$1048576,CJ$93,$C163*2+6)</f>
        <v>N</v>
      </c>
      <c r="CK163" s="1" t="str">
        <f t="shared" si="75"/>
        <v>Market</v>
      </c>
      <c r="CL163" s="1" t="str">
        <f t="shared" si="76"/>
        <v>Market</v>
      </c>
      <c r="CM163" s="1" t="str">
        <f t="shared" si="77"/>
        <v>Market</v>
      </c>
      <c r="CN163" s="1" t="str">
        <f t="shared" si="78"/>
        <v>Market</v>
      </c>
      <c r="CO163" s="1" t="str">
        <f t="shared" si="79"/>
        <v>Market</v>
      </c>
      <c r="CP163" s="304">
        <f t="shared" si="80"/>
        <v>0</v>
      </c>
      <c r="CQ163" s="1">
        <f t="shared" si="81"/>
        <v>0</v>
      </c>
      <c r="CR163" s="1">
        <f t="shared" si="82"/>
        <v>0</v>
      </c>
      <c r="CS163" s="1">
        <f t="shared" si="83"/>
        <v>0</v>
      </c>
      <c r="CT163" s="1">
        <f t="shared" si="84"/>
        <v>8.9999999999999993E-3</v>
      </c>
      <c r="CU163" s="1">
        <f t="shared" si="85"/>
        <v>3.9E-2</v>
      </c>
      <c r="CV163" s="304">
        <f t="shared" si="86"/>
        <v>2826</v>
      </c>
      <c r="CW163" s="20" t="s">
        <v>122</v>
      </c>
      <c r="CX163" s="20" t="s">
        <v>122</v>
      </c>
      <c r="CY163" s="20" t="s">
        <v>122</v>
      </c>
      <c r="CZ163" s="20" t="s">
        <v>122</v>
      </c>
      <c r="DA163" s="20" t="s">
        <v>122</v>
      </c>
      <c r="DB163" s="503">
        <f t="shared" si="87"/>
        <v>0</v>
      </c>
      <c r="DC163" s="127">
        <v>0</v>
      </c>
      <c r="DD163" s="127">
        <v>0</v>
      </c>
      <c r="DE163" s="127">
        <v>0</v>
      </c>
      <c r="DF163" s="127">
        <v>0</v>
      </c>
      <c r="DG163" s="127">
        <v>0</v>
      </c>
      <c r="DH163" s="127">
        <v>0</v>
      </c>
      <c r="DI163" s="127">
        <v>0</v>
      </c>
      <c r="DJ163" s="127">
        <v>0</v>
      </c>
      <c r="DK163" s="127">
        <v>0</v>
      </c>
      <c r="DL163" s="127">
        <v>0</v>
      </c>
      <c r="DM163" s="304">
        <f>INDEX(Input!$1:$1048576,DM$93,$C163*2+6)</f>
        <v>20731.578947368424</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1.297227535457793E-2</v>
      </c>
      <c r="DZ163" s="7">
        <v>0</v>
      </c>
      <c r="EA163" s="7">
        <v>0.20380741352835788</v>
      </c>
      <c r="EB163" s="7">
        <v>0</v>
      </c>
      <c r="EC163" s="7">
        <v>0</v>
      </c>
      <c r="ED163" s="7">
        <v>0</v>
      </c>
      <c r="EE163" s="7">
        <v>0</v>
      </c>
      <c r="EF163" s="7">
        <v>0</v>
      </c>
      <c r="EG163" s="7">
        <v>0</v>
      </c>
      <c r="EH163" s="7">
        <v>1.4476869635993291E-2</v>
      </c>
      <c r="EI163" s="7">
        <v>2.603945677232275E-2</v>
      </c>
      <c r="EJ163" s="7">
        <v>0.20479017957701892</v>
      </c>
      <c r="EK163" s="7">
        <v>0.72317389939610377</v>
      </c>
      <c r="EL163" s="7">
        <v>3.1519594618561145E-2</v>
      </c>
      <c r="EM163" s="7">
        <v>1.9081841345853737E-2</v>
      </c>
      <c r="EN163" s="7">
        <v>5.6686594175933747E-2</v>
      </c>
      <c r="EO163" s="7">
        <v>0.5421699501419357</v>
      </c>
      <c r="EP163" s="7">
        <v>0.3117315538121922</v>
      </c>
      <c r="EQ163" s="7">
        <v>5.1954312326603483E-2</v>
      </c>
      <c r="ER163" s="7">
        <v>3.7457589543334731E-2</v>
      </c>
      <c r="ES163" s="7">
        <v>0.76413846977121047</v>
      </c>
      <c r="ET163" s="7">
        <v>0.78322031111706425</v>
      </c>
      <c r="EU163" s="6">
        <v>1350</v>
      </c>
      <c r="EV163" s="6">
        <v>0</v>
      </c>
      <c r="EW163" s="6">
        <v>1350</v>
      </c>
      <c r="EX163" s="6">
        <v>0</v>
      </c>
      <c r="EY163" s="6">
        <v>2963.2578502881038</v>
      </c>
      <c r="EZ163" s="6">
        <v>4822.9999999999991</v>
      </c>
      <c r="FA163" s="6">
        <v>0</v>
      </c>
      <c r="FB163" s="6">
        <v>0</v>
      </c>
      <c r="FC163" s="6">
        <v>0</v>
      </c>
      <c r="FD163" s="6">
        <v>0</v>
      </c>
      <c r="FE163" s="6">
        <v>0</v>
      </c>
      <c r="FF163" s="6">
        <v>0</v>
      </c>
      <c r="FG163" s="6">
        <v>0</v>
      </c>
      <c r="FH163" s="6">
        <v>1152.120827037782</v>
      </c>
      <c r="FI163" s="6">
        <v>1531.4299904380621</v>
      </c>
      <c r="FJ163" s="6">
        <v>2070.7205842538215</v>
      </c>
      <c r="FK163" s="6">
        <v>2218.6393698501015</v>
      </c>
      <c r="FL163" s="6">
        <v>893.91433563489397</v>
      </c>
      <c r="FM163" s="6">
        <v>2113.2578502881038</v>
      </c>
      <c r="FN163" s="6">
        <v>0</v>
      </c>
      <c r="FO163" s="6">
        <v>0</v>
      </c>
      <c r="FP163" s="6">
        <v>0</v>
      </c>
      <c r="FQ163" s="6">
        <v>0</v>
      </c>
      <c r="FR163" s="6">
        <v>0</v>
      </c>
      <c r="FS163" s="6">
        <v>0</v>
      </c>
      <c r="FT163" s="7">
        <v>0.21677968888293581</v>
      </c>
      <c r="FU163" s="7">
        <v>1.9081841345853737E-2</v>
      </c>
      <c r="FV163" s="7">
        <v>0.76413846977121047</v>
      </c>
      <c r="FW163" s="6">
        <v>1349.9999999999998</v>
      </c>
      <c r="FX163" s="6">
        <v>2963.2578502881038</v>
      </c>
      <c r="FY163" s="6">
        <v>4822.9999999999991</v>
      </c>
      <c r="FZ163" s="6">
        <v>3077.4375890575293</v>
      </c>
      <c r="GA163" s="6">
        <v>4034.6368358645641</v>
      </c>
      <c r="GB163" s="6">
        <v>15660.363164135437</v>
      </c>
      <c r="GC163" s="7">
        <v>7.0901643973087014E-2</v>
      </c>
      <c r="GD163" s="7">
        <v>7.9943919912030065E-2</v>
      </c>
      <c r="GE163" s="7"/>
      <c r="GF163" s="7"/>
      <c r="GG163" s="7">
        <v>0.12753266965679014</v>
      </c>
      <c r="GH163" s="42">
        <v>2.6240680164229544</v>
      </c>
      <c r="GI163" s="6">
        <v>11540.15874944956</v>
      </c>
      <c r="GJ163" s="14">
        <v>0.5107463060103955</v>
      </c>
      <c r="GK163" s="14">
        <v>0.5082951978616097</v>
      </c>
      <c r="GL163" s="14">
        <v>0.48925369398960439</v>
      </c>
      <c r="GM163" s="14">
        <v>0.49170480213839041</v>
      </c>
      <c r="GO163" s="5">
        <v>338.16872463277008</v>
      </c>
      <c r="GP163" s="5">
        <v>312.41330006058649</v>
      </c>
      <c r="GQ163" s="5">
        <v>527.27910984145694</v>
      </c>
      <c r="GR163" s="5">
        <v>404.20319246551543</v>
      </c>
      <c r="GS163" s="5">
        <v>334.50205195691484</v>
      </c>
      <c r="GT163" s="5">
        <v>289.18266033348181</v>
      </c>
      <c r="GU163" s="5">
        <v>254.29573314828914</v>
      </c>
      <c r="GV163" s="39" t="s">
        <v>392</v>
      </c>
      <c r="GW163" s="5">
        <v>468.76388888888891</v>
      </c>
      <c r="GX163" s="5">
        <v>351.57291666666669</v>
      </c>
      <c r="GY163" s="5">
        <v>281.25833333333333</v>
      </c>
      <c r="GZ163" s="5">
        <v>240.8550698915011</v>
      </c>
      <c r="HA163" s="5">
        <v>229.8919505212948</v>
      </c>
      <c r="HB163" s="39">
        <v>254.96614723549268</v>
      </c>
      <c r="HC163" s="5">
        <v>72.109375000000014</v>
      </c>
      <c r="HD163" s="5">
        <v>92.305464181286524</v>
      </c>
      <c r="HE163" s="5">
        <v>103.7516995614035</v>
      </c>
      <c r="HF163" s="5">
        <v>106.17129934210527</v>
      </c>
      <c r="HG163" s="5">
        <v>115.13410087719299</v>
      </c>
      <c r="HH163" s="39">
        <v>96.304265044073475</v>
      </c>
      <c r="HI163" s="16"/>
      <c r="HJ163" s="19" t="str">
        <f t="shared" si="385"/>
        <v>On</v>
      </c>
      <c r="HK163" s="1" t="str">
        <f t="shared" si="108"/>
        <v>On</v>
      </c>
      <c r="HL163" s="16"/>
      <c r="HM163" s="639">
        <f t="shared" ref="HM163:HM168" si="441">VLOOKUP($C163*1000+1,$A:$HH,FT$92,FALSE)*$JF163</f>
        <v>1.7699001661282989E-2</v>
      </c>
      <c r="HN163" s="639">
        <f t="shared" ref="HN163:HN168" si="442">VLOOKUP($C163*1000+1,$A:$HH,FU$92,FALSE)*$JF163</f>
        <v>1.0509929974846072E-3</v>
      </c>
      <c r="HO163" s="639">
        <f t="shared" ref="HO163:HO168" si="443">VLOOKUP($C163*1000+1,$A:$HH,FV$92,FALSE)*$JF163</f>
        <v>5.7398960259851091E-2</v>
      </c>
      <c r="HP163" s="644">
        <f>(FT163*$GD163-HM163)/$JF163*INDEX(Input!$1:$1048576,$JG$93,$C163*2+6)</f>
        <v>-4.7363793293482432</v>
      </c>
      <c r="HQ163" s="644">
        <f>(FU163*$GD163-HN163)/$JF163*INDEX(Input!$1:$1048576,$JG$93,$C163*2+6)</f>
        <v>6.0939187801564252</v>
      </c>
      <c r="HR163" s="644">
        <f>(FV163*$GD163-HO163)/$JF163*INDEX(Input!$1:$1048576,$JG$93,$C163*2+6)</f>
        <v>47.382141448592627</v>
      </c>
      <c r="HS163" s="644">
        <f t="shared" ref="HS163:HS168" si="444">IF(AND(HJ163="On",HK163="On"),IL163/1000*INDEX(KG:KG,MATCH(C163*1000+3,$KF:$KF,0))*SUM(HY163:IA163)*1.1
+INDEX(HR:HR,MATCH(C163*1000+4,$KF:$KF,0))/INDEX(IM:IM,MATCH(C163*1000+4,$KF:$KF,0))*IM163*20%,0)</f>
        <v>-0.25459703557275648</v>
      </c>
      <c r="HT163" s="644">
        <f t="shared" ref="HT163:HT168" si="445">IF(AND(HJ163="On",HK163="On"),IM163/1000*INDEX(KG:KG,MATCH(C163*1000+4,$KF:$KF,0))*SUM(HY163:IA163)*1.1
+INDEX(HR:HR,MATCH(C163*1000+3,$KF:$KF,0))/INDEX(IL:IL,MATCH(C163*1000+3,$KF:$KF,0))*IL163*20%,0)</f>
        <v>19.394003745363513</v>
      </c>
      <c r="HU163" s="644">
        <f t="shared" ref="HU163:HU168" si="446">IF(HJ163="On",IN163/1000*INDEX(KG:KG,MATCH(C163*1000+5,$KF:$KF,0))*SUM(HY163:IA163)*1.1
-INDEX(HR:HR,MATCH(C163*1000+3,$KF:$KF,0))/INDEX(IL:IL,MATCH(C163*1000+3,$KF:$KF,0))*IL163*20%
-INDEX(HR:HR,MATCH(C163*1000+4,$KF:$KF,0))/INDEX(IM:IM,MATCH(C163*1000+4,$KF:$KF,0))*IM163*20%,0)</f>
        <v>16.164655336869686</v>
      </c>
      <c r="HV163" s="648">
        <f t="shared" ref="HV163:HV168" si="447">IL163/1000*0+IM163/1000*0+IN163/1000*0
+(CP163-INDEX(CP:CP,MATCH(C163*1000+1,A:A,0)))/1000*0+IF(FU163&gt;0,0,0)</f>
        <v>0</v>
      </c>
      <c r="HW163" s="648">
        <f t="shared" ref="HW163:HW168" si="448">IL163/1000*0+IM163/1000*0+IN163/1000*0
+(CP163-INDEX(CP:CP,MATCH(C163*1000+1,A:A,0)))/1000*0+IF(FU163&gt;0,0,0)</f>
        <v>0</v>
      </c>
      <c r="HX163" s="648">
        <f t="shared" ref="HX163:HX168" si="449">IL163/1000*0+IM163/1000*0+IN163/1000*0
+(CP163-INDEX(CP:CP,MATCH(C163*1000+1,A:A,0)))/1000*0+IF(FU163&gt;0,0,0)</f>
        <v>0</v>
      </c>
      <c r="HY163" s="644">
        <f>INDEX(Input!$1:$1048576,HY$93,$C163*2+6)*INDEX(Input!$1:$1048576,$JG$93,$C163*2+6)</f>
        <v>154.99999999999997</v>
      </c>
      <c r="HZ163" s="644">
        <f>INDEX(Input!$1:$1048576,HZ$93,$C163*2+6)*INDEX(Input!$1:$1048576,$JG$93,$C163*2+6)</f>
        <v>140</v>
      </c>
      <c r="IA163" s="644">
        <f>INDEX(Input!$1:$1048576,IA$93,$C163*2+6)*INDEX(Input!$1:$1048576,$JG$93,$C163*2+6)</f>
        <v>683</v>
      </c>
      <c r="IB163" s="644">
        <f t="shared" ref="IB163:IB168" si="450">SUM(HP163:IA163)-IC163-ID163</f>
        <v>150.00902363507896</v>
      </c>
      <c r="IC163" s="644">
        <f t="shared" ref="IC163:IC168" si="451">MAX(HZ163+HQ163+HT163+HW163,0%)</f>
        <v>165.48792252551993</v>
      </c>
      <c r="ID163" s="644">
        <f>IF(AND(INDEX(Input!$1:$1048576,IA$93,$C163*2+7)="TOS",Y163&lt;=INDEX(Y:Y,MATCH(C163*1000+2,A:A))),0,1)*MAX(IA163+HR163+HU163+HX163,0%)</f>
        <v>746.54679678546233</v>
      </c>
      <c r="IE163" s="128">
        <f t="shared" ref="IE163:IE168" si="452">IB163/SUM($IB163:$ID163)</f>
        <v>0.1412456168885857</v>
      </c>
      <c r="IF163" s="128">
        <f t="shared" ref="IF163:IF168" si="453">IC163/SUM($IB163:$ID163)</f>
        <v>0.15582025093096818</v>
      </c>
      <c r="IG163" s="128">
        <f t="shared" ref="IG163:IG168" si="454">ID163/SUM($IB163:$ID163)</f>
        <v>0.70293413218044609</v>
      </c>
      <c r="IH163" s="21"/>
      <c r="II163" s="19">
        <f t="shared" ref="II163:II168" si="455">VLOOKUP($C163*1000+1,$A:$HH,FW$92,FALSE)-VLOOKUP($C163*1000+1,$A:$HH,FA$92,FALSE)*VLOOKUP($C163*1000+1,$A:$HH,DZ$92,FALSE)/VLOOKUP($C163*1000+1,$A:$HH,FT$92,FALSE)</f>
        <v>1200</v>
      </c>
      <c r="IJ163" s="19">
        <f t="shared" ref="IJ163:IJ168" si="456">VLOOKUP($C163*1000+1,$A:$HH,FX$92,FALSE)</f>
        <v>2231.5502763133163</v>
      </c>
      <c r="IK163" s="19">
        <f t="shared" ref="IK163:IK168" si="457">VLOOKUP($C163*1000+1,$A:$HH,FY$92,FALSE)</f>
        <v>4498</v>
      </c>
      <c r="IL163" s="19">
        <f t="shared" ref="IL163:IL168" si="458">(FW163-FA163*DZ163/FT163)-II163</f>
        <v>149.99999999999977</v>
      </c>
      <c r="IM163" s="19">
        <f t="shared" ref="IM163:IM168" si="459">FX163-IJ163</f>
        <v>731.70757397478746</v>
      </c>
      <c r="IN163" s="19">
        <f t="shared" ref="IN163:IN168" si="460">FY163-IK163</f>
        <v>324.99999999999909</v>
      </c>
      <c r="IO163" s="39">
        <f t="shared" ref="IO163:IO168" si="461">(F163-VLOOKUP($C163*1000+1,$A:$HH,F$92,FALSE))*(1-$I163)</f>
        <v>0</v>
      </c>
      <c r="IP163" s="39">
        <f t="shared" ref="IP163:IP168" si="462">(G163-VLOOKUP($C163*1000+1,$A:$HH,G$92,FALSE))*(1-$I163)</f>
        <v>0</v>
      </c>
      <c r="IQ163" s="39">
        <f t="shared" ref="IQ163:IQ168" si="463">(H163-VLOOKUP($C163*1000+1,$A:$HH,H$92,FALSE))*(1-$I163)</f>
        <v>0</v>
      </c>
      <c r="IR163" s="39">
        <v>0</v>
      </c>
      <c r="IS163" s="39">
        <v>0</v>
      </c>
      <c r="IT163" s="39">
        <v>0</v>
      </c>
      <c r="IU163" s="39">
        <v>0</v>
      </c>
      <c r="IV163" s="39">
        <v>0</v>
      </c>
      <c r="IW163" s="39">
        <v>0</v>
      </c>
      <c r="IX163" s="39">
        <f>INDEX(Input!$1:$1048576,IX$93,$C163*2+6)+INDEX(Input!$1:$1048576,IX$94,$C163*2+6)</f>
        <v>1600</v>
      </c>
      <c r="IY163" s="39">
        <f>INDEX(Input!$1:$1048576,IY$93,$C163*2+6)+INDEX(Input!$1:$1048576,IY$94,$C163*2+6)</f>
        <v>2503.5492916397525</v>
      </c>
      <c r="IZ163" s="39">
        <f>INDEX(Input!$1:$1048576,IZ$93,$C163*2+6)+INDEX(Input!$1:$1048576,IZ$94,$C163*2+6)</f>
        <v>6273.7109265464023</v>
      </c>
      <c r="JA163" s="19">
        <f t="shared" ref="JA163:JA168" si="464">(IL163+IO163+IR163+IU163+IX163)</f>
        <v>1749.9999999999998</v>
      </c>
      <c r="JB163" s="19">
        <f t="shared" ref="JB163:JB168" si="465">(IM163+IP163+IS163+IV163+IY163)</f>
        <v>3235.2568656145399</v>
      </c>
      <c r="JC163" s="19">
        <f t="shared" ref="JC163:JC168" si="466">(IN163+IQ163+IT163+IW163+IZ163)</f>
        <v>6598.7109265464014</v>
      </c>
      <c r="JD163" s="19">
        <f t="shared" ref="JD163:JD168" si="467">SUMPRODUCT(IE163:IG163,JA163:JC163)</f>
        <v>5389.7575048427425</v>
      </c>
      <c r="JE163" s="21"/>
      <c r="JF163" s="1">
        <f t="shared" ref="JF163:JF168" si="468">VLOOKUP($C163*1000+1,$A:$HH,GD$92,FALSE)</f>
        <v>7.6148954918618686E-2</v>
      </c>
      <c r="JG163" s="15">
        <f>INDEX(Input!$1:$1048576,JG$93,$C163*2+6)/(1+VLOOKUP(C163*1000+INDEX(Input!$1:$1048576,JG$93+1,$C163*2+6),$A:$KK,$JK$92,FALSE))</f>
        <v>978</v>
      </c>
      <c r="JH163" s="1">
        <f t="shared" ref="JH163:JH168" si="469">SUM(HP163:HR163)/SUM(HY163:IA163)</f>
        <v>4.9836074539264634E-2</v>
      </c>
      <c r="JI163" s="1">
        <f t="shared" ref="JI163:JI168" si="470">SUM(HS163:HU163)/SUM(HY163:IA163)</f>
        <v>3.6098222951595545E-2</v>
      </c>
      <c r="JJ163" s="1">
        <f t="shared" ref="JJ163:JJ168" si="471">SUM(HV163:HX163)/SUM(HY163:IA163)</f>
        <v>0</v>
      </c>
      <c r="JK163" s="1">
        <f t="shared" ref="JK163:JK168" si="472">SUM(JH163:JJ163)</f>
        <v>8.5934297490860179E-2</v>
      </c>
      <c r="JL163" s="15">
        <f t="shared" ref="JL163:JL168" si="473">JG163*JK163</f>
        <v>84.043742946061258</v>
      </c>
      <c r="JM163" s="15">
        <f t="shared" ref="JM163:JM168" si="474">JG163+JL163</f>
        <v>1062.0437429460612</v>
      </c>
      <c r="JN163" s="21"/>
      <c r="JO163" s="19">
        <f>INDEX(Input!$1:$1048576,JO$93,$C163*2+6)</f>
        <v>5908.5</v>
      </c>
      <c r="JP163" s="19">
        <f>INDEX(Input!$1:$1048576,JP$93,$C163*2+6)</f>
        <v>4993.2939301234746</v>
      </c>
      <c r="JQ163" s="39">
        <f t="shared" ref="JQ163:JQ168" si="475">JO163-JD163</f>
        <v>518.74249515725751</v>
      </c>
      <c r="JR163" s="39">
        <f t="shared" ref="JR163:JR168" si="476">JD163-JP163</f>
        <v>396.46357471926785</v>
      </c>
      <c r="JS163" s="39">
        <f t="shared" ref="JS163:JS168" si="477">JM163*JD163/1000000</f>
        <v>5.7241582340148103</v>
      </c>
      <c r="JT163" s="39">
        <f t="shared" ref="JT163:JT168" si="478">(JD163*JM163-JP163*JG163)/1000000</f>
        <v>0.84071677035405212</v>
      </c>
      <c r="JU163" s="385">
        <f>(JQ163*JM163-INDEX(Input!$1:$1048576,Input!A$18,$C163*2+6)*JL163*INDEX(Input!$1:$1048576,Input!A$19,$C163*2+6))/1000000</f>
        <v>0.55092722118199278</v>
      </c>
      <c r="JV163" s="39">
        <f t="shared" ref="JV163:JV168" si="479">JU163-(JO163-JP163)*JG163/1000000</f>
        <v>-0.34414431515724897</v>
      </c>
      <c r="JW163" s="1">
        <f t="shared" ref="JW163:JW168" si="480">JV163/(JU163-JV163)</f>
        <v>-0.3844880561890805</v>
      </c>
      <c r="JX163" s="19">
        <f t="shared" ref="JX163:JX168" si="481">IF(JL163=0,0,JT163/JL163)*1000000</f>
        <v>10003.323755982869</v>
      </c>
      <c r="JZ163" s="341"/>
      <c r="KA163" s="342"/>
      <c r="KB163" s="469">
        <f t="shared" si="110"/>
        <v>3.2656316020464753</v>
      </c>
      <c r="KI163" s="473">
        <f t="shared" ref="KI163:KI168" si="482">$JM163*IE163-$JG163*HY163/SUM($HY163:$IA163)</f>
        <v>-4.9909763649210106</v>
      </c>
      <c r="KJ163" s="473">
        <f t="shared" ref="KJ163:KJ168" si="483">$JM163*IF163-$JG163*HZ163/SUM($HY163:$IA163)</f>
        <v>25.487922525519934</v>
      </c>
      <c r="KK163" s="473">
        <f t="shared" ref="KK163:KK168" si="484">$JM163*IG163-$JG163*IA163/SUM($HY163:$IA163)</f>
        <v>63.546796785462334</v>
      </c>
      <c r="KN163" s="544">
        <f t="shared" ref="KN163:KN168" si="485">KM163+(KN162-KM162)</f>
        <v>1002</v>
      </c>
      <c r="KO163" s="541">
        <f t="shared" ref="KO163:KO168" si="486">JM163/INDEX(JM:JM,MATCH(KN163,A:A,0))-1</f>
        <v>3.7182048528490164E-3</v>
      </c>
      <c r="KP163" s="546">
        <f t="shared" ref="KP163:KP168" si="487">(IL163-INDEX(IL:IL,MATCH(KN163,A:A,0)))*IE163
+(IM163-IF(HN163=0,INDEX(IX:IX,MATCH(KN163,A:A,0)),INDEX(IM:IM,MATCH(KN163,A:A,0))))*IF163
+(IN163-INDEX(IN:IN,MATCH(KN163,A:A,0)))*IG163</f>
        <v>16.37535319030772</v>
      </c>
      <c r="KQ163" s="546">
        <f t="shared" ref="KQ163:KQ168" si="488">JD163-INDEX(JD:JD,MATCH(KN163,A:A,0))</f>
        <v>35.303604867302056</v>
      </c>
      <c r="KR163" s="548">
        <f t="shared" ref="KR163:KR168" si="489">KO163/(KP163/(BX163-INDEX(JD:JD,MATCH(KN163,A:A,0))))</f>
        <v>3.2561794229376471</v>
      </c>
      <c r="KS163" s="548">
        <f t="shared" ref="KS163:KS168" si="490">KO163/(KQ163/(BX163-INDEX(JD:JD,MATCH(KN163,A:A,0))))</f>
        <v>1.5103581716948673</v>
      </c>
      <c r="KT163" s="473">
        <f t="shared" si="112"/>
        <v>-82.310573396665475</v>
      </c>
      <c r="KU163" s="663">
        <f t="shared" ref="KU163:KU168" si="491">IF(D163="",0,IFERROR((JM163/KT163-1)/(JD163/BX163)+B163*10^-6,0))</f>
        <v>-50.803204335430323</v>
      </c>
    </row>
    <row r="164" spans="1:308" s="26" customFormat="1" ht="15" outlineLevel="1">
      <c r="A164" s="561">
        <f t="shared" si="386"/>
        <v>1064</v>
      </c>
      <c r="B164" s="561">
        <f t="shared" si="104"/>
        <v>64</v>
      </c>
      <c r="C164" s="561">
        <f t="shared" si="105"/>
        <v>1</v>
      </c>
      <c r="D164" s="561" t="str">
        <f t="shared" si="376"/>
        <v xml:space="preserve">-500 CC, 0/0/0.9/3.9, </v>
      </c>
      <c r="E164" s="475">
        <f>INDEX(Input!$1:$1048576,E$93,$C164*2+MIN($B164,2)+5)
+INDEX(Scenarios!E$121:E$200,MATCH($B164,Scenarios!$B$121:$B$200,0))</f>
        <v>750</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8.9999999999999993E-3</v>
      </c>
      <c r="W164" s="863">
        <f>IFERROR(MAX(0,INDEX(Input!$1:$1048576,W$93,$C164*2+MIN($B164,2)+5)-0%,),"Market")</f>
        <v>3.9E-2</v>
      </c>
      <c r="X164" s="476" t="str">
        <f>INDEX(Input!$1:$1048576,X$93,$C164*2+MIN($B164,2)+5)</f>
        <v>Y</v>
      </c>
      <c r="Y164" s="475">
        <f>INDEX(Input!$1:$1048576,Y$93,$C164*2+MIN($B164,2)+5)
++INDEX(Scenarios!Y$121:Y$200,MATCH($B164,Scenarios!$B$121:$B$200,0))</f>
        <v>2826</v>
      </c>
      <c r="Z164" s="477">
        <f>INDEX(Input!$1:$1048576,Z$93,$C164*2+MIN($B164,2)+5)
+INDEX(Scenarios!Z$121:Z$200,MATCH($B164,Scenarios!$B$121:$B$200,0))</f>
        <v>0</v>
      </c>
      <c r="AA164" s="475">
        <f>INDEX(Input!$1:$1048576,AA$93,$C164*2+MIN($B164,2)+5)</f>
        <v>0</v>
      </c>
      <c r="AB164" s="476">
        <f>INDEX(Input!$1:$1048576,AB$93,$C164*2+MIN($B164,2)+5)</f>
        <v>1</v>
      </c>
      <c r="AC164" s="475">
        <f>INDEX(Input!$1:$1048576,AC$93,$C164*2+MIN($B164,2)+5)
+INDEX(Scenarios!AC$121:AC$200,MATCH($B164,Scenarios!$B$121:$B$200,0))</f>
        <v>0</v>
      </c>
      <c r="AD164" s="476">
        <f>INDEX(Input!$1:$1048576,AD$93,$C164*2+MIN($B164,2)+5)</f>
        <v>0.35</v>
      </c>
      <c r="AE164" s="475">
        <f>INDEX(Input!$1:$1048576,AE$93,$C164*2+MIN($B164,2)+5)
+INDEX(Scenarios!AE$121:AE$200,MATCH($B164,Scenarios!$B$121:$B$200,0))</f>
        <v>0</v>
      </c>
      <c r="AF164" s="476">
        <f>INDEX(Input!$1:$1048576,AF$93,$C164*2+MIN($B164,2)+5)</f>
        <v>1</v>
      </c>
      <c r="AG164" s="475">
        <f>INDEX(Input!$1:$1048576,AG$93,$C164*2+MIN($B164,2)+5)
+INDEX(Scenarios!AG$121:AG$200,MATCH($B164,Scenarios!$B$121:$B$200,0))</f>
        <v>0</v>
      </c>
      <c r="AH164" s="476">
        <f>INDEX(Input!$1:$1048576,AH$93,$C164*2+MIN($B164,2)+5)</f>
        <v>1</v>
      </c>
      <c r="AI164" s="475">
        <f>INDEX(Input!$1:$1048576,AI$93,$C164*2+MIN($B164,2)+5)
+INDEX(Scenarios!AI$121:AI$200,MATCH($B164,Scenarios!$B$121:$B$200,0))</f>
        <v>0</v>
      </c>
      <c r="AJ164" s="476">
        <f>INDEX(Input!$1:$1048576,AJ$93,$C164*2+MIN($B164,2)+5)</f>
        <v>0.35</v>
      </c>
      <c r="AK164" s="150">
        <f>ROUND(INDEX(Input!$1:$1048576,AK$93,$C163*2+MIN($B164,1)+5)+(Y164-VLOOKUP($C164*1000+1,$A:$HH,Y$92,FALSE)),0)</f>
        <v>5482</v>
      </c>
      <c r="AL164" s="150">
        <f>ROUND(INDEX(Input!$1:$1048576,AL$93,$C163*2+MIN($B164,1)+5)-(Y164-VLOOKUP($C164*1000+1,$A:$HH,Y$92,FALSE))/36,0)</f>
        <v>5602</v>
      </c>
      <c r="AM164" s="32" t="str">
        <f t="shared" si="387"/>
        <v>std/std/std/std</v>
      </c>
      <c r="AN164" s="32" t="str">
        <f t="shared" si="388"/>
        <v>$0 + 0/0/0/0.9/3.9</v>
      </c>
      <c r="AO164" s="32" t="str">
        <f t="shared" si="389"/>
        <v>0/0/0/0.9/3.9</v>
      </c>
      <c r="AP164" s="32" t="str">
        <f t="shared" si="73"/>
        <v>0/0/0.9/3.9</v>
      </c>
      <c r="AQ164" s="536">
        <f t="shared" si="39"/>
        <v>0.12829998724725886</v>
      </c>
      <c r="AR164" s="32"/>
      <c r="AS164" s="302"/>
      <c r="AT164" s="3">
        <f t="shared" si="106"/>
        <v>64</v>
      </c>
      <c r="AU164" s="41" t="s">
        <v>121</v>
      </c>
      <c r="AV164" s="41" t="s">
        <v>116</v>
      </c>
      <c r="AW164" s="41" t="str">
        <f>INDEX(Input!$1:$1048576,AW$93,$C164*2+6)</f>
        <v>Kia</v>
      </c>
      <c r="AX164" s="41" t="str">
        <f>INDEX(Input!$1:$1048576,AX$93,$C164*2+6)</f>
        <v>Kia-LR - L1</v>
      </c>
      <c r="AY164" s="41" t="str">
        <f>IF(LEN(D164)=0,"",INDEX(Input!$1:$1048576,AY$93,$C164*2+6))</f>
        <v>Compact Conventional/Sporty Car (43)</v>
      </c>
      <c r="AZ164" s="41" t="str">
        <f>INDEX(Input!$1:$1048576,AZ$93,$C164*2+6)</f>
        <v>Kia Forte</v>
      </c>
      <c r="BA164" s="3">
        <f>INDEX(Input!$1:$1048576,BA$93,$C164*2+6)</f>
        <v>2020</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19695</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74"/>
        <v>750</v>
      </c>
      <c r="CJ164" s="16" t="str">
        <f>INDEX(Input!$1:$1048576,CJ$93,$C164*2+6)</f>
        <v>N</v>
      </c>
      <c r="CK164" s="1" t="str">
        <f t="shared" si="75"/>
        <v>Market</v>
      </c>
      <c r="CL164" s="1" t="str">
        <f t="shared" si="76"/>
        <v>Market</v>
      </c>
      <c r="CM164" s="1" t="str">
        <f t="shared" si="77"/>
        <v>Market</v>
      </c>
      <c r="CN164" s="1" t="str">
        <f t="shared" si="78"/>
        <v>Market</v>
      </c>
      <c r="CO164" s="1" t="str">
        <f t="shared" si="79"/>
        <v>Market</v>
      </c>
      <c r="CP164" s="304">
        <f t="shared" si="80"/>
        <v>0</v>
      </c>
      <c r="CQ164" s="1">
        <f t="shared" si="81"/>
        <v>0</v>
      </c>
      <c r="CR164" s="1">
        <f t="shared" si="82"/>
        <v>0</v>
      </c>
      <c r="CS164" s="1">
        <f t="shared" si="83"/>
        <v>0</v>
      </c>
      <c r="CT164" s="1">
        <f t="shared" si="84"/>
        <v>8.9999999999999993E-3</v>
      </c>
      <c r="CU164" s="1">
        <f t="shared" si="85"/>
        <v>3.9E-2</v>
      </c>
      <c r="CV164" s="304">
        <f t="shared" si="86"/>
        <v>2826</v>
      </c>
      <c r="CW164" s="20" t="s">
        <v>122</v>
      </c>
      <c r="CX164" s="20" t="s">
        <v>122</v>
      </c>
      <c r="CY164" s="20" t="s">
        <v>122</v>
      </c>
      <c r="CZ164" s="20" t="s">
        <v>122</v>
      </c>
      <c r="DA164" s="20" t="s">
        <v>122</v>
      </c>
      <c r="DB164" s="503">
        <f t="shared" si="87"/>
        <v>0</v>
      </c>
      <c r="DC164" s="127">
        <v>0</v>
      </c>
      <c r="DD164" s="127">
        <v>0</v>
      </c>
      <c r="DE164" s="127">
        <v>0</v>
      </c>
      <c r="DF164" s="127">
        <v>0</v>
      </c>
      <c r="DG164" s="127">
        <v>0</v>
      </c>
      <c r="DH164" s="127">
        <v>0</v>
      </c>
      <c r="DI164" s="127">
        <v>0</v>
      </c>
      <c r="DJ164" s="127">
        <v>0</v>
      </c>
      <c r="DK164" s="127">
        <v>0</v>
      </c>
      <c r="DL164" s="127">
        <v>0</v>
      </c>
      <c r="DM164" s="304">
        <f>INDEX(Input!$1:$1048576,DM$93,$C164*2+6)</f>
        <v>20731.578947368424</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1.2154949831857392E-2</v>
      </c>
      <c r="DZ164" s="7">
        <v>0</v>
      </c>
      <c r="EA164" s="7">
        <v>0.19175096395774952</v>
      </c>
      <c r="EB164" s="7">
        <v>0</v>
      </c>
      <c r="EC164" s="7">
        <v>0</v>
      </c>
      <c r="ED164" s="7">
        <v>0</v>
      </c>
      <c r="EE164" s="7">
        <v>0</v>
      </c>
      <c r="EF164" s="7">
        <v>0</v>
      </c>
      <c r="EG164" s="7">
        <v>0</v>
      </c>
      <c r="EH164" s="7">
        <v>1.4476869635993296E-2</v>
      </c>
      <c r="EI164" s="7">
        <v>2.6039456772322753E-2</v>
      </c>
      <c r="EJ164" s="7">
        <v>0.20479017957701898</v>
      </c>
      <c r="EK164" s="7">
        <v>0.72317389939610421</v>
      </c>
      <c r="EL164" s="7">
        <v>3.1519594618561159E-2</v>
      </c>
      <c r="EM164" s="7">
        <v>1.9395489153968846E-2</v>
      </c>
      <c r="EN164" s="7">
        <v>5.668659417593376E-2</v>
      </c>
      <c r="EO164" s="7">
        <v>0.54216995014193581</v>
      </c>
      <c r="EP164" s="7">
        <v>0.31173155381219225</v>
      </c>
      <c r="EQ164" s="7">
        <v>5.195431232660349E-2</v>
      </c>
      <c r="ER164" s="7">
        <v>3.7457589543334731E-2</v>
      </c>
      <c r="ES164" s="7">
        <v>0.7766985970564243</v>
      </c>
      <c r="ET164" s="7">
        <v>0.79609408621039301</v>
      </c>
      <c r="EU164" s="6">
        <v>1100</v>
      </c>
      <c r="EV164" s="6">
        <v>0</v>
      </c>
      <c r="EW164" s="6">
        <v>1100</v>
      </c>
      <c r="EX164" s="6">
        <v>0</v>
      </c>
      <c r="EY164" s="6">
        <v>2963.2578502881047</v>
      </c>
      <c r="EZ164" s="6">
        <v>4822.9999999999991</v>
      </c>
      <c r="FA164" s="6">
        <v>0</v>
      </c>
      <c r="FB164" s="6">
        <v>0</v>
      </c>
      <c r="FC164" s="6">
        <v>0</v>
      </c>
      <c r="FD164" s="6">
        <v>0</v>
      </c>
      <c r="FE164" s="6">
        <v>0</v>
      </c>
      <c r="FF164" s="6">
        <v>0</v>
      </c>
      <c r="FG164" s="6">
        <v>0</v>
      </c>
      <c r="FH164" s="6">
        <v>1152.1208270377817</v>
      </c>
      <c r="FI164" s="6">
        <v>1531.4299904380623</v>
      </c>
      <c r="FJ164" s="6">
        <v>2070.7205842538224</v>
      </c>
      <c r="FK164" s="6">
        <v>2218.639369850101</v>
      </c>
      <c r="FL164" s="6">
        <v>893.91433563489363</v>
      </c>
      <c r="FM164" s="6">
        <v>2113.2578502881047</v>
      </c>
      <c r="FN164" s="6">
        <v>0</v>
      </c>
      <c r="FO164" s="6">
        <v>0</v>
      </c>
      <c r="FP164" s="6">
        <v>0</v>
      </c>
      <c r="FQ164" s="6">
        <v>0</v>
      </c>
      <c r="FR164" s="6">
        <v>0</v>
      </c>
      <c r="FS164" s="6">
        <v>0</v>
      </c>
      <c r="FT164" s="7">
        <v>0.2039059137896069</v>
      </c>
      <c r="FU164" s="7">
        <v>1.9395489153968846E-2</v>
      </c>
      <c r="FV164" s="7">
        <v>0.7766985970564243</v>
      </c>
      <c r="FW164" s="6">
        <v>1100</v>
      </c>
      <c r="FX164" s="6">
        <v>2963.2578502881047</v>
      </c>
      <c r="FY164" s="6">
        <v>4822.9999999999991</v>
      </c>
      <c r="FZ164" s="6">
        <v>3077.4375890575293</v>
      </c>
      <c r="GA164" s="6">
        <v>4027.7876742673775</v>
      </c>
      <c r="GB164" s="6">
        <v>15667.212325732622</v>
      </c>
      <c r="GC164" s="7">
        <v>7.0901643973087014E-2</v>
      </c>
      <c r="GD164" s="7">
        <v>7.9397271970842259E-2</v>
      </c>
      <c r="GE164" s="7"/>
      <c r="GF164" s="7"/>
      <c r="GG164" s="7">
        <v>0.11982272231910493</v>
      </c>
      <c r="GH164" s="42">
        <v>2.4831991418758874</v>
      </c>
      <c r="GI164" s="6">
        <v>11959.088739844334</v>
      </c>
      <c r="GJ164" s="14">
        <v>0.51074630601039561</v>
      </c>
      <c r="GK164" s="14">
        <v>0.50829519786160982</v>
      </c>
      <c r="GL164" s="14">
        <v>0.48925369398960439</v>
      </c>
      <c r="GM164" s="14">
        <v>0.49170480213839035</v>
      </c>
      <c r="GO164" s="5">
        <v>338.16872463277008</v>
      </c>
      <c r="GP164" s="5">
        <v>317.18282312950942</v>
      </c>
      <c r="GQ164" s="5">
        <v>527.27910984145694</v>
      </c>
      <c r="GR164" s="5">
        <v>404.20319246551543</v>
      </c>
      <c r="GS164" s="5">
        <v>334.50205195691484</v>
      </c>
      <c r="GT164" s="5">
        <v>289.18266033348181</v>
      </c>
      <c r="GU164" s="5">
        <v>254.29573314828914</v>
      </c>
      <c r="GV164" s="39" t="s">
        <v>392</v>
      </c>
      <c r="GW164" s="5">
        <v>468.76388888888891</v>
      </c>
      <c r="GX164" s="5">
        <v>351.57291666666669</v>
      </c>
      <c r="GY164" s="5">
        <v>281.25833333333333</v>
      </c>
      <c r="GZ164" s="5">
        <v>240.8550698915011</v>
      </c>
      <c r="HA164" s="5">
        <v>229.8919505212948</v>
      </c>
      <c r="HB164" s="39">
        <v>254.96614723549277</v>
      </c>
      <c r="HC164" s="5">
        <v>72.109375000000014</v>
      </c>
      <c r="HD164" s="5">
        <v>92.305464181286524</v>
      </c>
      <c r="HE164" s="5">
        <v>103.7516995614035</v>
      </c>
      <c r="HF164" s="5">
        <v>106.17129934210527</v>
      </c>
      <c r="HG164" s="5">
        <v>115.13410087719299</v>
      </c>
      <c r="HH164" s="39">
        <v>96.304265044073489</v>
      </c>
      <c r="HI164" s="16"/>
      <c r="HJ164" s="19" t="str">
        <f t="shared" si="385"/>
        <v>On</v>
      </c>
      <c r="HK164" s="1" t="str">
        <f t="shared" si="108"/>
        <v>On</v>
      </c>
      <c r="HL164" s="16"/>
      <c r="HM164" s="639">
        <f t="shared" si="441"/>
        <v>1.7699001661282989E-2</v>
      </c>
      <c r="HN164" s="639">
        <f t="shared" si="442"/>
        <v>1.0509929974846072E-3</v>
      </c>
      <c r="HO164" s="639">
        <f t="shared" si="443"/>
        <v>5.7398960259851091E-2</v>
      </c>
      <c r="HP164" s="644">
        <f>(FT164*$GD164-HM164)/$JF164*INDEX(Input!$1:$1048576,$JG$93,$C164*2+6)</f>
        <v>-19.385964589474007</v>
      </c>
      <c r="HQ164" s="644">
        <f>(FU164*$GD164-HN164)/$JF164*INDEX(Input!$1:$1048576,$JG$93,$C164*2+6)</f>
        <v>6.2797828274106022</v>
      </c>
      <c r="HR164" s="644">
        <f>(FV164*$GD164-HO164)/$JF164*INDEX(Input!$1:$1048576,$JG$93,$C164*2+6)</f>
        <v>54.825126959273234</v>
      </c>
      <c r="HS164" s="644">
        <f t="shared" si="444"/>
        <v>-0.25459703557275681</v>
      </c>
      <c r="HT164" s="644">
        <f t="shared" si="445"/>
        <v>21.00201089576845</v>
      </c>
      <c r="HU164" s="644">
        <f t="shared" si="446"/>
        <v>14.556648186464775</v>
      </c>
      <c r="HV164" s="648">
        <f t="shared" si="447"/>
        <v>0</v>
      </c>
      <c r="HW164" s="648">
        <f t="shared" si="448"/>
        <v>0</v>
      </c>
      <c r="HX164" s="648">
        <f t="shared" si="449"/>
        <v>0</v>
      </c>
      <c r="HY164" s="644">
        <f>INDEX(Input!$1:$1048576,HY$93,$C164*2+6)*INDEX(Input!$1:$1048576,$JG$93,$C164*2+6)</f>
        <v>154.99999999999997</v>
      </c>
      <c r="HZ164" s="644">
        <f>INDEX(Input!$1:$1048576,HZ$93,$C164*2+6)*INDEX(Input!$1:$1048576,$JG$93,$C164*2+6)</f>
        <v>140</v>
      </c>
      <c r="IA164" s="644">
        <f>INDEX(Input!$1:$1048576,IA$93,$C164*2+6)*INDEX(Input!$1:$1048576,$JG$93,$C164*2+6)</f>
        <v>683</v>
      </c>
      <c r="IB164" s="644">
        <f t="shared" si="450"/>
        <v>135.35943837495324</v>
      </c>
      <c r="IC164" s="644">
        <f t="shared" si="451"/>
        <v>167.28179372317905</v>
      </c>
      <c r="ID164" s="644">
        <f>IF(AND(INDEX(Input!$1:$1048576,IA$93,$C164*2+7)="TOS",Y164&lt;=INDEX(Y:Y,MATCH(C164*1000+2,A:A))),0,1)*MAX(IA164+HR164+HU164+HX164,0%)</f>
        <v>752.38177514573806</v>
      </c>
      <c r="IE164" s="128">
        <f t="shared" si="452"/>
        <v>0.12829998724725886</v>
      </c>
      <c r="IF164" s="128">
        <f t="shared" si="453"/>
        <v>0.15855748412556805</v>
      </c>
      <c r="IG164" s="128">
        <f t="shared" si="454"/>
        <v>0.71314252862717309</v>
      </c>
      <c r="IH164" s="21"/>
      <c r="II164" s="19">
        <f t="shared" si="455"/>
        <v>1200</v>
      </c>
      <c r="IJ164" s="19">
        <f t="shared" si="456"/>
        <v>2231.5502763133163</v>
      </c>
      <c r="IK164" s="19">
        <f t="shared" si="457"/>
        <v>4498</v>
      </c>
      <c r="IL164" s="19">
        <f t="shared" si="458"/>
        <v>-100</v>
      </c>
      <c r="IM164" s="19">
        <f t="shared" si="459"/>
        <v>731.70757397478837</v>
      </c>
      <c r="IN164" s="19">
        <f t="shared" si="460"/>
        <v>324.99999999999909</v>
      </c>
      <c r="IO164" s="39">
        <f t="shared" si="461"/>
        <v>0</v>
      </c>
      <c r="IP164" s="39">
        <f t="shared" si="462"/>
        <v>0</v>
      </c>
      <c r="IQ164" s="39">
        <f t="shared" si="463"/>
        <v>0</v>
      </c>
      <c r="IR164" s="39">
        <v>0</v>
      </c>
      <c r="IS164" s="39">
        <v>0</v>
      </c>
      <c r="IT164" s="39">
        <v>0</v>
      </c>
      <c r="IU164" s="39">
        <v>0</v>
      </c>
      <c r="IV164" s="39">
        <v>0</v>
      </c>
      <c r="IW164" s="39">
        <v>0</v>
      </c>
      <c r="IX164" s="39">
        <f>INDEX(Input!$1:$1048576,IX$93,$C164*2+6)+INDEX(Input!$1:$1048576,IX$94,$C164*2+6)</f>
        <v>1600</v>
      </c>
      <c r="IY164" s="39">
        <f>INDEX(Input!$1:$1048576,IY$93,$C164*2+6)+INDEX(Input!$1:$1048576,IY$94,$C164*2+6)</f>
        <v>2503.5492916397525</v>
      </c>
      <c r="IZ164" s="39">
        <f>INDEX(Input!$1:$1048576,IZ$93,$C164*2+6)+INDEX(Input!$1:$1048576,IZ$94,$C164*2+6)</f>
        <v>6273.7109265464023</v>
      </c>
      <c r="JA164" s="19">
        <f t="shared" si="464"/>
        <v>1500</v>
      </c>
      <c r="JB164" s="19">
        <f t="shared" si="465"/>
        <v>3235.2568656145409</v>
      </c>
      <c r="JC164" s="19">
        <f t="shared" si="466"/>
        <v>6598.7109265464014</v>
      </c>
      <c r="JD164" s="19">
        <f t="shared" si="467"/>
        <v>5411.2455658197578</v>
      </c>
      <c r="JE164" s="21"/>
      <c r="JF164" s="1">
        <f t="shared" si="468"/>
        <v>7.6148954918618686E-2</v>
      </c>
      <c r="JG164" s="15">
        <f>INDEX(Input!$1:$1048576,JG$93,$C164*2+6)/(1+VLOOKUP(C164*1000+INDEX(Input!$1:$1048576,JG$93+1,$C164*2+6),$A:$KK,$JK$92,FALSE))</f>
        <v>978</v>
      </c>
      <c r="JH164" s="1">
        <f t="shared" si="469"/>
        <v>4.2657408177106171E-2</v>
      </c>
      <c r="JI164" s="1">
        <f t="shared" si="470"/>
        <v>3.6098222951595572E-2</v>
      </c>
      <c r="JJ164" s="1">
        <f t="shared" si="471"/>
        <v>0</v>
      </c>
      <c r="JK164" s="1">
        <f t="shared" si="472"/>
        <v>7.8755631128701736E-2</v>
      </c>
      <c r="JL164" s="15">
        <f t="shared" si="473"/>
        <v>77.023007243870296</v>
      </c>
      <c r="JM164" s="15">
        <f t="shared" si="474"/>
        <v>1055.0230072438703</v>
      </c>
      <c r="JN164" s="21"/>
      <c r="JO164" s="19">
        <f>INDEX(Input!$1:$1048576,JO$93,$C164*2+6)</f>
        <v>5908.5</v>
      </c>
      <c r="JP164" s="19">
        <f>INDEX(Input!$1:$1048576,JP$93,$C164*2+6)</f>
        <v>4993.2939301234746</v>
      </c>
      <c r="JQ164" s="39">
        <f t="shared" si="475"/>
        <v>497.25443418024224</v>
      </c>
      <c r="JR164" s="39">
        <f t="shared" si="476"/>
        <v>417.95163569628312</v>
      </c>
      <c r="JS164" s="39">
        <f t="shared" si="477"/>
        <v>5.7089885697862197</v>
      </c>
      <c r="JT164" s="39">
        <f t="shared" si="478"/>
        <v>0.82554710612546189</v>
      </c>
      <c r="JU164" s="385">
        <f>(JQ164*JM164-INDEX(Input!$1:$1048576,Input!A$18,$C164*2+6)*JL164*INDEX(Input!$1:$1048576,Input!A$19,$C164*2+6))/1000000</f>
        <v>0.52461486851418837</v>
      </c>
      <c r="JV164" s="39">
        <f t="shared" si="479"/>
        <v>-0.37045666782505338</v>
      </c>
      <c r="JW164" s="1">
        <f t="shared" si="480"/>
        <v>-0.41388498324970341</v>
      </c>
      <c r="JX164" s="19">
        <f t="shared" si="481"/>
        <v>10718.188443507719</v>
      </c>
      <c r="JZ164" s="341"/>
      <c r="KA164" s="342"/>
      <c r="KB164" s="469">
        <f t="shared" si="110"/>
        <v>3.2656316020464753</v>
      </c>
      <c r="KI164" s="473">
        <f t="shared" si="482"/>
        <v>-19.640561625046729</v>
      </c>
      <c r="KJ164" s="473">
        <f t="shared" si="483"/>
        <v>27.281793723179049</v>
      </c>
      <c r="KK164" s="473">
        <f t="shared" si="484"/>
        <v>69.381775145738061</v>
      </c>
      <c r="KN164" s="544">
        <f t="shared" si="485"/>
        <v>1002</v>
      </c>
      <c r="KO164" s="541">
        <f t="shared" si="486"/>
        <v>-2.9169646329216814E-3</v>
      </c>
      <c r="KP164" s="546">
        <f t="shared" si="487"/>
        <v>-11.555275228791125</v>
      </c>
      <c r="KQ164" s="546">
        <f t="shared" si="488"/>
        <v>56.791665844317322</v>
      </c>
      <c r="KR164" s="548">
        <f t="shared" si="489"/>
        <v>3.6200665897017146</v>
      </c>
      <c r="KS164" s="548">
        <f t="shared" si="490"/>
        <v>-0.73656697983160613</v>
      </c>
      <c r="KT164" s="473">
        <f t="shared" si="112"/>
        <v>-82.310573396665475</v>
      </c>
      <c r="KU164" s="663">
        <f t="shared" si="491"/>
        <v>-50.29101775075695</v>
      </c>
    </row>
    <row r="165" spans="1:308" s="26" customFormat="1" ht="15" outlineLevel="1">
      <c r="A165" s="561">
        <f t="shared" si="386"/>
        <v>1065</v>
      </c>
      <c r="B165" s="561">
        <f t="shared" si="104"/>
        <v>65</v>
      </c>
      <c r="C165" s="561">
        <f t="shared" si="105"/>
        <v>1</v>
      </c>
      <c r="D165" s="561" t="str">
        <f t="shared" si="376"/>
        <v xml:space="preserve">250 CC, 0.9/1.9/2.9/3.9, </v>
      </c>
      <c r="E165" s="475">
        <f>INDEX(Input!$1:$1048576,E$93,$C165*2+MIN($B165,2)+5)
+INDEX(Scenarios!E$121:E$200,MATCH($B165,Scenarios!$B$121:$B$200,0))</f>
        <v>1500</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0</v>
      </c>
      <c r="R165" s="478">
        <f>IFERROR(MAX(0,INDEX(Input!$1:$1048576,R$93,$C165*2+MIN($B165,2)+5)
+INDEX(Scenarios!R$121:R$200,MATCH($B165,Scenarios!$B$121:$B$200,0)),),"Market")</f>
        <v>9.0000000000000011E-3</v>
      </c>
      <c r="S165" s="478">
        <f>IFERROR(MAX(0,INDEX(Input!$1:$1048576,S$93,$C165*2+MIN($B165,2)+5)
+INDEX(Scenarios!S$121:S$200,MATCH($B165,Scenarios!$B$121:$B$200,0)),),"Market")</f>
        <v>9.0000000000000011E-3</v>
      </c>
      <c r="T165" s="478">
        <f>IFERROR(MAX(0,INDEX(Input!$1:$1048576,T$93,$C165*2+MIN($B165,2)+5)
+INDEX(Scenarios!T$121:T$200,MATCH($B165,Scenarios!$B$121:$B$200,0)),),"Market")</f>
        <v>9.0000000000000011E-3</v>
      </c>
      <c r="U165" s="478">
        <f>IFERROR(MAX(0,INDEX(Input!$1:$1048576,U$93,$C165*2+MIN($B165,2)+5)
+INDEX(Scenarios!U$121:U$200,MATCH($B165,Scenarios!$B$121:$B$200,0)),),"Market")</f>
        <v>9.0000000000000011E-3</v>
      </c>
      <c r="V165" s="478">
        <f>IFERROR(MAX(0,INDEX(Input!$1:$1048576,V$93,$C165*2+MIN($B165,2)+5)
+INDEX(Scenarios!V$121:V$200,MATCH($B165,Scenarios!$B$121:$B$200,0)),),"Market")</f>
        <v>2.8999999999999998E-2</v>
      </c>
      <c r="W165" s="863">
        <f>IFERROR(MAX(0,INDEX(Input!$1:$1048576,W$93,$C165*2+MIN($B165,2)+5)-0%,),"Market")</f>
        <v>3.9E-2</v>
      </c>
      <c r="X165" s="476" t="str">
        <f>INDEX(Input!$1:$1048576,X$93,$C165*2+MIN($B165,2)+5)</f>
        <v>Y</v>
      </c>
      <c r="Y165" s="475">
        <f>INDEX(Input!$1:$1048576,Y$93,$C165*2+MIN($B165,2)+5)
++INDEX(Scenarios!Y$121:Y$200,MATCH($B165,Scenarios!$B$121:$B$200,0))</f>
        <v>2826</v>
      </c>
      <c r="Z165" s="477">
        <f>INDEX(Input!$1:$1048576,Z$93,$C165*2+MIN($B165,2)+5)
+INDEX(Scenarios!Z$121:Z$200,MATCH($B165,Scenarios!$B$121:$B$200,0))</f>
        <v>0</v>
      </c>
      <c r="AA165" s="475">
        <f>INDEX(Input!$1:$1048576,AA$93,$C165*2+MIN($B165,2)+5)</f>
        <v>0</v>
      </c>
      <c r="AB165" s="476">
        <f>INDEX(Input!$1:$1048576,AB$93,$C165*2+MIN($B165,2)+5)</f>
        <v>1</v>
      </c>
      <c r="AC165" s="475">
        <f>INDEX(Input!$1:$1048576,AC$93,$C165*2+MIN($B165,2)+5)
+INDEX(Scenarios!AC$121:AC$200,MATCH($B165,Scenarios!$B$121:$B$200,0))</f>
        <v>0</v>
      </c>
      <c r="AD165" s="476">
        <f>INDEX(Input!$1:$1048576,AD$93,$C165*2+MIN($B165,2)+5)</f>
        <v>0.35</v>
      </c>
      <c r="AE165" s="475">
        <f>INDEX(Input!$1:$1048576,AE$93,$C165*2+MIN($B165,2)+5)
+INDEX(Scenarios!AE$121:AE$200,MATCH($B165,Scenarios!$B$121:$B$200,0))</f>
        <v>0</v>
      </c>
      <c r="AF165" s="476">
        <f>INDEX(Input!$1:$1048576,AF$93,$C165*2+MIN($B165,2)+5)</f>
        <v>1</v>
      </c>
      <c r="AG165" s="475">
        <f>INDEX(Input!$1:$1048576,AG$93,$C165*2+MIN($B165,2)+5)
+INDEX(Scenarios!AG$121:AG$200,MATCH($B165,Scenarios!$B$121:$B$200,0))</f>
        <v>0</v>
      </c>
      <c r="AH165" s="476">
        <f>INDEX(Input!$1:$1048576,AH$93,$C165*2+MIN($B165,2)+5)</f>
        <v>1</v>
      </c>
      <c r="AI165" s="475">
        <f>INDEX(Input!$1:$1048576,AI$93,$C165*2+MIN($B165,2)+5)
+INDEX(Scenarios!AI$121:AI$200,MATCH($B165,Scenarios!$B$121:$B$200,0))</f>
        <v>0</v>
      </c>
      <c r="AJ165" s="476">
        <f>INDEX(Input!$1:$1048576,AJ$93,$C165*2+MIN($B165,2)+5)</f>
        <v>0.35</v>
      </c>
      <c r="AK165" s="150">
        <f>ROUND(INDEX(Input!$1:$1048576,AK$93,$C164*2+MIN($B165,1)+5)+(Y165-VLOOKUP($C165*1000+1,$A:$HH,Y$92,FALSE)),0)</f>
        <v>5482</v>
      </c>
      <c r="AL165" s="150">
        <f>ROUND(INDEX(Input!$1:$1048576,AL$93,$C164*2+MIN($B165,1)+5)-(Y165-VLOOKUP($C165*1000+1,$A:$HH,Y$92,FALSE))/36,0)</f>
        <v>5602</v>
      </c>
      <c r="AM165" s="32" t="str">
        <f t="shared" si="387"/>
        <v>std/std/std/std</v>
      </c>
      <c r="AN165" s="32" t="str">
        <f t="shared" si="388"/>
        <v>$0 + 0.9/0.9/0.9/2.9/3.9</v>
      </c>
      <c r="AO165" s="32" t="str">
        <f t="shared" si="389"/>
        <v>0.9/0.9/0.9/2.9/3.9</v>
      </c>
      <c r="AP165" s="32" t="str">
        <f t="shared" si="73"/>
        <v>0.9/1.9/2.9/3.9</v>
      </c>
      <c r="AQ165" s="536">
        <f t="shared" ref="AQ165:AQ228" si="492">SUM(IE165,G165*IF165,H165*IG165,AC165*AD165,AE165*AF165,AI165)</f>
        <v>0.17439635947132073</v>
      </c>
      <c r="AR165" s="32"/>
      <c r="AS165" s="302"/>
      <c r="AT165" s="3">
        <f t="shared" si="106"/>
        <v>65</v>
      </c>
      <c r="AU165" s="41" t="s">
        <v>121</v>
      </c>
      <c r="AV165" s="41" t="s">
        <v>116</v>
      </c>
      <c r="AW165" s="41" t="str">
        <f>INDEX(Input!$1:$1048576,AW$93,$C165*2+6)</f>
        <v>Kia</v>
      </c>
      <c r="AX165" s="41" t="str">
        <f>INDEX(Input!$1:$1048576,AX$93,$C165*2+6)</f>
        <v>Kia-LR - L1</v>
      </c>
      <c r="AY165" s="41" t="str">
        <f>IF(LEN(D165)=0,"",INDEX(Input!$1:$1048576,AY$93,$C165*2+6))</f>
        <v>Compact Conventional/Sporty Car (43)</v>
      </c>
      <c r="AZ165" s="41" t="str">
        <f>INDEX(Input!$1:$1048576,AZ$93,$C165*2+6)</f>
        <v>Kia Forte</v>
      </c>
      <c r="BA165" s="3">
        <f>INDEX(Input!$1:$1048576,BA$93,$C165*2+6)</f>
        <v>2020</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19695</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74"/>
        <v>1500</v>
      </c>
      <c r="CJ165" s="16" t="str">
        <f>INDEX(Input!$1:$1048576,CJ$93,$C165*2+6)</f>
        <v>N</v>
      </c>
      <c r="CK165" s="1" t="str">
        <f t="shared" si="75"/>
        <v>Market</v>
      </c>
      <c r="CL165" s="1" t="str">
        <f t="shared" si="76"/>
        <v>Market</v>
      </c>
      <c r="CM165" s="1" t="str">
        <f t="shared" si="77"/>
        <v>Market</v>
      </c>
      <c r="CN165" s="1" t="str">
        <f t="shared" si="78"/>
        <v>Market</v>
      </c>
      <c r="CO165" s="1" t="str">
        <f t="shared" si="79"/>
        <v>Market</v>
      </c>
      <c r="CP165" s="304">
        <f t="shared" si="80"/>
        <v>0</v>
      </c>
      <c r="CQ165" s="1">
        <f t="shared" si="81"/>
        <v>9.0000000000000011E-3</v>
      </c>
      <c r="CR165" s="1">
        <f t="shared" si="82"/>
        <v>9.0000000000000011E-3</v>
      </c>
      <c r="CS165" s="1">
        <f t="shared" si="83"/>
        <v>9.0000000000000011E-3</v>
      </c>
      <c r="CT165" s="1">
        <f t="shared" si="84"/>
        <v>2.8999999999999998E-2</v>
      </c>
      <c r="CU165" s="1">
        <f t="shared" si="85"/>
        <v>3.9E-2</v>
      </c>
      <c r="CV165" s="304">
        <f t="shared" si="86"/>
        <v>2826</v>
      </c>
      <c r="CW165" s="20" t="s">
        <v>122</v>
      </c>
      <c r="CX165" s="20" t="s">
        <v>122</v>
      </c>
      <c r="CY165" s="20" t="s">
        <v>122</v>
      </c>
      <c r="CZ165" s="20" t="s">
        <v>122</v>
      </c>
      <c r="DA165" s="20" t="s">
        <v>122</v>
      </c>
      <c r="DB165" s="503">
        <f t="shared" si="87"/>
        <v>0</v>
      </c>
      <c r="DC165" s="127">
        <v>0</v>
      </c>
      <c r="DD165" s="127">
        <v>0</v>
      </c>
      <c r="DE165" s="127">
        <v>0</v>
      </c>
      <c r="DF165" s="127">
        <v>0</v>
      </c>
      <c r="DG165" s="127">
        <v>0</v>
      </c>
      <c r="DH165" s="127">
        <v>0</v>
      </c>
      <c r="DI165" s="127">
        <v>0</v>
      </c>
      <c r="DJ165" s="127">
        <v>0</v>
      </c>
      <c r="DK165" s="127">
        <v>0</v>
      </c>
      <c r="DL165" s="127">
        <v>0</v>
      </c>
      <c r="DM165" s="304">
        <f>INDEX(Input!$1:$1048576,DM$93,$C165*2+6)</f>
        <v>20731.578947368424</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1.4870907455685435E-2</v>
      </c>
      <c r="DZ165" s="7">
        <v>0</v>
      </c>
      <c r="EA165" s="7">
        <v>0.23162176129803624</v>
      </c>
      <c r="EB165" s="7">
        <v>0</v>
      </c>
      <c r="EC165" s="7">
        <v>0</v>
      </c>
      <c r="ED165" s="7">
        <v>0</v>
      </c>
      <c r="EE165" s="7">
        <v>0</v>
      </c>
      <c r="EF165" s="7">
        <v>0</v>
      </c>
      <c r="EG165" s="7">
        <v>0</v>
      </c>
      <c r="EH165" s="7">
        <v>2.433999189819808E-2</v>
      </c>
      <c r="EI165" s="7">
        <v>4.0856814647068168E-2</v>
      </c>
      <c r="EJ165" s="7">
        <v>0.30271672059585364</v>
      </c>
      <c r="EK165" s="7">
        <v>0.56775043590985841</v>
      </c>
      <c r="EL165" s="7">
        <v>6.4336036949021624E-2</v>
      </c>
      <c r="EM165" s="7">
        <v>9.1071192333159641E-3</v>
      </c>
      <c r="EN165" s="7">
        <v>5.6686594175933754E-2</v>
      </c>
      <c r="EO165" s="7">
        <v>0.5421699501419357</v>
      </c>
      <c r="EP165" s="7">
        <v>0.31173155381219225</v>
      </c>
      <c r="EQ165" s="7">
        <v>5.1954312326603483E-2</v>
      </c>
      <c r="ER165" s="7">
        <v>3.7457589543334724E-2</v>
      </c>
      <c r="ES165" s="7">
        <v>0.74440021201296236</v>
      </c>
      <c r="ET165" s="7">
        <v>0.75350733124627833</v>
      </c>
      <c r="EU165" s="6">
        <v>1850</v>
      </c>
      <c r="EV165" s="6">
        <v>0</v>
      </c>
      <c r="EW165" s="6">
        <v>1850</v>
      </c>
      <c r="EX165" s="6">
        <v>0</v>
      </c>
      <c r="EY165" s="6">
        <v>2216.9471942387718</v>
      </c>
      <c r="EZ165" s="6">
        <v>4822.9999999999991</v>
      </c>
      <c r="FA165" s="6">
        <v>0</v>
      </c>
      <c r="FB165" s="6">
        <v>0</v>
      </c>
      <c r="FC165" s="6">
        <v>0</v>
      </c>
      <c r="FD165" s="6">
        <v>0</v>
      </c>
      <c r="FE165" s="6">
        <v>0</v>
      </c>
      <c r="FF165" s="6">
        <v>0</v>
      </c>
      <c r="FG165" s="6">
        <v>0</v>
      </c>
      <c r="FH165" s="6">
        <v>924.48091338374604</v>
      </c>
      <c r="FI165" s="6">
        <v>1232.116446530423</v>
      </c>
      <c r="FJ165" s="6">
        <v>1709.9775738488465</v>
      </c>
      <c r="FK165" s="6">
        <v>1266.3227157028189</v>
      </c>
      <c r="FL165" s="6">
        <v>893.91433563489363</v>
      </c>
      <c r="FM165" s="6">
        <v>1366.9471942387715</v>
      </c>
      <c r="FN165" s="6">
        <v>0</v>
      </c>
      <c r="FO165" s="6">
        <v>0</v>
      </c>
      <c r="FP165" s="6">
        <v>0</v>
      </c>
      <c r="FQ165" s="6">
        <v>0</v>
      </c>
      <c r="FR165" s="6">
        <v>0</v>
      </c>
      <c r="FS165" s="6">
        <v>0</v>
      </c>
      <c r="FT165" s="7">
        <v>0.24649266875372167</v>
      </c>
      <c r="FU165" s="7">
        <v>9.1071192333159641E-3</v>
      </c>
      <c r="FV165" s="7">
        <v>0.74440021201296236</v>
      </c>
      <c r="FW165" s="6">
        <v>1850</v>
      </c>
      <c r="FX165" s="6">
        <v>2216.9471942387718</v>
      </c>
      <c r="FY165" s="6">
        <v>4822.9999999999991</v>
      </c>
      <c r="FZ165" s="6">
        <v>3077.4375890575293</v>
      </c>
      <c r="GA165" s="6">
        <v>4066.4436621647997</v>
      </c>
      <c r="GB165" s="6">
        <v>15628.5563378352</v>
      </c>
      <c r="GC165" s="7">
        <v>7.0901643973087014E-2</v>
      </c>
      <c r="GD165" s="7">
        <v>8.0828420208354568E-2</v>
      </c>
      <c r="GE165" s="7"/>
      <c r="GF165" s="7"/>
      <c r="GG165" s="7">
        <v>0.14000770192346426</v>
      </c>
      <c r="GH165" s="42">
        <v>2.7881038998266572</v>
      </c>
      <c r="GI165" s="6">
        <v>11130.384142010073</v>
      </c>
      <c r="GJ165" s="14">
        <v>0.5107463060103955</v>
      </c>
      <c r="GK165" s="14">
        <v>0.5082951978616097</v>
      </c>
      <c r="GL165" s="14">
        <v>0.48925369398960439</v>
      </c>
      <c r="GM165" s="14">
        <v>0.4917048021383903</v>
      </c>
      <c r="GO165" s="5">
        <v>338.16872463277008</v>
      </c>
      <c r="GP165" s="5">
        <v>302.87425392274076</v>
      </c>
      <c r="GQ165" s="5">
        <v>527.27910984145694</v>
      </c>
      <c r="GR165" s="5">
        <v>404.20319246551543</v>
      </c>
      <c r="GS165" s="5">
        <v>334.50205195691484</v>
      </c>
      <c r="GT165" s="5">
        <v>289.18266033348181</v>
      </c>
      <c r="GU165" s="5">
        <v>254.29573314828914</v>
      </c>
      <c r="GV165" s="39" t="s">
        <v>392</v>
      </c>
      <c r="GW165" s="5">
        <v>475.29643226912253</v>
      </c>
      <c r="GX165" s="5">
        <v>358.07100736083845</v>
      </c>
      <c r="GY165" s="5">
        <v>287.73954748358943</v>
      </c>
      <c r="GZ165" s="5">
        <v>255.64660634518972</v>
      </c>
      <c r="HA165" s="5">
        <v>229.8919505212948</v>
      </c>
      <c r="HB165" s="39">
        <v>273.23573350324887</v>
      </c>
      <c r="HC165" s="5">
        <v>72.109375000000014</v>
      </c>
      <c r="HD165" s="5">
        <v>92.305464181286524</v>
      </c>
      <c r="HE165" s="5">
        <v>103.7516995614035</v>
      </c>
      <c r="HF165" s="5">
        <v>106.17129934210527</v>
      </c>
      <c r="HG165" s="5">
        <v>115.13410087719299</v>
      </c>
      <c r="HH165" s="39">
        <v>96.304265044073475</v>
      </c>
      <c r="HI165" s="16"/>
      <c r="HJ165" s="19" t="str">
        <f t="shared" si="385"/>
        <v>On</v>
      </c>
      <c r="HK165" s="1" t="str">
        <f t="shared" si="108"/>
        <v>On</v>
      </c>
      <c r="HL165" s="16"/>
      <c r="HM165" s="639">
        <f t="shared" si="441"/>
        <v>1.7699001661282989E-2</v>
      </c>
      <c r="HN165" s="639">
        <f t="shared" si="442"/>
        <v>1.0509929974846072E-3</v>
      </c>
      <c r="HO165" s="639">
        <f t="shared" si="443"/>
        <v>5.7398960259851091E-2</v>
      </c>
      <c r="HP165" s="644">
        <f>(FT165*$GD165-HM165)/$JF165*INDEX(Input!$1:$1048576,$JG$93,$C165*2+6)</f>
        <v>28.571237776175209</v>
      </c>
      <c r="HQ165" s="644">
        <f>(FU165*$GD165-HN165)/$JF165*INDEX(Input!$1:$1048576,$JG$93,$C165*2+6)</f>
        <v>-4.0440686404314281</v>
      </c>
      <c r="HR165" s="644">
        <f>(FV165*$GD165-HO165)/$JF165*INDEX(Input!$1:$1048576,$JG$93,$C165*2+6)</f>
        <v>35.572369436422726</v>
      </c>
      <c r="HS165" s="644">
        <f t="shared" si="444"/>
        <v>5.0811301381073421E-3</v>
      </c>
      <c r="HT165" s="644">
        <f t="shared" si="445"/>
        <v>-4.5871302861318055</v>
      </c>
      <c r="HU165" s="644">
        <f t="shared" si="446"/>
        <v>19.120991471968651</v>
      </c>
      <c r="HV165" s="648">
        <f t="shared" si="447"/>
        <v>0</v>
      </c>
      <c r="HW165" s="648">
        <f t="shared" si="448"/>
        <v>0</v>
      </c>
      <c r="HX165" s="648">
        <f t="shared" si="449"/>
        <v>0</v>
      </c>
      <c r="HY165" s="644">
        <f>INDEX(Input!$1:$1048576,HY$93,$C165*2+6)*INDEX(Input!$1:$1048576,$JG$93,$C165*2+6)</f>
        <v>154.99999999999997</v>
      </c>
      <c r="HZ165" s="644">
        <f>INDEX(Input!$1:$1048576,HZ$93,$C165*2+6)*INDEX(Input!$1:$1048576,$JG$93,$C165*2+6)</f>
        <v>140</v>
      </c>
      <c r="IA165" s="644">
        <f>INDEX(Input!$1:$1048576,IA$93,$C165*2+6)*INDEX(Input!$1:$1048576,$JG$93,$C165*2+6)</f>
        <v>683</v>
      </c>
      <c r="IB165" s="644">
        <f t="shared" si="450"/>
        <v>183.5763189063133</v>
      </c>
      <c r="IC165" s="644">
        <f t="shared" si="451"/>
        <v>131.36880107343677</v>
      </c>
      <c r="ID165" s="644">
        <f>IF(AND(INDEX(Input!$1:$1048576,IA$93,$C165*2+7)="TOS",Y165&lt;=INDEX(Y:Y,MATCH(C165*1000+2,A:A))),0,1)*MAX(IA165+HR165+HU165+HX165,0%)</f>
        <v>737.69336090839136</v>
      </c>
      <c r="IE165" s="128">
        <f t="shared" si="452"/>
        <v>0.17439635947132073</v>
      </c>
      <c r="IF165" s="128">
        <f t="shared" si="453"/>
        <v>0.12479954272866514</v>
      </c>
      <c r="IG165" s="128">
        <f t="shared" si="454"/>
        <v>0.70080409780001407</v>
      </c>
      <c r="IH165" s="21"/>
      <c r="II165" s="19">
        <f t="shared" si="455"/>
        <v>1200</v>
      </c>
      <c r="IJ165" s="19">
        <f t="shared" si="456"/>
        <v>2231.5502763133163</v>
      </c>
      <c r="IK165" s="19">
        <f t="shared" si="457"/>
        <v>4498</v>
      </c>
      <c r="IL165" s="19">
        <f t="shared" si="458"/>
        <v>650</v>
      </c>
      <c r="IM165" s="19">
        <f t="shared" si="459"/>
        <v>-14.603082074544545</v>
      </c>
      <c r="IN165" s="19">
        <f t="shared" si="460"/>
        <v>324.99999999999909</v>
      </c>
      <c r="IO165" s="39">
        <f t="shared" si="461"/>
        <v>0</v>
      </c>
      <c r="IP165" s="39">
        <f t="shared" si="462"/>
        <v>0</v>
      </c>
      <c r="IQ165" s="39">
        <f t="shared" si="463"/>
        <v>0</v>
      </c>
      <c r="IR165" s="39">
        <v>0</v>
      </c>
      <c r="IS165" s="39">
        <v>0</v>
      </c>
      <c r="IT165" s="39">
        <v>0</v>
      </c>
      <c r="IU165" s="39">
        <v>0</v>
      </c>
      <c r="IV165" s="39">
        <v>0</v>
      </c>
      <c r="IW165" s="39">
        <v>0</v>
      </c>
      <c r="IX165" s="39">
        <f>INDEX(Input!$1:$1048576,IX$93,$C165*2+6)+INDEX(Input!$1:$1048576,IX$94,$C165*2+6)</f>
        <v>1600</v>
      </c>
      <c r="IY165" s="39">
        <f>INDEX(Input!$1:$1048576,IY$93,$C165*2+6)+INDEX(Input!$1:$1048576,IY$94,$C165*2+6)</f>
        <v>2503.5492916397525</v>
      </c>
      <c r="IZ165" s="39">
        <f>INDEX(Input!$1:$1048576,IZ$93,$C165*2+6)+INDEX(Input!$1:$1048576,IZ$94,$C165*2+6)</f>
        <v>6273.7109265464023</v>
      </c>
      <c r="JA165" s="19">
        <f t="shared" si="464"/>
        <v>2250</v>
      </c>
      <c r="JB165" s="19">
        <f t="shared" si="465"/>
        <v>2488.9462095652079</v>
      </c>
      <c r="JC165" s="19">
        <f t="shared" si="466"/>
        <v>6598.7109265464014</v>
      </c>
      <c r="JD165" s="19">
        <f t="shared" si="467"/>
        <v>5327.4148151619002</v>
      </c>
      <c r="JE165" s="21"/>
      <c r="JF165" s="1">
        <f t="shared" si="468"/>
        <v>7.6148954918618686E-2</v>
      </c>
      <c r="JG165" s="15">
        <f>INDEX(Input!$1:$1048576,JG$93,$C165*2+6)/(1+VLOOKUP(C165*1000+INDEX(Input!$1:$1048576,JG$93+1,$C165*2+6),$A:$KK,$JK$92,FALSE))</f>
        <v>978</v>
      </c>
      <c r="JH165" s="1">
        <f t="shared" si="469"/>
        <v>6.145147093268559E-2</v>
      </c>
      <c r="JI165" s="1">
        <f t="shared" si="470"/>
        <v>1.4865994188113449E-2</v>
      </c>
      <c r="JJ165" s="1">
        <f t="shared" si="471"/>
        <v>0</v>
      </c>
      <c r="JK165" s="1">
        <f t="shared" si="472"/>
        <v>7.6317465120799038E-2</v>
      </c>
      <c r="JL165" s="15">
        <f t="shared" si="473"/>
        <v>74.638480888141459</v>
      </c>
      <c r="JM165" s="15">
        <f t="shared" si="474"/>
        <v>1052.6384808881414</v>
      </c>
      <c r="JN165" s="21"/>
      <c r="JO165" s="19">
        <f>INDEX(Input!$1:$1048576,JO$93,$C165*2+6)</f>
        <v>5908.5</v>
      </c>
      <c r="JP165" s="19">
        <f>INDEX(Input!$1:$1048576,JP$93,$C165*2+6)</f>
        <v>4993.2939301234746</v>
      </c>
      <c r="JQ165" s="39">
        <f t="shared" si="475"/>
        <v>581.08518483809985</v>
      </c>
      <c r="JR165" s="39">
        <f t="shared" si="476"/>
        <v>334.12088503842551</v>
      </c>
      <c r="JS165" s="39">
        <f t="shared" si="477"/>
        <v>5.6078418380930017</v>
      </c>
      <c r="JT165" s="39">
        <f t="shared" si="478"/>
        <v>0.72440037443224337</v>
      </c>
      <c r="JU165" s="385">
        <f>(JQ165*JM165-INDEX(Input!$1:$1048576,Input!A$18,$C165*2+6)*JL165*INDEX(Input!$1:$1048576,Input!A$19,$C165*2+6))/1000000</f>
        <v>0.6116726262345823</v>
      </c>
      <c r="JV165" s="39">
        <f t="shared" si="479"/>
        <v>-0.28339891010465945</v>
      </c>
      <c r="JW165" s="1">
        <f t="shared" si="480"/>
        <v>-0.31662151973208119</v>
      </c>
      <c r="JX165" s="19">
        <f t="shared" si="481"/>
        <v>9705.4544226038215</v>
      </c>
      <c r="JZ165" s="341"/>
      <c r="KA165" s="342"/>
      <c r="KB165" s="469">
        <f t="shared" si="110"/>
        <v>3.2656316020464753</v>
      </c>
      <c r="KI165" s="473">
        <f t="shared" si="482"/>
        <v>28.576318906313332</v>
      </c>
      <c r="KJ165" s="473">
        <f t="shared" si="483"/>
        <v>-8.6311989265632292</v>
      </c>
      <c r="KK165" s="473">
        <f t="shared" si="484"/>
        <v>54.693360908391355</v>
      </c>
      <c r="KN165" s="544">
        <f t="shared" si="485"/>
        <v>1002</v>
      </c>
      <c r="KO165" s="541">
        <f t="shared" si="486"/>
        <v>-5.1705370767057834E-3</v>
      </c>
      <c r="KP165" s="546">
        <f t="shared" si="487"/>
        <v>-8.1431851889681042</v>
      </c>
      <c r="KQ165" s="546">
        <f t="shared" si="488"/>
        <v>-27.039084813540285</v>
      </c>
      <c r="KR165" s="548">
        <f t="shared" si="489"/>
        <v>9.1055678570146217</v>
      </c>
      <c r="KS165" s="548">
        <f t="shared" si="490"/>
        <v>2.7422646077597443</v>
      </c>
      <c r="KT165" s="473">
        <f t="shared" si="112"/>
        <v>-82.310573396665475</v>
      </c>
      <c r="KU165" s="663">
        <f t="shared" si="491"/>
        <v>-50.975284398847684</v>
      </c>
    </row>
    <row r="166" spans="1:308" s="26" customFormat="1" ht="15" outlineLevel="1">
      <c r="A166" s="561">
        <f t="shared" si="386"/>
        <v>1066</v>
      </c>
      <c r="B166" s="561">
        <f t="shared" si="104"/>
        <v>66</v>
      </c>
      <c r="C166" s="561">
        <f t="shared" si="105"/>
        <v>1</v>
      </c>
      <c r="D166" s="561" t="str">
        <f t="shared" si="376"/>
        <v xml:space="preserve">500 CC, 0.9/1.9/2.9/3.9, </v>
      </c>
      <c r="E166" s="475">
        <f>INDEX(Input!$1:$1048576,E$93,$C166*2+MIN($B166,2)+5)
+INDEX(Scenarios!E$121:E$200,MATCH($B166,Scenarios!$B$121:$B$200,0))</f>
        <v>1750</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0</v>
      </c>
      <c r="R166" s="478">
        <f>IFERROR(MAX(0,INDEX(Input!$1:$1048576,R$93,$C166*2+MIN($B166,2)+5)
+INDEX(Scenarios!R$121:R$200,MATCH($B166,Scenarios!$B$121:$B$200,0)),),"Market")</f>
        <v>9.0000000000000011E-3</v>
      </c>
      <c r="S166" s="478">
        <f>IFERROR(MAX(0,INDEX(Input!$1:$1048576,S$93,$C166*2+MIN($B166,2)+5)
+INDEX(Scenarios!S$121:S$200,MATCH($B166,Scenarios!$B$121:$B$200,0)),),"Market")</f>
        <v>9.0000000000000011E-3</v>
      </c>
      <c r="T166" s="478">
        <f>IFERROR(MAX(0,INDEX(Input!$1:$1048576,T$93,$C166*2+MIN($B166,2)+5)
+INDEX(Scenarios!T$121:T$200,MATCH($B166,Scenarios!$B$121:$B$200,0)),),"Market")</f>
        <v>9.0000000000000011E-3</v>
      </c>
      <c r="U166" s="478">
        <f>IFERROR(MAX(0,INDEX(Input!$1:$1048576,U$93,$C166*2+MIN($B166,2)+5)
+INDEX(Scenarios!U$121:U$200,MATCH($B166,Scenarios!$B$121:$B$200,0)),),"Market")</f>
        <v>9.0000000000000011E-3</v>
      </c>
      <c r="V166" s="478">
        <f>IFERROR(MAX(0,INDEX(Input!$1:$1048576,V$93,$C166*2+MIN($B166,2)+5)
+INDEX(Scenarios!V$121:V$200,MATCH($B166,Scenarios!$B$121:$B$200,0)),),"Market")</f>
        <v>2.8999999999999998E-2</v>
      </c>
      <c r="W166" s="863">
        <f>IFERROR(MAX(0,INDEX(Input!$1:$1048576,W$93,$C166*2+MIN($B166,2)+5)-0%,),"Market")</f>
        <v>3.9E-2</v>
      </c>
      <c r="X166" s="476" t="str">
        <f>INDEX(Input!$1:$1048576,X$93,$C166*2+MIN($B166,2)+5)</f>
        <v>Y</v>
      </c>
      <c r="Y166" s="475">
        <f>INDEX(Input!$1:$1048576,Y$93,$C166*2+MIN($B166,2)+5)
++INDEX(Scenarios!Y$121:Y$200,MATCH($B166,Scenarios!$B$121:$B$200,0))</f>
        <v>2826</v>
      </c>
      <c r="Z166" s="477">
        <f>INDEX(Input!$1:$1048576,Z$93,$C166*2+MIN($B166,2)+5)
+INDEX(Scenarios!Z$121:Z$200,MATCH($B166,Scenarios!$B$121:$B$200,0))</f>
        <v>0</v>
      </c>
      <c r="AA166" s="475">
        <f>INDEX(Input!$1:$1048576,AA$93,$C166*2+MIN($B166,2)+5)</f>
        <v>0</v>
      </c>
      <c r="AB166" s="476">
        <f>INDEX(Input!$1:$1048576,AB$93,$C166*2+MIN($B166,2)+5)</f>
        <v>1</v>
      </c>
      <c r="AC166" s="475">
        <f>INDEX(Input!$1:$1048576,AC$93,$C166*2+MIN($B166,2)+5)
+INDEX(Scenarios!AC$121:AC$200,MATCH($B166,Scenarios!$B$121:$B$200,0))</f>
        <v>0</v>
      </c>
      <c r="AD166" s="476">
        <f>INDEX(Input!$1:$1048576,AD$93,$C166*2+MIN($B166,2)+5)</f>
        <v>0.35</v>
      </c>
      <c r="AE166" s="475">
        <f>INDEX(Input!$1:$1048576,AE$93,$C166*2+MIN($B166,2)+5)
+INDEX(Scenarios!AE$121:AE$200,MATCH($B166,Scenarios!$B$121:$B$200,0))</f>
        <v>0</v>
      </c>
      <c r="AF166" s="476">
        <f>INDEX(Input!$1:$1048576,AF$93,$C166*2+MIN($B166,2)+5)</f>
        <v>1</v>
      </c>
      <c r="AG166" s="475">
        <f>INDEX(Input!$1:$1048576,AG$93,$C166*2+MIN($B166,2)+5)
+INDEX(Scenarios!AG$121:AG$200,MATCH($B166,Scenarios!$B$121:$B$200,0))</f>
        <v>0</v>
      </c>
      <c r="AH166" s="476">
        <f>INDEX(Input!$1:$1048576,AH$93,$C166*2+MIN($B166,2)+5)</f>
        <v>1</v>
      </c>
      <c r="AI166" s="475">
        <f>INDEX(Input!$1:$1048576,AI$93,$C166*2+MIN($B166,2)+5)
+INDEX(Scenarios!AI$121:AI$200,MATCH($B166,Scenarios!$B$121:$B$200,0))</f>
        <v>0</v>
      </c>
      <c r="AJ166" s="476">
        <f>INDEX(Input!$1:$1048576,AJ$93,$C166*2+MIN($B166,2)+5)</f>
        <v>0.35</v>
      </c>
      <c r="AK166" s="150">
        <f>ROUND(INDEX(Input!$1:$1048576,AK$93,$C165*2+MIN($B166,1)+5)+(Y166-VLOOKUP($C166*1000+1,$A:$HH,Y$92,FALSE)),0)</f>
        <v>5482</v>
      </c>
      <c r="AL166" s="150">
        <f>ROUND(INDEX(Input!$1:$1048576,AL$93,$C165*2+MIN($B166,1)+5)-(Y166-VLOOKUP($C166*1000+1,$A:$HH,Y$92,FALSE))/36,0)</f>
        <v>5602</v>
      </c>
      <c r="AM166" s="32" t="str">
        <f t="shared" si="387"/>
        <v>std/std/std/std</v>
      </c>
      <c r="AN166" s="32" t="str">
        <f t="shared" si="388"/>
        <v>$0 + 0.9/0.9/0.9/2.9/3.9</v>
      </c>
      <c r="AO166" s="32" t="str">
        <f t="shared" si="389"/>
        <v>0.9/0.9/0.9/2.9/3.9</v>
      </c>
      <c r="AP166" s="32" t="str">
        <f t="shared" ref="AP166:AP229" si="493">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0.9/1.9/2.9/3.9</v>
      </c>
      <c r="AQ166" s="536">
        <f t="shared" si="492"/>
        <v>0.18944398807929372</v>
      </c>
      <c r="AR166" s="32"/>
      <c r="AS166" s="302"/>
      <c r="AT166" s="3">
        <f t="shared" si="106"/>
        <v>66</v>
      </c>
      <c r="AU166" s="41" t="s">
        <v>121</v>
      </c>
      <c r="AV166" s="41" t="s">
        <v>116</v>
      </c>
      <c r="AW166" s="41" t="str">
        <f>INDEX(Input!$1:$1048576,AW$93,$C166*2+6)</f>
        <v>Kia</v>
      </c>
      <c r="AX166" s="41" t="str">
        <f>INDEX(Input!$1:$1048576,AX$93,$C166*2+6)</f>
        <v>Kia-LR - L1</v>
      </c>
      <c r="AY166" s="41" t="str">
        <f>IF(LEN(D166)=0,"",INDEX(Input!$1:$1048576,AY$93,$C166*2+6))</f>
        <v>Compact Conventional/Sporty Car (43)</v>
      </c>
      <c r="AZ166" s="41" t="str">
        <f>INDEX(Input!$1:$1048576,AZ$93,$C166*2+6)</f>
        <v>Kia Forte</v>
      </c>
      <c r="BA166" s="3">
        <f>INDEX(Input!$1:$1048576,BA$93,$C166*2+6)</f>
        <v>2020</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19695</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ref="CI166:CI229" si="494">E166+F166*I166+AA82*AB82+AC166*AD166</f>
        <v>1750</v>
      </c>
      <c r="CJ166" s="16" t="str">
        <f>INDEX(Input!$1:$1048576,CJ$93,$C166*2+6)</f>
        <v>N</v>
      </c>
      <c r="CK166" s="1" t="str">
        <f t="shared" ref="CK166:CK229" si="495">K166</f>
        <v>Market</v>
      </c>
      <c r="CL166" s="1" t="str">
        <f t="shared" ref="CL166:CL229" si="496">L166</f>
        <v>Market</v>
      </c>
      <c r="CM166" s="1" t="str">
        <f t="shared" ref="CM166:CM229" si="497">M166</f>
        <v>Market</v>
      </c>
      <c r="CN166" s="1" t="str">
        <f t="shared" ref="CN166:CN229" si="498">N166</f>
        <v>Market</v>
      </c>
      <c r="CO166" s="1" t="str">
        <f t="shared" ref="CO166:CO229" si="499">O166</f>
        <v>Market</v>
      </c>
      <c r="CP166" s="304">
        <f t="shared" ref="CP166:CP229" si="500">Q166+G166*I166+AA166*AB166+AC166*AD166</f>
        <v>0</v>
      </c>
      <c r="CQ166" s="1">
        <f t="shared" ref="CQ166:CQ229" si="501">S166</f>
        <v>9.0000000000000011E-3</v>
      </c>
      <c r="CR166" s="1">
        <f t="shared" ref="CR166:CR229" si="502">T166</f>
        <v>9.0000000000000011E-3</v>
      </c>
      <c r="CS166" s="1">
        <f t="shared" ref="CS166:CS229" si="503">U166</f>
        <v>9.0000000000000011E-3</v>
      </c>
      <c r="CT166" s="1">
        <f t="shared" ref="CT166:CT229" si="504">V166</f>
        <v>2.8999999999999998E-2</v>
      </c>
      <c r="CU166" s="1">
        <f t="shared" ref="CU166:CU229" si="505">W166</f>
        <v>3.9E-2</v>
      </c>
      <c r="CV166" s="304">
        <f t="shared" ref="CV166:CV229" si="506">Y166+H166*I166+AE166*AF166+AI166*AJ166</f>
        <v>2826</v>
      </c>
      <c r="CW166" s="20" t="s">
        <v>122</v>
      </c>
      <c r="CX166" s="20" t="s">
        <v>122</v>
      </c>
      <c r="CY166" s="20" t="s">
        <v>122</v>
      </c>
      <c r="CZ166" s="20" t="s">
        <v>122</v>
      </c>
      <c r="DA166" s="20" t="s">
        <v>122</v>
      </c>
      <c r="DB166" s="503">
        <f t="shared" ref="DB166:DB229" si="507">Z166+AG166*AH166</f>
        <v>0</v>
      </c>
      <c r="DC166" s="127">
        <v>0</v>
      </c>
      <c r="DD166" s="127">
        <v>0</v>
      </c>
      <c r="DE166" s="127">
        <v>0</v>
      </c>
      <c r="DF166" s="127">
        <v>0</v>
      </c>
      <c r="DG166" s="127">
        <v>0</v>
      </c>
      <c r="DH166" s="127">
        <v>0</v>
      </c>
      <c r="DI166" s="127">
        <v>0</v>
      </c>
      <c r="DJ166" s="127">
        <v>0</v>
      </c>
      <c r="DK166" s="127">
        <v>0</v>
      </c>
      <c r="DL166" s="127">
        <v>0</v>
      </c>
      <c r="DM166" s="304">
        <f>INDEX(Input!$1:$1048576,DM$93,$C166*2+6)</f>
        <v>20731.578947368424</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1.5817789767167394E-2</v>
      </c>
      <c r="DZ166" s="7">
        <v>0</v>
      </c>
      <c r="EA166" s="7">
        <v>0.24533886496322027</v>
      </c>
      <c r="EB166" s="7">
        <v>0</v>
      </c>
      <c r="EC166" s="7">
        <v>0</v>
      </c>
      <c r="ED166" s="7">
        <v>0</v>
      </c>
      <c r="EE166" s="7">
        <v>0</v>
      </c>
      <c r="EF166" s="7">
        <v>0</v>
      </c>
      <c r="EG166" s="7">
        <v>0</v>
      </c>
      <c r="EH166" s="7">
        <v>2.433999189819807E-2</v>
      </c>
      <c r="EI166" s="7">
        <v>4.0856814647068161E-2</v>
      </c>
      <c r="EJ166" s="7">
        <v>0.30271672059585358</v>
      </c>
      <c r="EK166" s="7">
        <v>0.5677504359098583</v>
      </c>
      <c r="EL166" s="7">
        <v>6.4336036949021611E-2</v>
      </c>
      <c r="EM166" s="7">
        <v>8.9298858300200928E-3</v>
      </c>
      <c r="EN166" s="7">
        <v>5.6686594175933754E-2</v>
      </c>
      <c r="EO166" s="7">
        <v>0.54216995014193592</v>
      </c>
      <c r="EP166" s="7">
        <v>0.3117315538121922</v>
      </c>
      <c r="EQ166" s="7">
        <v>5.1954312326603504E-2</v>
      </c>
      <c r="ER166" s="7">
        <v>3.7457589543334731E-2</v>
      </c>
      <c r="ES166" s="7">
        <v>0.72991345943959218</v>
      </c>
      <c r="ET166" s="7">
        <v>0.73884334526961237</v>
      </c>
      <c r="EU166" s="6">
        <v>2100</v>
      </c>
      <c r="EV166" s="6">
        <v>0</v>
      </c>
      <c r="EW166" s="6">
        <v>2100</v>
      </c>
      <c r="EX166" s="6">
        <v>0</v>
      </c>
      <c r="EY166" s="6">
        <v>2216.9471942387709</v>
      </c>
      <c r="EZ166" s="6">
        <v>4822.9999999999991</v>
      </c>
      <c r="FA166" s="6">
        <v>0</v>
      </c>
      <c r="FB166" s="6">
        <v>0</v>
      </c>
      <c r="FC166" s="6">
        <v>0</v>
      </c>
      <c r="FD166" s="6">
        <v>0</v>
      </c>
      <c r="FE166" s="6">
        <v>0</v>
      </c>
      <c r="FF166" s="6">
        <v>0</v>
      </c>
      <c r="FG166" s="6">
        <v>0</v>
      </c>
      <c r="FH166" s="6">
        <v>924.4809133837465</v>
      </c>
      <c r="FI166" s="6">
        <v>1232.116446530423</v>
      </c>
      <c r="FJ166" s="6">
        <v>1709.9775738488459</v>
      </c>
      <c r="FK166" s="6">
        <v>1266.3227157028189</v>
      </c>
      <c r="FL166" s="6">
        <v>893.91433563489375</v>
      </c>
      <c r="FM166" s="6">
        <v>1366.9471942387711</v>
      </c>
      <c r="FN166" s="6">
        <v>0</v>
      </c>
      <c r="FO166" s="6">
        <v>0</v>
      </c>
      <c r="FP166" s="6">
        <v>0</v>
      </c>
      <c r="FQ166" s="6">
        <v>0</v>
      </c>
      <c r="FR166" s="6">
        <v>0</v>
      </c>
      <c r="FS166" s="6">
        <v>0</v>
      </c>
      <c r="FT166" s="7">
        <v>0.26115665473038768</v>
      </c>
      <c r="FU166" s="7">
        <v>8.9298858300200928E-3</v>
      </c>
      <c r="FV166" s="7">
        <v>0.72991345943959218</v>
      </c>
      <c r="FW166" s="6">
        <v>2099.9999999999995</v>
      </c>
      <c r="FX166" s="6">
        <v>2216.9471942387709</v>
      </c>
      <c r="FY166" s="6">
        <v>4822.9999999999991</v>
      </c>
      <c r="FZ166" s="6">
        <v>3077.4375890575293</v>
      </c>
      <c r="GA166" s="6">
        <v>4088.5986751467021</v>
      </c>
      <c r="GB166" s="6">
        <v>15606.401324853297</v>
      </c>
      <c r="GC166" s="7">
        <v>7.0901643973087014E-2</v>
      </c>
      <c r="GD166" s="7">
        <v>8.149836592205896E-2</v>
      </c>
      <c r="GE166" s="7"/>
      <c r="GF166" s="7"/>
      <c r="GG166" s="7">
        <v>0.14945664663282379</v>
      </c>
      <c r="GH166" s="42">
        <v>2.9110580855302786</v>
      </c>
      <c r="GI166" s="6">
        <v>10854.179924760399</v>
      </c>
      <c r="GJ166" s="14">
        <v>0.51074630601039539</v>
      </c>
      <c r="GK166" s="14">
        <v>0.5082951978616097</v>
      </c>
      <c r="GL166" s="14">
        <v>0.48925369398960433</v>
      </c>
      <c r="GM166" s="14">
        <v>0.49170480213839024</v>
      </c>
      <c r="GO166" s="5">
        <v>338.16872463277008</v>
      </c>
      <c r="GP166" s="5">
        <v>298.1047308538179</v>
      </c>
      <c r="GQ166" s="5">
        <v>527.27910984145694</v>
      </c>
      <c r="GR166" s="5">
        <v>404.20319246551543</v>
      </c>
      <c r="GS166" s="5">
        <v>334.50205195691484</v>
      </c>
      <c r="GT166" s="5">
        <v>289.18266033348181</v>
      </c>
      <c r="GU166" s="5">
        <v>254.29573314828914</v>
      </c>
      <c r="GV166" s="39" t="s">
        <v>392</v>
      </c>
      <c r="GW166" s="5">
        <v>475.29643226912253</v>
      </c>
      <c r="GX166" s="5">
        <v>358.07100736083845</v>
      </c>
      <c r="GY166" s="5">
        <v>287.73954748358943</v>
      </c>
      <c r="GZ166" s="5">
        <v>255.64660634518972</v>
      </c>
      <c r="HA166" s="5">
        <v>229.8919505212948</v>
      </c>
      <c r="HB166" s="39">
        <v>273.23573350324887</v>
      </c>
      <c r="HC166" s="5">
        <v>72.109375000000014</v>
      </c>
      <c r="HD166" s="5">
        <v>92.305464181286524</v>
      </c>
      <c r="HE166" s="5">
        <v>103.7516995614035</v>
      </c>
      <c r="HF166" s="5">
        <v>106.17129934210527</v>
      </c>
      <c r="HG166" s="5">
        <v>115.13410087719299</v>
      </c>
      <c r="HH166" s="39">
        <v>96.304265044073475</v>
      </c>
      <c r="HI166" s="16"/>
      <c r="HJ166" s="19" t="str">
        <f t="shared" si="385"/>
        <v>On</v>
      </c>
      <c r="HK166" s="1" t="str">
        <f t="shared" si="108"/>
        <v>On</v>
      </c>
      <c r="HL166" s="16"/>
      <c r="HM166" s="639">
        <f t="shared" si="441"/>
        <v>1.7699001661282989E-2</v>
      </c>
      <c r="HN166" s="639">
        <f t="shared" si="442"/>
        <v>1.0509929974846072E-3</v>
      </c>
      <c r="HO166" s="639">
        <f t="shared" si="443"/>
        <v>5.7398960259851091E-2</v>
      </c>
      <c r="HP166" s="644">
        <f>(FT166*$GD166-HM166)/$JF166*INDEX(Input!$1:$1048576,$JG$93,$C166*2+6)</f>
        <v>46.040979758497059</v>
      </c>
      <c r="HQ166" s="644">
        <f>(FU166*$GD166-HN166)/$JF166*INDEX(Input!$1:$1048576,$JG$93,$C166*2+6)</f>
        <v>-4.1512193191222249</v>
      </c>
      <c r="HR166" s="644">
        <f>(FV166*$GD166-HO166)/$JF166*INDEX(Input!$1:$1048576,$JG$93,$C166*2+6)</f>
        <v>26.814057846191837</v>
      </c>
      <c r="HS166" s="644">
        <f t="shared" si="444"/>
        <v>5.0811301381076587E-3</v>
      </c>
      <c r="HT166" s="644">
        <f t="shared" si="445"/>
        <v>-6.1951374365367418</v>
      </c>
      <c r="HU166" s="644">
        <f t="shared" si="446"/>
        <v>20.728998622373563</v>
      </c>
      <c r="HV166" s="648">
        <f t="shared" si="447"/>
        <v>0</v>
      </c>
      <c r="HW166" s="648">
        <f t="shared" si="448"/>
        <v>0</v>
      </c>
      <c r="HX166" s="648">
        <f t="shared" si="449"/>
        <v>0</v>
      </c>
      <c r="HY166" s="644">
        <f>INDEX(Input!$1:$1048576,HY$93,$C166*2+6)*INDEX(Input!$1:$1048576,$JG$93,$C166*2+6)</f>
        <v>154.99999999999997</v>
      </c>
      <c r="HZ166" s="644">
        <f>INDEX(Input!$1:$1048576,HZ$93,$C166*2+6)*INDEX(Input!$1:$1048576,$JG$93,$C166*2+6)</f>
        <v>140</v>
      </c>
      <c r="IA166" s="644">
        <f>INDEX(Input!$1:$1048576,IA$93,$C166*2+6)*INDEX(Input!$1:$1048576,$JG$93,$C166*2+6)</f>
        <v>683</v>
      </c>
      <c r="IB166" s="644">
        <f t="shared" si="450"/>
        <v>201.04606088863522</v>
      </c>
      <c r="IC166" s="644">
        <f t="shared" si="451"/>
        <v>129.65364324434103</v>
      </c>
      <c r="ID166" s="644">
        <f>IF(AND(INDEX(Input!$1:$1048576,IA$93,$C166*2+7)="TOS",Y166&lt;=INDEX(Y:Y,MATCH(C166*1000+2,A:A))),0,1)*MAX(IA166+HR166+HU166+HX166,0%)</f>
        <v>730.5430564685654</v>
      </c>
      <c r="IE166" s="128">
        <f t="shared" si="452"/>
        <v>0.18944398807929372</v>
      </c>
      <c r="IF166" s="128">
        <f t="shared" si="453"/>
        <v>0.12217152197189055</v>
      </c>
      <c r="IG166" s="128">
        <f t="shared" si="454"/>
        <v>0.68838448994881574</v>
      </c>
      <c r="IH166" s="21"/>
      <c r="II166" s="19">
        <f t="shared" si="455"/>
        <v>1200</v>
      </c>
      <c r="IJ166" s="19">
        <f t="shared" si="456"/>
        <v>2231.5502763133163</v>
      </c>
      <c r="IK166" s="19">
        <f t="shared" si="457"/>
        <v>4498</v>
      </c>
      <c r="IL166" s="19">
        <f t="shared" si="458"/>
        <v>899.99999999999955</v>
      </c>
      <c r="IM166" s="19">
        <f t="shared" si="459"/>
        <v>-14.603082074545455</v>
      </c>
      <c r="IN166" s="19">
        <f t="shared" si="460"/>
        <v>324.99999999999909</v>
      </c>
      <c r="IO166" s="39">
        <f t="shared" si="461"/>
        <v>0</v>
      </c>
      <c r="IP166" s="39">
        <f t="shared" si="462"/>
        <v>0</v>
      </c>
      <c r="IQ166" s="39">
        <f t="shared" si="463"/>
        <v>0</v>
      </c>
      <c r="IR166" s="39">
        <v>0</v>
      </c>
      <c r="IS166" s="39">
        <v>0</v>
      </c>
      <c r="IT166" s="39">
        <v>0</v>
      </c>
      <c r="IU166" s="39">
        <v>0</v>
      </c>
      <c r="IV166" s="39">
        <v>0</v>
      </c>
      <c r="IW166" s="39">
        <v>0</v>
      </c>
      <c r="IX166" s="39">
        <f>INDEX(Input!$1:$1048576,IX$93,$C166*2+6)+INDEX(Input!$1:$1048576,IX$94,$C166*2+6)</f>
        <v>1600</v>
      </c>
      <c r="IY166" s="39">
        <f>INDEX(Input!$1:$1048576,IY$93,$C166*2+6)+INDEX(Input!$1:$1048576,IY$94,$C166*2+6)</f>
        <v>2503.5492916397525</v>
      </c>
      <c r="IZ166" s="39">
        <f>INDEX(Input!$1:$1048576,IZ$93,$C166*2+6)+INDEX(Input!$1:$1048576,IZ$94,$C166*2+6)</f>
        <v>6273.7109265464023</v>
      </c>
      <c r="JA166" s="19">
        <f t="shared" si="464"/>
        <v>2499.9999999999995</v>
      </c>
      <c r="JB166" s="19">
        <f t="shared" si="465"/>
        <v>2488.946209565207</v>
      </c>
      <c r="JC166" s="19">
        <f t="shared" si="466"/>
        <v>6598.7109265464014</v>
      </c>
      <c r="JD166" s="19">
        <f t="shared" si="467"/>
        <v>5320.1385722173054</v>
      </c>
      <c r="JE166" s="21"/>
      <c r="JF166" s="1">
        <f t="shared" si="468"/>
        <v>7.6148954918618686E-2</v>
      </c>
      <c r="JG166" s="15">
        <f>INDEX(Input!$1:$1048576,JG$93,$C166*2+6)/(1+VLOOKUP(C166*1000+INDEX(Input!$1:$1048576,JG$93+1,$C166*2+6),$A:$KK,$JK$92,FALSE))</f>
        <v>978</v>
      </c>
      <c r="JH166" s="1">
        <f t="shared" si="469"/>
        <v>7.0249302950477169E-2</v>
      </c>
      <c r="JI166" s="1">
        <f t="shared" si="470"/>
        <v>1.4865994188113425E-2</v>
      </c>
      <c r="JJ166" s="1">
        <f t="shared" si="471"/>
        <v>0</v>
      </c>
      <c r="JK166" s="1">
        <f t="shared" si="472"/>
        <v>8.511529713859059E-2</v>
      </c>
      <c r="JL166" s="15">
        <f t="shared" si="473"/>
        <v>83.24276060154159</v>
      </c>
      <c r="JM166" s="15">
        <f t="shared" si="474"/>
        <v>1061.2427606015417</v>
      </c>
      <c r="JN166" s="21"/>
      <c r="JO166" s="19">
        <f>INDEX(Input!$1:$1048576,JO$93,$C166*2+6)</f>
        <v>5908.5</v>
      </c>
      <c r="JP166" s="19">
        <f>INDEX(Input!$1:$1048576,JP$93,$C166*2+6)</f>
        <v>4993.2939301234746</v>
      </c>
      <c r="JQ166" s="39">
        <f t="shared" si="475"/>
        <v>588.36142778269459</v>
      </c>
      <c r="JR166" s="39">
        <f t="shared" si="476"/>
        <v>326.84464209383077</v>
      </c>
      <c r="JS166" s="39">
        <f t="shared" si="477"/>
        <v>5.645958545162638</v>
      </c>
      <c r="JT166" s="39">
        <f t="shared" si="478"/>
        <v>0.76251708150187969</v>
      </c>
      <c r="JU166" s="385">
        <f>(JQ166*JM166-INDEX(Input!$1:$1048576,Input!A$18,$C166*2+6)*JL166*INDEX(Input!$1:$1048576,Input!A$19,$C166*2+6))/1000000</f>
        <v>0.62439430585157141</v>
      </c>
      <c r="JV166" s="39">
        <f t="shared" si="479"/>
        <v>-0.27067723048767034</v>
      </c>
      <c r="JW166" s="1">
        <f t="shared" si="480"/>
        <v>-0.30240848859378849</v>
      </c>
      <c r="JX166" s="19">
        <f t="shared" si="481"/>
        <v>9160.160907587182</v>
      </c>
      <c r="JZ166" s="341"/>
      <c r="KA166" s="342"/>
      <c r="KB166" s="469">
        <f t="shared" si="110"/>
        <v>3.2656316020464753</v>
      </c>
      <c r="KI166" s="473">
        <f t="shared" si="482"/>
        <v>46.046060888635253</v>
      </c>
      <c r="KJ166" s="473">
        <f t="shared" si="483"/>
        <v>-10.346356755658974</v>
      </c>
      <c r="KK166" s="473">
        <f t="shared" si="484"/>
        <v>47.543056468565396</v>
      </c>
      <c r="KN166" s="544">
        <f t="shared" si="485"/>
        <v>1002</v>
      </c>
      <c r="KO166" s="541">
        <f t="shared" si="486"/>
        <v>2.9612110225103461E-3</v>
      </c>
      <c r="KP166" s="546">
        <f t="shared" si="487"/>
        <v>44.069304488363002</v>
      </c>
      <c r="KQ166" s="546">
        <f t="shared" si="488"/>
        <v>-34.315327758135027</v>
      </c>
      <c r="KR166" s="548">
        <f t="shared" si="489"/>
        <v>0.96360456951218609</v>
      </c>
      <c r="KS166" s="548">
        <f t="shared" si="490"/>
        <v>-1.2375048106641893</v>
      </c>
      <c r="KT166" s="473">
        <f t="shared" si="112"/>
        <v>-82.310573396665475</v>
      </c>
      <c r="KU166" s="663">
        <f t="shared" si="491"/>
        <v>-51.431984366426427</v>
      </c>
    </row>
    <row r="167" spans="1:308" s="26" customFormat="1" ht="15" outlineLevel="1">
      <c r="A167" s="561">
        <f t="shared" si="386"/>
        <v>1067</v>
      </c>
      <c r="B167" s="561">
        <f t="shared" ref="B167:B200" si="508">B166+1</f>
        <v>67</v>
      </c>
      <c r="C167" s="561">
        <f t="shared" si="105"/>
        <v>1</v>
      </c>
      <c r="D167" s="561" t="str">
        <f t="shared" si="376"/>
        <v xml:space="preserve">250 CC, 0.9/1.9/2.9/3.9, -360 Lease, </v>
      </c>
      <c r="E167" s="475">
        <f>INDEX(Input!$1:$1048576,E$93,$C167*2+MIN($B167,2)+5)
+INDEX(Scenarios!E$121:E$200,MATCH($B167,Scenarios!$B$121:$B$200,0))</f>
        <v>1500</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0</v>
      </c>
      <c r="R167" s="478">
        <f>IFERROR(MAX(0,INDEX(Input!$1:$1048576,R$93,$C167*2+MIN($B167,2)+5)
+INDEX(Scenarios!R$121:R$200,MATCH($B167,Scenarios!$B$121:$B$200,0)),),"Market")</f>
        <v>9.0000000000000011E-3</v>
      </c>
      <c r="S167" s="478">
        <f>IFERROR(MAX(0,INDEX(Input!$1:$1048576,S$93,$C167*2+MIN($B167,2)+5)
+INDEX(Scenarios!S$121:S$200,MATCH($B167,Scenarios!$B$121:$B$200,0)),),"Market")</f>
        <v>9.0000000000000011E-3</v>
      </c>
      <c r="T167" s="478">
        <f>IFERROR(MAX(0,INDEX(Input!$1:$1048576,T$93,$C167*2+MIN($B167,2)+5)
+INDEX(Scenarios!T$121:T$200,MATCH($B167,Scenarios!$B$121:$B$200,0)),),"Market")</f>
        <v>9.0000000000000011E-3</v>
      </c>
      <c r="U167" s="478">
        <f>IFERROR(MAX(0,INDEX(Input!$1:$1048576,U$93,$C167*2+MIN($B167,2)+5)
+INDEX(Scenarios!U$121:U$200,MATCH($B167,Scenarios!$B$121:$B$200,0)),),"Market")</f>
        <v>9.0000000000000011E-3</v>
      </c>
      <c r="V167" s="478">
        <f>IFERROR(MAX(0,INDEX(Input!$1:$1048576,V$93,$C167*2+MIN($B167,2)+5)
+INDEX(Scenarios!V$121:V$200,MATCH($B167,Scenarios!$B$121:$B$200,0)),),"Market")</f>
        <v>2.8999999999999998E-2</v>
      </c>
      <c r="W167" s="863">
        <f>IFERROR(MAX(0,INDEX(Input!$1:$1048576,W$93,$C167*2+MIN($B167,2)+5)-0%,),"Market")</f>
        <v>3.9E-2</v>
      </c>
      <c r="X167" s="476" t="str">
        <f>INDEX(Input!$1:$1048576,X$93,$C167*2+MIN($B167,2)+5)</f>
        <v>Y</v>
      </c>
      <c r="Y167" s="475">
        <f>INDEX(Input!$1:$1048576,Y$93,$C167*2+MIN($B167,2)+5)
++INDEX(Scenarios!Y$121:Y$200,MATCH($B167,Scenarios!$B$121:$B$200,0))</f>
        <v>2466</v>
      </c>
      <c r="Z167" s="477">
        <f>INDEX(Input!$1:$1048576,Z$93,$C167*2+MIN($B167,2)+5)
+INDEX(Scenarios!Z$121:Z$200,MATCH($B167,Scenarios!$B$121:$B$200,0))</f>
        <v>0</v>
      </c>
      <c r="AA167" s="475">
        <f>INDEX(Input!$1:$1048576,AA$93,$C167*2+MIN($B167,2)+5)</f>
        <v>0</v>
      </c>
      <c r="AB167" s="476">
        <f>INDEX(Input!$1:$1048576,AB$93,$C167*2+MIN($B167,2)+5)</f>
        <v>1</v>
      </c>
      <c r="AC167" s="475">
        <f>INDEX(Input!$1:$1048576,AC$93,$C167*2+MIN($B167,2)+5)
+INDEX(Scenarios!AC$121:AC$200,MATCH($B167,Scenarios!$B$121:$B$200,0))</f>
        <v>0</v>
      </c>
      <c r="AD167" s="476">
        <f>INDEX(Input!$1:$1048576,AD$93,$C167*2+MIN($B167,2)+5)</f>
        <v>0.35</v>
      </c>
      <c r="AE167" s="475">
        <f>INDEX(Input!$1:$1048576,AE$93,$C167*2+MIN($B167,2)+5)
+INDEX(Scenarios!AE$121:AE$200,MATCH($B167,Scenarios!$B$121:$B$200,0))</f>
        <v>0</v>
      </c>
      <c r="AF167" s="476">
        <f>INDEX(Input!$1:$1048576,AF$93,$C167*2+MIN($B167,2)+5)</f>
        <v>1</v>
      </c>
      <c r="AG167" s="475">
        <f>INDEX(Input!$1:$1048576,AG$93,$C167*2+MIN($B167,2)+5)
+INDEX(Scenarios!AG$121:AG$200,MATCH($B167,Scenarios!$B$121:$B$200,0))</f>
        <v>0</v>
      </c>
      <c r="AH167" s="476">
        <f>INDEX(Input!$1:$1048576,AH$93,$C167*2+MIN($B167,2)+5)</f>
        <v>1</v>
      </c>
      <c r="AI167" s="475">
        <f>INDEX(Input!$1:$1048576,AI$93,$C167*2+MIN($B167,2)+5)
+INDEX(Scenarios!AI$121:AI$200,MATCH($B167,Scenarios!$B$121:$B$200,0))</f>
        <v>0</v>
      </c>
      <c r="AJ167" s="476">
        <f>INDEX(Input!$1:$1048576,AJ$93,$C167*2+MIN($B167,2)+5)</f>
        <v>0.35</v>
      </c>
      <c r="AK167" s="150">
        <f>ROUND(INDEX(Input!$1:$1048576,AK$93,$C166*2+MIN($B167,1)+5)+(Y167-VLOOKUP($C167*1000+1,$A:$HH,Y$92,FALSE)),0)</f>
        <v>5122</v>
      </c>
      <c r="AL167" s="150">
        <f>ROUND(INDEX(Input!$1:$1048576,AL$93,$C166*2+MIN($B167,1)+5)-(Y167-VLOOKUP($C167*1000+1,$A:$HH,Y$92,FALSE))/36,0)</f>
        <v>5612</v>
      </c>
      <c r="AM167" s="32" t="str">
        <f t="shared" si="387"/>
        <v>std/std/std/std</v>
      </c>
      <c r="AN167" s="32" t="str">
        <f t="shared" si="388"/>
        <v>$0 + 0.9/0.9/0.9/2.9/3.9</v>
      </c>
      <c r="AO167" s="32" t="str">
        <f t="shared" si="389"/>
        <v>0.9/0.9/0.9/2.9/3.9</v>
      </c>
      <c r="AP167" s="32" t="str">
        <f t="shared" si="493"/>
        <v>0.9/1.9/2.9/3.9</v>
      </c>
      <c r="AQ167" s="536">
        <f t="shared" si="492"/>
        <v>0.20118159199610039</v>
      </c>
      <c r="AR167" s="32"/>
      <c r="AS167" s="302"/>
      <c r="AT167" s="3">
        <f t="shared" si="106"/>
        <v>67</v>
      </c>
      <c r="AU167" s="41" t="s">
        <v>121</v>
      </c>
      <c r="AV167" s="41" t="s">
        <v>116</v>
      </c>
      <c r="AW167" s="41" t="str">
        <f>INDEX(Input!$1:$1048576,AW$93,$C167*2+6)</f>
        <v>Kia</v>
      </c>
      <c r="AX167" s="41" t="str">
        <f>INDEX(Input!$1:$1048576,AX$93,$C167*2+6)</f>
        <v>Kia-LR - L1</v>
      </c>
      <c r="AY167" s="41" t="str">
        <f>IF(LEN(D167)=0,"",INDEX(Input!$1:$1048576,AY$93,$C167*2+6))</f>
        <v>Compact Conventional/Sporty Car (43)</v>
      </c>
      <c r="AZ167" s="41" t="str">
        <f>INDEX(Input!$1:$1048576,AZ$93,$C167*2+6)</f>
        <v>Kia Forte</v>
      </c>
      <c r="BA167" s="3">
        <f>INDEX(Input!$1:$1048576,BA$93,$C167*2+6)</f>
        <v>2020</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19695</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94"/>
        <v>1500</v>
      </c>
      <c r="CJ167" s="16" t="str">
        <f>INDEX(Input!$1:$1048576,CJ$93,$C167*2+6)</f>
        <v>N</v>
      </c>
      <c r="CK167" s="1" t="str">
        <f t="shared" si="495"/>
        <v>Market</v>
      </c>
      <c r="CL167" s="1" t="str">
        <f t="shared" si="496"/>
        <v>Market</v>
      </c>
      <c r="CM167" s="1" t="str">
        <f t="shared" si="497"/>
        <v>Market</v>
      </c>
      <c r="CN167" s="1" t="str">
        <f t="shared" si="498"/>
        <v>Market</v>
      </c>
      <c r="CO167" s="1" t="str">
        <f t="shared" si="499"/>
        <v>Market</v>
      </c>
      <c r="CP167" s="304">
        <f t="shared" si="500"/>
        <v>0</v>
      </c>
      <c r="CQ167" s="1">
        <f t="shared" si="501"/>
        <v>9.0000000000000011E-3</v>
      </c>
      <c r="CR167" s="1">
        <f t="shared" si="502"/>
        <v>9.0000000000000011E-3</v>
      </c>
      <c r="CS167" s="1">
        <f t="shared" si="503"/>
        <v>9.0000000000000011E-3</v>
      </c>
      <c r="CT167" s="1">
        <f t="shared" si="504"/>
        <v>2.8999999999999998E-2</v>
      </c>
      <c r="CU167" s="1">
        <f t="shared" si="505"/>
        <v>3.9E-2</v>
      </c>
      <c r="CV167" s="304">
        <f t="shared" si="506"/>
        <v>2466</v>
      </c>
      <c r="CW167" s="20" t="s">
        <v>122</v>
      </c>
      <c r="CX167" s="20" t="s">
        <v>122</v>
      </c>
      <c r="CY167" s="20" t="s">
        <v>122</v>
      </c>
      <c r="CZ167" s="20" t="s">
        <v>122</v>
      </c>
      <c r="DA167" s="20" t="s">
        <v>122</v>
      </c>
      <c r="DB167" s="503">
        <f t="shared" si="507"/>
        <v>0</v>
      </c>
      <c r="DC167" s="127">
        <v>0</v>
      </c>
      <c r="DD167" s="127">
        <v>0</v>
      </c>
      <c r="DE167" s="127">
        <v>0</v>
      </c>
      <c r="DF167" s="127">
        <v>0</v>
      </c>
      <c r="DG167" s="127">
        <v>0</v>
      </c>
      <c r="DH167" s="127">
        <v>0</v>
      </c>
      <c r="DI167" s="127">
        <v>0</v>
      </c>
      <c r="DJ167" s="127">
        <v>0</v>
      </c>
      <c r="DK167" s="127">
        <v>0</v>
      </c>
      <c r="DL167" s="127">
        <v>0</v>
      </c>
      <c r="DM167" s="304">
        <f>INDEX(Input!$1:$1048576,DM$93,$C167*2+6)</f>
        <v>20731.578947368424</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1.6503333680675959E-2</v>
      </c>
      <c r="DZ167" s="7">
        <v>0</v>
      </c>
      <c r="EA167" s="7">
        <v>0.25704760962290452</v>
      </c>
      <c r="EB167" s="7">
        <v>0</v>
      </c>
      <c r="EC167" s="7">
        <v>0</v>
      </c>
      <c r="ED167" s="7">
        <v>0</v>
      </c>
      <c r="EE167" s="7">
        <v>0</v>
      </c>
      <c r="EF167" s="7">
        <v>0</v>
      </c>
      <c r="EG167" s="7">
        <v>0</v>
      </c>
      <c r="EH167" s="7">
        <v>2.4339991898198077E-2</v>
      </c>
      <c r="EI167" s="7">
        <v>4.0856814647068175E-2</v>
      </c>
      <c r="EJ167" s="7">
        <v>0.30271672059585375</v>
      </c>
      <c r="EK167" s="7">
        <v>0.56775043590985852</v>
      </c>
      <c r="EL167" s="7">
        <v>6.4336036949021638E-2</v>
      </c>
      <c r="EM167" s="7">
        <v>1.0106836319504729E-2</v>
      </c>
      <c r="EN167" s="7">
        <v>5.4991458321761215E-2</v>
      </c>
      <c r="EO167" s="7">
        <v>0.54346350462336068</v>
      </c>
      <c r="EP167" s="7">
        <v>0.30989234739924154</v>
      </c>
      <c r="EQ167" s="7">
        <v>5.3241409624822614E-2</v>
      </c>
      <c r="ER167" s="7">
        <v>3.841128003081401E-2</v>
      </c>
      <c r="ES167" s="7">
        <v>0.71634222037691464</v>
      </c>
      <c r="ET167" s="7">
        <v>0.72644905669641957</v>
      </c>
      <c r="EU167" s="6">
        <v>1850</v>
      </c>
      <c r="EV167" s="6">
        <v>0</v>
      </c>
      <c r="EW167" s="6">
        <v>1850</v>
      </c>
      <c r="EX167" s="6">
        <v>0</v>
      </c>
      <c r="EY167" s="6">
        <v>2216.9471942387718</v>
      </c>
      <c r="EZ167" s="6">
        <v>4462.9999999999991</v>
      </c>
      <c r="FA167" s="6">
        <v>0</v>
      </c>
      <c r="FB167" s="6">
        <v>0</v>
      </c>
      <c r="FC167" s="6">
        <v>0</v>
      </c>
      <c r="FD167" s="6">
        <v>0</v>
      </c>
      <c r="FE167" s="6">
        <v>0</v>
      </c>
      <c r="FF167" s="6">
        <v>0</v>
      </c>
      <c r="FG167" s="6">
        <v>0</v>
      </c>
      <c r="FH167" s="6">
        <v>924.48091338374638</v>
      </c>
      <c r="FI167" s="6">
        <v>1232.116446530423</v>
      </c>
      <c r="FJ167" s="6">
        <v>1709.9775738488454</v>
      </c>
      <c r="FK167" s="6">
        <v>1266.3227157028186</v>
      </c>
      <c r="FL167" s="6">
        <v>893.91433563489375</v>
      </c>
      <c r="FM167" s="6">
        <v>1366.9471942387715</v>
      </c>
      <c r="FN167" s="6">
        <v>0</v>
      </c>
      <c r="FO167" s="6">
        <v>0</v>
      </c>
      <c r="FP167" s="6">
        <v>0</v>
      </c>
      <c r="FQ167" s="6">
        <v>0</v>
      </c>
      <c r="FR167" s="6">
        <v>0</v>
      </c>
      <c r="FS167" s="6">
        <v>0</v>
      </c>
      <c r="FT167" s="7">
        <v>0.27355094330358048</v>
      </c>
      <c r="FU167" s="7">
        <v>1.0106836319504729E-2</v>
      </c>
      <c r="FV167" s="7">
        <v>0.71634222037691464</v>
      </c>
      <c r="FW167" s="6">
        <v>1850</v>
      </c>
      <c r="FX167" s="6">
        <v>2216.9471942387718</v>
      </c>
      <c r="FY167" s="6">
        <v>4462.9999999999991</v>
      </c>
      <c r="FZ167" s="6">
        <v>3077.4375890575293</v>
      </c>
      <c r="GA167" s="6">
        <v>3725.5108970749498</v>
      </c>
      <c r="GB167" s="6">
        <v>15969.48910292505</v>
      </c>
      <c r="GC167" s="7">
        <v>7.0901643973087014E-2</v>
      </c>
      <c r="GD167" s="7">
        <v>7.7359165289687795E-2</v>
      </c>
      <c r="GE167" s="7"/>
      <c r="GF167" s="7"/>
      <c r="GG167" s="7">
        <v>9.1077173317052285E-2</v>
      </c>
      <c r="GH167" s="42">
        <v>2.7678426287402775</v>
      </c>
      <c r="GI167" s="6">
        <v>10841.161113418266</v>
      </c>
      <c r="GJ167" s="14">
        <v>0.5107463060103955</v>
      </c>
      <c r="GK167" s="14">
        <v>0.5082951978616097</v>
      </c>
      <c r="GL167" s="14">
        <v>0.48925369398960439</v>
      </c>
      <c r="GM167" s="14">
        <v>0.49170480213839007</v>
      </c>
      <c r="GO167" s="5">
        <v>338.16872463277008</v>
      </c>
      <c r="GP167" s="5">
        <v>302.87425392274076</v>
      </c>
      <c r="GQ167" s="5">
        <v>527.27910984145694</v>
      </c>
      <c r="GR167" s="5">
        <v>404.20319246551543</v>
      </c>
      <c r="GS167" s="5">
        <v>334.50205195691484</v>
      </c>
      <c r="GT167" s="5">
        <v>289.18266033348181</v>
      </c>
      <c r="GU167" s="5">
        <v>254.29573314828914</v>
      </c>
      <c r="GV167" s="39" t="s">
        <v>392</v>
      </c>
      <c r="GW167" s="5">
        <v>475.29643226912253</v>
      </c>
      <c r="GX167" s="5">
        <v>358.07100736083845</v>
      </c>
      <c r="GY167" s="5">
        <v>287.73954748358943</v>
      </c>
      <c r="GZ167" s="5">
        <v>255.64660634518972</v>
      </c>
      <c r="HA167" s="5">
        <v>229.8919505212948</v>
      </c>
      <c r="HB167" s="39">
        <v>273.23573350324898</v>
      </c>
      <c r="HC167" s="5">
        <v>87.859375</v>
      </c>
      <c r="HD167" s="5">
        <v>103.05546418128652</v>
      </c>
      <c r="HE167" s="5">
        <v>113.73246879217274</v>
      </c>
      <c r="HF167" s="5">
        <v>114.49629934210526</v>
      </c>
      <c r="HG167" s="5">
        <v>122.034100877193</v>
      </c>
      <c r="HH167" s="39">
        <v>106.86665101845688</v>
      </c>
      <c r="HI167" s="16"/>
      <c r="HJ167" s="19" t="str">
        <f t="shared" si="385"/>
        <v>On</v>
      </c>
      <c r="HK167" s="1" t="str">
        <f t="shared" si="385"/>
        <v>On</v>
      </c>
      <c r="HL167" s="16"/>
      <c r="HM167" s="639">
        <f t="shared" si="441"/>
        <v>1.7699001661282989E-2</v>
      </c>
      <c r="HN167" s="639">
        <f t="shared" si="442"/>
        <v>1.0509929974846072E-3</v>
      </c>
      <c r="HO167" s="639">
        <f t="shared" si="443"/>
        <v>5.7398960259851091E-2</v>
      </c>
      <c r="HP167" s="644">
        <f>(FT167*$GD167-HM167)/$JF167*INDEX(Input!$1:$1048576,$JG$93,$C167*2+6)</f>
        <v>44.471946056467139</v>
      </c>
      <c r="HQ167" s="644">
        <f>(FU167*$GD167-HN167)/$JF167*INDEX(Input!$1:$1048576,$JG$93,$C167*2+6)</f>
        <v>-3.4565881001989047</v>
      </c>
      <c r="HR167" s="644">
        <f>(FV167*$GD167-HO167)/$JF167*INDEX(Input!$1:$1048576,$JG$93,$C167*2+6)</f>
        <v>-25.472324645167795</v>
      </c>
      <c r="HS167" s="644">
        <f t="shared" si="444"/>
        <v>5.0811301381073421E-3</v>
      </c>
      <c r="HT167" s="644">
        <f t="shared" si="445"/>
        <v>-4.5871302861318055</v>
      </c>
      <c r="HU167" s="644">
        <f t="shared" si="446"/>
        <v>2.5662485674165034</v>
      </c>
      <c r="HV167" s="648">
        <f t="shared" si="447"/>
        <v>0</v>
      </c>
      <c r="HW167" s="648">
        <f t="shared" si="448"/>
        <v>0</v>
      </c>
      <c r="HX167" s="648">
        <f t="shared" si="449"/>
        <v>0</v>
      </c>
      <c r="HY167" s="644">
        <f>INDEX(Input!$1:$1048576,HY$93,$C167*2+6)*INDEX(Input!$1:$1048576,$JG$93,$C167*2+6)</f>
        <v>154.99999999999997</v>
      </c>
      <c r="HZ167" s="644">
        <f>INDEX(Input!$1:$1048576,HZ$93,$C167*2+6)*INDEX(Input!$1:$1048576,$JG$93,$C167*2+6)</f>
        <v>140</v>
      </c>
      <c r="IA167" s="644">
        <f>INDEX(Input!$1:$1048576,IA$93,$C167*2+6)*INDEX(Input!$1:$1048576,$JG$93,$C167*2+6)</f>
        <v>683</v>
      </c>
      <c r="IB167" s="644">
        <f t="shared" si="450"/>
        <v>199.47702718660514</v>
      </c>
      <c r="IC167" s="644">
        <f t="shared" si="451"/>
        <v>131.95628161366929</v>
      </c>
      <c r="ID167" s="644">
        <f>IF(AND(INDEX(Input!$1:$1048576,IA$93,$C167*2+7)="TOS",Y167&lt;=INDEX(Y:Y,MATCH(C167*1000+2,A:A))),0,1)*MAX(IA167+HR167+HU167+HX167,0%)</f>
        <v>660.09392392224879</v>
      </c>
      <c r="IE167" s="128">
        <f t="shared" si="452"/>
        <v>0.20118159199610039</v>
      </c>
      <c r="IF167" s="128">
        <f t="shared" si="453"/>
        <v>0.13308387027489438</v>
      </c>
      <c r="IG167" s="128">
        <f t="shared" si="454"/>
        <v>0.66573453772900526</v>
      </c>
      <c r="IH167" s="21"/>
      <c r="II167" s="19">
        <f t="shared" si="455"/>
        <v>1200</v>
      </c>
      <c r="IJ167" s="19">
        <f t="shared" si="456"/>
        <v>2231.5502763133163</v>
      </c>
      <c r="IK167" s="19">
        <f t="shared" si="457"/>
        <v>4498</v>
      </c>
      <c r="IL167" s="19">
        <f t="shared" si="458"/>
        <v>650</v>
      </c>
      <c r="IM167" s="19">
        <f t="shared" si="459"/>
        <v>-14.603082074544545</v>
      </c>
      <c r="IN167" s="19">
        <f t="shared" si="460"/>
        <v>-35.000000000000909</v>
      </c>
      <c r="IO167" s="39">
        <f t="shared" si="461"/>
        <v>0</v>
      </c>
      <c r="IP167" s="39">
        <f t="shared" si="462"/>
        <v>0</v>
      </c>
      <c r="IQ167" s="39">
        <f t="shared" si="463"/>
        <v>0</v>
      </c>
      <c r="IR167" s="39">
        <v>0</v>
      </c>
      <c r="IS167" s="39">
        <v>0</v>
      </c>
      <c r="IT167" s="39">
        <v>0</v>
      </c>
      <c r="IU167" s="39">
        <v>0</v>
      </c>
      <c r="IV167" s="39">
        <v>0</v>
      </c>
      <c r="IW167" s="39">
        <v>0</v>
      </c>
      <c r="IX167" s="39">
        <f>INDEX(Input!$1:$1048576,IX$93,$C167*2+6)+INDEX(Input!$1:$1048576,IX$94,$C167*2+6)</f>
        <v>1600</v>
      </c>
      <c r="IY167" s="39">
        <f>INDEX(Input!$1:$1048576,IY$93,$C167*2+6)+INDEX(Input!$1:$1048576,IY$94,$C167*2+6)</f>
        <v>2503.5492916397525</v>
      </c>
      <c r="IZ167" s="39">
        <f>INDEX(Input!$1:$1048576,IZ$93,$C167*2+6)+INDEX(Input!$1:$1048576,IZ$94,$C167*2+6)</f>
        <v>6273.7109265464023</v>
      </c>
      <c r="JA167" s="19">
        <f t="shared" si="464"/>
        <v>2250</v>
      </c>
      <c r="JB167" s="19">
        <f t="shared" si="465"/>
        <v>2488.9462095652079</v>
      </c>
      <c r="JC167" s="19">
        <f t="shared" si="466"/>
        <v>6238.7109265464014</v>
      </c>
      <c r="JD167" s="19">
        <f t="shared" si="467"/>
        <v>4937.2225111754542</v>
      </c>
      <c r="JE167" s="21"/>
      <c r="JF167" s="1">
        <f t="shared" si="468"/>
        <v>7.6148954918618686E-2</v>
      </c>
      <c r="JG167" s="15">
        <f>INDEX(Input!$1:$1048576,JG$93,$C167*2+6)/(1+VLOOKUP(C167*1000+INDEX(Input!$1:$1048576,JG$93+1,$C167*2+6),$A:$KK,$JK$92,FALSE))</f>
        <v>978</v>
      </c>
      <c r="JH167" s="1">
        <f t="shared" si="469"/>
        <v>1.5892672097239709E-2</v>
      </c>
      <c r="JI167" s="1">
        <f t="shared" si="470"/>
        <v>-2.0611457960912015E-3</v>
      </c>
      <c r="JJ167" s="1">
        <f t="shared" si="471"/>
        <v>0</v>
      </c>
      <c r="JK167" s="1">
        <f t="shared" si="472"/>
        <v>1.3831526301148507E-2</v>
      </c>
      <c r="JL167" s="15">
        <f t="shared" si="473"/>
        <v>13.527232722523241</v>
      </c>
      <c r="JM167" s="15">
        <f t="shared" si="474"/>
        <v>991.52723272252319</v>
      </c>
      <c r="JN167" s="21"/>
      <c r="JO167" s="19">
        <f>INDEX(Input!$1:$1048576,JO$93,$C167*2+6)</f>
        <v>5908.5</v>
      </c>
      <c r="JP167" s="19">
        <f>INDEX(Input!$1:$1048576,JP$93,$C167*2+6)</f>
        <v>4993.2939301234746</v>
      </c>
      <c r="JQ167" s="39">
        <f t="shared" si="475"/>
        <v>971.2774888245458</v>
      </c>
      <c r="JR167" s="39">
        <f t="shared" si="476"/>
        <v>-56.071418948020437</v>
      </c>
      <c r="JS167" s="39">
        <f t="shared" si="477"/>
        <v>4.8953905738411452</v>
      </c>
      <c r="JT167" s="39">
        <f t="shared" si="478"/>
        <v>1.1949110180387273E-2</v>
      </c>
      <c r="JU167" s="385">
        <f>(JQ167*JM167-INDEX(Input!$1:$1048576,Input!A$18,$C167*2+6)*JL167*INDEX(Input!$1:$1048576,Input!A$19,$C167*2+6))/1000000</f>
        <v>0.96304808069988335</v>
      </c>
      <c r="JV167" s="39">
        <f t="shared" si="479"/>
        <v>6.79765443606416E-2</v>
      </c>
      <c r="JW167" s="1">
        <f t="shared" si="480"/>
        <v>7.594537598487297E-2</v>
      </c>
      <c r="JX167" s="19">
        <f t="shared" si="481"/>
        <v>883.337370287986</v>
      </c>
      <c r="JZ167" s="341"/>
      <c r="KA167" s="342"/>
      <c r="KB167" s="469">
        <f t="shared" ref="KB167:KB181" si="509">KB166</f>
        <v>3.2656316020464753</v>
      </c>
      <c r="KI167" s="473">
        <f t="shared" si="482"/>
        <v>44.47702718660517</v>
      </c>
      <c r="KJ167" s="473">
        <f t="shared" si="483"/>
        <v>-8.0437183863307098</v>
      </c>
      <c r="KK167" s="473">
        <f t="shared" si="484"/>
        <v>-22.906076077751209</v>
      </c>
      <c r="KN167" s="544">
        <f t="shared" si="485"/>
        <v>1002</v>
      </c>
      <c r="KO167" s="541">
        <f t="shared" si="486"/>
        <v>-6.2925665066972059E-2</v>
      </c>
      <c r="KP167" s="546">
        <f t="shared" si="487"/>
        <v>-244.54601837379676</v>
      </c>
      <c r="KQ167" s="546">
        <f t="shared" si="488"/>
        <v>-417.23138879998623</v>
      </c>
      <c r="KR167" s="548">
        <f t="shared" si="489"/>
        <v>3.6900555845006111</v>
      </c>
      <c r="KS167" s="548">
        <f t="shared" si="490"/>
        <v>2.1628008462235035</v>
      </c>
      <c r="KT167" s="473">
        <f t="shared" ref="KT167:KT181" si="510">KT166</f>
        <v>-82.310573396665475</v>
      </c>
      <c r="KU167" s="663">
        <f t="shared" si="491"/>
        <v>-52.042216892425103</v>
      </c>
    </row>
    <row r="168" spans="1:308" s="26" customFormat="1" ht="15" outlineLevel="1">
      <c r="A168" s="561">
        <f t="shared" si="386"/>
        <v>1068</v>
      </c>
      <c r="B168" s="561">
        <f t="shared" si="508"/>
        <v>68</v>
      </c>
      <c r="C168" s="561">
        <f t="shared" si="105"/>
        <v>1</v>
      </c>
      <c r="D168" s="561" t="str">
        <f t="shared" si="376"/>
        <v xml:space="preserve">500 CC, 0.9/1.9/2.9/3.9, -360 Lease, </v>
      </c>
      <c r="E168" s="475">
        <f>INDEX(Input!$1:$1048576,E$93,$C168*2+MIN($B168,2)+5)
+INDEX(Scenarios!E$121:E$200,MATCH($B168,Scenarios!$B$121:$B$200,0))</f>
        <v>1750</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0</v>
      </c>
      <c r="R168" s="478">
        <f>IFERROR(MAX(0,INDEX(Input!$1:$1048576,R$93,$C168*2+MIN($B168,2)+5)
+INDEX(Scenarios!R$121:R$200,MATCH($B168,Scenarios!$B$121:$B$200,0)),),"Market")</f>
        <v>9.0000000000000011E-3</v>
      </c>
      <c r="S168" s="478">
        <f>IFERROR(MAX(0,INDEX(Input!$1:$1048576,S$93,$C168*2+MIN($B168,2)+5)
+INDEX(Scenarios!S$121:S$200,MATCH($B168,Scenarios!$B$121:$B$200,0)),),"Market")</f>
        <v>9.0000000000000011E-3</v>
      </c>
      <c r="T168" s="478">
        <f>IFERROR(MAX(0,INDEX(Input!$1:$1048576,T$93,$C168*2+MIN($B168,2)+5)
+INDEX(Scenarios!T$121:T$200,MATCH($B168,Scenarios!$B$121:$B$200,0)),),"Market")</f>
        <v>9.0000000000000011E-3</v>
      </c>
      <c r="U168" s="478">
        <f>IFERROR(MAX(0,INDEX(Input!$1:$1048576,U$93,$C168*2+MIN($B168,2)+5)
+INDEX(Scenarios!U$121:U$200,MATCH($B168,Scenarios!$B$121:$B$200,0)),),"Market")</f>
        <v>9.0000000000000011E-3</v>
      </c>
      <c r="V168" s="478">
        <f>IFERROR(MAX(0,INDEX(Input!$1:$1048576,V$93,$C168*2+MIN($B168,2)+5)
+INDEX(Scenarios!V$121:V$200,MATCH($B168,Scenarios!$B$121:$B$200,0)),),"Market")</f>
        <v>2.8999999999999998E-2</v>
      </c>
      <c r="W168" s="863">
        <f>IFERROR(MAX(0,INDEX(Input!$1:$1048576,W$93,$C168*2+MIN($B168,2)+5)-0%,),"Market")</f>
        <v>3.9E-2</v>
      </c>
      <c r="X168" s="476" t="str">
        <f>INDEX(Input!$1:$1048576,X$93,$C168*2+MIN($B168,2)+5)</f>
        <v>Y</v>
      </c>
      <c r="Y168" s="475">
        <f>INDEX(Input!$1:$1048576,Y$93,$C168*2+MIN($B168,2)+5)
++INDEX(Scenarios!Y$121:Y$200,MATCH($B168,Scenarios!$B$121:$B$200,0))</f>
        <v>2466</v>
      </c>
      <c r="Z168" s="477">
        <f>INDEX(Input!$1:$1048576,Z$93,$C168*2+MIN($B168,2)+5)
+INDEX(Scenarios!Z$121:Z$200,MATCH($B168,Scenarios!$B$121:$B$200,0))</f>
        <v>0</v>
      </c>
      <c r="AA168" s="475">
        <f>INDEX(Input!$1:$1048576,AA$93,$C168*2+MIN($B168,2)+5)</f>
        <v>0</v>
      </c>
      <c r="AB168" s="476">
        <f>INDEX(Input!$1:$1048576,AB$93,$C168*2+MIN($B168,2)+5)</f>
        <v>1</v>
      </c>
      <c r="AC168" s="475">
        <f>INDEX(Input!$1:$1048576,AC$93,$C168*2+MIN($B168,2)+5)
+INDEX(Scenarios!AC$121:AC$200,MATCH($B168,Scenarios!$B$121:$B$200,0))</f>
        <v>0</v>
      </c>
      <c r="AD168" s="476">
        <f>INDEX(Input!$1:$1048576,AD$93,$C168*2+MIN($B168,2)+5)</f>
        <v>0.35</v>
      </c>
      <c r="AE168" s="475">
        <f>INDEX(Input!$1:$1048576,AE$93,$C168*2+MIN($B168,2)+5)
+INDEX(Scenarios!AE$121:AE$200,MATCH($B168,Scenarios!$B$121:$B$200,0))</f>
        <v>0</v>
      </c>
      <c r="AF168" s="476">
        <f>INDEX(Input!$1:$1048576,AF$93,$C168*2+MIN($B168,2)+5)</f>
        <v>1</v>
      </c>
      <c r="AG168" s="475">
        <f>INDEX(Input!$1:$1048576,AG$93,$C168*2+MIN($B168,2)+5)
+INDEX(Scenarios!AG$121:AG$200,MATCH($B168,Scenarios!$B$121:$B$200,0))</f>
        <v>0</v>
      </c>
      <c r="AH168" s="476">
        <f>INDEX(Input!$1:$1048576,AH$93,$C168*2+MIN($B168,2)+5)</f>
        <v>1</v>
      </c>
      <c r="AI168" s="475">
        <f>INDEX(Input!$1:$1048576,AI$93,$C168*2+MIN($B168,2)+5)
+INDEX(Scenarios!AI$121:AI$200,MATCH($B168,Scenarios!$B$121:$B$200,0))</f>
        <v>0</v>
      </c>
      <c r="AJ168" s="476">
        <f>INDEX(Input!$1:$1048576,AJ$93,$C168*2+MIN($B168,2)+5)</f>
        <v>0.35</v>
      </c>
      <c r="AK168" s="150">
        <f>ROUND(INDEX(Input!$1:$1048576,AK$93,$C167*2+MIN($B168,1)+5)+(Y168-VLOOKUP($C168*1000+1,$A:$HH,Y$92,FALSE)),0)</f>
        <v>5122</v>
      </c>
      <c r="AL168" s="150">
        <f>ROUND(INDEX(Input!$1:$1048576,AL$93,$C167*2+MIN($B168,1)+5)-(Y168-VLOOKUP($C168*1000+1,$A:$HH,Y$92,FALSE))/36,0)</f>
        <v>5612</v>
      </c>
      <c r="AM168" s="32" t="str">
        <f t="shared" si="387"/>
        <v>std/std/std/std</v>
      </c>
      <c r="AN168" s="32" t="str">
        <f t="shared" si="388"/>
        <v>$0 + 0.9/0.9/0.9/2.9/3.9</v>
      </c>
      <c r="AO168" s="32" t="str">
        <f t="shared" si="389"/>
        <v>0.9/0.9/0.9/2.9/3.9</v>
      </c>
      <c r="AP168" s="32" t="str">
        <f t="shared" si="493"/>
        <v>0.9/1.9/2.9/3.9</v>
      </c>
      <c r="AQ168" s="536">
        <f t="shared" si="492"/>
        <v>0.21753260610962341</v>
      </c>
      <c r="AR168" s="32"/>
      <c r="AS168" s="302"/>
      <c r="AT168" s="3">
        <f t="shared" si="106"/>
        <v>68</v>
      </c>
      <c r="AU168" s="41" t="s">
        <v>121</v>
      </c>
      <c r="AV168" s="41" t="s">
        <v>116</v>
      </c>
      <c r="AW168" s="41" t="str">
        <f>INDEX(Input!$1:$1048576,AW$93,$C168*2+6)</f>
        <v>Kia</v>
      </c>
      <c r="AX168" s="41" t="str">
        <f>INDEX(Input!$1:$1048576,AX$93,$C168*2+6)</f>
        <v>Kia-LR - L1</v>
      </c>
      <c r="AY168" s="41" t="str">
        <f>IF(LEN(D168)=0,"",INDEX(Input!$1:$1048576,AY$93,$C168*2+6))</f>
        <v>Compact Conventional/Sporty Car (43)</v>
      </c>
      <c r="AZ168" s="41" t="str">
        <f>INDEX(Input!$1:$1048576,AZ$93,$C168*2+6)</f>
        <v>Kia Forte</v>
      </c>
      <c r="BA168" s="3">
        <f>INDEX(Input!$1:$1048576,BA$93,$C168*2+6)</f>
        <v>2020</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19695</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94"/>
        <v>1750</v>
      </c>
      <c r="CJ168" s="16" t="str">
        <f>INDEX(Input!$1:$1048576,CJ$93,$C168*2+6)</f>
        <v>N</v>
      </c>
      <c r="CK168" s="1" t="str">
        <f t="shared" si="495"/>
        <v>Market</v>
      </c>
      <c r="CL168" s="1" t="str">
        <f t="shared" si="496"/>
        <v>Market</v>
      </c>
      <c r="CM168" s="1" t="str">
        <f t="shared" si="497"/>
        <v>Market</v>
      </c>
      <c r="CN168" s="1" t="str">
        <f t="shared" si="498"/>
        <v>Market</v>
      </c>
      <c r="CO168" s="1" t="str">
        <f t="shared" si="499"/>
        <v>Market</v>
      </c>
      <c r="CP168" s="304">
        <f t="shared" si="500"/>
        <v>0</v>
      </c>
      <c r="CQ168" s="1">
        <f t="shared" si="501"/>
        <v>9.0000000000000011E-3</v>
      </c>
      <c r="CR168" s="1">
        <f t="shared" si="502"/>
        <v>9.0000000000000011E-3</v>
      </c>
      <c r="CS168" s="1">
        <f t="shared" si="503"/>
        <v>9.0000000000000011E-3</v>
      </c>
      <c r="CT168" s="1">
        <f t="shared" si="504"/>
        <v>2.8999999999999998E-2</v>
      </c>
      <c r="CU168" s="1">
        <f t="shared" si="505"/>
        <v>3.9E-2</v>
      </c>
      <c r="CV168" s="304">
        <f t="shared" si="506"/>
        <v>2466</v>
      </c>
      <c r="CW168" s="20" t="s">
        <v>122</v>
      </c>
      <c r="CX168" s="20" t="s">
        <v>122</v>
      </c>
      <c r="CY168" s="20" t="s">
        <v>122</v>
      </c>
      <c r="CZ168" s="20" t="s">
        <v>122</v>
      </c>
      <c r="DA168" s="20" t="s">
        <v>122</v>
      </c>
      <c r="DB168" s="503">
        <f t="shared" si="507"/>
        <v>0</v>
      </c>
      <c r="DC168" s="127">
        <v>0</v>
      </c>
      <c r="DD168" s="127">
        <v>0</v>
      </c>
      <c r="DE168" s="127">
        <v>0</v>
      </c>
      <c r="DF168" s="127">
        <v>0</v>
      </c>
      <c r="DG168" s="127">
        <v>0</v>
      </c>
      <c r="DH168" s="127">
        <v>0</v>
      </c>
      <c r="DI168" s="127">
        <v>0</v>
      </c>
      <c r="DJ168" s="127">
        <v>0</v>
      </c>
      <c r="DK168" s="127">
        <v>0</v>
      </c>
      <c r="DL168" s="127">
        <v>0</v>
      </c>
      <c r="DM168" s="304">
        <f>INDEX(Input!$1:$1048576,DM$93,$C168*2+6)</f>
        <v>20731.578947368424</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1.7516737369194593E-2</v>
      </c>
      <c r="DZ168" s="7">
        <v>0</v>
      </c>
      <c r="EA168" s="7">
        <v>0.27169007347267443</v>
      </c>
      <c r="EB168" s="7">
        <v>0</v>
      </c>
      <c r="EC168" s="7">
        <v>0</v>
      </c>
      <c r="ED168" s="7">
        <v>0</v>
      </c>
      <c r="EE168" s="7">
        <v>0</v>
      </c>
      <c r="EF168" s="7">
        <v>0</v>
      </c>
      <c r="EG168" s="7">
        <v>0</v>
      </c>
      <c r="EH168" s="7">
        <v>2.4339991898198077E-2</v>
      </c>
      <c r="EI168" s="7">
        <v>4.0856814647068175E-2</v>
      </c>
      <c r="EJ168" s="7">
        <v>0.30271672059585375</v>
      </c>
      <c r="EK168" s="7">
        <v>0.56775043590985852</v>
      </c>
      <c r="EL168" s="7">
        <v>6.4336036949021624E-2</v>
      </c>
      <c r="EM168" s="7">
        <v>9.8890216094562403E-3</v>
      </c>
      <c r="EN168" s="7">
        <v>5.4991458321761222E-2</v>
      </c>
      <c r="EO168" s="7">
        <v>0.54346350462336079</v>
      </c>
      <c r="EP168" s="7">
        <v>0.30989234739924137</v>
      </c>
      <c r="EQ168" s="7">
        <v>5.3241409624822614E-2</v>
      </c>
      <c r="ER168" s="7">
        <v>3.841128003081401E-2</v>
      </c>
      <c r="ES168" s="7">
        <v>0.70090416754867479</v>
      </c>
      <c r="ET168" s="7">
        <v>0.71079318915813094</v>
      </c>
      <c r="EU168" s="6">
        <v>2100</v>
      </c>
      <c r="EV168" s="6">
        <v>0</v>
      </c>
      <c r="EW168" s="6">
        <v>2100</v>
      </c>
      <c r="EX168" s="6">
        <v>0</v>
      </c>
      <c r="EY168" s="6">
        <v>2216.9471942387718</v>
      </c>
      <c r="EZ168" s="6">
        <v>4462.9999999999991</v>
      </c>
      <c r="FA168" s="6">
        <v>0</v>
      </c>
      <c r="FB168" s="6">
        <v>0</v>
      </c>
      <c r="FC168" s="6">
        <v>0</v>
      </c>
      <c r="FD168" s="6">
        <v>0</v>
      </c>
      <c r="FE168" s="6">
        <v>0</v>
      </c>
      <c r="FF168" s="6">
        <v>0</v>
      </c>
      <c r="FG168" s="6">
        <v>0</v>
      </c>
      <c r="FH168" s="6">
        <v>924.48091338374695</v>
      </c>
      <c r="FI168" s="6">
        <v>1232.1164465304234</v>
      </c>
      <c r="FJ168" s="6">
        <v>1709.9775738488463</v>
      </c>
      <c r="FK168" s="6">
        <v>1266.3227157028184</v>
      </c>
      <c r="FL168" s="6">
        <v>893.9143356348934</v>
      </c>
      <c r="FM168" s="6">
        <v>1366.9471942387718</v>
      </c>
      <c r="FN168" s="6">
        <v>0</v>
      </c>
      <c r="FO168" s="6">
        <v>0</v>
      </c>
      <c r="FP168" s="6">
        <v>0</v>
      </c>
      <c r="FQ168" s="6">
        <v>0</v>
      </c>
      <c r="FR168" s="6">
        <v>0</v>
      </c>
      <c r="FS168" s="6">
        <v>0</v>
      </c>
      <c r="FT168" s="7">
        <v>0.289206810841869</v>
      </c>
      <c r="FU168" s="7">
        <v>9.8890216094562403E-3</v>
      </c>
      <c r="FV168" s="7">
        <v>0.70090416754867479</v>
      </c>
      <c r="FW168" s="6">
        <v>2100.0000000000005</v>
      </c>
      <c r="FX168" s="6">
        <v>2216.9471942387718</v>
      </c>
      <c r="FY168" s="6">
        <v>4462.9999999999991</v>
      </c>
      <c r="FZ168" s="6">
        <v>3077.4375890575293</v>
      </c>
      <c r="GA168" s="6">
        <v>3757.3930412485106</v>
      </c>
      <c r="GB168" s="6">
        <v>15937.60695875149</v>
      </c>
      <c r="GC168" s="7">
        <v>7.0901643973087014E-2</v>
      </c>
      <c r="GD168" s="7">
        <v>7.8073642699361678E-2</v>
      </c>
      <c r="GE168" s="7"/>
      <c r="GF168" s="7"/>
      <c r="GG168" s="7">
        <v>0.10115419508463055</v>
      </c>
      <c r="GH168" s="42">
        <v>2.9299446982480171</v>
      </c>
      <c r="GI168" s="6">
        <v>10479.362917259066</v>
      </c>
      <c r="GJ168" s="14">
        <v>0.51074630601039539</v>
      </c>
      <c r="GK168" s="14">
        <v>0.50829519786160959</v>
      </c>
      <c r="GL168" s="14">
        <v>0.48925369398960433</v>
      </c>
      <c r="GM168" s="14">
        <v>0.49170480213839024</v>
      </c>
      <c r="GO168" s="5">
        <v>338.16872463277008</v>
      </c>
      <c r="GP168" s="5">
        <v>298.1047308538179</v>
      </c>
      <c r="GQ168" s="5">
        <v>527.27910984145694</v>
      </c>
      <c r="GR168" s="5">
        <v>404.20319246551543</v>
      </c>
      <c r="GS168" s="5">
        <v>334.50205195691484</v>
      </c>
      <c r="GT168" s="5">
        <v>289.18266033348181</v>
      </c>
      <c r="GU168" s="5">
        <v>254.29573314828914</v>
      </c>
      <c r="GV168" s="39" t="s">
        <v>392</v>
      </c>
      <c r="GW168" s="5">
        <v>475.29643226912253</v>
      </c>
      <c r="GX168" s="5">
        <v>358.07100736083845</v>
      </c>
      <c r="GY168" s="5">
        <v>287.73954748358943</v>
      </c>
      <c r="GZ168" s="5">
        <v>255.64660634518972</v>
      </c>
      <c r="HA168" s="5">
        <v>229.8919505212948</v>
      </c>
      <c r="HB168" s="39">
        <v>273.23573350324898</v>
      </c>
      <c r="HC168" s="5">
        <v>87.859375</v>
      </c>
      <c r="HD168" s="5">
        <v>103.05546418128652</v>
      </c>
      <c r="HE168" s="5">
        <v>113.73246879217274</v>
      </c>
      <c r="HF168" s="5">
        <v>114.49629934210526</v>
      </c>
      <c r="HG168" s="5">
        <v>122.034100877193</v>
      </c>
      <c r="HH168" s="39">
        <v>106.86665101845685</v>
      </c>
      <c r="HI168" s="16"/>
      <c r="HJ168" s="19" t="str">
        <f t="shared" si="385"/>
        <v>On</v>
      </c>
      <c r="HK168" s="1" t="str">
        <f t="shared" si="385"/>
        <v>On</v>
      </c>
      <c r="HL168" s="16"/>
      <c r="HM168" s="639">
        <f t="shared" si="441"/>
        <v>1.7699001661282989E-2</v>
      </c>
      <c r="HN168" s="639">
        <f t="shared" si="442"/>
        <v>1.0509929974846072E-3</v>
      </c>
      <c r="HO168" s="639">
        <f t="shared" si="443"/>
        <v>5.7398960259851091E-2</v>
      </c>
      <c r="HP168" s="644">
        <f>(FT168*$GD168-HM168)/$JF168*INDEX(Input!$1:$1048576,$JG$93,$C168*2+6)</f>
        <v>62.680547008250386</v>
      </c>
      <c r="HQ168" s="644">
        <f>(FU168*$GD168-HN168)/$JF168*INDEX(Input!$1:$1048576,$JG$93,$C168*2+6)</f>
        <v>-3.58225263529547</v>
      </c>
      <c r="HR168" s="644">
        <f>(FV168*$GD168-HO168)/$JF168*INDEX(Input!$1:$1048576,$JG$93,$C168*2+6)</f>
        <v>-34.379049682356936</v>
      </c>
      <c r="HS168" s="644">
        <f t="shared" si="444"/>
        <v>5.0811301381073421E-3</v>
      </c>
      <c r="HT168" s="644">
        <f t="shared" si="445"/>
        <v>-6.1951374365367231</v>
      </c>
      <c r="HU168" s="644">
        <f t="shared" si="446"/>
        <v>4.1742557178214215</v>
      </c>
      <c r="HV168" s="648">
        <f t="shared" si="447"/>
        <v>0</v>
      </c>
      <c r="HW168" s="648">
        <f t="shared" si="448"/>
        <v>0</v>
      </c>
      <c r="HX168" s="648">
        <f t="shared" si="449"/>
        <v>0</v>
      </c>
      <c r="HY168" s="644">
        <f>INDEX(Input!$1:$1048576,HY$93,$C168*2+6)*INDEX(Input!$1:$1048576,$JG$93,$C168*2+6)</f>
        <v>154.99999999999997</v>
      </c>
      <c r="HZ168" s="644">
        <f>INDEX(Input!$1:$1048576,HZ$93,$C168*2+6)*INDEX(Input!$1:$1048576,$JG$93,$C168*2+6)</f>
        <v>140</v>
      </c>
      <c r="IA168" s="644">
        <f>INDEX(Input!$1:$1048576,IA$93,$C168*2+6)*INDEX(Input!$1:$1048576,$JG$93,$C168*2+6)</f>
        <v>683</v>
      </c>
      <c r="IB168" s="644">
        <f t="shared" si="450"/>
        <v>217.68562813838844</v>
      </c>
      <c r="IC168" s="644">
        <f t="shared" si="451"/>
        <v>130.2226099281678</v>
      </c>
      <c r="ID168" s="644">
        <f>IF(AND(INDEX(Input!$1:$1048576,IA$93,$C168*2+7)="TOS",Y168&lt;=INDEX(Y:Y,MATCH(C168*1000+2,A:A))),0,1)*MAX(IA168+HR168+HU168+HX168,0%)</f>
        <v>652.7952060354645</v>
      </c>
      <c r="IE168" s="128">
        <f t="shared" si="452"/>
        <v>0.21753260610962341</v>
      </c>
      <c r="IF168" s="128">
        <f t="shared" si="453"/>
        <v>0.13013106999449053</v>
      </c>
      <c r="IG168" s="128">
        <f t="shared" si="454"/>
        <v>0.65233632389588603</v>
      </c>
      <c r="IH168" s="21"/>
      <c r="II168" s="19">
        <f t="shared" si="455"/>
        <v>1200</v>
      </c>
      <c r="IJ168" s="19">
        <f t="shared" si="456"/>
        <v>2231.5502763133163</v>
      </c>
      <c r="IK168" s="19">
        <f t="shared" si="457"/>
        <v>4498</v>
      </c>
      <c r="IL168" s="19">
        <f t="shared" si="458"/>
        <v>900.00000000000045</v>
      </c>
      <c r="IM168" s="19">
        <f t="shared" si="459"/>
        <v>-14.603082074544545</v>
      </c>
      <c r="IN168" s="19">
        <f t="shared" si="460"/>
        <v>-35.000000000000909</v>
      </c>
      <c r="IO168" s="39">
        <f t="shared" si="461"/>
        <v>0</v>
      </c>
      <c r="IP168" s="39">
        <f t="shared" si="462"/>
        <v>0</v>
      </c>
      <c r="IQ168" s="39">
        <f t="shared" si="463"/>
        <v>0</v>
      </c>
      <c r="IR168" s="39">
        <v>0</v>
      </c>
      <c r="IS168" s="39">
        <v>0</v>
      </c>
      <c r="IT168" s="39">
        <v>0</v>
      </c>
      <c r="IU168" s="39">
        <v>0</v>
      </c>
      <c r="IV168" s="39">
        <v>0</v>
      </c>
      <c r="IW168" s="39">
        <v>0</v>
      </c>
      <c r="IX168" s="39">
        <f>INDEX(Input!$1:$1048576,IX$93,$C168*2+6)+INDEX(Input!$1:$1048576,IX$94,$C168*2+6)</f>
        <v>1600</v>
      </c>
      <c r="IY168" s="39">
        <f>INDEX(Input!$1:$1048576,IY$93,$C168*2+6)+INDEX(Input!$1:$1048576,IY$94,$C168*2+6)</f>
        <v>2503.5492916397525</v>
      </c>
      <c r="IZ168" s="39">
        <f>INDEX(Input!$1:$1048576,IZ$93,$C168*2+6)+INDEX(Input!$1:$1048576,IZ$94,$C168*2+6)</f>
        <v>6273.7109265464023</v>
      </c>
      <c r="JA168" s="19">
        <f t="shared" si="464"/>
        <v>2500.0000000000005</v>
      </c>
      <c r="JB168" s="19">
        <f t="shared" si="465"/>
        <v>2488.9462095652079</v>
      </c>
      <c r="JC168" s="19">
        <f t="shared" si="466"/>
        <v>6238.7109265464014</v>
      </c>
      <c r="JD168" s="19">
        <f t="shared" si="467"/>
        <v>4937.4585003558868</v>
      </c>
      <c r="JE168" s="21"/>
      <c r="JF168" s="1">
        <f t="shared" si="468"/>
        <v>7.6148954918618686E-2</v>
      </c>
      <c r="JG168" s="15">
        <f>INDEX(Input!$1:$1048576,JG$93,$C168*2+6)/(1+VLOOKUP(C168*1000+INDEX(Input!$1:$1048576,JG$93+1,$C168*2+6),$A:$KK,$JK$92,FALSE))</f>
        <v>978</v>
      </c>
      <c r="JH168" s="1">
        <f t="shared" si="469"/>
        <v>2.527530131962984E-2</v>
      </c>
      <c r="JI168" s="1">
        <f t="shared" si="470"/>
        <v>-2.0611457960912011E-3</v>
      </c>
      <c r="JJ168" s="1">
        <f t="shared" si="471"/>
        <v>0</v>
      </c>
      <c r="JK168" s="1">
        <f t="shared" si="472"/>
        <v>2.321415552353864E-2</v>
      </c>
      <c r="JL168" s="15">
        <f t="shared" si="473"/>
        <v>22.703444102020789</v>
      </c>
      <c r="JM168" s="15">
        <f t="shared" si="474"/>
        <v>1000.7034441020207</v>
      </c>
      <c r="JN168" s="21"/>
      <c r="JO168" s="19">
        <f>INDEX(Input!$1:$1048576,JO$93,$C168*2+6)</f>
        <v>5908.5</v>
      </c>
      <c r="JP168" s="19">
        <f>INDEX(Input!$1:$1048576,JP$93,$C168*2+6)</f>
        <v>4993.2939301234746</v>
      </c>
      <c r="JQ168" s="39">
        <f t="shared" si="475"/>
        <v>971.04149964411317</v>
      </c>
      <c r="JR168" s="39">
        <f t="shared" si="476"/>
        <v>-55.835429767587812</v>
      </c>
      <c r="JS168" s="39">
        <f t="shared" si="477"/>
        <v>4.9409317264169346</v>
      </c>
      <c r="JT168" s="39">
        <f t="shared" si="478"/>
        <v>5.7490262756176295E-2</v>
      </c>
      <c r="JU168" s="385">
        <f>(JQ168*JM168-INDEX(Input!$1:$1048576,Input!A$18,$C168*2+6)*JL168*INDEX(Input!$1:$1048576,Input!A$19,$C168*2+6))/1000000</f>
        <v>0.97172457305985516</v>
      </c>
      <c r="JV168" s="39">
        <f t="shared" si="479"/>
        <v>7.665303672061341E-2</v>
      </c>
      <c r="JW168" s="1">
        <f t="shared" si="480"/>
        <v>8.5639006055445693E-2</v>
      </c>
      <c r="JX168" s="19">
        <f t="shared" si="481"/>
        <v>2532.2264982280462</v>
      </c>
      <c r="JZ168" s="341"/>
      <c r="KA168" s="342"/>
      <c r="KB168" s="469">
        <f t="shared" si="509"/>
        <v>3.2656316020464753</v>
      </c>
      <c r="KI168" s="473">
        <f t="shared" si="482"/>
        <v>62.685628138388466</v>
      </c>
      <c r="KJ168" s="473">
        <f t="shared" si="483"/>
        <v>-9.7773900718322011</v>
      </c>
      <c r="KK168" s="473">
        <f t="shared" si="484"/>
        <v>-30.204793964535497</v>
      </c>
      <c r="KN168" s="544">
        <f t="shared" si="485"/>
        <v>1002</v>
      </c>
      <c r="KO168" s="541">
        <f t="shared" si="486"/>
        <v>-5.4253394763273954E-2</v>
      </c>
      <c r="KP168" s="546">
        <f t="shared" si="487"/>
        <v>-180.02751624108112</v>
      </c>
      <c r="KQ168" s="546">
        <f t="shared" si="488"/>
        <v>-416.99539961955361</v>
      </c>
      <c r="KR168" s="548">
        <f t="shared" si="489"/>
        <v>4.3216910666238544</v>
      </c>
      <c r="KS168" s="548">
        <f t="shared" si="490"/>
        <v>1.8657839136724095</v>
      </c>
      <c r="KT168" s="473">
        <f t="shared" si="510"/>
        <v>-82.310573396665475</v>
      </c>
      <c r="KU168" s="663">
        <f t="shared" si="491"/>
        <v>-52.484421512231656</v>
      </c>
    </row>
    <row r="169" spans="1:308" s="26" customFormat="1" ht="15" outlineLevel="1">
      <c r="A169" s="561">
        <f t="shared" si="386"/>
        <v>1069</v>
      </c>
      <c r="B169" s="561">
        <f t="shared" si="508"/>
        <v>69</v>
      </c>
      <c r="C169" s="561">
        <f t="shared" si="105"/>
        <v>1</v>
      </c>
      <c r="D169" s="561" t="str">
        <f t="shared" si="376"/>
        <v xml:space="preserve">500 CC, 180 Lease, </v>
      </c>
      <c r="E169" s="475">
        <f>INDEX(Input!$1:$1048576,E$93,$C169*2+MIN($B169,2)+5)
+INDEX(Scenarios!E$121:E$200,MATCH($B169,Scenarios!$B$121:$B$200,0))</f>
        <v>1750</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1.9E-2</v>
      </c>
      <c r="W169" s="863">
        <f>IFERROR(MAX(0,INDEX(Input!$1:$1048576,W$93,$C169*2+MIN($B169,2)+5)-0%,),"Market")</f>
        <v>3.9E-2</v>
      </c>
      <c r="X169" s="476" t="str">
        <f>INDEX(Input!$1:$1048576,X$93,$C169*2+MIN($B169,2)+5)</f>
        <v>Y</v>
      </c>
      <c r="Y169" s="475">
        <f>INDEX(Input!$1:$1048576,Y$93,$C169*2+MIN($B169,2)+5)
++INDEX(Scenarios!Y$121:Y$200,MATCH($B169,Scenarios!$B$121:$B$200,0))</f>
        <v>3006</v>
      </c>
      <c r="Z169" s="477">
        <f>INDEX(Input!$1:$1048576,Z$93,$C169*2+MIN($B169,2)+5)
+INDEX(Scenarios!Z$121:Z$200,MATCH($B169,Scenarios!$B$121:$B$200,0))</f>
        <v>0</v>
      </c>
      <c r="AA169" s="475">
        <f>INDEX(Input!$1:$1048576,AA$93,$C169*2+MIN($B169,2)+5)</f>
        <v>0</v>
      </c>
      <c r="AB169" s="476">
        <f>INDEX(Input!$1:$1048576,AB$93,$C169*2+MIN($B169,2)+5)</f>
        <v>1</v>
      </c>
      <c r="AC169" s="475">
        <f>INDEX(Input!$1:$1048576,AC$93,$C169*2+MIN($B169,2)+5)
+INDEX(Scenarios!AC$121:AC$200,MATCH($B169,Scenarios!$B$121:$B$200,0))</f>
        <v>0</v>
      </c>
      <c r="AD169" s="476">
        <f>INDEX(Input!$1:$1048576,AD$93,$C169*2+MIN($B169,2)+5)</f>
        <v>0.35</v>
      </c>
      <c r="AE169" s="475">
        <f>INDEX(Input!$1:$1048576,AE$93,$C169*2+MIN($B169,2)+5)
+INDEX(Scenarios!AE$121:AE$200,MATCH($B169,Scenarios!$B$121:$B$200,0))</f>
        <v>0</v>
      </c>
      <c r="AF169" s="476">
        <f>INDEX(Input!$1:$1048576,AF$93,$C169*2+MIN($B169,2)+5)</f>
        <v>1</v>
      </c>
      <c r="AG169" s="475">
        <f>INDEX(Input!$1:$1048576,AG$93,$C169*2+MIN($B169,2)+5)
+INDEX(Scenarios!AG$121:AG$200,MATCH($B169,Scenarios!$B$121:$B$200,0))</f>
        <v>0</v>
      </c>
      <c r="AH169" s="476">
        <f>INDEX(Input!$1:$1048576,AH$93,$C169*2+MIN($B169,2)+5)</f>
        <v>1</v>
      </c>
      <c r="AI169" s="475">
        <f>INDEX(Input!$1:$1048576,AI$93,$C169*2+MIN($B169,2)+5)
+INDEX(Scenarios!AI$121:AI$200,MATCH($B169,Scenarios!$B$121:$B$200,0))</f>
        <v>0</v>
      </c>
      <c r="AJ169" s="476">
        <f>INDEX(Input!$1:$1048576,AJ$93,$C169*2+MIN($B169,2)+5)</f>
        <v>0.35</v>
      </c>
      <c r="AK169" s="150">
        <f>ROUND(INDEX(Input!$1:$1048576,AK$93,$C168*2+MIN($B169,1)+5)+(Y169-VLOOKUP($C169*1000+1,$A:$HH,Y$92,FALSE)),0)</f>
        <v>5662</v>
      </c>
      <c r="AL169" s="150">
        <f>ROUND(INDEX(Input!$1:$1048576,AL$93,$C168*2+MIN($B169,1)+5)-(Y169-VLOOKUP($C169*1000+1,$A:$HH,Y$92,FALSE))/36,0)</f>
        <v>5597</v>
      </c>
      <c r="AM169" s="32" t="str">
        <f t="shared" si="387"/>
        <v>std/std/std/std</v>
      </c>
      <c r="AN169" s="32" t="str">
        <f t="shared" si="388"/>
        <v>$0 + 0/0/0/1.9/3.9</v>
      </c>
      <c r="AO169" s="32" t="str">
        <f t="shared" si="389"/>
        <v>0/0/0/1.9/3.9</v>
      </c>
      <c r="AP169" s="32" t="str">
        <f t="shared" si="493"/>
        <v>0/0.9/1.9/3.9</v>
      </c>
      <c r="AQ169" s="536">
        <f t="shared" si="492"/>
        <v>0.17334092471962312</v>
      </c>
      <c r="AR169" s="32"/>
      <c r="AS169" s="302"/>
      <c r="AT169" s="3">
        <f t="shared" si="106"/>
        <v>69</v>
      </c>
      <c r="AU169" s="41" t="s">
        <v>121</v>
      </c>
      <c r="AV169" s="41" t="s">
        <v>116</v>
      </c>
      <c r="AW169" s="41" t="str">
        <f>INDEX(Input!$1:$1048576,AW$93,$C169*2+6)</f>
        <v>Kia</v>
      </c>
      <c r="AX169" s="41" t="str">
        <f>INDEX(Input!$1:$1048576,AX$93,$C169*2+6)</f>
        <v>Kia-LR - L1</v>
      </c>
      <c r="AY169" s="41" t="str">
        <f>IF(LEN(D169)=0,"",INDEX(Input!$1:$1048576,AY$93,$C169*2+6))</f>
        <v>Compact Conventional/Sporty Car (43)</v>
      </c>
      <c r="AZ169" s="41" t="str">
        <f>INDEX(Input!$1:$1048576,AZ$93,$C169*2+6)</f>
        <v>Kia Forte</v>
      </c>
      <c r="BA169" s="3">
        <f>INDEX(Input!$1:$1048576,BA$93,$C169*2+6)</f>
        <v>2020</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19695</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si="494"/>
        <v>1750</v>
      </c>
      <c r="CJ169" s="16" t="str">
        <f>INDEX(Input!$1:$1048576,CJ$93,$C169*2+6)</f>
        <v>N</v>
      </c>
      <c r="CK169" s="1" t="str">
        <f t="shared" si="495"/>
        <v>Market</v>
      </c>
      <c r="CL169" s="1" t="str">
        <f t="shared" si="496"/>
        <v>Market</v>
      </c>
      <c r="CM169" s="1" t="str">
        <f t="shared" si="497"/>
        <v>Market</v>
      </c>
      <c r="CN169" s="1" t="str">
        <f t="shared" si="498"/>
        <v>Market</v>
      </c>
      <c r="CO169" s="1" t="str">
        <f t="shared" si="499"/>
        <v>Market</v>
      </c>
      <c r="CP169" s="304">
        <f t="shared" si="500"/>
        <v>0</v>
      </c>
      <c r="CQ169" s="1">
        <f t="shared" si="501"/>
        <v>0</v>
      </c>
      <c r="CR169" s="1">
        <f t="shared" si="502"/>
        <v>0</v>
      </c>
      <c r="CS169" s="1">
        <f t="shared" si="503"/>
        <v>0</v>
      </c>
      <c r="CT169" s="1">
        <f t="shared" si="504"/>
        <v>1.9E-2</v>
      </c>
      <c r="CU169" s="1">
        <f t="shared" si="505"/>
        <v>3.9E-2</v>
      </c>
      <c r="CV169" s="304">
        <f t="shared" si="506"/>
        <v>3006</v>
      </c>
      <c r="CW169" s="20" t="s">
        <v>122</v>
      </c>
      <c r="CX169" s="20" t="s">
        <v>122</v>
      </c>
      <c r="CY169" s="20" t="s">
        <v>122</v>
      </c>
      <c r="CZ169" s="20" t="s">
        <v>122</v>
      </c>
      <c r="DA169" s="20" t="s">
        <v>122</v>
      </c>
      <c r="DB169" s="503">
        <f t="shared" si="507"/>
        <v>0</v>
      </c>
      <c r="DC169" s="127">
        <v>0</v>
      </c>
      <c r="DD169" s="127">
        <v>0</v>
      </c>
      <c r="DE169" s="127">
        <v>0</v>
      </c>
      <c r="DF169" s="127">
        <v>0</v>
      </c>
      <c r="DG169" s="127">
        <v>0</v>
      </c>
      <c r="DH169" s="127">
        <v>0</v>
      </c>
      <c r="DI169" s="127">
        <v>0</v>
      </c>
      <c r="DJ169" s="127">
        <v>0</v>
      </c>
      <c r="DK169" s="127">
        <v>0</v>
      </c>
      <c r="DL169" s="127">
        <v>0</v>
      </c>
      <c r="DM169" s="304">
        <f>INDEX(Input!$1:$1048576,DM$93,$C169*2+6)</f>
        <v>20731.578947368424</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1.4920999096420605E-2</v>
      </c>
      <c r="DZ169" s="7">
        <v>0</v>
      </c>
      <c r="EA169" s="7">
        <v>0.23151720601503303</v>
      </c>
      <c r="EB169" s="7">
        <v>0</v>
      </c>
      <c r="EC169" s="7">
        <v>0</v>
      </c>
      <c r="ED169" s="7">
        <v>0</v>
      </c>
      <c r="EE169" s="7">
        <v>0</v>
      </c>
      <c r="EF169" s="7">
        <v>0</v>
      </c>
      <c r="EG169" s="7">
        <v>0</v>
      </c>
      <c r="EH169" s="7">
        <v>1.9867163211649868E-2</v>
      </c>
      <c r="EI169" s="7">
        <v>3.5734944822064248E-2</v>
      </c>
      <c r="EJ169" s="7">
        <v>0.28104141462213034</v>
      </c>
      <c r="EK169" s="7">
        <v>0.62010092925970761</v>
      </c>
      <c r="EL169" s="7">
        <v>4.3255548084448155E-2</v>
      </c>
      <c r="EM169" s="7">
        <v>1.2528829447456421E-2</v>
      </c>
      <c r="EN169" s="7">
        <v>5.7610642163851894E-2</v>
      </c>
      <c r="EO169" s="7">
        <v>0.54149136962339817</v>
      </c>
      <c r="EP169" s="7">
        <v>0.31264818341308326</v>
      </c>
      <c r="EQ169" s="7">
        <v>5.1288827293828471E-2</v>
      </c>
      <c r="ER169" s="7">
        <v>3.69609775058381E-2</v>
      </c>
      <c r="ES169" s="7">
        <v>0.74103296544108987</v>
      </c>
      <c r="ET169" s="7">
        <v>0.75356179488854635</v>
      </c>
      <c r="EU169" s="6">
        <v>2100</v>
      </c>
      <c r="EV169" s="6">
        <v>0</v>
      </c>
      <c r="EW169" s="6">
        <v>2100</v>
      </c>
      <c r="EX169" s="6">
        <v>0</v>
      </c>
      <c r="EY169" s="6">
        <v>2631.5502763133168</v>
      </c>
      <c r="EZ169" s="6">
        <v>5002.9999999999991</v>
      </c>
      <c r="FA169" s="6">
        <v>0</v>
      </c>
      <c r="FB169" s="6">
        <v>0</v>
      </c>
      <c r="FC169" s="6">
        <v>0</v>
      </c>
      <c r="FD169" s="6">
        <v>0</v>
      </c>
      <c r="FE169" s="6">
        <v>0</v>
      </c>
      <c r="FF169" s="6">
        <v>0</v>
      </c>
      <c r="FG169" s="6">
        <v>0</v>
      </c>
      <c r="FH169" s="6">
        <v>1152.1208270377815</v>
      </c>
      <c r="FI169" s="6">
        <v>1531.4299904380618</v>
      </c>
      <c r="FJ169" s="6">
        <v>2070.7205842538219</v>
      </c>
      <c r="FK169" s="6">
        <v>1746.9903521590434</v>
      </c>
      <c r="FL169" s="6">
        <v>893.91433563489386</v>
      </c>
      <c r="FM169" s="6">
        <v>1781.5502763133168</v>
      </c>
      <c r="FN169" s="6">
        <v>0</v>
      </c>
      <c r="FO169" s="6">
        <v>0</v>
      </c>
      <c r="FP169" s="6">
        <v>0</v>
      </c>
      <c r="FQ169" s="6">
        <v>0</v>
      </c>
      <c r="FR169" s="6">
        <v>0</v>
      </c>
      <c r="FS169" s="6">
        <v>0</v>
      </c>
      <c r="FT169" s="7">
        <v>0.24643820511145365</v>
      </c>
      <c r="FU169" s="7">
        <v>1.2528829447456421E-2</v>
      </c>
      <c r="FV169" s="7">
        <v>0.74103296544108987</v>
      </c>
      <c r="FW169" s="6">
        <v>2100</v>
      </c>
      <c r="FX169" s="6">
        <v>2631.5502763133168</v>
      </c>
      <c r="FY169" s="6">
        <v>5002.9999999999991</v>
      </c>
      <c r="FZ169" s="6">
        <v>3077.4375890575293</v>
      </c>
      <c r="GA169" s="6">
        <v>4257.8784014301609</v>
      </c>
      <c r="GB169" s="6">
        <v>15437.12159856984</v>
      </c>
      <c r="GC169" s="7">
        <v>7.0901643973087014E-2</v>
      </c>
      <c r="GD169" s="7">
        <v>8.3517195435761041E-2</v>
      </c>
      <c r="GE169" s="7"/>
      <c r="GF169" s="7"/>
      <c r="GG169" s="7">
        <v>0.17793030959144843</v>
      </c>
      <c r="GH169" s="42">
        <v>2.9686684928827729</v>
      </c>
      <c r="GI169" s="6">
        <v>10892.165809140966</v>
      </c>
      <c r="GJ169" s="14">
        <v>0.5107463060103955</v>
      </c>
      <c r="GK169" s="14">
        <v>0.50829519786160993</v>
      </c>
      <c r="GL169" s="14">
        <v>0.48925369398960444</v>
      </c>
      <c r="GM169" s="14">
        <v>0.49170480213839046</v>
      </c>
      <c r="GO169" s="5">
        <v>338.16872463277008</v>
      </c>
      <c r="GP169" s="5">
        <v>298.1047308538179</v>
      </c>
      <c r="GQ169" s="5">
        <v>527.27910984145694</v>
      </c>
      <c r="GR169" s="5">
        <v>404.20319246551543</v>
      </c>
      <c r="GS169" s="5">
        <v>334.50205195691484</v>
      </c>
      <c r="GT169" s="5">
        <v>289.18266033348181</v>
      </c>
      <c r="GU169" s="5">
        <v>254.29573314828914</v>
      </c>
      <c r="GV169" s="39" t="s">
        <v>392</v>
      </c>
      <c r="GW169" s="5">
        <v>468.76388888888891</v>
      </c>
      <c r="GX169" s="5">
        <v>351.57291666666669</v>
      </c>
      <c r="GY169" s="5">
        <v>281.25833333333333</v>
      </c>
      <c r="GZ169" s="5">
        <v>248.18079879493993</v>
      </c>
      <c r="HA169" s="5">
        <v>229.8919505212948</v>
      </c>
      <c r="HB169" s="39">
        <v>264.76293361772167</v>
      </c>
      <c r="HC169" s="5">
        <v>64.234375000000014</v>
      </c>
      <c r="HD169" s="5">
        <v>86.930464181286524</v>
      </c>
      <c r="HE169" s="5">
        <v>98.761314946018885</v>
      </c>
      <c r="HF169" s="5">
        <v>102.00879934210526</v>
      </c>
      <c r="HG169" s="5">
        <v>111.68410087719299</v>
      </c>
      <c r="HH169" s="39">
        <v>91.010090645816177</v>
      </c>
      <c r="HI169" s="16"/>
      <c r="HJ169" s="19" t="str">
        <f t="shared" ref="HJ169:HK169" si="511">HJ168</f>
        <v>On</v>
      </c>
      <c r="HK169" s="1" t="str">
        <f t="shared" si="511"/>
        <v>On</v>
      </c>
      <c r="HL169" s="16"/>
      <c r="HM169" s="639">
        <f t="shared" ref="HM169:HM172" si="512">VLOOKUP($C169*1000+1,$A:$HH,FT$92,FALSE)*$JF169</f>
        <v>1.7699001661282989E-2</v>
      </c>
      <c r="HN169" s="639">
        <f t="shared" ref="HN169:HN172" si="513">VLOOKUP($C169*1000+1,$A:$HH,FU$92,FALSE)*$JF169</f>
        <v>1.0509929974846072E-3</v>
      </c>
      <c r="HO169" s="639">
        <f t="shared" ref="HO169:HO172" si="514">VLOOKUP($C169*1000+1,$A:$HH,FV$92,FALSE)*$JF169</f>
        <v>5.7398960259851091E-2</v>
      </c>
      <c r="HP169" s="644">
        <f>(FT169*$GD169-HM169)/$JF169*INDEX(Input!$1:$1048576,$JG$93,$C169*2+6)</f>
        <v>37.024853553787004</v>
      </c>
      <c r="HQ169" s="644">
        <f>(FU169*$GD169-HN169)/$JF169*INDEX(Input!$1:$1048576,$JG$93,$C169*2+6)</f>
        <v>-5.9339663245791513E-2</v>
      </c>
      <c r="HR169" s="644">
        <f>(FV169*$GD169-HO169)/$JF169*INDEX(Input!$1:$1048576,$JG$93,$C169*2+6)</f>
        <v>57.66663481677206</v>
      </c>
      <c r="HS169" s="644">
        <f t="shared" ref="HS169:HS172" si="515">IF(AND(HJ169="On",HK169="On"),IL169/1000*INDEX(KG:KG,MATCH(C169*1000+3,$KF:$KF,0))*SUM(HY169:IA169)*1.1
+INDEX(HR:HR,MATCH(C169*1000+4,$KF:$KF,0))/INDEX(IM:IM,MATCH(C169*1000+4,$KF:$KF,0))*IM169*20%,0)</f>
        <v>-0.13917966391395012</v>
      </c>
      <c r="HT169" s="644">
        <f t="shared" ref="HT169:HT172" si="516">IF(AND(HJ169="On",HK169="On"),IM169/1000*INDEX(KG:KG,MATCH(C169*1000+4,$KF:$KF,0))*SUM(HY169:IA169)*1.1
+INDEX(HR:HR,MATCH(C169*1000+3,$KF:$KF,0))/INDEX(IL:IL,MATCH(C169*1000+3,$KF:$KF,0))*IL169*20%,0)</f>
        <v>5.3406520771266957</v>
      </c>
      <c r="HU169" s="644">
        <f t="shared" ref="HU169:HU172" si="517">IF(HJ169="On",IN169/1000*INDEX(KG:KG,MATCH(C169*1000+5,$KF:$KF,0))*SUM(HY169:IA169)*1.1
-INDEX(HR:HR,MATCH(C169*1000+3,$KF:$KF,0))/INDEX(IL:IL,MATCH(C169*1000+3,$KF:$KF,0))*IL169*20%
-INDEX(HR:HR,MATCH(C169*1000+4,$KF:$KF,0))/INDEX(IM:IM,MATCH(C169*1000+4,$KF:$KF,0))*IM169*20%,0)</f>
        <v>29.150630868701704</v>
      </c>
      <c r="HV169" s="648">
        <f t="shared" ref="HV169:HV172" si="518">IL169/1000*0+IM169/1000*0+IN169/1000*0
+(CP169-INDEX(CP:CP,MATCH(C169*1000+1,A:A,0)))/1000*0+IF(FU169&gt;0,0,0)</f>
        <v>0</v>
      </c>
      <c r="HW169" s="648">
        <f t="shared" ref="HW169:HW172" si="519">IL169/1000*0+IM169/1000*0+IN169/1000*0
+(CP169-INDEX(CP:CP,MATCH(C169*1000+1,A:A,0)))/1000*0+IF(FU169&gt;0,0,0)</f>
        <v>0</v>
      </c>
      <c r="HX169" s="648">
        <f t="shared" ref="HX169:HX172" si="520">IL169/1000*0+IM169/1000*0+IN169/1000*0
+(CP169-INDEX(CP:CP,MATCH(C169*1000+1,A:A,0)))/1000*0+IF(FU169&gt;0,0,0)</f>
        <v>0</v>
      </c>
      <c r="HY169" s="644">
        <f>INDEX(Input!$1:$1048576,HY$93,$C169*2+6)*INDEX(Input!$1:$1048576,$JG$93,$C169*2+6)</f>
        <v>154.99999999999997</v>
      </c>
      <c r="HZ169" s="644">
        <f>INDEX(Input!$1:$1048576,HZ$93,$C169*2+6)*INDEX(Input!$1:$1048576,$JG$93,$C169*2+6)</f>
        <v>140</v>
      </c>
      <c r="IA169" s="644">
        <f>INDEX(Input!$1:$1048576,IA$93,$C169*2+6)*INDEX(Input!$1:$1048576,$JG$93,$C169*2+6)</f>
        <v>683</v>
      </c>
      <c r="IB169" s="644">
        <f t="shared" ref="IB169:IB172" si="521">SUM(HP169:IA169)-IC169-ID169</f>
        <v>191.88567388987303</v>
      </c>
      <c r="IC169" s="644">
        <f t="shared" ref="IC169:IC172" si="522">MAX(HZ169+HQ169+HT169+HW169,0%)</f>
        <v>145.2813124138809</v>
      </c>
      <c r="ID169" s="644">
        <f>IF(AND(INDEX(Input!$1:$1048576,IA$93,$C169*2+7)="TOS",Y169&lt;=INDEX(Y:Y,MATCH(C169*1000+2,A:A))),0,1)*MAX(IA169+HR169+HU169+HX169,0%)</f>
        <v>769.81726568547379</v>
      </c>
      <c r="IE169" s="128">
        <f t="shared" ref="IE169:IE172" si="523">IB169/SUM($IB169:$ID169)</f>
        <v>0.17334092471962312</v>
      </c>
      <c r="IF169" s="128">
        <f t="shared" ref="IF169:IF172" si="524">IC169/SUM($IB169:$ID169)</f>
        <v>0.13124063161044378</v>
      </c>
      <c r="IG169" s="128">
        <f t="shared" ref="IG169:IG172" si="525">ID169/SUM($IB169:$ID169)</f>
        <v>0.69541844366993311</v>
      </c>
      <c r="IH169" s="21"/>
      <c r="II169" s="19">
        <f t="shared" ref="II169:II172" si="526">VLOOKUP($C169*1000+1,$A:$HH,FW$92,FALSE)-VLOOKUP($C169*1000+1,$A:$HH,FA$92,FALSE)*VLOOKUP($C169*1000+1,$A:$HH,DZ$92,FALSE)/VLOOKUP($C169*1000+1,$A:$HH,FT$92,FALSE)</f>
        <v>1200</v>
      </c>
      <c r="IJ169" s="19">
        <f t="shared" ref="IJ169:IJ172" si="527">VLOOKUP($C169*1000+1,$A:$HH,FX$92,FALSE)</f>
        <v>2231.5502763133163</v>
      </c>
      <c r="IK169" s="19">
        <f t="shared" ref="IK169:IK172" si="528">VLOOKUP($C169*1000+1,$A:$HH,FY$92,FALSE)</f>
        <v>4498</v>
      </c>
      <c r="IL169" s="19">
        <f t="shared" ref="IL169:IL172" si="529">(FW169-FA169*DZ169/FT169)-II169</f>
        <v>900</v>
      </c>
      <c r="IM169" s="19">
        <f t="shared" ref="IM169:IM172" si="530">FX169-IJ169</f>
        <v>400.00000000000045</v>
      </c>
      <c r="IN169" s="19">
        <f t="shared" ref="IN169:IN172" si="531">FY169-IK169</f>
        <v>504.99999999999909</v>
      </c>
      <c r="IO169" s="39">
        <f t="shared" ref="IO169:IO172" si="532">(F169-VLOOKUP($C169*1000+1,$A:$HH,F$92,FALSE))*(1-$I169)</f>
        <v>0</v>
      </c>
      <c r="IP169" s="39">
        <f t="shared" ref="IP169:IP172" si="533">(G169-VLOOKUP($C169*1000+1,$A:$HH,G$92,FALSE))*(1-$I169)</f>
        <v>0</v>
      </c>
      <c r="IQ169" s="39">
        <f t="shared" ref="IQ169:IQ172" si="534">(H169-VLOOKUP($C169*1000+1,$A:$HH,H$92,FALSE))*(1-$I169)</f>
        <v>0</v>
      </c>
      <c r="IR169" s="39">
        <v>0</v>
      </c>
      <c r="IS169" s="39">
        <v>0</v>
      </c>
      <c r="IT169" s="39">
        <v>0</v>
      </c>
      <c r="IU169" s="39">
        <v>0</v>
      </c>
      <c r="IV169" s="39">
        <v>0</v>
      </c>
      <c r="IW169" s="39">
        <v>0</v>
      </c>
      <c r="IX169" s="39">
        <f>INDEX(Input!$1:$1048576,IX$93,$C169*2+6)+INDEX(Input!$1:$1048576,IX$94,$C169*2+6)</f>
        <v>1600</v>
      </c>
      <c r="IY169" s="39">
        <f>INDEX(Input!$1:$1048576,IY$93,$C169*2+6)+INDEX(Input!$1:$1048576,IY$94,$C169*2+6)</f>
        <v>2503.5492916397525</v>
      </c>
      <c r="IZ169" s="39">
        <f>INDEX(Input!$1:$1048576,IZ$93,$C169*2+6)+INDEX(Input!$1:$1048576,IZ$94,$C169*2+6)</f>
        <v>6273.7109265464023</v>
      </c>
      <c r="JA169" s="19">
        <f t="shared" ref="JA169:JA172" si="535">(IL169+IO169+IR169+IU169+IX169)</f>
        <v>2500</v>
      </c>
      <c r="JB169" s="19">
        <f t="shared" ref="JB169:JB172" si="536">(IM169+IP169+IS169+IV169+IY169)</f>
        <v>2903.5492916397529</v>
      </c>
      <c r="JC169" s="19">
        <f t="shared" ref="JC169:JC172" si="537">(IN169+IQ169+IT169+IW169+IZ169)</f>
        <v>6778.7109265464014</v>
      </c>
      <c r="JD169" s="19">
        <f t="shared" ref="JD169:JD172" si="538">SUMPRODUCT(IE169:IG169,JA169:JC169)</f>
        <v>5528.4565573731843</v>
      </c>
      <c r="JE169" s="21"/>
      <c r="JF169" s="1">
        <f t="shared" ref="JF169:JF172" si="539">VLOOKUP($C169*1000+1,$A:$HH,GD$92,FALSE)</f>
        <v>7.6148954918618686E-2</v>
      </c>
      <c r="JG169" s="15">
        <f>INDEX(Input!$1:$1048576,JG$93,$C169*2+6)/(1+VLOOKUP(C169*1000+INDEX(Input!$1:$1048576,JG$93+1,$C169*2+6),$A:$KK,$JK$92,FALSE))</f>
        <v>978</v>
      </c>
      <c r="JH169" s="1">
        <f t="shared" ref="JH169:JH172" si="540">SUM(HP169:HR169)/SUM(HY169:IA169)</f>
        <v>9.6760888248786564E-2</v>
      </c>
      <c r="JI169" s="1">
        <f t="shared" ref="JI169:JI172" si="541">SUM(HS169:HU169)/SUM(HY169:IA169)</f>
        <v>3.5124849981507618E-2</v>
      </c>
      <c r="JJ169" s="1">
        <f t="shared" ref="JJ169:JJ172" si="542">SUM(HV169:HX169)/SUM(HY169:IA169)</f>
        <v>0</v>
      </c>
      <c r="JK169" s="1">
        <f t="shared" ref="JK169:JK172" si="543">SUM(JH169:JJ169)</f>
        <v>0.13188573823029417</v>
      </c>
      <c r="JL169" s="15">
        <f t="shared" ref="JL169:JL172" si="544">JG169*JK169</f>
        <v>128.98425198922772</v>
      </c>
      <c r="JM169" s="15">
        <f t="shared" ref="JM169:JM172" si="545">JG169+JL169</f>
        <v>1106.9842519892277</v>
      </c>
      <c r="JN169" s="21"/>
      <c r="JO169" s="19">
        <f>INDEX(Input!$1:$1048576,JO$93,$C169*2+6)</f>
        <v>5908.5</v>
      </c>
      <c r="JP169" s="19">
        <f>INDEX(Input!$1:$1048576,JP$93,$C169*2+6)</f>
        <v>4993.2939301234746</v>
      </c>
      <c r="JQ169" s="39">
        <f t="shared" ref="JQ169:JQ172" si="546">JO169-JD169</f>
        <v>380.0434426268157</v>
      </c>
      <c r="JR169" s="39">
        <f t="shared" ref="JR169:JR172" si="547">JD169-JP169</f>
        <v>535.16262724970966</v>
      </c>
      <c r="JS169" s="39">
        <f t="shared" ref="JS169:JS172" si="548">JM169*JD169/1000000</f>
        <v>6.1199143468186952</v>
      </c>
      <c r="JT169" s="39">
        <f t="shared" ref="JT169:JT172" si="549">(JD169*JM169-JP169*JG169)/1000000</f>
        <v>1.2364728831579368</v>
      </c>
      <c r="JU169" s="385">
        <f>(JQ169*JM169-INDEX(Input!$1:$1048576,Input!A$18,$C169*2+6)*JL169*INDEX(Input!$1:$1048576,Input!A$19,$C169*2+6))/1000000</f>
        <v>0.42070210605965652</v>
      </c>
      <c r="JV169" s="39">
        <f t="shared" ref="JV169:JV172" si="550">JU169-(JO169-JP169)*JG169/1000000</f>
        <v>-0.47436943027958522</v>
      </c>
      <c r="JW169" s="1">
        <f t="shared" ref="JW169:JW172" si="551">JV169/(JU169-JV169)</f>
        <v>-0.52997934915874045</v>
      </c>
      <c r="JX169" s="19">
        <f t="shared" ref="JX169:JX172" si="552">IF(JL169=0,0,JT169/JL169)*1000000</f>
        <v>9586.231373898283</v>
      </c>
      <c r="JZ169" s="341"/>
      <c r="KA169" s="342"/>
      <c r="KB169" s="469">
        <f t="shared" si="509"/>
        <v>3.2656316020464753</v>
      </c>
      <c r="KI169" s="473">
        <f t="shared" ref="KI169:KI172" si="553">$JM169*IE169-$JG169*HY169/SUM($HY169:$IA169)</f>
        <v>36.885673889873061</v>
      </c>
      <c r="KJ169" s="473">
        <f t="shared" ref="KJ169:KJ172" si="554">$JM169*IF169-$JG169*HZ169/SUM($HY169:$IA169)</f>
        <v>5.2813124138808973</v>
      </c>
      <c r="KK169" s="473">
        <f t="shared" ref="KK169:KK172" si="555">$JM169*IG169-$JG169*IA169/SUM($HY169:$IA169)</f>
        <v>86.817265685473785</v>
      </c>
      <c r="KN169" s="544">
        <f t="shared" ref="KN169:KN172" si="556">KM169+(KN168-KM168)</f>
        <v>1002</v>
      </c>
      <c r="KO169" s="541">
        <f t="shared" ref="KO169:KO172" si="557">JM169/INDEX(JM:JM,MATCH(KN169,A:A,0))-1</f>
        <v>4.6190661718753301E-2</v>
      </c>
      <c r="KP169" s="546">
        <f t="shared" ref="KP169:KP172" si="558">(IL169-INDEX(IL:IL,MATCH(KN169,A:A,0)))*IE169
+(IM169-IF(HN169=0,INDEX(IX:IX,MATCH(KN169,A:A,0)),INDEX(IM:IM,MATCH(KN169,A:A,0))))*IF169
+(IN169-INDEX(IN:IN,MATCH(KN169,A:A,0)))*IG169</f>
        <v>211.84578222039966</v>
      </c>
      <c r="KQ169" s="546">
        <f t="shared" ref="KQ169:KQ172" si="559">JD169-INDEX(JD:JD,MATCH(KN169,A:A,0))</f>
        <v>174.00265739774386</v>
      </c>
      <c r="KR169" s="548">
        <f t="shared" ref="KR169:KR172" si="560">KO169/(KP169/(BX169-INDEX(JD:JD,MATCH(KN169,A:A,0))))</f>
        <v>3.1267996314379096</v>
      </c>
      <c r="KS169" s="548">
        <f t="shared" ref="KS169:KS172" si="561">KO169/(KQ169/(BX169-INDEX(JD:JD,MATCH(KN169,A:A,0))))</f>
        <v>3.8068344683626085</v>
      </c>
      <c r="KT169" s="473">
        <f t="shared" si="510"/>
        <v>-82.310573396665475</v>
      </c>
      <c r="KU169" s="663">
        <f t="shared" ref="KU169:KU172" si="562">IF(D169="",0,IFERROR((JM169/KT169-1)/(JD169/BX169)+B169*10^-6,0))</f>
        <v>-51.473701995676485</v>
      </c>
    </row>
    <row r="170" spans="1:308" s="26" customFormat="1" ht="15" outlineLevel="1">
      <c r="A170" s="561">
        <f t="shared" si="386"/>
        <v>1070</v>
      </c>
      <c r="B170" s="561">
        <f t="shared" si="508"/>
        <v>70</v>
      </c>
      <c r="C170" s="561">
        <f t="shared" si="105"/>
        <v>1</v>
      </c>
      <c r="D170" s="561" t="str">
        <f t="shared" si="376"/>
        <v xml:space="preserve">1000 CC, 180 Lease, </v>
      </c>
      <c r="E170" s="475">
        <f>INDEX(Input!$1:$1048576,E$93,$C170*2+MIN($B170,2)+5)
+INDEX(Scenarios!E$121:E$200,MATCH($B170,Scenarios!$B$121:$B$200,0))</f>
        <v>2250</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1.9E-2</v>
      </c>
      <c r="W170" s="863">
        <f>IFERROR(MAX(0,INDEX(Input!$1:$1048576,W$93,$C170*2+MIN($B170,2)+5)-0%,),"Market")</f>
        <v>3.9E-2</v>
      </c>
      <c r="X170" s="476" t="str">
        <f>INDEX(Input!$1:$1048576,X$93,$C170*2+MIN($B170,2)+5)</f>
        <v>Y</v>
      </c>
      <c r="Y170" s="475">
        <f>INDEX(Input!$1:$1048576,Y$93,$C170*2+MIN($B170,2)+5)
++INDEX(Scenarios!Y$121:Y$200,MATCH($B170,Scenarios!$B$121:$B$200,0))</f>
        <v>3006</v>
      </c>
      <c r="Z170" s="477">
        <f>INDEX(Input!$1:$1048576,Z$93,$C170*2+MIN($B170,2)+5)
+INDEX(Scenarios!Z$121:Z$200,MATCH($B170,Scenarios!$B$121:$B$200,0))</f>
        <v>0</v>
      </c>
      <c r="AA170" s="475">
        <f>INDEX(Input!$1:$1048576,AA$93,$C170*2+MIN($B170,2)+5)</f>
        <v>0</v>
      </c>
      <c r="AB170" s="476">
        <f>INDEX(Input!$1:$1048576,AB$93,$C170*2+MIN($B170,2)+5)</f>
        <v>1</v>
      </c>
      <c r="AC170" s="475">
        <f>INDEX(Input!$1:$1048576,AC$93,$C170*2+MIN($B170,2)+5)
+INDEX(Scenarios!AC$121:AC$200,MATCH($B170,Scenarios!$B$121:$B$200,0))</f>
        <v>0</v>
      </c>
      <c r="AD170" s="476">
        <f>INDEX(Input!$1:$1048576,AD$93,$C170*2+MIN($B170,2)+5)</f>
        <v>0.35</v>
      </c>
      <c r="AE170" s="475">
        <f>INDEX(Input!$1:$1048576,AE$93,$C170*2+MIN($B170,2)+5)
+INDEX(Scenarios!AE$121:AE$200,MATCH($B170,Scenarios!$B$121:$B$200,0))</f>
        <v>0</v>
      </c>
      <c r="AF170" s="476">
        <f>INDEX(Input!$1:$1048576,AF$93,$C170*2+MIN($B170,2)+5)</f>
        <v>1</v>
      </c>
      <c r="AG170" s="475">
        <f>INDEX(Input!$1:$1048576,AG$93,$C170*2+MIN($B170,2)+5)
+INDEX(Scenarios!AG$121:AG$200,MATCH($B170,Scenarios!$B$121:$B$200,0))</f>
        <v>0</v>
      </c>
      <c r="AH170" s="476">
        <f>INDEX(Input!$1:$1048576,AH$93,$C170*2+MIN($B170,2)+5)</f>
        <v>1</v>
      </c>
      <c r="AI170" s="475">
        <f>INDEX(Input!$1:$1048576,AI$93,$C170*2+MIN($B170,2)+5)
+INDEX(Scenarios!AI$121:AI$200,MATCH($B170,Scenarios!$B$121:$B$200,0))</f>
        <v>0</v>
      </c>
      <c r="AJ170" s="476">
        <f>INDEX(Input!$1:$1048576,AJ$93,$C170*2+MIN($B170,2)+5)</f>
        <v>0.35</v>
      </c>
      <c r="AK170" s="150">
        <f>ROUND(INDEX(Input!$1:$1048576,AK$93,$C169*2+MIN($B170,1)+5)+(Y170-VLOOKUP($C170*1000+1,$A:$HH,Y$92,FALSE)),0)</f>
        <v>5662</v>
      </c>
      <c r="AL170" s="150">
        <f>ROUND(INDEX(Input!$1:$1048576,AL$93,$C169*2+MIN($B170,1)+5)-(Y170-VLOOKUP($C170*1000+1,$A:$HH,Y$92,FALSE))/36,0)</f>
        <v>5597</v>
      </c>
      <c r="AM170" s="32" t="str">
        <f t="shared" si="387"/>
        <v>std/std/std/std</v>
      </c>
      <c r="AN170" s="32" t="str">
        <f t="shared" si="388"/>
        <v>$0 + 0/0/0/1.9/3.9</v>
      </c>
      <c r="AO170" s="32" t="str">
        <f t="shared" si="389"/>
        <v>0/0/0/1.9/3.9</v>
      </c>
      <c r="AP170" s="32" t="str">
        <f t="shared" si="493"/>
        <v>0/0.9/1.9/3.9</v>
      </c>
      <c r="AQ170" s="536">
        <f t="shared" si="492"/>
        <v>0.20346459345180817</v>
      </c>
      <c r="AR170" s="32"/>
      <c r="AS170" s="302"/>
      <c r="AT170" s="3">
        <f t="shared" si="106"/>
        <v>70</v>
      </c>
      <c r="AU170" s="41" t="s">
        <v>121</v>
      </c>
      <c r="AV170" s="41" t="s">
        <v>116</v>
      </c>
      <c r="AW170" s="41" t="str">
        <f>INDEX(Input!$1:$1048576,AW$93,$C170*2+6)</f>
        <v>Kia</v>
      </c>
      <c r="AX170" s="41" t="str">
        <f>INDEX(Input!$1:$1048576,AX$93,$C170*2+6)</f>
        <v>Kia-LR - L1</v>
      </c>
      <c r="AY170" s="41" t="str">
        <f>IF(LEN(D170)=0,"",INDEX(Input!$1:$1048576,AY$93,$C170*2+6))</f>
        <v>Compact Conventional/Sporty Car (43)</v>
      </c>
      <c r="AZ170" s="41" t="str">
        <f>INDEX(Input!$1:$1048576,AZ$93,$C170*2+6)</f>
        <v>Kia Forte</v>
      </c>
      <c r="BA170" s="3">
        <f>INDEX(Input!$1:$1048576,BA$93,$C170*2+6)</f>
        <v>2020</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19695</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94"/>
        <v>2250</v>
      </c>
      <c r="CJ170" s="16" t="str">
        <f>INDEX(Input!$1:$1048576,CJ$93,$C170*2+6)</f>
        <v>N</v>
      </c>
      <c r="CK170" s="1" t="str">
        <f t="shared" si="495"/>
        <v>Market</v>
      </c>
      <c r="CL170" s="1" t="str">
        <f t="shared" si="496"/>
        <v>Market</v>
      </c>
      <c r="CM170" s="1" t="str">
        <f t="shared" si="497"/>
        <v>Market</v>
      </c>
      <c r="CN170" s="1" t="str">
        <f t="shared" si="498"/>
        <v>Market</v>
      </c>
      <c r="CO170" s="1" t="str">
        <f t="shared" si="499"/>
        <v>Market</v>
      </c>
      <c r="CP170" s="304">
        <f t="shared" si="500"/>
        <v>0</v>
      </c>
      <c r="CQ170" s="1">
        <f t="shared" si="501"/>
        <v>0</v>
      </c>
      <c r="CR170" s="1">
        <f t="shared" si="502"/>
        <v>0</v>
      </c>
      <c r="CS170" s="1">
        <f t="shared" si="503"/>
        <v>0</v>
      </c>
      <c r="CT170" s="1">
        <f t="shared" si="504"/>
        <v>1.9E-2</v>
      </c>
      <c r="CU170" s="1">
        <f t="shared" si="505"/>
        <v>3.9E-2</v>
      </c>
      <c r="CV170" s="304">
        <f t="shared" si="506"/>
        <v>3006</v>
      </c>
      <c r="CW170" s="20" t="s">
        <v>122</v>
      </c>
      <c r="CX170" s="20" t="s">
        <v>122</v>
      </c>
      <c r="CY170" s="20" t="s">
        <v>122</v>
      </c>
      <c r="CZ170" s="20" t="s">
        <v>122</v>
      </c>
      <c r="DA170" s="20" t="s">
        <v>122</v>
      </c>
      <c r="DB170" s="503">
        <f t="shared" si="507"/>
        <v>0</v>
      </c>
      <c r="DC170" s="127">
        <v>0</v>
      </c>
      <c r="DD170" s="127">
        <v>0</v>
      </c>
      <c r="DE170" s="127">
        <v>0</v>
      </c>
      <c r="DF170" s="127">
        <v>0</v>
      </c>
      <c r="DG170" s="127">
        <v>0</v>
      </c>
      <c r="DH170" s="127">
        <v>0</v>
      </c>
      <c r="DI170" s="127">
        <v>0</v>
      </c>
      <c r="DJ170" s="127">
        <v>0</v>
      </c>
      <c r="DK170" s="127">
        <v>0</v>
      </c>
      <c r="DL170" s="127">
        <v>0</v>
      </c>
      <c r="DM170" s="304">
        <f>INDEX(Input!$1:$1048576,DM$93,$C170*2+6)</f>
        <v>20731.578947368424</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1.6862942984176819E-2</v>
      </c>
      <c r="DZ170" s="7">
        <v>0</v>
      </c>
      <c r="EA170" s="7">
        <v>0.25942226229827825</v>
      </c>
      <c r="EB170" s="7">
        <v>0</v>
      </c>
      <c r="EC170" s="7">
        <v>0</v>
      </c>
      <c r="ED170" s="7">
        <v>0</v>
      </c>
      <c r="EE170" s="7">
        <v>0</v>
      </c>
      <c r="EF170" s="7">
        <v>0</v>
      </c>
      <c r="EG170" s="7">
        <v>0</v>
      </c>
      <c r="EH170" s="7">
        <v>1.9867163211649864E-2</v>
      </c>
      <c r="EI170" s="7">
        <v>3.5734944822064248E-2</v>
      </c>
      <c r="EJ170" s="7">
        <v>0.28104141462213039</v>
      </c>
      <c r="EK170" s="7">
        <v>0.62010092925970739</v>
      </c>
      <c r="EL170" s="7">
        <v>4.3255548084448148E-2</v>
      </c>
      <c r="EM170" s="7">
        <v>1.2032588824328774E-2</v>
      </c>
      <c r="EN170" s="7">
        <v>5.7610642163851894E-2</v>
      </c>
      <c r="EO170" s="7">
        <v>0.54149136962339806</v>
      </c>
      <c r="EP170" s="7">
        <v>0.3126481834130832</v>
      </c>
      <c r="EQ170" s="7">
        <v>5.1288827293828478E-2</v>
      </c>
      <c r="ER170" s="7">
        <v>3.6960977505838093E-2</v>
      </c>
      <c r="ES170" s="7">
        <v>0.71168220589321607</v>
      </c>
      <c r="ET170" s="7">
        <v>0.72371479471754496</v>
      </c>
      <c r="EU170" s="6">
        <v>2600</v>
      </c>
      <c r="EV170" s="6">
        <v>0</v>
      </c>
      <c r="EW170" s="6">
        <v>2600</v>
      </c>
      <c r="EX170" s="6">
        <v>0</v>
      </c>
      <c r="EY170" s="6">
        <v>2631.5502763133163</v>
      </c>
      <c r="EZ170" s="6">
        <v>5002.9999999999991</v>
      </c>
      <c r="FA170" s="6">
        <v>0</v>
      </c>
      <c r="FB170" s="6">
        <v>0</v>
      </c>
      <c r="FC170" s="6">
        <v>0</v>
      </c>
      <c r="FD170" s="6">
        <v>0</v>
      </c>
      <c r="FE170" s="6">
        <v>0</v>
      </c>
      <c r="FF170" s="6">
        <v>0</v>
      </c>
      <c r="FG170" s="6">
        <v>0</v>
      </c>
      <c r="FH170" s="6">
        <v>1152.1208270377815</v>
      </c>
      <c r="FI170" s="6">
        <v>1531.4299904380614</v>
      </c>
      <c r="FJ170" s="6">
        <v>2070.720584253821</v>
      </c>
      <c r="FK170" s="6">
        <v>1746.9903521590438</v>
      </c>
      <c r="FL170" s="6">
        <v>893.91433563489386</v>
      </c>
      <c r="FM170" s="6">
        <v>1781.5502763133165</v>
      </c>
      <c r="FN170" s="6">
        <v>0</v>
      </c>
      <c r="FO170" s="6">
        <v>0</v>
      </c>
      <c r="FP170" s="6">
        <v>0</v>
      </c>
      <c r="FQ170" s="6">
        <v>0</v>
      </c>
      <c r="FR170" s="6">
        <v>0</v>
      </c>
      <c r="FS170" s="6">
        <v>0</v>
      </c>
      <c r="FT170" s="7">
        <v>0.27628520528245509</v>
      </c>
      <c r="FU170" s="7">
        <v>1.2032588824328774E-2</v>
      </c>
      <c r="FV170" s="7">
        <v>0.71168220589321607</v>
      </c>
      <c r="FW170" s="6">
        <v>2600</v>
      </c>
      <c r="FX170" s="6">
        <v>2631.5502763133163</v>
      </c>
      <c r="FY170" s="6">
        <v>5002.9999999999991</v>
      </c>
      <c r="FZ170" s="6">
        <v>3077.4375890575293</v>
      </c>
      <c r="GA170" s="6">
        <v>4310.55197226357</v>
      </c>
      <c r="GB170" s="6">
        <v>15384.448027736431</v>
      </c>
      <c r="GC170" s="7">
        <v>7.0901643973087014E-2</v>
      </c>
      <c r="GD170" s="7">
        <v>8.4940954142665601E-2</v>
      </c>
      <c r="GE170" s="7"/>
      <c r="GF170" s="7"/>
      <c r="GG170" s="7">
        <v>0.19801106692120785</v>
      </c>
      <c r="GH170" s="42">
        <v>3.1625841171958564</v>
      </c>
      <c r="GI170" s="6">
        <v>10538.05431533573</v>
      </c>
      <c r="GJ170" s="14">
        <v>0.5107463060103955</v>
      </c>
      <c r="GK170" s="14">
        <v>0.50829519786160959</v>
      </c>
      <c r="GL170" s="14">
        <v>0.48925369398960417</v>
      </c>
      <c r="GM170" s="14">
        <v>0.4917048021383903</v>
      </c>
      <c r="GO170" s="5">
        <v>338.16872463277008</v>
      </c>
      <c r="GP170" s="5">
        <v>288.56568471597211</v>
      </c>
      <c r="GQ170" s="5">
        <v>527.27910984145694</v>
      </c>
      <c r="GR170" s="5">
        <v>404.20319246551543</v>
      </c>
      <c r="GS170" s="5">
        <v>334.50205195691484</v>
      </c>
      <c r="GT170" s="5">
        <v>289.18266033348181</v>
      </c>
      <c r="GU170" s="5">
        <v>254.29573314828914</v>
      </c>
      <c r="GV170" s="39" t="s">
        <v>392</v>
      </c>
      <c r="GW170" s="5">
        <v>468.76388888888891</v>
      </c>
      <c r="GX170" s="5">
        <v>351.57291666666669</v>
      </c>
      <c r="GY170" s="5">
        <v>281.25833333333333</v>
      </c>
      <c r="GZ170" s="5">
        <v>248.18079879493993</v>
      </c>
      <c r="HA170" s="5">
        <v>229.8919505212948</v>
      </c>
      <c r="HB170" s="39">
        <v>264.76293361772167</v>
      </c>
      <c r="HC170" s="5">
        <v>64.234375000000014</v>
      </c>
      <c r="HD170" s="5">
        <v>86.930464181286524</v>
      </c>
      <c r="HE170" s="5">
        <v>98.761314946018885</v>
      </c>
      <c r="HF170" s="5">
        <v>102.00879934210526</v>
      </c>
      <c r="HG170" s="5">
        <v>111.68410087719299</v>
      </c>
      <c r="HH170" s="39">
        <v>91.010090645816163</v>
      </c>
      <c r="HI170" s="16"/>
      <c r="HJ170" s="19" t="str">
        <f t="shared" ref="HJ170:HK170" si="563">HJ169</f>
        <v>On</v>
      </c>
      <c r="HK170" s="1" t="str">
        <f t="shared" si="563"/>
        <v>On</v>
      </c>
      <c r="HL170" s="16"/>
      <c r="HM170" s="639">
        <f t="shared" si="512"/>
        <v>1.7699001661282989E-2</v>
      </c>
      <c r="HN170" s="639">
        <f t="shared" si="513"/>
        <v>1.0509929974846072E-3</v>
      </c>
      <c r="HO170" s="639">
        <f t="shared" si="514"/>
        <v>5.7398960259851091E-2</v>
      </c>
      <c r="HP170" s="644">
        <f>(FT170*$GD170-HM170)/$JF170*INDEX(Input!$1:$1048576,$JG$93,$C170*2+6)</f>
        <v>74.091770485105457</v>
      </c>
      <c r="HQ170" s="644">
        <f>(FU170*$GD170-HN170)/$JF170*INDEX(Input!$1:$1048576,$JG$93,$C170*2+6)</f>
        <v>-0.37159914653212317</v>
      </c>
      <c r="HR170" s="644">
        <f>(FV170*$GD170-HO170)/$JF170*INDEX(Input!$1:$1048576,$JG$93,$C170*2+6)</f>
        <v>39.19766516105134</v>
      </c>
      <c r="HS170" s="644">
        <f t="shared" si="515"/>
        <v>-0.13917966391394995</v>
      </c>
      <c r="HT170" s="644">
        <f t="shared" si="516"/>
        <v>2.1246377763168542</v>
      </c>
      <c r="HU170" s="644">
        <f t="shared" si="517"/>
        <v>32.366645169511536</v>
      </c>
      <c r="HV170" s="648">
        <f t="shared" si="518"/>
        <v>0</v>
      </c>
      <c r="HW170" s="648">
        <f t="shared" si="519"/>
        <v>0</v>
      </c>
      <c r="HX170" s="648">
        <f t="shared" si="520"/>
        <v>0</v>
      </c>
      <c r="HY170" s="644">
        <f>INDEX(Input!$1:$1048576,HY$93,$C170*2+6)*INDEX(Input!$1:$1048576,$JG$93,$C170*2+6)</f>
        <v>154.99999999999997</v>
      </c>
      <c r="HZ170" s="644">
        <f>INDEX(Input!$1:$1048576,HZ$93,$C170*2+6)*INDEX(Input!$1:$1048576,$JG$93,$C170*2+6)</f>
        <v>140</v>
      </c>
      <c r="IA170" s="644">
        <f>INDEX(Input!$1:$1048576,IA$93,$C170*2+6)*INDEX(Input!$1:$1048576,$JG$93,$C170*2+6)</f>
        <v>683</v>
      </c>
      <c r="IB170" s="644">
        <f t="shared" si="521"/>
        <v>228.95259082119151</v>
      </c>
      <c r="IC170" s="644">
        <f t="shared" si="522"/>
        <v>141.75303862978473</v>
      </c>
      <c r="ID170" s="644">
        <f>IF(AND(INDEX(Input!$1:$1048576,IA$93,$C170*2+7)="TOS",Y170&lt;=INDEX(Y:Y,MATCH(C170*1000+2,A:A))),0,1)*MAX(IA170+HR170+HU170+HX170,0%)</f>
        <v>754.56431033056288</v>
      </c>
      <c r="IE170" s="128">
        <f t="shared" si="523"/>
        <v>0.20346459345180817</v>
      </c>
      <c r="IF170" s="128">
        <f t="shared" si="524"/>
        <v>0.12597247435340253</v>
      </c>
      <c r="IG170" s="128">
        <f t="shared" si="525"/>
        <v>0.67056293219478935</v>
      </c>
      <c r="IH170" s="21"/>
      <c r="II170" s="19">
        <f t="shared" si="526"/>
        <v>1200</v>
      </c>
      <c r="IJ170" s="19">
        <f t="shared" si="527"/>
        <v>2231.5502763133163</v>
      </c>
      <c r="IK170" s="19">
        <f t="shared" si="528"/>
        <v>4498</v>
      </c>
      <c r="IL170" s="19">
        <f t="shared" si="529"/>
        <v>1400</v>
      </c>
      <c r="IM170" s="19">
        <f t="shared" si="530"/>
        <v>400</v>
      </c>
      <c r="IN170" s="19">
        <f t="shared" si="531"/>
        <v>504.99999999999909</v>
      </c>
      <c r="IO170" s="39">
        <f t="shared" si="532"/>
        <v>0</v>
      </c>
      <c r="IP170" s="39">
        <f t="shared" si="533"/>
        <v>0</v>
      </c>
      <c r="IQ170" s="39">
        <f t="shared" si="534"/>
        <v>0</v>
      </c>
      <c r="IR170" s="39">
        <v>0</v>
      </c>
      <c r="IS170" s="39">
        <v>0</v>
      </c>
      <c r="IT170" s="39">
        <v>0</v>
      </c>
      <c r="IU170" s="39">
        <v>0</v>
      </c>
      <c r="IV170" s="39">
        <v>0</v>
      </c>
      <c r="IW170" s="39">
        <v>0</v>
      </c>
      <c r="IX170" s="39">
        <f>INDEX(Input!$1:$1048576,IX$93,$C170*2+6)+INDEX(Input!$1:$1048576,IX$94,$C170*2+6)</f>
        <v>1600</v>
      </c>
      <c r="IY170" s="39">
        <f>INDEX(Input!$1:$1048576,IY$93,$C170*2+6)+INDEX(Input!$1:$1048576,IY$94,$C170*2+6)</f>
        <v>2503.5492916397525</v>
      </c>
      <c r="IZ170" s="39">
        <f>INDEX(Input!$1:$1048576,IZ$93,$C170*2+6)+INDEX(Input!$1:$1048576,IZ$94,$C170*2+6)</f>
        <v>6273.7109265464023</v>
      </c>
      <c r="JA170" s="19">
        <f t="shared" si="535"/>
        <v>3000</v>
      </c>
      <c r="JB170" s="19">
        <f t="shared" si="536"/>
        <v>2903.5492916397525</v>
      </c>
      <c r="JC170" s="19">
        <f t="shared" si="537"/>
        <v>6778.7109265464014</v>
      </c>
      <c r="JD170" s="19">
        <f t="shared" si="538"/>
        <v>5521.7133444361652</v>
      </c>
      <c r="JE170" s="21"/>
      <c r="JF170" s="1">
        <f t="shared" si="539"/>
        <v>7.6148954918618686E-2</v>
      </c>
      <c r="JG170" s="15">
        <f>INDEX(Input!$1:$1048576,JG$93,$C170*2+6)/(1+VLOOKUP(C170*1000+INDEX(Input!$1:$1048576,JG$93+1,$C170*2+6),$A:$KK,$JK$92,FALSE))</f>
        <v>978</v>
      </c>
      <c r="JH170" s="1">
        <f t="shared" si="540"/>
        <v>0.11545791053131359</v>
      </c>
      <c r="JI170" s="1">
        <f t="shared" si="541"/>
        <v>3.5124849981507604E-2</v>
      </c>
      <c r="JJ170" s="1">
        <f t="shared" si="542"/>
        <v>0</v>
      </c>
      <c r="JK170" s="1">
        <f t="shared" si="543"/>
        <v>0.15058276051282118</v>
      </c>
      <c r="JL170" s="15">
        <f t="shared" si="544"/>
        <v>147.26993978153911</v>
      </c>
      <c r="JM170" s="15">
        <f t="shared" si="545"/>
        <v>1125.2699397815391</v>
      </c>
      <c r="JN170" s="21"/>
      <c r="JO170" s="19">
        <f>INDEX(Input!$1:$1048576,JO$93,$C170*2+6)</f>
        <v>5908.5</v>
      </c>
      <c r="JP170" s="19">
        <f>INDEX(Input!$1:$1048576,JP$93,$C170*2+6)</f>
        <v>4993.2939301234746</v>
      </c>
      <c r="JQ170" s="39">
        <f t="shared" si="546"/>
        <v>386.78665556383476</v>
      </c>
      <c r="JR170" s="39">
        <f t="shared" si="547"/>
        <v>528.41941431269061</v>
      </c>
      <c r="JS170" s="39">
        <f t="shared" si="548"/>
        <v>6.2134180425846042</v>
      </c>
      <c r="JT170" s="39">
        <f t="shared" si="549"/>
        <v>1.3299765789238467</v>
      </c>
      <c r="JU170" s="385">
        <f>(JQ170*JM170-INDEX(Input!$1:$1048576,Input!A$18,$C170*2+6)*JL170*INDEX(Input!$1:$1048576,Input!A$19,$C170*2+6))/1000000</f>
        <v>0.43523939661461924</v>
      </c>
      <c r="JV170" s="39">
        <f t="shared" si="550"/>
        <v>-0.4598321397246225</v>
      </c>
      <c r="JW170" s="1">
        <f t="shared" si="551"/>
        <v>-0.51373786457928561</v>
      </c>
      <c r="JX170" s="19">
        <f t="shared" si="552"/>
        <v>9030.8760966205318</v>
      </c>
      <c r="JZ170" s="341"/>
      <c r="KA170" s="342"/>
      <c r="KB170" s="469">
        <f t="shared" si="509"/>
        <v>3.2656316020464753</v>
      </c>
      <c r="KI170" s="473">
        <f t="shared" si="553"/>
        <v>73.952590821191535</v>
      </c>
      <c r="KJ170" s="473">
        <f t="shared" si="554"/>
        <v>1.7530386297847258</v>
      </c>
      <c r="KK170" s="473">
        <f t="shared" si="555"/>
        <v>71.564310330562876</v>
      </c>
      <c r="KN170" s="544">
        <f t="shared" si="556"/>
        <v>1002</v>
      </c>
      <c r="KO170" s="541">
        <f t="shared" si="557"/>
        <v>6.347213232417892E-2</v>
      </c>
      <c r="KP170" s="546">
        <f t="shared" si="558"/>
        <v>324.16592124687037</v>
      </c>
      <c r="KQ170" s="546">
        <f t="shared" si="559"/>
        <v>167.25944446072481</v>
      </c>
      <c r="KR170" s="548">
        <f t="shared" si="560"/>
        <v>2.8078986099484524</v>
      </c>
      <c r="KS170" s="548">
        <f t="shared" si="561"/>
        <v>5.4419948756644478</v>
      </c>
      <c r="KT170" s="473">
        <f t="shared" si="510"/>
        <v>-82.310573396665475</v>
      </c>
      <c r="KU170" s="663">
        <f t="shared" si="562"/>
        <v>-52.328949504232924</v>
      </c>
    </row>
    <row r="171" spans="1:308" s="26" customFormat="1" ht="15" outlineLevel="1">
      <c r="A171" s="561">
        <f t="shared" si="386"/>
        <v>1071</v>
      </c>
      <c r="B171" s="561">
        <f t="shared" si="508"/>
        <v>71</v>
      </c>
      <c r="C171" s="561">
        <f t="shared" si="105"/>
        <v>1</v>
      </c>
      <c r="D171" s="561" t="str">
        <f t="shared" si="376"/>
        <v xml:space="preserve">500 CC, 0/0/0.9/3.9, 180 Lease, </v>
      </c>
      <c r="E171" s="475">
        <f>INDEX(Input!$1:$1048576,E$93,$C171*2+MIN($B171,2)+5)
+INDEX(Scenarios!E$121:E$200,MATCH($B171,Scenarios!$B$121:$B$200,0))</f>
        <v>1750</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8.9999999999999993E-3</v>
      </c>
      <c r="W171" s="863">
        <f>IFERROR(MAX(0,INDEX(Input!$1:$1048576,W$93,$C171*2+MIN($B171,2)+5)-0%,),"Market")</f>
        <v>3.9E-2</v>
      </c>
      <c r="X171" s="476" t="str">
        <f>INDEX(Input!$1:$1048576,X$93,$C171*2+MIN($B171,2)+5)</f>
        <v>Y</v>
      </c>
      <c r="Y171" s="475">
        <f>INDEX(Input!$1:$1048576,Y$93,$C171*2+MIN($B171,2)+5)
++INDEX(Scenarios!Y$121:Y$200,MATCH($B171,Scenarios!$B$121:$B$200,0))</f>
        <v>3006</v>
      </c>
      <c r="Z171" s="477">
        <f>INDEX(Input!$1:$1048576,Z$93,$C171*2+MIN($B171,2)+5)
+INDEX(Scenarios!Z$121:Z$200,MATCH($B171,Scenarios!$B$121:$B$200,0))</f>
        <v>0</v>
      </c>
      <c r="AA171" s="475">
        <f>INDEX(Input!$1:$1048576,AA$93,$C171*2+MIN($B171,2)+5)</f>
        <v>0</v>
      </c>
      <c r="AB171" s="476">
        <f>INDEX(Input!$1:$1048576,AB$93,$C171*2+MIN($B171,2)+5)</f>
        <v>1</v>
      </c>
      <c r="AC171" s="475">
        <f>INDEX(Input!$1:$1048576,AC$93,$C171*2+MIN($B171,2)+5)
+INDEX(Scenarios!AC$121:AC$200,MATCH($B171,Scenarios!$B$121:$B$200,0))</f>
        <v>0</v>
      </c>
      <c r="AD171" s="476">
        <f>INDEX(Input!$1:$1048576,AD$93,$C171*2+MIN($B171,2)+5)</f>
        <v>0.35</v>
      </c>
      <c r="AE171" s="475">
        <f>INDEX(Input!$1:$1048576,AE$93,$C171*2+MIN($B171,2)+5)
+INDEX(Scenarios!AE$121:AE$200,MATCH($B171,Scenarios!$B$121:$B$200,0))</f>
        <v>0</v>
      </c>
      <c r="AF171" s="476">
        <f>INDEX(Input!$1:$1048576,AF$93,$C171*2+MIN($B171,2)+5)</f>
        <v>1</v>
      </c>
      <c r="AG171" s="475">
        <f>INDEX(Input!$1:$1048576,AG$93,$C171*2+MIN($B171,2)+5)
+INDEX(Scenarios!AG$121:AG$200,MATCH($B171,Scenarios!$B$121:$B$200,0))</f>
        <v>0</v>
      </c>
      <c r="AH171" s="476">
        <f>INDEX(Input!$1:$1048576,AH$93,$C171*2+MIN($B171,2)+5)</f>
        <v>1</v>
      </c>
      <c r="AI171" s="475">
        <f>INDEX(Input!$1:$1048576,AI$93,$C171*2+MIN($B171,2)+5)
+INDEX(Scenarios!AI$121:AI$200,MATCH($B171,Scenarios!$B$121:$B$200,0))</f>
        <v>0</v>
      </c>
      <c r="AJ171" s="476">
        <f>INDEX(Input!$1:$1048576,AJ$93,$C171*2+MIN($B171,2)+5)</f>
        <v>0.35</v>
      </c>
      <c r="AK171" s="150">
        <f>ROUND(INDEX(Input!$1:$1048576,AK$93,$C170*2+MIN($B171,1)+5)+(Y171-VLOOKUP($C171*1000+1,$A:$HH,Y$92,FALSE)),0)</f>
        <v>5662</v>
      </c>
      <c r="AL171" s="150">
        <f>ROUND(INDEX(Input!$1:$1048576,AL$93,$C170*2+MIN($B171,1)+5)-(Y171-VLOOKUP($C171*1000+1,$A:$HH,Y$92,FALSE))/36,0)</f>
        <v>5597</v>
      </c>
      <c r="AM171" s="32" t="str">
        <f t="shared" si="387"/>
        <v>std/std/std/std</v>
      </c>
      <c r="AN171" s="32" t="str">
        <f t="shared" si="388"/>
        <v>$0 + 0/0/0/0.9/3.9</v>
      </c>
      <c r="AO171" s="32" t="str">
        <f t="shared" si="389"/>
        <v>0/0/0/0.9/3.9</v>
      </c>
      <c r="AP171" s="32" t="str">
        <f t="shared" si="493"/>
        <v>0/0/0.9/3.9</v>
      </c>
      <c r="AQ171" s="536">
        <f t="shared" si="492"/>
        <v>0.17083254636701137</v>
      </c>
      <c r="AR171" s="32"/>
      <c r="AS171" s="302"/>
      <c r="AT171" s="3">
        <f t="shared" si="106"/>
        <v>71</v>
      </c>
      <c r="AU171" s="41" t="s">
        <v>121</v>
      </c>
      <c r="AV171" s="41" t="s">
        <v>116</v>
      </c>
      <c r="AW171" s="41" t="str">
        <f>INDEX(Input!$1:$1048576,AW$93,$C171*2+6)</f>
        <v>Kia</v>
      </c>
      <c r="AX171" s="41" t="str">
        <f>INDEX(Input!$1:$1048576,AX$93,$C171*2+6)</f>
        <v>Kia-LR - L1</v>
      </c>
      <c r="AY171" s="41" t="str">
        <f>IF(LEN(D171)=0,"",INDEX(Input!$1:$1048576,AY$93,$C171*2+6))</f>
        <v>Compact Conventional/Sporty Car (43)</v>
      </c>
      <c r="AZ171" s="41" t="str">
        <f>INDEX(Input!$1:$1048576,AZ$93,$C171*2+6)</f>
        <v>Kia Forte</v>
      </c>
      <c r="BA171" s="3">
        <f>INDEX(Input!$1:$1048576,BA$93,$C171*2+6)</f>
        <v>2020</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19695</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t="e">
        <f t="shared" si="494"/>
        <v>#VALUE!</v>
      </c>
      <c r="CJ171" s="16" t="str">
        <f>INDEX(Input!$1:$1048576,CJ$93,$C171*2+6)</f>
        <v>N</v>
      </c>
      <c r="CK171" s="1" t="str">
        <f t="shared" si="495"/>
        <v>Market</v>
      </c>
      <c r="CL171" s="1" t="str">
        <f t="shared" si="496"/>
        <v>Market</v>
      </c>
      <c r="CM171" s="1" t="str">
        <f t="shared" si="497"/>
        <v>Market</v>
      </c>
      <c r="CN171" s="1" t="str">
        <f t="shared" si="498"/>
        <v>Market</v>
      </c>
      <c r="CO171" s="1" t="str">
        <f t="shared" si="499"/>
        <v>Market</v>
      </c>
      <c r="CP171" s="304">
        <f t="shared" si="500"/>
        <v>0</v>
      </c>
      <c r="CQ171" s="1">
        <f t="shared" si="501"/>
        <v>0</v>
      </c>
      <c r="CR171" s="1">
        <f t="shared" si="502"/>
        <v>0</v>
      </c>
      <c r="CS171" s="1">
        <f t="shared" si="503"/>
        <v>0</v>
      </c>
      <c r="CT171" s="1">
        <f t="shared" si="504"/>
        <v>8.9999999999999993E-3</v>
      </c>
      <c r="CU171" s="1">
        <f t="shared" si="505"/>
        <v>3.9E-2</v>
      </c>
      <c r="CV171" s="304">
        <f t="shared" si="506"/>
        <v>3006</v>
      </c>
      <c r="CW171" s="20" t="s">
        <v>122</v>
      </c>
      <c r="CX171" s="20" t="s">
        <v>122</v>
      </c>
      <c r="CY171" s="20" t="s">
        <v>122</v>
      </c>
      <c r="CZ171" s="20" t="s">
        <v>122</v>
      </c>
      <c r="DA171" s="20" t="s">
        <v>122</v>
      </c>
      <c r="DB171" s="503">
        <f t="shared" si="507"/>
        <v>0</v>
      </c>
      <c r="DC171" s="127">
        <v>0</v>
      </c>
      <c r="DD171" s="127">
        <v>0</v>
      </c>
      <c r="DE171" s="127">
        <v>0</v>
      </c>
      <c r="DF171" s="127">
        <v>0</v>
      </c>
      <c r="DG171" s="127">
        <v>0</v>
      </c>
      <c r="DH171" s="127">
        <v>0</v>
      </c>
      <c r="DI171" s="127">
        <v>0</v>
      </c>
      <c r="DJ171" s="127">
        <v>0</v>
      </c>
      <c r="DK171" s="127">
        <v>0</v>
      </c>
      <c r="DL171" s="127">
        <v>0</v>
      </c>
      <c r="DM171" s="304">
        <f>INDEX(Input!$1:$1048576,DM$93,$C171*2+6)</f>
        <v>20731.578947368424</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1.4851945209658404E-2</v>
      </c>
      <c r="DZ171" s="7">
        <v>0</v>
      </c>
      <c r="EA171" s="7">
        <v>0.23043034455127009</v>
      </c>
      <c r="EB171" s="7">
        <v>0</v>
      </c>
      <c r="EC171" s="7">
        <v>0</v>
      </c>
      <c r="ED171" s="7">
        <v>0</v>
      </c>
      <c r="EE171" s="7">
        <v>0</v>
      </c>
      <c r="EF171" s="7">
        <v>0</v>
      </c>
      <c r="EG171" s="7">
        <v>0</v>
      </c>
      <c r="EH171" s="7">
        <v>1.4476869635993289E-2</v>
      </c>
      <c r="EI171" s="7">
        <v>2.603945677232275E-2</v>
      </c>
      <c r="EJ171" s="7">
        <v>0.20479017957701889</v>
      </c>
      <c r="EK171" s="7">
        <v>0.72317389939610388</v>
      </c>
      <c r="EL171" s="7">
        <v>3.1519594618561159E-2</v>
      </c>
      <c r="EM171" s="7">
        <v>1.7114220676369842E-2</v>
      </c>
      <c r="EN171" s="7">
        <v>5.7610642163851901E-2</v>
      </c>
      <c r="EO171" s="7">
        <v>0.54149136962339839</v>
      </c>
      <c r="EP171" s="7">
        <v>0.31264818341308326</v>
      </c>
      <c r="EQ171" s="7">
        <v>5.1288827293828478E-2</v>
      </c>
      <c r="ER171" s="7">
        <v>3.69609775058381E-2</v>
      </c>
      <c r="ES171" s="7">
        <v>0.73760348956270172</v>
      </c>
      <c r="ET171" s="7">
        <v>0.75471771023907153</v>
      </c>
      <c r="EU171" s="6">
        <v>2100</v>
      </c>
      <c r="EV171" s="6">
        <v>0</v>
      </c>
      <c r="EW171" s="6">
        <v>2100</v>
      </c>
      <c r="EX171" s="6">
        <v>0</v>
      </c>
      <c r="EY171" s="6">
        <v>2963.2578502881042</v>
      </c>
      <c r="EZ171" s="6">
        <v>5002.9999999999991</v>
      </c>
      <c r="FA171" s="6">
        <v>0</v>
      </c>
      <c r="FB171" s="6">
        <v>0</v>
      </c>
      <c r="FC171" s="6">
        <v>0</v>
      </c>
      <c r="FD171" s="6">
        <v>0</v>
      </c>
      <c r="FE171" s="6">
        <v>0</v>
      </c>
      <c r="FF171" s="6">
        <v>0</v>
      </c>
      <c r="FG171" s="6">
        <v>0</v>
      </c>
      <c r="FH171" s="6">
        <v>1152.1208270377824</v>
      </c>
      <c r="FI171" s="6">
        <v>1531.4299904380618</v>
      </c>
      <c r="FJ171" s="6">
        <v>2070.7205842538215</v>
      </c>
      <c r="FK171" s="6">
        <v>2218.639369850102</v>
      </c>
      <c r="FL171" s="6">
        <v>893.91433563489352</v>
      </c>
      <c r="FM171" s="6">
        <v>2113.2578502881042</v>
      </c>
      <c r="FN171" s="6">
        <v>0</v>
      </c>
      <c r="FO171" s="6">
        <v>0</v>
      </c>
      <c r="FP171" s="6">
        <v>0</v>
      </c>
      <c r="FQ171" s="6">
        <v>0</v>
      </c>
      <c r="FR171" s="6">
        <v>0</v>
      </c>
      <c r="FS171" s="6">
        <v>0</v>
      </c>
      <c r="FT171" s="7">
        <v>0.2452822897609285</v>
      </c>
      <c r="FU171" s="7">
        <v>1.7114220676369842E-2</v>
      </c>
      <c r="FV171" s="7">
        <v>0.73760348956270172</v>
      </c>
      <c r="FW171" s="6">
        <v>2100</v>
      </c>
      <c r="FX171" s="6">
        <v>2963.2578502881042</v>
      </c>
      <c r="FY171" s="6">
        <v>5002.9999999999991</v>
      </c>
      <c r="FZ171" s="6">
        <v>3077.4375890575293</v>
      </c>
      <c r="GA171" s="6">
        <v>4256.0369155509616</v>
      </c>
      <c r="GB171" s="6">
        <v>15438.963084449038</v>
      </c>
      <c r="GC171" s="7">
        <v>7.0901643973087014E-2</v>
      </c>
      <c r="GD171" s="7">
        <v>8.3679533632686778E-2</v>
      </c>
      <c r="GE171" s="7"/>
      <c r="GF171" s="7"/>
      <c r="GG171" s="7">
        <v>0.18021993487837915</v>
      </c>
      <c r="GH171" s="42">
        <v>3.0115676614120792</v>
      </c>
      <c r="GI171" s="6">
        <v>10795.82024911396</v>
      </c>
      <c r="GJ171" s="14">
        <v>0.51074630601039572</v>
      </c>
      <c r="GK171" s="14">
        <v>0.50829519786160993</v>
      </c>
      <c r="GL171" s="14">
        <v>0.4892536939896045</v>
      </c>
      <c r="GM171" s="14">
        <v>0.49170480213839041</v>
      </c>
      <c r="GO171" s="5">
        <v>338.16872463277008</v>
      </c>
      <c r="GP171" s="5">
        <v>298.1047308538179</v>
      </c>
      <c r="GQ171" s="5">
        <v>527.27910984145694</v>
      </c>
      <c r="GR171" s="5">
        <v>404.20319246551543</v>
      </c>
      <c r="GS171" s="5">
        <v>334.50205195691484</v>
      </c>
      <c r="GT171" s="5">
        <v>289.18266033348181</v>
      </c>
      <c r="GU171" s="5">
        <v>254.29573314828914</v>
      </c>
      <c r="GV171" s="39" t="s">
        <v>392</v>
      </c>
      <c r="GW171" s="5">
        <v>468.76388888888891</v>
      </c>
      <c r="GX171" s="5">
        <v>351.57291666666669</v>
      </c>
      <c r="GY171" s="5">
        <v>281.25833333333333</v>
      </c>
      <c r="GZ171" s="5">
        <v>240.8550698915011</v>
      </c>
      <c r="HA171" s="5">
        <v>229.8919505212948</v>
      </c>
      <c r="HB171" s="39">
        <v>254.96614723549266</v>
      </c>
      <c r="HC171" s="5">
        <v>64.234375000000014</v>
      </c>
      <c r="HD171" s="5">
        <v>86.930464181286524</v>
      </c>
      <c r="HE171" s="5">
        <v>98.761314946018885</v>
      </c>
      <c r="HF171" s="5">
        <v>102.00879934210526</v>
      </c>
      <c r="HG171" s="5">
        <v>111.68410087719299</v>
      </c>
      <c r="HH171" s="39">
        <v>91.010090645816206</v>
      </c>
      <c r="HI171" s="16"/>
      <c r="HJ171" s="19" t="str">
        <f t="shared" ref="HJ171:HK171" si="564">HJ170</f>
        <v>On</v>
      </c>
      <c r="HK171" s="1" t="str">
        <f t="shared" si="564"/>
        <v>On</v>
      </c>
      <c r="HL171" s="16"/>
      <c r="HM171" s="639">
        <f t="shared" si="512"/>
        <v>1.7699001661282989E-2</v>
      </c>
      <c r="HN171" s="639">
        <f t="shared" si="513"/>
        <v>1.0509929974846072E-3</v>
      </c>
      <c r="HO171" s="639">
        <f t="shared" si="514"/>
        <v>5.7398960259851091E-2</v>
      </c>
      <c r="HP171" s="644">
        <f>(FT171*$GD171-HM171)/$JF171*INDEX(Input!$1:$1048576,$JG$93,$C171*2+6)</f>
        <v>36.296382875234201</v>
      </c>
      <c r="HQ171" s="644">
        <f>(FU171*$GD171-HN171)/$JF171*INDEX(Input!$1:$1048576,$JG$93,$C171*2+6)</f>
        <v>4.8947806761212957</v>
      </c>
      <c r="HR171" s="644">
        <f>(FV171*$GD171-HO171)/$JF171*INDEX(Input!$1:$1048576,$JG$93,$C171*2+6)</f>
        <v>55.525935064502882</v>
      </c>
      <c r="HS171" s="644">
        <f t="shared" si="515"/>
        <v>-0.25459703557275665</v>
      </c>
      <c r="HT171" s="644">
        <f t="shared" si="516"/>
        <v>14.569982294148776</v>
      </c>
      <c r="HU171" s="644">
        <f t="shared" si="517"/>
        <v>29.266048240360512</v>
      </c>
      <c r="HV171" s="648">
        <f t="shared" si="518"/>
        <v>0</v>
      </c>
      <c r="HW171" s="648">
        <f t="shared" si="519"/>
        <v>0</v>
      </c>
      <c r="HX171" s="648">
        <f t="shared" si="520"/>
        <v>0</v>
      </c>
      <c r="HY171" s="644">
        <f>INDEX(Input!$1:$1048576,HY$93,$C171*2+6)*INDEX(Input!$1:$1048576,$JG$93,$C171*2+6)</f>
        <v>154.99999999999997</v>
      </c>
      <c r="HZ171" s="644">
        <f>INDEX(Input!$1:$1048576,HZ$93,$C171*2+6)*INDEX(Input!$1:$1048576,$JG$93,$C171*2+6)</f>
        <v>140</v>
      </c>
      <c r="IA171" s="644">
        <f>INDEX(Input!$1:$1048576,IA$93,$C171*2+6)*INDEX(Input!$1:$1048576,$JG$93,$C171*2+6)</f>
        <v>683</v>
      </c>
      <c r="IB171" s="644">
        <f t="shared" si="521"/>
        <v>191.04178583966143</v>
      </c>
      <c r="IC171" s="644">
        <f t="shared" si="522"/>
        <v>159.46476297027007</v>
      </c>
      <c r="ID171" s="644">
        <f>IF(AND(INDEX(Input!$1:$1048576,IA$93,$C171*2+7)="TOS",Y171&lt;=INDEX(Y:Y,MATCH(C171*1000+2,A:A))),0,1)*MAX(IA171+HR171+HU171+HX171,0%)</f>
        <v>767.79198330486338</v>
      </c>
      <c r="IE171" s="128">
        <f t="shared" si="523"/>
        <v>0.17083254636701137</v>
      </c>
      <c r="IF171" s="128">
        <f t="shared" si="524"/>
        <v>0.1425958797144346</v>
      </c>
      <c r="IG171" s="128">
        <f t="shared" si="525"/>
        <v>0.68657157391855406</v>
      </c>
      <c r="IH171" s="21"/>
      <c r="II171" s="19">
        <f t="shared" si="526"/>
        <v>1200</v>
      </c>
      <c r="IJ171" s="19">
        <f t="shared" si="527"/>
        <v>2231.5502763133163</v>
      </c>
      <c r="IK171" s="19">
        <f t="shared" si="528"/>
        <v>4498</v>
      </c>
      <c r="IL171" s="19">
        <f t="shared" si="529"/>
        <v>900</v>
      </c>
      <c r="IM171" s="19">
        <f t="shared" si="530"/>
        <v>731.70757397478792</v>
      </c>
      <c r="IN171" s="19">
        <f t="shared" si="531"/>
        <v>504.99999999999909</v>
      </c>
      <c r="IO171" s="39">
        <f t="shared" si="532"/>
        <v>0</v>
      </c>
      <c r="IP171" s="39">
        <f t="shared" si="533"/>
        <v>0</v>
      </c>
      <c r="IQ171" s="39">
        <f t="shared" si="534"/>
        <v>0</v>
      </c>
      <c r="IR171" s="39">
        <v>0</v>
      </c>
      <c r="IS171" s="39">
        <v>0</v>
      </c>
      <c r="IT171" s="39">
        <v>0</v>
      </c>
      <c r="IU171" s="39">
        <v>0</v>
      </c>
      <c r="IV171" s="39">
        <v>0</v>
      </c>
      <c r="IW171" s="39">
        <v>0</v>
      </c>
      <c r="IX171" s="39">
        <f>INDEX(Input!$1:$1048576,IX$93,$C171*2+6)+INDEX(Input!$1:$1048576,IX$94,$C171*2+6)</f>
        <v>1600</v>
      </c>
      <c r="IY171" s="39">
        <f>INDEX(Input!$1:$1048576,IY$93,$C171*2+6)+INDEX(Input!$1:$1048576,IY$94,$C171*2+6)</f>
        <v>2503.5492916397525</v>
      </c>
      <c r="IZ171" s="39">
        <f>INDEX(Input!$1:$1048576,IZ$93,$C171*2+6)+INDEX(Input!$1:$1048576,IZ$94,$C171*2+6)</f>
        <v>6273.7109265464023</v>
      </c>
      <c r="JA171" s="19">
        <f t="shared" si="535"/>
        <v>2500</v>
      </c>
      <c r="JB171" s="19">
        <f t="shared" si="536"/>
        <v>3235.2568656145404</v>
      </c>
      <c r="JC171" s="19">
        <f t="shared" si="537"/>
        <v>6778.7109265464014</v>
      </c>
      <c r="JD171" s="19">
        <f t="shared" si="538"/>
        <v>5542.4858947498606</v>
      </c>
      <c r="JE171" s="21"/>
      <c r="JF171" s="1">
        <f t="shared" si="539"/>
        <v>7.6148954918618686E-2</v>
      </c>
      <c r="JG171" s="15">
        <f>INDEX(Input!$1:$1048576,JG$93,$C171*2+6)/(1+VLOOKUP(C171*1000+INDEX(Input!$1:$1048576,JG$93+1,$C171*2+6),$A:$KK,$JK$92,FALSE))</f>
        <v>978</v>
      </c>
      <c r="JH171" s="1">
        <f t="shared" si="540"/>
        <v>9.8892738871020833E-2</v>
      </c>
      <c r="JI171" s="1">
        <f t="shared" si="541"/>
        <v>4.4561792943697887E-2</v>
      </c>
      <c r="JJ171" s="1">
        <f t="shared" si="542"/>
        <v>0</v>
      </c>
      <c r="JK171" s="1">
        <f t="shared" si="543"/>
        <v>0.14345453181471873</v>
      </c>
      <c r="JL171" s="15">
        <f t="shared" si="544"/>
        <v>140.29853211479491</v>
      </c>
      <c r="JM171" s="15">
        <f t="shared" si="545"/>
        <v>1118.2985321147949</v>
      </c>
      <c r="JN171" s="21"/>
      <c r="JO171" s="19">
        <f>INDEX(Input!$1:$1048576,JO$93,$C171*2+6)</f>
        <v>5908.5</v>
      </c>
      <c r="JP171" s="19">
        <f>INDEX(Input!$1:$1048576,JP$93,$C171*2+6)</f>
        <v>4993.2939301234746</v>
      </c>
      <c r="JQ171" s="39">
        <f t="shared" si="546"/>
        <v>366.01410525013944</v>
      </c>
      <c r="JR171" s="39">
        <f t="shared" si="547"/>
        <v>549.19196462638592</v>
      </c>
      <c r="JS171" s="39">
        <f t="shared" si="548"/>
        <v>6.198153840365725</v>
      </c>
      <c r="JT171" s="39">
        <f t="shared" si="549"/>
        <v>1.3147123767049667</v>
      </c>
      <c r="JU171" s="385">
        <f>(JQ171*JM171-INDEX(Input!$1:$1048576,Input!A$18,$C171*2+6)*JL171*INDEX(Input!$1:$1048576,Input!A$19,$C171*2+6))/1000000</f>
        <v>0.40931303663454094</v>
      </c>
      <c r="JV171" s="39">
        <f t="shared" si="550"/>
        <v>-0.48575849970470081</v>
      </c>
      <c r="JW171" s="1">
        <f t="shared" si="551"/>
        <v>-0.54270354936255405</v>
      </c>
      <c r="JX171" s="19">
        <f t="shared" si="552"/>
        <v>9370.8206129287519</v>
      </c>
      <c r="JZ171" s="341"/>
      <c r="KA171" s="342"/>
      <c r="KB171" s="469">
        <f t="shared" si="509"/>
        <v>3.2656316020464753</v>
      </c>
      <c r="KI171" s="473">
        <f t="shared" si="553"/>
        <v>36.041785839661458</v>
      </c>
      <c r="KJ171" s="473">
        <f t="shared" si="554"/>
        <v>19.464762970270073</v>
      </c>
      <c r="KK171" s="473">
        <f t="shared" si="555"/>
        <v>84.791983304863379</v>
      </c>
      <c r="KN171" s="544">
        <f t="shared" si="556"/>
        <v>1002</v>
      </c>
      <c r="KO171" s="541">
        <f t="shared" si="557"/>
        <v>5.6883581866594479E-2</v>
      </c>
      <c r="KP171" s="546">
        <f t="shared" si="558"/>
        <v>256.29928980772132</v>
      </c>
      <c r="KQ171" s="546">
        <f t="shared" si="559"/>
        <v>188.03199477442013</v>
      </c>
      <c r="KR171" s="548">
        <f t="shared" si="560"/>
        <v>3.1827697560317003</v>
      </c>
      <c r="KS171" s="548">
        <f t="shared" si="561"/>
        <v>4.3383128976058316</v>
      </c>
      <c r="KT171" s="473">
        <f t="shared" si="510"/>
        <v>-82.310573396665475</v>
      </c>
      <c r="KU171" s="663">
        <f t="shared" si="562"/>
        <v>-51.831860651899618</v>
      </c>
    </row>
    <row r="172" spans="1:308" s="26" customFormat="1" ht="15" outlineLevel="1">
      <c r="A172" s="561">
        <f t="shared" si="386"/>
        <v>1072</v>
      </c>
      <c r="B172" s="561">
        <f t="shared" si="508"/>
        <v>72</v>
      </c>
      <c r="C172" s="561">
        <f t="shared" si="105"/>
        <v>1</v>
      </c>
      <c r="D172" s="561" t="str">
        <f t="shared" si="376"/>
        <v xml:space="preserve">1000 CC, 0/0/0.9/3.9, 180 Lease, </v>
      </c>
      <c r="E172" s="475">
        <f>INDEX(Input!$1:$1048576,E$93,$C172*2+MIN($B172,2)+5)
+INDEX(Scenarios!E$121:E$200,MATCH($B172,Scenarios!$B$121:$B$200,0))</f>
        <v>2250</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8.9999999999999993E-3</v>
      </c>
      <c r="W172" s="863">
        <f>IFERROR(MAX(0,INDEX(Input!$1:$1048576,W$93,$C172*2+MIN($B172,2)+5)-0%,),"Market")</f>
        <v>3.9E-2</v>
      </c>
      <c r="X172" s="476" t="str">
        <f>INDEX(Input!$1:$1048576,X$93,$C172*2+MIN($B172,2)+5)</f>
        <v>Y</v>
      </c>
      <c r="Y172" s="475">
        <f>INDEX(Input!$1:$1048576,Y$93,$C172*2+MIN($B172,2)+5)
++INDEX(Scenarios!Y$121:Y$200,MATCH($B172,Scenarios!$B$121:$B$200,0))</f>
        <v>3006</v>
      </c>
      <c r="Z172" s="477">
        <f>INDEX(Input!$1:$1048576,Z$93,$C172*2+MIN($B172,2)+5)
+INDEX(Scenarios!Z$121:Z$200,MATCH($B172,Scenarios!$B$121:$B$200,0))</f>
        <v>0</v>
      </c>
      <c r="AA172" s="475">
        <f>INDEX(Input!$1:$1048576,AA$93,$C172*2+MIN($B172,2)+5)</f>
        <v>0</v>
      </c>
      <c r="AB172" s="476">
        <f>INDEX(Input!$1:$1048576,AB$93,$C172*2+MIN($B172,2)+5)</f>
        <v>1</v>
      </c>
      <c r="AC172" s="475">
        <f>INDEX(Input!$1:$1048576,AC$93,$C172*2+MIN($B172,2)+5)
+INDEX(Scenarios!AC$121:AC$200,MATCH($B172,Scenarios!$B$121:$B$200,0))</f>
        <v>0</v>
      </c>
      <c r="AD172" s="476">
        <f>INDEX(Input!$1:$1048576,AD$93,$C172*2+MIN($B172,2)+5)</f>
        <v>0.35</v>
      </c>
      <c r="AE172" s="475">
        <f>INDEX(Input!$1:$1048576,AE$93,$C172*2+MIN($B172,2)+5)
+INDEX(Scenarios!AE$121:AE$200,MATCH($B172,Scenarios!$B$121:$B$200,0))</f>
        <v>0</v>
      </c>
      <c r="AF172" s="476">
        <f>INDEX(Input!$1:$1048576,AF$93,$C172*2+MIN($B172,2)+5)</f>
        <v>1</v>
      </c>
      <c r="AG172" s="475">
        <f>INDEX(Input!$1:$1048576,AG$93,$C172*2+MIN($B172,2)+5)
+INDEX(Scenarios!AG$121:AG$200,MATCH($B172,Scenarios!$B$121:$B$200,0))</f>
        <v>0</v>
      </c>
      <c r="AH172" s="476">
        <f>INDEX(Input!$1:$1048576,AH$93,$C172*2+MIN($B172,2)+5)</f>
        <v>1</v>
      </c>
      <c r="AI172" s="475">
        <f>INDEX(Input!$1:$1048576,AI$93,$C172*2+MIN($B172,2)+5)
+INDEX(Scenarios!AI$121:AI$200,MATCH($B172,Scenarios!$B$121:$B$200,0))</f>
        <v>0</v>
      </c>
      <c r="AJ172" s="476">
        <f>INDEX(Input!$1:$1048576,AJ$93,$C172*2+MIN($B172,2)+5)</f>
        <v>0.35</v>
      </c>
      <c r="AK172" s="150">
        <f>ROUND(INDEX(Input!$1:$1048576,AK$93,$C171*2+MIN($B172,1)+5)+(Y172-VLOOKUP($C172*1000+1,$A:$HH,Y$92,FALSE)),0)</f>
        <v>5662</v>
      </c>
      <c r="AL172" s="150">
        <f>ROUND(INDEX(Input!$1:$1048576,AL$93,$C171*2+MIN($B172,1)+5)-(Y172-VLOOKUP($C172*1000+1,$A:$HH,Y$92,FALSE))/36,0)</f>
        <v>5597</v>
      </c>
      <c r="AM172" s="32" t="str">
        <f t="shared" si="387"/>
        <v>std/std/std/std</v>
      </c>
      <c r="AN172" s="32" t="str">
        <f t="shared" si="388"/>
        <v>$0 + 0/0/0/0.9/3.9</v>
      </c>
      <c r="AO172" s="32" t="str">
        <f t="shared" si="389"/>
        <v>0/0/0/0.9/3.9</v>
      </c>
      <c r="AP172" s="32" t="str">
        <f t="shared" si="493"/>
        <v>0/0/0.9/3.9</v>
      </c>
      <c r="AQ172" s="536">
        <f t="shared" si="492"/>
        <v>0.20064565854157282</v>
      </c>
      <c r="AR172" s="32"/>
      <c r="AS172" s="302"/>
      <c r="AT172" s="3">
        <f t="shared" si="106"/>
        <v>72</v>
      </c>
      <c r="AU172" s="41" t="s">
        <v>121</v>
      </c>
      <c r="AV172" s="41" t="s">
        <v>116</v>
      </c>
      <c r="AW172" s="41" t="str">
        <f>INDEX(Input!$1:$1048576,AW$93,$C172*2+6)</f>
        <v>Kia</v>
      </c>
      <c r="AX172" s="41" t="str">
        <f>INDEX(Input!$1:$1048576,AX$93,$C172*2+6)</f>
        <v>Kia-LR - L1</v>
      </c>
      <c r="AY172" s="41" t="str">
        <f>IF(LEN(D172)=0,"",INDEX(Input!$1:$1048576,AY$93,$C172*2+6))</f>
        <v>Compact Conventional/Sporty Car (43)</v>
      </c>
      <c r="AZ172" s="41" t="str">
        <f>INDEX(Input!$1:$1048576,AZ$93,$C172*2+6)</f>
        <v>Kia Forte</v>
      </c>
      <c r="BA172" s="3">
        <f>INDEX(Input!$1:$1048576,BA$93,$C172*2+6)</f>
        <v>2020</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19695</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94"/>
        <v>2250</v>
      </c>
      <c r="CJ172" s="16" t="str">
        <f>INDEX(Input!$1:$1048576,CJ$93,$C172*2+6)</f>
        <v>N</v>
      </c>
      <c r="CK172" s="1" t="str">
        <f t="shared" si="495"/>
        <v>Market</v>
      </c>
      <c r="CL172" s="1" t="str">
        <f t="shared" si="496"/>
        <v>Market</v>
      </c>
      <c r="CM172" s="1" t="str">
        <f t="shared" si="497"/>
        <v>Market</v>
      </c>
      <c r="CN172" s="1" t="str">
        <f t="shared" si="498"/>
        <v>Market</v>
      </c>
      <c r="CO172" s="1" t="str">
        <f t="shared" si="499"/>
        <v>Market</v>
      </c>
      <c r="CP172" s="304">
        <f t="shared" si="500"/>
        <v>0</v>
      </c>
      <c r="CQ172" s="1">
        <f t="shared" si="501"/>
        <v>0</v>
      </c>
      <c r="CR172" s="1">
        <f t="shared" si="502"/>
        <v>0</v>
      </c>
      <c r="CS172" s="1">
        <f t="shared" si="503"/>
        <v>0</v>
      </c>
      <c r="CT172" s="1">
        <f t="shared" si="504"/>
        <v>8.9999999999999993E-3</v>
      </c>
      <c r="CU172" s="1">
        <f t="shared" si="505"/>
        <v>3.9E-2</v>
      </c>
      <c r="CV172" s="304">
        <f t="shared" si="506"/>
        <v>3006</v>
      </c>
      <c r="CW172" s="20" t="s">
        <v>122</v>
      </c>
      <c r="CX172" s="20" t="s">
        <v>122</v>
      </c>
      <c r="CY172" s="20" t="s">
        <v>122</v>
      </c>
      <c r="CZ172" s="20" t="s">
        <v>122</v>
      </c>
      <c r="DA172" s="20" t="s">
        <v>122</v>
      </c>
      <c r="DB172" s="503">
        <f t="shared" si="507"/>
        <v>0</v>
      </c>
      <c r="DC172" s="127">
        <v>0</v>
      </c>
      <c r="DD172" s="127">
        <v>0</v>
      </c>
      <c r="DE172" s="127">
        <v>0</v>
      </c>
      <c r="DF172" s="127">
        <v>0</v>
      </c>
      <c r="DG172" s="127">
        <v>0</v>
      </c>
      <c r="DH172" s="127">
        <v>0</v>
      </c>
      <c r="DI172" s="127">
        <v>0</v>
      </c>
      <c r="DJ172" s="127">
        <v>0</v>
      </c>
      <c r="DK172" s="127">
        <v>0</v>
      </c>
      <c r="DL172" s="127">
        <v>0</v>
      </c>
      <c r="DM172" s="304">
        <f>INDEX(Input!$1:$1048576,DM$93,$C172*2+6)</f>
        <v>20731.578947368424</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1.6787979429517298E-2</v>
      </c>
      <c r="DZ172" s="7">
        <v>0</v>
      </c>
      <c r="EA172" s="7">
        <v>0.25825419412372408</v>
      </c>
      <c r="EB172" s="7">
        <v>0</v>
      </c>
      <c r="EC172" s="7">
        <v>0</v>
      </c>
      <c r="ED172" s="7">
        <v>0</v>
      </c>
      <c r="EE172" s="7">
        <v>0</v>
      </c>
      <c r="EF172" s="7">
        <v>0</v>
      </c>
      <c r="EG172" s="7">
        <v>0</v>
      </c>
      <c r="EH172" s="7">
        <v>1.4476869635993298E-2</v>
      </c>
      <c r="EI172" s="7">
        <v>2.6039456772322743E-2</v>
      </c>
      <c r="EJ172" s="7">
        <v>0.20479017957701895</v>
      </c>
      <c r="EK172" s="7">
        <v>0.72317389939610388</v>
      </c>
      <c r="EL172" s="7">
        <v>3.1519594618561166E-2</v>
      </c>
      <c r="EM172" s="7">
        <v>1.6439376013769526E-2</v>
      </c>
      <c r="EN172" s="7">
        <v>5.7610642163851887E-2</v>
      </c>
      <c r="EO172" s="7">
        <v>0.54149136962339817</v>
      </c>
      <c r="EP172" s="7">
        <v>0.31264818341308331</v>
      </c>
      <c r="EQ172" s="7">
        <v>5.1288827293828464E-2</v>
      </c>
      <c r="ER172" s="7">
        <v>3.69609775058381E-2</v>
      </c>
      <c r="ES172" s="7">
        <v>0.70851845043298911</v>
      </c>
      <c r="ET172" s="7">
        <v>0.72495782644675855</v>
      </c>
      <c r="EU172" s="6">
        <v>2600</v>
      </c>
      <c r="EV172" s="6">
        <v>0</v>
      </c>
      <c r="EW172" s="6">
        <v>2600</v>
      </c>
      <c r="EX172" s="6">
        <v>0</v>
      </c>
      <c r="EY172" s="6">
        <v>2963.2578502881047</v>
      </c>
      <c r="EZ172" s="6">
        <v>5002.9999999999991</v>
      </c>
      <c r="FA172" s="6">
        <v>0</v>
      </c>
      <c r="FB172" s="6">
        <v>0</v>
      </c>
      <c r="FC172" s="6">
        <v>0</v>
      </c>
      <c r="FD172" s="6">
        <v>0</v>
      </c>
      <c r="FE172" s="6">
        <v>0</v>
      </c>
      <c r="FF172" s="6">
        <v>0</v>
      </c>
      <c r="FG172" s="6">
        <v>0</v>
      </c>
      <c r="FH172" s="6">
        <v>1152.1208270377817</v>
      </c>
      <c r="FI172" s="6">
        <v>1531.4299904380623</v>
      </c>
      <c r="FJ172" s="6">
        <v>2070.7205842538224</v>
      </c>
      <c r="FK172" s="6">
        <v>2218.6393698501024</v>
      </c>
      <c r="FL172" s="6">
        <v>893.91433563489318</v>
      </c>
      <c r="FM172" s="6">
        <v>2113.2578502881047</v>
      </c>
      <c r="FN172" s="6">
        <v>0</v>
      </c>
      <c r="FO172" s="6">
        <v>0</v>
      </c>
      <c r="FP172" s="6">
        <v>0</v>
      </c>
      <c r="FQ172" s="6">
        <v>0</v>
      </c>
      <c r="FR172" s="6">
        <v>0</v>
      </c>
      <c r="FS172" s="6">
        <v>0</v>
      </c>
      <c r="FT172" s="7">
        <v>0.2750421735532414</v>
      </c>
      <c r="FU172" s="7">
        <v>1.6439376013769526E-2</v>
      </c>
      <c r="FV172" s="7">
        <v>0.70851845043298911</v>
      </c>
      <c r="FW172" s="6">
        <v>2599.9999999999995</v>
      </c>
      <c r="FX172" s="6">
        <v>2963.2578502881047</v>
      </c>
      <c r="FY172" s="6">
        <v>5002.9999999999991</v>
      </c>
      <c r="FZ172" s="6">
        <v>3077.4375890575293</v>
      </c>
      <c r="GA172" s="6">
        <v>4308.541568781312</v>
      </c>
      <c r="GB172" s="6">
        <v>15386.458431218689</v>
      </c>
      <c r="GC172" s="7">
        <v>7.0901643973087014E-2</v>
      </c>
      <c r="GD172" s="7">
        <v>8.5099223415733144E-2</v>
      </c>
      <c r="GE172" s="7"/>
      <c r="GF172" s="7"/>
      <c r="GG172" s="7">
        <v>0.20024330392163087</v>
      </c>
      <c r="GH172" s="42">
        <v>3.2034596067355503</v>
      </c>
      <c r="GI172" s="6">
        <v>10456.582255353278</v>
      </c>
      <c r="GJ172" s="14">
        <v>0.5107463060103955</v>
      </c>
      <c r="GK172" s="14">
        <v>0.5082951978616097</v>
      </c>
      <c r="GL172" s="14">
        <v>0.48925369398960433</v>
      </c>
      <c r="GM172" s="14">
        <v>0.4917048021383903</v>
      </c>
      <c r="GO172" s="5">
        <v>338.16872463277008</v>
      </c>
      <c r="GP172" s="5">
        <v>288.56568471597211</v>
      </c>
      <c r="GQ172" s="5">
        <v>527.27910984145694</v>
      </c>
      <c r="GR172" s="5">
        <v>404.20319246551543</v>
      </c>
      <c r="GS172" s="5">
        <v>334.50205195691484</v>
      </c>
      <c r="GT172" s="5">
        <v>289.18266033348181</v>
      </c>
      <c r="GU172" s="5">
        <v>254.29573314828914</v>
      </c>
      <c r="GV172" s="39" t="s">
        <v>392</v>
      </c>
      <c r="GW172" s="5">
        <v>468.76388888888891</v>
      </c>
      <c r="GX172" s="5">
        <v>351.57291666666669</v>
      </c>
      <c r="GY172" s="5">
        <v>281.25833333333333</v>
      </c>
      <c r="GZ172" s="5">
        <v>240.8550698915011</v>
      </c>
      <c r="HA172" s="5">
        <v>229.8919505212948</v>
      </c>
      <c r="HB172" s="39">
        <v>254.96614723549268</v>
      </c>
      <c r="HC172" s="5">
        <v>64.234375000000014</v>
      </c>
      <c r="HD172" s="5">
        <v>86.930464181286524</v>
      </c>
      <c r="HE172" s="5">
        <v>98.761314946018885</v>
      </c>
      <c r="HF172" s="5">
        <v>102.00879934210526</v>
      </c>
      <c r="HG172" s="5">
        <v>111.68410087719299</v>
      </c>
      <c r="HH172" s="39">
        <v>91.010090645816192</v>
      </c>
      <c r="HI172" s="16"/>
      <c r="HJ172" s="19" t="str">
        <f t="shared" ref="HJ172:HK172" si="565">HJ171</f>
        <v>On</v>
      </c>
      <c r="HK172" s="1" t="str">
        <f t="shared" si="565"/>
        <v>On</v>
      </c>
      <c r="HL172" s="16"/>
      <c r="HM172" s="639">
        <f t="shared" si="512"/>
        <v>1.7699001661282989E-2</v>
      </c>
      <c r="HN172" s="639">
        <f t="shared" si="513"/>
        <v>1.0509929974846072E-3</v>
      </c>
      <c r="HO172" s="639">
        <f t="shared" si="514"/>
        <v>5.7398960259851091E-2</v>
      </c>
      <c r="HP172" s="644">
        <f>(FT172*$GD172-HM172)/$JF172*INDEX(Input!$1:$1048576,$JG$93,$C172*2+6)</f>
        <v>73.29480094526798</v>
      </c>
      <c r="HQ172" s="644">
        <f>(FU172*$GD172-HN172)/$JF172*INDEX(Input!$1:$1048576,$JG$93,$C172*2+6)</f>
        <v>4.4692597833567573</v>
      </c>
      <c r="HR172" s="644">
        <f>(FV172*$GD172-HO172)/$JF172*INDEX(Input!$1:$1048576,$JG$93,$C172*2+6)</f>
        <v>37.186467476690297</v>
      </c>
      <c r="HS172" s="644">
        <f t="shared" si="515"/>
        <v>-0.25459703557275681</v>
      </c>
      <c r="HT172" s="644">
        <f t="shared" si="516"/>
        <v>11.353967993338962</v>
      </c>
      <c r="HU172" s="644">
        <f t="shared" si="517"/>
        <v>32.482062541170336</v>
      </c>
      <c r="HV172" s="648">
        <f t="shared" si="518"/>
        <v>0</v>
      </c>
      <c r="HW172" s="648">
        <f t="shared" si="519"/>
        <v>0</v>
      </c>
      <c r="HX172" s="648">
        <f t="shared" si="520"/>
        <v>0</v>
      </c>
      <c r="HY172" s="644">
        <f>INDEX(Input!$1:$1048576,HY$93,$C172*2+6)*INDEX(Input!$1:$1048576,$JG$93,$C172*2+6)</f>
        <v>154.99999999999997</v>
      </c>
      <c r="HZ172" s="644">
        <f>INDEX(Input!$1:$1048576,HZ$93,$C172*2+6)*INDEX(Input!$1:$1048576,$JG$93,$C172*2+6)</f>
        <v>140</v>
      </c>
      <c r="IA172" s="644">
        <f>INDEX(Input!$1:$1048576,IA$93,$C172*2+6)*INDEX(Input!$1:$1048576,$JG$93,$C172*2+6)</f>
        <v>683</v>
      </c>
      <c r="IB172" s="644">
        <f t="shared" si="521"/>
        <v>228.04020390969515</v>
      </c>
      <c r="IC172" s="644">
        <f t="shared" si="522"/>
        <v>155.82322777669572</v>
      </c>
      <c r="ID172" s="644">
        <f>IF(AND(INDEX(Input!$1:$1048576,IA$93,$C172*2+7)="TOS",Y172&lt;=INDEX(Y:Y,MATCH(C172*1000+2,A:A))),0,1)*MAX(IA172+HR172+HU172+HX172,0%)</f>
        <v>752.66853001786058</v>
      </c>
      <c r="IE172" s="128">
        <f t="shared" si="523"/>
        <v>0.20064565854157282</v>
      </c>
      <c r="IF172" s="128">
        <f t="shared" si="524"/>
        <v>0.13710413171578192</v>
      </c>
      <c r="IG172" s="128">
        <f t="shared" si="525"/>
        <v>0.66225020974264526</v>
      </c>
      <c r="IH172" s="21"/>
      <c r="II172" s="19">
        <f t="shared" si="526"/>
        <v>1200</v>
      </c>
      <c r="IJ172" s="19">
        <f t="shared" si="527"/>
        <v>2231.5502763133163</v>
      </c>
      <c r="IK172" s="19">
        <f t="shared" si="528"/>
        <v>4498</v>
      </c>
      <c r="IL172" s="19">
        <f t="shared" si="529"/>
        <v>1399.9999999999995</v>
      </c>
      <c r="IM172" s="19">
        <f t="shared" si="530"/>
        <v>731.70757397478837</v>
      </c>
      <c r="IN172" s="19">
        <f t="shared" si="531"/>
        <v>504.99999999999909</v>
      </c>
      <c r="IO172" s="39">
        <f t="shared" si="532"/>
        <v>0</v>
      </c>
      <c r="IP172" s="39">
        <f t="shared" si="533"/>
        <v>0</v>
      </c>
      <c r="IQ172" s="39">
        <f t="shared" si="534"/>
        <v>0</v>
      </c>
      <c r="IR172" s="39">
        <v>0</v>
      </c>
      <c r="IS172" s="39">
        <v>0</v>
      </c>
      <c r="IT172" s="39">
        <v>0</v>
      </c>
      <c r="IU172" s="39">
        <v>0</v>
      </c>
      <c r="IV172" s="39">
        <v>0</v>
      </c>
      <c r="IW172" s="39">
        <v>0</v>
      </c>
      <c r="IX172" s="39">
        <f>INDEX(Input!$1:$1048576,IX$93,$C172*2+6)+INDEX(Input!$1:$1048576,IX$94,$C172*2+6)</f>
        <v>1600</v>
      </c>
      <c r="IY172" s="39">
        <f>INDEX(Input!$1:$1048576,IY$93,$C172*2+6)+INDEX(Input!$1:$1048576,IY$94,$C172*2+6)</f>
        <v>2503.5492916397525</v>
      </c>
      <c r="IZ172" s="39">
        <f>INDEX(Input!$1:$1048576,IZ$93,$C172*2+6)+INDEX(Input!$1:$1048576,IZ$94,$C172*2+6)</f>
        <v>6273.7109265464023</v>
      </c>
      <c r="JA172" s="19">
        <f t="shared" si="535"/>
        <v>2999.9999999999995</v>
      </c>
      <c r="JB172" s="19">
        <f t="shared" si="536"/>
        <v>3235.2568656145409</v>
      </c>
      <c r="JC172" s="19">
        <f t="shared" si="537"/>
        <v>6778.7109265464014</v>
      </c>
      <c r="JD172" s="19">
        <f t="shared" si="538"/>
        <v>5534.7067919524379</v>
      </c>
      <c r="JE172" s="21"/>
      <c r="JF172" s="1">
        <f t="shared" si="539"/>
        <v>7.6148954918618686E-2</v>
      </c>
      <c r="JG172" s="15">
        <f>INDEX(Input!$1:$1048576,JG$93,$C172*2+6)/(1+VLOOKUP(C172*1000+INDEX(Input!$1:$1048576,JG$93+1,$C172*2+6),$A:$KK,$JK$92,FALSE))</f>
        <v>978</v>
      </c>
      <c r="JH172" s="1">
        <f t="shared" si="540"/>
        <v>0.11753632740829759</v>
      </c>
      <c r="JI172" s="1">
        <f t="shared" si="541"/>
        <v>4.4561792943697894E-2</v>
      </c>
      <c r="JJ172" s="1">
        <f t="shared" si="542"/>
        <v>0</v>
      </c>
      <c r="JK172" s="1">
        <f t="shared" si="543"/>
        <v>0.16209812035199547</v>
      </c>
      <c r="JL172" s="15">
        <f t="shared" si="544"/>
        <v>158.53196170425159</v>
      </c>
      <c r="JM172" s="15">
        <f t="shared" si="545"/>
        <v>1136.5319617042517</v>
      </c>
      <c r="JN172" s="21"/>
      <c r="JO172" s="19">
        <f>INDEX(Input!$1:$1048576,JO$93,$C172*2+6)</f>
        <v>5908.5</v>
      </c>
      <c r="JP172" s="19">
        <f>INDEX(Input!$1:$1048576,JP$93,$C172*2+6)</f>
        <v>4993.2939301234746</v>
      </c>
      <c r="JQ172" s="39">
        <f t="shared" si="546"/>
        <v>373.79320804756208</v>
      </c>
      <c r="JR172" s="39">
        <f t="shared" si="547"/>
        <v>541.41286182896329</v>
      </c>
      <c r="JS172" s="39">
        <f t="shared" si="548"/>
        <v>6.2903711677155494</v>
      </c>
      <c r="JT172" s="39">
        <f t="shared" si="549"/>
        <v>1.4069297040547915</v>
      </c>
      <c r="JU172" s="385">
        <f>(JQ172*JM172-INDEX(Input!$1:$1048576,Input!A$18,$C172*2+6)*JL172*INDEX(Input!$1:$1048576,Input!A$19,$C172*2+6))/1000000</f>
        <v>0.42482792801402119</v>
      </c>
      <c r="JV172" s="39">
        <f t="shared" si="550"/>
        <v>-0.47024360832522055</v>
      </c>
      <c r="JW172" s="1">
        <f t="shared" si="551"/>
        <v>-0.52536986065769964</v>
      </c>
      <c r="JX172" s="19">
        <f t="shared" si="552"/>
        <v>8874.7385002368246</v>
      </c>
      <c r="JZ172" s="341"/>
      <c r="KA172" s="342"/>
      <c r="KB172" s="469">
        <f t="shared" si="509"/>
        <v>3.2656316020464753</v>
      </c>
      <c r="KI172" s="473">
        <f t="shared" si="553"/>
        <v>73.040203909695236</v>
      </c>
      <c r="KJ172" s="473">
        <f t="shared" si="554"/>
        <v>15.823227776695745</v>
      </c>
      <c r="KK172" s="473">
        <f t="shared" si="555"/>
        <v>69.668530017860689</v>
      </c>
      <c r="KN172" s="544">
        <f t="shared" si="556"/>
        <v>1002</v>
      </c>
      <c r="KO172" s="541">
        <f t="shared" si="557"/>
        <v>7.4115664195965936E-2</v>
      </c>
      <c r="KP172" s="546">
        <f t="shared" si="558"/>
        <v>365.32917520861088</v>
      </c>
      <c r="KQ172" s="546">
        <f t="shared" si="559"/>
        <v>180.25289197699749</v>
      </c>
      <c r="KR172" s="548">
        <f t="shared" si="560"/>
        <v>2.9093189683776925</v>
      </c>
      <c r="KS172" s="548">
        <f t="shared" si="561"/>
        <v>5.89648846949886</v>
      </c>
      <c r="KT172" s="473">
        <f t="shared" si="510"/>
        <v>-82.310573396665475</v>
      </c>
      <c r="KU172" s="663">
        <f t="shared" si="562"/>
        <v>-52.692978485986984</v>
      </c>
    </row>
    <row r="173" spans="1:308" s="26" customFormat="1" ht="15" outlineLevel="1">
      <c r="A173" s="561">
        <f t="shared" si="386"/>
        <v>1073</v>
      </c>
      <c r="B173" s="561">
        <f t="shared" si="508"/>
        <v>73</v>
      </c>
      <c r="C173" s="561">
        <f t="shared" si="105"/>
        <v>1</v>
      </c>
      <c r="D173" s="561" t="str">
        <f t="shared" si="376"/>
        <v xml:space="preserve">500 CC, 0.9/1.9/2.9/3.9, 1000 Combo, </v>
      </c>
      <c r="E173" s="475">
        <f>INDEX(Input!$1:$1048576,E$93,$C173*2+MIN($B173,2)+5)
+INDEX(Scenarios!E$121:E$200,MATCH($B173,Scenarios!$B$121:$B$200,0))</f>
        <v>1750</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1000</v>
      </c>
      <c r="R173" s="478">
        <f>IFERROR(MAX(0,INDEX(Input!$1:$1048576,R$93,$C173*2+MIN($B173,2)+5)
+INDEX(Scenarios!R$121:R$200,MATCH($B173,Scenarios!$B$121:$B$200,0)),),"Market")</f>
        <v>9.0000000000000011E-3</v>
      </c>
      <c r="S173" s="478">
        <f>IFERROR(MAX(0,INDEX(Input!$1:$1048576,S$93,$C173*2+MIN($B173,2)+5)
+INDEX(Scenarios!S$121:S$200,MATCH($B173,Scenarios!$B$121:$B$200,0)),),"Market")</f>
        <v>9.0000000000000011E-3</v>
      </c>
      <c r="T173" s="478">
        <f>IFERROR(MAX(0,INDEX(Input!$1:$1048576,T$93,$C173*2+MIN($B173,2)+5)
+INDEX(Scenarios!T$121:T$200,MATCH($B173,Scenarios!$B$121:$B$200,0)),),"Market")</f>
        <v>9.0000000000000011E-3</v>
      </c>
      <c r="U173" s="478">
        <f>IFERROR(MAX(0,INDEX(Input!$1:$1048576,U$93,$C173*2+MIN($B173,2)+5)
+INDEX(Scenarios!U$121:U$200,MATCH($B173,Scenarios!$B$121:$B$200,0)),),"Market")</f>
        <v>9.0000000000000011E-3</v>
      </c>
      <c r="V173" s="478">
        <f>IFERROR(MAX(0,INDEX(Input!$1:$1048576,V$93,$C173*2+MIN($B173,2)+5)
+INDEX(Scenarios!V$121:V$200,MATCH($B173,Scenarios!$B$121:$B$200,0)),),"Market")</f>
        <v>2.8999999999999998E-2</v>
      </c>
      <c r="W173" s="863">
        <f>IFERROR(MAX(0,INDEX(Input!$1:$1048576,W$93,$C173*2+MIN($B173,2)+5)-0%,),"Market")</f>
        <v>3.9E-2</v>
      </c>
      <c r="X173" s="476" t="str">
        <f>INDEX(Input!$1:$1048576,X$93,$C173*2+MIN($B173,2)+5)</f>
        <v>Y</v>
      </c>
      <c r="Y173" s="475">
        <f>INDEX(Input!$1:$1048576,Y$93,$C173*2+MIN($B173,2)+5)
++INDEX(Scenarios!Y$121:Y$200,MATCH($B173,Scenarios!$B$121:$B$200,0))</f>
        <v>2826</v>
      </c>
      <c r="Z173" s="477">
        <f>INDEX(Input!$1:$1048576,Z$93,$C173*2+MIN($B173,2)+5)
+INDEX(Scenarios!Z$121:Z$200,MATCH($B173,Scenarios!$B$121:$B$200,0))</f>
        <v>0</v>
      </c>
      <c r="AA173" s="475">
        <f>INDEX(Input!$1:$1048576,AA$93,$C173*2+MIN($B173,2)+5)</f>
        <v>0</v>
      </c>
      <c r="AB173" s="476">
        <f>INDEX(Input!$1:$1048576,AB$93,$C173*2+MIN($B173,2)+5)</f>
        <v>1</v>
      </c>
      <c r="AC173" s="475">
        <f>INDEX(Input!$1:$1048576,AC$93,$C173*2+MIN($B173,2)+5)
+INDEX(Scenarios!AC$121:AC$200,MATCH($B173,Scenarios!$B$121:$B$200,0))</f>
        <v>0</v>
      </c>
      <c r="AD173" s="476">
        <f>INDEX(Input!$1:$1048576,AD$93,$C173*2+MIN($B173,2)+5)</f>
        <v>0.35</v>
      </c>
      <c r="AE173" s="475">
        <f>INDEX(Input!$1:$1048576,AE$93,$C173*2+MIN($B173,2)+5)
+INDEX(Scenarios!AE$121:AE$200,MATCH($B173,Scenarios!$B$121:$B$200,0))</f>
        <v>0</v>
      </c>
      <c r="AF173" s="476">
        <f>INDEX(Input!$1:$1048576,AF$93,$C173*2+MIN($B173,2)+5)</f>
        <v>1</v>
      </c>
      <c r="AG173" s="475">
        <f>INDEX(Input!$1:$1048576,AG$93,$C173*2+MIN($B173,2)+5)
+INDEX(Scenarios!AG$121:AG$200,MATCH($B173,Scenarios!$B$121:$B$200,0))</f>
        <v>0</v>
      </c>
      <c r="AH173" s="476">
        <f>INDEX(Input!$1:$1048576,AH$93,$C173*2+MIN($B173,2)+5)</f>
        <v>1</v>
      </c>
      <c r="AI173" s="475">
        <f>INDEX(Input!$1:$1048576,AI$93,$C173*2+MIN($B173,2)+5)
+INDEX(Scenarios!AI$121:AI$200,MATCH($B173,Scenarios!$B$121:$B$200,0))</f>
        <v>0</v>
      </c>
      <c r="AJ173" s="476">
        <f>INDEX(Input!$1:$1048576,AJ$93,$C173*2+MIN($B173,2)+5)</f>
        <v>0.35</v>
      </c>
      <c r="AK173" s="150">
        <f>ROUND(INDEX(Input!$1:$1048576,AK$93,$C172*2+MIN($B173,1)+5)+(Y173-VLOOKUP($C173*1000+1,$A:$HH,Y$92,FALSE)),0)</f>
        <v>5482</v>
      </c>
      <c r="AL173" s="150">
        <f>ROUND(INDEX(Input!$1:$1048576,AL$93,$C172*2+MIN($B173,1)+5)-(Y173-VLOOKUP($C173*1000+1,$A:$HH,Y$92,FALSE))/36,0)</f>
        <v>5602</v>
      </c>
      <c r="AM173" s="32" t="str">
        <f t="shared" si="387"/>
        <v>std/std/std/std</v>
      </c>
      <c r="AN173" s="32" t="str">
        <f t="shared" si="388"/>
        <v>$1000 + 0.9/0.9/0.9/2.9/3.9</v>
      </c>
      <c r="AO173" s="32" t="str">
        <f t="shared" si="389"/>
        <v>0.9/0.9/0.9/2.9/3.9</v>
      </c>
      <c r="AP173" s="32" t="str">
        <f t="shared" si="493"/>
        <v>0.9/1.9/2.9/3.9</v>
      </c>
      <c r="AQ173" s="536">
        <f t="shared" si="492"/>
        <v>0.18318586325943317</v>
      </c>
      <c r="AR173" s="32"/>
      <c r="AS173" s="302"/>
      <c r="AT173" s="3">
        <f t="shared" si="106"/>
        <v>73</v>
      </c>
      <c r="AU173" s="41" t="s">
        <v>121</v>
      </c>
      <c r="AV173" s="41" t="s">
        <v>116</v>
      </c>
      <c r="AW173" s="41" t="str">
        <f>INDEX(Input!$1:$1048576,AW$93,$C173*2+6)</f>
        <v>Kia</v>
      </c>
      <c r="AX173" s="41" t="str">
        <f>INDEX(Input!$1:$1048576,AX$93,$C173*2+6)</f>
        <v>Kia-LR - L1</v>
      </c>
      <c r="AY173" s="41" t="str">
        <f>IF(LEN(D173)=0,"",INDEX(Input!$1:$1048576,AY$93,$C173*2+6))</f>
        <v>Compact Conventional/Sporty Car (43)</v>
      </c>
      <c r="AZ173" s="41" t="str">
        <f>INDEX(Input!$1:$1048576,AZ$93,$C173*2+6)</f>
        <v>Kia Forte</v>
      </c>
      <c r="BA173" s="3">
        <f>INDEX(Input!$1:$1048576,BA$93,$C173*2+6)</f>
        <v>2020</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19695</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t="e">
        <f t="shared" si="494"/>
        <v>#VALUE!</v>
      </c>
      <c r="CJ173" s="16" t="str">
        <f>INDEX(Input!$1:$1048576,CJ$93,$C173*2+6)</f>
        <v>N</v>
      </c>
      <c r="CK173" s="1" t="str">
        <f t="shared" si="495"/>
        <v>Market</v>
      </c>
      <c r="CL173" s="1" t="str">
        <f t="shared" si="496"/>
        <v>Market</v>
      </c>
      <c r="CM173" s="1" t="str">
        <f t="shared" si="497"/>
        <v>Market</v>
      </c>
      <c r="CN173" s="1" t="str">
        <f t="shared" si="498"/>
        <v>Market</v>
      </c>
      <c r="CO173" s="1" t="str">
        <f t="shared" si="499"/>
        <v>Market</v>
      </c>
      <c r="CP173" s="304">
        <f t="shared" si="500"/>
        <v>1000</v>
      </c>
      <c r="CQ173" s="1">
        <f t="shared" si="501"/>
        <v>9.0000000000000011E-3</v>
      </c>
      <c r="CR173" s="1">
        <f t="shared" si="502"/>
        <v>9.0000000000000011E-3</v>
      </c>
      <c r="CS173" s="1">
        <f t="shared" si="503"/>
        <v>9.0000000000000011E-3</v>
      </c>
      <c r="CT173" s="1">
        <f t="shared" si="504"/>
        <v>2.8999999999999998E-2</v>
      </c>
      <c r="CU173" s="1">
        <f t="shared" si="505"/>
        <v>3.9E-2</v>
      </c>
      <c r="CV173" s="304">
        <f t="shared" si="506"/>
        <v>2826</v>
      </c>
      <c r="CW173" s="20" t="s">
        <v>122</v>
      </c>
      <c r="CX173" s="20" t="s">
        <v>122</v>
      </c>
      <c r="CY173" s="20" t="s">
        <v>122</v>
      </c>
      <c r="CZ173" s="20" t="s">
        <v>122</v>
      </c>
      <c r="DA173" s="20" t="s">
        <v>122</v>
      </c>
      <c r="DB173" s="503">
        <f t="shared" si="507"/>
        <v>0</v>
      </c>
      <c r="DC173" s="127">
        <v>0</v>
      </c>
      <c r="DD173" s="127">
        <v>0</v>
      </c>
      <c r="DE173" s="127">
        <v>0</v>
      </c>
      <c r="DF173" s="127">
        <v>0</v>
      </c>
      <c r="DG173" s="127">
        <v>0</v>
      </c>
      <c r="DH173" s="127">
        <v>0</v>
      </c>
      <c r="DI173" s="127">
        <v>0</v>
      </c>
      <c r="DJ173" s="127">
        <v>0</v>
      </c>
      <c r="DK173" s="127">
        <v>0</v>
      </c>
      <c r="DL173" s="127">
        <v>0</v>
      </c>
      <c r="DM173" s="304">
        <f>INDEX(Input!$1:$1048576,DM$93,$C173*2+6)</f>
        <v>20731.578947368424</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1.5775637940167678E-2</v>
      </c>
      <c r="DZ173" s="7">
        <v>0</v>
      </c>
      <c r="EA173" s="7">
        <v>0.24415186137869671</v>
      </c>
      <c r="EB173" s="7">
        <v>0</v>
      </c>
      <c r="EC173" s="7">
        <v>0</v>
      </c>
      <c r="ED173" s="7">
        <v>0</v>
      </c>
      <c r="EE173" s="7">
        <v>0</v>
      </c>
      <c r="EF173" s="7">
        <v>0</v>
      </c>
      <c r="EG173" s="7">
        <v>0</v>
      </c>
      <c r="EH173" s="7">
        <v>2.4339991898198066E-2</v>
      </c>
      <c r="EI173" s="7">
        <v>4.0856814647068161E-2</v>
      </c>
      <c r="EJ173" s="7">
        <v>0.30271672059585364</v>
      </c>
      <c r="EK173" s="7">
        <v>0.5677504359098583</v>
      </c>
      <c r="EL173" s="7">
        <v>6.4336036949021611E-2</v>
      </c>
      <c r="EM173" s="7">
        <v>1.210414143063088E-2</v>
      </c>
      <c r="EN173" s="7">
        <v>5.6686594175933754E-2</v>
      </c>
      <c r="EO173" s="7">
        <v>0.54216995014193581</v>
      </c>
      <c r="EP173" s="7">
        <v>0.31173155381219225</v>
      </c>
      <c r="EQ173" s="7">
        <v>5.1954312326603497E-2</v>
      </c>
      <c r="ER173" s="7">
        <v>3.7457589543334752E-2</v>
      </c>
      <c r="ES173" s="7">
        <v>0.72796835925050474</v>
      </c>
      <c r="ET173" s="7">
        <v>0.74007250068113561</v>
      </c>
      <c r="EU173" s="6">
        <v>2100</v>
      </c>
      <c r="EV173" s="6">
        <v>0</v>
      </c>
      <c r="EW173" s="6">
        <v>2100</v>
      </c>
      <c r="EX173" s="6">
        <v>0</v>
      </c>
      <c r="EY173" s="6">
        <v>3216.9471942387709</v>
      </c>
      <c r="EZ173" s="6">
        <v>4822.9999999999991</v>
      </c>
      <c r="FA173" s="6">
        <v>0</v>
      </c>
      <c r="FB173" s="6">
        <v>0</v>
      </c>
      <c r="FC173" s="6">
        <v>0</v>
      </c>
      <c r="FD173" s="6">
        <v>0</v>
      </c>
      <c r="FE173" s="6">
        <v>0</v>
      </c>
      <c r="FF173" s="6">
        <v>0</v>
      </c>
      <c r="FG173" s="6">
        <v>0</v>
      </c>
      <c r="FH173" s="6">
        <v>924.48091338374672</v>
      </c>
      <c r="FI173" s="6">
        <v>1232.1164465304234</v>
      </c>
      <c r="FJ173" s="6">
        <v>1709.9775738488454</v>
      </c>
      <c r="FK173" s="6">
        <v>1266.3227157028191</v>
      </c>
      <c r="FL173" s="6">
        <v>893.91433563489386</v>
      </c>
      <c r="FM173" s="6">
        <v>1366.9471942387711</v>
      </c>
      <c r="FN173" s="6">
        <v>0</v>
      </c>
      <c r="FO173" s="6">
        <v>0</v>
      </c>
      <c r="FP173" s="6">
        <v>0</v>
      </c>
      <c r="FQ173" s="6">
        <v>0</v>
      </c>
      <c r="FR173" s="6">
        <v>0</v>
      </c>
      <c r="FS173" s="6">
        <v>0</v>
      </c>
      <c r="FT173" s="7">
        <v>0.25992749931886439</v>
      </c>
      <c r="FU173" s="7">
        <v>1.210414143063088E-2</v>
      </c>
      <c r="FV173" s="7">
        <v>0.72796835925050474</v>
      </c>
      <c r="FW173" s="6">
        <v>2100</v>
      </c>
      <c r="FX173" s="6">
        <v>3216.9471942387709</v>
      </c>
      <c r="FY173" s="6">
        <v>4822.9999999999991</v>
      </c>
      <c r="FZ173" s="6">
        <v>3077.4375890575293</v>
      </c>
      <c r="GA173" s="6">
        <v>4095.7775290487361</v>
      </c>
      <c r="GB173" s="6">
        <v>15599.222470951263</v>
      </c>
      <c r="GC173" s="7">
        <v>7.0901643973087014E-2</v>
      </c>
      <c r="GD173" s="7">
        <v>8.1589708835152847E-2</v>
      </c>
      <c r="GE173" s="7"/>
      <c r="GF173" s="7"/>
      <c r="GG173" s="7">
        <v>0.15074495121894252</v>
      </c>
      <c r="GH173" s="42">
        <v>2.91545258873251</v>
      </c>
      <c r="GI173" s="6">
        <v>10851.160921704895</v>
      </c>
      <c r="GJ173" s="14">
        <v>0.51074630601039561</v>
      </c>
      <c r="GK173" s="14">
        <v>0.50829519786160982</v>
      </c>
      <c r="GL173" s="14">
        <v>0.4892536939896045</v>
      </c>
      <c r="GM173" s="14">
        <v>0.49170480213839041</v>
      </c>
      <c r="GO173" s="5">
        <v>338.16872463277008</v>
      </c>
      <c r="GP173" s="5">
        <v>298.1047308538179</v>
      </c>
      <c r="GQ173" s="5">
        <v>527.27910984145694</v>
      </c>
      <c r="GR173" s="5">
        <v>404.20319246551543</v>
      </c>
      <c r="GS173" s="5">
        <v>334.50205195691484</v>
      </c>
      <c r="GT173" s="5">
        <v>289.18266033348181</v>
      </c>
      <c r="GU173" s="5">
        <v>254.29573314828914</v>
      </c>
      <c r="GV173" s="39" t="s">
        <v>392</v>
      </c>
      <c r="GW173" s="5">
        <v>447.1315522792483</v>
      </c>
      <c r="GX173" s="5">
        <v>336.85261339557292</v>
      </c>
      <c r="GY173" s="5">
        <v>270.68882024685041</v>
      </c>
      <c r="GZ173" s="5">
        <v>240.49762667968707</v>
      </c>
      <c r="HA173" s="5">
        <v>216.26912746293831</v>
      </c>
      <c r="HB173" s="39">
        <v>257.04446607394311</v>
      </c>
      <c r="HC173" s="5">
        <v>72.109375000000014</v>
      </c>
      <c r="HD173" s="5">
        <v>92.305464181286524</v>
      </c>
      <c r="HE173" s="5">
        <v>103.7516995614035</v>
      </c>
      <c r="HF173" s="5">
        <v>106.17129934210527</v>
      </c>
      <c r="HG173" s="5">
        <v>115.13410087719299</v>
      </c>
      <c r="HH173" s="39">
        <v>96.304265044073489</v>
      </c>
      <c r="HI173" s="16"/>
      <c r="HJ173" s="19" t="str">
        <f t="shared" ref="HJ173:HK173" si="566">HJ172</f>
        <v>On</v>
      </c>
      <c r="HK173" s="1" t="str">
        <f t="shared" si="566"/>
        <v>On</v>
      </c>
      <c r="HL173" s="16"/>
      <c r="HM173" s="639">
        <f t="shared" ref="HM173:HM180" si="567">VLOOKUP($C173*1000+1,$A:$HH,FT$92,FALSE)*$JF173</f>
        <v>1.7699001661282989E-2</v>
      </c>
      <c r="HN173" s="639">
        <f t="shared" ref="HN173:HN180" si="568">VLOOKUP($C173*1000+1,$A:$HH,FU$92,FALSE)*$JF173</f>
        <v>1.0509929974846072E-3</v>
      </c>
      <c r="HO173" s="639">
        <f t="shared" ref="HO173:HO180" si="569">VLOOKUP($C173*1000+1,$A:$HH,FV$92,FALSE)*$JF173</f>
        <v>5.7398960259851091E-2</v>
      </c>
      <c r="HP173" s="644">
        <f>(FT173*$GD173-HM173)/$JF173*INDEX(Input!$1:$1048576,$JG$93,$C173*2+6)</f>
        <v>45.0593493880369</v>
      </c>
      <c r="HQ173" s="644">
        <f>(FU173*$GD173-HN173)/$JF173*INDEX(Input!$1:$1048576,$JG$93,$C173*2+6)</f>
        <v>-0.81451401180871419</v>
      </c>
      <c r="HR173" s="644">
        <f>(FV173*$GD173-HO173)/$JF173*INDEX(Input!$1:$1048576,$JG$93,$C173*2+6)</f>
        <v>25.632122699651998</v>
      </c>
      <c r="HS173" s="644">
        <f t="shared" ref="HS173:HS180" si="570">IF(AND(HJ173="On",HK173="On"),IL173/1000*INDEX(KG:KG,MATCH(C173*1000+3,$KF:$KF,0))*SUM(HY173:IA173)*1.1
+INDEX(HR:HR,MATCH(C173*1000+4,$KF:$KF,0))/INDEX(IM:IM,MATCH(C173*1000+4,$KF:$KF,0))*IM173*20%,0)</f>
        <v>-0.34286802964676721</v>
      </c>
      <c r="HT173" s="644">
        <f t="shared" ref="HT173:HT180" si="571">IF(AND(HJ173="On",HK173="On"),IM173/1000*INDEX(KG:KG,MATCH(C173*1000+4,$KF:$KF,0))*SUM(HY173:IA173)*1.1
+INDEX(HR:HR,MATCH(C173*1000+3,$KF:$KF,0))/INDEX(IL:IL,MATCH(C173*1000+3,$KF:$KF,0))*IL173*20%,0)</f>
        <v>21.628557109924195</v>
      </c>
      <c r="HU173" s="644">
        <f t="shared" ref="HU173:HU180" si="572">IF(HJ173="On",IN173/1000*INDEX(KG:KG,MATCH(C173*1000+5,$KF:$KF,0))*SUM(HY173:IA173)*1.1
-INDEX(HR:HR,MATCH(C173*1000+3,$KF:$KF,0))/INDEX(IL:IL,MATCH(C173*1000+3,$KF:$KF,0))*IL173*20%
-INDEX(HR:HR,MATCH(C173*1000+4,$KF:$KF,0))/INDEX(IM:IM,MATCH(C173*1000+4,$KF:$KF,0))*IM173*20%,0)</f>
        <v>21.076947782158442</v>
      </c>
      <c r="HV173" s="648">
        <f t="shared" ref="HV173:HV180" si="573">IL173/1000*0+IM173/1000*0+IN173/1000*0
+(CP173-INDEX(CP:CP,MATCH(C173*1000+1,A:A,0)))/1000*0+IF(FU173&gt;0,0,0)</f>
        <v>0</v>
      </c>
      <c r="HW173" s="648">
        <f t="shared" ref="HW173:HW180" si="574">IL173/1000*0+IM173/1000*0+IN173/1000*0
+(CP173-INDEX(CP:CP,MATCH(C173*1000+1,A:A,0)))/1000*0+IF(FU173&gt;0,0,0)</f>
        <v>0</v>
      </c>
      <c r="HX173" s="648">
        <f t="shared" ref="HX173:HX180" si="575">IL173/1000*0+IM173/1000*0+IN173/1000*0
+(CP173-INDEX(CP:CP,MATCH(C173*1000+1,A:A,0)))/1000*0+IF(FU173&gt;0,0,0)</f>
        <v>0</v>
      </c>
      <c r="HY173" s="644">
        <f>INDEX(Input!$1:$1048576,HY$93,$C173*2+6)*INDEX(Input!$1:$1048576,$JG$93,$C173*2+6)</f>
        <v>154.99999999999997</v>
      </c>
      <c r="HZ173" s="644">
        <f>INDEX(Input!$1:$1048576,HZ$93,$C173*2+6)*INDEX(Input!$1:$1048576,$JG$93,$C173*2+6)</f>
        <v>140</v>
      </c>
      <c r="IA173" s="644">
        <f>INDEX(Input!$1:$1048576,IA$93,$C173*2+6)*INDEX(Input!$1:$1048576,$JG$93,$C173*2+6)</f>
        <v>683</v>
      </c>
      <c r="IB173" s="644">
        <f t="shared" ref="IB173:IB180" si="576">SUM(HP173:IA173)-IC173-ID173</f>
        <v>199.71648135839018</v>
      </c>
      <c r="IC173" s="644">
        <f t="shared" ref="IC173:IC180" si="577">MAX(HZ173+HQ173+HT173+HW173,0%)</f>
        <v>160.81404309811549</v>
      </c>
      <c r="ID173" s="644">
        <f>IF(AND(INDEX(Input!$1:$1048576,IA$93,$C173*2+7)="TOS",Y173&lt;=INDEX(Y:Y,MATCH(C173*1000+2,A:A))),0,1)*MAX(IA173+HR173+HU173+HX173,0%)</f>
        <v>729.70907048181039</v>
      </c>
      <c r="IE173" s="128">
        <f t="shared" ref="IE173:IE180" si="578">IB173/SUM($IB173:$ID173)</f>
        <v>0.18318586325943317</v>
      </c>
      <c r="IF173" s="128">
        <f t="shared" ref="IF173:IF180" si="579">IC173/SUM($IB173:$ID173)</f>
        <v>0.14750339635868215</v>
      </c>
      <c r="IG173" s="128">
        <f t="shared" ref="IG173:IG180" si="580">ID173/SUM($IB173:$ID173)</f>
        <v>0.66931074038188476</v>
      </c>
      <c r="IH173" s="21"/>
      <c r="II173" s="19">
        <f t="shared" ref="II173:II180" si="581">VLOOKUP($C173*1000+1,$A:$HH,FW$92,FALSE)-VLOOKUP($C173*1000+1,$A:$HH,FA$92,FALSE)*VLOOKUP($C173*1000+1,$A:$HH,DZ$92,FALSE)/VLOOKUP($C173*1000+1,$A:$HH,FT$92,FALSE)</f>
        <v>1200</v>
      </c>
      <c r="IJ173" s="19">
        <f t="shared" ref="IJ173:IJ180" si="582">VLOOKUP($C173*1000+1,$A:$HH,FX$92,FALSE)</f>
        <v>2231.5502763133163</v>
      </c>
      <c r="IK173" s="19">
        <f t="shared" ref="IK173:IK180" si="583">VLOOKUP($C173*1000+1,$A:$HH,FY$92,FALSE)</f>
        <v>4498</v>
      </c>
      <c r="IL173" s="19">
        <f t="shared" ref="IL173:IL180" si="584">(FW173-FA173*DZ173/FT173)-II173</f>
        <v>900</v>
      </c>
      <c r="IM173" s="19">
        <f t="shared" ref="IM173:IM180" si="585">FX173-IJ173</f>
        <v>985.39691792545455</v>
      </c>
      <c r="IN173" s="19">
        <f t="shared" ref="IN173:IN180" si="586">FY173-IK173</f>
        <v>324.99999999999909</v>
      </c>
      <c r="IO173" s="39">
        <f t="shared" ref="IO173:IO180" si="587">(F173-VLOOKUP($C173*1000+1,$A:$HH,F$92,FALSE))*(1-$I173)</f>
        <v>0</v>
      </c>
      <c r="IP173" s="39">
        <f t="shared" ref="IP173:IP180" si="588">(G173-VLOOKUP($C173*1000+1,$A:$HH,G$92,FALSE))*(1-$I173)</f>
        <v>0</v>
      </c>
      <c r="IQ173" s="39">
        <f t="shared" ref="IQ173:IQ180" si="589">(H173-VLOOKUP($C173*1000+1,$A:$HH,H$92,FALSE))*(1-$I173)</f>
        <v>0</v>
      </c>
      <c r="IR173" s="39">
        <v>0</v>
      </c>
      <c r="IS173" s="39">
        <v>0</v>
      </c>
      <c r="IT173" s="39">
        <v>0</v>
      </c>
      <c r="IU173" s="39">
        <v>0</v>
      </c>
      <c r="IV173" s="39">
        <v>0</v>
      </c>
      <c r="IW173" s="39">
        <v>0</v>
      </c>
      <c r="IX173" s="39">
        <f>INDEX(Input!$1:$1048576,IX$93,$C173*2+6)+INDEX(Input!$1:$1048576,IX$94,$C173*2+6)</f>
        <v>1600</v>
      </c>
      <c r="IY173" s="39">
        <f>INDEX(Input!$1:$1048576,IY$93,$C173*2+6)+INDEX(Input!$1:$1048576,IY$94,$C173*2+6)</f>
        <v>2503.5492916397525</v>
      </c>
      <c r="IZ173" s="39">
        <f>INDEX(Input!$1:$1048576,IZ$93,$C173*2+6)+INDEX(Input!$1:$1048576,IZ$94,$C173*2+6)</f>
        <v>6273.7109265464023</v>
      </c>
      <c r="JA173" s="19">
        <f t="shared" ref="JA173:JA180" si="590">(IL173+IO173+IR173+IU173+IX173)</f>
        <v>2500</v>
      </c>
      <c r="JB173" s="19">
        <f t="shared" ref="JB173:JB180" si="591">(IM173+IP173+IS173+IV173+IY173)</f>
        <v>3488.946209565207</v>
      </c>
      <c r="JC173" s="19">
        <f t="shared" ref="JC173:JC180" si="592">(IN173+IQ173+IT173+IW173+IZ173)</f>
        <v>6598.7109265464014</v>
      </c>
      <c r="JD173" s="19">
        <f t="shared" ref="JD173:JD180" si="593">SUMPRODUCT(IE173:IG173,JA173:JC173)</f>
        <v>5389.1841695850062</v>
      </c>
      <c r="JE173" s="21"/>
      <c r="JF173" s="1">
        <f t="shared" ref="JF173:JF180" si="594">VLOOKUP($C173*1000+1,$A:$HH,GD$92,FALSE)</f>
        <v>7.6148954918618686E-2</v>
      </c>
      <c r="JG173" s="15">
        <f>INDEX(Input!$1:$1048576,JG$93,$C173*2+6)/(1+VLOOKUP(C173*1000+INDEX(Input!$1:$1048576,JG$93+1,$C173*2+6),$A:$KK,$JK$92,FALSE))</f>
        <v>978</v>
      </c>
      <c r="JH173" s="1">
        <f t="shared" ref="JH173:JH180" si="595">SUM(HP173:HR173)/SUM(HY173:IA173)</f>
        <v>7.1448832388425546E-2</v>
      </c>
      <c r="JI173" s="1">
        <f t="shared" ref="JI173:JI180" si="596">SUM(HS173:HU173)/SUM(HY173:IA173)</f>
        <v>4.3315579613942605E-2</v>
      </c>
      <c r="JJ173" s="1">
        <f t="shared" ref="JJ173:JJ180" si="597">SUM(HV173:HX173)/SUM(HY173:IA173)</f>
        <v>0</v>
      </c>
      <c r="JK173" s="1">
        <f t="shared" ref="JK173:JK180" si="598">SUM(JH173:JJ173)</f>
        <v>0.11476441200236814</v>
      </c>
      <c r="JL173" s="15">
        <f t="shared" ref="JL173:JL180" si="599">JG173*JK173</f>
        <v>112.23959493831605</v>
      </c>
      <c r="JM173" s="15">
        <f t="shared" ref="JM173:JM180" si="600">JG173+JL173</f>
        <v>1090.239594938316</v>
      </c>
      <c r="JN173" s="21"/>
      <c r="JO173" s="19">
        <f>INDEX(Input!$1:$1048576,JO$93,$C173*2+6)</f>
        <v>5908.5</v>
      </c>
      <c r="JP173" s="19">
        <f>INDEX(Input!$1:$1048576,JP$93,$C173*2+6)</f>
        <v>4993.2939301234746</v>
      </c>
      <c r="JQ173" s="39">
        <f t="shared" ref="JQ173:JQ180" si="601">JO173-JD173</f>
        <v>519.3158304149938</v>
      </c>
      <c r="JR173" s="39">
        <f t="shared" ref="JR173:JR180" si="602">JD173-JP173</f>
        <v>395.89023946153156</v>
      </c>
      <c r="JS173" s="39">
        <f t="shared" ref="JS173:JS180" si="603">JM173*JD173/1000000</f>
        <v>5.8755019660963423</v>
      </c>
      <c r="JT173" s="39">
        <f t="shared" ref="JT173:JT180" si="604">(JD173*JM173-JP173*JG173)/1000000</f>
        <v>0.99206050243558452</v>
      </c>
      <c r="JU173" s="385">
        <f>(JQ173*JM173-INDEX(Input!$1:$1048576,Input!A$18,$C173*2+6)*JL173*INDEX(Input!$1:$1048576,Input!A$19,$C173*2+6))/1000000</f>
        <v>0.56617868059669807</v>
      </c>
      <c r="JV173" s="39">
        <f t="shared" ref="JV173:JV180" si="605">JU173-(JO173-JP173)*JG173/1000000</f>
        <v>-0.32889285574254368</v>
      </c>
      <c r="JW173" s="1">
        <f t="shared" ref="JW173:JW180" si="606">JV173/(JU173-JV173)</f>
        <v>-0.36744868135086106</v>
      </c>
      <c r="JX173" s="19">
        <f t="shared" ref="JX173:JX180" si="607">IF(JL173=0,0,JT173/JL173)*1000000</f>
        <v>8838.7747922717917</v>
      </c>
      <c r="JZ173" s="341"/>
      <c r="KA173" s="342"/>
      <c r="KB173" s="469">
        <f t="shared" si="509"/>
        <v>3.2656316020464753</v>
      </c>
      <c r="KI173" s="473">
        <f t="shared" ref="KI173:KI180" si="608">$JM173*IE173-$JG173*HY173/SUM($HY173:$IA173)</f>
        <v>44.716481358390212</v>
      </c>
      <c r="KJ173" s="473">
        <f t="shared" ref="KJ173:KJ180" si="609">$JM173*IF173-$JG173*HZ173/SUM($HY173:$IA173)</f>
        <v>20.814043098115519</v>
      </c>
      <c r="KK173" s="473">
        <f t="shared" ref="KK173:KK180" si="610">$JM173*IG173-$JG173*IA173/SUM($HY173:$IA173)</f>
        <v>46.7090704818105</v>
      </c>
      <c r="KN173" s="544">
        <f t="shared" ref="KN173:KN180" si="611">KM173+(KN172-KM172)</f>
        <v>1002</v>
      </c>
      <c r="KO173" s="541">
        <f t="shared" ref="KO173:KO180" si="612">JM173/INDEX(JM:JM,MATCH(KN173,A:A,0))-1</f>
        <v>3.0365591209514209E-2</v>
      </c>
      <c r="KP173" s="546">
        <f t="shared" ref="KP173:KP180" si="613">(IL173-INDEX(IL:IL,MATCH(KN173,A:A,0)))*IE173
+(IM173-IF(HN173=0,INDEX(IX:IX,MATCH(KN173,A:A,0)),INDEX(IM:IM,MATCH(KN173,A:A,0))))*IF173
+(IN173-INDEX(IN:IN,MATCH(KN173,A:A,0)))*IG173</f>
        <v>177.94096524162595</v>
      </c>
      <c r="KQ173" s="546">
        <f t="shared" ref="KQ173:KQ180" si="614">JD173-INDEX(JD:JD,MATCH(KN173,A:A,0))</f>
        <v>34.730269609565767</v>
      </c>
      <c r="KR173" s="548">
        <f t="shared" ref="KR173:KR180" si="615">KO173/(KP173/(BX173-INDEX(JD:JD,MATCH(KN173,A:A,0))))</f>
        <v>2.4472114108363372</v>
      </c>
      <c r="KS173" s="548">
        <f t="shared" ref="KS173:KS180" si="616">KO173/(KQ173/(BX173-INDEX(JD:JD,MATCH(KN173,A:A,0))))</f>
        <v>12.538317884943813</v>
      </c>
      <c r="KT173" s="473">
        <f t="shared" si="510"/>
        <v>-82.310573396665475</v>
      </c>
      <c r="KU173" s="663">
        <f t="shared" ref="KU173:KU180" si="617">IF(D173="",0,IFERROR((JM173/KT173-1)/(JD173/BX173)+B173*10^-6,0))</f>
        <v>-52.060478684070119</v>
      </c>
    </row>
    <row r="174" spans="1:308" s="26" customFormat="1" ht="15" outlineLevel="1">
      <c r="A174" s="561">
        <f t="shared" si="386"/>
        <v>1074</v>
      </c>
      <c r="B174" s="561">
        <f t="shared" si="508"/>
        <v>74</v>
      </c>
      <c r="C174" s="561">
        <f t="shared" si="105"/>
        <v>1</v>
      </c>
      <c r="D174" s="561" t="str">
        <f t="shared" si="376"/>
        <v xml:space="preserve">750 CC, 0.9/1.9/2.9/3.9, 1500 Combo, </v>
      </c>
      <c r="E174" s="475">
        <f>INDEX(Input!$1:$1048576,E$93,$C174*2+MIN($B174,2)+5)
+INDEX(Scenarios!E$121:E$200,MATCH($B174,Scenarios!$B$121:$B$200,0))</f>
        <v>2000</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1500</v>
      </c>
      <c r="R174" s="478">
        <f>IFERROR(MAX(0,INDEX(Input!$1:$1048576,R$93,$C174*2+MIN($B174,2)+5)
+INDEX(Scenarios!R$121:R$200,MATCH($B174,Scenarios!$B$121:$B$200,0)),),"Market")</f>
        <v>9.0000000000000011E-3</v>
      </c>
      <c r="S174" s="478">
        <f>IFERROR(MAX(0,INDEX(Input!$1:$1048576,S$93,$C174*2+MIN($B174,2)+5)
+INDEX(Scenarios!S$121:S$200,MATCH($B174,Scenarios!$B$121:$B$200,0)),),"Market")</f>
        <v>9.0000000000000011E-3</v>
      </c>
      <c r="T174" s="478">
        <f>IFERROR(MAX(0,INDEX(Input!$1:$1048576,T$93,$C174*2+MIN($B174,2)+5)
+INDEX(Scenarios!T$121:T$200,MATCH($B174,Scenarios!$B$121:$B$200,0)),),"Market")</f>
        <v>9.0000000000000011E-3</v>
      </c>
      <c r="U174" s="478">
        <f>IFERROR(MAX(0,INDEX(Input!$1:$1048576,U$93,$C174*2+MIN($B174,2)+5)
+INDEX(Scenarios!U$121:U$200,MATCH($B174,Scenarios!$B$121:$B$200,0)),),"Market")</f>
        <v>9.0000000000000011E-3</v>
      </c>
      <c r="V174" s="478">
        <f>IFERROR(MAX(0,INDEX(Input!$1:$1048576,V$93,$C174*2+MIN($B174,2)+5)
+INDEX(Scenarios!V$121:V$200,MATCH($B174,Scenarios!$B$121:$B$200,0)),),"Market")</f>
        <v>2.8999999999999998E-2</v>
      </c>
      <c r="W174" s="863">
        <f>IFERROR(MAX(0,INDEX(Input!$1:$1048576,W$93,$C174*2+MIN($B174,2)+5)-0%,),"Market")</f>
        <v>3.9E-2</v>
      </c>
      <c r="X174" s="476" t="str">
        <f>INDEX(Input!$1:$1048576,X$93,$C174*2+MIN($B174,2)+5)</f>
        <v>Y</v>
      </c>
      <c r="Y174" s="475">
        <f>INDEX(Input!$1:$1048576,Y$93,$C174*2+MIN($B174,2)+5)
++INDEX(Scenarios!Y$121:Y$200,MATCH($B174,Scenarios!$B$121:$B$200,0))</f>
        <v>2826</v>
      </c>
      <c r="Z174" s="477">
        <f>INDEX(Input!$1:$1048576,Z$93,$C174*2+MIN($B174,2)+5)
+INDEX(Scenarios!Z$121:Z$200,MATCH($B174,Scenarios!$B$121:$B$200,0))</f>
        <v>0</v>
      </c>
      <c r="AA174" s="475">
        <f>INDEX(Input!$1:$1048576,AA$93,$C174*2+MIN($B174,2)+5)</f>
        <v>0</v>
      </c>
      <c r="AB174" s="476">
        <f>INDEX(Input!$1:$1048576,AB$93,$C174*2+MIN($B174,2)+5)</f>
        <v>1</v>
      </c>
      <c r="AC174" s="475">
        <f>INDEX(Input!$1:$1048576,AC$93,$C174*2+MIN($B174,2)+5)
+INDEX(Scenarios!AC$121:AC$200,MATCH($B174,Scenarios!$B$121:$B$200,0))</f>
        <v>0</v>
      </c>
      <c r="AD174" s="476">
        <f>INDEX(Input!$1:$1048576,AD$93,$C174*2+MIN($B174,2)+5)</f>
        <v>0.35</v>
      </c>
      <c r="AE174" s="475">
        <f>INDEX(Input!$1:$1048576,AE$93,$C174*2+MIN($B174,2)+5)
+INDEX(Scenarios!AE$121:AE$200,MATCH($B174,Scenarios!$B$121:$B$200,0))</f>
        <v>0</v>
      </c>
      <c r="AF174" s="476">
        <f>INDEX(Input!$1:$1048576,AF$93,$C174*2+MIN($B174,2)+5)</f>
        <v>1</v>
      </c>
      <c r="AG174" s="475">
        <f>INDEX(Input!$1:$1048576,AG$93,$C174*2+MIN($B174,2)+5)
+INDEX(Scenarios!AG$121:AG$200,MATCH($B174,Scenarios!$B$121:$B$200,0))</f>
        <v>0</v>
      </c>
      <c r="AH174" s="476">
        <f>INDEX(Input!$1:$1048576,AH$93,$C174*2+MIN($B174,2)+5)</f>
        <v>1</v>
      </c>
      <c r="AI174" s="475">
        <f>INDEX(Input!$1:$1048576,AI$93,$C174*2+MIN($B174,2)+5)
+INDEX(Scenarios!AI$121:AI$200,MATCH($B174,Scenarios!$B$121:$B$200,0))</f>
        <v>0</v>
      </c>
      <c r="AJ174" s="476">
        <f>INDEX(Input!$1:$1048576,AJ$93,$C174*2+MIN($B174,2)+5)</f>
        <v>0.35</v>
      </c>
      <c r="AK174" s="150">
        <f>ROUND(INDEX(Input!$1:$1048576,AK$93,$C173*2+MIN($B174,1)+5)+(Y174-VLOOKUP($C174*1000+1,$A:$HH,Y$92,FALSE)),0)</f>
        <v>5482</v>
      </c>
      <c r="AL174" s="150">
        <f>ROUND(INDEX(Input!$1:$1048576,AL$93,$C173*2+MIN($B174,1)+5)-(Y174-VLOOKUP($C174*1000+1,$A:$HH,Y$92,FALSE))/36,0)</f>
        <v>5602</v>
      </c>
      <c r="AM174" s="32" t="str">
        <f t="shared" si="387"/>
        <v>std/std/std/std</v>
      </c>
      <c r="AN174" s="32" t="str">
        <f t="shared" si="388"/>
        <v>$1500 + 0.9/0.9/0.9/2.9/3.9</v>
      </c>
      <c r="AO174" s="32" t="str">
        <f t="shared" si="389"/>
        <v>0.9/0.9/0.9/2.9/3.9</v>
      </c>
      <c r="AP174" s="32" t="str">
        <f t="shared" si="493"/>
        <v>0.9/1.9/2.9/3.9</v>
      </c>
      <c r="AQ174" s="536">
        <f t="shared" si="492"/>
        <v>0.19511322573355988</v>
      </c>
      <c r="AR174" s="32"/>
      <c r="AS174" s="302"/>
      <c r="AT174" s="3">
        <f t="shared" si="106"/>
        <v>74</v>
      </c>
      <c r="AU174" s="41" t="s">
        <v>121</v>
      </c>
      <c r="AV174" s="41" t="s">
        <v>116</v>
      </c>
      <c r="AW174" s="41" t="str">
        <f>INDEX(Input!$1:$1048576,AW$93,$C174*2+6)</f>
        <v>Kia</v>
      </c>
      <c r="AX174" s="41" t="str">
        <f>INDEX(Input!$1:$1048576,AX$93,$C174*2+6)</f>
        <v>Kia-LR - L1</v>
      </c>
      <c r="AY174" s="41" t="str">
        <f>IF(LEN(D174)=0,"",INDEX(Input!$1:$1048576,AY$93,$C174*2+6))</f>
        <v>Compact Conventional/Sporty Car (43)</v>
      </c>
      <c r="AZ174" s="41" t="str">
        <f>INDEX(Input!$1:$1048576,AZ$93,$C174*2+6)</f>
        <v>Kia Forte</v>
      </c>
      <c r="BA174" s="3">
        <f>INDEX(Input!$1:$1048576,BA$93,$C174*2+6)</f>
        <v>2020</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19695</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94"/>
        <v>2000</v>
      </c>
      <c r="CJ174" s="16" t="str">
        <f>INDEX(Input!$1:$1048576,CJ$93,$C174*2+6)</f>
        <v>N</v>
      </c>
      <c r="CK174" s="1" t="str">
        <f t="shared" si="495"/>
        <v>Market</v>
      </c>
      <c r="CL174" s="1" t="str">
        <f t="shared" si="496"/>
        <v>Market</v>
      </c>
      <c r="CM174" s="1" t="str">
        <f t="shared" si="497"/>
        <v>Market</v>
      </c>
      <c r="CN174" s="1" t="str">
        <f t="shared" si="498"/>
        <v>Market</v>
      </c>
      <c r="CO174" s="1" t="str">
        <f t="shared" si="499"/>
        <v>Market</v>
      </c>
      <c r="CP174" s="304">
        <f t="shared" si="500"/>
        <v>1500</v>
      </c>
      <c r="CQ174" s="1">
        <f t="shared" si="501"/>
        <v>9.0000000000000011E-3</v>
      </c>
      <c r="CR174" s="1">
        <f t="shared" si="502"/>
        <v>9.0000000000000011E-3</v>
      </c>
      <c r="CS174" s="1">
        <f t="shared" si="503"/>
        <v>9.0000000000000011E-3</v>
      </c>
      <c r="CT174" s="1">
        <f t="shared" si="504"/>
        <v>2.8999999999999998E-2</v>
      </c>
      <c r="CU174" s="1">
        <f t="shared" si="505"/>
        <v>3.9E-2</v>
      </c>
      <c r="CV174" s="304">
        <f t="shared" si="506"/>
        <v>2826</v>
      </c>
      <c r="CW174" s="20" t="s">
        <v>122</v>
      </c>
      <c r="CX174" s="20" t="s">
        <v>122</v>
      </c>
      <c r="CY174" s="20" t="s">
        <v>122</v>
      </c>
      <c r="CZ174" s="20" t="s">
        <v>122</v>
      </c>
      <c r="DA174" s="20" t="s">
        <v>122</v>
      </c>
      <c r="DB174" s="503">
        <f t="shared" si="507"/>
        <v>0</v>
      </c>
      <c r="DC174" s="127">
        <v>0</v>
      </c>
      <c r="DD174" s="127">
        <v>0</v>
      </c>
      <c r="DE174" s="127">
        <v>0</v>
      </c>
      <c r="DF174" s="127">
        <v>0</v>
      </c>
      <c r="DG174" s="127">
        <v>0</v>
      </c>
      <c r="DH174" s="127">
        <v>0</v>
      </c>
      <c r="DI174" s="127">
        <v>0</v>
      </c>
      <c r="DJ174" s="127">
        <v>0</v>
      </c>
      <c r="DK174" s="127">
        <v>0</v>
      </c>
      <c r="DL174" s="127">
        <v>0</v>
      </c>
      <c r="DM174" s="304">
        <f>INDEX(Input!$1:$1048576,DM$93,$C174*2+6)</f>
        <v>20731.578947368424</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1.6734382218959381E-2</v>
      </c>
      <c r="DZ174" s="7">
        <v>0</v>
      </c>
      <c r="EA174" s="7">
        <v>0.25761151463924892</v>
      </c>
      <c r="EB174" s="7">
        <v>0</v>
      </c>
      <c r="EC174" s="7">
        <v>0</v>
      </c>
      <c r="ED174" s="7">
        <v>0</v>
      </c>
      <c r="EE174" s="7">
        <v>0</v>
      </c>
      <c r="EF174" s="7">
        <v>0</v>
      </c>
      <c r="EG174" s="7">
        <v>0</v>
      </c>
      <c r="EH174" s="7">
        <v>2.4339991898198087E-2</v>
      </c>
      <c r="EI174" s="7">
        <v>4.0856814647068189E-2</v>
      </c>
      <c r="EJ174" s="7">
        <v>0.30271672059585381</v>
      </c>
      <c r="EK174" s="7">
        <v>0.56775043590985852</v>
      </c>
      <c r="EL174" s="7">
        <v>6.4336036949021638E-2</v>
      </c>
      <c r="EM174" s="7">
        <v>1.3798655591606318E-2</v>
      </c>
      <c r="EN174" s="7">
        <v>5.668659417593374E-2</v>
      </c>
      <c r="EO174" s="7">
        <v>0.5421699501419357</v>
      </c>
      <c r="EP174" s="7">
        <v>0.31173155381219214</v>
      </c>
      <c r="EQ174" s="7">
        <v>5.1954312326603483E-2</v>
      </c>
      <c r="ER174" s="7">
        <v>3.7457589543334731E-2</v>
      </c>
      <c r="ES174" s="7">
        <v>0.71185544755018548</v>
      </c>
      <c r="ET174" s="7">
        <v>0.72565410314179168</v>
      </c>
      <c r="EU174" s="6">
        <v>2350</v>
      </c>
      <c r="EV174" s="6">
        <v>0</v>
      </c>
      <c r="EW174" s="6">
        <v>2350</v>
      </c>
      <c r="EX174" s="6">
        <v>0</v>
      </c>
      <c r="EY174" s="6">
        <v>3716.9471942387718</v>
      </c>
      <c r="EZ174" s="6">
        <v>4822.9999999999991</v>
      </c>
      <c r="FA174" s="6">
        <v>0</v>
      </c>
      <c r="FB174" s="6">
        <v>0</v>
      </c>
      <c r="FC174" s="6">
        <v>0</v>
      </c>
      <c r="FD174" s="6">
        <v>0</v>
      </c>
      <c r="FE174" s="6">
        <v>0</v>
      </c>
      <c r="FF174" s="6">
        <v>0</v>
      </c>
      <c r="FG174" s="6">
        <v>0</v>
      </c>
      <c r="FH174" s="6">
        <v>924.48091338374638</v>
      </c>
      <c r="FI174" s="6">
        <v>1232.116446530423</v>
      </c>
      <c r="FJ174" s="6">
        <v>1709.9775738488459</v>
      </c>
      <c r="FK174" s="6">
        <v>1266.3227157028186</v>
      </c>
      <c r="FL174" s="6">
        <v>893.91433563489363</v>
      </c>
      <c r="FM174" s="6">
        <v>1366.9471942387715</v>
      </c>
      <c r="FN174" s="6">
        <v>0</v>
      </c>
      <c r="FO174" s="6">
        <v>0</v>
      </c>
      <c r="FP174" s="6">
        <v>0</v>
      </c>
      <c r="FQ174" s="6">
        <v>0</v>
      </c>
      <c r="FR174" s="6">
        <v>0</v>
      </c>
      <c r="FS174" s="6">
        <v>0</v>
      </c>
      <c r="FT174" s="7">
        <v>0.27434589685820832</v>
      </c>
      <c r="FU174" s="7">
        <v>1.3798655591606318E-2</v>
      </c>
      <c r="FV174" s="7">
        <v>0.71185544755018548</v>
      </c>
      <c r="FW174" s="6">
        <v>2350</v>
      </c>
      <c r="FX174" s="6">
        <v>3716.9471942387718</v>
      </c>
      <c r="FY174" s="6">
        <v>4822.9999999999991</v>
      </c>
      <c r="FZ174" s="6">
        <v>3077.4375890575293</v>
      </c>
      <c r="GA174" s="6">
        <v>4129.2805553368216</v>
      </c>
      <c r="GB174" s="6">
        <v>15565.719444663178</v>
      </c>
      <c r="GC174" s="7">
        <v>7.0901643973087014E-2</v>
      </c>
      <c r="GD174" s="7">
        <v>8.2359493088904126E-2</v>
      </c>
      <c r="GE174" s="7"/>
      <c r="GF174" s="7"/>
      <c r="GG174" s="7">
        <v>0.16160202322200462</v>
      </c>
      <c r="GH174" s="42">
        <v>3.0258811908167247</v>
      </c>
      <c r="GI174" s="6">
        <v>10638.128311743299</v>
      </c>
      <c r="GJ174" s="14">
        <v>0.5107463060103955</v>
      </c>
      <c r="GK174" s="14">
        <v>0.5082951978616097</v>
      </c>
      <c r="GL174" s="14">
        <v>0.48925369398960433</v>
      </c>
      <c r="GM174" s="14">
        <v>0.49170480213839018</v>
      </c>
      <c r="GO174" s="5">
        <v>338.16872463277008</v>
      </c>
      <c r="GP174" s="5">
        <v>293.33520778489498</v>
      </c>
      <c r="GQ174" s="5">
        <v>527.27910984145694</v>
      </c>
      <c r="GR174" s="5">
        <v>404.20319246551543</v>
      </c>
      <c r="GS174" s="5">
        <v>334.50205195691484</v>
      </c>
      <c r="GT174" s="5">
        <v>289.18266033348181</v>
      </c>
      <c r="GU174" s="5">
        <v>254.29573314828914</v>
      </c>
      <c r="GV174" s="39" t="s">
        <v>392</v>
      </c>
      <c r="GW174" s="5">
        <v>433.04911228431121</v>
      </c>
      <c r="GX174" s="5">
        <v>326.24341641294012</v>
      </c>
      <c r="GY174" s="5">
        <v>262.1634566284809</v>
      </c>
      <c r="GZ174" s="5">
        <v>232.92313684693576</v>
      </c>
      <c r="HA174" s="5">
        <v>209.45771593376008</v>
      </c>
      <c r="HB174" s="39">
        <v>248.94883235929035</v>
      </c>
      <c r="HC174" s="5">
        <v>72.109375000000014</v>
      </c>
      <c r="HD174" s="5">
        <v>92.305464181286524</v>
      </c>
      <c r="HE174" s="5">
        <v>103.7516995614035</v>
      </c>
      <c r="HF174" s="5">
        <v>106.17129934210527</v>
      </c>
      <c r="HG174" s="5">
        <v>115.13410087719299</v>
      </c>
      <c r="HH174" s="39">
        <v>96.304265044073446</v>
      </c>
      <c r="HI174" s="16"/>
      <c r="HJ174" s="19" t="str">
        <f t="shared" ref="HJ174:HK174" si="618">HJ173</f>
        <v>On</v>
      </c>
      <c r="HK174" s="1" t="str">
        <f t="shared" si="618"/>
        <v>On</v>
      </c>
      <c r="HL174" s="16"/>
      <c r="HM174" s="639">
        <f t="shared" si="567"/>
        <v>1.7699001661282989E-2</v>
      </c>
      <c r="HN174" s="639">
        <f t="shared" si="568"/>
        <v>1.0509929974846072E-3</v>
      </c>
      <c r="HO174" s="639">
        <f t="shared" si="569"/>
        <v>5.7398960259851091E-2</v>
      </c>
      <c r="HP174" s="644">
        <f>(FT174*$GD174-HM174)/$JF174*INDEX(Input!$1:$1048576,$JG$93,$C174*2+6)</f>
        <v>62.880385144189503</v>
      </c>
      <c r="HQ174" s="644">
        <f>(FU174*$GD174-HN174)/$JF174*INDEX(Input!$1:$1048576,$JG$93,$C174*2+6)</f>
        <v>1.0975491682862284</v>
      </c>
      <c r="HR174" s="644">
        <f>(FV174*$GD174-HO174)/$JF174*INDEX(Input!$1:$1048576,$JG$93,$C174*2+6)</f>
        <v>15.785554720701789</v>
      </c>
      <c r="HS174" s="644">
        <f t="shared" si="570"/>
        <v>-0.51684260953920502</v>
      </c>
      <c r="HT174" s="644">
        <f t="shared" si="571"/>
        <v>33.932397232749771</v>
      </c>
      <c r="HU174" s="644">
        <f t="shared" si="572"/>
        <v>22.858929512455795</v>
      </c>
      <c r="HV174" s="648">
        <f t="shared" si="573"/>
        <v>0</v>
      </c>
      <c r="HW174" s="648">
        <f t="shared" si="574"/>
        <v>0</v>
      </c>
      <c r="HX174" s="648">
        <f t="shared" si="575"/>
        <v>0</v>
      </c>
      <c r="HY174" s="644">
        <f>INDEX(Input!$1:$1048576,HY$93,$C174*2+6)*INDEX(Input!$1:$1048576,$JG$93,$C174*2+6)</f>
        <v>154.99999999999997</v>
      </c>
      <c r="HZ174" s="644">
        <f>INDEX(Input!$1:$1048576,HZ$93,$C174*2+6)*INDEX(Input!$1:$1048576,$JG$93,$C174*2+6)</f>
        <v>140</v>
      </c>
      <c r="IA174" s="644">
        <f>INDEX(Input!$1:$1048576,IA$93,$C174*2+6)*INDEX(Input!$1:$1048576,$JG$93,$C174*2+6)</f>
        <v>683</v>
      </c>
      <c r="IB174" s="644">
        <f t="shared" si="576"/>
        <v>217.36354253465015</v>
      </c>
      <c r="IC174" s="644">
        <f t="shared" si="577"/>
        <v>175.029946401036</v>
      </c>
      <c r="ID174" s="644">
        <f>IF(AND(INDEX(Input!$1:$1048576,IA$93,$C174*2+7)="TOS",Y174&lt;=INDEX(Y:Y,MATCH(C174*1000+2,A:A))),0,1)*MAX(IA174+HR174+HU174+HX174,0%)</f>
        <v>721.64448423315764</v>
      </c>
      <c r="IE174" s="128">
        <f t="shared" si="578"/>
        <v>0.19511322573355988</v>
      </c>
      <c r="IF174" s="128">
        <f t="shared" si="579"/>
        <v>0.15711308825781689</v>
      </c>
      <c r="IG174" s="128">
        <f t="shared" si="580"/>
        <v>0.64777368600862317</v>
      </c>
      <c r="IH174" s="21"/>
      <c r="II174" s="19">
        <f t="shared" si="581"/>
        <v>1200</v>
      </c>
      <c r="IJ174" s="19">
        <f t="shared" si="582"/>
        <v>2231.5502763133163</v>
      </c>
      <c r="IK174" s="19">
        <f t="shared" si="583"/>
        <v>4498</v>
      </c>
      <c r="IL174" s="19">
        <f t="shared" si="584"/>
        <v>1150</v>
      </c>
      <c r="IM174" s="19">
        <f t="shared" si="585"/>
        <v>1485.3969179254555</v>
      </c>
      <c r="IN174" s="19">
        <f t="shared" si="586"/>
        <v>324.99999999999909</v>
      </c>
      <c r="IO174" s="39">
        <f t="shared" si="587"/>
        <v>0</v>
      </c>
      <c r="IP174" s="39">
        <f t="shared" si="588"/>
        <v>0</v>
      </c>
      <c r="IQ174" s="39">
        <f t="shared" si="589"/>
        <v>0</v>
      </c>
      <c r="IR174" s="39">
        <v>0</v>
      </c>
      <c r="IS174" s="39">
        <v>0</v>
      </c>
      <c r="IT174" s="39">
        <v>0</v>
      </c>
      <c r="IU174" s="39">
        <v>0</v>
      </c>
      <c r="IV174" s="39">
        <v>0</v>
      </c>
      <c r="IW174" s="39">
        <v>0</v>
      </c>
      <c r="IX174" s="39">
        <f>INDEX(Input!$1:$1048576,IX$93,$C174*2+6)+INDEX(Input!$1:$1048576,IX$94,$C174*2+6)</f>
        <v>1600</v>
      </c>
      <c r="IY174" s="39">
        <f>INDEX(Input!$1:$1048576,IY$93,$C174*2+6)+INDEX(Input!$1:$1048576,IY$94,$C174*2+6)</f>
        <v>2503.5492916397525</v>
      </c>
      <c r="IZ174" s="39">
        <f>INDEX(Input!$1:$1048576,IZ$93,$C174*2+6)+INDEX(Input!$1:$1048576,IZ$94,$C174*2+6)</f>
        <v>6273.7109265464023</v>
      </c>
      <c r="JA174" s="19">
        <f t="shared" si="590"/>
        <v>2750</v>
      </c>
      <c r="JB174" s="19">
        <f t="shared" si="591"/>
        <v>3988.9462095652079</v>
      </c>
      <c r="JC174" s="19">
        <f t="shared" si="592"/>
        <v>6598.7109265464014</v>
      </c>
      <c r="JD174" s="19">
        <f t="shared" si="593"/>
        <v>5437.7483284407317</v>
      </c>
      <c r="JE174" s="21"/>
      <c r="JF174" s="1">
        <f t="shared" si="594"/>
        <v>7.6148954918618686E-2</v>
      </c>
      <c r="JG174" s="15">
        <f>INDEX(Input!$1:$1048576,JG$93,$C174*2+6)/(1+VLOOKUP(C174*1000+INDEX(Input!$1:$1048576,JG$93+1,$C174*2+6),$A:$KK,$JK$92,FALSE))</f>
        <v>978</v>
      </c>
      <c r="JH174" s="1">
        <f t="shared" si="595"/>
        <v>8.1557759747625275E-2</v>
      </c>
      <c r="JI174" s="1">
        <f t="shared" si="596"/>
        <v>5.7540372326857221E-2</v>
      </c>
      <c r="JJ174" s="1">
        <f t="shared" si="597"/>
        <v>0</v>
      </c>
      <c r="JK174" s="1">
        <f t="shared" si="598"/>
        <v>0.13909813207448249</v>
      </c>
      <c r="JL174" s="15">
        <f t="shared" si="599"/>
        <v>136.03797316884388</v>
      </c>
      <c r="JM174" s="15">
        <f t="shared" si="600"/>
        <v>1114.0379731688438</v>
      </c>
      <c r="JN174" s="21"/>
      <c r="JO174" s="19">
        <f>INDEX(Input!$1:$1048576,JO$93,$C174*2+6)</f>
        <v>5908.5</v>
      </c>
      <c r="JP174" s="19">
        <f>INDEX(Input!$1:$1048576,JP$93,$C174*2+6)</f>
        <v>4993.2939301234746</v>
      </c>
      <c r="JQ174" s="39">
        <f t="shared" si="601"/>
        <v>470.75167155926829</v>
      </c>
      <c r="JR174" s="39">
        <f t="shared" si="602"/>
        <v>444.45439831725707</v>
      </c>
      <c r="JS174" s="39">
        <f t="shared" si="603"/>
        <v>6.0578581264183811</v>
      </c>
      <c r="JT174" s="39">
        <f t="shared" si="604"/>
        <v>1.1744166627576229</v>
      </c>
      <c r="JU174" s="385">
        <f>(JQ174*JM174-INDEX(Input!$1:$1048576,Input!A$18,$C174*2+6)*JL174*INDEX(Input!$1:$1048576,Input!A$19,$C174*2+6))/1000000</f>
        <v>0.52443523804973247</v>
      </c>
      <c r="JV174" s="39">
        <f t="shared" si="605"/>
        <v>-0.37063629828950928</v>
      </c>
      <c r="JW174" s="1">
        <f t="shared" si="606"/>
        <v>-0.41408567163846682</v>
      </c>
      <c r="JX174" s="19">
        <f t="shared" si="607"/>
        <v>8633.0061776206621</v>
      </c>
      <c r="JZ174" s="341"/>
      <c r="KA174" s="342"/>
      <c r="KB174" s="469">
        <f t="shared" si="509"/>
        <v>3.2656316020464753</v>
      </c>
      <c r="KI174" s="473">
        <f t="shared" si="608"/>
        <v>62.363542534650179</v>
      </c>
      <c r="KJ174" s="473">
        <f t="shared" si="609"/>
        <v>35.029946401036</v>
      </c>
      <c r="KK174" s="473">
        <f t="shared" si="610"/>
        <v>38.644484233157641</v>
      </c>
      <c r="KN174" s="544">
        <f t="shared" si="611"/>
        <v>1002</v>
      </c>
      <c r="KO174" s="541">
        <f t="shared" si="612"/>
        <v>5.2857005178672756E-2</v>
      </c>
      <c r="KP174" s="546">
        <f t="shared" si="613"/>
        <v>316.86498106095451</v>
      </c>
      <c r="KQ174" s="546">
        <f t="shared" si="614"/>
        <v>83.294428465291276</v>
      </c>
      <c r="KR174" s="548">
        <f t="shared" si="615"/>
        <v>2.3921807860748721</v>
      </c>
      <c r="KS174" s="548">
        <f t="shared" si="616"/>
        <v>9.1002283518861162</v>
      </c>
      <c r="KT174" s="473">
        <f t="shared" si="510"/>
        <v>-82.310573396665475</v>
      </c>
      <c r="KU174" s="663">
        <f t="shared" si="617"/>
        <v>-52.642726002238469</v>
      </c>
    </row>
    <row r="175" spans="1:308" s="26" customFormat="1" ht="15" outlineLevel="1">
      <c r="A175" s="561">
        <f t="shared" si="386"/>
        <v>1075</v>
      </c>
      <c r="B175" s="561">
        <f t="shared" si="508"/>
        <v>75</v>
      </c>
      <c r="C175" s="561">
        <f t="shared" si="105"/>
        <v>1</v>
      </c>
      <c r="D175" s="561" t="str">
        <f t="shared" si="376"/>
        <v xml:space="preserve">500 CC, 0/1.8/2.8/3.9, 1000 Combo, </v>
      </c>
      <c r="E175" s="475">
        <f>INDEX(Input!$1:$1048576,E$93,$C175*2+MIN($B175,2)+5)
+INDEX(Scenarios!E$121:E$200,MATCH($B175,Scenarios!$B$121:$B$200,0))</f>
        <v>1750</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1000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2.7999999999999997E-2</v>
      </c>
      <c r="W175" s="863">
        <f>IFERROR(MAX(0,INDEX(Input!$1:$1048576,W$93,$C175*2+MIN($B175,2)+5)-0%,),"Market")</f>
        <v>3.9E-2</v>
      </c>
      <c r="X175" s="476" t="str">
        <f>INDEX(Input!$1:$1048576,X$93,$C175*2+MIN($B175,2)+5)</f>
        <v>Y</v>
      </c>
      <c r="Y175" s="475">
        <f>INDEX(Input!$1:$1048576,Y$93,$C175*2+MIN($B175,2)+5)
++INDEX(Scenarios!Y$121:Y$200,MATCH($B175,Scenarios!$B$121:$B$200,0))</f>
        <v>2826</v>
      </c>
      <c r="Z175" s="477">
        <f>INDEX(Input!$1:$1048576,Z$93,$C175*2+MIN($B175,2)+5)
+INDEX(Scenarios!Z$121:Z$200,MATCH($B175,Scenarios!$B$121:$B$200,0))</f>
        <v>0</v>
      </c>
      <c r="AA175" s="475">
        <f>INDEX(Input!$1:$1048576,AA$93,$C175*2+MIN($B175,2)+5)</f>
        <v>0</v>
      </c>
      <c r="AB175" s="476">
        <f>INDEX(Input!$1:$1048576,AB$93,$C175*2+MIN($B175,2)+5)</f>
        <v>1</v>
      </c>
      <c r="AC175" s="475">
        <f>INDEX(Input!$1:$1048576,AC$93,$C175*2+MIN($B175,2)+5)
+INDEX(Scenarios!AC$121:AC$200,MATCH($B175,Scenarios!$B$121:$B$200,0))</f>
        <v>0</v>
      </c>
      <c r="AD175" s="476">
        <f>INDEX(Input!$1:$1048576,AD$93,$C175*2+MIN($B175,2)+5)</f>
        <v>0.35</v>
      </c>
      <c r="AE175" s="475">
        <f>INDEX(Input!$1:$1048576,AE$93,$C175*2+MIN($B175,2)+5)
+INDEX(Scenarios!AE$121:AE$200,MATCH($B175,Scenarios!$B$121:$B$200,0))</f>
        <v>0</v>
      </c>
      <c r="AF175" s="476">
        <f>INDEX(Input!$1:$1048576,AF$93,$C175*2+MIN($B175,2)+5)</f>
        <v>1</v>
      </c>
      <c r="AG175" s="475">
        <f>INDEX(Input!$1:$1048576,AG$93,$C175*2+MIN($B175,2)+5)
+INDEX(Scenarios!AG$121:AG$200,MATCH($B175,Scenarios!$B$121:$B$200,0))</f>
        <v>0</v>
      </c>
      <c r="AH175" s="476">
        <f>INDEX(Input!$1:$1048576,AH$93,$C175*2+MIN($B175,2)+5)</f>
        <v>1</v>
      </c>
      <c r="AI175" s="475">
        <f>INDEX(Input!$1:$1048576,AI$93,$C175*2+MIN($B175,2)+5)
+INDEX(Scenarios!AI$121:AI$200,MATCH($B175,Scenarios!$B$121:$B$200,0))</f>
        <v>0</v>
      </c>
      <c r="AJ175" s="476">
        <f>INDEX(Input!$1:$1048576,AJ$93,$C175*2+MIN($B175,2)+5)</f>
        <v>0.35</v>
      </c>
      <c r="AK175" s="150">
        <f>ROUND(INDEX(Input!$1:$1048576,AK$93,$C174*2+MIN($B175,1)+5)+(Y175-VLOOKUP($C175*1000+1,$A:$HH,Y$92,FALSE)),0)</f>
        <v>5482</v>
      </c>
      <c r="AL175" s="150">
        <f>ROUND(INDEX(Input!$1:$1048576,AL$93,$C174*2+MIN($B175,1)+5)-(Y175-VLOOKUP($C175*1000+1,$A:$HH,Y$92,FALSE))/36,0)</f>
        <v>5602</v>
      </c>
      <c r="AM175" s="32" t="str">
        <f t="shared" si="387"/>
        <v>std/std/std/std</v>
      </c>
      <c r="AN175" s="32" t="str">
        <f t="shared" si="388"/>
        <v>$1000 + 0/0/0/2.8/3.9</v>
      </c>
      <c r="AO175" s="32" t="str">
        <f t="shared" si="389"/>
        <v>0/0/0/2.8/3.9</v>
      </c>
      <c r="AP175" s="32" t="str">
        <f t="shared" si="493"/>
        <v>0/1.8/2.8/3.9</v>
      </c>
      <c r="AQ175" s="536">
        <f t="shared" si="492"/>
        <v>0.18178769023198291</v>
      </c>
      <c r="AR175" s="32"/>
      <c r="AS175" s="302"/>
      <c r="AT175" s="3">
        <f t="shared" si="106"/>
        <v>75</v>
      </c>
      <c r="AU175" s="41" t="s">
        <v>121</v>
      </c>
      <c r="AV175" s="41" t="s">
        <v>116</v>
      </c>
      <c r="AW175" s="41" t="str">
        <f>INDEX(Input!$1:$1048576,AW$93,$C175*2+6)</f>
        <v>Kia</v>
      </c>
      <c r="AX175" s="41" t="str">
        <f>INDEX(Input!$1:$1048576,AX$93,$C175*2+6)</f>
        <v>Kia-LR - L1</v>
      </c>
      <c r="AY175" s="41" t="str">
        <f>IF(LEN(D175)=0,"",INDEX(Input!$1:$1048576,AY$93,$C175*2+6))</f>
        <v>Compact Conventional/Sporty Car (43)</v>
      </c>
      <c r="AZ175" s="41" t="str">
        <f>INDEX(Input!$1:$1048576,AZ$93,$C175*2+6)</f>
        <v>Kia Forte</v>
      </c>
      <c r="BA175" s="3">
        <f>INDEX(Input!$1:$1048576,BA$93,$C175*2+6)</f>
        <v>2020</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19695</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94"/>
        <v>1750</v>
      </c>
      <c r="CJ175" s="16" t="str">
        <f>INDEX(Input!$1:$1048576,CJ$93,$C175*2+6)</f>
        <v>N</v>
      </c>
      <c r="CK175" s="1" t="str">
        <f t="shared" si="495"/>
        <v>Market</v>
      </c>
      <c r="CL175" s="1" t="str">
        <f t="shared" si="496"/>
        <v>Market</v>
      </c>
      <c r="CM175" s="1" t="str">
        <f t="shared" si="497"/>
        <v>Market</v>
      </c>
      <c r="CN175" s="1" t="str">
        <f t="shared" si="498"/>
        <v>Market</v>
      </c>
      <c r="CO175" s="1" t="str">
        <f t="shared" si="499"/>
        <v>Market</v>
      </c>
      <c r="CP175" s="304">
        <f t="shared" si="500"/>
        <v>1000</v>
      </c>
      <c r="CQ175" s="1">
        <f t="shared" si="501"/>
        <v>0</v>
      </c>
      <c r="CR175" s="1">
        <f t="shared" si="502"/>
        <v>0</v>
      </c>
      <c r="CS175" s="1">
        <f t="shared" si="503"/>
        <v>0</v>
      </c>
      <c r="CT175" s="1">
        <f t="shared" si="504"/>
        <v>2.7999999999999997E-2</v>
      </c>
      <c r="CU175" s="1">
        <f t="shared" si="505"/>
        <v>3.9E-2</v>
      </c>
      <c r="CV175" s="304">
        <f t="shared" si="506"/>
        <v>2826</v>
      </c>
      <c r="CW175" s="20" t="s">
        <v>122</v>
      </c>
      <c r="CX175" s="20" t="s">
        <v>122</v>
      </c>
      <c r="CY175" s="20" t="s">
        <v>122</v>
      </c>
      <c r="CZ175" s="20" t="s">
        <v>122</v>
      </c>
      <c r="DA175" s="20" t="s">
        <v>122</v>
      </c>
      <c r="DB175" s="503">
        <f t="shared" si="507"/>
        <v>0</v>
      </c>
      <c r="DC175" s="127">
        <v>0</v>
      </c>
      <c r="DD175" s="127">
        <v>0</v>
      </c>
      <c r="DE175" s="127">
        <v>0</v>
      </c>
      <c r="DF175" s="127">
        <v>0</v>
      </c>
      <c r="DG175" s="127">
        <v>0</v>
      </c>
      <c r="DH175" s="127">
        <v>0</v>
      </c>
      <c r="DI175" s="127">
        <v>0</v>
      </c>
      <c r="DJ175" s="127">
        <v>0</v>
      </c>
      <c r="DK175" s="127">
        <v>0</v>
      </c>
      <c r="DL175" s="127">
        <v>0</v>
      </c>
      <c r="DM175" s="304">
        <f>INDEX(Input!$1:$1048576,DM$93,$C175*2+6)</f>
        <v>20731.578947368424</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1.5744095167258044E-2</v>
      </c>
      <c r="DZ175" s="7">
        <v>0</v>
      </c>
      <c r="EA175" s="7">
        <v>0.24370687741932115</v>
      </c>
      <c r="EB175" s="7">
        <v>0</v>
      </c>
      <c r="EC175" s="7">
        <v>0</v>
      </c>
      <c r="ED175" s="7">
        <v>0</v>
      </c>
      <c r="EE175" s="7">
        <v>0</v>
      </c>
      <c r="EF175" s="7">
        <v>0</v>
      </c>
      <c r="EG175" s="7">
        <v>0</v>
      </c>
      <c r="EH175" s="7">
        <v>2.5430984664821899E-2</v>
      </c>
      <c r="EI175" s="7">
        <v>4.5742556402580806E-2</v>
      </c>
      <c r="EJ175" s="7">
        <v>0.35974737959792075</v>
      </c>
      <c r="EK175" s="7">
        <v>0.51370976624829567</v>
      </c>
      <c r="EL175" s="7">
        <v>5.5369313086380753E-2</v>
      </c>
      <c r="EM175" s="7">
        <v>1.4036212511000913E-2</v>
      </c>
      <c r="EN175" s="7">
        <v>5.668659417593376E-2</v>
      </c>
      <c r="EO175" s="7">
        <v>0.5421699501419357</v>
      </c>
      <c r="EP175" s="7">
        <v>0.31173155381219225</v>
      </c>
      <c r="EQ175" s="7">
        <v>5.195431232660349E-2</v>
      </c>
      <c r="ER175" s="7">
        <v>3.7457589543334738E-2</v>
      </c>
      <c r="ES175" s="7">
        <v>0.72651281490241992</v>
      </c>
      <c r="ET175" s="7">
        <v>0.74054902741342077</v>
      </c>
      <c r="EU175" s="6">
        <v>2100</v>
      </c>
      <c r="EV175" s="6">
        <v>0</v>
      </c>
      <c r="EW175" s="6">
        <v>2100</v>
      </c>
      <c r="EX175" s="6">
        <v>0</v>
      </c>
      <c r="EY175" s="6">
        <v>3419.2056457463964</v>
      </c>
      <c r="EZ175" s="6">
        <v>4822.9999999999991</v>
      </c>
      <c r="FA175" s="6">
        <v>0</v>
      </c>
      <c r="FB175" s="6">
        <v>0</v>
      </c>
      <c r="FC175" s="6">
        <v>0</v>
      </c>
      <c r="FD175" s="6">
        <v>0</v>
      </c>
      <c r="FE175" s="6">
        <v>0</v>
      </c>
      <c r="FF175" s="6">
        <v>0</v>
      </c>
      <c r="FG175" s="6">
        <v>0</v>
      </c>
      <c r="FH175" s="6">
        <v>1152.120827037782</v>
      </c>
      <c r="FI175" s="6">
        <v>1531.4299904380618</v>
      </c>
      <c r="FJ175" s="6">
        <v>2070.7205842538215</v>
      </c>
      <c r="FK175" s="6">
        <v>1314.7946049255017</v>
      </c>
      <c r="FL175" s="6">
        <v>893.91433563489386</v>
      </c>
      <c r="FM175" s="6">
        <v>1569.2056457463964</v>
      </c>
      <c r="FN175" s="6">
        <v>0</v>
      </c>
      <c r="FO175" s="6">
        <v>0</v>
      </c>
      <c r="FP175" s="6">
        <v>0</v>
      </c>
      <c r="FQ175" s="6">
        <v>0</v>
      </c>
      <c r="FR175" s="6">
        <v>0</v>
      </c>
      <c r="FS175" s="6">
        <v>0</v>
      </c>
      <c r="FT175" s="7">
        <v>0.25945097258657918</v>
      </c>
      <c r="FU175" s="7">
        <v>1.4036212511000913E-2</v>
      </c>
      <c r="FV175" s="7">
        <v>0.72651281490241992</v>
      </c>
      <c r="FW175" s="6">
        <v>2100.0000000000005</v>
      </c>
      <c r="FX175" s="6">
        <v>3419.2056457463964</v>
      </c>
      <c r="FY175" s="6">
        <v>4822.9999999999991</v>
      </c>
      <c r="FZ175" s="6">
        <v>3077.4375890575293</v>
      </c>
      <c r="GA175" s="6">
        <v>4096.811045768698</v>
      </c>
      <c r="GB175" s="6">
        <v>15598.188954231302</v>
      </c>
      <c r="GC175" s="7">
        <v>7.0901643973087014E-2</v>
      </c>
      <c r="GD175" s="7">
        <v>8.1658281510248926E-2</v>
      </c>
      <c r="GE175" s="7"/>
      <c r="GF175" s="7"/>
      <c r="GG175" s="7">
        <v>0.15171210333634771</v>
      </c>
      <c r="GH175" s="42">
        <v>2.9311827334111027</v>
      </c>
      <c r="GI175" s="6">
        <v>10815.941782827987</v>
      </c>
      <c r="GJ175" s="14">
        <v>0.51074630601039539</v>
      </c>
      <c r="GK175" s="14">
        <v>0.50829519786160959</v>
      </c>
      <c r="GL175" s="14">
        <v>0.48925369398960433</v>
      </c>
      <c r="GM175" s="14">
        <v>0.49170480213839024</v>
      </c>
      <c r="GO175" s="5">
        <v>338.16872463277008</v>
      </c>
      <c r="GP175" s="5">
        <v>298.1047308538179</v>
      </c>
      <c r="GQ175" s="5">
        <v>527.27910984145694</v>
      </c>
      <c r="GR175" s="5">
        <v>404.20319246551543</v>
      </c>
      <c r="GS175" s="5">
        <v>334.50205195691484</v>
      </c>
      <c r="GT175" s="5">
        <v>289.18266033348181</v>
      </c>
      <c r="GU175" s="5">
        <v>254.29573314828914</v>
      </c>
      <c r="GV175" s="39" t="s">
        <v>392</v>
      </c>
      <c r="GW175" s="5">
        <v>440.98611111111109</v>
      </c>
      <c r="GX175" s="5">
        <v>330.73958333333331</v>
      </c>
      <c r="GY175" s="5">
        <v>264.59166666666664</v>
      </c>
      <c r="GZ175" s="5">
        <v>239.78936683672671</v>
      </c>
      <c r="HA175" s="5">
        <v>216.26912746293831</v>
      </c>
      <c r="HB175" s="39">
        <v>256.68655643697252</v>
      </c>
      <c r="HC175" s="5">
        <v>72.109375000000014</v>
      </c>
      <c r="HD175" s="5">
        <v>92.305464181286524</v>
      </c>
      <c r="HE175" s="5">
        <v>103.7516995614035</v>
      </c>
      <c r="HF175" s="5">
        <v>106.17129934210527</v>
      </c>
      <c r="HG175" s="5">
        <v>115.13410087719299</v>
      </c>
      <c r="HH175" s="39">
        <v>96.304265044073475</v>
      </c>
      <c r="HI175" s="16"/>
      <c r="HJ175" s="19" t="str">
        <f t="shared" ref="HJ175:HK175" si="619">HJ174</f>
        <v>On</v>
      </c>
      <c r="HK175" s="1" t="str">
        <f t="shared" si="619"/>
        <v>On</v>
      </c>
      <c r="HL175" s="16"/>
      <c r="HM175" s="639">
        <f t="shared" si="567"/>
        <v>1.7699001661282989E-2</v>
      </c>
      <c r="HN175" s="639">
        <f t="shared" si="568"/>
        <v>1.0509929974846072E-3</v>
      </c>
      <c r="HO175" s="639">
        <f t="shared" si="569"/>
        <v>5.7398960259851091E-2</v>
      </c>
      <c r="HP175" s="644">
        <f>(FT175*$GD175-HM175)/$JF175*INDEX(Input!$1:$1048576,$JG$93,$C175*2+6)</f>
        <v>44.788505426320327</v>
      </c>
      <c r="HQ175" s="644">
        <f>(FU175*$GD175-HN175)/$JF175*INDEX(Input!$1:$1048576,$JG$93,$C175*2+6)</f>
        <v>1.2224203901968838</v>
      </c>
      <c r="HR175" s="644">
        <f>(FV175*$GD175-HO175)/$JF175*INDEX(Input!$1:$1048576,$JG$93,$C175*2+6)</f>
        <v>24.74672821002487</v>
      </c>
      <c r="HS175" s="644">
        <f t="shared" si="570"/>
        <v>-0.4132436879082354</v>
      </c>
      <c r="HT175" s="644">
        <f t="shared" si="571"/>
        <v>27.256134484112547</v>
      </c>
      <c r="HU175" s="644">
        <f t="shared" si="572"/>
        <v>21.147323440419914</v>
      </c>
      <c r="HV175" s="648">
        <f t="shared" si="573"/>
        <v>0</v>
      </c>
      <c r="HW175" s="648">
        <f t="shared" si="574"/>
        <v>0</v>
      </c>
      <c r="HX175" s="648">
        <f t="shared" si="575"/>
        <v>0</v>
      </c>
      <c r="HY175" s="644">
        <f>INDEX(Input!$1:$1048576,HY$93,$C175*2+6)*INDEX(Input!$1:$1048576,$JG$93,$C175*2+6)</f>
        <v>154.99999999999997</v>
      </c>
      <c r="HZ175" s="644">
        <f>INDEX(Input!$1:$1048576,HZ$93,$C175*2+6)*INDEX(Input!$1:$1048576,$JG$93,$C175*2+6)</f>
        <v>140</v>
      </c>
      <c r="IA175" s="644">
        <f>INDEX(Input!$1:$1048576,IA$93,$C175*2+6)*INDEX(Input!$1:$1048576,$JG$93,$C175*2+6)</f>
        <v>683</v>
      </c>
      <c r="IB175" s="644">
        <f t="shared" si="576"/>
        <v>199.37526173841206</v>
      </c>
      <c r="IC175" s="644">
        <f t="shared" si="577"/>
        <v>168.47855487430942</v>
      </c>
      <c r="ID175" s="644">
        <f>IF(AND(INDEX(Input!$1:$1048576,IA$93,$C175*2+7)="TOS",Y175&lt;=INDEX(Y:Y,MATCH(C175*1000+2,A:A))),0,1)*MAX(IA175+HR175+HU175+HX175,0%)</f>
        <v>728.89405165044479</v>
      </c>
      <c r="IE175" s="128">
        <f t="shared" si="578"/>
        <v>0.18178769023198291</v>
      </c>
      <c r="IF175" s="128">
        <f t="shared" si="579"/>
        <v>0.15361648720696008</v>
      </c>
      <c r="IG175" s="128">
        <f t="shared" si="580"/>
        <v>0.66459582256105698</v>
      </c>
      <c r="IH175" s="21"/>
      <c r="II175" s="19">
        <f t="shared" si="581"/>
        <v>1200</v>
      </c>
      <c r="IJ175" s="19">
        <f t="shared" si="582"/>
        <v>2231.5502763133163</v>
      </c>
      <c r="IK175" s="19">
        <f t="shared" si="583"/>
        <v>4498</v>
      </c>
      <c r="IL175" s="19">
        <f t="shared" si="584"/>
        <v>900.00000000000045</v>
      </c>
      <c r="IM175" s="19">
        <f t="shared" si="585"/>
        <v>1187.6553694330801</v>
      </c>
      <c r="IN175" s="19">
        <f t="shared" si="586"/>
        <v>324.99999999999909</v>
      </c>
      <c r="IO175" s="39">
        <f t="shared" si="587"/>
        <v>0</v>
      </c>
      <c r="IP175" s="39">
        <f t="shared" si="588"/>
        <v>0</v>
      </c>
      <c r="IQ175" s="39">
        <f t="shared" si="589"/>
        <v>0</v>
      </c>
      <c r="IR175" s="39">
        <v>0</v>
      </c>
      <c r="IS175" s="39">
        <v>0</v>
      </c>
      <c r="IT175" s="39">
        <v>0</v>
      </c>
      <c r="IU175" s="39">
        <v>0</v>
      </c>
      <c r="IV175" s="39">
        <v>0</v>
      </c>
      <c r="IW175" s="39">
        <v>0</v>
      </c>
      <c r="IX175" s="39">
        <f>INDEX(Input!$1:$1048576,IX$93,$C175*2+6)+INDEX(Input!$1:$1048576,IX$94,$C175*2+6)</f>
        <v>1600</v>
      </c>
      <c r="IY175" s="39">
        <f>INDEX(Input!$1:$1048576,IY$93,$C175*2+6)+INDEX(Input!$1:$1048576,IY$94,$C175*2+6)</f>
        <v>2503.5492916397525</v>
      </c>
      <c r="IZ175" s="39">
        <f>INDEX(Input!$1:$1048576,IZ$93,$C175*2+6)+INDEX(Input!$1:$1048576,IZ$94,$C175*2+6)</f>
        <v>6273.7109265464023</v>
      </c>
      <c r="JA175" s="19">
        <f t="shared" si="590"/>
        <v>2500.0000000000005</v>
      </c>
      <c r="JB175" s="19">
        <f t="shared" si="591"/>
        <v>3691.2046610728326</v>
      </c>
      <c r="JC175" s="19">
        <f t="shared" si="592"/>
        <v>6598.7109265464014</v>
      </c>
      <c r="JD175" s="19">
        <f t="shared" si="593"/>
        <v>5406.974835246664</v>
      </c>
      <c r="JE175" s="21"/>
      <c r="JF175" s="1">
        <f t="shared" si="594"/>
        <v>7.6148954918618686E-2</v>
      </c>
      <c r="JG175" s="15">
        <f>INDEX(Input!$1:$1048576,JG$93,$C175*2+6)/(1+VLOOKUP(C175*1000+INDEX(Input!$1:$1048576,JG$93+1,$C175*2+6),$A:$KK,$JK$92,FALSE))</f>
        <v>978</v>
      </c>
      <c r="JH175" s="1">
        <f t="shared" si="595"/>
        <v>7.2349339495441783E-2</v>
      </c>
      <c r="JI175" s="1">
        <f t="shared" si="596"/>
        <v>4.9069748708204727E-2</v>
      </c>
      <c r="JJ175" s="1">
        <f t="shared" si="597"/>
        <v>0</v>
      </c>
      <c r="JK175" s="1">
        <f t="shared" si="598"/>
        <v>0.12141908820364651</v>
      </c>
      <c r="JL175" s="15">
        <f t="shared" si="599"/>
        <v>118.74786826316628</v>
      </c>
      <c r="JM175" s="15">
        <f t="shared" si="600"/>
        <v>1096.7478682631663</v>
      </c>
      <c r="JN175" s="21"/>
      <c r="JO175" s="19">
        <f>INDEX(Input!$1:$1048576,JO$93,$C175*2+6)</f>
        <v>5908.5</v>
      </c>
      <c r="JP175" s="19">
        <f>INDEX(Input!$1:$1048576,JP$93,$C175*2+6)</f>
        <v>4993.2939301234746</v>
      </c>
      <c r="JQ175" s="39">
        <f t="shared" si="601"/>
        <v>501.52516475333596</v>
      </c>
      <c r="JR175" s="39">
        <f t="shared" si="602"/>
        <v>413.6809051231894</v>
      </c>
      <c r="JS175" s="39">
        <f t="shared" si="603"/>
        <v>5.9300881243093642</v>
      </c>
      <c r="JT175" s="39">
        <f t="shared" si="604"/>
        <v>1.0466466606486058</v>
      </c>
      <c r="JU175" s="385">
        <f>(JQ175*JM175-INDEX(Input!$1:$1048576,Input!A$18,$C175*2+6)*JL175*INDEX(Input!$1:$1048576,Input!A$19,$C175*2+6))/1000000</f>
        <v>0.55004665532355457</v>
      </c>
      <c r="JV175" s="39">
        <f t="shared" si="605"/>
        <v>-0.34502488101568718</v>
      </c>
      <c r="JW175" s="1">
        <f t="shared" si="606"/>
        <v>-0.3854718500230791</v>
      </c>
      <c r="JX175" s="19">
        <f t="shared" si="607"/>
        <v>8814.0248406737846</v>
      </c>
      <c r="JZ175" s="341"/>
      <c r="KA175" s="342"/>
      <c r="KB175" s="469">
        <f t="shared" si="509"/>
        <v>3.2656316020464753</v>
      </c>
      <c r="KI175" s="473">
        <f t="shared" si="608"/>
        <v>44.375261738412092</v>
      </c>
      <c r="KJ175" s="473">
        <f t="shared" si="609"/>
        <v>28.478554874309424</v>
      </c>
      <c r="KK175" s="473">
        <f t="shared" si="610"/>
        <v>45.894051650444794</v>
      </c>
      <c r="KN175" s="544">
        <f t="shared" si="611"/>
        <v>1002</v>
      </c>
      <c r="KO175" s="541">
        <f t="shared" si="612"/>
        <v>3.6516441832850743E-2</v>
      </c>
      <c r="KP175" s="546">
        <f t="shared" si="613"/>
        <v>211.8906960980018</v>
      </c>
      <c r="KQ175" s="546">
        <f t="shared" si="614"/>
        <v>52.520935271223607</v>
      </c>
      <c r="KR175" s="548">
        <f t="shared" si="615"/>
        <v>2.4713955221075881</v>
      </c>
      <c r="KS175" s="548">
        <f t="shared" si="616"/>
        <v>9.9706091448790239</v>
      </c>
      <c r="KT175" s="473">
        <f t="shared" si="510"/>
        <v>-82.310573396665475</v>
      </c>
      <c r="KU175" s="663">
        <f t="shared" si="617"/>
        <v>-52.177193725658022</v>
      </c>
    </row>
    <row r="176" spans="1:308" s="26" customFormat="1" ht="15" outlineLevel="1">
      <c r="A176" s="561">
        <f t="shared" si="386"/>
        <v>1076</v>
      </c>
      <c r="B176" s="561">
        <f t="shared" si="508"/>
        <v>76</v>
      </c>
      <c r="C176" s="561">
        <f t="shared" si="105"/>
        <v>1</v>
      </c>
      <c r="D176" s="561" t="str">
        <f t="shared" si="376"/>
        <v xml:space="preserve">750 CC, 0/1.8/2.8/3.9, 1500 Combo, </v>
      </c>
      <c r="E176" s="475">
        <f>INDEX(Input!$1:$1048576,E$93,$C176*2+MIN($B176,2)+5)
+INDEX(Scenarios!E$121:E$200,MATCH($B176,Scenarios!$B$121:$B$200,0))</f>
        <v>2000</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1500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2.7999999999999997E-2</v>
      </c>
      <c r="W176" s="863">
        <f>IFERROR(MAX(0,INDEX(Input!$1:$1048576,W$93,$C176*2+MIN($B176,2)+5)-0%,),"Market")</f>
        <v>3.9E-2</v>
      </c>
      <c r="X176" s="476" t="str">
        <f>INDEX(Input!$1:$1048576,X$93,$C176*2+MIN($B176,2)+5)</f>
        <v>Y</v>
      </c>
      <c r="Y176" s="475">
        <f>INDEX(Input!$1:$1048576,Y$93,$C176*2+MIN($B176,2)+5)
++INDEX(Scenarios!Y$121:Y$200,MATCH($B176,Scenarios!$B$121:$B$200,0))</f>
        <v>2826</v>
      </c>
      <c r="Z176" s="477">
        <f>INDEX(Input!$1:$1048576,Z$93,$C176*2+MIN($B176,2)+5)
+INDEX(Scenarios!Z$121:Z$200,MATCH($B176,Scenarios!$B$121:$B$200,0))</f>
        <v>0</v>
      </c>
      <c r="AA176" s="475">
        <f>INDEX(Input!$1:$1048576,AA$93,$C176*2+MIN($B176,2)+5)</f>
        <v>0</v>
      </c>
      <c r="AB176" s="476">
        <f>INDEX(Input!$1:$1048576,AB$93,$C176*2+MIN($B176,2)+5)</f>
        <v>1</v>
      </c>
      <c r="AC176" s="475">
        <f>INDEX(Input!$1:$1048576,AC$93,$C176*2+MIN($B176,2)+5)
+INDEX(Scenarios!AC$121:AC$200,MATCH($B176,Scenarios!$B$121:$B$200,0))</f>
        <v>0</v>
      </c>
      <c r="AD176" s="476">
        <f>INDEX(Input!$1:$1048576,AD$93,$C176*2+MIN($B176,2)+5)</f>
        <v>0.35</v>
      </c>
      <c r="AE176" s="475">
        <f>INDEX(Input!$1:$1048576,AE$93,$C176*2+MIN($B176,2)+5)
+INDEX(Scenarios!AE$121:AE$200,MATCH($B176,Scenarios!$B$121:$B$200,0))</f>
        <v>0</v>
      </c>
      <c r="AF176" s="476">
        <f>INDEX(Input!$1:$1048576,AF$93,$C176*2+MIN($B176,2)+5)</f>
        <v>1</v>
      </c>
      <c r="AG176" s="475">
        <f>INDEX(Input!$1:$1048576,AG$93,$C176*2+MIN($B176,2)+5)
+INDEX(Scenarios!AG$121:AG$200,MATCH($B176,Scenarios!$B$121:$B$200,0))</f>
        <v>0</v>
      </c>
      <c r="AH176" s="476">
        <f>INDEX(Input!$1:$1048576,AH$93,$C176*2+MIN($B176,2)+5)</f>
        <v>1</v>
      </c>
      <c r="AI176" s="475">
        <f>INDEX(Input!$1:$1048576,AI$93,$C176*2+MIN($B176,2)+5)
+INDEX(Scenarios!AI$121:AI$200,MATCH($B176,Scenarios!$B$121:$B$200,0))</f>
        <v>0</v>
      </c>
      <c r="AJ176" s="476">
        <f>INDEX(Input!$1:$1048576,AJ$93,$C176*2+MIN($B176,2)+5)</f>
        <v>0.35</v>
      </c>
      <c r="AK176" s="150">
        <f>ROUND(INDEX(Input!$1:$1048576,AK$93,$C175*2+MIN($B176,1)+5)+(Y176-VLOOKUP($C176*1000+1,$A:$HH,Y$92,FALSE)),0)</f>
        <v>5482</v>
      </c>
      <c r="AL176" s="150">
        <f>ROUND(INDEX(Input!$1:$1048576,AL$93,$C175*2+MIN($B176,1)+5)-(Y176-VLOOKUP($C176*1000+1,$A:$HH,Y$92,FALSE))/36,0)</f>
        <v>5602</v>
      </c>
      <c r="AM176" s="32" t="str">
        <f t="shared" si="387"/>
        <v>std/std/std/std</v>
      </c>
      <c r="AN176" s="32" t="str">
        <f t="shared" si="388"/>
        <v>$1500 + 0/0/0/2.8/3.9</v>
      </c>
      <c r="AO176" s="32" t="str">
        <f t="shared" si="389"/>
        <v>0/0/0/2.8/3.9</v>
      </c>
      <c r="AP176" s="32" t="str">
        <f t="shared" si="493"/>
        <v>0/1.8/2.8/3.9</v>
      </c>
      <c r="AQ176" s="536">
        <f t="shared" si="492"/>
        <v>0.19359807148956798</v>
      </c>
      <c r="AR176" s="32"/>
      <c r="AS176" s="302"/>
      <c r="AT176" s="3">
        <f t="shared" si="106"/>
        <v>76</v>
      </c>
      <c r="AU176" s="41" t="s">
        <v>121</v>
      </c>
      <c r="AV176" s="41" t="s">
        <v>116</v>
      </c>
      <c r="AW176" s="41" t="str">
        <f>INDEX(Input!$1:$1048576,AW$93,$C176*2+6)</f>
        <v>Kia</v>
      </c>
      <c r="AX176" s="41" t="str">
        <f>INDEX(Input!$1:$1048576,AX$93,$C176*2+6)</f>
        <v>Kia-LR - L1</v>
      </c>
      <c r="AY176" s="41" t="str">
        <f>IF(LEN(D176)=0,"",INDEX(Input!$1:$1048576,AY$93,$C176*2+6))</f>
        <v>Compact Conventional/Sporty Car (43)</v>
      </c>
      <c r="AZ176" s="41" t="str">
        <f>INDEX(Input!$1:$1048576,AZ$93,$C176*2+6)</f>
        <v>Kia Forte</v>
      </c>
      <c r="BA176" s="3">
        <f>INDEX(Input!$1:$1048576,BA$93,$C176*2+6)</f>
        <v>2020</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19695</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94"/>
        <v>2756</v>
      </c>
      <c r="CJ176" s="16" t="str">
        <f>INDEX(Input!$1:$1048576,CJ$93,$C176*2+6)</f>
        <v>N</v>
      </c>
      <c r="CK176" s="1" t="str">
        <f t="shared" si="495"/>
        <v>Market</v>
      </c>
      <c r="CL176" s="1" t="str">
        <f t="shared" si="496"/>
        <v>Market</v>
      </c>
      <c r="CM176" s="1" t="str">
        <f t="shared" si="497"/>
        <v>Market</v>
      </c>
      <c r="CN176" s="1" t="str">
        <f t="shared" si="498"/>
        <v>Market</v>
      </c>
      <c r="CO176" s="1" t="str">
        <f t="shared" si="499"/>
        <v>Market</v>
      </c>
      <c r="CP176" s="304">
        <f t="shared" si="500"/>
        <v>1500</v>
      </c>
      <c r="CQ176" s="1">
        <f t="shared" si="501"/>
        <v>0</v>
      </c>
      <c r="CR176" s="1">
        <f t="shared" si="502"/>
        <v>0</v>
      </c>
      <c r="CS176" s="1">
        <f t="shared" si="503"/>
        <v>0</v>
      </c>
      <c r="CT176" s="1">
        <f t="shared" si="504"/>
        <v>2.7999999999999997E-2</v>
      </c>
      <c r="CU176" s="1">
        <f t="shared" si="505"/>
        <v>3.9E-2</v>
      </c>
      <c r="CV176" s="304">
        <f t="shared" si="506"/>
        <v>2826</v>
      </c>
      <c r="CW176" s="20" t="s">
        <v>122</v>
      </c>
      <c r="CX176" s="20" t="s">
        <v>122</v>
      </c>
      <c r="CY176" s="20" t="s">
        <v>122</v>
      </c>
      <c r="CZ176" s="20" t="s">
        <v>122</v>
      </c>
      <c r="DA176" s="20" t="s">
        <v>122</v>
      </c>
      <c r="DB176" s="503">
        <f t="shared" si="507"/>
        <v>0</v>
      </c>
      <c r="DC176" s="127">
        <v>0</v>
      </c>
      <c r="DD176" s="127">
        <v>0</v>
      </c>
      <c r="DE176" s="127">
        <v>0</v>
      </c>
      <c r="DF176" s="127">
        <v>0</v>
      </c>
      <c r="DG176" s="127">
        <v>0</v>
      </c>
      <c r="DH176" s="127">
        <v>0</v>
      </c>
      <c r="DI176" s="127">
        <v>0</v>
      </c>
      <c r="DJ176" s="127">
        <v>0</v>
      </c>
      <c r="DK176" s="127">
        <v>0</v>
      </c>
      <c r="DL176" s="127">
        <v>0</v>
      </c>
      <c r="DM176" s="304">
        <f>INDEX(Input!$1:$1048576,DM$93,$C176*2+6)</f>
        <v>20731.578947368424</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1.6696249481819952E-2</v>
      </c>
      <c r="DZ176" s="7">
        <v>0</v>
      </c>
      <c r="EA176" s="7">
        <v>0.25707368330906699</v>
      </c>
      <c r="EB176" s="7">
        <v>0</v>
      </c>
      <c r="EC176" s="7">
        <v>0</v>
      </c>
      <c r="ED176" s="7">
        <v>0</v>
      </c>
      <c r="EE176" s="7">
        <v>0</v>
      </c>
      <c r="EF176" s="7">
        <v>0</v>
      </c>
      <c r="EG176" s="7">
        <v>0</v>
      </c>
      <c r="EH176" s="7">
        <v>2.5430984664821906E-2</v>
      </c>
      <c r="EI176" s="7">
        <v>4.574255640258082E-2</v>
      </c>
      <c r="EJ176" s="7">
        <v>0.35974737959792091</v>
      </c>
      <c r="EK176" s="7">
        <v>0.51370976624829601</v>
      </c>
      <c r="EL176" s="7">
        <v>5.5369313086380788E-2</v>
      </c>
      <c r="EM176" s="7">
        <v>1.5996728937150616E-2</v>
      </c>
      <c r="EN176" s="7">
        <v>5.6686594175933754E-2</v>
      </c>
      <c r="EO176" s="7">
        <v>0.54216995014193581</v>
      </c>
      <c r="EP176" s="7">
        <v>0.3117315538121922</v>
      </c>
      <c r="EQ176" s="7">
        <v>5.1954312326603483E-2</v>
      </c>
      <c r="ER176" s="7">
        <v>3.7457589543334724E-2</v>
      </c>
      <c r="ES176" s="7">
        <v>0.71023333827196233</v>
      </c>
      <c r="ET176" s="7">
        <v>0.72623006720911309</v>
      </c>
      <c r="EU176" s="6">
        <v>2350</v>
      </c>
      <c r="EV176" s="6">
        <v>0</v>
      </c>
      <c r="EW176" s="6">
        <v>2350</v>
      </c>
      <c r="EX176" s="6">
        <v>0</v>
      </c>
      <c r="EY176" s="6">
        <v>3919.2056457463973</v>
      </c>
      <c r="EZ176" s="6">
        <v>4822.9999999999991</v>
      </c>
      <c r="FA176" s="6">
        <v>0</v>
      </c>
      <c r="FB176" s="6">
        <v>0</v>
      </c>
      <c r="FC176" s="6">
        <v>0</v>
      </c>
      <c r="FD176" s="6">
        <v>0</v>
      </c>
      <c r="FE176" s="6">
        <v>0</v>
      </c>
      <c r="FF176" s="6">
        <v>0</v>
      </c>
      <c r="FG176" s="6">
        <v>0</v>
      </c>
      <c r="FH176" s="6">
        <v>1152.1208270377822</v>
      </c>
      <c r="FI176" s="6">
        <v>1531.4299904380623</v>
      </c>
      <c r="FJ176" s="6">
        <v>2070.7205842538219</v>
      </c>
      <c r="FK176" s="6">
        <v>1314.7946049255015</v>
      </c>
      <c r="FL176" s="6">
        <v>893.91433563489352</v>
      </c>
      <c r="FM176" s="6">
        <v>1569.2056457463973</v>
      </c>
      <c r="FN176" s="6">
        <v>0</v>
      </c>
      <c r="FO176" s="6">
        <v>0</v>
      </c>
      <c r="FP176" s="6">
        <v>0</v>
      </c>
      <c r="FQ176" s="6">
        <v>0</v>
      </c>
      <c r="FR176" s="6">
        <v>0</v>
      </c>
      <c r="FS176" s="6">
        <v>0</v>
      </c>
      <c r="FT176" s="7">
        <v>0.27376993279088696</v>
      </c>
      <c r="FU176" s="7">
        <v>1.5996728937150616E-2</v>
      </c>
      <c r="FV176" s="7">
        <v>0.71023333827196233</v>
      </c>
      <c r="FW176" s="6">
        <v>2349.9999999999995</v>
      </c>
      <c r="FX176" s="6">
        <v>3919.2056457463973</v>
      </c>
      <c r="FY176" s="6">
        <v>4822.9999999999991</v>
      </c>
      <c r="FZ176" s="6">
        <v>3077.4375890575293</v>
      </c>
      <c r="GA176" s="6">
        <v>4131.5092029082134</v>
      </c>
      <c r="GB176" s="6">
        <v>15563.490797091787</v>
      </c>
      <c r="GC176" s="7">
        <v>7.0901643973087014E-2</v>
      </c>
      <c r="GD176" s="7">
        <v>8.2438312909838538E-2</v>
      </c>
      <c r="GE176" s="7"/>
      <c r="GF176" s="7"/>
      <c r="GG176" s="7">
        <v>0.16271370154873468</v>
      </c>
      <c r="GH176" s="42">
        <v>3.0402548649377517</v>
      </c>
      <c r="GI176" s="6">
        <v>10609.584520584995</v>
      </c>
      <c r="GJ176" s="14">
        <v>0.51074630601039561</v>
      </c>
      <c r="GK176" s="14">
        <v>0.50829519786160982</v>
      </c>
      <c r="GL176" s="14">
        <v>0.48925369398960439</v>
      </c>
      <c r="GM176" s="14">
        <v>0.4917048021383903</v>
      </c>
      <c r="GO176" s="5">
        <v>338.16872463277008</v>
      </c>
      <c r="GP176" s="5">
        <v>293.33520778489498</v>
      </c>
      <c r="GQ176" s="5">
        <v>527.27910984145694</v>
      </c>
      <c r="GR176" s="5">
        <v>404.20319246551543</v>
      </c>
      <c r="GS176" s="5">
        <v>334.50205195691484</v>
      </c>
      <c r="GT176" s="5">
        <v>289.18266033348181</v>
      </c>
      <c r="GU176" s="5">
        <v>254.29573314828914</v>
      </c>
      <c r="GV176" s="39" t="s">
        <v>392</v>
      </c>
      <c r="GW176" s="5">
        <v>427.09722222222223</v>
      </c>
      <c r="GX176" s="5">
        <v>320.32291666666669</v>
      </c>
      <c r="GY176" s="5">
        <v>256.25833333333333</v>
      </c>
      <c r="GZ176" s="5">
        <v>232.23718369803106</v>
      </c>
      <c r="HA176" s="5">
        <v>209.45771593376008</v>
      </c>
      <c r="HB176" s="39">
        <v>248.60219511175544</v>
      </c>
      <c r="HC176" s="5">
        <v>72.109375000000014</v>
      </c>
      <c r="HD176" s="5">
        <v>92.305464181286524</v>
      </c>
      <c r="HE176" s="5">
        <v>103.7516995614035</v>
      </c>
      <c r="HF176" s="5">
        <v>106.17129934210527</v>
      </c>
      <c r="HG176" s="5">
        <v>115.13410087719299</v>
      </c>
      <c r="HH176" s="39">
        <v>96.304265044073475</v>
      </c>
      <c r="HI176" s="16"/>
      <c r="HJ176" s="19" t="str">
        <f t="shared" ref="HJ176:HK176" si="620">HJ175</f>
        <v>On</v>
      </c>
      <c r="HK176" s="1" t="str">
        <f t="shared" si="620"/>
        <v>On</v>
      </c>
      <c r="HL176" s="16"/>
      <c r="HM176" s="639">
        <f t="shared" si="567"/>
        <v>1.7699001661282989E-2</v>
      </c>
      <c r="HN176" s="639">
        <f t="shared" si="568"/>
        <v>1.0509929974846072E-3</v>
      </c>
      <c r="HO176" s="639">
        <f t="shared" si="569"/>
        <v>5.7398960259851091E-2</v>
      </c>
      <c r="HP176" s="644">
        <f>(FT176*$GD176-HM176)/$JF176*INDEX(Input!$1:$1048576,$JG$93,$C176*2+6)</f>
        <v>62.548289396909659</v>
      </c>
      <c r="HQ176" s="644">
        <f>(FU176*$GD176-HN176)/$JF176*INDEX(Input!$1:$1048576,$JG$93,$C176*2+6)</f>
        <v>3.4387844296772694</v>
      </c>
      <c r="HR176" s="644">
        <f>(FV176*$GD176-HO176)/$JF176*INDEX(Input!$1:$1048576,$JG$93,$C176*2+6)</f>
        <v>14.788717804258765</v>
      </c>
      <c r="HS176" s="644">
        <f t="shared" si="570"/>
        <v>-0.5872182678006731</v>
      </c>
      <c r="HT176" s="644">
        <f t="shared" si="571"/>
        <v>39.559974606938127</v>
      </c>
      <c r="HU176" s="644">
        <f t="shared" si="572"/>
        <v>22.92930517071726</v>
      </c>
      <c r="HV176" s="648">
        <f t="shared" si="573"/>
        <v>0</v>
      </c>
      <c r="HW176" s="648">
        <f t="shared" si="574"/>
        <v>0</v>
      </c>
      <c r="HX176" s="648">
        <f t="shared" si="575"/>
        <v>0</v>
      </c>
      <c r="HY176" s="644">
        <f>INDEX(Input!$1:$1048576,HY$93,$C176*2+6)*INDEX(Input!$1:$1048576,$JG$93,$C176*2+6)</f>
        <v>154.99999999999997</v>
      </c>
      <c r="HZ176" s="644">
        <f>INDEX(Input!$1:$1048576,HZ$93,$C176*2+6)*INDEX(Input!$1:$1048576,$JG$93,$C176*2+6)</f>
        <v>140</v>
      </c>
      <c r="IA176" s="644">
        <f>INDEX(Input!$1:$1048576,IA$93,$C176*2+6)*INDEX(Input!$1:$1048576,$JG$93,$C176*2+6)</f>
        <v>683</v>
      </c>
      <c r="IB176" s="644">
        <f t="shared" si="576"/>
        <v>216.96107112910886</v>
      </c>
      <c r="IC176" s="644">
        <f t="shared" si="577"/>
        <v>182.99875903661541</v>
      </c>
      <c r="ID176" s="644">
        <f>IF(AND(INDEX(Input!$1:$1048576,IA$93,$C176*2+7)="TOS",Y176&lt;=INDEX(Y:Y,MATCH(C176*1000+2,A:A))),0,1)*MAX(IA176+HR176+HU176+HX176,0%)</f>
        <v>720.71802297497607</v>
      </c>
      <c r="IE176" s="128">
        <f t="shared" si="578"/>
        <v>0.19359807148956798</v>
      </c>
      <c r="IF176" s="128">
        <f t="shared" si="579"/>
        <v>0.16329292001600754</v>
      </c>
      <c r="IG176" s="128">
        <f t="shared" si="580"/>
        <v>0.64310900849442454</v>
      </c>
      <c r="IH176" s="21"/>
      <c r="II176" s="19">
        <f t="shared" si="581"/>
        <v>1200</v>
      </c>
      <c r="IJ176" s="19">
        <f t="shared" si="582"/>
        <v>2231.5502763133163</v>
      </c>
      <c r="IK176" s="19">
        <f t="shared" si="583"/>
        <v>4498</v>
      </c>
      <c r="IL176" s="19">
        <f t="shared" si="584"/>
        <v>1149.9999999999995</v>
      </c>
      <c r="IM176" s="19">
        <f t="shared" si="585"/>
        <v>1687.655369433081</v>
      </c>
      <c r="IN176" s="19">
        <f t="shared" si="586"/>
        <v>324.99999999999909</v>
      </c>
      <c r="IO176" s="39">
        <f t="shared" si="587"/>
        <v>0</v>
      </c>
      <c r="IP176" s="39">
        <f t="shared" si="588"/>
        <v>0</v>
      </c>
      <c r="IQ176" s="39">
        <f t="shared" si="589"/>
        <v>0</v>
      </c>
      <c r="IR176" s="39">
        <v>0</v>
      </c>
      <c r="IS176" s="39">
        <v>0</v>
      </c>
      <c r="IT176" s="39">
        <v>0</v>
      </c>
      <c r="IU176" s="39">
        <v>0</v>
      </c>
      <c r="IV176" s="39">
        <v>0</v>
      </c>
      <c r="IW176" s="39">
        <v>0</v>
      </c>
      <c r="IX176" s="39">
        <f>INDEX(Input!$1:$1048576,IX$93,$C176*2+6)+INDEX(Input!$1:$1048576,IX$94,$C176*2+6)</f>
        <v>1600</v>
      </c>
      <c r="IY176" s="39">
        <f>INDEX(Input!$1:$1048576,IY$93,$C176*2+6)+INDEX(Input!$1:$1048576,IY$94,$C176*2+6)</f>
        <v>2503.5492916397525</v>
      </c>
      <c r="IZ176" s="39">
        <f>INDEX(Input!$1:$1048576,IZ$93,$C176*2+6)+INDEX(Input!$1:$1048576,IZ$94,$C176*2+6)</f>
        <v>6273.7109265464023</v>
      </c>
      <c r="JA176" s="19">
        <f t="shared" si="590"/>
        <v>2749.9999999999995</v>
      </c>
      <c r="JB176" s="19">
        <f t="shared" si="591"/>
        <v>4191.2046610728339</v>
      </c>
      <c r="JC176" s="19">
        <f t="shared" si="592"/>
        <v>6598.7109265464014</v>
      </c>
      <c r="JD176" s="19">
        <f t="shared" si="593"/>
        <v>5460.4791854001778</v>
      </c>
      <c r="JE176" s="21"/>
      <c r="JF176" s="1">
        <f t="shared" si="594"/>
        <v>7.6148954918618686E-2</v>
      </c>
      <c r="JG176" s="15">
        <f>INDEX(Input!$1:$1048576,JG$93,$C176*2+6)/(1+VLOOKUP(C176*1000+INDEX(Input!$1:$1048576,JG$93+1,$C176*2+6),$A:$KK,$JK$92,FALSE))</f>
        <v>978</v>
      </c>
      <c r="JH176" s="1">
        <f t="shared" si="595"/>
        <v>8.259283397836982E-2</v>
      </c>
      <c r="JI176" s="1">
        <f t="shared" si="596"/>
        <v>6.3294541421119344E-2</v>
      </c>
      <c r="JJ176" s="1">
        <f t="shared" si="597"/>
        <v>0</v>
      </c>
      <c r="JK176" s="1">
        <f t="shared" si="598"/>
        <v>0.14588737539948915</v>
      </c>
      <c r="JL176" s="15">
        <f t="shared" si="599"/>
        <v>142.67785314070039</v>
      </c>
      <c r="JM176" s="15">
        <f t="shared" si="600"/>
        <v>1120.6778531407003</v>
      </c>
      <c r="JN176" s="21"/>
      <c r="JO176" s="19">
        <f>INDEX(Input!$1:$1048576,JO$93,$C176*2+6)</f>
        <v>5908.5</v>
      </c>
      <c r="JP176" s="19">
        <f>INDEX(Input!$1:$1048576,JP$93,$C176*2+6)</f>
        <v>4993.2939301234746</v>
      </c>
      <c r="JQ176" s="39">
        <f t="shared" si="601"/>
        <v>448.02081459982219</v>
      </c>
      <c r="JR176" s="39">
        <f t="shared" si="602"/>
        <v>467.18525527670317</v>
      </c>
      <c r="JS176" s="39">
        <f t="shared" si="603"/>
        <v>6.1194380906137518</v>
      </c>
      <c r="JT176" s="39">
        <f t="shared" si="604"/>
        <v>1.2359966269529936</v>
      </c>
      <c r="JU176" s="385">
        <f>(JQ176*JM176-INDEX(Input!$1:$1048576,Input!A$18,$C176*2+6)*JL176*INDEX(Input!$1:$1048576,Input!A$19,$C176*2+6))/1000000</f>
        <v>0.50208700466807643</v>
      </c>
      <c r="JV176" s="39">
        <f t="shared" si="605"/>
        <v>-0.39298453167116532</v>
      </c>
      <c r="JW176" s="1">
        <f t="shared" si="606"/>
        <v>-0.43905376913049321</v>
      </c>
      <c r="JX176" s="19">
        <f t="shared" si="607"/>
        <v>8662.8485062368254</v>
      </c>
      <c r="JZ176" s="341"/>
      <c r="KA176" s="342"/>
      <c r="KB176" s="469">
        <f t="shared" si="509"/>
        <v>3.2656316020464753</v>
      </c>
      <c r="KI176" s="473">
        <f t="shared" si="608"/>
        <v>61.961071129108888</v>
      </c>
      <c r="KJ176" s="473">
        <f t="shared" si="609"/>
        <v>42.998759036615411</v>
      </c>
      <c r="KK176" s="473">
        <f t="shared" si="610"/>
        <v>37.718022974976066</v>
      </c>
      <c r="KN176" s="544">
        <f t="shared" si="611"/>
        <v>1002</v>
      </c>
      <c r="KO176" s="541">
        <f t="shared" si="612"/>
        <v>5.9132234847935727E-2</v>
      </c>
      <c r="KP176" s="546">
        <f t="shared" si="613"/>
        <v>355.46355886619472</v>
      </c>
      <c r="KQ176" s="546">
        <f t="shared" si="614"/>
        <v>106.02528542473738</v>
      </c>
      <c r="KR176" s="548">
        <f t="shared" si="615"/>
        <v>2.3855850161943182</v>
      </c>
      <c r="KS176" s="548">
        <f t="shared" si="616"/>
        <v>7.9979840321792892</v>
      </c>
      <c r="KT176" s="473">
        <f t="shared" si="510"/>
        <v>-82.310573396665475</v>
      </c>
      <c r="KU176" s="663">
        <f t="shared" si="617"/>
        <v>-52.714540486866454</v>
      </c>
    </row>
    <row r="177" spans="1:307" s="26" customFormat="1" ht="15" outlineLevel="1">
      <c r="A177" s="561">
        <f t="shared" si="386"/>
        <v>1077</v>
      </c>
      <c r="B177" s="561">
        <f t="shared" si="508"/>
        <v>77</v>
      </c>
      <c r="C177" s="561">
        <f t="shared" si="105"/>
        <v>1</v>
      </c>
      <c r="D177" s="561" t="str">
        <f t="shared" si="376"/>
        <v xml:space="preserve">1000 CC, 0/1.8/2.8/3.9, 2000 Combo, </v>
      </c>
      <c r="E177" s="475">
        <f>INDEX(Input!$1:$1048576,E$93,$C177*2+MIN($B177,2)+5)
+INDEX(Scenarios!E$121:E$200,MATCH($B177,Scenarios!$B$121:$B$200,0))</f>
        <v>2250</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2000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2.7999999999999997E-2</v>
      </c>
      <c r="W177" s="863">
        <f>IFERROR(MAX(0,INDEX(Input!$1:$1048576,W$93,$C177*2+MIN($B177,2)+5)-0%,),"Market")</f>
        <v>3.9E-2</v>
      </c>
      <c r="X177" s="476" t="str">
        <f>INDEX(Input!$1:$1048576,X$93,$C177*2+MIN($B177,2)+5)</f>
        <v>Y</v>
      </c>
      <c r="Y177" s="475">
        <f>INDEX(Input!$1:$1048576,Y$93,$C177*2+MIN($B177,2)+5)
++INDEX(Scenarios!Y$121:Y$200,MATCH($B177,Scenarios!$B$121:$B$200,0))</f>
        <v>2826</v>
      </c>
      <c r="Z177" s="477">
        <f>INDEX(Input!$1:$1048576,Z$93,$C177*2+MIN($B177,2)+5)
+INDEX(Scenarios!Z$121:Z$200,MATCH($B177,Scenarios!$B$121:$B$200,0))</f>
        <v>0</v>
      </c>
      <c r="AA177" s="475">
        <f>INDEX(Input!$1:$1048576,AA$93,$C177*2+MIN($B177,2)+5)</f>
        <v>0</v>
      </c>
      <c r="AB177" s="476">
        <f>INDEX(Input!$1:$1048576,AB$93,$C177*2+MIN($B177,2)+5)</f>
        <v>1</v>
      </c>
      <c r="AC177" s="475">
        <f>INDEX(Input!$1:$1048576,AC$93,$C177*2+MIN($B177,2)+5)
+INDEX(Scenarios!AC$121:AC$200,MATCH($B177,Scenarios!$B$121:$B$200,0))</f>
        <v>0</v>
      </c>
      <c r="AD177" s="476">
        <f>INDEX(Input!$1:$1048576,AD$93,$C177*2+MIN($B177,2)+5)</f>
        <v>0.35</v>
      </c>
      <c r="AE177" s="475">
        <f>INDEX(Input!$1:$1048576,AE$93,$C177*2+MIN($B177,2)+5)
+INDEX(Scenarios!AE$121:AE$200,MATCH($B177,Scenarios!$B$121:$B$200,0))</f>
        <v>0</v>
      </c>
      <c r="AF177" s="476">
        <f>INDEX(Input!$1:$1048576,AF$93,$C177*2+MIN($B177,2)+5)</f>
        <v>1</v>
      </c>
      <c r="AG177" s="475">
        <f>INDEX(Input!$1:$1048576,AG$93,$C177*2+MIN($B177,2)+5)
+INDEX(Scenarios!AG$121:AG$200,MATCH($B177,Scenarios!$B$121:$B$200,0))</f>
        <v>0</v>
      </c>
      <c r="AH177" s="476">
        <f>INDEX(Input!$1:$1048576,AH$93,$C177*2+MIN($B177,2)+5)</f>
        <v>1</v>
      </c>
      <c r="AI177" s="475">
        <f>INDEX(Input!$1:$1048576,AI$93,$C177*2+MIN($B177,2)+5)
+INDEX(Scenarios!AI$121:AI$200,MATCH($B177,Scenarios!$B$121:$B$200,0))</f>
        <v>0</v>
      </c>
      <c r="AJ177" s="476">
        <f>INDEX(Input!$1:$1048576,AJ$93,$C177*2+MIN($B177,2)+5)</f>
        <v>0.35</v>
      </c>
      <c r="AK177" s="150">
        <f>ROUND(INDEX(Input!$1:$1048576,AK$93,$C176*2+MIN($B177,1)+5)+(Y177-VLOOKUP($C177*1000+1,$A:$HH,Y$92,FALSE)),0)</f>
        <v>5482</v>
      </c>
      <c r="AL177" s="150">
        <f>ROUND(INDEX(Input!$1:$1048576,AL$93,$C176*2+MIN($B177,1)+5)-(Y177-VLOOKUP($C177*1000+1,$A:$HH,Y$92,FALSE))/36,0)</f>
        <v>5602</v>
      </c>
      <c r="AM177" s="32" t="str">
        <f t="shared" si="387"/>
        <v>std/std/std/std</v>
      </c>
      <c r="AN177" s="32" t="str">
        <f t="shared" si="388"/>
        <v>$2000 + 0/0/0/2.8/3.9</v>
      </c>
      <c r="AO177" s="32" t="str">
        <f t="shared" si="389"/>
        <v>0/0/0/2.8/3.9</v>
      </c>
      <c r="AP177" s="32" t="str">
        <f t="shared" si="493"/>
        <v>0/1.8/2.8/3.9</v>
      </c>
      <c r="AQ177" s="536">
        <f t="shared" si="492"/>
        <v>0.19383008091318601</v>
      </c>
      <c r="AR177" s="32"/>
      <c r="AS177" s="302"/>
      <c r="AT177" s="3">
        <f t="shared" si="106"/>
        <v>77</v>
      </c>
      <c r="AU177" s="41" t="s">
        <v>121</v>
      </c>
      <c r="AV177" s="41" t="s">
        <v>116</v>
      </c>
      <c r="AW177" s="41" t="str">
        <f>INDEX(Input!$1:$1048576,AW$93,$C177*2+6)</f>
        <v>Kia</v>
      </c>
      <c r="AX177" s="41" t="str">
        <f>INDEX(Input!$1:$1048576,AX$93,$C177*2+6)</f>
        <v>Kia-LR - L1</v>
      </c>
      <c r="AY177" s="41" t="str">
        <f>IF(LEN(D177)=0,"",INDEX(Input!$1:$1048576,AY$93,$C177*2+6))</f>
        <v>Compact Conventional/Sporty Car (43)</v>
      </c>
      <c r="AZ177" s="41" t="str">
        <f>INDEX(Input!$1:$1048576,AZ$93,$C177*2+6)</f>
        <v>Kia Forte</v>
      </c>
      <c r="BA177" s="3">
        <f>INDEX(Input!$1:$1048576,BA$93,$C177*2+6)</f>
        <v>2020</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19695</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94"/>
        <v>14022</v>
      </c>
      <c r="CJ177" s="16" t="str">
        <f>INDEX(Input!$1:$1048576,CJ$93,$C177*2+6)</f>
        <v>N</v>
      </c>
      <c r="CK177" s="1" t="str">
        <f t="shared" si="495"/>
        <v>Market</v>
      </c>
      <c r="CL177" s="1" t="str">
        <f t="shared" si="496"/>
        <v>Market</v>
      </c>
      <c r="CM177" s="1" t="str">
        <f t="shared" si="497"/>
        <v>Market</v>
      </c>
      <c r="CN177" s="1" t="str">
        <f t="shared" si="498"/>
        <v>Market</v>
      </c>
      <c r="CO177" s="1" t="str">
        <f t="shared" si="499"/>
        <v>Market</v>
      </c>
      <c r="CP177" s="304">
        <f t="shared" si="500"/>
        <v>2000</v>
      </c>
      <c r="CQ177" s="1">
        <f t="shared" si="501"/>
        <v>0</v>
      </c>
      <c r="CR177" s="1">
        <f t="shared" si="502"/>
        <v>0</v>
      </c>
      <c r="CS177" s="1">
        <f t="shared" si="503"/>
        <v>0</v>
      </c>
      <c r="CT177" s="1">
        <f t="shared" si="504"/>
        <v>2.7999999999999997E-2</v>
      </c>
      <c r="CU177" s="1">
        <f t="shared" si="505"/>
        <v>3.9E-2</v>
      </c>
      <c r="CV177" s="304">
        <f t="shared" si="506"/>
        <v>2826</v>
      </c>
      <c r="CW177" s="20" t="s">
        <v>122</v>
      </c>
      <c r="CX177" s="20" t="s">
        <v>122</v>
      </c>
      <c r="CY177" s="20" t="s">
        <v>122</v>
      </c>
      <c r="CZ177" s="20" t="s">
        <v>122</v>
      </c>
      <c r="DA177" s="20" t="s">
        <v>122</v>
      </c>
      <c r="DB177" s="503">
        <f t="shared" si="507"/>
        <v>0</v>
      </c>
      <c r="DC177" s="127">
        <v>0</v>
      </c>
      <c r="DD177" s="127">
        <v>0</v>
      </c>
      <c r="DE177" s="127">
        <v>0</v>
      </c>
      <c r="DF177" s="127">
        <v>0</v>
      </c>
      <c r="DG177" s="127">
        <v>0</v>
      </c>
      <c r="DH177" s="127">
        <v>0</v>
      </c>
      <c r="DI177" s="127">
        <v>0</v>
      </c>
      <c r="DJ177" s="127">
        <v>0</v>
      </c>
      <c r="DK177" s="127">
        <v>0</v>
      </c>
      <c r="DL177" s="127">
        <v>0</v>
      </c>
      <c r="DM177" s="304">
        <f>INDEX(Input!$1:$1048576,DM$93,$C177*2+6)</f>
        <v>20731.578947368424</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1.7488488825156138E-2</v>
      </c>
      <c r="DZ177" s="7">
        <v>0</v>
      </c>
      <c r="EA177" s="7">
        <v>0.25736295324146896</v>
      </c>
      <c r="EB177" s="7">
        <v>0</v>
      </c>
      <c r="EC177" s="7">
        <v>0</v>
      </c>
      <c r="ED177" s="7">
        <v>0</v>
      </c>
      <c r="EE177" s="7">
        <v>0</v>
      </c>
      <c r="EF177" s="7">
        <v>0</v>
      </c>
      <c r="EG177" s="7">
        <v>0</v>
      </c>
      <c r="EH177" s="7">
        <v>2.7710008972894218E-2</v>
      </c>
      <c r="EI177" s="7">
        <v>4.1458851415795799E-2</v>
      </c>
      <c r="EJ177" s="7">
        <v>0.26426413644957197</v>
      </c>
      <c r="EK177" s="7">
        <v>0.48911232129391907</v>
      </c>
      <c r="EL177" s="7">
        <v>0.17745468186781885</v>
      </c>
      <c r="EM177" s="7">
        <v>3.9358841861302223E-2</v>
      </c>
      <c r="EN177" s="7">
        <v>5.6686594175933754E-2</v>
      </c>
      <c r="EO177" s="7">
        <v>0.54216995014193592</v>
      </c>
      <c r="EP177" s="7">
        <v>0.31173155381219214</v>
      </c>
      <c r="EQ177" s="7">
        <v>5.195431232660349E-2</v>
      </c>
      <c r="ER177" s="7">
        <v>3.7457589543334738E-2</v>
      </c>
      <c r="ES177" s="7">
        <v>0.68578971607207273</v>
      </c>
      <c r="ET177" s="7">
        <v>0.72514855793337496</v>
      </c>
      <c r="EU177" s="6">
        <v>2600</v>
      </c>
      <c r="EV177" s="6">
        <v>0</v>
      </c>
      <c r="EW177" s="6">
        <v>2600</v>
      </c>
      <c r="EX177" s="6">
        <v>0</v>
      </c>
      <c r="EY177" s="6">
        <v>4294.22376767688</v>
      </c>
      <c r="EZ177" s="6">
        <v>4822.9999999999991</v>
      </c>
      <c r="FA177" s="6">
        <v>0</v>
      </c>
      <c r="FB177" s="6">
        <v>0</v>
      </c>
      <c r="FC177" s="6">
        <v>0</v>
      </c>
      <c r="FD177" s="6">
        <v>0</v>
      </c>
      <c r="FE177" s="6">
        <v>0</v>
      </c>
      <c r="FF177" s="6">
        <v>0</v>
      </c>
      <c r="FG177" s="6">
        <v>0</v>
      </c>
      <c r="FH177" s="6">
        <v>1147.7342705853866</v>
      </c>
      <c r="FI177" s="6">
        <v>1531.4299904380618</v>
      </c>
      <c r="FJ177" s="6">
        <v>2070.7205842538224</v>
      </c>
      <c r="FK177" s="6">
        <v>1314.7946049255017</v>
      </c>
      <c r="FL177" s="6">
        <v>893.91433563489363</v>
      </c>
      <c r="FM177" s="6">
        <v>1444.22376767688</v>
      </c>
      <c r="FN177" s="6">
        <v>0</v>
      </c>
      <c r="FO177" s="6">
        <v>0</v>
      </c>
      <c r="FP177" s="6">
        <v>0</v>
      </c>
      <c r="FQ177" s="6">
        <v>0</v>
      </c>
      <c r="FR177" s="6">
        <v>0</v>
      </c>
      <c r="FS177" s="6">
        <v>0</v>
      </c>
      <c r="FT177" s="7">
        <v>0.2748514420666251</v>
      </c>
      <c r="FU177" s="7">
        <v>3.9358841861302223E-2</v>
      </c>
      <c r="FV177" s="7">
        <v>0.68578971607207273</v>
      </c>
      <c r="FW177" s="6">
        <v>2600</v>
      </c>
      <c r="FX177" s="6">
        <v>4294.22376767688</v>
      </c>
      <c r="FY177" s="6">
        <v>4822.9999999999991</v>
      </c>
      <c r="FZ177" s="6">
        <v>3077.4375890575293</v>
      </c>
      <c r="GA177" s="6">
        <v>4191.1932241778704</v>
      </c>
      <c r="GB177" s="6">
        <v>15503.80677582213</v>
      </c>
      <c r="GC177" s="7">
        <v>7.0901643973087014E-2</v>
      </c>
      <c r="GD177" s="7">
        <v>8.3656788021272285E-2</v>
      </c>
      <c r="GE177" s="7"/>
      <c r="GF177" s="7"/>
      <c r="GG177" s="7">
        <v>0.17989912974411276</v>
      </c>
      <c r="GH177" s="42">
        <v>3.1812304679629908</v>
      </c>
      <c r="GI177" s="6">
        <v>10382.193907196957</v>
      </c>
      <c r="GJ177" s="14">
        <v>0.51074630601039539</v>
      </c>
      <c r="GK177" s="14">
        <v>0.50829519786160959</v>
      </c>
      <c r="GL177" s="14">
        <v>0.48925369398960405</v>
      </c>
      <c r="GM177" s="14">
        <v>0.49170480213839018</v>
      </c>
      <c r="GO177" s="5">
        <v>338.16872463277008</v>
      </c>
      <c r="GP177" s="5">
        <v>288.56568471597211</v>
      </c>
      <c r="GQ177" s="5">
        <v>527.27910984145694</v>
      </c>
      <c r="GR177" s="5">
        <v>404.20319246551543</v>
      </c>
      <c r="GS177" s="5">
        <v>334.50205195691484</v>
      </c>
      <c r="GT177" s="5">
        <v>289.18266033348181</v>
      </c>
      <c r="GU177" s="5">
        <v>254.29573314828914</v>
      </c>
      <c r="GV177" s="39" t="s">
        <v>392</v>
      </c>
      <c r="GW177" s="5">
        <v>413.20833333333331</v>
      </c>
      <c r="GX177" s="5">
        <v>309.90625</v>
      </c>
      <c r="GY177" s="5">
        <v>247.92500000000001</v>
      </c>
      <c r="GZ177" s="5">
        <v>224.68500055933538</v>
      </c>
      <c r="HA177" s="5">
        <v>202.64630440458183</v>
      </c>
      <c r="HB177" s="39">
        <v>235.6727874884842</v>
      </c>
      <c r="HC177" s="5">
        <v>72.109375000000014</v>
      </c>
      <c r="HD177" s="5">
        <v>92.305464181286524</v>
      </c>
      <c r="HE177" s="5">
        <v>103.7516995614035</v>
      </c>
      <c r="HF177" s="5">
        <v>106.17129934210527</v>
      </c>
      <c r="HG177" s="5">
        <v>115.13410087719299</v>
      </c>
      <c r="HH177" s="39">
        <v>96.304265044073475</v>
      </c>
      <c r="HI177" s="16"/>
      <c r="HJ177" s="19" t="str">
        <f t="shared" ref="HJ177:HK177" si="621">HJ176</f>
        <v>On</v>
      </c>
      <c r="HK177" s="1" t="str">
        <f t="shared" si="621"/>
        <v>On</v>
      </c>
      <c r="HL177" s="16"/>
      <c r="HM177" s="639">
        <f t="shared" si="567"/>
        <v>1.7699001661282989E-2</v>
      </c>
      <c r="HN177" s="639">
        <f t="shared" si="568"/>
        <v>1.0509929974846072E-3</v>
      </c>
      <c r="HO177" s="639">
        <f t="shared" si="569"/>
        <v>5.7398960259851091E-2</v>
      </c>
      <c r="HP177" s="644">
        <f>(FT177*$GD177-HM177)/$JF177*INDEX(Input!$1:$1048576,$JG$93,$C177*2+6)</f>
        <v>67.994564770174293</v>
      </c>
      <c r="HQ177" s="644">
        <f>(FU177*$GD177-HN177)/$JF177*INDEX(Input!$1:$1048576,$JG$93,$C177*2+6)</f>
        <v>28.789957613587404</v>
      </c>
      <c r="HR177" s="644">
        <f>(FV177*$GD177-HO177)/$JF177*INDEX(Input!$1:$1048576,$JG$93,$C177*2+6)</f>
        <v>-0.35955132220984531</v>
      </c>
      <c r="HS177" s="644">
        <f t="shared" si="570"/>
        <v>-0.7177055082304864</v>
      </c>
      <c r="HT177" s="644">
        <f t="shared" si="571"/>
        <v>48.386357130514412</v>
      </c>
      <c r="HU177" s="644">
        <f t="shared" si="572"/>
        <v>24.667799561551995</v>
      </c>
      <c r="HV177" s="648">
        <f t="shared" si="573"/>
        <v>0</v>
      </c>
      <c r="HW177" s="648">
        <f t="shared" si="574"/>
        <v>0</v>
      </c>
      <c r="HX177" s="648">
        <f t="shared" si="575"/>
        <v>0</v>
      </c>
      <c r="HY177" s="644">
        <f>INDEX(Input!$1:$1048576,HY$93,$C177*2+6)*INDEX(Input!$1:$1048576,$JG$93,$C177*2+6)</f>
        <v>154.99999999999997</v>
      </c>
      <c r="HZ177" s="644">
        <f>INDEX(Input!$1:$1048576,HZ$93,$C177*2+6)*INDEX(Input!$1:$1048576,$JG$93,$C177*2+6)</f>
        <v>140</v>
      </c>
      <c r="IA177" s="644">
        <f>INDEX(Input!$1:$1048576,IA$93,$C177*2+6)*INDEX(Input!$1:$1048576,$JG$93,$C177*2+6)</f>
        <v>683</v>
      </c>
      <c r="IB177" s="644">
        <f t="shared" si="576"/>
        <v>222.27685926194374</v>
      </c>
      <c r="IC177" s="644">
        <f t="shared" si="577"/>
        <v>217.17631474410183</v>
      </c>
      <c r="ID177" s="644">
        <f>IF(AND(INDEX(Input!$1:$1048576,IA$93,$C177*2+7)="TOS",Y177&lt;=INDEX(Y:Y,MATCH(C177*1000+2,A:A))),0,1)*MAX(IA177+HR177+HU177+HX177,0%)</f>
        <v>707.30824823934211</v>
      </c>
      <c r="IE177" s="128">
        <f t="shared" si="578"/>
        <v>0.19383008091318601</v>
      </c>
      <c r="IF177" s="128">
        <f t="shared" si="579"/>
        <v>0.18938229916983532</v>
      </c>
      <c r="IG177" s="128">
        <f t="shared" si="580"/>
        <v>0.61678761991697872</v>
      </c>
      <c r="IH177" s="21"/>
      <c r="II177" s="19">
        <f t="shared" si="581"/>
        <v>1200</v>
      </c>
      <c r="IJ177" s="19">
        <f t="shared" si="582"/>
        <v>2231.5502763133163</v>
      </c>
      <c r="IK177" s="19">
        <f t="shared" si="583"/>
        <v>4498</v>
      </c>
      <c r="IL177" s="19">
        <f t="shared" si="584"/>
        <v>1400</v>
      </c>
      <c r="IM177" s="19">
        <f t="shared" si="585"/>
        <v>2062.6734913635637</v>
      </c>
      <c r="IN177" s="19">
        <f t="shared" si="586"/>
        <v>324.99999999999909</v>
      </c>
      <c r="IO177" s="39">
        <f t="shared" si="587"/>
        <v>0</v>
      </c>
      <c r="IP177" s="39">
        <f t="shared" si="588"/>
        <v>0</v>
      </c>
      <c r="IQ177" s="39">
        <f t="shared" si="589"/>
        <v>0</v>
      </c>
      <c r="IR177" s="39">
        <v>0</v>
      </c>
      <c r="IS177" s="39">
        <v>0</v>
      </c>
      <c r="IT177" s="39">
        <v>0</v>
      </c>
      <c r="IU177" s="39">
        <v>0</v>
      </c>
      <c r="IV177" s="39">
        <v>0</v>
      </c>
      <c r="IW177" s="39">
        <v>0</v>
      </c>
      <c r="IX177" s="39">
        <f>INDEX(Input!$1:$1048576,IX$93,$C177*2+6)+INDEX(Input!$1:$1048576,IX$94,$C177*2+6)</f>
        <v>1600</v>
      </c>
      <c r="IY177" s="39">
        <f>INDEX(Input!$1:$1048576,IY$93,$C177*2+6)+INDEX(Input!$1:$1048576,IY$94,$C177*2+6)</f>
        <v>2503.5492916397525</v>
      </c>
      <c r="IZ177" s="39">
        <f>INDEX(Input!$1:$1048576,IZ$93,$C177*2+6)+INDEX(Input!$1:$1048576,IZ$94,$C177*2+6)</f>
        <v>6273.7109265464023</v>
      </c>
      <c r="JA177" s="19">
        <f t="shared" si="590"/>
        <v>3000</v>
      </c>
      <c r="JB177" s="19">
        <f t="shared" si="591"/>
        <v>4566.2227830033162</v>
      </c>
      <c r="JC177" s="19">
        <f t="shared" si="592"/>
        <v>6598.7109265464014</v>
      </c>
      <c r="JD177" s="19">
        <f t="shared" si="593"/>
        <v>5516.2552188111267</v>
      </c>
      <c r="JE177" s="21"/>
      <c r="JF177" s="1">
        <f t="shared" si="594"/>
        <v>7.6148954918618686E-2</v>
      </c>
      <c r="JG177" s="15">
        <f>INDEX(Input!$1:$1048576,JG$93,$C177*2+6)/(1+VLOOKUP(C177*1000+INDEX(Input!$1:$1048576,JG$93+1,$C177*2+6),$A:$KK,$JK$92,FALSE))</f>
        <v>978</v>
      </c>
      <c r="JH177" s="1">
        <f t="shared" si="595"/>
        <v>9.8594039940237077E-2</v>
      </c>
      <c r="JI177" s="1">
        <f t="shared" si="596"/>
        <v>7.3963651517214637E-2</v>
      </c>
      <c r="JJ177" s="1">
        <f t="shared" si="597"/>
        <v>0</v>
      </c>
      <c r="JK177" s="1">
        <f t="shared" si="598"/>
        <v>0.1725576914574517</v>
      </c>
      <c r="JL177" s="15">
        <f t="shared" si="599"/>
        <v>168.76142224538776</v>
      </c>
      <c r="JM177" s="15">
        <f t="shared" si="600"/>
        <v>1146.7614222453878</v>
      </c>
      <c r="JN177" s="21"/>
      <c r="JO177" s="19">
        <f>INDEX(Input!$1:$1048576,JO$93,$C177*2+6)</f>
        <v>5908.5</v>
      </c>
      <c r="JP177" s="19">
        <f>INDEX(Input!$1:$1048576,JP$93,$C177*2+6)</f>
        <v>4993.2939301234746</v>
      </c>
      <c r="JQ177" s="39">
        <f t="shared" si="601"/>
        <v>392.24478118887328</v>
      </c>
      <c r="JR177" s="39">
        <f t="shared" si="602"/>
        <v>522.96128868765209</v>
      </c>
      <c r="JS177" s="39">
        <f t="shared" si="603"/>
        <v>6.3258286801923909</v>
      </c>
      <c r="JT177" s="39">
        <f t="shared" si="604"/>
        <v>1.4423872165316325</v>
      </c>
      <c r="JU177" s="385">
        <f>(JQ177*JM177-INDEX(Input!$1:$1048576,Input!A$18,$C177*2+6)*JL177*INDEX(Input!$1:$1048576,Input!A$19,$C177*2+6))/1000000</f>
        <v>0.44981118314448326</v>
      </c>
      <c r="JV177" s="39">
        <f t="shared" si="605"/>
        <v>-0.44526035319475848</v>
      </c>
      <c r="JW177" s="1">
        <f t="shared" si="606"/>
        <v>-0.49745784009156563</v>
      </c>
      <c r="JX177" s="19">
        <f t="shared" si="607"/>
        <v>8546.9012843132332</v>
      </c>
      <c r="JZ177" s="341"/>
      <c r="KA177" s="342"/>
      <c r="KB177" s="469">
        <f t="shared" si="509"/>
        <v>3.2656316020464753</v>
      </c>
      <c r="KI177" s="473">
        <f t="shared" si="608"/>
        <v>67.276859261943827</v>
      </c>
      <c r="KJ177" s="473">
        <f t="shared" si="609"/>
        <v>77.176314744101887</v>
      </c>
      <c r="KK177" s="473">
        <f t="shared" si="610"/>
        <v>24.30824823934222</v>
      </c>
      <c r="KN177" s="544">
        <f t="shared" si="611"/>
        <v>1002</v>
      </c>
      <c r="KO177" s="541">
        <f t="shared" si="612"/>
        <v>8.3783341105846176E-2</v>
      </c>
      <c r="KP177" s="546">
        <f t="shared" si="613"/>
        <v>508.71100947635517</v>
      </c>
      <c r="KQ177" s="546">
        <f t="shared" si="614"/>
        <v>161.80131883568629</v>
      </c>
      <c r="KR177" s="548">
        <f t="shared" si="615"/>
        <v>2.3618495435733542</v>
      </c>
      <c r="KS177" s="548">
        <f t="shared" si="616"/>
        <v>7.4257668243274644</v>
      </c>
      <c r="KT177" s="473">
        <f t="shared" si="510"/>
        <v>-82.310573396665475</v>
      </c>
      <c r="KU177" s="663">
        <f t="shared" si="617"/>
        <v>-53.312948596821919</v>
      </c>
    </row>
    <row r="178" spans="1:307" s="26" customFormat="1" ht="15" outlineLevel="1">
      <c r="A178" s="561">
        <f t="shared" si="386"/>
        <v>1078</v>
      </c>
      <c r="B178" s="561">
        <f t="shared" si="508"/>
        <v>78</v>
      </c>
      <c r="C178" s="561">
        <f t="shared" si="105"/>
        <v>1</v>
      </c>
      <c r="D178" s="561" t="str">
        <f t="shared" si="376"/>
        <v xml:space="preserve">500 CC, 0/2.8/3.8/3.9, 1000 Combo, </v>
      </c>
      <c r="E178" s="475">
        <f>INDEX(Input!$1:$1048576,E$93,$C178*2+MIN($B178,2)+5)
+INDEX(Scenarios!E$121:E$200,MATCH($B178,Scenarios!$B$121:$B$200,0))</f>
        <v>1750</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1000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3.7999999999999999E-2</v>
      </c>
      <c r="W178" s="863">
        <f>IFERROR(MAX(0,INDEX(Input!$1:$1048576,W$93,$C178*2+MIN($B178,2)+5)-0%,),"Market")</f>
        <v>3.9E-2</v>
      </c>
      <c r="X178" s="476" t="str">
        <f>INDEX(Input!$1:$1048576,X$93,$C178*2+MIN($B178,2)+5)</f>
        <v>Y</v>
      </c>
      <c r="Y178" s="475">
        <f>INDEX(Input!$1:$1048576,Y$93,$C178*2+MIN($B178,2)+5)
++INDEX(Scenarios!Y$121:Y$200,MATCH($B178,Scenarios!$B$121:$B$200,0))</f>
        <v>2826</v>
      </c>
      <c r="Z178" s="477">
        <f>INDEX(Input!$1:$1048576,Z$93,$C178*2+MIN($B178,2)+5)
+INDEX(Scenarios!Z$121:Z$200,MATCH($B178,Scenarios!$B$121:$B$200,0))</f>
        <v>0</v>
      </c>
      <c r="AA178" s="475">
        <f>INDEX(Input!$1:$1048576,AA$93,$C178*2+MIN($B178,2)+5)</f>
        <v>0</v>
      </c>
      <c r="AB178" s="476">
        <f>INDEX(Input!$1:$1048576,AB$93,$C178*2+MIN($B178,2)+5)</f>
        <v>1</v>
      </c>
      <c r="AC178" s="475">
        <f>INDEX(Input!$1:$1048576,AC$93,$C178*2+MIN($B178,2)+5)
+INDEX(Scenarios!AC$121:AC$200,MATCH($B178,Scenarios!$B$121:$B$200,0))</f>
        <v>0</v>
      </c>
      <c r="AD178" s="476">
        <f>INDEX(Input!$1:$1048576,AD$93,$C178*2+MIN($B178,2)+5)</f>
        <v>0.35</v>
      </c>
      <c r="AE178" s="475">
        <f>INDEX(Input!$1:$1048576,AE$93,$C178*2+MIN($B178,2)+5)
+INDEX(Scenarios!AE$121:AE$200,MATCH($B178,Scenarios!$B$121:$B$200,0))</f>
        <v>0</v>
      </c>
      <c r="AF178" s="476">
        <f>INDEX(Input!$1:$1048576,AF$93,$C178*2+MIN($B178,2)+5)</f>
        <v>1</v>
      </c>
      <c r="AG178" s="475">
        <f>INDEX(Input!$1:$1048576,AG$93,$C178*2+MIN($B178,2)+5)
+INDEX(Scenarios!AG$121:AG$200,MATCH($B178,Scenarios!$B$121:$B$200,0))</f>
        <v>0</v>
      </c>
      <c r="AH178" s="476">
        <f>INDEX(Input!$1:$1048576,AH$93,$C178*2+MIN($B178,2)+5)</f>
        <v>1</v>
      </c>
      <c r="AI178" s="475">
        <f>INDEX(Input!$1:$1048576,AI$93,$C178*2+MIN($B178,2)+5)
+INDEX(Scenarios!AI$121:AI$200,MATCH($B178,Scenarios!$B$121:$B$200,0))</f>
        <v>0</v>
      </c>
      <c r="AJ178" s="476">
        <f>INDEX(Input!$1:$1048576,AJ$93,$C178*2+MIN($B178,2)+5)</f>
        <v>0.35</v>
      </c>
      <c r="AK178" s="150">
        <f>ROUND(INDEX(Input!$1:$1048576,AK$93,$C177*2+MIN($B178,1)+5)+(Y178-VLOOKUP($C178*1000+1,$A:$HH,Y$92,FALSE)),0)</f>
        <v>5482</v>
      </c>
      <c r="AL178" s="150">
        <f>ROUND(INDEX(Input!$1:$1048576,AL$93,$C177*2+MIN($B178,1)+5)-(Y178-VLOOKUP($C178*1000+1,$A:$HH,Y$92,FALSE))/36,0)</f>
        <v>5602</v>
      </c>
      <c r="AM178" s="32" t="str">
        <f t="shared" si="387"/>
        <v>std/std/std/std</v>
      </c>
      <c r="AN178" s="32" t="str">
        <f t="shared" si="388"/>
        <v>$1000 + 0/0/0/3.8/3.9</v>
      </c>
      <c r="AO178" s="32" t="str">
        <f t="shared" si="389"/>
        <v>0/0/0/3.8/3.9</v>
      </c>
      <c r="AP178" s="32" t="str">
        <f t="shared" si="493"/>
        <v>0/2.8/3.8/3.9</v>
      </c>
      <c r="AQ178" s="536">
        <f t="shared" si="492"/>
        <v>0.18286634648252162</v>
      </c>
      <c r="AR178" s="32"/>
      <c r="AS178" s="302"/>
      <c r="AT178" s="3">
        <f t="shared" si="106"/>
        <v>78</v>
      </c>
      <c r="AU178" s="41" t="s">
        <v>121</v>
      </c>
      <c r="AV178" s="41" t="s">
        <v>116</v>
      </c>
      <c r="AW178" s="41" t="str">
        <f>INDEX(Input!$1:$1048576,AW$93,$C178*2+6)</f>
        <v>Kia</v>
      </c>
      <c r="AX178" s="41" t="str">
        <f>INDEX(Input!$1:$1048576,AX$93,$C178*2+6)</f>
        <v>Kia-LR - L1</v>
      </c>
      <c r="AY178" s="41" t="str">
        <f>IF(LEN(D178)=0,"",INDEX(Input!$1:$1048576,AY$93,$C178*2+6))</f>
        <v>Compact Conventional/Sporty Car (43)</v>
      </c>
      <c r="AZ178" s="41" t="str">
        <f>INDEX(Input!$1:$1048576,AZ$93,$C178*2+6)</f>
        <v>Kia Forte</v>
      </c>
      <c r="BA178" s="3">
        <f>INDEX(Input!$1:$1048576,BA$93,$C178*2+6)</f>
        <v>2020</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19695</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94"/>
        <v>1750</v>
      </c>
      <c r="CJ178" s="16" t="str">
        <f>INDEX(Input!$1:$1048576,CJ$93,$C178*2+6)</f>
        <v>N</v>
      </c>
      <c r="CK178" s="1" t="str">
        <f t="shared" si="495"/>
        <v>Market</v>
      </c>
      <c r="CL178" s="1" t="str">
        <f t="shared" si="496"/>
        <v>Market</v>
      </c>
      <c r="CM178" s="1" t="str">
        <f t="shared" si="497"/>
        <v>Market</v>
      </c>
      <c r="CN178" s="1" t="str">
        <f t="shared" si="498"/>
        <v>Market</v>
      </c>
      <c r="CO178" s="1" t="str">
        <f t="shared" si="499"/>
        <v>Market</v>
      </c>
      <c r="CP178" s="304">
        <f t="shared" si="500"/>
        <v>1000</v>
      </c>
      <c r="CQ178" s="1">
        <f t="shared" si="501"/>
        <v>0</v>
      </c>
      <c r="CR178" s="1">
        <f t="shared" si="502"/>
        <v>0</v>
      </c>
      <c r="CS178" s="1">
        <f t="shared" si="503"/>
        <v>0</v>
      </c>
      <c r="CT178" s="1">
        <f t="shared" si="504"/>
        <v>3.7999999999999999E-2</v>
      </c>
      <c r="CU178" s="1">
        <f t="shared" si="505"/>
        <v>3.9E-2</v>
      </c>
      <c r="CV178" s="304">
        <f t="shared" si="506"/>
        <v>2826</v>
      </c>
      <c r="CW178" s="20" t="s">
        <v>122</v>
      </c>
      <c r="CX178" s="20" t="s">
        <v>122</v>
      </c>
      <c r="CY178" s="20" t="s">
        <v>122</v>
      </c>
      <c r="CZ178" s="20" t="s">
        <v>122</v>
      </c>
      <c r="DA178" s="20" t="s">
        <v>122</v>
      </c>
      <c r="DB178" s="503">
        <f t="shared" si="507"/>
        <v>0</v>
      </c>
      <c r="DC178" s="127">
        <v>0</v>
      </c>
      <c r="DD178" s="127">
        <v>0</v>
      </c>
      <c r="DE178" s="127">
        <v>0</v>
      </c>
      <c r="DF178" s="127">
        <v>0</v>
      </c>
      <c r="DG178" s="127">
        <v>0</v>
      </c>
      <c r="DH178" s="127">
        <v>0</v>
      </c>
      <c r="DI178" s="127">
        <v>0</v>
      </c>
      <c r="DJ178" s="127">
        <v>0</v>
      </c>
      <c r="DK178" s="127">
        <v>0</v>
      </c>
      <c r="DL178" s="127">
        <v>0</v>
      </c>
      <c r="DM178" s="304">
        <f>INDEX(Input!$1:$1048576,DM$93,$C178*2+6)</f>
        <v>20731.578947368424</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1.5795303151582632E-2</v>
      </c>
      <c r="DZ178" s="7">
        <v>0</v>
      </c>
      <c r="EA178" s="7">
        <v>0.24429078862336465</v>
      </c>
      <c r="EB178" s="7">
        <v>0</v>
      </c>
      <c r="EC178" s="7">
        <v>0</v>
      </c>
      <c r="ED178" s="7">
        <v>0</v>
      </c>
      <c r="EE178" s="7">
        <v>0</v>
      </c>
      <c r="EF178" s="7">
        <v>0</v>
      </c>
      <c r="EG178" s="7">
        <v>0</v>
      </c>
      <c r="EH178" s="7">
        <v>3.2443612719279639E-2</v>
      </c>
      <c r="EI178" s="7">
        <v>5.8356127545780574E-2</v>
      </c>
      <c r="EJ178" s="7">
        <v>0.45894820095564548</v>
      </c>
      <c r="EK178" s="7">
        <v>0.37961458351110428</v>
      </c>
      <c r="EL178" s="7">
        <v>7.0637475268190142E-2</v>
      </c>
      <c r="EM178" s="7">
        <v>1.1038095866004361E-2</v>
      </c>
      <c r="EN178" s="7">
        <v>5.6686594175933747E-2</v>
      </c>
      <c r="EO178" s="7">
        <v>0.54216995014193592</v>
      </c>
      <c r="EP178" s="7">
        <v>0.3117315538121922</v>
      </c>
      <c r="EQ178" s="7">
        <v>5.1954312326603476E-2</v>
      </c>
      <c r="ER178" s="7">
        <v>3.7457589543334731E-2</v>
      </c>
      <c r="ES178" s="7">
        <v>0.7288758123590483</v>
      </c>
      <c r="ET178" s="7">
        <v>0.73991390822505276</v>
      </c>
      <c r="EU178" s="6">
        <v>2100</v>
      </c>
      <c r="EV178" s="6">
        <v>0</v>
      </c>
      <c r="EW178" s="6">
        <v>2100</v>
      </c>
      <c r="EX178" s="6">
        <v>0</v>
      </c>
      <c r="EY178" s="6">
        <v>3303.8187559665885</v>
      </c>
      <c r="EZ178" s="6">
        <v>4822.9999999999991</v>
      </c>
      <c r="FA178" s="6">
        <v>0</v>
      </c>
      <c r="FB178" s="6">
        <v>0</v>
      </c>
      <c r="FC178" s="6">
        <v>0</v>
      </c>
      <c r="FD178" s="6">
        <v>0</v>
      </c>
      <c r="FE178" s="6">
        <v>0</v>
      </c>
      <c r="FF178" s="6">
        <v>0</v>
      </c>
      <c r="FG178" s="6">
        <v>0</v>
      </c>
      <c r="FH178" s="6">
        <v>1152.1208270377815</v>
      </c>
      <c r="FI178" s="6">
        <v>1531.4299904380618</v>
      </c>
      <c r="FJ178" s="6">
        <v>2070.7205842538219</v>
      </c>
      <c r="FK178" s="6">
        <v>826.03289024944365</v>
      </c>
      <c r="FL178" s="6">
        <v>893.9143356348934</v>
      </c>
      <c r="FM178" s="6">
        <v>1453.8187559665885</v>
      </c>
      <c r="FN178" s="6">
        <v>0</v>
      </c>
      <c r="FO178" s="6">
        <v>0</v>
      </c>
      <c r="FP178" s="6">
        <v>0</v>
      </c>
      <c r="FQ178" s="6">
        <v>0</v>
      </c>
      <c r="FR178" s="6">
        <v>0</v>
      </c>
      <c r="FS178" s="6">
        <v>0</v>
      </c>
      <c r="FT178" s="7">
        <v>0.26008609177494729</v>
      </c>
      <c r="FU178" s="7">
        <v>1.1038095866004361E-2</v>
      </c>
      <c r="FV178" s="7">
        <v>0.7288758123590483</v>
      </c>
      <c r="FW178" s="6">
        <v>2100</v>
      </c>
      <c r="FX178" s="6">
        <v>3303.8187559665889</v>
      </c>
      <c r="FY178" s="6">
        <v>4822.9999999999991</v>
      </c>
      <c r="FZ178" s="6">
        <v>3077.4375890575293</v>
      </c>
      <c r="GA178" s="6">
        <v>4098.0167038873406</v>
      </c>
      <c r="GB178" s="6">
        <v>15596.983296112659</v>
      </c>
      <c r="GC178" s="7">
        <v>7.0901643973087014E-2</v>
      </c>
      <c r="GD178" s="7">
        <v>8.1547052705455869E-2</v>
      </c>
      <c r="GE178" s="7"/>
      <c r="GF178" s="7"/>
      <c r="GG178" s="7">
        <v>0.15014332723243567</v>
      </c>
      <c r="GH178" s="42">
        <v>2.8974459567849702</v>
      </c>
      <c r="GI178" s="6">
        <v>10895.382485250779</v>
      </c>
      <c r="GJ178" s="14">
        <v>0.51074630601039528</v>
      </c>
      <c r="GK178" s="14">
        <v>0.5082951978616097</v>
      </c>
      <c r="GL178" s="14">
        <v>0.48925369398960433</v>
      </c>
      <c r="GM178" s="14">
        <v>0.49170480213839018</v>
      </c>
      <c r="GO178" s="5">
        <v>338.16872463277008</v>
      </c>
      <c r="GP178" s="5">
        <v>298.1047308538179</v>
      </c>
      <c r="GQ178" s="5">
        <v>527.27910984145694</v>
      </c>
      <c r="GR178" s="5">
        <v>404.20319246551543</v>
      </c>
      <c r="GS178" s="5">
        <v>334.50205195691484</v>
      </c>
      <c r="GT178" s="5">
        <v>289.18266033348181</v>
      </c>
      <c r="GU178" s="5">
        <v>254.29573314828914</v>
      </c>
      <c r="GV178" s="39" t="s">
        <v>392</v>
      </c>
      <c r="GW178" s="5">
        <v>440.98611111111109</v>
      </c>
      <c r="GX178" s="5">
        <v>330.73958333333331</v>
      </c>
      <c r="GY178" s="5">
        <v>264.59166666666664</v>
      </c>
      <c r="GZ178" s="5">
        <v>246.93103803700129</v>
      </c>
      <c r="HA178" s="5">
        <v>216.26912746293831</v>
      </c>
      <c r="HB178" s="39">
        <v>264.05706162024813</v>
      </c>
      <c r="HC178" s="5">
        <v>72.109375000000014</v>
      </c>
      <c r="HD178" s="5">
        <v>92.305464181286524</v>
      </c>
      <c r="HE178" s="5">
        <v>103.7516995614035</v>
      </c>
      <c r="HF178" s="5">
        <v>106.17129934210527</v>
      </c>
      <c r="HG178" s="5">
        <v>115.13410087719299</v>
      </c>
      <c r="HH178" s="39">
        <v>96.304265044073475</v>
      </c>
      <c r="HI178" s="16"/>
      <c r="HJ178" s="19" t="str">
        <f t="shared" ref="HJ178:HK178" si="622">HJ177</f>
        <v>On</v>
      </c>
      <c r="HK178" s="1" t="str">
        <f t="shared" si="622"/>
        <v>On</v>
      </c>
      <c r="HL178" s="16"/>
      <c r="HM178" s="639">
        <f t="shared" si="567"/>
        <v>1.7699001661282989E-2</v>
      </c>
      <c r="HN178" s="639">
        <f t="shared" si="568"/>
        <v>1.0509929974846072E-3</v>
      </c>
      <c r="HO178" s="639">
        <f t="shared" si="569"/>
        <v>5.7398960259851091E-2</v>
      </c>
      <c r="HP178" s="644">
        <f>(FT178*$GD178-HM178)/$JF178*INDEX(Input!$1:$1048576,$JG$93,$C178*2+6)</f>
        <v>45.083048345383133</v>
      </c>
      <c r="HQ178" s="644">
        <f>(FU178*$GD178-HN178)/$JF178*INDEX(Input!$1:$1048576,$JG$93,$C178*2+6)</f>
        <v>-1.9376457421177524</v>
      </c>
      <c r="HR178" s="644">
        <f>(FV178*$GD178-HO178)/$JF178*INDEX(Input!$1:$1048576,$JG$93,$C178*2+6)</f>
        <v>26.183712171439723</v>
      </c>
      <c r="HS178" s="644">
        <f t="shared" si="570"/>
        <v>-0.37309491655916144</v>
      </c>
      <c r="HT178" s="644">
        <f t="shared" si="571"/>
        <v>24.045644908213031</v>
      </c>
      <c r="HU178" s="644">
        <f t="shared" si="572"/>
        <v>21.107174669070837</v>
      </c>
      <c r="HV178" s="648">
        <f t="shared" si="573"/>
        <v>0</v>
      </c>
      <c r="HW178" s="648">
        <f t="shared" si="574"/>
        <v>0</v>
      </c>
      <c r="HX178" s="648">
        <f t="shared" si="575"/>
        <v>0</v>
      </c>
      <c r="HY178" s="644">
        <f>INDEX(Input!$1:$1048576,HY$93,$C178*2+6)*INDEX(Input!$1:$1048576,$JG$93,$C178*2+6)</f>
        <v>154.99999999999997</v>
      </c>
      <c r="HZ178" s="644">
        <f>INDEX(Input!$1:$1048576,HZ$93,$C178*2+6)*INDEX(Input!$1:$1048576,$JG$93,$C178*2+6)</f>
        <v>140</v>
      </c>
      <c r="IA178" s="644">
        <f>INDEX(Input!$1:$1048576,IA$93,$C178*2+6)*INDEX(Input!$1:$1048576,$JG$93,$C178*2+6)</f>
        <v>683</v>
      </c>
      <c r="IB178" s="644">
        <f t="shared" si="576"/>
        <v>199.70995342882384</v>
      </c>
      <c r="IC178" s="644">
        <f t="shared" si="577"/>
        <v>162.10799916609528</v>
      </c>
      <c r="ID178" s="644">
        <f>IF(AND(INDEX(Input!$1:$1048576,IA$93,$C178*2+7)="TOS",Y178&lt;=INDEX(Y:Y,MATCH(C178*1000+2,A:A))),0,1)*MAX(IA178+HR178+HU178+HX178,0%)</f>
        <v>730.29088684051055</v>
      </c>
      <c r="IE178" s="128">
        <f t="shared" si="578"/>
        <v>0.18286634648252162</v>
      </c>
      <c r="IF178" s="128">
        <f t="shared" si="579"/>
        <v>0.14843575412309429</v>
      </c>
      <c r="IG178" s="128">
        <f t="shared" si="580"/>
        <v>0.66869789939438407</v>
      </c>
      <c r="IH178" s="21"/>
      <c r="II178" s="19">
        <f t="shared" si="581"/>
        <v>1200</v>
      </c>
      <c r="IJ178" s="19">
        <f t="shared" si="582"/>
        <v>2231.5502763133163</v>
      </c>
      <c r="IK178" s="19">
        <f t="shared" si="583"/>
        <v>4498</v>
      </c>
      <c r="IL178" s="19">
        <f t="shared" si="584"/>
        <v>900</v>
      </c>
      <c r="IM178" s="19">
        <f t="shared" si="585"/>
        <v>1072.2684796532726</v>
      </c>
      <c r="IN178" s="19">
        <f t="shared" si="586"/>
        <v>324.99999999999909</v>
      </c>
      <c r="IO178" s="39">
        <f t="shared" si="587"/>
        <v>0</v>
      </c>
      <c r="IP178" s="39">
        <f t="shared" si="588"/>
        <v>0</v>
      </c>
      <c r="IQ178" s="39">
        <f t="shared" si="589"/>
        <v>0</v>
      </c>
      <c r="IR178" s="39">
        <v>0</v>
      </c>
      <c r="IS178" s="39">
        <v>0</v>
      </c>
      <c r="IT178" s="39">
        <v>0</v>
      </c>
      <c r="IU178" s="39">
        <v>0</v>
      </c>
      <c r="IV178" s="39">
        <v>0</v>
      </c>
      <c r="IW178" s="39">
        <v>0</v>
      </c>
      <c r="IX178" s="39">
        <f>INDEX(Input!$1:$1048576,IX$93,$C178*2+6)+INDEX(Input!$1:$1048576,IX$94,$C178*2+6)</f>
        <v>1600</v>
      </c>
      <c r="IY178" s="39">
        <f>INDEX(Input!$1:$1048576,IY$93,$C178*2+6)+INDEX(Input!$1:$1048576,IY$94,$C178*2+6)</f>
        <v>2503.5492916397525</v>
      </c>
      <c r="IZ178" s="39">
        <f>INDEX(Input!$1:$1048576,IZ$93,$C178*2+6)+INDEX(Input!$1:$1048576,IZ$94,$C178*2+6)</f>
        <v>6273.7109265464023</v>
      </c>
      <c r="JA178" s="19">
        <f t="shared" si="590"/>
        <v>2500</v>
      </c>
      <c r="JB178" s="19">
        <f t="shared" si="591"/>
        <v>3575.8177712930251</v>
      </c>
      <c r="JC178" s="19">
        <f t="shared" si="592"/>
        <v>6598.7109265464014</v>
      </c>
      <c r="JD178" s="19">
        <f t="shared" si="593"/>
        <v>5400.4892089872947</v>
      </c>
      <c r="JE178" s="21"/>
      <c r="JF178" s="1">
        <f t="shared" si="594"/>
        <v>7.6148954918618686E-2</v>
      </c>
      <c r="JG178" s="15">
        <f>INDEX(Input!$1:$1048576,JG$93,$C178*2+6)/(1+VLOOKUP(C178*1000+INDEX(Input!$1:$1048576,JG$93+1,$C178*2+6),$A:$KK,$JK$92,FALSE))</f>
        <v>978</v>
      </c>
      <c r="JH178" s="1">
        <f t="shared" si="595"/>
        <v>7.0888665413808893E-2</v>
      </c>
      <c r="JI178" s="1">
        <f t="shared" si="596"/>
        <v>4.5787039530393363E-2</v>
      </c>
      <c r="JJ178" s="1">
        <f t="shared" si="597"/>
        <v>0</v>
      </c>
      <c r="JK178" s="1">
        <f t="shared" si="598"/>
        <v>0.11667570494420226</v>
      </c>
      <c r="JL178" s="15">
        <f t="shared" si="599"/>
        <v>114.10883943542981</v>
      </c>
      <c r="JM178" s="15">
        <f t="shared" si="600"/>
        <v>1092.1088394354299</v>
      </c>
      <c r="JN178" s="21"/>
      <c r="JO178" s="19">
        <f>INDEX(Input!$1:$1048576,JO$93,$C178*2+6)</f>
        <v>5908.5</v>
      </c>
      <c r="JP178" s="19">
        <f>INDEX(Input!$1:$1048576,JP$93,$C178*2+6)</f>
        <v>4993.2939301234746</v>
      </c>
      <c r="JQ178" s="39">
        <f t="shared" si="601"/>
        <v>508.01079101270534</v>
      </c>
      <c r="JR178" s="39">
        <f t="shared" si="602"/>
        <v>407.19527886382002</v>
      </c>
      <c r="JS178" s="39">
        <f t="shared" si="603"/>
        <v>5.8979220024106773</v>
      </c>
      <c r="JT178" s="39">
        <f t="shared" si="604"/>
        <v>1.0144805387499192</v>
      </c>
      <c r="JU178" s="385">
        <f>(JQ178*JM178-INDEX(Input!$1:$1048576,Input!A$18,$C178*2+6)*JL178*INDEX(Input!$1:$1048576,Input!A$19,$C178*2+6))/1000000</f>
        <v>0.55480307539356033</v>
      </c>
      <c r="JV178" s="39">
        <f t="shared" si="605"/>
        <v>-0.34026846094568142</v>
      </c>
      <c r="JW178" s="1">
        <f t="shared" si="606"/>
        <v>-0.38015783893357546</v>
      </c>
      <c r="JX178" s="19">
        <f t="shared" si="607"/>
        <v>8890.4640847213068</v>
      </c>
      <c r="JZ178" s="341"/>
      <c r="KA178" s="342"/>
      <c r="KB178" s="469">
        <f t="shared" si="509"/>
        <v>3.2656316020464753</v>
      </c>
      <c r="KI178" s="473">
        <f t="shared" si="608"/>
        <v>44.709953428823923</v>
      </c>
      <c r="KJ178" s="473">
        <f t="shared" si="609"/>
        <v>22.10799916609534</v>
      </c>
      <c r="KK178" s="473">
        <f t="shared" si="610"/>
        <v>47.290886840510666</v>
      </c>
      <c r="KN178" s="544">
        <f t="shared" si="611"/>
        <v>1002</v>
      </c>
      <c r="KO178" s="541">
        <f t="shared" si="612"/>
        <v>3.2132180150445944E-2</v>
      </c>
      <c r="KP178" s="546">
        <f t="shared" si="613"/>
        <v>191.22185199178051</v>
      </c>
      <c r="KQ178" s="546">
        <f t="shared" si="614"/>
        <v>46.035309011854224</v>
      </c>
      <c r="KR178" s="548">
        <f t="shared" si="615"/>
        <v>2.4097298815073231</v>
      </c>
      <c r="KS178" s="548">
        <f t="shared" si="616"/>
        <v>10.009556156625528</v>
      </c>
      <c r="KT178" s="473">
        <f t="shared" si="510"/>
        <v>-82.310573396665475</v>
      </c>
      <c r="KU178" s="663">
        <f t="shared" si="617"/>
        <v>-52.034313093454188</v>
      </c>
    </row>
    <row r="179" spans="1:307" s="26" customFormat="1" ht="15" outlineLevel="1">
      <c r="A179" s="561">
        <f t="shared" si="386"/>
        <v>1079</v>
      </c>
      <c r="B179" s="561">
        <f t="shared" si="508"/>
        <v>79</v>
      </c>
      <c r="C179" s="561">
        <f t="shared" si="105"/>
        <v>1</v>
      </c>
      <c r="D179" s="561" t="str">
        <f t="shared" si="376"/>
        <v xml:space="preserve">750 CC, 0/2.8/3.8/3.9, 1500 Combo, </v>
      </c>
      <c r="E179" s="475">
        <f>INDEX(Input!$1:$1048576,E$93,$C179*2+MIN($B179,2)+5)
+INDEX(Scenarios!E$121:E$200,MATCH($B179,Scenarios!$B$121:$B$200,0))</f>
        <v>2000</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1500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0</v>
      </c>
      <c r="V179" s="478">
        <f>IFERROR(MAX(0,INDEX(Input!$1:$1048576,V$93,$C179*2+MIN($B179,2)+5)
+INDEX(Scenarios!V$121:V$200,MATCH($B179,Scenarios!$B$121:$B$200,0)),),"Market")</f>
        <v>3.7999999999999999E-2</v>
      </c>
      <c r="W179" s="863">
        <f>IFERROR(MAX(0,INDEX(Input!$1:$1048576,W$93,$C179*2+MIN($B179,2)+5)-0%,),"Market")</f>
        <v>3.9E-2</v>
      </c>
      <c r="X179" s="476" t="str">
        <f>INDEX(Input!$1:$1048576,X$93,$C179*2+MIN($B179,2)+5)</f>
        <v>Y</v>
      </c>
      <c r="Y179" s="475">
        <f>INDEX(Input!$1:$1048576,Y$93,$C179*2+MIN($B179,2)+5)
++INDEX(Scenarios!Y$121:Y$200,MATCH($B179,Scenarios!$B$121:$B$200,0))</f>
        <v>2826</v>
      </c>
      <c r="Z179" s="477">
        <f>INDEX(Input!$1:$1048576,Z$93,$C179*2+MIN($B179,2)+5)
+INDEX(Scenarios!Z$121:Z$200,MATCH($B179,Scenarios!$B$121:$B$200,0))</f>
        <v>0</v>
      </c>
      <c r="AA179" s="475">
        <f>INDEX(Input!$1:$1048576,AA$93,$C179*2+MIN($B179,2)+5)</f>
        <v>0</v>
      </c>
      <c r="AB179" s="476">
        <f>INDEX(Input!$1:$1048576,AB$93,$C179*2+MIN($B179,2)+5)</f>
        <v>1</v>
      </c>
      <c r="AC179" s="475">
        <f>INDEX(Input!$1:$1048576,AC$93,$C179*2+MIN($B179,2)+5)
+INDEX(Scenarios!AC$121:AC$200,MATCH($B179,Scenarios!$B$121:$B$200,0))</f>
        <v>0</v>
      </c>
      <c r="AD179" s="476">
        <f>INDEX(Input!$1:$1048576,AD$93,$C179*2+MIN($B179,2)+5)</f>
        <v>0.35</v>
      </c>
      <c r="AE179" s="475">
        <f>INDEX(Input!$1:$1048576,AE$93,$C179*2+MIN($B179,2)+5)
+INDEX(Scenarios!AE$121:AE$200,MATCH($B179,Scenarios!$B$121:$B$200,0))</f>
        <v>0</v>
      </c>
      <c r="AF179" s="476">
        <f>INDEX(Input!$1:$1048576,AF$93,$C179*2+MIN($B179,2)+5)</f>
        <v>1</v>
      </c>
      <c r="AG179" s="475">
        <f>INDEX(Input!$1:$1048576,AG$93,$C179*2+MIN($B179,2)+5)
+INDEX(Scenarios!AG$121:AG$200,MATCH($B179,Scenarios!$B$121:$B$200,0))</f>
        <v>0</v>
      </c>
      <c r="AH179" s="476">
        <f>INDEX(Input!$1:$1048576,AH$93,$C179*2+MIN($B179,2)+5)</f>
        <v>1</v>
      </c>
      <c r="AI179" s="475">
        <f>INDEX(Input!$1:$1048576,AI$93,$C179*2+MIN($B179,2)+5)
+INDEX(Scenarios!AI$121:AI$200,MATCH($B179,Scenarios!$B$121:$B$200,0))</f>
        <v>0</v>
      </c>
      <c r="AJ179" s="476">
        <f>INDEX(Input!$1:$1048576,AJ$93,$C179*2+MIN($B179,2)+5)</f>
        <v>0.35</v>
      </c>
      <c r="AK179" s="150">
        <f>ROUND(INDEX(Input!$1:$1048576,AK$93,$C178*2+MIN($B179,1)+5)+(Y179-VLOOKUP($C179*1000+1,$A:$HH,Y$92,FALSE)),0)</f>
        <v>5482</v>
      </c>
      <c r="AL179" s="150">
        <f>ROUND(INDEX(Input!$1:$1048576,AL$93,$C178*2+MIN($B179,1)+5)-(Y179-VLOOKUP($C179*1000+1,$A:$HH,Y$92,FALSE))/36,0)</f>
        <v>5602</v>
      </c>
      <c r="AM179" s="32" t="str">
        <f t="shared" si="387"/>
        <v>std/std/std/std</v>
      </c>
      <c r="AN179" s="32" t="str">
        <f t="shared" si="388"/>
        <v>$1500 + 0/0/0/3.8/3.9</v>
      </c>
      <c r="AO179" s="32" t="str">
        <f t="shared" si="389"/>
        <v>0/0/0/3.8/3.9</v>
      </c>
      <c r="AP179" s="32" t="str">
        <f t="shared" si="493"/>
        <v>0/2.8/3.8/3.9</v>
      </c>
      <c r="AQ179" s="536">
        <f t="shared" si="492"/>
        <v>0.19480963783003169</v>
      </c>
      <c r="AR179" s="32"/>
      <c r="AS179" s="302"/>
      <c r="AT179" s="3">
        <f t="shared" si="106"/>
        <v>79</v>
      </c>
      <c r="AU179" s="41" t="s">
        <v>121</v>
      </c>
      <c r="AV179" s="41" t="s">
        <v>116</v>
      </c>
      <c r="AW179" s="41" t="str">
        <f>INDEX(Input!$1:$1048576,AW$93,$C179*2+6)</f>
        <v>Kia</v>
      </c>
      <c r="AX179" s="41" t="str">
        <f>INDEX(Input!$1:$1048576,AX$93,$C179*2+6)</f>
        <v>Kia-LR - L1</v>
      </c>
      <c r="AY179" s="41" t="str">
        <f>IF(LEN(D179)=0,"",INDEX(Input!$1:$1048576,AY$93,$C179*2+6))</f>
        <v>Compact Conventional/Sporty Car (43)</v>
      </c>
      <c r="AZ179" s="41" t="str">
        <f>INDEX(Input!$1:$1048576,AZ$93,$C179*2+6)</f>
        <v>Kia Forte</v>
      </c>
      <c r="BA179" s="3">
        <f>INDEX(Input!$1:$1048576,BA$93,$C179*2+6)</f>
        <v>2020</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19695</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94"/>
        <v>2000</v>
      </c>
      <c r="CJ179" s="16" t="str">
        <f>INDEX(Input!$1:$1048576,CJ$93,$C179*2+6)</f>
        <v>N</v>
      </c>
      <c r="CK179" s="1" t="str">
        <f t="shared" si="495"/>
        <v>Market</v>
      </c>
      <c r="CL179" s="1" t="str">
        <f t="shared" si="496"/>
        <v>Market</v>
      </c>
      <c r="CM179" s="1" t="str">
        <f t="shared" si="497"/>
        <v>Market</v>
      </c>
      <c r="CN179" s="1" t="str">
        <f t="shared" si="498"/>
        <v>Market</v>
      </c>
      <c r="CO179" s="1" t="str">
        <f t="shared" si="499"/>
        <v>Market</v>
      </c>
      <c r="CP179" s="304">
        <f t="shared" si="500"/>
        <v>1500</v>
      </c>
      <c r="CQ179" s="1">
        <f t="shared" si="501"/>
        <v>0</v>
      </c>
      <c r="CR179" s="1">
        <f t="shared" si="502"/>
        <v>0</v>
      </c>
      <c r="CS179" s="1">
        <f t="shared" si="503"/>
        <v>0</v>
      </c>
      <c r="CT179" s="1">
        <f t="shared" si="504"/>
        <v>3.7999999999999999E-2</v>
      </c>
      <c r="CU179" s="1">
        <f t="shared" si="505"/>
        <v>3.9E-2</v>
      </c>
      <c r="CV179" s="304">
        <f t="shared" si="506"/>
        <v>2826</v>
      </c>
      <c r="CW179" s="20" t="s">
        <v>122</v>
      </c>
      <c r="CX179" s="20" t="s">
        <v>122</v>
      </c>
      <c r="CY179" s="20" t="s">
        <v>122</v>
      </c>
      <c r="CZ179" s="20" t="s">
        <v>122</v>
      </c>
      <c r="DA179" s="20" t="s">
        <v>122</v>
      </c>
      <c r="DB179" s="503">
        <f t="shared" si="507"/>
        <v>0</v>
      </c>
      <c r="DC179" s="127">
        <v>0</v>
      </c>
      <c r="DD179" s="127">
        <v>0</v>
      </c>
      <c r="DE179" s="127">
        <v>0</v>
      </c>
      <c r="DF179" s="127">
        <v>0</v>
      </c>
      <c r="DG179" s="127">
        <v>0</v>
      </c>
      <c r="DH179" s="127">
        <v>0</v>
      </c>
      <c r="DI179" s="127">
        <v>0</v>
      </c>
      <c r="DJ179" s="127">
        <v>0</v>
      </c>
      <c r="DK179" s="127">
        <v>0</v>
      </c>
      <c r="DL179" s="127">
        <v>0</v>
      </c>
      <c r="DM179" s="304">
        <f>INDEX(Input!$1:$1048576,DM$93,$C179*2+6)</f>
        <v>20731.578947368424</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1.6758163663236167E-2</v>
      </c>
      <c r="DZ179" s="7">
        <v>0</v>
      </c>
      <c r="EA179" s="7">
        <v>0.25778919870897049</v>
      </c>
      <c r="EB179" s="7">
        <v>0</v>
      </c>
      <c r="EC179" s="7">
        <v>0</v>
      </c>
      <c r="ED179" s="7">
        <v>0</v>
      </c>
      <c r="EE179" s="7">
        <v>0</v>
      </c>
      <c r="EF179" s="7">
        <v>0</v>
      </c>
      <c r="EG179" s="7">
        <v>0</v>
      </c>
      <c r="EH179" s="7">
        <v>3.2443612719279626E-2</v>
      </c>
      <c r="EI179" s="7">
        <v>5.8356127545780581E-2</v>
      </c>
      <c r="EJ179" s="7">
        <v>0.45894820095564542</v>
      </c>
      <c r="EK179" s="7">
        <v>0.37961458351110433</v>
      </c>
      <c r="EL179" s="7">
        <v>7.0637475268190086E-2</v>
      </c>
      <c r="EM179" s="7">
        <v>1.2585563210387318E-2</v>
      </c>
      <c r="EN179" s="7">
        <v>5.668659417593376E-2</v>
      </c>
      <c r="EO179" s="7">
        <v>0.5421699501419357</v>
      </c>
      <c r="EP179" s="7">
        <v>0.31173155381219225</v>
      </c>
      <c r="EQ179" s="7">
        <v>5.1954312326603483E-2</v>
      </c>
      <c r="ER179" s="7">
        <v>3.7457589543334731E-2</v>
      </c>
      <c r="ES179" s="7">
        <v>0.71286707441740582</v>
      </c>
      <c r="ET179" s="7">
        <v>0.72545263762779333</v>
      </c>
      <c r="EU179" s="6">
        <v>2350</v>
      </c>
      <c r="EV179" s="6">
        <v>0</v>
      </c>
      <c r="EW179" s="6">
        <v>2350</v>
      </c>
      <c r="EX179" s="6">
        <v>0</v>
      </c>
      <c r="EY179" s="6">
        <v>3803.8187559665885</v>
      </c>
      <c r="EZ179" s="6">
        <v>4822.9999999999991</v>
      </c>
      <c r="FA179" s="6">
        <v>0</v>
      </c>
      <c r="FB179" s="6">
        <v>0</v>
      </c>
      <c r="FC179" s="6">
        <v>0</v>
      </c>
      <c r="FD179" s="6">
        <v>0</v>
      </c>
      <c r="FE179" s="6">
        <v>0</v>
      </c>
      <c r="FF179" s="6">
        <v>0</v>
      </c>
      <c r="FG179" s="6">
        <v>0</v>
      </c>
      <c r="FH179" s="6">
        <v>1152.1208270377822</v>
      </c>
      <c r="FI179" s="6">
        <v>1531.4299904380618</v>
      </c>
      <c r="FJ179" s="6">
        <v>2070.7205842538219</v>
      </c>
      <c r="FK179" s="6">
        <v>826.03289024944343</v>
      </c>
      <c r="FL179" s="6">
        <v>893.91433563489375</v>
      </c>
      <c r="FM179" s="6">
        <v>1453.8187559665882</v>
      </c>
      <c r="FN179" s="6">
        <v>0</v>
      </c>
      <c r="FO179" s="6">
        <v>0</v>
      </c>
      <c r="FP179" s="6">
        <v>0</v>
      </c>
      <c r="FQ179" s="6">
        <v>0</v>
      </c>
      <c r="FR179" s="6">
        <v>0</v>
      </c>
      <c r="FS179" s="6">
        <v>0</v>
      </c>
      <c r="FT179" s="7">
        <v>0.27454736237220667</v>
      </c>
      <c r="FU179" s="7">
        <v>1.2585563210387318E-2</v>
      </c>
      <c r="FV179" s="7">
        <v>0.71286707441740582</v>
      </c>
      <c r="FW179" s="6">
        <v>2350</v>
      </c>
      <c r="FX179" s="6">
        <v>3803.8187559665885</v>
      </c>
      <c r="FY179" s="6">
        <v>4822.9999999999991</v>
      </c>
      <c r="FZ179" s="6">
        <v>3077.4375890575293</v>
      </c>
      <c r="GA179" s="6">
        <v>4131.2174028839072</v>
      </c>
      <c r="GB179" s="6">
        <v>15563.782597116093</v>
      </c>
      <c r="GC179" s="7">
        <v>7.0901643973087014E-2</v>
      </c>
      <c r="GD179" s="7">
        <v>8.2310461889957942E-2</v>
      </c>
      <c r="GE179" s="7"/>
      <c r="GF179" s="7"/>
      <c r="GG179" s="7">
        <v>0.16091048496987614</v>
      </c>
      <c r="GH179" s="42">
        <v>3.007394865512067</v>
      </c>
      <c r="GI179" s="6">
        <v>10680.074763071805</v>
      </c>
      <c r="GJ179" s="14">
        <v>0.51074630601039539</v>
      </c>
      <c r="GK179" s="14">
        <v>0.5082951978616097</v>
      </c>
      <c r="GL179" s="14">
        <v>0.48925369398960422</v>
      </c>
      <c r="GM179" s="14">
        <v>0.4917048021383903</v>
      </c>
      <c r="GO179" s="5">
        <v>338.16872463277008</v>
      </c>
      <c r="GP179" s="5">
        <v>293.33520778489498</v>
      </c>
      <c r="GQ179" s="5">
        <v>527.27910984145694</v>
      </c>
      <c r="GR179" s="5">
        <v>404.20319246551543</v>
      </c>
      <c r="GS179" s="5">
        <v>334.50205195691484</v>
      </c>
      <c r="GT179" s="5">
        <v>289.18266033348181</v>
      </c>
      <c r="GU179" s="5">
        <v>254.29573314828914</v>
      </c>
      <c r="GV179" s="39" t="s">
        <v>392</v>
      </c>
      <c r="GW179" s="5">
        <v>427.09722222222223</v>
      </c>
      <c r="GX179" s="5">
        <v>320.32291666666669</v>
      </c>
      <c r="GY179" s="5">
        <v>256.25833333333333</v>
      </c>
      <c r="GZ179" s="5">
        <v>239.15392745664155</v>
      </c>
      <c r="HA179" s="5">
        <v>209.45771593376008</v>
      </c>
      <c r="HB179" s="39">
        <v>255.74056571082016</v>
      </c>
      <c r="HC179" s="5">
        <v>72.109375000000014</v>
      </c>
      <c r="HD179" s="5">
        <v>92.305464181286524</v>
      </c>
      <c r="HE179" s="5">
        <v>103.7516995614035</v>
      </c>
      <c r="HF179" s="5">
        <v>106.17129934210527</v>
      </c>
      <c r="HG179" s="5">
        <v>115.13410087719299</v>
      </c>
      <c r="HH179" s="39">
        <v>96.304265044073475</v>
      </c>
      <c r="HI179" s="16"/>
      <c r="HJ179" s="19" t="str">
        <f t="shared" ref="HJ179:HK179" si="623">HJ178</f>
        <v>On</v>
      </c>
      <c r="HK179" s="1" t="str">
        <f t="shared" si="623"/>
        <v>On</v>
      </c>
      <c r="HL179" s="16"/>
      <c r="HM179" s="639">
        <f t="shared" si="567"/>
        <v>1.7699001661282989E-2</v>
      </c>
      <c r="HN179" s="639">
        <f t="shared" si="568"/>
        <v>1.0509929974846072E-3</v>
      </c>
      <c r="HO179" s="639">
        <f t="shared" si="569"/>
        <v>5.7398960259851091E-2</v>
      </c>
      <c r="HP179" s="644">
        <f>(FT179*$GD179-HM179)/$JF179*INDEX(Input!$1:$1048576,$JG$93,$C179*2+6)</f>
        <v>62.920600070561896</v>
      </c>
      <c r="HQ179" s="644">
        <f>(FU179*$GD179-HN179)/$JF179*INDEX(Input!$1:$1048576,$JG$93,$C179*2+6)</f>
        <v>-0.19354104104624725</v>
      </c>
      <c r="HR179" s="644">
        <f>(FV179*$GD179-HO179)/$JF179*INDEX(Input!$1:$1048576,$JG$93,$C179*2+6)</f>
        <v>16.406710099814966</v>
      </c>
      <c r="HS179" s="644">
        <f t="shared" si="570"/>
        <v>-0.54706949645159875</v>
      </c>
      <c r="HT179" s="644">
        <f t="shared" si="571"/>
        <v>36.349485031038576</v>
      </c>
      <c r="HU179" s="644">
        <f t="shared" si="572"/>
        <v>22.88915639936819</v>
      </c>
      <c r="HV179" s="648">
        <f t="shared" si="573"/>
        <v>0</v>
      </c>
      <c r="HW179" s="648">
        <f t="shared" si="574"/>
        <v>0</v>
      </c>
      <c r="HX179" s="648">
        <f t="shared" si="575"/>
        <v>0</v>
      </c>
      <c r="HY179" s="644">
        <f>INDEX(Input!$1:$1048576,HY$93,$C179*2+6)*INDEX(Input!$1:$1048576,$JG$93,$C179*2+6)</f>
        <v>154.99999999999997</v>
      </c>
      <c r="HZ179" s="644">
        <f>INDEX(Input!$1:$1048576,HZ$93,$C179*2+6)*INDEX(Input!$1:$1048576,$JG$93,$C179*2+6)</f>
        <v>140</v>
      </c>
      <c r="IA179" s="644">
        <f>INDEX(Input!$1:$1048576,IA$93,$C179*2+6)*INDEX(Input!$1:$1048576,$JG$93,$C179*2+6)</f>
        <v>683</v>
      </c>
      <c r="IB179" s="644">
        <f t="shared" si="576"/>
        <v>217.3735305741103</v>
      </c>
      <c r="IC179" s="644">
        <f t="shared" si="577"/>
        <v>176.15594398999232</v>
      </c>
      <c r="ID179" s="644">
        <f>IF(AND(INDEX(Input!$1:$1048576,IA$93,$C179*2+7)="TOS",Y179&lt;=INDEX(Y:Y,MATCH(C179*1000+2,A:A))),0,1)*MAX(IA179+HR179+HU179+HX179,0%)</f>
        <v>722.29586649918315</v>
      </c>
      <c r="IE179" s="128">
        <f t="shared" si="578"/>
        <v>0.19480963783003169</v>
      </c>
      <c r="IF179" s="128">
        <f t="shared" si="579"/>
        <v>0.15787053538516235</v>
      </c>
      <c r="IG179" s="128">
        <f t="shared" si="580"/>
        <v>0.64731982678480593</v>
      </c>
      <c r="IH179" s="21"/>
      <c r="II179" s="19">
        <f t="shared" si="581"/>
        <v>1200</v>
      </c>
      <c r="IJ179" s="19">
        <f t="shared" si="582"/>
        <v>2231.5502763133163</v>
      </c>
      <c r="IK179" s="19">
        <f t="shared" si="583"/>
        <v>4498</v>
      </c>
      <c r="IL179" s="19">
        <f t="shared" si="584"/>
        <v>1150</v>
      </c>
      <c r="IM179" s="19">
        <f t="shared" si="585"/>
        <v>1572.2684796532722</v>
      </c>
      <c r="IN179" s="19">
        <f t="shared" si="586"/>
        <v>324.99999999999909</v>
      </c>
      <c r="IO179" s="39">
        <f t="shared" si="587"/>
        <v>0</v>
      </c>
      <c r="IP179" s="39">
        <f t="shared" si="588"/>
        <v>0</v>
      </c>
      <c r="IQ179" s="39">
        <f t="shared" si="589"/>
        <v>0</v>
      </c>
      <c r="IR179" s="39">
        <v>0</v>
      </c>
      <c r="IS179" s="39">
        <v>0</v>
      </c>
      <c r="IT179" s="39">
        <v>0</v>
      </c>
      <c r="IU179" s="39">
        <v>0</v>
      </c>
      <c r="IV179" s="39">
        <v>0</v>
      </c>
      <c r="IW179" s="39">
        <v>0</v>
      </c>
      <c r="IX179" s="39">
        <f>INDEX(Input!$1:$1048576,IX$93,$C179*2+6)+INDEX(Input!$1:$1048576,IX$94,$C179*2+6)</f>
        <v>1600</v>
      </c>
      <c r="IY179" s="39">
        <f>INDEX(Input!$1:$1048576,IY$93,$C179*2+6)+INDEX(Input!$1:$1048576,IY$94,$C179*2+6)</f>
        <v>2503.5492916397525</v>
      </c>
      <c r="IZ179" s="39">
        <f>INDEX(Input!$1:$1048576,IZ$93,$C179*2+6)+INDEX(Input!$1:$1048576,IZ$94,$C179*2+6)</f>
        <v>6273.7109265464023</v>
      </c>
      <c r="JA179" s="19">
        <f t="shared" si="590"/>
        <v>2750</v>
      </c>
      <c r="JB179" s="19">
        <f t="shared" si="591"/>
        <v>4075.8177712930246</v>
      </c>
      <c r="JC179" s="19">
        <f t="shared" si="592"/>
        <v>6598.7109265464014</v>
      </c>
      <c r="JD179" s="19">
        <f t="shared" si="593"/>
        <v>5450.6544516939994</v>
      </c>
      <c r="JE179" s="21"/>
      <c r="JF179" s="1">
        <f t="shared" si="594"/>
        <v>7.6148954918618686E-2</v>
      </c>
      <c r="JG179" s="15">
        <f>INDEX(Input!$1:$1048576,JG$93,$C179*2+6)/(1+VLOOKUP(C179*1000+INDEX(Input!$1:$1048576,JG$93+1,$C179*2+6),$A:$KK,$JK$92,FALSE))</f>
        <v>978</v>
      </c>
      <c r="JH179" s="1">
        <f t="shared" si="595"/>
        <v>8.0913874365368732E-2</v>
      </c>
      <c r="JI179" s="1">
        <f t="shared" si="596"/>
        <v>6.0011832243307944E-2</v>
      </c>
      <c r="JJ179" s="1">
        <f t="shared" si="597"/>
        <v>0</v>
      </c>
      <c r="JK179" s="1">
        <f t="shared" si="598"/>
        <v>0.14092570660867668</v>
      </c>
      <c r="JL179" s="15">
        <f t="shared" si="599"/>
        <v>137.82534106328578</v>
      </c>
      <c r="JM179" s="15">
        <f t="shared" si="600"/>
        <v>1115.8253410632858</v>
      </c>
      <c r="JN179" s="21"/>
      <c r="JO179" s="19">
        <f>INDEX(Input!$1:$1048576,JO$93,$C179*2+6)</f>
        <v>5908.5</v>
      </c>
      <c r="JP179" s="19">
        <f>INDEX(Input!$1:$1048576,JP$93,$C179*2+6)</f>
        <v>4993.2939301234746</v>
      </c>
      <c r="JQ179" s="39">
        <f t="shared" si="601"/>
        <v>457.84554830600064</v>
      </c>
      <c r="JR179" s="39">
        <f t="shared" si="602"/>
        <v>457.36052157052472</v>
      </c>
      <c r="JS179" s="39">
        <f t="shared" si="603"/>
        <v>6.0819783625795738</v>
      </c>
      <c r="JT179" s="39">
        <f t="shared" si="604"/>
        <v>1.1985368989188159</v>
      </c>
      <c r="JU179" s="385">
        <f>(JQ179*JM179-INDEX(Input!$1:$1048576,Input!A$18,$C179*2+6)*JL179*INDEX(Input!$1:$1048576,Input!A$19,$C179*2+6))/1000000</f>
        <v>0.51087566509285032</v>
      </c>
      <c r="JV179" s="39">
        <f t="shared" si="605"/>
        <v>-0.38419587124639143</v>
      </c>
      <c r="JW179" s="1">
        <f t="shared" si="606"/>
        <v>-0.42923482162969495</v>
      </c>
      <c r="JX179" s="19">
        <f t="shared" si="607"/>
        <v>8696.0561074793877</v>
      </c>
      <c r="JZ179" s="341"/>
      <c r="KA179" s="342"/>
      <c r="KB179" s="469">
        <f t="shared" si="509"/>
        <v>3.2656316020464753</v>
      </c>
      <c r="KI179" s="473">
        <f t="shared" si="608"/>
        <v>62.373530574110333</v>
      </c>
      <c r="KJ179" s="473">
        <f t="shared" si="609"/>
        <v>36.155943989992323</v>
      </c>
      <c r="KK179" s="473">
        <f t="shared" si="610"/>
        <v>39.295866499183148</v>
      </c>
      <c r="KN179" s="544">
        <f t="shared" si="611"/>
        <v>1002</v>
      </c>
      <c r="KO179" s="541">
        <f t="shared" si="612"/>
        <v>5.4546214033144746E-2</v>
      </c>
      <c r="KP179" s="546">
        <f t="shared" si="613"/>
        <v>331.17388087053627</v>
      </c>
      <c r="KQ179" s="546">
        <f t="shared" si="614"/>
        <v>96.200551718558927</v>
      </c>
      <c r="KR179" s="548">
        <f t="shared" si="615"/>
        <v>2.3619691712037767</v>
      </c>
      <c r="KS179" s="548">
        <f t="shared" si="616"/>
        <v>8.1311643535326326</v>
      </c>
      <c r="KT179" s="473">
        <f t="shared" si="510"/>
        <v>-82.310573396665475</v>
      </c>
      <c r="KU179" s="663">
        <f t="shared" si="617"/>
        <v>-52.596535901418846</v>
      </c>
    </row>
    <row r="180" spans="1:307" s="26" customFormat="1" ht="15" outlineLevel="1">
      <c r="A180" s="561">
        <f t="shared" si="386"/>
        <v>1080</v>
      </c>
      <c r="B180" s="561">
        <f t="shared" si="508"/>
        <v>80</v>
      </c>
      <c r="C180" s="561">
        <f t="shared" si="105"/>
        <v>1</v>
      </c>
      <c r="D180" s="561" t="str">
        <f t="shared" si="376"/>
        <v xml:space="preserve">1000 CC, 0/2.8/3.8/3.9, 2000 Combo, </v>
      </c>
      <c r="E180" s="475">
        <f>INDEX(Input!$1:$1048576,E$93,$C180*2+MIN($B180,2)+5)
+INDEX(Scenarios!E$121:E$200,MATCH($B180,Scenarios!$B$121:$B$200,0))</f>
        <v>2250</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2000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0</v>
      </c>
      <c r="V180" s="478">
        <f>IFERROR(MAX(0,INDEX(Input!$1:$1048576,V$93,$C180*2+MIN($B180,2)+5)
+INDEX(Scenarios!V$121:V$200,MATCH($B180,Scenarios!$B$121:$B$200,0)),),"Market")</f>
        <v>3.7999999999999999E-2</v>
      </c>
      <c r="W180" s="863">
        <f>IFERROR(MAX(0,INDEX(Input!$1:$1048576,W$93,$C180*2+MIN($B180,2)+5)-0%,),"Market")</f>
        <v>3.9E-2</v>
      </c>
      <c r="X180" s="476" t="str">
        <f>INDEX(Input!$1:$1048576,X$93,$C180*2+MIN($B180,2)+5)</f>
        <v>Y</v>
      </c>
      <c r="Y180" s="475">
        <f>INDEX(Input!$1:$1048576,Y$93,$C180*2+MIN($B180,2)+5)
++INDEX(Scenarios!Y$121:Y$200,MATCH($B180,Scenarios!$B$121:$B$200,0))</f>
        <v>2826</v>
      </c>
      <c r="Z180" s="477">
        <f>INDEX(Input!$1:$1048576,Z$93,$C180*2+MIN($B180,2)+5)
+INDEX(Scenarios!Z$121:Z$200,MATCH($B180,Scenarios!$B$121:$B$200,0))</f>
        <v>0</v>
      </c>
      <c r="AA180" s="475">
        <f>INDEX(Input!$1:$1048576,AA$93,$C180*2+MIN($B180,2)+5)</f>
        <v>0</v>
      </c>
      <c r="AB180" s="476">
        <f>INDEX(Input!$1:$1048576,AB$93,$C180*2+MIN($B180,2)+5)</f>
        <v>1</v>
      </c>
      <c r="AC180" s="475">
        <f>INDEX(Input!$1:$1048576,AC$93,$C180*2+MIN($B180,2)+5)
+INDEX(Scenarios!AC$121:AC$200,MATCH($B180,Scenarios!$B$121:$B$200,0))</f>
        <v>0</v>
      </c>
      <c r="AD180" s="476">
        <f>INDEX(Input!$1:$1048576,AD$93,$C180*2+MIN($B180,2)+5)</f>
        <v>0.35</v>
      </c>
      <c r="AE180" s="475">
        <f>INDEX(Input!$1:$1048576,AE$93,$C180*2+MIN($B180,2)+5)
+INDEX(Scenarios!AE$121:AE$200,MATCH($B180,Scenarios!$B$121:$B$200,0))</f>
        <v>0</v>
      </c>
      <c r="AF180" s="476">
        <f>INDEX(Input!$1:$1048576,AF$93,$C180*2+MIN($B180,2)+5)</f>
        <v>1</v>
      </c>
      <c r="AG180" s="475">
        <f>INDEX(Input!$1:$1048576,AG$93,$C180*2+MIN($B180,2)+5)
+INDEX(Scenarios!AG$121:AG$200,MATCH($B180,Scenarios!$B$121:$B$200,0))</f>
        <v>0</v>
      </c>
      <c r="AH180" s="476">
        <f>INDEX(Input!$1:$1048576,AH$93,$C180*2+MIN($B180,2)+5)</f>
        <v>1</v>
      </c>
      <c r="AI180" s="475">
        <f>INDEX(Input!$1:$1048576,AI$93,$C180*2+MIN($B180,2)+5)
+INDEX(Scenarios!AI$121:AI$200,MATCH($B180,Scenarios!$B$121:$B$200,0))</f>
        <v>0</v>
      </c>
      <c r="AJ180" s="476">
        <f>INDEX(Input!$1:$1048576,AJ$93,$C180*2+MIN($B180,2)+5)</f>
        <v>0.35</v>
      </c>
      <c r="AK180" s="150">
        <f>ROUND(INDEX(Input!$1:$1048576,AK$93,$C179*2+MIN($B180,1)+5)+(Y180-VLOOKUP($C180*1000+1,$A:$HH,Y$92,FALSE)),0)</f>
        <v>5482</v>
      </c>
      <c r="AL180" s="150">
        <f>ROUND(INDEX(Input!$1:$1048576,AL$93,$C179*2+MIN($B180,1)+5)-(Y180-VLOOKUP($C180*1000+1,$A:$HH,Y$92,FALSE))/36,0)</f>
        <v>5602</v>
      </c>
      <c r="AM180" s="32" t="str">
        <f t="shared" si="387"/>
        <v>std/std/std/std</v>
      </c>
      <c r="AN180" s="32" t="str">
        <f t="shared" si="388"/>
        <v>$2000 + 0/0/0/3.8/3.9</v>
      </c>
      <c r="AO180" s="32" t="str">
        <f t="shared" si="389"/>
        <v>0/0/0/3.8/3.9</v>
      </c>
      <c r="AP180" s="32" t="str">
        <f t="shared" si="493"/>
        <v>0/2.8/3.8/3.9</v>
      </c>
      <c r="AQ180" s="536">
        <f t="shared" si="492"/>
        <v>0.19553146528560364</v>
      </c>
      <c r="AR180" s="32"/>
      <c r="AS180" s="302"/>
      <c r="AT180" s="3">
        <f t="shared" si="106"/>
        <v>80</v>
      </c>
      <c r="AU180" s="41" t="s">
        <v>121</v>
      </c>
      <c r="AV180" s="41" t="s">
        <v>116</v>
      </c>
      <c r="AW180" s="41" t="str">
        <f>INDEX(Input!$1:$1048576,AW$93,$C180*2+6)</f>
        <v>Kia</v>
      </c>
      <c r="AX180" s="41" t="str">
        <f>INDEX(Input!$1:$1048576,AX$93,$C180*2+6)</f>
        <v>Kia-LR - L1</v>
      </c>
      <c r="AY180" s="41" t="str">
        <f>IF(LEN(D180)=0,"",INDEX(Input!$1:$1048576,AY$93,$C180*2+6))</f>
        <v>Compact Conventional/Sporty Car (43)</v>
      </c>
      <c r="AZ180" s="41" t="str">
        <f>INDEX(Input!$1:$1048576,AZ$93,$C180*2+6)</f>
        <v>Kia Forte</v>
      </c>
      <c r="BA180" s="3">
        <f>INDEX(Input!$1:$1048576,BA$93,$C180*2+6)</f>
        <v>2020</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19695</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94"/>
        <v>2250</v>
      </c>
      <c r="CJ180" s="16" t="str">
        <f>INDEX(Input!$1:$1048576,CJ$93,$C180*2+6)</f>
        <v>N</v>
      </c>
      <c r="CK180" s="1" t="str">
        <f t="shared" si="495"/>
        <v>Market</v>
      </c>
      <c r="CL180" s="1" t="str">
        <f t="shared" si="496"/>
        <v>Market</v>
      </c>
      <c r="CM180" s="1" t="str">
        <f t="shared" si="497"/>
        <v>Market</v>
      </c>
      <c r="CN180" s="1" t="str">
        <f t="shared" si="498"/>
        <v>Market</v>
      </c>
      <c r="CO180" s="1" t="str">
        <f t="shared" si="499"/>
        <v>Market</v>
      </c>
      <c r="CP180" s="304">
        <f t="shared" si="500"/>
        <v>2000</v>
      </c>
      <c r="CQ180" s="1">
        <f t="shared" si="501"/>
        <v>0</v>
      </c>
      <c r="CR180" s="1">
        <f t="shared" si="502"/>
        <v>0</v>
      </c>
      <c r="CS180" s="1">
        <f t="shared" si="503"/>
        <v>0</v>
      </c>
      <c r="CT180" s="1">
        <f t="shared" si="504"/>
        <v>3.7999999999999999E-2</v>
      </c>
      <c r="CU180" s="1">
        <f t="shared" si="505"/>
        <v>3.9E-2</v>
      </c>
      <c r="CV180" s="304">
        <f t="shared" si="506"/>
        <v>2826</v>
      </c>
      <c r="CW180" s="20" t="s">
        <v>122</v>
      </c>
      <c r="CX180" s="20" t="s">
        <v>122</v>
      </c>
      <c r="CY180" s="20" t="s">
        <v>122</v>
      </c>
      <c r="CZ180" s="20" t="s">
        <v>122</v>
      </c>
      <c r="DA180" s="20" t="s">
        <v>122</v>
      </c>
      <c r="DB180" s="503">
        <f t="shared" si="507"/>
        <v>0</v>
      </c>
      <c r="DC180" s="127">
        <v>0</v>
      </c>
      <c r="DD180" s="127">
        <v>0</v>
      </c>
      <c r="DE180" s="127">
        <v>0</v>
      </c>
      <c r="DF180" s="127">
        <v>0</v>
      </c>
      <c r="DG180" s="127">
        <v>0</v>
      </c>
      <c r="DH180" s="127">
        <v>0</v>
      </c>
      <c r="DI180" s="127">
        <v>0</v>
      </c>
      <c r="DJ180" s="127">
        <v>0</v>
      </c>
      <c r="DK180" s="127">
        <v>0</v>
      </c>
      <c r="DL180" s="127">
        <v>0</v>
      </c>
      <c r="DM180" s="304">
        <f>INDEX(Input!$1:$1048576,DM$93,$C180*2+6)</f>
        <v>20731.578947368424</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1.756171120004555E-2</v>
      </c>
      <c r="DZ180" s="7">
        <v>0</v>
      </c>
      <c r="EA180" s="7">
        <v>0.25818344561916035</v>
      </c>
      <c r="EB180" s="7">
        <v>0</v>
      </c>
      <c r="EC180" s="7">
        <v>0</v>
      </c>
      <c r="ED180" s="7">
        <v>0</v>
      </c>
      <c r="EE180" s="7">
        <v>0</v>
      </c>
      <c r="EF180" s="7">
        <v>0</v>
      </c>
      <c r="EG180" s="7">
        <v>0</v>
      </c>
      <c r="EH180" s="7">
        <v>3.0769408971631461E-2</v>
      </c>
      <c r="EI180" s="7">
        <v>4.6036230300559332E-2</v>
      </c>
      <c r="EJ180" s="7">
        <v>0.29344094759788253</v>
      </c>
      <c r="EK180" s="7">
        <v>0.43270635747351044</v>
      </c>
      <c r="EL180" s="7">
        <v>0.197047055656416</v>
      </c>
      <c r="EM180" s="7">
        <v>3.5593801164692337E-2</v>
      </c>
      <c r="EN180" s="7">
        <v>5.668659417593376E-2</v>
      </c>
      <c r="EO180" s="7">
        <v>0.54216995014193592</v>
      </c>
      <c r="EP180" s="7">
        <v>0.31173155381219225</v>
      </c>
      <c r="EQ180" s="7">
        <v>5.195431232660349E-2</v>
      </c>
      <c r="ER180" s="7">
        <v>3.7457589543334731E-2</v>
      </c>
      <c r="ES180" s="7">
        <v>0.68866104201610168</v>
      </c>
      <c r="ET180" s="7">
        <v>0.72425484318079414</v>
      </c>
      <c r="EU180" s="6">
        <v>2600</v>
      </c>
      <c r="EV180" s="6">
        <v>0</v>
      </c>
      <c r="EW180" s="6">
        <v>2600</v>
      </c>
      <c r="EX180" s="6">
        <v>0</v>
      </c>
      <c r="EY180" s="6">
        <v>4097.0234502843414</v>
      </c>
      <c r="EZ180" s="6">
        <v>4822.9999999999991</v>
      </c>
      <c r="FA180" s="6">
        <v>0</v>
      </c>
      <c r="FB180" s="6">
        <v>0</v>
      </c>
      <c r="FC180" s="6">
        <v>0</v>
      </c>
      <c r="FD180" s="6">
        <v>0</v>
      </c>
      <c r="FE180" s="6">
        <v>0</v>
      </c>
      <c r="FF180" s="6">
        <v>0</v>
      </c>
      <c r="FG180" s="6">
        <v>0</v>
      </c>
      <c r="FH180" s="6">
        <v>1147.7342705853871</v>
      </c>
      <c r="FI180" s="6">
        <v>1531.4299904380618</v>
      </c>
      <c r="FJ180" s="6">
        <v>2070.720584253821</v>
      </c>
      <c r="FK180" s="6">
        <v>826.03289024944388</v>
      </c>
      <c r="FL180" s="6">
        <v>893.91433563489386</v>
      </c>
      <c r="FM180" s="6">
        <v>1247.0234502843409</v>
      </c>
      <c r="FN180" s="6">
        <v>0</v>
      </c>
      <c r="FO180" s="6">
        <v>0</v>
      </c>
      <c r="FP180" s="6">
        <v>0</v>
      </c>
      <c r="FQ180" s="6">
        <v>0</v>
      </c>
      <c r="FR180" s="6">
        <v>0</v>
      </c>
      <c r="FS180" s="6">
        <v>0</v>
      </c>
      <c r="FT180" s="7">
        <v>0.27574515681920592</v>
      </c>
      <c r="FU180" s="7">
        <v>3.5593801164692337E-2</v>
      </c>
      <c r="FV180" s="7">
        <v>0.68866104201610168</v>
      </c>
      <c r="FW180" s="6">
        <v>2600</v>
      </c>
      <c r="FX180" s="6">
        <v>4097.0234502843414</v>
      </c>
      <c r="FY180" s="6">
        <v>4822.9999999999991</v>
      </c>
      <c r="FZ180" s="6">
        <v>3077.4375890575293</v>
      </c>
      <c r="GA180" s="6">
        <v>4184.1782514300958</v>
      </c>
      <c r="GB180" s="6">
        <v>15510.821748569904</v>
      </c>
      <c r="GC180" s="7">
        <v>7.0901643973087014E-2</v>
      </c>
      <c r="GD180" s="7">
        <v>8.3510590525480224E-2</v>
      </c>
      <c r="GE180" s="7"/>
      <c r="GF180" s="7"/>
      <c r="GG180" s="7">
        <v>0.17783715363750013</v>
      </c>
      <c r="GH180" s="42">
        <v>3.1647005120260991</v>
      </c>
      <c r="GI180" s="6">
        <v>10407.515949628558</v>
      </c>
      <c r="GJ180" s="14">
        <v>0.5107463060103955</v>
      </c>
      <c r="GK180" s="14">
        <v>0.5082951978616097</v>
      </c>
      <c r="GL180" s="14">
        <v>0.48925369398960439</v>
      </c>
      <c r="GM180" s="14">
        <v>0.49170480213839018</v>
      </c>
      <c r="GO180" s="5">
        <v>338.16872463277008</v>
      </c>
      <c r="GP180" s="5">
        <v>288.56568471597211</v>
      </c>
      <c r="GQ180" s="5">
        <v>527.27910984145694</v>
      </c>
      <c r="GR180" s="5">
        <v>404.20319246551543</v>
      </c>
      <c r="GS180" s="5">
        <v>334.50205195691484</v>
      </c>
      <c r="GT180" s="5">
        <v>289.18266033348181</v>
      </c>
      <c r="GU180" s="5">
        <v>254.29573314828914</v>
      </c>
      <c r="GV180" s="39" t="s">
        <v>392</v>
      </c>
      <c r="GW180" s="5">
        <v>413.20833333333331</v>
      </c>
      <c r="GX180" s="5">
        <v>309.90625</v>
      </c>
      <c r="GY180" s="5">
        <v>247.92500000000001</v>
      </c>
      <c r="GZ180" s="5">
        <v>231.37681687628188</v>
      </c>
      <c r="HA180" s="5">
        <v>202.64630440458183</v>
      </c>
      <c r="HB180" s="39">
        <v>239.78151588553533</v>
      </c>
      <c r="HC180" s="5">
        <v>72.109375000000014</v>
      </c>
      <c r="HD180" s="5">
        <v>92.305464181286524</v>
      </c>
      <c r="HE180" s="5">
        <v>103.7516995614035</v>
      </c>
      <c r="HF180" s="5">
        <v>106.17129934210527</v>
      </c>
      <c r="HG180" s="5">
        <v>115.13410087719299</v>
      </c>
      <c r="HH180" s="39">
        <v>96.304265044073503</v>
      </c>
      <c r="HI180" s="16"/>
      <c r="HJ180" s="19" t="str">
        <f t="shared" ref="HJ180:HK181" si="624">HJ179</f>
        <v>On</v>
      </c>
      <c r="HK180" s="1" t="str">
        <f t="shared" si="624"/>
        <v>On</v>
      </c>
      <c r="HL180" s="16"/>
      <c r="HM180" s="639">
        <f t="shared" si="567"/>
        <v>1.7699001661282989E-2</v>
      </c>
      <c r="HN180" s="639">
        <f t="shared" si="568"/>
        <v>1.0509929974846072E-3</v>
      </c>
      <c r="HO180" s="639">
        <f t="shared" si="569"/>
        <v>5.7398960259851091E-2</v>
      </c>
      <c r="HP180" s="644">
        <f>(FT180*$GD180-HM180)/$JF180*INDEX(Input!$1:$1048576,$JG$93,$C180*2+6)</f>
        <v>68.43704108580981</v>
      </c>
      <c r="HQ180" s="644">
        <f>(FU180*$GD180-HN180)/$JF180*INDEX(Input!$1:$1048576,$JG$93,$C180*2+6)</f>
        <v>24.677871140628721</v>
      </c>
      <c r="HR180" s="644">
        <f>(FV180*$GD180-HO180)/$JF180*INDEX(Input!$1:$1048576,$JG$93,$C180*2+6)</f>
        <v>1.4324079725709058</v>
      </c>
      <c r="HS180" s="644">
        <f t="shared" si="570"/>
        <v>-0.649089823484442</v>
      </c>
      <c r="HT180" s="644">
        <f t="shared" si="571"/>
        <v>42.899515734919262</v>
      </c>
      <c r="HU180" s="644">
        <f t="shared" si="572"/>
        <v>24.599183876805949</v>
      </c>
      <c r="HV180" s="648">
        <f t="shared" si="573"/>
        <v>0</v>
      </c>
      <c r="HW180" s="648">
        <f t="shared" si="574"/>
        <v>0</v>
      </c>
      <c r="HX180" s="648">
        <f t="shared" si="575"/>
        <v>0</v>
      </c>
      <c r="HY180" s="644">
        <f>INDEX(Input!$1:$1048576,HY$93,$C180*2+6)*INDEX(Input!$1:$1048576,$JG$93,$C180*2+6)</f>
        <v>154.99999999999997</v>
      </c>
      <c r="HZ180" s="644">
        <f>INDEX(Input!$1:$1048576,HZ$93,$C180*2+6)*INDEX(Input!$1:$1048576,$JG$93,$C180*2+6)</f>
        <v>140</v>
      </c>
      <c r="IA180" s="644">
        <f>INDEX(Input!$1:$1048576,IA$93,$C180*2+6)*INDEX(Input!$1:$1048576,$JG$93,$C180*2+6)</f>
        <v>683</v>
      </c>
      <c r="IB180" s="644">
        <f t="shared" si="576"/>
        <v>222.78795126232535</v>
      </c>
      <c r="IC180" s="644">
        <f t="shared" si="577"/>
        <v>207.57738687554797</v>
      </c>
      <c r="ID180" s="644">
        <f>IF(AND(INDEX(Input!$1:$1048576,IA$93,$C180*2+7)="TOS",Y180&lt;=INDEX(Y:Y,MATCH(C180*1000+2,A:A))),0,1)*MAX(IA180+HR180+HU180+HX180,0%)</f>
        <v>709.03159184937681</v>
      </c>
      <c r="IE180" s="128">
        <f t="shared" si="578"/>
        <v>0.19553146528560364</v>
      </c>
      <c r="IF180" s="128">
        <f t="shared" si="579"/>
        <v>0.18218180285764923</v>
      </c>
      <c r="IG180" s="128">
        <f t="shared" si="580"/>
        <v>0.6222867318567471</v>
      </c>
      <c r="IH180" s="21"/>
      <c r="II180" s="19">
        <f t="shared" si="581"/>
        <v>1200</v>
      </c>
      <c r="IJ180" s="19">
        <f t="shared" si="582"/>
        <v>2231.5502763133163</v>
      </c>
      <c r="IK180" s="19">
        <f t="shared" si="583"/>
        <v>4498</v>
      </c>
      <c r="IL180" s="19">
        <f t="shared" si="584"/>
        <v>1400</v>
      </c>
      <c r="IM180" s="19">
        <f t="shared" si="585"/>
        <v>1865.4731739710251</v>
      </c>
      <c r="IN180" s="19">
        <f t="shared" si="586"/>
        <v>324.99999999999909</v>
      </c>
      <c r="IO180" s="39">
        <f t="shared" si="587"/>
        <v>0</v>
      </c>
      <c r="IP180" s="39">
        <f t="shared" si="588"/>
        <v>0</v>
      </c>
      <c r="IQ180" s="39">
        <f t="shared" si="589"/>
        <v>0</v>
      </c>
      <c r="IR180" s="39">
        <v>0</v>
      </c>
      <c r="IS180" s="39">
        <v>0</v>
      </c>
      <c r="IT180" s="39">
        <v>0</v>
      </c>
      <c r="IU180" s="39">
        <v>0</v>
      </c>
      <c r="IV180" s="39">
        <v>0</v>
      </c>
      <c r="IW180" s="39">
        <v>0</v>
      </c>
      <c r="IX180" s="39">
        <f>INDEX(Input!$1:$1048576,IX$93,$C180*2+6)+INDEX(Input!$1:$1048576,IX$94,$C180*2+6)</f>
        <v>1600</v>
      </c>
      <c r="IY180" s="39">
        <f>INDEX(Input!$1:$1048576,IY$93,$C180*2+6)+INDEX(Input!$1:$1048576,IY$94,$C180*2+6)</f>
        <v>2503.5492916397525</v>
      </c>
      <c r="IZ180" s="39">
        <f>INDEX(Input!$1:$1048576,IZ$93,$C180*2+6)+INDEX(Input!$1:$1048576,IZ$94,$C180*2+6)</f>
        <v>6273.7109265464023</v>
      </c>
      <c r="JA180" s="19">
        <f t="shared" si="590"/>
        <v>3000</v>
      </c>
      <c r="JB180" s="19">
        <f t="shared" si="591"/>
        <v>4369.0224656107775</v>
      </c>
      <c r="JC180" s="19">
        <f t="shared" si="592"/>
        <v>6598.7109265464014</v>
      </c>
      <c r="JD180" s="19">
        <f t="shared" si="593"/>
        <v>5488.8410423153218</v>
      </c>
      <c r="JE180" s="21"/>
      <c r="JF180" s="1">
        <f t="shared" si="594"/>
        <v>7.6148954918618686E-2</v>
      </c>
      <c r="JG180" s="15">
        <f>INDEX(Input!$1:$1048576,JG$93,$C180*2+6)/(1+VLOOKUP(C180*1000+INDEX(Input!$1:$1048576,JG$93+1,$C180*2+6),$A:$KK,$JK$92,FALSE))</f>
        <v>978</v>
      </c>
      <c r="JH180" s="1">
        <f t="shared" si="595"/>
        <v>9.6674151532729485E-2</v>
      </c>
      <c r="JI180" s="1">
        <f t="shared" si="596"/>
        <v>6.8353384241554974E-2</v>
      </c>
      <c r="JJ180" s="1">
        <f t="shared" si="597"/>
        <v>0</v>
      </c>
      <c r="JK180" s="1">
        <f t="shared" si="598"/>
        <v>0.16502753577428447</v>
      </c>
      <c r="JL180" s="15">
        <f t="shared" si="599"/>
        <v>161.39692998725022</v>
      </c>
      <c r="JM180" s="15">
        <f t="shared" si="600"/>
        <v>1139.3969299872501</v>
      </c>
      <c r="JN180" s="21"/>
      <c r="JO180" s="19">
        <f>INDEX(Input!$1:$1048576,JO$93,$C180*2+6)</f>
        <v>5908.5</v>
      </c>
      <c r="JP180" s="19">
        <f>INDEX(Input!$1:$1048576,JP$93,$C180*2+6)</f>
        <v>4993.2939301234746</v>
      </c>
      <c r="JQ180" s="39">
        <f t="shared" si="601"/>
        <v>419.65895768467817</v>
      </c>
      <c r="JR180" s="39">
        <f t="shared" si="602"/>
        <v>495.54711219184719</v>
      </c>
      <c r="JS180" s="39">
        <f t="shared" si="603"/>
        <v>6.2539686328020965</v>
      </c>
      <c r="JT180" s="39">
        <f t="shared" si="604"/>
        <v>1.3705271691413381</v>
      </c>
      <c r="JU180" s="385">
        <f>(JQ180*JM180-INDEX(Input!$1:$1048576,Input!A$18,$C180*2+6)*JL180*INDEX(Input!$1:$1048576,Input!A$19,$C180*2+6))/1000000</f>
        <v>0.47815812802757157</v>
      </c>
      <c r="JV180" s="39">
        <f t="shared" si="605"/>
        <v>-0.41691340831167017</v>
      </c>
      <c r="JW180" s="1">
        <f t="shared" si="606"/>
        <v>-0.4657878073263359</v>
      </c>
      <c r="JX180" s="19">
        <f t="shared" si="607"/>
        <v>8491.6557536107084</v>
      </c>
      <c r="JZ180" s="341"/>
      <c r="KA180" s="342"/>
      <c r="KB180" s="469">
        <f t="shared" si="509"/>
        <v>3.2656316020464753</v>
      </c>
      <c r="KI180" s="473">
        <f t="shared" si="608"/>
        <v>67.787951262325379</v>
      </c>
      <c r="KJ180" s="473">
        <f t="shared" si="609"/>
        <v>67.577386875547973</v>
      </c>
      <c r="KK180" s="473">
        <f t="shared" si="610"/>
        <v>26.031591849376809</v>
      </c>
      <c r="KN180" s="544">
        <f t="shared" si="611"/>
        <v>1002</v>
      </c>
      <c r="KO180" s="541">
        <f t="shared" si="612"/>
        <v>7.6823293557817696E-2</v>
      </c>
      <c r="KP180" s="546">
        <f t="shared" si="613"/>
        <v>462.51401015916656</v>
      </c>
      <c r="KQ180" s="546">
        <f t="shared" si="614"/>
        <v>134.38714233988139</v>
      </c>
      <c r="KR180" s="548">
        <f t="shared" si="615"/>
        <v>2.3819559161947912</v>
      </c>
      <c r="KS180" s="548">
        <f t="shared" si="616"/>
        <v>8.1978674718396931</v>
      </c>
      <c r="KT180" s="473">
        <f t="shared" si="510"/>
        <v>-82.310573396665475</v>
      </c>
      <c r="KU180" s="663">
        <f t="shared" si="617"/>
        <v>-53.258176566997179</v>
      </c>
    </row>
    <row r="181" spans="1:307" s="26" customFormat="1" ht="15" outlineLevel="1">
      <c r="A181" s="561">
        <f t="shared" si="386"/>
        <v>1081</v>
      </c>
      <c r="B181" s="561">
        <f t="shared" si="508"/>
        <v>81</v>
      </c>
      <c r="C181" s="561">
        <f t="shared" si="105"/>
        <v>1</v>
      </c>
      <c r="D181" s="561" t="str">
        <f t="shared" si="376"/>
        <v xml:space="preserve">-500 Trim BC, </v>
      </c>
      <c r="E181" s="475">
        <f>INDEX(Input!$1:$1048576,E$93,$C181*2+MIN($B181,2)+5)
+INDEX(Scenarios!E$121:E$200,MATCH($B181,Scenarios!$B$121:$B$200,0))</f>
        <v>1250</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0</v>
      </c>
      <c r="V181" s="478">
        <f>IFERROR(MAX(0,INDEX(Input!$1:$1048576,V$93,$C181*2+MIN($B181,2)+5)
+INDEX(Scenarios!V$121:V$200,MATCH($B181,Scenarios!$B$121:$B$200,0)),),"Market")</f>
        <v>1.9E-2</v>
      </c>
      <c r="W181" s="863">
        <f>IFERROR(MAX(0,INDEX(Input!$1:$1048576,W$93,$C181*2+MIN($B181,2)+5)-0%,),"Market")</f>
        <v>3.9E-2</v>
      </c>
      <c r="X181" s="476" t="str">
        <f>INDEX(Input!$1:$1048576,X$93,$C181*2+MIN($B181,2)+5)</f>
        <v>Y</v>
      </c>
      <c r="Y181" s="475">
        <f>INDEX(Input!$1:$1048576,Y$93,$C181*2+MIN($B181,2)+5)
++INDEX(Scenarios!Y$121:Y$200,MATCH($B181,Scenarios!$B$121:$B$200,0))</f>
        <v>2826</v>
      </c>
      <c r="Z181" s="477">
        <f>INDEX(Input!$1:$1048576,Z$93,$C181*2+MIN($B181,2)+5)
+INDEX(Scenarios!Z$121:Z$200,MATCH($B181,Scenarios!$B$121:$B$200,0))</f>
        <v>0</v>
      </c>
      <c r="AA181" s="475">
        <f>INDEX(Input!$1:$1048576,AA$93,$C181*2+MIN($B181,2)+5)</f>
        <v>0</v>
      </c>
      <c r="AB181" s="476">
        <f>INDEX(Input!$1:$1048576,AB$93,$C181*2+MIN($B181,2)+5)</f>
        <v>1</v>
      </c>
      <c r="AC181" s="475">
        <f>INDEX(Input!$1:$1048576,AC$93,$C181*2+MIN($B181,2)+5)
+INDEX(Scenarios!AC$121:AC$200,MATCH($B181,Scenarios!$B$121:$B$200,0))</f>
        <v>0</v>
      </c>
      <c r="AD181" s="476">
        <f>INDEX(Input!$1:$1048576,AD$93,$C181*2+MIN($B181,2)+5)</f>
        <v>0.35</v>
      </c>
      <c r="AE181" s="475">
        <f>INDEX(Input!$1:$1048576,AE$93,$C181*2+MIN($B181,2)+5)
+INDEX(Scenarios!AE$121:AE$200,MATCH($B181,Scenarios!$B$121:$B$200,0))</f>
        <v>0</v>
      </c>
      <c r="AF181" s="476">
        <f>INDEX(Input!$1:$1048576,AF$93,$C181*2+MIN($B181,2)+5)</f>
        <v>1</v>
      </c>
      <c r="AG181" s="475">
        <f>INDEX(Input!$1:$1048576,AG$93,$C181*2+MIN($B181,2)+5)
+INDEX(Scenarios!AG$121:AG$200,MATCH($B181,Scenarios!$B$121:$B$200,0))</f>
        <v>-500</v>
      </c>
      <c r="AH181" s="476">
        <f>INDEX(Input!$1:$1048576,AH$93,$C181*2+MIN($B181,2)+5)</f>
        <v>1</v>
      </c>
      <c r="AI181" s="475">
        <f>INDEX(Input!$1:$1048576,AI$93,$C181*2+MIN($B181,2)+5)
+INDEX(Scenarios!AI$121:AI$200,MATCH($B181,Scenarios!$B$121:$B$200,0))</f>
        <v>0</v>
      </c>
      <c r="AJ181" s="476">
        <f>INDEX(Input!$1:$1048576,AJ$93,$C181*2+MIN($B181,2)+5)</f>
        <v>0.35</v>
      </c>
      <c r="AK181" s="150">
        <f>ROUND(INDEX(Input!$1:$1048576,AK$93,$C180*2+MIN($B181,1)+5)+(Y181-VLOOKUP($C181*1000+1,$A:$HH,Y$92,FALSE)),0)</f>
        <v>5482</v>
      </c>
      <c r="AL181" s="150">
        <f>ROUND(INDEX(Input!$1:$1048576,AL$93,$C180*2+MIN($B181,1)+5)-(Y181-VLOOKUP($C181*1000+1,$A:$HH,Y$92,FALSE))/36,0)</f>
        <v>5602</v>
      </c>
      <c r="AM181" s="32" t="str">
        <f t="shared" si="387"/>
        <v>std/std/std/std</v>
      </c>
      <c r="AN181" s="32" t="str">
        <f t="shared" si="388"/>
        <v>$0 + 0/0/0/1.9/3.9</v>
      </c>
      <c r="AO181" s="32" t="str">
        <f t="shared" si="389"/>
        <v>0/0/0/1.9/3.9</v>
      </c>
      <c r="AP181" s="32" t="str">
        <f t="shared" si="493"/>
        <v>0/0.9/1.9/3.9</v>
      </c>
      <c r="AQ181" s="536">
        <f t="shared" si="492"/>
        <v>0.16504685811942404</v>
      </c>
      <c r="AR181" s="32"/>
      <c r="AS181" s="302"/>
      <c r="AT181" s="3">
        <f t="shared" si="106"/>
        <v>81</v>
      </c>
      <c r="AU181" s="41" t="s">
        <v>121</v>
      </c>
      <c r="AV181" s="41" t="s">
        <v>116</v>
      </c>
      <c r="AW181" s="41" t="str">
        <f>INDEX(Input!$1:$1048576,AW$93,$C181*2+6)</f>
        <v>Kia</v>
      </c>
      <c r="AX181" s="41" t="str">
        <f>INDEX(Input!$1:$1048576,AX$93,$C181*2+6)</f>
        <v>Kia-LR - L1</v>
      </c>
      <c r="AY181" s="41" t="str">
        <f>IF(LEN(D181)=0,"",INDEX(Input!$1:$1048576,AY$93,$C181*2+6))</f>
        <v>Compact Conventional/Sporty Car (43)</v>
      </c>
      <c r="AZ181" s="41" t="str">
        <f>INDEX(Input!$1:$1048576,AZ$93,$C181*2+6)</f>
        <v>Kia Forte</v>
      </c>
      <c r="BA181" s="3">
        <f>INDEX(Input!$1:$1048576,BA$93,$C181*2+6)</f>
        <v>2020</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19695</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94"/>
        <v>1250</v>
      </c>
      <c r="CJ181" s="16" t="str">
        <f>INDEX(Input!$1:$1048576,CJ$93,$C181*2+6)</f>
        <v>N</v>
      </c>
      <c r="CK181" s="1" t="str">
        <f t="shared" si="495"/>
        <v>Market</v>
      </c>
      <c r="CL181" s="1" t="str">
        <f t="shared" si="496"/>
        <v>Market</v>
      </c>
      <c r="CM181" s="1" t="str">
        <f t="shared" si="497"/>
        <v>Market</v>
      </c>
      <c r="CN181" s="1" t="str">
        <f t="shared" si="498"/>
        <v>Market</v>
      </c>
      <c r="CO181" s="1" t="str">
        <f t="shared" si="499"/>
        <v>Market</v>
      </c>
      <c r="CP181" s="304">
        <f t="shared" si="500"/>
        <v>0</v>
      </c>
      <c r="CQ181" s="1">
        <f t="shared" si="501"/>
        <v>0</v>
      </c>
      <c r="CR181" s="1">
        <f t="shared" si="502"/>
        <v>0</v>
      </c>
      <c r="CS181" s="1">
        <f t="shared" si="503"/>
        <v>0</v>
      </c>
      <c r="CT181" s="1">
        <f t="shared" si="504"/>
        <v>1.9E-2</v>
      </c>
      <c r="CU181" s="1">
        <f t="shared" si="505"/>
        <v>3.9E-2</v>
      </c>
      <c r="CV181" s="304">
        <f t="shared" si="506"/>
        <v>2826</v>
      </c>
      <c r="CW181" s="20" t="s">
        <v>122</v>
      </c>
      <c r="CX181" s="20" t="s">
        <v>122</v>
      </c>
      <c r="CY181" s="20" t="s">
        <v>122</v>
      </c>
      <c r="CZ181" s="20" t="s">
        <v>122</v>
      </c>
      <c r="DA181" s="20" t="s">
        <v>122</v>
      </c>
      <c r="DB181" s="503">
        <f t="shared" si="507"/>
        <v>-500</v>
      </c>
      <c r="DC181" s="127">
        <v>0</v>
      </c>
      <c r="DD181" s="127">
        <v>0</v>
      </c>
      <c r="DE181" s="127">
        <v>0</v>
      </c>
      <c r="DF181" s="127">
        <v>0</v>
      </c>
      <c r="DG181" s="127">
        <v>0</v>
      </c>
      <c r="DH181" s="127">
        <v>0</v>
      </c>
      <c r="DI181" s="127">
        <v>0</v>
      </c>
      <c r="DJ181" s="127">
        <v>0</v>
      </c>
      <c r="DK181" s="127">
        <v>0</v>
      </c>
      <c r="DL181" s="127">
        <v>0</v>
      </c>
      <c r="DM181" s="304">
        <f>INDEX(Input!$1:$1048576,DM$93,$C181*2+6)</f>
        <v>20731.578947368424</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1.4226607327577565E-2</v>
      </c>
      <c r="DZ181" s="7">
        <v>0</v>
      </c>
      <c r="EA181" s="7">
        <v>0.22470013063428165</v>
      </c>
      <c r="EB181" s="7">
        <v>0</v>
      </c>
      <c r="EC181" s="7">
        <v>0</v>
      </c>
      <c r="ED181" s="7">
        <v>0</v>
      </c>
      <c r="EE181" s="7">
        <v>0</v>
      </c>
      <c r="EF181" s="7">
        <v>0</v>
      </c>
      <c r="EG181" s="7">
        <v>0</v>
      </c>
      <c r="EH181" s="7">
        <v>1.9867163211649871E-2</v>
      </c>
      <c r="EI181" s="7">
        <v>3.5734944822064234E-2</v>
      </c>
      <c r="EJ181" s="7">
        <v>0.28104141462213034</v>
      </c>
      <c r="EK181" s="7">
        <v>0.62010092925970706</v>
      </c>
      <c r="EL181" s="7">
        <v>4.3255548084448141E-2</v>
      </c>
      <c r="EM181" s="7">
        <v>1.4189406773942164E-2</v>
      </c>
      <c r="EN181" s="7">
        <v>5.4381796584738615E-2</v>
      </c>
      <c r="EO181" s="7">
        <v>0.54394594151254327</v>
      </c>
      <c r="EP181" s="7">
        <v>0.30917682832883675</v>
      </c>
      <c r="EQ181" s="7">
        <v>5.3726889171236081E-2</v>
      </c>
      <c r="ER181" s="7">
        <v>3.8768544402645419E-2</v>
      </c>
      <c r="ES181" s="7">
        <v>0.74688385526419865</v>
      </c>
      <c r="ET181" s="7">
        <v>0.76107326203814074</v>
      </c>
      <c r="EU181" s="6">
        <v>1100</v>
      </c>
      <c r="EV181" s="6">
        <v>0</v>
      </c>
      <c r="EW181" s="6">
        <v>1100</v>
      </c>
      <c r="EX181" s="6">
        <v>0</v>
      </c>
      <c r="EY181" s="6">
        <v>2131.5502763133159</v>
      </c>
      <c r="EZ181" s="6">
        <v>4322.9999999999991</v>
      </c>
      <c r="FA181" s="6">
        <v>0</v>
      </c>
      <c r="FB181" s="6">
        <v>0</v>
      </c>
      <c r="FC181" s="6">
        <v>0</v>
      </c>
      <c r="FD181" s="6">
        <v>0</v>
      </c>
      <c r="FE181" s="6">
        <v>0</v>
      </c>
      <c r="FF181" s="6">
        <v>0</v>
      </c>
      <c r="FG181" s="6">
        <v>0</v>
      </c>
      <c r="FH181" s="6">
        <v>1152.1208270377813</v>
      </c>
      <c r="FI181" s="6">
        <v>1531.4299904380618</v>
      </c>
      <c r="FJ181" s="6">
        <v>2070.7205842538219</v>
      </c>
      <c r="FK181" s="6">
        <v>1746.9903521590438</v>
      </c>
      <c r="FL181" s="6">
        <v>893.91433563489397</v>
      </c>
      <c r="FM181" s="6">
        <v>1781.5502763133159</v>
      </c>
      <c r="FN181" s="6">
        <v>0</v>
      </c>
      <c r="FO181" s="6">
        <v>0</v>
      </c>
      <c r="FP181" s="6">
        <v>0</v>
      </c>
      <c r="FQ181" s="6">
        <v>0</v>
      </c>
      <c r="FR181" s="6">
        <v>0</v>
      </c>
      <c r="FS181" s="6">
        <v>0</v>
      </c>
      <c r="FT181" s="7">
        <v>0.2389267379618592</v>
      </c>
      <c r="FU181" s="7">
        <v>1.4189406773942164E-2</v>
      </c>
      <c r="FV181" s="7">
        <v>0.74688385526419865</v>
      </c>
      <c r="FW181" s="6">
        <v>1100</v>
      </c>
      <c r="FX181" s="6">
        <v>2131.5502763133159</v>
      </c>
      <c r="FY181" s="6">
        <v>4322.9999999999991</v>
      </c>
      <c r="FZ181" s="6">
        <v>3077.4375890575293</v>
      </c>
      <c r="GA181" s="6">
        <v>3521.8437519948934</v>
      </c>
      <c r="GB181" s="6">
        <v>16173.156248005107</v>
      </c>
      <c r="GC181" s="7">
        <v>7.0901643973087014E-2</v>
      </c>
      <c r="GD181" s="7">
        <v>7.4289818149421261E-2</v>
      </c>
      <c r="GE181" s="7"/>
      <c r="GF181" s="7"/>
      <c r="GG181" s="7">
        <v>4.7786962141813473E-2</v>
      </c>
      <c r="GH181" s="42">
        <v>2.1178019070713625</v>
      </c>
      <c r="GI181" s="6">
        <v>12821.580396030482</v>
      </c>
      <c r="GJ181" s="14">
        <v>0.51074630601039539</v>
      </c>
      <c r="GK181" s="14">
        <v>0.50829519786160948</v>
      </c>
      <c r="GL181" s="14">
        <v>0.48925369398960417</v>
      </c>
      <c r="GM181" s="14">
        <v>0.49170480213839007</v>
      </c>
      <c r="GO181" s="5">
        <v>338.16872463277008</v>
      </c>
      <c r="GP181" s="5">
        <v>317.18282312950942</v>
      </c>
      <c r="GQ181" s="5">
        <v>527.27910984145694</v>
      </c>
      <c r="GR181" s="5">
        <v>404.20319246551543</v>
      </c>
      <c r="GS181" s="5">
        <v>334.50205195691484</v>
      </c>
      <c r="GT181" s="5">
        <v>289.18266033348181</v>
      </c>
      <c r="GU181" s="5">
        <v>254.29573314828914</v>
      </c>
      <c r="GV181" s="39" t="s">
        <v>392</v>
      </c>
      <c r="GW181" s="5">
        <v>482.65277777777777</v>
      </c>
      <c r="GX181" s="5">
        <v>361.98958333333331</v>
      </c>
      <c r="GY181" s="5">
        <v>289.59166666666664</v>
      </c>
      <c r="GZ181" s="5">
        <v>255.53408606924114</v>
      </c>
      <c r="HA181" s="5">
        <v>236.70336205047303</v>
      </c>
      <c r="HB181" s="39">
        <v>272.60752884801758</v>
      </c>
      <c r="HC181" s="5">
        <v>93.984375</v>
      </c>
      <c r="HD181" s="5">
        <v>107.23601973684208</v>
      </c>
      <c r="HE181" s="5">
        <v>117.61387904858299</v>
      </c>
      <c r="HF181" s="5">
        <v>117.73379934210527</v>
      </c>
      <c r="HG181" s="5">
        <v>124.71743421052633</v>
      </c>
      <c r="HH181" s="39">
        <v>110.96570714983697</v>
      </c>
      <c r="HI181" s="16"/>
      <c r="HJ181" s="19" t="str">
        <f t="shared" si="624"/>
        <v>On</v>
      </c>
      <c r="HK181" s="1" t="str">
        <f t="shared" si="624"/>
        <v>On</v>
      </c>
      <c r="HL181" s="16"/>
      <c r="HM181" s="639">
        <f t="shared" ref="HM181" si="625">VLOOKUP($C181*1000+1,$A:$HH,FT$92,FALSE)*$JF181</f>
        <v>1.7699001661282989E-2</v>
      </c>
      <c r="HN181" s="639">
        <f t="shared" ref="HN181" si="626">VLOOKUP($C181*1000+1,$A:$HH,FU$92,FALSE)*$JF181</f>
        <v>1.0509929974846072E-3</v>
      </c>
      <c r="HO181" s="639">
        <f t="shared" ref="HO181" si="627">VLOOKUP($C181*1000+1,$A:$HH,FV$92,FALSE)*$JF181</f>
        <v>5.7398960259851091E-2</v>
      </c>
      <c r="HP181" s="644">
        <f>(FT181*$GD181-HM181)/$JF181*INDEX(Input!$1:$1048576,$JG$93,$C181*2+6)</f>
        <v>0.65272285649149253</v>
      </c>
      <c r="HQ181" s="644">
        <f>(FU181*$GD181-HN181)/$JF181*INDEX(Input!$1:$1048576,$JG$93,$C181*2+6)</f>
        <v>4.0269383502447312E-2</v>
      </c>
      <c r="HR181" s="644">
        <f>(FV181*$GD181-HO181)/$JF181*INDEX(Input!$1:$1048576,$JG$93,$C181*2+6)</f>
        <v>-24.570348957735519</v>
      </c>
      <c r="HS181" s="644">
        <f t="shared" ref="HS181" si="628">IF(AND(HJ181="On",HK181="On"),IL181/1000*INDEX(KG:KG,MATCH(C181*1000+3,$KF:$KF,0))*SUM(HY181:IA181)*1.1
+INDEX(HR:HR,MATCH(C181*1000+4,$KF:$KF,0))/INDEX(IM:IM,MATCH(C181*1000+4,$KF:$KF,0))*IM181*20%,0)</f>
        <v>3.4794915978487648E-2</v>
      </c>
      <c r="HT181" s="644">
        <f t="shared" ref="HT181" si="629">IF(AND(HJ181="On",HK181="On"),IM181/1000*INDEX(KG:KG,MATCH(C181*1000+4,$KF:$KF,0))*SUM(HY181:IA181)*1.1
+INDEX(HR:HR,MATCH(C181*1000+3,$KF:$KF,0))/INDEX(IL:IL,MATCH(C181*1000+3,$KF:$KF,0))*IL181*20%,0)</f>
        <v>-2.1391665944841405</v>
      </c>
      <c r="HU181" s="644">
        <f t="shared" ref="HU181" si="630">IF(HJ181="On",IN181/1000*INDEX(KG:KG,MATCH(C181*1000+5,$KF:$KF,0))*SUM(HY181:IA181)*1.1
-INDEX(HR:HR,MATCH(C181*1000+3,$KF:$KF,0))/INDEX(IL:IL,MATCH(C181*1000+3,$KF:$KF,0))*IL181*20%
-INDEX(HR:HR,MATCH(C181*1000+4,$KF:$KF,0))/INDEX(IM:IM,MATCH(C181*1000+4,$KF:$KF,0))*IM181*20%,0)</f>
        <v>-8.7254422436311234</v>
      </c>
      <c r="HV181" s="648">
        <f t="shared" ref="HV181" si="631">IL181/1000*0+IM181/1000*0+IN181/1000*0
+(CP181-INDEX(CP:CP,MATCH(C181*1000+1,A:A,0)))/1000*0+IF(FU181&gt;0,0,0)</f>
        <v>0</v>
      </c>
      <c r="HW181" s="648">
        <f t="shared" ref="HW181" si="632">IL181/1000*0+IM181/1000*0+IN181/1000*0
+(CP181-INDEX(CP:CP,MATCH(C181*1000+1,A:A,0)))/1000*0+IF(FU181&gt;0,0,0)</f>
        <v>0</v>
      </c>
      <c r="HX181" s="648">
        <f t="shared" ref="HX181" si="633">IL181/1000*0+IM181/1000*0+IN181/1000*0
+(CP181-INDEX(CP:CP,MATCH(C181*1000+1,A:A,0)))/1000*0+IF(FU181&gt;0,0,0)</f>
        <v>0</v>
      </c>
      <c r="HY181" s="644">
        <f>INDEX(Input!$1:$1048576,HY$93,$C181*2+6)*INDEX(Input!$1:$1048576,$JG$93,$C181*2+6)</f>
        <v>154.99999999999997</v>
      </c>
      <c r="HZ181" s="644">
        <f>INDEX(Input!$1:$1048576,HZ$93,$C181*2+6)*INDEX(Input!$1:$1048576,$JG$93,$C181*2+6)</f>
        <v>140</v>
      </c>
      <c r="IA181" s="644">
        <f>INDEX(Input!$1:$1048576,IA$93,$C181*2+6)*INDEX(Input!$1:$1048576,$JG$93,$C181*2+6)</f>
        <v>683</v>
      </c>
      <c r="IB181" s="644">
        <f t="shared" ref="IB181" si="634">SUM(HP181:IA181)-IC181-ID181</f>
        <v>155.68751777247007</v>
      </c>
      <c r="IC181" s="644">
        <f t="shared" ref="IC181" si="635">MAX(HZ181+HQ181+HT181+HW181,0%)</f>
        <v>137.9011027890183</v>
      </c>
      <c r="ID181" s="644">
        <f>IF(AND(INDEX(Input!$1:$1048576,IA$93,$C181*2+7)="TOS",Y181&lt;=INDEX(Y:Y,MATCH(C181*1000+2,A:A))),0,1)*MAX(IA181+HR181+HU181+HX181,0%)</f>
        <v>649.70420879863332</v>
      </c>
      <c r="IE181" s="128">
        <f t="shared" ref="IE181" si="636">IB181/SUM($IB181:$ID181)</f>
        <v>0.16504685811942404</v>
      </c>
      <c r="IF181" s="128">
        <f t="shared" ref="IF181" si="637">IC181/SUM($IB181:$ID181)</f>
        <v>0.14619119163935856</v>
      </c>
      <c r="IG181" s="128">
        <f t="shared" ref="IG181" si="638">ID181/SUM($IB181:$ID181)</f>
        <v>0.68876195024121745</v>
      </c>
      <c r="IH181" s="21"/>
      <c r="II181" s="19">
        <f t="shared" ref="II181" si="639">VLOOKUP($C181*1000+1,$A:$HH,FW$92,FALSE)-VLOOKUP($C181*1000+1,$A:$HH,FA$92,FALSE)*VLOOKUP($C181*1000+1,$A:$HH,DZ$92,FALSE)/VLOOKUP($C181*1000+1,$A:$HH,FT$92,FALSE)</f>
        <v>1200</v>
      </c>
      <c r="IJ181" s="19">
        <f t="shared" ref="IJ181" si="640">VLOOKUP($C181*1000+1,$A:$HH,FX$92,FALSE)</f>
        <v>2231.5502763133163</v>
      </c>
      <c r="IK181" s="19">
        <f t="shared" ref="IK181" si="641">VLOOKUP($C181*1000+1,$A:$HH,FY$92,FALSE)</f>
        <v>4498</v>
      </c>
      <c r="IL181" s="19">
        <f t="shared" ref="IL181" si="642">(FW181-FA181*DZ181/FT181)-II181</f>
        <v>-100</v>
      </c>
      <c r="IM181" s="19">
        <f t="shared" ref="IM181" si="643">FX181-IJ181</f>
        <v>-100.00000000000045</v>
      </c>
      <c r="IN181" s="19">
        <f t="shared" ref="IN181" si="644">FY181-IK181</f>
        <v>-175.00000000000091</v>
      </c>
      <c r="IO181" s="39">
        <f t="shared" ref="IO181" si="645">(F181-VLOOKUP($C181*1000+1,$A:$HH,F$92,FALSE))*(1-$I181)</f>
        <v>0</v>
      </c>
      <c r="IP181" s="39">
        <f t="shared" ref="IP181" si="646">(G181-VLOOKUP($C181*1000+1,$A:$HH,G$92,FALSE))*(1-$I181)</f>
        <v>0</v>
      </c>
      <c r="IQ181" s="39">
        <f t="shared" ref="IQ181" si="647">(H181-VLOOKUP($C181*1000+1,$A:$HH,H$92,FALSE))*(1-$I181)</f>
        <v>0</v>
      </c>
      <c r="IR181" s="39">
        <v>0</v>
      </c>
      <c r="IS181" s="39">
        <v>0</v>
      </c>
      <c r="IT181" s="39">
        <v>0</v>
      </c>
      <c r="IU181" s="39">
        <v>0</v>
      </c>
      <c r="IV181" s="39">
        <v>0</v>
      </c>
      <c r="IW181" s="39">
        <v>0</v>
      </c>
      <c r="IX181" s="39">
        <f>INDEX(Input!$1:$1048576,IX$93,$C181*2+6)+INDEX(Input!$1:$1048576,IX$94,$C181*2+6)</f>
        <v>1600</v>
      </c>
      <c r="IY181" s="39">
        <f>INDEX(Input!$1:$1048576,IY$93,$C181*2+6)+INDEX(Input!$1:$1048576,IY$94,$C181*2+6)</f>
        <v>2503.5492916397525</v>
      </c>
      <c r="IZ181" s="39">
        <f>INDEX(Input!$1:$1048576,IZ$93,$C181*2+6)+INDEX(Input!$1:$1048576,IZ$94,$C181*2+6)</f>
        <v>6273.7109265464023</v>
      </c>
      <c r="JA181" s="19">
        <f t="shared" ref="JA181" si="648">(IL181+IO181+IR181+IU181+IX181)</f>
        <v>1500</v>
      </c>
      <c r="JB181" s="19">
        <f t="shared" ref="JB181" si="649">(IM181+IP181+IS181+IV181+IY181)</f>
        <v>2403.549291639752</v>
      </c>
      <c r="JC181" s="19">
        <f t="shared" ref="JC181" si="650">(IN181+IQ181+IT181+IW181+IZ181)</f>
        <v>6098.7109265464014</v>
      </c>
      <c r="JD181" s="19">
        <f t="shared" ref="JD181" si="651">SUMPRODUCT(IE181:IG181,JA181:JC181)</f>
        <v>4799.5080540134095</v>
      </c>
      <c r="JE181" s="21"/>
      <c r="JF181" s="1">
        <f t="shared" ref="JF181" si="652">VLOOKUP($C181*1000+1,$A:$HH,GD$92,FALSE)</f>
        <v>7.6148954918618686E-2</v>
      </c>
      <c r="JG181" s="15">
        <f>INDEX(Input!$1:$1048576,JG$93,$C181*2+6)/(1+VLOOKUP(C181*1000+INDEX(Input!$1:$1048576,JG$93+1,$C181*2+6),$A:$KK,$JK$92,FALSE))</f>
        <v>978</v>
      </c>
      <c r="JH181" s="1">
        <f t="shared" ref="JH181" si="653">SUM(HP181:HR181)/SUM(HY181:IA181)</f>
        <v>-2.4414475171514904E-2</v>
      </c>
      <c r="JI181" s="1">
        <f t="shared" ref="JI181" si="654">SUM(HS181:HU181)/SUM(HY181:IA181)</f>
        <v>-1.1073429368238012E-2</v>
      </c>
      <c r="JJ181" s="1">
        <f t="shared" ref="JJ181" si="655">SUM(HV181:HX181)/SUM(HY181:IA181)</f>
        <v>0</v>
      </c>
      <c r="JK181" s="1">
        <f t="shared" ref="JK181" si="656">SUM(JH181:JJ181)</f>
        <v>-3.5487904539752917E-2</v>
      </c>
      <c r="JL181" s="15">
        <f t="shared" ref="JL181" si="657">JG181*JK181</f>
        <v>-34.707170639878349</v>
      </c>
      <c r="JM181" s="15">
        <f t="shared" ref="JM181" si="658">JG181+JL181</f>
        <v>943.29282936012169</v>
      </c>
      <c r="JN181" s="21"/>
      <c r="JO181" s="19">
        <f>INDEX(Input!$1:$1048576,JO$93,$C181*2+6)</f>
        <v>5908.5</v>
      </c>
      <c r="JP181" s="19">
        <f>INDEX(Input!$1:$1048576,JP$93,$C181*2+6)</f>
        <v>4993.2939301234746</v>
      </c>
      <c r="JQ181" s="39">
        <f t="shared" ref="JQ181" si="659">JO181-JD181</f>
        <v>1108.9919459865905</v>
      </c>
      <c r="JR181" s="39">
        <f t="shared" ref="JR181" si="660">JD181-JP181</f>
        <v>-193.78587611006515</v>
      </c>
      <c r="JS181" s="39">
        <f t="shared" ref="JS181" si="661">JM181*JD181/1000000</f>
        <v>4.5273415318070009</v>
      </c>
      <c r="JT181" s="39">
        <f t="shared" ref="JT181" si="662">(JD181*JM181-JP181*JG181)/1000000</f>
        <v>-0.35609993185375721</v>
      </c>
      <c r="JU181" s="385">
        <f>(JQ181*JM181-INDEX(Input!$1:$1048576,Input!A$18,$C181*2+6)*JL181*INDEX(Input!$1:$1048576,Input!A$19,$C181*2+6))/1000000</f>
        <v>1.0461041504672781</v>
      </c>
      <c r="JV181" s="39">
        <f t="shared" ref="JV181" si="663">JU181-(JO181-JP181)*JG181/1000000</f>
        <v>0.15103261412803637</v>
      </c>
      <c r="JW181" s="1">
        <f t="shared" ref="JW181" si="664">JV181/(JU181-JV181)</f>
        <v>0.16873803712465882</v>
      </c>
      <c r="JX181" s="19">
        <f t="shared" ref="JX181" si="665">IF(JL181=0,0,JT181/JL181)*1000000</f>
        <v>10260.125653820953</v>
      </c>
      <c r="JZ181" s="341"/>
      <c r="KA181" s="342"/>
      <c r="KB181" s="469">
        <f t="shared" si="509"/>
        <v>3.2656316020464753</v>
      </c>
      <c r="KI181" s="473">
        <f t="shared" ref="KI181" si="666">$JM181*IE181-$JG181*HY181/SUM($HY181:$IA181)</f>
        <v>0.68751777247010182</v>
      </c>
      <c r="KJ181" s="473">
        <f t="shared" ref="KJ181" si="667">$JM181*IF181-$JG181*HZ181/SUM($HY181:$IA181)</f>
        <v>-2.0988972109817041</v>
      </c>
      <c r="KK181" s="473">
        <f t="shared" ref="KK181" si="668">$JM181*IG181-$JG181*IA181/SUM($HY181:$IA181)</f>
        <v>-33.295791201366683</v>
      </c>
      <c r="KN181" s="544">
        <f t="shared" ref="KN181" si="669">KM181+(KN180-KM180)</f>
        <v>1002</v>
      </c>
      <c r="KO181" s="541">
        <f t="shared" ref="KO181" si="670">JM181/INDEX(JM:JM,MATCH(KN181,A:A,0))-1</f>
        <v>-0.10851112148212905</v>
      </c>
      <c r="KP181" s="546">
        <f t="shared" ref="KP181" si="671">(IL181-INDEX(IL:IL,MATCH(KN181,A:A,0)))*IE181
+(IM181-IF(HN181=0,INDEX(IX:IX,MATCH(KN181,A:A,0)),INDEX(IM:IM,MATCH(KN181,A:A,0))))*IF181
+(IN181-INDEX(IN:IN,MATCH(KN181,A:A,0)))*IG181</f>
        <v>-500</v>
      </c>
      <c r="KQ181" s="546">
        <f t="shared" ref="KQ181" si="672">JD181-INDEX(JD:JD,MATCH(KN181,A:A,0))</f>
        <v>-554.94584596203094</v>
      </c>
      <c r="KR181" s="548">
        <f t="shared" ref="KR181" si="673">KO181/(KP181/(BX181-INDEX(JD:JD,MATCH(KN181,A:A,0))))</f>
        <v>3.112217479959674</v>
      </c>
      <c r="KS181" s="548">
        <f t="shared" ref="KS181" si="674">KO181/(KQ181/(BX181-INDEX(JD:JD,MATCH(KN181,A:A,0))))</f>
        <v>2.8040731384919764</v>
      </c>
      <c r="KT181" s="473">
        <f t="shared" si="510"/>
        <v>-82.310573396665475</v>
      </c>
      <c r="KU181" s="663">
        <f t="shared" ref="KU181" si="675">IF(D181="",0,IFERROR((JM181/KT181-1)/(JD181/BX181)+B181*10^-6,0))</f>
        <v>-51.130777691160233</v>
      </c>
    </row>
    <row r="182" spans="1:307" s="26" customFormat="1" ht="15" outlineLevel="1">
      <c r="A182" s="561">
        <f t="shared" si="386"/>
        <v>1082</v>
      </c>
      <c r="B182" s="561">
        <f t="shared" si="508"/>
        <v>82</v>
      </c>
      <c r="C182" s="561">
        <f t="shared" si="105"/>
        <v>1</v>
      </c>
      <c r="D182" s="561" t="str">
        <f t="shared" si="376"/>
        <v xml:space="preserve">-500 BC, </v>
      </c>
      <c r="E182" s="475">
        <f>INDEX(Input!$1:$1048576,E$93,$C182*2+MIN($B182,2)+5)
+INDEX(Scenarios!E$121:E$200,MATCH($B182,Scenarios!$B$121:$B$200,0))</f>
        <v>1250</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0</v>
      </c>
      <c r="V182" s="478">
        <f>IFERROR(MAX(0,INDEX(Input!$1:$1048576,V$93,$C182*2+MIN($B182,2)+5)
+INDEX(Scenarios!V$121:V$200,MATCH($B182,Scenarios!$B$121:$B$200,0)),),"Market")</f>
        <v>1.9E-2</v>
      </c>
      <c r="W182" s="863">
        <f>IFERROR(MAX(0,INDEX(Input!$1:$1048576,W$93,$C182*2+MIN($B182,2)+5)-0%,),"Market")</f>
        <v>3.9E-2</v>
      </c>
      <c r="X182" s="476" t="str">
        <f>INDEX(Input!$1:$1048576,X$93,$C182*2+MIN($B182,2)+5)</f>
        <v>Y</v>
      </c>
      <c r="Y182" s="475">
        <f>INDEX(Input!$1:$1048576,Y$93,$C182*2+MIN($B182,2)+5)
++INDEX(Scenarios!Y$121:Y$200,MATCH($B182,Scenarios!$B$121:$B$200,0))</f>
        <v>2826</v>
      </c>
      <c r="Z182" s="477">
        <f>INDEX(Input!$1:$1048576,Z$93,$C182*2+MIN($B182,2)+5)
+INDEX(Scenarios!Z$121:Z$200,MATCH($B182,Scenarios!$B$121:$B$200,0))</f>
        <v>-500</v>
      </c>
      <c r="AA182" s="475">
        <f>INDEX(Input!$1:$1048576,AA$93,$C182*2+MIN($B182,2)+5)</f>
        <v>0</v>
      </c>
      <c r="AB182" s="476">
        <f>INDEX(Input!$1:$1048576,AB$93,$C182*2+MIN($B182,2)+5)</f>
        <v>1</v>
      </c>
      <c r="AC182" s="475">
        <f>INDEX(Input!$1:$1048576,AC$93,$C182*2+MIN($B182,2)+5)
+INDEX(Scenarios!AC$121:AC$200,MATCH($B182,Scenarios!$B$121:$B$200,0))</f>
        <v>0</v>
      </c>
      <c r="AD182" s="476">
        <f>INDEX(Input!$1:$1048576,AD$93,$C182*2+MIN($B182,2)+5)</f>
        <v>0.35</v>
      </c>
      <c r="AE182" s="475">
        <f>INDEX(Input!$1:$1048576,AE$93,$C182*2+MIN($B182,2)+5)
+INDEX(Scenarios!AE$121:AE$200,MATCH($B182,Scenarios!$B$121:$B$200,0))</f>
        <v>0</v>
      </c>
      <c r="AF182" s="476">
        <f>INDEX(Input!$1:$1048576,AF$93,$C182*2+MIN($B182,2)+5)</f>
        <v>1</v>
      </c>
      <c r="AG182" s="475">
        <f>INDEX(Input!$1:$1048576,AG$93,$C182*2+MIN($B182,2)+5)
+INDEX(Scenarios!AG$121:AG$200,MATCH($B182,Scenarios!$B$121:$B$200,0))</f>
        <v>0</v>
      </c>
      <c r="AH182" s="476">
        <f>INDEX(Input!$1:$1048576,AH$93,$C182*2+MIN($B182,2)+5)</f>
        <v>1</v>
      </c>
      <c r="AI182" s="475">
        <f>INDEX(Input!$1:$1048576,AI$93,$C182*2+MIN($B182,2)+5)
+INDEX(Scenarios!AI$121:AI$200,MATCH($B182,Scenarios!$B$121:$B$200,0))</f>
        <v>0</v>
      </c>
      <c r="AJ182" s="476">
        <f>INDEX(Input!$1:$1048576,AJ$93,$C182*2+MIN($B182,2)+5)</f>
        <v>0.35</v>
      </c>
      <c r="AK182" s="150">
        <f>ROUND(INDEX(Input!$1:$1048576,AK$93,$C181*2+MIN($B182,1)+5)+(Y182-VLOOKUP($C182*1000+1,$A:$HH,Y$92,FALSE)),0)</f>
        <v>5482</v>
      </c>
      <c r="AL182" s="150">
        <f>ROUND(INDEX(Input!$1:$1048576,AL$93,$C181*2+MIN($B182,1)+5)-(Y182-VLOOKUP($C182*1000+1,$A:$HH,Y$92,FALSE))/36,0)</f>
        <v>5602</v>
      </c>
      <c r="AM182" s="32" t="str">
        <f t="shared" si="387"/>
        <v>std/std/std/std</v>
      </c>
      <c r="AN182" s="32" t="str">
        <f t="shared" si="388"/>
        <v>$0 + 0/0/0/1.9/3.9</v>
      </c>
      <c r="AO182" s="32" t="str">
        <f t="shared" si="389"/>
        <v>0/0/0/1.9/3.9</v>
      </c>
      <c r="AP182" s="32" t="str">
        <f t="shared" si="493"/>
        <v>0/0.9/1.9/3.9</v>
      </c>
      <c r="AQ182" s="536">
        <f t="shared" si="492"/>
        <v>0.16504685811942404</v>
      </c>
      <c r="AR182" s="32"/>
      <c r="AS182" s="302"/>
      <c r="AT182" s="3">
        <f t="shared" si="106"/>
        <v>82</v>
      </c>
      <c r="AU182" s="41" t="s">
        <v>121</v>
      </c>
      <c r="AV182" s="41" t="s">
        <v>116</v>
      </c>
      <c r="AW182" s="41" t="str">
        <f>INDEX(Input!$1:$1048576,AW$93,$C182*2+6)</f>
        <v>Kia</v>
      </c>
      <c r="AX182" s="41" t="str">
        <f>INDEX(Input!$1:$1048576,AX$93,$C182*2+6)</f>
        <v>Kia-LR - L1</v>
      </c>
      <c r="AY182" s="41" t="str">
        <f>IF(LEN(D182)=0,"",INDEX(Input!$1:$1048576,AY$93,$C182*2+6))</f>
        <v>Compact Conventional/Sporty Car (43)</v>
      </c>
      <c r="AZ182" s="41" t="str">
        <f>INDEX(Input!$1:$1048576,AZ$93,$C182*2+6)</f>
        <v>Kia Forte</v>
      </c>
      <c r="BA182" s="3">
        <f>INDEX(Input!$1:$1048576,BA$93,$C182*2+6)</f>
        <v>2020</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19695</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t="e">
        <f t="shared" si="494"/>
        <v>#VALUE!</v>
      </c>
      <c r="CJ182" s="16" t="str">
        <f>INDEX(Input!$1:$1048576,CJ$93,$C182*2+6)</f>
        <v>N</v>
      </c>
      <c r="CK182" s="1" t="str">
        <f t="shared" si="495"/>
        <v>Market</v>
      </c>
      <c r="CL182" s="1" t="str">
        <f t="shared" si="496"/>
        <v>Market</v>
      </c>
      <c r="CM182" s="1" t="str">
        <f t="shared" si="497"/>
        <v>Market</v>
      </c>
      <c r="CN182" s="1" t="str">
        <f t="shared" si="498"/>
        <v>Market</v>
      </c>
      <c r="CO182" s="1" t="str">
        <f t="shared" si="499"/>
        <v>Market</v>
      </c>
      <c r="CP182" s="304">
        <f t="shared" si="500"/>
        <v>0</v>
      </c>
      <c r="CQ182" s="1">
        <f t="shared" si="501"/>
        <v>0</v>
      </c>
      <c r="CR182" s="1">
        <f t="shared" si="502"/>
        <v>0</v>
      </c>
      <c r="CS182" s="1">
        <f t="shared" si="503"/>
        <v>0</v>
      </c>
      <c r="CT182" s="1">
        <f t="shared" si="504"/>
        <v>1.9E-2</v>
      </c>
      <c r="CU182" s="1">
        <f t="shared" si="505"/>
        <v>3.9E-2</v>
      </c>
      <c r="CV182" s="304">
        <f t="shared" si="506"/>
        <v>2826</v>
      </c>
      <c r="CW182" s="20" t="s">
        <v>122</v>
      </c>
      <c r="CX182" s="20" t="s">
        <v>122</v>
      </c>
      <c r="CY182" s="20" t="s">
        <v>122</v>
      </c>
      <c r="CZ182" s="20" t="s">
        <v>122</v>
      </c>
      <c r="DA182" s="20" t="s">
        <v>122</v>
      </c>
      <c r="DB182" s="503">
        <f t="shared" si="507"/>
        <v>-500</v>
      </c>
      <c r="DC182" s="127">
        <v>0</v>
      </c>
      <c r="DD182" s="127">
        <v>0</v>
      </c>
      <c r="DE182" s="127">
        <v>0</v>
      </c>
      <c r="DF182" s="127">
        <v>0</v>
      </c>
      <c r="DG182" s="127">
        <v>0</v>
      </c>
      <c r="DH182" s="127">
        <v>0</v>
      </c>
      <c r="DI182" s="127">
        <v>0</v>
      </c>
      <c r="DJ182" s="127">
        <v>0</v>
      </c>
      <c r="DK182" s="127">
        <v>0</v>
      </c>
      <c r="DL182" s="127">
        <v>0</v>
      </c>
      <c r="DM182" s="304">
        <f>INDEX(Input!$1:$1048576,DM$93,$C182*2+6)</f>
        <v>20731.578947368424</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1.4226607327577565E-2</v>
      </c>
      <c r="DZ182" s="7">
        <v>0</v>
      </c>
      <c r="EA182" s="7">
        <v>0.22470013063428165</v>
      </c>
      <c r="EB182" s="7">
        <v>0</v>
      </c>
      <c r="EC182" s="7">
        <v>0</v>
      </c>
      <c r="ED182" s="7">
        <v>0</v>
      </c>
      <c r="EE182" s="7">
        <v>0</v>
      </c>
      <c r="EF182" s="7">
        <v>0</v>
      </c>
      <c r="EG182" s="7">
        <v>0</v>
      </c>
      <c r="EH182" s="7">
        <v>1.9867163211649871E-2</v>
      </c>
      <c r="EI182" s="7">
        <v>3.5734944822064234E-2</v>
      </c>
      <c r="EJ182" s="7">
        <v>0.28104141462213034</v>
      </c>
      <c r="EK182" s="7">
        <v>0.62010092925970706</v>
      </c>
      <c r="EL182" s="7">
        <v>4.3255548084448141E-2</v>
      </c>
      <c r="EM182" s="7">
        <v>1.4189406773942164E-2</v>
      </c>
      <c r="EN182" s="7">
        <v>5.4381796584738615E-2</v>
      </c>
      <c r="EO182" s="7">
        <v>0.54394594151254327</v>
      </c>
      <c r="EP182" s="7">
        <v>0.30917682832883675</v>
      </c>
      <c r="EQ182" s="7">
        <v>5.3726889171236081E-2</v>
      </c>
      <c r="ER182" s="7">
        <v>3.8768544402645419E-2</v>
      </c>
      <c r="ES182" s="7">
        <v>0.74688385526419865</v>
      </c>
      <c r="ET182" s="7">
        <v>0.76107326203814074</v>
      </c>
      <c r="EU182" s="6">
        <v>1100</v>
      </c>
      <c r="EV182" s="6">
        <v>0</v>
      </c>
      <c r="EW182" s="6">
        <v>1100</v>
      </c>
      <c r="EX182" s="6">
        <v>0</v>
      </c>
      <c r="EY182" s="6">
        <v>2131.5502763133159</v>
      </c>
      <c r="EZ182" s="6">
        <v>4322.9999999999991</v>
      </c>
      <c r="FA182" s="6">
        <v>0</v>
      </c>
      <c r="FB182" s="6">
        <v>0</v>
      </c>
      <c r="FC182" s="6">
        <v>0</v>
      </c>
      <c r="FD182" s="6">
        <v>0</v>
      </c>
      <c r="FE182" s="6">
        <v>0</v>
      </c>
      <c r="FF182" s="6">
        <v>0</v>
      </c>
      <c r="FG182" s="6">
        <v>0</v>
      </c>
      <c r="FH182" s="6">
        <v>1152.1208270377813</v>
      </c>
      <c r="FI182" s="6">
        <v>1531.4299904380618</v>
      </c>
      <c r="FJ182" s="6">
        <v>2070.7205842538219</v>
      </c>
      <c r="FK182" s="6">
        <v>1746.9903521590438</v>
      </c>
      <c r="FL182" s="6">
        <v>893.91433563489397</v>
      </c>
      <c r="FM182" s="6">
        <v>1781.5502763133159</v>
      </c>
      <c r="FN182" s="6">
        <v>0</v>
      </c>
      <c r="FO182" s="6">
        <v>0</v>
      </c>
      <c r="FP182" s="6">
        <v>0</v>
      </c>
      <c r="FQ182" s="6">
        <v>0</v>
      </c>
      <c r="FR182" s="6">
        <v>0</v>
      </c>
      <c r="FS182" s="6">
        <v>0</v>
      </c>
      <c r="FT182" s="7">
        <v>0.2389267379618592</v>
      </c>
      <c r="FU182" s="7">
        <v>1.4189406773942164E-2</v>
      </c>
      <c r="FV182" s="7">
        <v>0.74688385526419865</v>
      </c>
      <c r="FW182" s="6">
        <v>1100</v>
      </c>
      <c r="FX182" s="6">
        <v>2131.5502763133159</v>
      </c>
      <c r="FY182" s="6">
        <v>4322.9999999999991</v>
      </c>
      <c r="FZ182" s="6">
        <v>3077.4375890575293</v>
      </c>
      <c r="GA182" s="6">
        <v>3521.8437519948934</v>
      </c>
      <c r="GB182" s="6">
        <v>16173.156248005107</v>
      </c>
      <c r="GC182" s="7">
        <v>7.0901643973087014E-2</v>
      </c>
      <c r="GD182" s="7">
        <v>7.4289818149421261E-2</v>
      </c>
      <c r="GE182" s="7"/>
      <c r="GF182" s="7"/>
      <c r="GG182" s="7">
        <v>4.7786962141813473E-2</v>
      </c>
      <c r="GH182" s="42">
        <v>2.1178019070713625</v>
      </c>
      <c r="GI182" s="6">
        <v>12821.580396030482</v>
      </c>
      <c r="GJ182" s="14">
        <v>0.51074630601039539</v>
      </c>
      <c r="GK182" s="14">
        <v>0.50829519786160948</v>
      </c>
      <c r="GL182" s="14">
        <v>0.48925369398960417</v>
      </c>
      <c r="GM182" s="14">
        <v>0.49170480213839007</v>
      </c>
      <c r="GO182" s="5">
        <v>338.16872463277008</v>
      </c>
      <c r="GP182" s="5">
        <v>317.18282312950942</v>
      </c>
      <c r="GQ182" s="5">
        <v>527.27910984145694</v>
      </c>
      <c r="GR182" s="5">
        <v>404.20319246551543</v>
      </c>
      <c r="GS182" s="5">
        <v>334.50205195691484</v>
      </c>
      <c r="GT182" s="5">
        <v>289.18266033348181</v>
      </c>
      <c r="GU182" s="5">
        <v>254.29573314828914</v>
      </c>
      <c r="GV182" s="39" t="s">
        <v>392</v>
      </c>
      <c r="GW182" s="5">
        <v>482.65277777777777</v>
      </c>
      <c r="GX182" s="5">
        <v>361.98958333333331</v>
      </c>
      <c r="GY182" s="5">
        <v>289.59166666666664</v>
      </c>
      <c r="GZ182" s="5">
        <v>255.53408606924114</v>
      </c>
      <c r="HA182" s="5">
        <v>236.70336205047303</v>
      </c>
      <c r="HB182" s="39">
        <v>272.60752884801758</v>
      </c>
      <c r="HC182" s="5">
        <v>93.984375</v>
      </c>
      <c r="HD182" s="5">
        <v>107.23601973684208</v>
      </c>
      <c r="HE182" s="5">
        <v>117.61387904858299</v>
      </c>
      <c r="HF182" s="5">
        <v>117.73379934210527</v>
      </c>
      <c r="HG182" s="5">
        <v>124.71743421052633</v>
      </c>
      <c r="HH182" s="39">
        <v>110.96570714983697</v>
      </c>
      <c r="HI182" s="16"/>
      <c r="HJ182" s="19" t="str">
        <f t="shared" ref="HJ182:HK187" si="676">HJ181</f>
        <v>On</v>
      </c>
      <c r="HK182" s="1" t="str">
        <f t="shared" si="676"/>
        <v>On</v>
      </c>
      <c r="HL182" s="16"/>
      <c r="HM182" s="889">
        <f t="shared" ref="HM182:HO187" si="677">VLOOKUP($C182*1000+1,$A:$HH,FT$92,FALSE)*$JF182</f>
        <v>1.7699001661282989E-2</v>
      </c>
      <c r="HN182" s="889">
        <f t="shared" si="677"/>
        <v>1.0509929974846072E-3</v>
      </c>
      <c r="HO182" s="889">
        <f t="shared" si="677"/>
        <v>5.7398960259851091E-2</v>
      </c>
      <c r="HP182" s="890">
        <f>(FT182*$GD182-HM182)/$JF182*INDEX(Input!$1:$1048576,$JG$93,$C182*2+6)</f>
        <v>0.65272285649149253</v>
      </c>
      <c r="HQ182" s="890">
        <f>(FU182*$GD182-HN182)/$JF182*INDEX(Input!$1:$1048576,$JG$93,$C182*2+6)</f>
        <v>4.0269383502447312E-2</v>
      </c>
      <c r="HR182" s="890">
        <f>(FV182*$GD182-HO182)/$JF182*INDEX(Input!$1:$1048576,$JG$93,$C182*2+6)</f>
        <v>-24.570348957735519</v>
      </c>
      <c r="HS182" s="890">
        <f t="shared" ref="HS182:HS187" si="678">IF(AND(HJ182="On",HK182="On"),IL182/1000*INDEX(KG:KG,MATCH(C182*1000+3,$KF:$KF,0))*SUM(HY182:IA182)*1.1
+INDEX(HR:HR,MATCH(C182*1000+4,$KF:$KF,0))/INDEX(IM:IM,MATCH(C182*1000+4,$KF:$KF,0))*IM182*20%,0)</f>
        <v>3.4794915978487648E-2</v>
      </c>
      <c r="HT182" s="890">
        <f t="shared" ref="HT182:HT187" si="679">IF(AND(HJ182="On",HK182="On"),IM182/1000*INDEX(KG:KG,MATCH(C182*1000+4,$KF:$KF,0))*SUM(HY182:IA182)*1.1
+INDEX(HR:HR,MATCH(C182*1000+3,$KF:$KF,0))/INDEX(IL:IL,MATCH(C182*1000+3,$KF:$KF,0))*IL182*20%,0)</f>
        <v>-2.1391665944841405</v>
      </c>
      <c r="HU182" s="890">
        <f t="shared" ref="HU182:HU187" si="680">IF(HJ182="On",IN182/1000*INDEX(KG:KG,MATCH(C182*1000+5,$KF:$KF,0))*SUM(HY182:IA182)*1.1
-INDEX(HR:HR,MATCH(C182*1000+3,$KF:$KF,0))/INDEX(IL:IL,MATCH(C182*1000+3,$KF:$KF,0))*IL182*20%
-INDEX(HR:HR,MATCH(C182*1000+4,$KF:$KF,0))/INDEX(IM:IM,MATCH(C182*1000+4,$KF:$KF,0))*IM182*20%,0)</f>
        <v>-8.7254422436311234</v>
      </c>
      <c r="HV182" s="891">
        <f t="shared" ref="HV182:HV187" si="681">IL182/1000*0+IM182/1000*0+IN182/1000*0
+(CP182-INDEX(CP:CP,MATCH(C182*1000+1,A:A,0)))/1000*0+IF(FU182&gt;0,0,0)</f>
        <v>0</v>
      </c>
      <c r="HW182" s="891">
        <f t="shared" ref="HW182:HW187" si="682">IL182/1000*0+IM182/1000*0+IN182/1000*0
+(CP182-INDEX(CP:CP,MATCH(C182*1000+1,A:A,0)))/1000*0+IF(FU182&gt;0,0,0)</f>
        <v>0</v>
      </c>
      <c r="HX182" s="891">
        <f t="shared" ref="HX182:HX187" si="683">IL182/1000*0+IM182/1000*0+IN182/1000*0
+(CP182-INDEX(CP:CP,MATCH(C182*1000+1,A:A,0)))/1000*0+IF(FU182&gt;0,0,0)</f>
        <v>0</v>
      </c>
      <c r="HY182" s="890">
        <f>INDEX(Input!$1:$1048576,HY$93,$C182*2+6)*INDEX(Input!$1:$1048576,$JG$93,$C182*2+6)</f>
        <v>154.99999999999997</v>
      </c>
      <c r="HZ182" s="890">
        <f>INDEX(Input!$1:$1048576,HZ$93,$C182*2+6)*INDEX(Input!$1:$1048576,$JG$93,$C182*2+6)</f>
        <v>140</v>
      </c>
      <c r="IA182" s="890">
        <f>INDEX(Input!$1:$1048576,IA$93,$C182*2+6)*INDEX(Input!$1:$1048576,$JG$93,$C182*2+6)</f>
        <v>683</v>
      </c>
      <c r="IB182" s="890">
        <f t="shared" ref="IB182:IB187" si="684">SUM(HP182:IA182)-IC182-ID182</f>
        <v>155.68751777247007</v>
      </c>
      <c r="IC182" s="890">
        <f t="shared" ref="IC182:IC187" si="685">MAX(HZ182+HQ182+HT182+HW182,0%)</f>
        <v>137.9011027890183</v>
      </c>
      <c r="ID182" s="890">
        <f>IF(AND(INDEX(Input!$1:$1048576,IA$93,$C182*2+7)="TOS",Y182&lt;=INDEX(Y:Y,MATCH(C182*1000+2,A:A))),0,1)*MAX(IA182+HR182+HU182+HX182,0%)</f>
        <v>649.70420879863332</v>
      </c>
      <c r="IE182" s="892">
        <f t="shared" ref="IE182:IG187" si="686">IB182/SUM($IB182:$ID182)</f>
        <v>0.16504685811942404</v>
      </c>
      <c r="IF182" s="892">
        <f t="shared" si="686"/>
        <v>0.14619119163935856</v>
      </c>
      <c r="IG182" s="892">
        <f t="shared" si="686"/>
        <v>0.68876195024121745</v>
      </c>
      <c r="IH182" s="21"/>
      <c r="II182" s="19">
        <f t="shared" ref="II182:II187" si="687">VLOOKUP($C182*1000+1,$A:$HH,FW$92,FALSE)-VLOOKUP($C182*1000+1,$A:$HH,FA$92,FALSE)*VLOOKUP($C182*1000+1,$A:$HH,DZ$92,FALSE)/VLOOKUP($C182*1000+1,$A:$HH,FT$92,FALSE)</f>
        <v>1200</v>
      </c>
      <c r="IJ182" s="19">
        <f t="shared" ref="IJ182:IK187" si="688">VLOOKUP($C182*1000+1,$A:$HH,FX$92,FALSE)</f>
        <v>2231.5502763133163</v>
      </c>
      <c r="IK182" s="19">
        <f t="shared" si="688"/>
        <v>4498</v>
      </c>
      <c r="IL182" s="19">
        <f t="shared" ref="IL182:IL187" si="689">(FW182-FA182*DZ182/FT182)-II182</f>
        <v>-100</v>
      </c>
      <c r="IM182" s="19">
        <f t="shared" ref="IM182:IN187" si="690">FX182-IJ182</f>
        <v>-100.00000000000045</v>
      </c>
      <c r="IN182" s="19">
        <f t="shared" si="690"/>
        <v>-175.00000000000091</v>
      </c>
      <c r="IO182" s="39">
        <f t="shared" ref="IO182:IQ187" si="691">(F182-VLOOKUP($C182*1000+1,$A:$HH,F$92,FALSE))*(1-$I182)</f>
        <v>0</v>
      </c>
      <c r="IP182" s="39">
        <f t="shared" si="691"/>
        <v>0</v>
      </c>
      <c r="IQ182" s="39">
        <f t="shared" si="691"/>
        <v>0</v>
      </c>
      <c r="IR182" s="39">
        <v>0</v>
      </c>
      <c r="IS182" s="39">
        <v>0</v>
      </c>
      <c r="IT182" s="39">
        <v>0</v>
      </c>
      <c r="IU182" s="39">
        <v>0</v>
      </c>
      <c r="IV182" s="39">
        <v>0</v>
      </c>
      <c r="IW182" s="39">
        <v>0</v>
      </c>
      <c r="IX182" s="39">
        <f>INDEX(Input!$1:$1048576,IX$93,$C182*2+6)+INDEX(Input!$1:$1048576,IX$94,$C182*2+6)</f>
        <v>1600</v>
      </c>
      <c r="IY182" s="39">
        <f>INDEX(Input!$1:$1048576,IY$93,$C182*2+6)+INDEX(Input!$1:$1048576,IY$94,$C182*2+6)</f>
        <v>2503.5492916397525</v>
      </c>
      <c r="IZ182" s="39">
        <f>INDEX(Input!$1:$1048576,IZ$93,$C182*2+6)+INDEX(Input!$1:$1048576,IZ$94,$C182*2+6)</f>
        <v>6273.7109265464023</v>
      </c>
      <c r="JA182" s="19">
        <f t="shared" ref="JA182:JC187" si="692">(IL182+IO182+IR182+IU182+IX182)</f>
        <v>1500</v>
      </c>
      <c r="JB182" s="19">
        <f t="shared" si="692"/>
        <v>2403.549291639752</v>
      </c>
      <c r="JC182" s="19">
        <f t="shared" si="692"/>
        <v>6098.7109265464014</v>
      </c>
      <c r="JD182" s="19">
        <f t="shared" ref="JD182:JD187" si="693">SUMPRODUCT(IE182:IG182,JA182:JC182)</f>
        <v>4799.5080540134095</v>
      </c>
      <c r="JE182" s="21"/>
      <c r="JF182" s="1">
        <f t="shared" ref="JF182:JF187" si="694">VLOOKUP($C182*1000+1,$A:$HH,GD$92,FALSE)</f>
        <v>7.6148954918618686E-2</v>
      </c>
      <c r="JG182" s="15">
        <f>INDEX(Input!$1:$1048576,JG$93,$C182*2+6)/(1+VLOOKUP(C182*1000+INDEX(Input!$1:$1048576,JG$93+1,$C182*2+6),$A:$KK,$JK$92,FALSE))</f>
        <v>978</v>
      </c>
      <c r="JH182" s="1">
        <f t="shared" ref="JH182:JH187" si="695">SUM(HP182:HR182)/SUM(HY182:IA182)</f>
        <v>-2.4414475171514904E-2</v>
      </c>
      <c r="JI182" s="1">
        <f t="shared" ref="JI182:JI187" si="696">SUM(HS182:HU182)/SUM(HY182:IA182)</f>
        <v>-1.1073429368238012E-2</v>
      </c>
      <c r="JJ182" s="1">
        <f t="shared" ref="JJ182:JJ187" si="697">SUM(HV182:HX182)/SUM(HY182:IA182)</f>
        <v>0</v>
      </c>
      <c r="JK182" s="1">
        <f t="shared" ref="JK182:JK187" si="698">SUM(JH182:JJ182)</f>
        <v>-3.5487904539752917E-2</v>
      </c>
      <c r="JL182" s="15">
        <f t="shared" ref="JL182:JL187" si="699">JG182*JK182</f>
        <v>-34.707170639878349</v>
      </c>
      <c r="JM182" s="15">
        <f t="shared" ref="JM182:JM187" si="700">JG182+JL182</f>
        <v>943.29282936012169</v>
      </c>
      <c r="JN182" s="21"/>
      <c r="JO182" s="19">
        <f>INDEX(Input!$1:$1048576,JO$93,$C182*2+6)</f>
        <v>5908.5</v>
      </c>
      <c r="JP182" s="19">
        <f>INDEX(Input!$1:$1048576,JP$93,$C182*2+6)</f>
        <v>4993.2939301234746</v>
      </c>
      <c r="JQ182" s="39">
        <f t="shared" ref="JQ182:JQ187" si="701">JO182-JD182</f>
        <v>1108.9919459865905</v>
      </c>
      <c r="JR182" s="39">
        <f t="shared" ref="JR182:JR187" si="702">JD182-JP182</f>
        <v>-193.78587611006515</v>
      </c>
      <c r="JS182" s="39">
        <f t="shared" ref="JS182:JS187" si="703">JM182*JD182/1000000</f>
        <v>4.5273415318070009</v>
      </c>
      <c r="JT182" s="39">
        <f t="shared" ref="JT182:JT187" si="704">(JD182*JM182-JP182*JG182)/1000000</f>
        <v>-0.35609993185375721</v>
      </c>
      <c r="JU182" s="385">
        <f>(JQ182*JM182-INDEX(Input!$1:$1048576,Input!A$18,$C182*2+6)*JL182*INDEX(Input!$1:$1048576,Input!A$19,$C182*2+6))/1000000</f>
        <v>1.0461041504672781</v>
      </c>
      <c r="JV182" s="39">
        <f t="shared" ref="JV182:JV187" si="705">JU182-(JO182-JP182)*JG182/1000000</f>
        <v>0.15103261412803637</v>
      </c>
      <c r="JW182" s="1">
        <f t="shared" ref="JW182:JW187" si="706">JV182/(JU182-JV182)</f>
        <v>0.16873803712465882</v>
      </c>
      <c r="JX182" s="19">
        <f t="shared" ref="JX182:JX187" si="707">IF(JL182=0,0,JT182/JL182)*1000000</f>
        <v>10260.125653820953</v>
      </c>
      <c r="JZ182" s="341"/>
      <c r="KA182" s="342"/>
      <c r="KB182" s="469">
        <f t="shared" ref="KB182:KB187" si="708">KB181</f>
        <v>3.2656316020464753</v>
      </c>
      <c r="KI182" s="473">
        <f t="shared" ref="KI182:KK187" si="709">$JM182*IE182-$JG182*HY182/SUM($HY182:$IA182)</f>
        <v>0.68751777247010182</v>
      </c>
      <c r="KJ182" s="473">
        <f t="shared" si="709"/>
        <v>-2.0988972109817041</v>
      </c>
      <c r="KK182" s="473">
        <f t="shared" si="709"/>
        <v>-33.295791201366683</v>
      </c>
      <c r="KN182" s="888">
        <f t="shared" ref="KN182:KN187" si="710">KM182+(KN181-KM181)</f>
        <v>1002</v>
      </c>
      <c r="KO182" s="893">
        <f t="shared" ref="KO182:KO187" si="711">JM182/INDEX(JM:JM,MATCH(KN182,A:A,0))-1</f>
        <v>-0.10851112148212905</v>
      </c>
      <c r="KP182" s="894">
        <f t="shared" ref="KP182:KP187" si="712">(IL182-INDEX(IL:IL,MATCH(KN182,A:A,0)))*IE182
+(IM182-IF(HN182=0,INDEX(IX:IX,MATCH(KN182,A:A,0)),INDEX(IM:IM,MATCH(KN182,A:A,0))))*IF182
+(IN182-INDEX(IN:IN,MATCH(KN182,A:A,0)))*IG182</f>
        <v>-500</v>
      </c>
      <c r="KQ182" s="894">
        <f t="shared" ref="KQ182:KQ187" si="713">JD182-INDEX(JD:JD,MATCH(KN182,A:A,0))</f>
        <v>-554.94584596203094</v>
      </c>
      <c r="KR182" s="895">
        <f t="shared" ref="KR182:KR187" si="714">KO182/(KP182/(BX182-INDEX(JD:JD,MATCH(KN182,A:A,0))))</f>
        <v>3.112217479959674</v>
      </c>
      <c r="KS182" s="895">
        <f t="shared" ref="KS182:KS187" si="715">KO182/(KQ182/(BX182-INDEX(JD:JD,MATCH(KN182,A:A,0))))</f>
        <v>2.8040731384919764</v>
      </c>
      <c r="KT182" s="896">
        <f t="shared" ref="KT182:KT187" si="716">KT181</f>
        <v>-82.310573396665475</v>
      </c>
      <c r="KU182" s="663">
        <f t="shared" ref="KU182:KU187" si="717">IF(D182="",0,IFERROR((JM182/KT182-1)/(JD182/BX182)+B182*10^-6,0))</f>
        <v>-51.130776691160236</v>
      </c>
    </row>
    <row r="183" spans="1:307" s="26" customFormat="1" ht="15" outlineLevel="1">
      <c r="A183" s="561">
        <f t="shared" si="386"/>
        <v>1083</v>
      </c>
      <c r="B183" s="561">
        <f t="shared" si="508"/>
        <v>83</v>
      </c>
      <c r="C183" s="561">
        <f t="shared" si="105"/>
        <v>1</v>
      </c>
      <c r="D183" s="561" t="str">
        <f t="shared" si="376"/>
        <v xml:space="preserve">-1000 Event (RBC), -500 Event (L), </v>
      </c>
      <c r="E183" s="475">
        <f>INDEX(Input!$1:$1048576,E$93,$C183*2+MIN($B183,2)+5)
+INDEX(Scenarios!E$121:E$200,MATCH($B183,Scenarios!$B$121:$B$200,0))</f>
        <v>1250</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0</v>
      </c>
      <c r="V183" s="478">
        <f>IFERROR(MAX(0,INDEX(Input!$1:$1048576,V$93,$C183*2+MIN($B183,2)+5)
+INDEX(Scenarios!V$121:V$200,MATCH($B183,Scenarios!$B$121:$B$200,0)),),"Market")</f>
        <v>1.9E-2</v>
      </c>
      <c r="W183" s="863">
        <f>IFERROR(MAX(0,INDEX(Input!$1:$1048576,W$93,$C183*2+MIN($B183,2)+5)-0%,),"Market")</f>
        <v>3.9E-2</v>
      </c>
      <c r="X183" s="476" t="str">
        <f>INDEX(Input!$1:$1048576,X$93,$C183*2+MIN($B183,2)+5)</f>
        <v>Y</v>
      </c>
      <c r="Y183" s="475">
        <f>INDEX(Input!$1:$1048576,Y$93,$C183*2+MIN($B183,2)+5)
++INDEX(Scenarios!Y$121:Y$200,MATCH($B183,Scenarios!$B$121:$B$200,0))</f>
        <v>2826</v>
      </c>
      <c r="Z183" s="477">
        <f>INDEX(Input!$1:$1048576,Z$93,$C183*2+MIN($B183,2)+5)
+INDEX(Scenarios!Z$121:Z$200,MATCH($B183,Scenarios!$B$121:$B$200,0))</f>
        <v>0</v>
      </c>
      <c r="AA183" s="475">
        <f>INDEX(Input!$1:$1048576,AA$93,$C183*2+MIN($B183,2)+5)</f>
        <v>0</v>
      </c>
      <c r="AB183" s="476">
        <f>INDEX(Input!$1:$1048576,AB$93,$C183*2+MIN($B183,2)+5)</f>
        <v>1</v>
      </c>
      <c r="AC183" s="475">
        <f>INDEX(Input!$1:$1048576,AC$93,$C183*2+MIN($B183,2)+5)
+INDEX(Scenarios!AC$121:AC$200,MATCH($B183,Scenarios!$B$121:$B$200,0))</f>
        <v>-1000</v>
      </c>
      <c r="AD183" s="476">
        <f>INDEX(Input!$1:$1048576,AD$93,$C183*2+MIN($B183,2)+5)</f>
        <v>0.35</v>
      </c>
      <c r="AE183" s="475">
        <f>INDEX(Input!$1:$1048576,AE$93,$C183*2+MIN($B183,2)+5)
+INDEX(Scenarios!AE$121:AE$200,MATCH($B183,Scenarios!$B$121:$B$200,0))</f>
        <v>0</v>
      </c>
      <c r="AF183" s="476">
        <f>INDEX(Input!$1:$1048576,AF$93,$C183*2+MIN($B183,2)+5)</f>
        <v>1</v>
      </c>
      <c r="AG183" s="475">
        <f>INDEX(Input!$1:$1048576,AG$93,$C183*2+MIN($B183,2)+5)
+INDEX(Scenarios!AG$121:AG$200,MATCH($B183,Scenarios!$B$121:$B$200,0))</f>
        <v>0</v>
      </c>
      <c r="AH183" s="476">
        <f>INDEX(Input!$1:$1048576,AH$93,$C183*2+MIN($B183,2)+5)</f>
        <v>1</v>
      </c>
      <c r="AI183" s="475">
        <f>INDEX(Input!$1:$1048576,AI$93,$C183*2+MIN($B183,2)+5)
+INDEX(Scenarios!AI$121:AI$200,MATCH($B183,Scenarios!$B$121:$B$200,0))</f>
        <v>-500</v>
      </c>
      <c r="AJ183" s="476">
        <f>INDEX(Input!$1:$1048576,AJ$93,$C183*2+MIN($B183,2)+5)</f>
        <v>0.35</v>
      </c>
      <c r="AK183" s="150">
        <f>ROUND(INDEX(Input!$1:$1048576,AK$93,$C182*2+MIN($B183,1)+5)+(Y183-VLOOKUP($C183*1000+1,$A:$HH,Y$92,FALSE)),0)</f>
        <v>5482</v>
      </c>
      <c r="AL183" s="150">
        <f>ROUND(INDEX(Input!$1:$1048576,AL$93,$C182*2+MIN($B183,1)+5)-(Y183-VLOOKUP($C183*1000+1,$A:$HH,Y$92,FALSE))/36,0)</f>
        <v>5602</v>
      </c>
      <c r="AM183" s="32" t="str">
        <f t="shared" si="387"/>
        <v>std/std/std/std</v>
      </c>
      <c r="AN183" s="32" t="str">
        <f t="shared" si="388"/>
        <v>$0 + 0/0/0/1.9/3.9</v>
      </c>
      <c r="AO183" s="32" t="str">
        <f t="shared" si="389"/>
        <v>0/0/0/1.9/3.9</v>
      </c>
      <c r="AP183" s="32" t="str">
        <f t="shared" si="493"/>
        <v>0/0.9/1.9/3.9</v>
      </c>
      <c r="AQ183" s="536">
        <f t="shared" si="492"/>
        <v>-849.8488341517226</v>
      </c>
      <c r="AR183" s="32"/>
      <c r="AS183" s="302"/>
      <c r="AT183" s="3">
        <f t="shared" si="106"/>
        <v>83</v>
      </c>
      <c r="AU183" s="41" t="s">
        <v>121</v>
      </c>
      <c r="AV183" s="41" t="s">
        <v>116</v>
      </c>
      <c r="AW183" s="41" t="str">
        <f>INDEX(Input!$1:$1048576,AW$93,$C183*2+6)</f>
        <v>Kia</v>
      </c>
      <c r="AX183" s="41" t="str">
        <f>INDEX(Input!$1:$1048576,AX$93,$C183*2+6)</f>
        <v>Kia-LR - L1</v>
      </c>
      <c r="AY183" s="41" t="str">
        <f>IF(LEN(D183)=0,"",INDEX(Input!$1:$1048576,AY$93,$C183*2+6))</f>
        <v>Compact Conventional/Sporty Car (43)</v>
      </c>
      <c r="AZ183" s="41" t="str">
        <f>INDEX(Input!$1:$1048576,AZ$93,$C183*2+6)</f>
        <v>Kia Forte</v>
      </c>
      <c r="BA183" s="3">
        <f>INDEX(Input!$1:$1048576,BA$93,$C183*2+6)</f>
        <v>2020</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19695</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94"/>
        <v>900</v>
      </c>
      <c r="CJ183" s="16" t="str">
        <f>INDEX(Input!$1:$1048576,CJ$93,$C183*2+6)</f>
        <v>N</v>
      </c>
      <c r="CK183" s="1" t="str">
        <f t="shared" si="495"/>
        <v>Market</v>
      </c>
      <c r="CL183" s="1" t="str">
        <f t="shared" si="496"/>
        <v>Market</v>
      </c>
      <c r="CM183" s="1" t="str">
        <f t="shared" si="497"/>
        <v>Market</v>
      </c>
      <c r="CN183" s="1" t="str">
        <f t="shared" si="498"/>
        <v>Market</v>
      </c>
      <c r="CO183" s="1" t="str">
        <f t="shared" si="499"/>
        <v>Market</v>
      </c>
      <c r="CP183" s="304">
        <f t="shared" si="500"/>
        <v>-350</v>
      </c>
      <c r="CQ183" s="1">
        <f t="shared" si="501"/>
        <v>0</v>
      </c>
      <c r="CR183" s="1">
        <f t="shared" si="502"/>
        <v>0</v>
      </c>
      <c r="CS183" s="1">
        <f t="shared" si="503"/>
        <v>0</v>
      </c>
      <c r="CT183" s="1">
        <f t="shared" si="504"/>
        <v>1.9E-2</v>
      </c>
      <c r="CU183" s="1">
        <f t="shared" si="505"/>
        <v>3.9E-2</v>
      </c>
      <c r="CV183" s="304">
        <f t="shared" si="506"/>
        <v>2651</v>
      </c>
      <c r="CW183" s="20" t="s">
        <v>122</v>
      </c>
      <c r="CX183" s="20" t="s">
        <v>122</v>
      </c>
      <c r="CY183" s="20" t="s">
        <v>122</v>
      </c>
      <c r="CZ183" s="20" t="s">
        <v>122</v>
      </c>
      <c r="DA183" s="20" t="s">
        <v>122</v>
      </c>
      <c r="DB183" s="503">
        <f t="shared" si="507"/>
        <v>0</v>
      </c>
      <c r="DC183" s="127">
        <v>0</v>
      </c>
      <c r="DD183" s="127">
        <v>0</v>
      </c>
      <c r="DE183" s="127">
        <v>0</v>
      </c>
      <c r="DF183" s="127">
        <v>0</v>
      </c>
      <c r="DG183" s="127">
        <v>0</v>
      </c>
      <c r="DH183" s="127">
        <v>0</v>
      </c>
      <c r="DI183" s="127">
        <v>0</v>
      </c>
      <c r="DJ183" s="127">
        <v>0</v>
      </c>
      <c r="DK183" s="127">
        <v>0</v>
      </c>
      <c r="DL183" s="127">
        <v>0</v>
      </c>
      <c r="DM183" s="304">
        <f>INDEX(Input!$1:$1048576,DM$93,$C183*2+6)</f>
        <v>20731.578947368424</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v>1.3425705448090613E-2</v>
      </c>
      <c r="DZ183" s="7">
        <v>0</v>
      </c>
      <c r="EA183" s="7">
        <v>0.21145602857214987</v>
      </c>
      <c r="EB183" s="7">
        <v>0</v>
      </c>
      <c r="EC183" s="7">
        <v>0</v>
      </c>
      <c r="ED183" s="7">
        <v>0</v>
      </c>
      <c r="EE183" s="7">
        <v>0</v>
      </c>
      <c r="EF183" s="7">
        <v>0</v>
      </c>
      <c r="EG183" s="7">
        <v>0</v>
      </c>
      <c r="EH183" s="7">
        <v>1.9867163211649868E-2</v>
      </c>
      <c r="EI183" s="7">
        <v>3.5734944822064255E-2</v>
      </c>
      <c r="EJ183" s="7">
        <v>0.28104141462213034</v>
      </c>
      <c r="EK183" s="7">
        <v>0.62010092925970728</v>
      </c>
      <c r="EL183" s="7">
        <v>4.3255548084448148E-2</v>
      </c>
      <c r="EM183" s="7">
        <v>1.3353065686891086E-2</v>
      </c>
      <c r="EN183" s="7">
        <v>5.5838494892160112E-2</v>
      </c>
      <c r="EO183" s="7">
        <v>0.54280877123389593</v>
      </c>
      <c r="EP183" s="7">
        <v>0.31083800530624012</v>
      </c>
      <c r="EQ183" s="7">
        <v>5.2587108229261922E-2</v>
      </c>
      <c r="ER183" s="7">
        <v>3.7927620338442165E-2</v>
      </c>
      <c r="ES183" s="7">
        <v>0.76176520029286843</v>
      </c>
      <c r="ET183" s="7">
        <v>0.77511826597975952</v>
      </c>
      <c r="EU183" s="6">
        <v>1250</v>
      </c>
      <c r="EV183" s="6">
        <v>0</v>
      </c>
      <c r="EW183" s="6">
        <v>1250</v>
      </c>
      <c r="EX183" s="6">
        <v>0</v>
      </c>
      <c r="EY183" s="6">
        <v>2281.5502763133163</v>
      </c>
      <c r="EZ183" s="6">
        <v>4647.9999999999991</v>
      </c>
      <c r="FA183" s="6">
        <v>0</v>
      </c>
      <c r="FB183" s="6">
        <v>0</v>
      </c>
      <c r="FC183" s="6">
        <v>0</v>
      </c>
      <c r="FD183" s="6">
        <v>0</v>
      </c>
      <c r="FE183" s="6">
        <v>0</v>
      </c>
      <c r="FF183" s="6">
        <v>0</v>
      </c>
      <c r="FG183" s="6">
        <v>0</v>
      </c>
      <c r="FH183" s="6">
        <v>1152.1208270377815</v>
      </c>
      <c r="FI183" s="6">
        <v>1531.4299904380614</v>
      </c>
      <c r="FJ183" s="6">
        <v>2070.7205842538228</v>
      </c>
      <c r="FK183" s="6">
        <v>1746.9903521590434</v>
      </c>
      <c r="FL183" s="6">
        <v>893.91433563489375</v>
      </c>
      <c r="FM183" s="6">
        <v>1781.5502763133163</v>
      </c>
      <c r="FN183" s="6">
        <v>0</v>
      </c>
      <c r="FO183" s="6">
        <v>0</v>
      </c>
      <c r="FP183" s="6">
        <v>0</v>
      </c>
      <c r="FQ183" s="6">
        <v>0</v>
      </c>
      <c r="FR183" s="6">
        <v>0</v>
      </c>
      <c r="FS183" s="6">
        <v>0</v>
      </c>
      <c r="FT183" s="7">
        <v>0.22488173402024048</v>
      </c>
      <c r="FU183" s="7">
        <v>1.3353065686891086E-2</v>
      </c>
      <c r="FV183" s="7">
        <v>0.76176520029286843</v>
      </c>
      <c r="FW183" s="6">
        <v>1249.9999999999998</v>
      </c>
      <c r="FX183" s="6">
        <v>2281.5502763133163</v>
      </c>
      <c r="FY183" s="6">
        <v>4647.9999999999991</v>
      </c>
      <c r="FZ183" s="6">
        <v>3077.4375890575293</v>
      </c>
      <c r="GA183" s="6">
        <v>3852.2525091941088</v>
      </c>
      <c r="GB183" s="6">
        <v>15842.74749080589</v>
      </c>
      <c r="GC183" s="7">
        <v>7.0901643973087014E-2</v>
      </c>
      <c r="GD183" s="7">
        <v>7.7721661158552946E-2</v>
      </c>
      <c r="GE183" s="7"/>
      <c r="GF183" s="7"/>
      <c r="GG183" s="7">
        <v>9.6189831480560414E-2</v>
      </c>
      <c r="GH183" s="42">
        <v>2.4450467870129473</v>
      </c>
      <c r="GI183" s="6">
        <v>11907.313093151646</v>
      </c>
      <c r="GJ183" s="14">
        <v>0.5107463060103955</v>
      </c>
      <c r="GK183" s="14">
        <v>0.5082951978616097</v>
      </c>
      <c r="GL183" s="14">
        <v>0.48925369398960444</v>
      </c>
      <c r="GM183" s="14">
        <v>0.49170480213839046</v>
      </c>
      <c r="GO183" s="5">
        <v>338.16872463277008</v>
      </c>
      <c r="GP183" s="5">
        <v>314.32110928815564</v>
      </c>
      <c r="GQ183" s="5">
        <v>527.27910984145694</v>
      </c>
      <c r="GR183" s="5">
        <v>404.20319246551543</v>
      </c>
      <c r="GS183" s="5">
        <v>334.50205195691484</v>
      </c>
      <c r="GT183" s="5">
        <v>289.18266033348181</v>
      </c>
      <c r="GU183" s="5">
        <v>254.29573314828914</v>
      </c>
      <c r="GV183" s="39" t="s">
        <v>392</v>
      </c>
      <c r="GW183" s="5">
        <v>478.48611111111109</v>
      </c>
      <c r="GX183" s="5">
        <v>358.86458333333331</v>
      </c>
      <c r="GY183" s="5">
        <v>287.09166666666664</v>
      </c>
      <c r="GZ183" s="5">
        <v>253.32809988695078</v>
      </c>
      <c r="HA183" s="5">
        <v>234.65993859171959</v>
      </c>
      <c r="HB183" s="39">
        <v>270.25415027892882</v>
      </c>
      <c r="HC183" s="5">
        <v>79.765625</v>
      </c>
      <c r="HD183" s="5">
        <v>97.531158625730967</v>
      </c>
      <c r="HE183" s="5">
        <v>108.60346238191633</v>
      </c>
      <c r="HF183" s="5">
        <v>110.21817434210527</v>
      </c>
      <c r="HG183" s="5">
        <v>118.48826754385965</v>
      </c>
      <c r="HH183" s="39">
        <v>101.44287751985306</v>
      </c>
      <c r="HI183" s="16"/>
      <c r="HJ183" s="19" t="str">
        <f t="shared" si="676"/>
        <v>On</v>
      </c>
      <c r="HK183" s="1" t="str">
        <f t="shared" si="676"/>
        <v>On</v>
      </c>
      <c r="HL183" s="16"/>
      <c r="HM183" s="889">
        <f t="shared" si="677"/>
        <v>1.7699001661282989E-2</v>
      </c>
      <c r="HN183" s="889">
        <f t="shared" si="677"/>
        <v>1.0509929974846072E-3</v>
      </c>
      <c r="HO183" s="889">
        <f t="shared" si="677"/>
        <v>5.7398960259851091E-2</v>
      </c>
      <c r="HP183" s="890">
        <f>(FT183*$GD183-HM183)/$JF183*INDEX(Input!$1:$1048576,$JG$93,$C183*2+6)</f>
        <v>-2.8360427954201404</v>
      </c>
      <c r="HQ183" s="890">
        <f>(FU183*$GD183-HN183)/$JF183*INDEX(Input!$1:$1048576,$JG$93,$C183*2+6)</f>
        <v>-0.16915266450656577</v>
      </c>
      <c r="HR183" s="890">
        <f>(FV183*$GD183-HO183)/$JF183*INDEX(Input!$1:$1048576,$JG$93,$C183*2+6)</f>
        <v>23.203853528175966</v>
      </c>
      <c r="HS183" s="890">
        <f t="shared" si="678"/>
        <v>-1.7397457989243744E-2</v>
      </c>
      <c r="HT183" s="890">
        <f t="shared" si="679"/>
        <v>1.0695832972420656</v>
      </c>
      <c r="HU183" s="890">
        <f t="shared" si="680"/>
        <v>7.2368084316335803</v>
      </c>
      <c r="HV183" s="891">
        <f t="shared" si="681"/>
        <v>0</v>
      </c>
      <c r="HW183" s="891">
        <f t="shared" si="682"/>
        <v>0</v>
      </c>
      <c r="HX183" s="891">
        <f t="shared" si="683"/>
        <v>0</v>
      </c>
      <c r="HY183" s="890">
        <f>INDEX(Input!$1:$1048576,HY$93,$C183*2+6)*INDEX(Input!$1:$1048576,$JG$93,$C183*2+6)</f>
        <v>154.99999999999997</v>
      </c>
      <c r="HZ183" s="890">
        <f>INDEX(Input!$1:$1048576,HZ$93,$C183*2+6)*INDEX(Input!$1:$1048576,$JG$93,$C183*2+6)</f>
        <v>140</v>
      </c>
      <c r="IA183" s="890">
        <f>INDEX(Input!$1:$1048576,IA$93,$C183*2+6)*INDEX(Input!$1:$1048576,$JG$93,$C183*2+6)</f>
        <v>683</v>
      </c>
      <c r="IB183" s="890">
        <f t="shared" si="684"/>
        <v>152.14655974659058</v>
      </c>
      <c r="IC183" s="890">
        <f t="shared" si="685"/>
        <v>140.90043063273552</v>
      </c>
      <c r="ID183" s="890">
        <f>IF(AND(INDEX(Input!$1:$1048576,IA$93,$C183*2+7)="TOS",Y183&lt;=INDEX(Y:Y,MATCH(C183*1000+2,A:A))),0,1)*MAX(IA183+HR183+HU183+HX183,0%)</f>
        <v>713.44066195980952</v>
      </c>
      <c r="IE183" s="892">
        <f t="shared" si="686"/>
        <v>0.15116584827741619</v>
      </c>
      <c r="IF183" s="892">
        <f t="shared" si="686"/>
        <v>0.13999220984507338</v>
      </c>
      <c r="IG183" s="892">
        <f t="shared" si="686"/>
        <v>0.70884194187751048</v>
      </c>
      <c r="IH183" s="21"/>
      <c r="II183" s="19">
        <f t="shared" si="687"/>
        <v>1200</v>
      </c>
      <c r="IJ183" s="19">
        <f t="shared" si="688"/>
        <v>2231.5502763133163</v>
      </c>
      <c r="IK183" s="19">
        <f t="shared" si="688"/>
        <v>4498</v>
      </c>
      <c r="IL183" s="19">
        <f t="shared" si="689"/>
        <v>49.999999999999773</v>
      </c>
      <c r="IM183" s="19">
        <f t="shared" si="690"/>
        <v>50</v>
      </c>
      <c r="IN183" s="19">
        <f t="shared" si="690"/>
        <v>149.99999999999909</v>
      </c>
      <c r="IO183" s="39">
        <f t="shared" si="691"/>
        <v>0</v>
      </c>
      <c r="IP183" s="39">
        <f t="shared" si="691"/>
        <v>0</v>
      </c>
      <c r="IQ183" s="39">
        <f t="shared" si="691"/>
        <v>0</v>
      </c>
      <c r="IR183" s="39">
        <v>0</v>
      </c>
      <c r="IS183" s="39">
        <v>0</v>
      </c>
      <c r="IT183" s="39">
        <v>0</v>
      </c>
      <c r="IU183" s="39">
        <v>0</v>
      </c>
      <c r="IV183" s="39">
        <v>0</v>
      </c>
      <c r="IW183" s="39">
        <v>0</v>
      </c>
      <c r="IX183" s="39">
        <f>INDEX(Input!$1:$1048576,IX$93,$C183*2+6)+INDEX(Input!$1:$1048576,IX$94,$C183*2+6)</f>
        <v>1600</v>
      </c>
      <c r="IY183" s="39">
        <f>INDEX(Input!$1:$1048576,IY$93,$C183*2+6)+INDEX(Input!$1:$1048576,IY$94,$C183*2+6)</f>
        <v>2503.5492916397525</v>
      </c>
      <c r="IZ183" s="39">
        <f>INDEX(Input!$1:$1048576,IZ$93,$C183*2+6)+INDEX(Input!$1:$1048576,IZ$94,$C183*2+6)</f>
        <v>6273.7109265464023</v>
      </c>
      <c r="JA183" s="19">
        <f t="shared" si="692"/>
        <v>1649.9999999999998</v>
      </c>
      <c r="JB183" s="19">
        <f t="shared" si="692"/>
        <v>2553.5492916397525</v>
      </c>
      <c r="JC183" s="19">
        <f t="shared" si="692"/>
        <v>6423.7109265464014</v>
      </c>
      <c r="JD183" s="19">
        <f t="shared" si="693"/>
        <v>5160.2963851756413</v>
      </c>
      <c r="JE183" s="21"/>
      <c r="JF183" s="1">
        <f t="shared" si="694"/>
        <v>7.6148954918618686E-2</v>
      </c>
      <c r="JG183" s="15">
        <f>INDEX(Input!$1:$1048576,JG$93,$C183*2+6)/(1+VLOOKUP(C183*1000+INDEX(Input!$1:$1048576,JG$93+1,$C183*2+6),$A:$KK,$JK$92,FALSE))</f>
        <v>978</v>
      </c>
      <c r="JH183" s="1">
        <f t="shared" si="695"/>
        <v>2.065302460966182E-2</v>
      </c>
      <c r="JI183" s="1">
        <f t="shared" si="696"/>
        <v>8.4754542647100216E-3</v>
      </c>
      <c r="JJ183" s="1">
        <f t="shared" si="697"/>
        <v>0</v>
      </c>
      <c r="JK183" s="1">
        <f t="shared" si="698"/>
        <v>2.9128478874371842E-2</v>
      </c>
      <c r="JL183" s="15">
        <f t="shared" si="699"/>
        <v>28.487652339135661</v>
      </c>
      <c r="JM183" s="15">
        <f t="shared" si="700"/>
        <v>1006.4876523391357</v>
      </c>
      <c r="JN183" s="21"/>
      <c r="JO183" s="19">
        <f>INDEX(Input!$1:$1048576,JO$93,$C183*2+6)</f>
        <v>5908.5</v>
      </c>
      <c r="JP183" s="19">
        <f>INDEX(Input!$1:$1048576,JP$93,$C183*2+6)</f>
        <v>4993.2939301234746</v>
      </c>
      <c r="JQ183" s="39">
        <f t="shared" si="701"/>
        <v>748.20361482435874</v>
      </c>
      <c r="JR183" s="39">
        <f t="shared" si="702"/>
        <v>167.00245505216662</v>
      </c>
      <c r="JS183" s="39">
        <f t="shared" si="703"/>
        <v>5.1937745940895592</v>
      </c>
      <c r="JT183" s="39">
        <f t="shared" si="704"/>
        <v>0.31033313042880128</v>
      </c>
      <c r="JU183" s="385">
        <f>(JQ183*JM183-INDEX(Input!$1:$1048576,Input!A$18,$C183*2+6)*JL183*INDEX(Input!$1:$1048576,Input!A$19,$C183*2+6))/1000000</f>
        <v>0.75305769975622383</v>
      </c>
      <c r="JV183" s="39">
        <f t="shared" si="705"/>
        <v>-0.14201383658301792</v>
      </c>
      <c r="JW183" s="1">
        <f t="shared" si="706"/>
        <v>-0.15866199607222584</v>
      </c>
      <c r="JX183" s="19">
        <f t="shared" si="707"/>
        <v>10893.60143596224</v>
      </c>
      <c r="JZ183" s="341"/>
      <c r="KA183" s="342"/>
      <c r="KB183" s="469">
        <f t="shared" si="708"/>
        <v>3.2656316020464753</v>
      </c>
      <c r="KI183" s="473">
        <f t="shared" si="709"/>
        <v>-2.8534402534093601</v>
      </c>
      <c r="KJ183" s="473">
        <f t="shared" si="709"/>
        <v>0.90043063273554935</v>
      </c>
      <c r="KK183" s="473">
        <f t="shared" si="709"/>
        <v>30.440661959809631</v>
      </c>
      <c r="KN183" s="888">
        <f t="shared" si="710"/>
        <v>1002</v>
      </c>
      <c r="KO183" s="893">
        <f t="shared" si="711"/>
        <v>-4.8786844871320012E-2</v>
      </c>
      <c r="KP183" s="894">
        <f t="shared" si="712"/>
        <v>-225.95266017143561</v>
      </c>
      <c r="KQ183" s="894">
        <f t="shared" si="713"/>
        <v>-194.15751479979917</v>
      </c>
      <c r="KR183" s="895">
        <f t="shared" si="714"/>
        <v>3.0963565439817597</v>
      </c>
      <c r="KS183" s="895">
        <f t="shared" si="715"/>
        <v>3.6034144682646865</v>
      </c>
      <c r="KT183" s="896">
        <f t="shared" si="716"/>
        <v>-82.310573396665475</v>
      </c>
      <c r="KU183" s="663">
        <f t="shared" si="717"/>
        <v>-50.486167309081516</v>
      </c>
    </row>
    <row r="184" spans="1:307" s="26" customFormat="1" ht="15" outlineLevel="1">
      <c r="A184" s="561">
        <f t="shared" si="386"/>
        <v>1084</v>
      </c>
      <c r="B184" s="561">
        <f t="shared" si="508"/>
        <v>84</v>
      </c>
      <c r="C184" s="561">
        <f t="shared" si="105"/>
        <v>1</v>
      </c>
      <c r="D184" s="561" t="str">
        <f t="shared" si="376"/>
        <v xml:space="preserve">-250 CC, 0.9/1.9/2.9/3.9, </v>
      </c>
      <c r="E184" s="475">
        <f>INDEX(Input!$1:$1048576,E$93,$C184*2+MIN($B184,2)+5)
+INDEX(Scenarios!E$121:E$200,MATCH($B184,Scenarios!$B$121:$B$200,0))</f>
        <v>1000</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0</v>
      </c>
      <c r="R184" s="478">
        <f>IFERROR(MAX(0,INDEX(Input!$1:$1048576,R$93,$C184*2+MIN($B184,2)+5)
+INDEX(Scenarios!R$121:R$200,MATCH($B184,Scenarios!$B$121:$B$200,0)),),"Market")</f>
        <v>0</v>
      </c>
      <c r="S184" s="478">
        <f>IFERROR(MAX(0,INDEX(Input!$1:$1048576,S$93,$C184*2+MIN($B184,2)+5)
+INDEX(Scenarios!S$121:S$200,MATCH($B184,Scenarios!$B$121:$B$200,0)),),"Market")</f>
        <v>0</v>
      </c>
      <c r="T184" s="478">
        <f>IFERROR(MAX(0,INDEX(Input!$1:$1048576,T$93,$C184*2+MIN($B184,2)+5)
+INDEX(Scenarios!T$121:T$200,MATCH($B184,Scenarios!$B$121:$B$200,0)),),"Market")</f>
        <v>0</v>
      </c>
      <c r="U184" s="478">
        <f>IFERROR(MAX(0,INDEX(Input!$1:$1048576,U$93,$C184*2+MIN($B184,2)+5)
+INDEX(Scenarios!U$121:U$200,MATCH($B184,Scenarios!$B$121:$B$200,0)),),"Market")</f>
        <v>9.0000000000000011E-3</v>
      </c>
      <c r="V184" s="478">
        <f>IFERROR(MAX(0,INDEX(Input!$1:$1048576,V$93,$C184*2+MIN($B184,2)+5)
+INDEX(Scenarios!V$121:V$200,MATCH($B184,Scenarios!$B$121:$B$200,0)),),"Market")</f>
        <v>2.8999999999999998E-2</v>
      </c>
      <c r="W184" s="863">
        <f>IFERROR(MAX(0,INDEX(Input!$1:$1048576,W$93,$C184*2+MIN($B184,2)+5)-0%,),"Market")</f>
        <v>3.9E-2</v>
      </c>
      <c r="X184" s="476" t="str">
        <f>INDEX(Input!$1:$1048576,X$93,$C184*2+MIN($B184,2)+5)</f>
        <v>Y</v>
      </c>
      <c r="Y184" s="475">
        <f>INDEX(Input!$1:$1048576,Y$93,$C184*2+MIN($B184,2)+5)
++INDEX(Scenarios!Y$121:Y$200,MATCH($B184,Scenarios!$B$121:$B$200,0))</f>
        <v>2826</v>
      </c>
      <c r="Z184" s="477">
        <f>INDEX(Input!$1:$1048576,Z$93,$C184*2+MIN($B184,2)+5)
+INDEX(Scenarios!Z$121:Z$200,MATCH($B184,Scenarios!$B$121:$B$200,0))</f>
        <v>0</v>
      </c>
      <c r="AA184" s="475">
        <f>INDEX(Input!$1:$1048576,AA$93,$C184*2+MIN($B184,2)+5)</f>
        <v>0</v>
      </c>
      <c r="AB184" s="476">
        <f>INDEX(Input!$1:$1048576,AB$93,$C184*2+MIN($B184,2)+5)</f>
        <v>1</v>
      </c>
      <c r="AC184" s="475">
        <f>INDEX(Input!$1:$1048576,AC$93,$C184*2+MIN($B184,2)+5)
+INDEX(Scenarios!AC$121:AC$200,MATCH($B184,Scenarios!$B$121:$B$200,0))</f>
        <v>0</v>
      </c>
      <c r="AD184" s="476">
        <f>INDEX(Input!$1:$1048576,AD$93,$C184*2+MIN($B184,2)+5)</f>
        <v>0.35</v>
      </c>
      <c r="AE184" s="475">
        <f>INDEX(Input!$1:$1048576,AE$93,$C184*2+MIN($B184,2)+5)
+INDEX(Scenarios!AE$121:AE$200,MATCH($B184,Scenarios!$B$121:$B$200,0))</f>
        <v>0</v>
      </c>
      <c r="AF184" s="476">
        <f>INDEX(Input!$1:$1048576,AF$93,$C184*2+MIN($B184,2)+5)</f>
        <v>1</v>
      </c>
      <c r="AG184" s="475">
        <f>INDEX(Input!$1:$1048576,AG$93,$C184*2+MIN($B184,2)+5)
+INDEX(Scenarios!AG$121:AG$200,MATCH($B184,Scenarios!$B$121:$B$200,0))</f>
        <v>0</v>
      </c>
      <c r="AH184" s="476">
        <f>INDEX(Input!$1:$1048576,AH$93,$C184*2+MIN($B184,2)+5)</f>
        <v>1</v>
      </c>
      <c r="AI184" s="475">
        <f>INDEX(Input!$1:$1048576,AI$93,$C184*2+MIN($B184,2)+5)
+INDEX(Scenarios!AI$121:AI$200,MATCH($B184,Scenarios!$B$121:$B$200,0))</f>
        <v>0</v>
      </c>
      <c r="AJ184" s="476">
        <f>INDEX(Input!$1:$1048576,AJ$93,$C184*2+MIN($B184,2)+5)</f>
        <v>0.35</v>
      </c>
      <c r="AK184" s="150">
        <f>ROUND(INDEX(Input!$1:$1048576,AK$93,$C183*2+MIN($B184,1)+5)+(Y184-VLOOKUP($C184*1000+1,$A:$HH,Y$92,FALSE)),0)</f>
        <v>5482</v>
      </c>
      <c r="AL184" s="150">
        <f>ROUND(INDEX(Input!$1:$1048576,AL$93,$C183*2+MIN($B184,1)+5)-(Y184-VLOOKUP($C184*1000+1,$A:$HH,Y$92,FALSE))/36,0)</f>
        <v>5602</v>
      </c>
      <c r="AM184" s="32" t="str">
        <f t="shared" si="387"/>
        <v>std/std/std/std</v>
      </c>
      <c r="AN184" s="32" t="str">
        <f t="shared" si="388"/>
        <v>$0 + 0/0/0.9/2.9/3.9</v>
      </c>
      <c r="AO184" s="32" t="str">
        <f t="shared" si="389"/>
        <v>0/0/0.9/2.9/3.9</v>
      </c>
      <c r="AP184" s="32" t="str">
        <f t="shared" si="493"/>
        <v>0.9/1.9/2.9/3.9</v>
      </c>
      <c r="AQ184" s="536">
        <f t="shared" si="492"/>
        <v>0.14595259957811352</v>
      </c>
      <c r="AR184" s="32"/>
      <c r="AS184" s="302"/>
      <c r="AT184" s="3">
        <f t="shared" si="106"/>
        <v>84</v>
      </c>
      <c r="AU184" s="41" t="s">
        <v>121</v>
      </c>
      <c r="AV184" s="41" t="s">
        <v>116</v>
      </c>
      <c r="AW184" s="41" t="str">
        <f>INDEX(Input!$1:$1048576,AW$93,$C184*2+6)</f>
        <v>Kia</v>
      </c>
      <c r="AX184" s="41" t="str">
        <f>INDEX(Input!$1:$1048576,AX$93,$C184*2+6)</f>
        <v>Kia-LR - L1</v>
      </c>
      <c r="AY184" s="41" t="str">
        <f>IF(LEN(D184)=0,"",INDEX(Input!$1:$1048576,AY$93,$C184*2+6))</f>
        <v>Compact Conventional/Sporty Car (43)</v>
      </c>
      <c r="AZ184" s="41" t="str">
        <f>INDEX(Input!$1:$1048576,AZ$93,$C184*2+6)</f>
        <v>Kia Forte</v>
      </c>
      <c r="BA184" s="3">
        <f>INDEX(Input!$1:$1048576,BA$93,$C184*2+6)</f>
        <v>2020</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19695</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t="e">
        <f t="shared" si="494"/>
        <v>#VALUE!</v>
      </c>
      <c r="CJ184" s="16" t="str">
        <f>INDEX(Input!$1:$1048576,CJ$93,$C184*2+6)</f>
        <v>N</v>
      </c>
      <c r="CK184" s="1" t="str">
        <f t="shared" si="495"/>
        <v>Market</v>
      </c>
      <c r="CL184" s="1" t="str">
        <f t="shared" si="496"/>
        <v>Market</v>
      </c>
      <c r="CM184" s="1" t="str">
        <f t="shared" si="497"/>
        <v>Market</v>
      </c>
      <c r="CN184" s="1" t="str">
        <f t="shared" si="498"/>
        <v>Market</v>
      </c>
      <c r="CO184" s="1" t="str">
        <f t="shared" si="499"/>
        <v>Market</v>
      </c>
      <c r="CP184" s="304">
        <f t="shared" si="500"/>
        <v>0</v>
      </c>
      <c r="CQ184" s="1">
        <f t="shared" si="501"/>
        <v>0</v>
      </c>
      <c r="CR184" s="1">
        <f t="shared" si="502"/>
        <v>0</v>
      </c>
      <c r="CS184" s="1">
        <f t="shared" si="503"/>
        <v>9.0000000000000011E-3</v>
      </c>
      <c r="CT184" s="1">
        <f t="shared" si="504"/>
        <v>2.8999999999999998E-2</v>
      </c>
      <c r="CU184" s="1">
        <f t="shared" si="505"/>
        <v>3.9E-2</v>
      </c>
      <c r="CV184" s="304">
        <f t="shared" si="506"/>
        <v>2826</v>
      </c>
      <c r="CW184" s="20" t="s">
        <v>122</v>
      </c>
      <c r="CX184" s="20" t="s">
        <v>122</v>
      </c>
      <c r="CY184" s="20" t="s">
        <v>122</v>
      </c>
      <c r="CZ184" s="20" t="s">
        <v>122</v>
      </c>
      <c r="DA184" s="20" t="s">
        <v>122</v>
      </c>
      <c r="DB184" s="503">
        <f t="shared" si="507"/>
        <v>0</v>
      </c>
      <c r="DC184" s="127">
        <v>0</v>
      </c>
      <c r="DD184" s="127">
        <v>0</v>
      </c>
      <c r="DE184" s="127">
        <v>0</v>
      </c>
      <c r="DF184" s="127">
        <v>0</v>
      </c>
      <c r="DG184" s="127">
        <v>0</v>
      </c>
      <c r="DH184" s="127">
        <v>0</v>
      </c>
      <c r="DI184" s="127">
        <v>0</v>
      </c>
      <c r="DJ184" s="127">
        <v>0</v>
      </c>
      <c r="DK184" s="127">
        <v>0</v>
      </c>
      <c r="DL184" s="127">
        <v>0</v>
      </c>
      <c r="DM184" s="304">
        <f>INDEX(Input!$1:$1048576,DM$93,$C184*2+6)</f>
        <v>20731.578947368424</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v>1.309854037844631E-2</v>
      </c>
      <c r="DZ184" s="7">
        <v>0</v>
      </c>
      <c r="EA184" s="7">
        <v>0.20572046999635607</v>
      </c>
      <c r="EB184" s="7">
        <v>0</v>
      </c>
      <c r="EC184" s="7">
        <v>0</v>
      </c>
      <c r="ED184" s="7">
        <v>0</v>
      </c>
      <c r="EE184" s="7">
        <v>0</v>
      </c>
      <c r="EF184" s="7">
        <v>0</v>
      </c>
      <c r="EG184" s="7">
        <v>0</v>
      </c>
      <c r="EH184" s="7">
        <v>2.9041076318917017E-2</v>
      </c>
      <c r="EI184" s="7">
        <v>5.2236006156194142E-2</v>
      </c>
      <c r="EJ184" s="7">
        <v>0.29750945512025195</v>
      </c>
      <c r="EK184" s="7">
        <v>0.55798411960644445</v>
      </c>
      <c r="EL184" s="7">
        <v>6.3229342798192228E-2</v>
      </c>
      <c r="EM184" s="7">
        <v>9.6048144794742066E-3</v>
      </c>
      <c r="EN184" s="7">
        <v>5.6686594175933767E-2</v>
      </c>
      <c r="EO184" s="7">
        <v>0.5421699501419357</v>
      </c>
      <c r="EP184" s="7">
        <v>0.31173155381219214</v>
      </c>
      <c r="EQ184" s="7">
        <v>5.195431232660349E-2</v>
      </c>
      <c r="ER184" s="7">
        <v>3.7457589543334752E-2</v>
      </c>
      <c r="ES184" s="7">
        <v>0.77157617514572341</v>
      </c>
      <c r="ET184" s="7">
        <v>0.78118098962519766</v>
      </c>
      <c r="EU184" s="6">
        <v>1350</v>
      </c>
      <c r="EV184" s="6">
        <v>0</v>
      </c>
      <c r="EW184" s="6">
        <v>1350</v>
      </c>
      <c r="EX184" s="6">
        <v>0</v>
      </c>
      <c r="EY184" s="6">
        <v>2235.2986931576979</v>
      </c>
      <c r="EZ184" s="6">
        <v>4822.9999999999991</v>
      </c>
      <c r="FA184" s="6">
        <v>0</v>
      </c>
      <c r="FB184" s="6">
        <v>0</v>
      </c>
      <c r="FC184" s="6">
        <v>0</v>
      </c>
      <c r="FD184" s="6">
        <v>0</v>
      </c>
      <c r="FE184" s="6">
        <v>0</v>
      </c>
      <c r="FF184" s="6">
        <v>0</v>
      </c>
      <c r="FG184" s="6">
        <v>0</v>
      </c>
      <c r="FH184" s="6">
        <v>1152.120827037782</v>
      </c>
      <c r="FI184" s="6">
        <v>1531.4299904380621</v>
      </c>
      <c r="FJ184" s="6">
        <v>1709.9775738488456</v>
      </c>
      <c r="FK184" s="6">
        <v>1266.3227157028189</v>
      </c>
      <c r="FL184" s="6">
        <v>893.91433563489397</v>
      </c>
      <c r="FM184" s="6">
        <v>1385.2986931576977</v>
      </c>
      <c r="FN184" s="6">
        <v>0</v>
      </c>
      <c r="FO184" s="6">
        <v>0</v>
      </c>
      <c r="FP184" s="6">
        <v>0</v>
      </c>
      <c r="FQ184" s="6">
        <v>0</v>
      </c>
      <c r="FR184" s="6">
        <v>0</v>
      </c>
      <c r="FS184" s="6">
        <v>0</v>
      </c>
      <c r="FT184" s="7">
        <v>0.21881901037480239</v>
      </c>
      <c r="FU184" s="7">
        <v>9.6048144794742066E-3</v>
      </c>
      <c r="FV184" s="7">
        <v>0.77157617514572341</v>
      </c>
      <c r="FW184" s="6">
        <v>1350</v>
      </c>
      <c r="FX184" s="6">
        <v>2235.2986931576979</v>
      </c>
      <c r="FY184" s="6">
        <v>4822.9999999999991</v>
      </c>
      <c r="FZ184" s="6">
        <v>3077.4375890575293</v>
      </c>
      <c r="GA184" s="6">
        <v>4038.1871859877974</v>
      </c>
      <c r="GB184" s="6">
        <v>15656.812814012203</v>
      </c>
      <c r="GC184" s="7">
        <v>7.0901643973087014E-2</v>
      </c>
      <c r="GD184" s="7">
        <v>7.9618734043617675E-2</v>
      </c>
      <c r="GE184" s="7"/>
      <c r="GF184" s="7"/>
      <c r="GG184" s="7">
        <v>0.1229462334306312</v>
      </c>
      <c r="GH184" s="42">
        <v>2.5203508543257085</v>
      </c>
      <c r="GI184" s="6">
        <v>11852.575395548873</v>
      </c>
      <c r="GJ184" s="14">
        <v>0.5107463060103955</v>
      </c>
      <c r="GK184" s="14">
        <v>0.50829519786160982</v>
      </c>
      <c r="GL184" s="14">
        <v>0.48925369398960433</v>
      </c>
      <c r="GM184" s="14">
        <v>0.49170480213839035</v>
      </c>
      <c r="GO184" s="5">
        <v>338.16872463277008</v>
      </c>
      <c r="GP184" s="5">
        <v>312.41330006058649</v>
      </c>
      <c r="GQ184" s="5">
        <v>527.27910984145694</v>
      </c>
      <c r="GR184" s="5">
        <v>404.20319246551543</v>
      </c>
      <c r="GS184" s="5">
        <v>334.50205195691484</v>
      </c>
      <c r="GT184" s="5">
        <v>289.18266033348181</v>
      </c>
      <c r="GU184" s="5">
        <v>254.29573314828914</v>
      </c>
      <c r="GV184" s="39" t="s">
        <v>392</v>
      </c>
      <c r="GW184" s="5">
        <v>468.76388888888891</v>
      </c>
      <c r="GX184" s="5">
        <v>351.57291666666669</v>
      </c>
      <c r="GY184" s="5">
        <v>287.73954748358943</v>
      </c>
      <c r="GZ184" s="5">
        <v>255.64660634518972</v>
      </c>
      <c r="HA184" s="5">
        <v>229.8919505212948</v>
      </c>
      <c r="HB184" s="39">
        <v>274.76607241846818</v>
      </c>
      <c r="HC184" s="5">
        <v>72.109375000000014</v>
      </c>
      <c r="HD184" s="5">
        <v>92.305464181286524</v>
      </c>
      <c r="HE184" s="5">
        <v>103.7516995614035</v>
      </c>
      <c r="HF184" s="5">
        <v>106.17129934210527</v>
      </c>
      <c r="HG184" s="5">
        <v>115.13410087719299</v>
      </c>
      <c r="HH184" s="39">
        <v>96.304265044073475</v>
      </c>
      <c r="HI184" s="16"/>
      <c r="HJ184" s="19" t="str">
        <f t="shared" si="676"/>
        <v>On</v>
      </c>
      <c r="HK184" s="1" t="str">
        <f t="shared" si="676"/>
        <v>On</v>
      </c>
      <c r="HL184" s="16"/>
      <c r="HM184" s="889">
        <f t="shared" si="677"/>
        <v>1.7699001661282989E-2</v>
      </c>
      <c r="HN184" s="889">
        <f t="shared" si="677"/>
        <v>1.0509929974846072E-3</v>
      </c>
      <c r="HO184" s="889">
        <f t="shared" si="677"/>
        <v>5.7398960259851091E-2</v>
      </c>
      <c r="HP184" s="890">
        <f>(FT184*$GD184-HM184)/$JF184*INDEX(Input!$1:$1048576,$JG$93,$C184*2+6)</f>
        <v>-3.5564121832137876</v>
      </c>
      <c r="HQ184" s="890">
        <f>(FU184*$GD184-HN184)/$JF184*INDEX(Input!$1:$1048576,$JG$93,$C184*2+6)</f>
        <v>-3.6766347219126017</v>
      </c>
      <c r="HR184" s="890">
        <f>(FV184*$GD184-HO184)/$JF184*INDEX(Input!$1:$1048576,$JG$93,$C184*2+6)</f>
        <v>51.796284678719253</v>
      </c>
      <c r="HS184" s="890">
        <f t="shared" si="678"/>
        <v>-1.3042584915260529E-3</v>
      </c>
      <c r="HT184" s="890">
        <f t="shared" si="679"/>
        <v>-0.86050948493206592</v>
      </c>
      <c r="HU184" s="890">
        <f t="shared" si="680"/>
        <v>15.911362559788458</v>
      </c>
      <c r="HV184" s="891">
        <f t="shared" si="681"/>
        <v>0</v>
      </c>
      <c r="HW184" s="891">
        <f t="shared" si="682"/>
        <v>0</v>
      </c>
      <c r="HX184" s="891">
        <f t="shared" si="683"/>
        <v>0</v>
      </c>
      <c r="HY184" s="890">
        <f>INDEX(Input!$1:$1048576,HY$93,$C184*2+6)*INDEX(Input!$1:$1048576,$JG$93,$C184*2+6)</f>
        <v>154.99999999999997</v>
      </c>
      <c r="HZ184" s="890">
        <f>INDEX(Input!$1:$1048576,HZ$93,$C184*2+6)*INDEX(Input!$1:$1048576,$JG$93,$C184*2+6)</f>
        <v>140</v>
      </c>
      <c r="IA184" s="890">
        <f>INDEX(Input!$1:$1048576,IA$93,$C184*2+6)*INDEX(Input!$1:$1048576,$JG$93,$C184*2+6)</f>
        <v>683</v>
      </c>
      <c r="IB184" s="890">
        <f t="shared" si="684"/>
        <v>151.44228355829466</v>
      </c>
      <c r="IC184" s="890">
        <f t="shared" si="685"/>
        <v>135.46285579315534</v>
      </c>
      <c r="ID184" s="890">
        <f>IF(AND(INDEX(Input!$1:$1048576,IA$93,$C184*2+7)="TOS",Y184&lt;=INDEX(Y:Y,MATCH(C184*1000+2,A:A))),0,1)*MAX(IA184+HR184+HU184+HX184,0%)</f>
        <v>750.70764723850778</v>
      </c>
      <c r="IE184" s="892">
        <f t="shared" si="686"/>
        <v>0.14595259957811352</v>
      </c>
      <c r="IF184" s="892">
        <f t="shared" si="686"/>
        <v>0.13055241564470749</v>
      </c>
      <c r="IG184" s="892">
        <f t="shared" si="686"/>
        <v>0.723494984777179</v>
      </c>
      <c r="IH184" s="21"/>
      <c r="II184" s="19">
        <f t="shared" si="687"/>
        <v>1200</v>
      </c>
      <c r="IJ184" s="19">
        <f t="shared" si="688"/>
        <v>2231.5502763133163</v>
      </c>
      <c r="IK184" s="19">
        <f t="shared" si="688"/>
        <v>4498</v>
      </c>
      <c r="IL184" s="19">
        <f t="shared" si="689"/>
        <v>150</v>
      </c>
      <c r="IM184" s="19">
        <f t="shared" si="690"/>
        <v>3.7484168443816088</v>
      </c>
      <c r="IN184" s="19">
        <f t="shared" si="690"/>
        <v>324.99999999999909</v>
      </c>
      <c r="IO184" s="39">
        <f t="shared" si="691"/>
        <v>0</v>
      </c>
      <c r="IP184" s="39">
        <f t="shared" si="691"/>
        <v>0</v>
      </c>
      <c r="IQ184" s="39">
        <f t="shared" si="691"/>
        <v>0</v>
      </c>
      <c r="IR184" s="39">
        <v>0</v>
      </c>
      <c r="IS184" s="39">
        <v>0</v>
      </c>
      <c r="IT184" s="39">
        <v>0</v>
      </c>
      <c r="IU184" s="39">
        <v>0</v>
      </c>
      <c r="IV184" s="39">
        <v>0</v>
      </c>
      <c r="IW184" s="39">
        <v>0</v>
      </c>
      <c r="IX184" s="39">
        <f>INDEX(Input!$1:$1048576,IX$93,$C184*2+6)+INDEX(Input!$1:$1048576,IX$94,$C184*2+6)</f>
        <v>1600</v>
      </c>
      <c r="IY184" s="39">
        <f>INDEX(Input!$1:$1048576,IY$93,$C184*2+6)+INDEX(Input!$1:$1048576,IY$94,$C184*2+6)</f>
        <v>2503.5492916397525</v>
      </c>
      <c r="IZ184" s="39">
        <f>INDEX(Input!$1:$1048576,IZ$93,$C184*2+6)+INDEX(Input!$1:$1048576,IZ$94,$C184*2+6)</f>
        <v>6273.7109265464023</v>
      </c>
      <c r="JA184" s="19">
        <f t="shared" si="692"/>
        <v>1750</v>
      </c>
      <c r="JB184" s="19">
        <f t="shared" si="692"/>
        <v>2507.2977084841341</v>
      </c>
      <c r="JC184" s="19">
        <f t="shared" si="692"/>
        <v>6598.7109265464014</v>
      </c>
      <c r="JD184" s="19">
        <f t="shared" si="693"/>
        <v>5356.8850831954351</v>
      </c>
      <c r="JE184" s="21"/>
      <c r="JF184" s="1">
        <f t="shared" si="694"/>
        <v>7.6148954918618686E-2</v>
      </c>
      <c r="JG184" s="15">
        <f>INDEX(Input!$1:$1048576,JG$93,$C184*2+6)/(1+VLOOKUP(C184*1000+INDEX(Input!$1:$1048576,JG$93+1,$C184*2+6),$A:$KK,$JK$92,FALSE))</f>
        <v>978</v>
      </c>
      <c r="JH184" s="1">
        <f t="shared" si="695"/>
        <v>4.5565682795084723E-2</v>
      </c>
      <c r="JI184" s="1">
        <f t="shared" si="696"/>
        <v>1.5388086724299452E-2</v>
      </c>
      <c r="JJ184" s="1">
        <f t="shared" si="697"/>
        <v>0</v>
      </c>
      <c r="JK184" s="1">
        <f t="shared" si="698"/>
        <v>6.0953769519384179E-2</v>
      </c>
      <c r="JL184" s="15">
        <f t="shared" si="699"/>
        <v>59.612786589957729</v>
      </c>
      <c r="JM184" s="15">
        <f t="shared" si="700"/>
        <v>1037.6127865899578</v>
      </c>
      <c r="JN184" s="21"/>
      <c r="JO184" s="19">
        <f>INDEX(Input!$1:$1048576,JO$93,$C184*2+6)</f>
        <v>5908.5</v>
      </c>
      <c r="JP184" s="19">
        <f>INDEX(Input!$1:$1048576,JP$93,$C184*2+6)</f>
        <v>4993.2939301234746</v>
      </c>
      <c r="JQ184" s="39">
        <f t="shared" si="701"/>
        <v>551.61491680456493</v>
      </c>
      <c r="JR184" s="39">
        <f t="shared" si="702"/>
        <v>363.59115307196043</v>
      </c>
      <c r="JS184" s="39">
        <f t="shared" si="703"/>
        <v>5.558372458616593</v>
      </c>
      <c r="JT184" s="39">
        <f t="shared" si="704"/>
        <v>0.67493099495583497</v>
      </c>
      <c r="JU184" s="385">
        <f>(JQ184*JM184-INDEX(Input!$1:$1048576,Input!A$18,$C184*2+6)*JL184*INDEX(Input!$1:$1048576,Input!A$19,$C184*2+6))/1000000</f>
        <v>0.57236269095017234</v>
      </c>
      <c r="JV184" s="39">
        <f t="shared" si="705"/>
        <v>-0.32270884538906941</v>
      </c>
      <c r="JW184" s="1">
        <f t="shared" si="706"/>
        <v>-0.3605397248011239</v>
      </c>
      <c r="JX184" s="19">
        <f t="shared" si="707"/>
        <v>11321.916547842317</v>
      </c>
      <c r="JZ184" s="341"/>
      <c r="KA184" s="342"/>
      <c r="KB184" s="469">
        <f t="shared" si="708"/>
        <v>3.2656316020464753</v>
      </c>
      <c r="KI184" s="473">
        <f t="shared" si="709"/>
        <v>-3.5577164417053098</v>
      </c>
      <c r="KJ184" s="473">
        <f t="shared" si="709"/>
        <v>-4.5371442068446584</v>
      </c>
      <c r="KK184" s="473">
        <f t="shared" si="709"/>
        <v>67.707647238507775</v>
      </c>
      <c r="KN184" s="888">
        <f t="shared" si="710"/>
        <v>1002</v>
      </c>
      <c r="KO184" s="893">
        <f t="shared" si="711"/>
        <v>-1.9371047185456125E-2</v>
      </c>
      <c r="KP184" s="894">
        <f t="shared" si="712"/>
        <v>-88.219751278533948</v>
      </c>
      <c r="KQ184" s="894">
        <f t="shared" si="713"/>
        <v>2.4311832199946366</v>
      </c>
      <c r="KR184" s="895">
        <f t="shared" si="714"/>
        <v>3.1488571566215473</v>
      </c>
      <c r="KS184" s="895">
        <f t="shared" si="715"/>
        <v>-114.26181000434734</v>
      </c>
      <c r="KT184" s="896">
        <f t="shared" si="716"/>
        <v>-82.310573396665475</v>
      </c>
      <c r="KU184" s="663">
        <f t="shared" si="717"/>
        <v>-50.023675950204549</v>
      </c>
    </row>
    <row r="185" spans="1:307" s="26" customFormat="1" ht="15" outlineLevel="1">
      <c r="A185" s="561">
        <f t="shared" si="386"/>
        <v>1085</v>
      </c>
      <c r="B185" s="561">
        <f t="shared" si="508"/>
        <v>85</v>
      </c>
      <c r="C185" s="561">
        <f t="shared" si="105"/>
        <v>1</v>
      </c>
      <c r="D185" s="561" t="str">
        <f t="shared" ref="D185:D200" si="718">IF(E185=INDEX(E:E,MATCH(C185*1000+2,A:A,0)),"",E185-INDEX(E:E,MATCH(C185*1000+2,A:A,0))&amp;E$100&amp;", ")
&amp;IF(F185=INDEX(F:F,MATCH(C185*1000+2,A:A,0)),"",F185-INDEX(F:F,MATCH(C185*1000+2,A:A,0))&amp;F$100&amp;", ")
&amp;IF(AM185=INDEX(AM:AM,MATCH(C185*1000+2,A:A,0)),"",AM185&amp;AM$100&amp;", ")
&amp;IF(AP185=INDEX(AP:AP,MATCH(C185*1000+2,A:A,0)),"",AP185&amp;AP$100&amp;", ")
&amp;IF(Q185=INDEX(Q:Q,MATCH(C185*1000+2,A:A,0)),"",Q185-INDEX(Q:Q,MATCH(C185*1000+2,A:A,0))&amp;Q$100&amp;", ")
&amp;IF(Y185=INDEX(Y:Y,MATCH(C185*1000+2,A:A,0)),"",Y185-INDEX(Y:Y,MATCH(C185*1000+2,A:A,0))&amp;Y$100&amp;", ")
&amp;IF(Z185=INDEX(Z:Z,MATCH(C185*1000+2,A:A,0)),"",Z185-INDEX(Z:Z,MATCH(C185*1000+2,A:A,0))&amp;Z$100&amp;", ")
&amp;IF(AA185=INDEX(AA:AA,MATCH(C185*1000+2,A:A,0)),"",AA185-INDEX(AA:AA,MATCH(C185*1000+2,A:A,0))&amp;AA$100&amp;", ")
&amp;IF(AC185=INDEX(AC:AC,MATCH(C185*1000+2,A:A,0)),"",AC185-INDEX(AC:AC,MATCH(C185*1000+2,A:A,0))&amp;AC$100&amp;", ")
&amp;IF(AE185=INDEX(AE:AE,MATCH(C185*1000+2,A:A,0)),"",AE185-INDEX(AE:AE,MATCH(C185*1000+2,A:A,0))&amp;AE$100&amp;", ")
&amp;IF(AG185=INDEX(AG:AG,MATCH(C185*1000+2,A:A,0)),"",AG185-INDEX(AG:AG,MATCH(C185*1000+2,A:A,0))&amp;AG$100&amp;", ")
&amp;IF(AI185=INDEX(AI:AI,MATCH(C185*1000+2,A:A,0)),"",AI185-INDEX(AI:AI,MATCH(C185*1000+2,A:A,0))&amp;AI$100&amp;", ")</f>
        <v xml:space="preserve">-180 Lease, </v>
      </c>
      <c r="E185" s="475">
        <f>INDEX(Input!$1:$1048576,E$93,$C185*2+MIN($B185,2)+5)
+INDEX(Scenarios!E$121:E$200,MATCH($B185,Scenarios!$B$121:$B$200,0))</f>
        <v>1250</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0</v>
      </c>
      <c r="S185" s="478">
        <f>IFERROR(MAX(0,INDEX(Input!$1:$1048576,S$93,$C185*2+MIN($B185,2)+5)
+INDEX(Scenarios!S$121:S$200,MATCH($B185,Scenarios!$B$121:$B$200,0)),),"Market")</f>
        <v>0</v>
      </c>
      <c r="T185" s="478">
        <f>IFERROR(MAX(0,INDEX(Input!$1:$1048576,T$93,$C185*2+MIN($B185,2)+5)
+INDEX(Scenarios!T$121:T$200,MATCH($B185,Scenarios!$B$121:$B$200,0)),),"Market")</f>
        <v>0</v>
      </c>
      <c r="U185" s="478">
        <f>IFERROR(MAX(0,INDEX(Input!$1:$1048576,U$93,$C185*2+MIN($B185,2)+5)
+INDEX(Scenarios!U$121:U$200,MATCH($B185,Scenarios!$B$121:$B$200,0)),),"Market")</f>
        <v>0</v>
      </c>
      <c r="V185" s="478">
        <f>IFERROR(MAX(0,INDEX(Input!$1:$1048576,V$93,$C185*2+MIN($B185,2)+5)
+INDEX(Scenarios!V$121:V$200,MATCH($B185,Scenarios!$B$121:$B$200,0)),),"Market")</f>
        <v>1.9E-2</v>
      </c>
      <c r="W185" s="863">
        <f>IFERROR(MAX(0,INDEX(Input!$1:$1048576,W$93,$C185*2+MIN($B185,2)+5)-0%,),"Market")</f>
        <v>3.9E-2</v>
      </c>
      <c r="X185" s="476" t="str">
        <f>INDEX(Input!$1:$1048576,X$93,$C185*2+MIN($B185,2)+5)</f>
        <v>Y</v>
      </c>
      <c r="Y185" s="475">
        <f>INDEX(Input!$1:$1048576,Y$93,$C185*2+MIN($B185,2)+5)
++INDEX(Scenarios!Y$121:Y$200,MATCH($B185,Scenarios!$B$121:$B$200,0))</f>
        <v>2646</v>
      </c>
      <c r="Z185" s="477">
        <f>INDEX(Input!$1:$1048576,Z$93,$C185*2+MIN($B185,2)+5)
+INDEX(Scenarios!Z$121:Z$200,MATCH($B185,Scenarios!$B$121:$B$200,0))</f>
        <v>0</v>
      </c>
      <c r="AA185" s="475">
        <f>INDEX(Input!$1:$1048576,AA$93,$C185*2+MIN($B185,2)+5)</f>
        <v>0</v>
      </c>
      <c r="AB185" s="476">
        <f>INDEX(Input!$1:$1048576,AB$93,$C185*2+MIN($B185,2)+5)</f>
        <v>1</v>
      </c>
      <c r="AC185" s="475">
        <f>INDEX(Input!$1:$1048576,AC$93,$C185*2+MIN($B185,2)+5)
+INDEX(Scenarios!AC$121:AC$200,MATCH($B185,Scenarios!$B$121:$B$200,0))</f>
        <v>0</v>
      </c>
      <c r="AD185" s="476">
        <f>INDEX(Input!$1:$1048576,AD$93,$C185*2+MIN($B185,2)+5)</f>
        <v>0.35</v>
      </c>
      <c r="AE185" s="475">
        <f>INDEX(Input!$1:$1048576,AE$93,$C185*2+MIN($B185,2)+5)
+INDEX(Scenarios!AE$121:AE$200,MATCH($B185,Scenarios!$B$121:$B$200,0))</f>
        <v>0</v>
      </c>
      <c r="AF185" s="476">
        <f>INDEX(Input!$1:$1048576,AF$93,$C185*2+MIN($B185,2)+5)</f>
        <v>1</v>
      </c>
      <c r="AG185" s="475">
        <f>INDEX(Input!$1:$1048576,AG$93,$C185*2+MIN($B185,2)+5)
+INDEX(Scenarios!AG$121:AG$200,MATCH($B185,Scenarios!$B$121:$B$200,0))</f>
        <v>0</v>
      </c>
      <c r="AH185" s="476">
        <f>INDEX(Input!$1:$1048576,AH$93,$C185*2+MIN($B185,2)+5)</f>
        <v>1</v>
      </c>
      <c r="AI185" s="475">
        <f>INDEX(Input!$1:$1048576,AI$93,$C185*2+MIN($B185,2)+5)
+INDEX(Scenarios!AI$121:AI$200,MATCH($B185,Scenarios!$B$121:$B$200,0))</f>
        <v>0</v>
      </c>
      <c r="AJ185" s="476">
        <f>INDEX(Input!$1:$1048576,AJ$93,$C185*2+MIN($B185,2)+5)</f>
        <v>0.35</v>
      </c>
      <c r="AK185" s="150">
        <f>ROUND(INDEX(Input!$1:$1048576,AK$93,$C184*2+MIN($B185,1)+5)+(Y185-VLOOKUP($C185*1000+1,$A:$HH,Y$92,FALSE)),0)</f>
        <v>5302</v>
      </c>
      <c r="AL185" s="150">
        <f>ROUND(INDEX(Input!$1:$1048576,AL$93,$C184*2+MIN($B185,1)+5)-(Y185-VLOOKUP($C185*1000+1,$A:$HH,Y$92,FALSE))/36,0)</f>
        <v>5607</v>
      </c>
      <c r="AM185" s="32" t="str">
        <f t="shared" si="387"/>
        <v>std/std/std/std</v>
      </c>
      <c r="AN185" s="32" t="str">
        <f t="shared" si="388"/>
        <v>$0 + 0/0/0/1.9/3.9</v>
      </c>
      <c r="AO185" s="32" t="str">
        <f t="shared" si="389"/>
        <v>0/0/0/1.9/3.9</v>
      </c>
      <c r="AP185" s="32" t="str">
        <f t="shared" si="493"/>
        <v>0/0.9/1.9/3.9</v>
      </c>
      <c r="AQ185" s="536">
        <f t="shared" si="492"/>
        <v>0.1694198177987889</v>
      </c>
      <c r="AR185" s="32"/>
      <c r="AS185" s="302"/>
      <c r="AT185" s="3">
        <f t="shared" si="106"/>
        <v>85</v>
      </c>
      <c r="AU185" s="41" t="s">
        <v>121</v>
      </c>
      <c r="AV185" s="41" t="s">
        <v>116</v>
      </c>
      <c r="AW185" s="41" t="str">
        <f>INDEX(Input!$1:$1048576,AW$93,$C185*2+6)</f>
        <v>Kia</v>
      </c>
      <c r="AX185" s="41" t="str">
        <f>INDEX(Input!$1:$1048576,AX$93,$C185*2+6)</f>
        <v>Kia-LR - L1</v>
      </c>
      <c r="AY185" s="41" t="str">
        <f>IF(LEN(D185)=0,"",INDEX(Input!$1:$1048576,AY$93,$C185*2+6))</f>
        <v>Compact Conventional/Sporty Car (43)</v>
      </c>
      <c r="AZ185" s="41" t="str">
        <f>INDEX(Input!$1:$1048576,AZ$93,$C185*2+6)</f>
        <v>Kia Forte</v>
      </c>
      <c r="BA185" s="3">
        <f>INDEX(Input!$1:$1048576,BA$93,$C185*2+6)</f>
        <v>2020</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19695</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94"/>
        <v>1250</v>
      </c>
      <c r="CJ185" s="16" t="str">
        <f>INDEX(Input!$1:$1048576,CJ$93,$C185*2+6)</f>
        <v>N</v>
      </c>
      <c r="CK185" s="1" t="str">
        <f t="shared" si="495"/>
        <v>Market</v>
      </c>
      <c r="CL185" s="1" t="str">
        <f t="shared" si="496"/>
        <v>Market</v>
      </c>
      <c r="CM185" s="1" t="str">
        <f t="shared" si="497"/>
        <v>Market</v>
      </c>
      <c r="CN185" s="1" t="str">
        <f t="shared" si="498"/>
        <v>Market</v>
      </c>
      <c r="CO185" s="1" t="str">
        <f t="shared" si="499"/>
        <v>Market</v>
      </c>
      <c r="CP185" s="304">
        <f t="shared" si="500"/>
        <v>0</v>
      </c>
      <c r="CQ185" s="1">
        <f t="shared" si="501"/>
        <v>0</v>
      </c>
      <c r="CR185" s="1">
        <f t="shared" si="502"/>
        <v>0</v>
      </c>
      <c r="CS185" s="1">
        <f t="shared" si="503"/>
        <v>0</v>
      </c>
      <c r="CT185" s="1">
        <f t="shared" si="504"/>
        <v>1.9E-2</v>
      </c>
      <c r="CU185" s="1">
        <f t="shared" si="505"/>
        <v>3.9E-2</v>
      </c>
      <c r="CV185" s="304">
        <f t="shared" si="506"/>
        <v>2646</v>
      </c>
      <c r="CW185" s="20" t="s">
        <v>122</v>
      </c>
      <c r="CX185" s="20" t="s">
        <v>122</v>
      </c>
      <c r="CY185" s="20" t="s">
        <v>122</v>
      </c>
      <c r="CZ185" s="20" t="s">
        <v>122</v>
      </c>
      <c r="DA185" s="20" t="s">
        <v>122</v>
      </c>
      <c r="DB185" s="503">
        <f t="shared" si="507"/>
        <v>0</v>
      </c>
      <c r="DC185" s="127">
        <v>0</v>
      </c>
      <c r="DD185" s="127">
        <v>0</v>
      </c>
      <c r="DE185" s="127">
        <v>0</v>
      </c>
      <c r="DF185" s="127">
        <v>0</v>
      </c>
      <c r="DG185" s="127">
        <v>0</v>
      </c>
      <c r="DH185" s="127">
        <v>0</v>
      </c>
      <c r="DI185" s="127">
        <v>0</v>
      </c>
      <c r="DJ185" s="127">
        <v>0</v>
      </c>
      <c r="DK185" s="127">
        <v>0</v>
      </c>
      <c r="DL185" s="127">
        <v>0</v>
      </c>
      <c r="DM185" s="304">
        <f>INDEX(Input!$1:$1048576,DM$93,$C185*2+6)</f>
        <v>20731.578947368424</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v>1.4670362475910588E-2</v>
      </c>
      <c r="DZ185" s="7">
        <v>0</v>
      </c>
      <c r="EA185" s="7">
        <v>0.22955111796864203</v>
      </c>
      <c r="EB185" s="7">
        <v>0</v>
      </c>
      <c r="EC185" s="7">
        <v>0</v>
      </c>
      <c r="ED185" s="7">
        <v>0</v>
      </c>
      <c r="EE185" s="7">
        <v>0</v>
      </c>
      <c r="EF185" s="7">
        <v>0</v>
      </c>
      <c r="EG185" s="7">
        <v>0</v>
      </c>
      <c r="EH185" s="7">
        <v>1.9867163211649864E-2</v>
      </c>
      <c r="EI185" s="7">
        <v>3.5734944822064227E-2</v>
      </c>
      <c r="EJ185" s="7">
        <v>0.28104141462213034</v>
      </c>
      <c r="EK185" s="7">
        <v>0.62010092925970728</v>
      </c>
      <c r="EL185" s="7">
        <v>4.3255548084448148E-2</v>
      </c>
      <c r="EM185" s="7">
        <v>1.4495737848820406E-2</v>
      </c>
      <c r="EN185" s="7">
        <v>5.5814951386993945E-2</v>
      </c>
      <c r="EO185" s="7">
        <v>0.54282673726813291</v>
      </c>
      <c r="EP185" s="7">
        <v>0.31081245487132436</v>
      </c>
      <c r="EQ185" s="7">
        <v>5.2604987572922444E-2</v>
      </c>
      <c r="ER185" s="7">
        <v>3.7940868900626382E-2</v>
      </c>
      <c r="ES185" s="7">
        <v>0.74128278170662698</v>
      </c>
      <c r="ET185" s="7">
        <v>0.75577851955544728</v>
      </c>
      <c r="EU185" s="6">
        <v>1600</v>
      </c>
      <c r="EV185" s="6">
        <v>0</v>
      </c>
      <c r="EW185" s="6">
        <v>1600</v>
      </c>
      <c r="EX185" s="6">
        <v>0</v>
      </c>
      <c r="EY185" s="6">
        <v>2631.5502763133163</v>
      </c>
      <c r="EZ185" s="6">
        <v>4642.9999999999991</v>
      </c>
      <c r="FA185" s="6">
        <v>0</v>
      </c>
      <c r="FB185" s="6">
        <v>0</v>
      </c>
      <c r="FC185" s="6">
        <v>0</v>
      </c>
      <c r="FD185" s="6">
        <v>0</v>
      </c>
      <c r="FE185" s="6">
        <v>0</v>
      </c>
      <c r="FF185" s="6">
        <v>0</v>
      </c>
      <c r="FG185" s="6">
        <v>0</v>
      </c>
      <c r="FH185" s="6">
        <v>1152.1208270377817</v>
      </c>
      <c r="FI185" s="6">
        <v>1531.4299904380621</v>
      </c>
      <c r="FJ185" s="6">
        <v>2070.7205842538215</v>
      </c>
      <c r="FK185" s="6">
        <v>1746.9903521590434</v>
      </c>
      <c r="FL185" s="6">
        <v>893.91433563489363</v>
      </c>
      <c r="FM185" s="6">
        <v>1781.5502763133161</v>
      </c>
      <c r="FN185" s="6">
        <v>0</v>
      </c>
      <c r="FO185" s="6">
        <v>0</v>
      </c>
      <c r="FP185" s="6">
        <v>0</v>
      </c>
      <c r="FQ185" s="6">
        <v>0</v>
      </c>
      <c r="FR185" s="6">
        <v>0</v>
      </c>
      <c r="FS185" s="6">
        <v>0</v>
      </c>
      <c r="FT185" s="7">
        <v>0.24422148044455261</v>
      </c>
      <c r="FU185" s="7">
        <v>1.4495737848820406E-2</v>
      </c>
      <c r="FV185" s="7">
        <v>0.74128278170662698</v>
      </c>
      <c r="FW185" s="6">
        <v>1599.9999999999998</v>
      </c>
      <c r="FX185" s="6">
        <v>2631.5502763133163</v>
      </c>
      <c r="FY185" s="6">
        <v>4642.9999999999991</v>
      </c>
      <c r="FZ185" s="6">
        <v>3077.4375890575293</v>
      </c>
      <c r="GA185" s="6">
        <v>3870.6765871165812</v>
      </c>
      <c r="GB185" s="6">
        <v>15824.323412883419</v>
      </c>
      <c r="GC185" s="7">
        <v>7.0901643973087014E-2</v>
      </c>
      <c r="GD185" s="7">
        <v>7.8554571398623513E-2</v>
      </c>
      <c r="GE185" s="7"/>
      <c r="GF185" s="7"/>
      <c r="GG185" s="7">
        <v>0.10793723525566505</v>
      </c>
      <c r="GH185" s="42">
        <v>2.6799285632223397</v>
      </c>
      <c r="GI185" s="6">
        <v>11219.753077543168</v>
      </c>
      <c r="GJ185" s="14">
        <v>0.51074630601039539</v>
      </c>
      <c r="GK185" s="14">
        <v>0.50829519786160959</v>
      </c>
      <c r="GL185" s="14">
        <v>0.48925369398960417</v>
      </c>
      <c r="GM185" s="14">
        <v>0.49170480213839024</v>
      </c>
      <c r="GO185" s="5">
        <v>338.16872463277008</v>
      </c>
      <c r="GP185" s="5">
        <v>307.64377699166363</v>
      </c>
      <c r="GQ185" s="5">
        <v>527.27910984145694</v>
      </c>
      <c r="GR185" s="5">
        <v>404.20319246551543</v>
      </c>
      <c r="GS185" s="5">
        <v>334.50205195691484</v>
      </c>
      <c r="GT185" s="5">
        <v>289.18266033348181</v>
      </c>
      <c r="GU185" s="5">
        <v>254.29573314828914</v>
      </c>
      <c r="GV185" s="39" t="s">
        <v>392</v>
      </c>
      <c r="GW185" s="5">
        <v>468.76388888888891</v>
      </c>
      <c r="GX185" s="5">
        <v>351.57291666666669</v>
      </c>
      <c r="GY185" s="5">
        <v>281.25833333333333</v>
      </c>
      <c r="GZ185" s="5">
        <v>248.18079879493993</v>
      </c>
      <c r="HA185" s="5">
        <v>229.8919505212948</v>
      </c>
      <c r="HB185" s="39">
        <v>264.76293361772161</v>
      </c>
      <c r="HC185" s="5">
        <v>79.984375000000014</v>
      </c>
      <c r="HD185" s="5">
        <v>97.680464181286524</v>
      </c>
      <c r="HE185" s="5">
        <v>108.74208417678813</v>
      </c>
      <c r="HF185" s="5">
        <v>110.33379934210527</v>
      </c>
      <c r="HG185" s="5">
        <v>118.58410087719298</v>
      </c>
      <c r="HH185" s="39">
        <v>101.58957776786531</v>
      </c>
      <c r="HI185" s="16"/>
      <c r="HJ185" s="19" t="str">
        <f t="shared" si="676"/>
        <v>On</v>
      </c>
      <c r="HK185" s="1" t="str">
        <f t="shared" si="676"/>
        <v>On</v>
      </c>
      <c r="HL185" s="16"/>
      <c r="HM185" s="889">
        <f t="shared" si="677"/>
        <v>1.7699001661282989E-2</v>
      </c>
      <c r="HN185" s="889">
        <f t="shared" si="677"/>
        <v>1.0509929974846072E-3</v>
      </c>
      <c r="HO185" s="889">
        <f t="shared" si="677"/>
        <v>5.7398960259851091E-2</v>
      </c>
      <c r="HP185" s="890">
        <f>(FT185*$GD185-HM185)/$JF185*INDEX(Input!$1:$1048576,$JG$93,$C185*2+6)</f>
        <v>19.081370159035615</v>
      </c>
      <c r="HQ185" s="890">
        <f>(FU185*$GD185-HN185)/$JF185*INDEX(Input!$1:$1048576,$JG$93,$C185*2+6)</f>
        <v>1.12652602978681</v>
      </c>
      <c r="HR185" s="890">
        <f>(FV185*$GD185-HO185)/$JF185*INDEX(Input!$1:$1048576,$JG$93,$C185*2+6)</f>
        <v>10.688035606421131</v>
      </c>
      <c r="HS185" s="890">
        <f t="shared" si="678"/>
        <v>-0.13917966391394995</v>
      </c>
      <c r="HT185" s="890">
        <f t="shared" si="679"/>
        <v>8.556666377936514</v>
      </c>
      <c r="HU185" s="890">
        <f t="shared" si="680"/>
        <v>9.3798736633397208</v>
      </c>
      <c r="HV185" s="891">
        <f t="shared" si="681"/>
        <v>0</v>
      </c>
      <c r="HW185" s="891">
        <f t="shared" si="682"/>
        <v>0</v>
      </c>
      <c r="HX185" s="891">
        <f t="shared" si="683"/>
        <v>0</v>
      </c>
      <c r="HY185" s="890">
        <f>INDEX(Input!$1:$1048576,HY$93,$C185*2+6)*INDEX(Input!$1:$1048576,$JG$93,$C185*2+6)</f>
        <v>154.99999999999997</v>
      </c>
      <c r="HZ185" s="890">
        <f>INDEX(Input!$1:$1048576,HZ$93,$C185*2+6)*INDEX(Input!$1:$1048576,$JG$93,$C185*2+6)</f>
        <v>140</v>
      </c>
      <c r="IA185" s="890">
        <f>INDEX(Input!$1:$1048576,IA$93,$C185*2+6)*INDEX(Input!$1:$1048576,$JG$93,$C185*2+6)</f>
        <v>683</v>
      </c>
      <c r="IB185" s="890">
        <f t="shared" si="684"/>
        <v>173.94219049512162</v>
      </c>
      <c r="IC185" s="890">
        <f t="shared" si="685"/>
        <v>149.68319240772334</v>
      </c>
      <c r="ID185" s="890">
        <f>IF(AND(INDEX(Input!$1:$1048576,IA$93,$C185*2+7)="TOS",Y185&lt;=INDEX(Y:Y,MATCH(C185*1000+2,A:A))),0,1)*MAX(IA185+HR185+HU185+HX185,0%)</f>
        <v>703.06790926976089</v>
      </c>
      <c r="IE185" s="892">
        <f t="shared" si="686"/>
        <v>0.1694198177987889</v>
      </c>
      <c r="IF185" s="892">
        <f t="shared" si="686"/>
        <v>0.14579153633211706</v>
      </c>
      <c r="IG185" s="892">
        <f t="shared" si="686"/>
        <v>0.68478864586909405</v>
      </c>
      <c r="IH185" s="21"/>
      <c r="II185" s="19">
        <f t="shared" si="687"/>
        <v>1200</v>
      </c>
      <c r="IJ185" s="19">
        <f t="shared" si="688"/>
        <v>2231.5502763133163</v>
      </c>
      <c r="IK185" s="19">
        <f t="shared" si="688"/>
        <v>4498</v>
      </c>
      <c r="IL185" s="19">
        <f t="shared" si="689"/>
        <v>399.99999999999977</v>
      </c>
      <c r="IM185" s="19">
        <f t="shared" si="690"/>
        <v>400</v>
      </c>
      <c r="IN185" s="19">
        <f t="shared" si="690"/>
        <v>144.99999999999909</v>
      </c>
      <c r="IO185" s="39">
        <f t="shared" si="691"/>
        <v>0</v>
      </c>
      <c r="IP185" s="39">
        <f t="shared" si="691"/>
        <v>0</v>
      </c>
      <c r="IQ185" s="39">
        <f t="shared" si="691"/>
        <v>0</v>
      </c>
      <c r="IR185" s="39">
        <v>0</v>
      </c>
      <c r="IS185" s="39">
        <v>0</v>
      </c>
      <c r="IT185" s="39">
        <v>0</v>
      </c>
      <c r="IU185" s="39">
        <v>0</v>
      </c>
      <c r="IV185" s="39">
        <v>0</v>
      </c>
      <c r="IW185" s="39">
        <v>0</v>
      </c>
      <c r="IX185" s="39">
        <f>INDEX(Input!$1:$1048576,IX$93,$C185*2+6)+INDEX(Input!$1:$1048576,IX$94,$C185*2+6)</f>
        <v>1600</v>
      </c>
      <c r="IY185" s="39">
        <f>INDEX(Input!$1:$1048576,IY$93,$C185*2+6)+INDEX(Input!$1:$1048576,IY$94,$C185*2+6)</f>
        <v>2503.5492916397525</v>
      </c>
      <c r="IZ185" s="39">
        <f>INDEX(Input!$1:$1048576,IZ$93,$C185*2+6)+INDEX(Input!$1:$1048576,IZ$94,$C185*2+6)</f>
        <v>6273.7109265464023</v>
      </c>
      <c r="JA185" s="19">
        <f t="shared" si="692"/>
        <v>1999.9999999999998</v>
      </c>
      <c r="JB185" s="19">
        <f t="shared" si="692"/>
        <v>2903.5492916397525</v>
      </c>
      <c r="JC185" s="19">
        <f t="shared" si="692"/>
        <v>6418.7109265464014</v>
      </c>
      <c r="JD185" s="19">
        <f t="shared" si="693"/>
        <v>5157.6129112566359</v>
      </c>
      <c r="JE185" s="21"/>
      <c r="JF185" s="1">
        <f t="shared" si="694"/>
        <v>7.6148954918618686E-2</v>
      </c>
      <c r="JG185" s="15">
        <f>INDEX(Input!$1:$1048576,JG$93,$C185*2+6)/(1+VLOOKUP(C185*1000+INDEX(Input!$1:$1048576,JG$93+1,$C185*2+6),$A:$KK,$JK$92,FALSE))</f>
        <v>978</v>
      </c>
      <c r="JH185" s="1">
        <f t="shared" si="695"/>
        <v>3.1590932305975004E-2</v>
      </c>
      <c r="JI185" s="1">
        <f t="shared" si="696"/>
        <v>1.8197709997302951E-2</v>
      </c>
      <c r="JJ185" s="1">
        <f t="shared" si="697"/>
        <v>0</v>
      </c>
      <c r="JK185" s="1">
        <f t="shared" si="698"/>
        <v>4.9788642303277952E-2</v>
      </c>
      <c r="JL185" s="15">
        <f t="shared" si="699"/>
        <v>48.693292172605837</v>
      </c>
      <c r="JM185" s="15">
        <f t="shared" si="700"/>
        <v>1026.6932921726059</v>
      </c>
      <c r="JN185" s="21"/>
      <c r="JO185" s="19">
        <f>INDEX(Input!$1:$1048576,JO$93,$C185*2+6)</f>
        <v>5908.5</v>
      </c>
      <c r="JP185" s="19">
        <f>INDEX(Input!$1:$1048576,JP$93,$C185*2+6)</f>
        <v>4993.2939301234746</v>
      </c>
      <c r="JQ185" s="39">
        <f t="shared" si="701"/>
        <v>750.88708874336407</v>
      </c>
      <c r="JR185" s="39">
        <f t="shared" si="702"/>
        <v>164.31898113316129</v>
      </c>
      <c r="JS185" s="39">
        <f t="shared" si="703"/>
        <v>5.2952865796100133</v>
      </c>
      <c r="JT185" s="39">
        <f t="shared" si="704"/>
        <v>0.41184511594925544</v>
      </c>
      <c r="JU185" s="385">
        <f>(JQ185*JM185-INDEX(Input!$1:$1048576,Input!A$18,$C185*2+6)*JL185*INDEX(Input!$1:$1048576,Input!A$19,$C185*2+6))/1000000</f>
        <v>0.77093073719182803</v>
      </c>
      <c r="JV185" s="39">
        <f t="shared" si="705"/>
        <v>-0.12414079914741372</v>
      </c>
      <c r="JW185" s="1">
        <f t="shared" si="706"/>
        <v>-0.13869371788442508</v>
      </c>
      <c r="JX185" s="19">
        <f t="shared" si="707"/>
        <v>8457.9435395200835</v>
      </c>
      <c r="JZ185" s="341"/>
      <c r="KA185" s="342"/>
      <c r="KB185" s="469">
        <f t="shared" si="708"/>
        <v>3.2656316020464753</v>
      </c>
      <c r="KI185" s="473">
        <f t="shared" si="709"/>
        <v>18.94219049512165</v>
      </c>
      <c r="KJ185" s="473">
        <f t="shared" si="709"/>
        <v>9.6831924077233396</v>
      </c>
      <c r="KK185" s="473">
        <f t="shared" si="709"/>
        <v>20.067909269760889</v>
      </c>
      <c r="KN185" s="888">
        <f t="shared" si="710"/>
        <v>1002</v>
      </c>
      <c r="KO185" s="893">
        <f t="shared" si="711"/>
        <v>-2.9690862548317098E-2</v>
      </c>
      <c r="KP185" s="894">
        <f t="shared" si="712"/>
        <v>-123.26195625643686</v>
      </c>
      <c r="KQ185" s="894">
        <f t="shared" si="713"/>
        <v>-196.84098871880451</v>
      </c>
      <c r="KR185" s="895">
        <f t="shared" si="714"/>
        <v>3.454295194194593</v>
      </c>
      <c r="KS185" s="895">
        <f t="shared" si="715"/>
        <v>2.1630819165000381</v>
      </c>
      <c r="KT185" s="896">
        <f t="shared" si="716"/>
        <v>-82.310573396665475</v>
      </c>
      <c r="KU185" s="663">
        <f t="shared" si="717"/>
        <v>-51.449831419472602</v>
      </c>
    </row>
    <row r="186" spans="1:307" s="26" customFormat="1" ht="15" outlineLevel="1">
      <c r="A186" s="561">
        <f t="shared" si="386"/>
        <v>1086</v>
      </c>
      <c r="B186" s="561">
        <f t="shared" si="508"/>
        <v>86</v>
      </c>
      <c r="C186" s="561">
        <f t="shared" si="105"/>
        <v>1</v>
      </c>
      <c r="D186" s="561" t="str">
        <f t="shared" si="718"/>
        <v xml:space="preserve">-250 CC, 0.9/1.9/2.9/3.9, -180 Lease, </v>
      </c>
      <c r="E186" s="475">
        <f>INDEX(Input!$1:$1048576,E$93,$C186*2+MIN($B186,2)+5)
+INDEX(Scenarios!E$121:E$200,MATCH($B186,Scenarios!$B$121:$B$200,0))</f>
        <v>1000</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9.0000000000000011E-3</v>
      </c>
      <c r="V186" s="478">
        <f>IFERROR(MAX(0,INDEX(Input!$1:$1048576,V$93,$C186*2+MIN($B186,2)+5)
+INDEX(Scenarios!V$121:V$200,MATCH($B186,Scenarios!$B$121:$B$200,0)),),"Market")</f>
        <v>2.8999999999999998E-2</v>
      </c>
      <c r="W186" s="863">
        <f>IFERROR(MAX(0,INDEX(Input!$1:$1048576,W$93,$C186*2+MIN($B186,2)+5)-0%,),"Market")</f>
        <v>3.9E-2</v>
      </c>
      <c r="X186" s="476" t="str">
        <f>INDEX(Input!$1:$1048576,X$93,$C186*2+MIN($B186,2)+5)</f>
        <v>Y</v>
      </c>
      <c r="Y186" s="475">
        <f>INDEX(Input!$1:$1048576,Y$93,$C186*2+MIN($B186,2)+5)
++INDEX(Scenarios!Y$121:Y$200,MATCH($B186,Scenarios!$B$121:$B$200,0))</f>
        <v>2646</v>
      </c>
      <c r="Z186" s="477">
        <f>INDEX(Input!$1:$1048576,Z$93,$C186*2+MIN($B186,2)+5)
+INDEX(Scenarios!Z$121:Z$200,MATCH($B186,Scenarios!$B$121:$B$200,0))</f>
        <v>0</v>
      </c>
      <c r="AA186" s="475">
        <f>INDEX(Input!$1:$1048576,AA$93,$C186*2+MIN($B186,2)+5)</f>
        <v>0</v>
      </c>
      <c r="AB186" s="476">
        <f>INDEX(Input!$1:$1048576,AB$93,$C186*2+MIN($B186,2)+5)</f>
        <v>1</v>
      </c>
      <c r="AC186" s="475">
        <f>INDEX(Input!$1:$1048576,AC$93,$C186*2+MIN($B186,2)+5)
+INDEX(Scenarios!AC$121:AC$200,MATCH($B186,Scenarios!$B$121:$B$200,0))</f>
        <v>0</v>
      </c>
      <c r="AD186" s="476">
        <f>INDEX(Input!$1:$1048576,AD$93,$C186*2+MIN($B186,2)+5)</f>
        <v>0.35</v>
      </c>
      <c r="AE186" s="475">
        <f>INDEX(Input!$1:$1048576,AE$93,$C186*2+MIN($B186,2)+5)
+INDEX(Scenarios!AE$121:AE$200,MATCH($B186,Scenarios!$B$121:$B$200,0))</f>
        <v>0</v>
      </c>
      <c r="AF186" s="476">
        <f>INDEX(Input!$1:$1048576,AF$93,$C186*2+MIN($B186,2)+5)</f>
        <v>1</v>
      </c>
      <c r="AG186" s="475">
        <f>INDEX(Input!$1:$1048576,AG$93,$C186*2+MIN($B186,2)+5)
+INDEX(Scenarios!AG$121:AG$200,MATCH($B186,Scenarios!$B$121:$B$200,0))</f>
        <v>0</v>
      </c>
      <c r="AH186" s="476">
        <f>INDEX(Input!$1:$1048576,AH$93,$C186*2+MIN($B186,2)+5)</f>
        <v>1</v>
      </c>
      <c r="AI186" s="475">
        <f>INDEX(Input!$1:$1048576,AI$93,$C186*2+MIN($B186,2)+5)
+INDEX(Scenarios!AI$121:AI$200,MATCH($B186,Scenarios!$B$121:$B$200,0))</f>
        <v>0</v>
      </c>
      <c r="AJ186" s="476">
        <f>INDEX(Input!$1:$1048576,AJ$93,$C186*2+MIN($B186,2)+5)</f>
        <v>0.35</v>
      </c>
      <c r="AK186" s="150">
        <f>ROUND(INDEX(Input!$1:$1048576,AK$93,$C185*2+MIN($B186,1)+5)+(Y186-VLOOKUP($C186*1000+1,$A:$HH,Y$92,FALSE)),0)</f>
        <v>5302</v>
      </c>
      <c r="AL186" s="150">
        <f>ROUND(INDEX(Input!$1:$1048576,AL$93,$C185*2+MIN($B186,1)+5)-(Y186-VLOOKUP($C186*1000+1,$A:$HH,Y$92,FALSE))/36,0)</f>
        <v>5607</v>
      </c>
      <c r="AM186" s="32" t="str">
        <f t="shared" si="387"/>
        <v>std/std/std/std</v>
      </c>
      <c r="AN186" s="32" t="str">
        <f t="shared" si="388"/>
        <v>$0 + 0/0/0.9/2.9/3.9</v>
      </c>
      <c r="AO186" s="32" t="str">
        <f t="shared" si="389"/>
        <v>0/0/0.9/2.9/3.9</v>
      </c>
      <c r="AP186" s="32" t="str">
        <f t="shared" si="493"/>
        <v>0.9/1.9/2.9/3.9</v>
      </c>
      <c r="AQ186" s="536">
        <f t="shared" si="492"/>
        <v>0.15776350101261613</v>
      </c>
      <c r="AR186" s="32"/>
      <c r="AS186" s="302"/>
      <c r="AT186" s="3">
        <f t="shared" si="106"/>
        <v>86</v>
      </c>
      <c r="AU186" s="41" t="s">
        <v>121</v>
      </c>
      <c r="AV186" s="41" t="s">
        <v>116</v>
      </c>
      <c r="AW186" s="41" t="str">
        <f>INDEX(Input!$1:$1048576,AW$93,$C186*2+6)</f>
        <v>Kia</v>
      </c>
      <c r="AX186" s="41" t="str">
        <f>INDEX(Input!$1:$1048576,AX$93,$C186*2+6)</f>
        <v>Kia-LR - L1</v>
      </c>
      <c r="AY186" s="41" t="str">
        <f>IF(LEN(D186)=0,"",INDEX(Input!$1:$1048576,AY$93,$C186*2+6))</f>
        <v>Compact Conventional/Sporty Car (43)</v>
      </c>
      <c r="AZ186" s="41" t="str">
        <f>INDEX(Input!$1:$1048576,AZ$93,$C186*2+6)</f>
        <v>Kia Forte</v>
      </c>
      <c r="BA186" s="3">
        <f>INDEX(Input!$1:$1048576,BA$93,$C186*2+6)</f>
        <v>2020</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19695</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94"/>
        <v>1000</v>
      </c>
      <c r="CJ186" s="16" t="str">
        <f>INDEX(Input!$1:$1048576,CJ$93,$C186*2+6)</f>
        <v>N</v>
      </c>
      <c r="CK186" s="1" t="str">
        <f t="shared" si="495"/>
        <v>Market</v>
      </c>
      <c r="CL186" s="1" t="str">
        <f t="shared" si="496"/>
        <v>Market</v>
      </c>
      <c r="CM186" s="1" t="str">
        <f t="shared" si="497"/>
        <v>Market</v>
      </c>
      <c r="CN186" s="1" t="str">
        <f t="shared" si="498"/>
        <v>Market</v>
      </c>
      <c r="CO186" s="1" t="str">
        <f t="shared" si="499"/>
        <v>Market</v>
      </c>
      <c r="CP186" s="304">
        <f t="shared" si="500"/>
        <v>0</v>
      </c>
      <c r="CQ186" s="1">
        <f t="shared" si="501"/>
        <v>0</v>
      </c>
      <c r="CR186" s="1">
        <f t="shared" si="502"/>
        <v>0</v>
      </c>
      <c r="CS186" s="1">
        <f t="shared" si="503"/>
        <v>9.0000000000000011E-3</v>
      </c>
      <c r="CT186" s="1">
        <f t="shared" si="504"/>
        <v>2.8999999999999998E-2</v>
      </c>
      <c r="CU186" s="1">
        <f t="shared" si="505"/>
        <v>3.9E-2</v>
      </c>
      <c r="CV186" s="304">
        <f t="shared" si="506"/>
        <v>2646</v>
      </c>
      <c r="CW186" s="20" t="s">
        <v>122</v>
      </c>
      <c r="CX186" s="20" t="s">
        <v>122</v>
      </c>
      <c r="CY186" s="20" t="s">
        <v>122</v>
      </c>
      <c r="CZ186" s="20" t="s">
        <v>122</v>
      </c>
      <c r="DA186" s="20" t="s">
        <v>122</v>
      </c>
      <c r="DB186" s="503">
        <f t="shared" si="507"/>
        <v>0</v>
      </c>
      <c r="DC186" s="127">
        <v>0</v>
      </c>
      <c r="DD186" s="127">
        <v>0</v>
      </c>
      <c r="DE186" s="127">
        <v>0</v>
      </c>
      <c r="DF186" s="127">
        <v>0</v>
      </c>
      <c r="DG186" s="127">
        <v>0</v>
      </c>
      <c r="DH186" s="127">
        <v>0</v>
      </c>
      <c r="DI186" s="127">
        <v>0</v>
      </c>
      <c r="DJ186" s="127">
        <v>0</v>
      </c>
      <c r="DK186" s="127">
        <v>0</v>
      </c>
      <c r="DL186" s="127">
        <v>0</v>
      </c>
      <c r="DM186" s="304">
        <f>INDEX(Input!$1:$1048576,DM$93,$C186*2+6)</f>
        <v>20731.578947368424</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v>1.384039994718273E-2</v>
      </c>
      <c r="DZ186" s="7">
        <v>0</v>
      </c>
      <c r="EA186" s="7">
        <v>0.21737182157770329</v>
      </c>
      <c r="EB186" s="7">
        <v>0</v>
      </c>
      <c r="EC186" s="7">
        <v>0</v>
      </c>
      <c r="ED186" s="7">
        <v>0</v>
      </c>
      <c r="EE186" s="7">
        <v>0</v>
      </c>
      <c r="EF186" s="7">
        <v>0</v>
      </c>
      <c r="EG186" s="7">
        <v>0</v>
      </c>
      <c r="EH186" s="7">
        <v>2.9041076318917031E-2</v>
      </c>
      <c r="EI186" s="7">
        <v>5.2236006156194156E-2</v>
      </c>
      <c r="EJ186" s="7">
        <v>0.29750945512025201</v>
      </c>
      <c r="EK186" s="7">
        <v>0.55798411960644467</v>
      </c>
      <c r="EL186" s="7">
        <v>6.3229342798192284E-2</v>
      </c>
      <c r="EM186" s="7">
        <v>1.0148800551331567E-2</v>
      </c>
      <c r="EN186" s="7">
        <v>5.5814951386993938E-2</v>
      </c>
      <c r="EO186" s="7">
        <v>0.5428267372681328</v>
      </c>
      <c r="EP186" s="7">
        <v>0.31081245487132436</v>
      </c>
      <c r="EQ186" s="7">
        <v>5.2604987572922465E-2</v>
      </c>
      <c r="ER186" s="7">
        <v>3.7940868900626382E-2</v>
      </c>
      <c r="ES186" s="7">
        <v>0.75863897792378243</v>
      </c>
      <c r="ET186" s="7">
        <v>0.76878777847511404</v>
      </c>
      <c r="EU186" s="6">
        <v>1350</v>
      </c>
      <c r="EV186" s="6">
        <v>0</v>
      </c>
      <c r="EW186" s="6">
        <v>1350</v>
      </c>
      <c r="EX186" s="6">
        <v>0</v>
      </c>
      <c r="EY186" s="6">
        <v>2235.2986931576984</v>
      </c>
      <c r="EZ186" s="6">
        <v>4642.9999999999991</v>
      </c>
      <c r="FA186" s="6">
        <v>0</v>
      </c>
      <c r="FB186" s="6">
        <v>0</v>
      </c>
      <c r="FC186" s="6">
        <v>0</v>
      </c>
      <c r="FD186" s="6">
        <v>0</v>
      </c>
      <c r="FE186" s="6">
        <v>0</v>
      </c>
      <c r="FF186" s="6">
        <v>0</v>
      </c>
      <c r="FG186" s="6">
        <v>0</v>
      </c>
      <c r="FH186" s="6">
        <v>1152.1208270377815</v>
      </c>
      <c r="FI186" s="6">
        <v>1531.4299904380618</v>
      </c>
      <c r="FJ186" s="6">
        <v>1709.9775738488463</v>
      </c>
      <c r="FK186" s="6">
        <v>1266.3227157028191</v>
      </c>
      <c r="FL186" s="6">
        <v>893.91433563489363</v>
      </c>
      <c r="FM186" s="6">
        <v>1385.2986931576984</v>
      </c>
      <c r="FN186" s="6">
        <v>0</v>
      </c>
      <c r="FO186" s="6">
        <v>0</v>
      </c>
      <c r="FP186" s="6">
        <v>0</v>
      </c>
      <c r="FQ186" s="6">
        <v>0</v>
      </c>
      <c r="FR186" s="6">
        <v>0</v>
      </c>
      <c r="FS186" s="6">
        <v>0</v>
      </c>
      <c r="FT186" s="7">
        <v>0.23121222152488602</v>
      </c>
      <c r="FU186" s="7">
        <v>1.0148800551331567E-2</v>
      </c>
      <c r="FV186" s="7">
        <v>0.75863897792378243</v>
      </c>
      <c r="FW186" s="6">
        <v>1349.9999999999998</v>
      </c>
      <c r="FX186" s="6">
        <v>2235.2986931576984</v>
      </c>
      <c r="FY186" s="6">
        <v>4642.9999999999991</v>
      </c>
      <c r="FZ186" s="6">
        <v>3077.4375890575293</v>
      </c>
      <c r="GA186" s="6">
        <v>3857.182874168227</v>
      </c>
      <c r="GB186" s="6">
        <v>15837.817125831773</v>
      </c>
      <c r="GC186" s="7">
        <v>7.0901643973087014E-2</v>
      </c>
      <c r="GD186" s="7">
        <v>7.7791605949370249E-2</v>
      </c>
      <c r="GE186" s="7"/>
      <c r="GF186" s="7"/>
      <c r="GG186" s="7">
        <v>9.7176335980284745E-2</v>
      </c>
      <c r="GH186" s="42">
        <v>2.4545040203224824</v>
      </c>
      <c r="GI186" s="6">
        <v>11881.207213477477</v>
      </c>
      <c r="GJ186" s="14">
        <v>0.5107463060103955</v>
      </c>
      <c r="GK186" s="14">
        <v>0.50829519786160982</v>
      </c>
      <c r="GL186" s="14">
        <v>0.48925369398960444</v>
      </c>
      <c r="GM186" s="14">
        <v>0.4917048021383903</v>
      </c>
      <c r="GO186" s="5">
        <v>338.16872463277008</v>
      </c>
      <c r="GP186" s="5">
        <v>312.41330006058649</v>
      </c>
      <c r="GQ186" s="5">
        <v>527.27910984145694</v>
      </c>
      <c r="GR186" s="5">
        <v>404.20319246551543</v>
      </c>
      <c r="GS186" s="5">
        <v>334.50205195691484</v>
      </c>
      <c r="GT186" s="5">
        <v>289.18266033348181</v>
      </c>
      <c r="GU186" s="5">
        <v>254.29573314828914</v>
      </c>
      <c r="GV186" s="39" t="s">
        <v>392</v>
      </c>
      <c r="GW186" s="5">
        <v>468.76388888888891</v>
      </c>
      <c r="GX186" s="5">
        <v>351.57291666666669</v>
      </c>
      <c r="GY186" s="5">
        <v>287.73954748358943</v>
      </c>
      <c r="GZ186" s="5">
        <v>255.64660634518972</v>
      </c>
      <c r="HA186" s="5">
        <v>229.8919505212948</v>
      </c>
      <c r="HB186" s="39">
        <v>274.76607241846835</v>
      </c>
      <c r="HC186" s="5">
        <v>79.984375000000014</v>
      </c>
      <c r="HD186" s="5">
        <v>97.680464181286524</v>
      </c>
      <c r="HE186" s="5">
        <v>108.74208417678813</v>
      </c>
      <c r="HF186" s="5">
        <v>110.33379934210527</v>
      </c>
      <c r="HG186" s="5">
        <v>118.58410087719298</v>
      </c>
      <c r="HH186" s="39">
        <v>101.58957776786529</v>
      </c>
      <c r="HI186" s="16"/>
      <c r="HJ186" s="19" t="str">
        <f t="shared" si="676"/>
        <v>On</v>
      </c>
      <c r="HK186" s="1" t="str">
        <f t="shared" si="676"/>
        <v>On</v>
      </c>
      <c r="HL186" s="16"/>
      <c r="HM186" s="889">
        <f t="shared" si="677"/>
        <v>1.7699001661282989E-2</v>
      </c>
      <c r="HN186" s="889">
        <f t="shared" si="677"/>
        <v>1.0509929974846072E-3</v>
      </c>
      <c r="HO186" s="889">
        <f t="shared" si="677"/>
        <v>5.7398960259851091E-2</v>
      </c>
      <c r="HP186" s="890">
        <f>(FT186*$GD186-HM186)/$JF186*INDEX(Input!$1:$1048576,$JG$93,$C186*2+6)</f>
        <v>3.6907435236911099</v>
      </c>
      <c r="HQ186" s="890">
        <f>(FU186*$GD186-HN186)/$JF186*INDEX(Input!$1:$1048576,$JG$93,$C186*2+6)</f>
        <v>-3.3585289689002984</v>
      </c>
      <c r="HR186" s="890">
        <f>(FV186*$GD186-HO186)/$JF186*INDEX(Input!$1:$1048576,$JG$93,$C186*2+6)</f>
        <v>20.764761888181106</v>
      </c>
      <c r="HS186" s="890">
        <f t="shared" si="678"/>
        <v>-1.3042584915262112E-3</v>
      </c>
      <c r="HT186" s="890">
        <f t="shared" si="679"/>
        <v>-0.86050948493205193</v>
      </c>
      <c r="HU186" s="890">
        <f t="shared" si="680"/>
        <v>7.633991107512383</v>
      </c>
      <c r="HV186" s="891">
        <f t="shared" si="681"/>
        <v>0</v>
      </c>
      <c r="HW186" s="891">
        <f t="shared" si="682"/>
        <v>0</v>
      </c>
      <c r="HX186" s="891">
        <f t="shared" si="683"/>
        <v>0</v>
      </c>
      <c r="HY186" s="890">
        <f>INDEX(Input!$1:$1048576,HY$93,$C186*2+6)*INDEX(Input!$1:$1048576,$JG$93,$C186*2+6)</f>
        <v>154.99999999999997</v>
      </c>
      <c r="HZ186" s="890">
        <f>INDEX(Input!$1:$1048576,HZ$93,$C186*2+6)*INDEX(Input!$1:$1048576,$JG$93,$C186*2+6)</f>
        <v>140</v>
      </c>
      <c r="IA186" s="890">
        <f>INDEX(Input!$1:$1048576,IA$93,$C186*2+6)*INDEX(Input!$1:$1048576,$JG$93,$C186*2+6)</f>
        <v>683</v>
      </c>
      <c r="IB186" s="890">
        <f t="shared" si="684"/>
        <v>158.68943926519955</v>
      </c>
      <c r="IC186" s="890">
        <f t="shared" si="685"/>
        <v>135.78096154616767</v>
      </c>
      <c r="ID186" s="890">
        <f>IF(AND(INDEX(Input!$1:$1048576,IA$93,$C186*2+7)="TOS",Y186&lt;=INDEX(Y:Y,MATCH(C186*1000+2,A:A))),0,1)*MAX(IA186+HR186+HU186+HX186,0%)</f>
        <v>711.39875299569348</v>
      </c>
      <c r="IE186" s="892">
        <f t="shared" si="686"/>
        <v>0.15776350101261613</v>
      </c>
      <c r="IF186" s="892">
        <f t="shared" si="686"/>
        <v>0.13498869214972697</v>
      </c>
      <c r="IG186" s="892">
        <f t="shared" si="686"/>
        <v>0.70724780683765698</v>
      </c>
      <c r="IH186" s="21"/>
      <c r="II186" s="19">
        <f t="shared" si="687"/>
        <v>1200</v>
      </c>
      <c r="IJ186" s="19">
        <f t="shared" si="688"/>
        <v>2231.5502763133163</v>
      </c>
      <c r="IK186" s="19">
        <f t="shared" si="688"/>
        <v>4498</v>
      </c>
      <c r="IL186" s="19">
        <f t="shared" si="689"/>
        <v>149.99999999999977</v>
      </c>
      <c r="IM186" s="19">
        <f t="shared" si="690"/>
        <v>3.7484168443820636</v>
      </c>
      <c r="IN186" s="19">
        <f t="shared" si="690"/>
        <v>144.99999999999909</v>
      </c>
      <c r="IO186" s="39">
        <f t="shared" si="691"/>
        <v>0</v>
      </c>
      <c r="IP186" s="39">
        <f t="shared" si="691"/>
        <v>0</v>
      </c>
      <c r="IQ186" s="39">
        <f t="shared" si="691"/>
        <v>0</v>
      </c>
      <c r="IR186" s="39">
        <v>0</v>
      </c>
      <c r="IS186" s="39">
        <v>0</v>
      </c>
      <c r="IT186" s="39">
        <v>0</v>
      </c>
      <c r="IU186" s="39">
        <v>0</v>
      </c>
      <c r="IV186" s="39">
        <v>0</v>
      </c>
      <c r="IW186" s="39">
        <v>0</v>
      </c>
      <c r="IX186" s="39">
        <f>INDEX(Input!$1:$1048576,IX$93,$C186*2+6)+INDEX(Input!$1:$1048576,IX$94,$C186*2+6)</f>
        <v>1600</v>
      </c>
      <c r="IY186" s="39">
        <f>INDEX(Input!$1:$1048576,IY$93,$C186*2+6)+INDEX(Input!$1:$1048576,IY$94,$C186*2+6)</f>
        <v>2503.5492916397525</v>
      </c>
      <c r="IZ186" s="39">
        <f>INDEX(Input!$1:$1048576,IZ$93,$C186*2+6)+INDEX(Input!$1:$1048576,IZ$94,$C186*2+6)</f>
        <v>6273.7109265464023</v>
      </c>
      <c r="JA186" s="19">
        <f t="shared" si="692"/>
        <v>1749.9999999999998</v>
      </c>
      <c r="JB186" s="19">
        <f t="shared" si="692"/>
        <v>2507.2977084841345</v>
      </c>
      <c r="JC186" s="19">
        <f t="shared" si="692"/>
        <v>6418.7109265464014</v>
      </c>
      <c r="JD186" s="19">
        <f t="shared" si="693"/>
        <v>5154.1621907952067</v>
      </c>
      <c r="JE186" s="21"/>
      <c r="JF186" s="1">
        <f t="shared" si="694"/>
        <v>7.6148954918618686E-2</v>
      </c>
      <c r="JG186" s="15">
        <f>INDEX(Input!$1:$1048576,JG$93,$C186*2+6)/(1+VLOOKUP(C186*1000+INDEX(Input!$1:$1048576,JG$93+1,$C186*2+6),$A:$KK,$JK$92,FALSE))</f>
        <v>978</v>
      </c>
      <c r="JH186" s="1">
        <f t="shared" si="695"/>
        <v>2.157155055518601E-2</v>
      </c>
      <c r="JI186" s="1">
        <f t="shared" si="696"/>
        <v>6.9245167321971418E-3</v>
      </c>
      <c r="JJ186" s="1">
        <f t="shared" si="697"/>
        <v>0</v>
      </c>
      <c r="JK186" s="1">
        <f t="shared" si="698"/>
        <v>2.8496067287383152E-2</v>
      </c>
      <c r="JL186" s="15">
        <f t="shared" si="699"/>
        <v>27.869153807060723</v>
      </c>
      <c r="JM186" s="15">
        <f t="shared" si="700"/>
        <v>1005.8691538070607</v>
      </c>
      <c r="JN186" s="21"/>
      <c r="JO186" s="19">
        <f>INDEX(Input!$1:$1048576,JO$93,$C186*2+6)</f>
        <v>5908.5</v>
      </c>
      <c r="JP186" s="19">
        <f>INDEX(Input!$1:$1048576,JP$93,$C186*2+6)</f>
        <v>4993.2939301234746</v>
      </c>
      <c r="JQ186" s="39">
        <f t="shared" si="701"/>
        <v>754.3378092047933</v>
      </c>
      <c r="JR186" s="39">
        <f t="shared" si="702"/>
        <v>160.86826067173206</v>
      </c>
      <c r="JS186" s="39">
        <f t="shared" si="703"/>
        <v>5.1844127614395212</v>
      </c>
      <c r="JT186" s="39">
        <f t="shared" si="704"/>
        <v>0.30097129777876286</v>
      </c>
      <c r="JU186" s="385">
        <f>(JQ186*JM186-INDEX(Input!$1:$1048576,Input!A$18,$C186*2+6)*JL186*INDEX(Input!$1:$1048576,Input!A$19,$C186*2+6))/1000000</f>
        <v>0.7587651338294974</v>
      </c>
      <c r="JV186" s="39">
        <f t="shared" si="705"/>
        <v>-0.13630640250974435</v>
      </c>
      <c r="JW186" s="1">
        <f t="shared" si="706"/>
        <v>-0.15228548442868006</v>
      </c>
      <c r="JX186" s="19">
        <f t="shared" si="707"/>
        <v>10799.441556869624</v>
      </c>
      <c r="JZ186" s="341"/>
      <c r="KA186" s="342"/>
      <c r="KB186" s="469">
        <f t="shared" si="708"/>
        <v>3.2656316020464753</v>
      </c>
      <c r="KI186" s="473">
        <f t="shared" si="709"/>
        <v>3.6894392651995815</v>
      </c>
      <c r="KJ186" s="473">
        <f t="shared" si="709"/>
        <v>-4.2190384538323258</v>
      </c>
      <c r="KK186" s="473">
        <f t="shared" si="709"/>
        <v>28.398752995693485</v>
      </c>
      <c r="KN186" s="888">
        <f t="shared" si="710"/>
        <v>1002</v>
      </c>
      <c r="KO186" s="893">
        <f t="shared" si="711"/>
        <v>-4.9371376572995951E-2</v>
      </c>
      <c r="KP186" s="894">
        <f t="shared" si="712"/>
        <v>-220.23496345636789</v>
      </c>
      <c r="KQ186" s="894">
        <f t="shared" si="713"/>
        <v>-200.29170918023374</v>
      </c>
      <c r="KR186" s="895">
        <f t="shared" si="714"/>
        <v>3.2148051819528178</v>
      </c>
      <c r="KS186" s="895">
        <f t="shared" si="715"/>
        <v>3.5349066851769266</v>
      </c>
      <c r="KT186" s="896">
        <f t="shared" si="716"/>
        <v>-82.310573396665475</v>
      </c>
      <c r="KU186" s="663">
        <f t="shared" si="717"/>
        <v>-50.517537051557277</v>
      </c>
    </row>
    <row r="187" spans="1:307" s="26" customFormat="1" ht="15" outlineLevel="1">
      <c r="A187" s="561">
        <f t="shared" si="386"/>
        <v>1087</v>
      </c>
      <c r="B187" s="561">
        <f t="shared" si="508"/>
        <v>87</v>
      </c>
      <c r="C187" s="561">
        <f t="shared" si="105"/>
        <v>1</v>
      </c>
      <c r="D187" s="561" t="str">
        <f t="shared" si="718"/>
        <v xml:space="preserve">250 CC, -180 Lease, </v>
      </c>
      <c r="E187" s="475">
        <f>INDEX(Input!$1:$1048576,E$93,$C187*2+MIN($B187,2)+5)
+INDEX(Scenarios!E$121:E$200,MATCH($B187,Scenarios!$B$121:$B$200,0))</f>
        <v>1500</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0</v>
      </c>
      <c r="V187" s="478">
        <f>IFERROR(MAX(0,INDEX(Input!$1:$1048576,V$93,$C187*2+MIN($B187,2)+5)
+INDEX(Scenarios!V$121:V$200,MATCH($B187,Scenarios!$B$121:$B$200,0)),),"Market")</f>
        <v>1.9E-2</v>
      </c>
      <c r="W187" s="863">
        <f>IFERROR(MAX(0,INDEX(Input!$1:$1048576,W$93,$C187*2+MIN($B187,2)+5)-0%,),"Market")</f>
        <v>3.9E-2</v>
      </c>
      <c r="X187" s="476" t="str">
        <f>INDEX(Input!$1:$1048576,X$93,$C187*2+MIN($B187,2)+5)</f>
        <v>Y</v>
      </c>
      <c r="Y187" s="475">
        <f>INDEX(Input!$1:$1048576,Y$93,$C187*2+MIN($B187,2)+5)
++INDEX(Scenarios!Y$121:Y$200,MATCH($B187,Scenarios!$B$121:$B$200,0))</f>
        <v>2646</v>
      </c>
      <c r="Z187" s="477">
        <f>INDEX(Input!$1:$1048576,Z$93,$C187*2+MIN($B187,2)+5)
+INDEX(Scenarios!Z$121:Z$200,MATCH($B187,Scenarios!$B$121:$B$200,0))</f>
        <v>0</v>
      </c>
      <c r="AA187" s="475">
        <f>INDEX(Input!$1:$1048576,AA$93,$C187*2+MIN($B187,2)+5)</f>
        <v>0</v>
      </c>
      <c r="AB187" s="476">
        <f>INDEX(Input!$1:$1048576,AB$93,$C187*2+MIN($B187,2)+5)</f>
        <v>1</v>
      </c>
      <c r="AC187" s="475">
        <f>INDEX(Input!$1:$1048576,AC$93,$C187*2+MIN($B187,2)+5)
+INDEX(Scenarios!AC$121:AC$200,MATCH($B187,Scenarios!$B$121:$B$200,0))</f>
        <v>0</v>
      </c>
      <c r="AD187" s="476">
        <f>INDEX(Input!$1:$1048576,AD$93,$C187*2+MIN($B187,2)+5)</f>
        <v>0.35</v>
      </c>
      <c r="AE187" s="475">
        <f>INDEX(Input!$1:$1048576,AE$93,$C187*2+MIN($B187,2)+5)
+INDEX(Scenarios!AE$121:AE$200,MATCH($B187,Scenarios!$B$121:$B$200,0))</f>
        <v>0</v>
      </c>
      <c r="AF187" s="476">
        <f>INDEX(Input!$1:$1048576,AF$93,$C187*2+MIN($B187,2)+5)</f>
        <v>1</v>
      </c>
      <c r="AG187" s="475">
        <f>INDEX(Input!$1:$1048576,AG$93,$C187*2+MIN($B187,2)+5)
+INDEX(Scenarios!AG$121:AG$200,MATCH($B187,Scenarios!$B$121:$B$200,0))</f>
        <v>0</v>
      </c>
      <c r="AH187" s="476">
        <f>INDEX(Input!$1:$1048576,AH$93,$C187*2+MIN($B187,2)+5)</f>
        <v>1</v>
      </c>
      <c r="AI187" s="475">
        <f>INDEX(Input!$1:$1048576,AI$93,$C187*2+MIN($B187,2)+5)
+INDEX(Scenarios!AI$121:AI$200,MATCH($B187,Scenarios!$B$121:$B$200,0))</f>
        <v>0</v>
      </c>
      <c r="AJ187" s="476">
        <f>INDEX(Input!$1:$1048576,AJ$93,$C187*2+MIN($B187,2)+5)</f>
        <v>0.35</v>
      </c>
      <c r="AK187" s="150">
        <f>ROUND(INDEX(Input!$1:$1048576,AK$93,$C186*2+MIN($B187,1)+5)+(Y187-VLOOKUP($C187*1000+1,$A:$HH,Y$92,FALSE)),0)</f>
        <v>5302</v>
      </c>
      <c r="AL187" s="150">
        <f>ROUND(INDEX(Input!$1:$1048576,AL$93,$C186*2+MIN($B187,1)+5)-(Y187-VLOOKUP($C187*1000+1,$A:$HH,Y$92,FALSE))/36,0)</f>
        <v>5607</v>
      </c>
      <c r="AM187" s="32" t="str">
        <f t="shared" si="387"/>
        <v>std/std/std/std</v>
      </c>
      <c r="AN187" s="32" t="str">
        <f t="shared" si="388"/>
        <v>$0 + 0/0/0/1.9/3.9</v>
      </c>
      <c r="AO187" s="32" t="str">
        <f t="shared" si="389"/>
        <v>0/0/0/1.9/3.9</v>
      </c>
      <c r="AP187" s="32" t="str">
        <f t="shared" si="493"/>
        <v>0/0.9/1.9/3.9</v>
      </c>
      <c r="AQ187" s="536">
        <f t="shared" si="492"/>
        <v>0.18434603403183564</v>
      </c>
      <c r="AR187" s="32"/>
      <c r="AS187" s="302"/>
      <c r="AT187" s="3">
        <f t="shared" si="106"/>
        <v>87</v>
      </c>
      <c r="AU187" s="41" t="s">
        <v>121</v>
      </c>
      <c r="AV187" s="41" t="s">
        <v>116</v>
      </c>
      <c r="AW187" s="41" t="str">
        <f>INDEX(Input!$1:$1048576,AW$93,$C187*2+6)</f>
        <v>Kia</v>
      </c>
      <c r="AX187" s="41" t="str">
        <f>INDEX(Input!$1:$1048576,AX$93,$C187*2+6)</f>
        <v>Kia-LR - L1</v>
      </c>
      <c r="AY187" s="41" t="str">
        <f>IF(LEN(D187)=0,"",INDEX(Input!$1:$1048576,AY$93,$C187*2+6))</f>
        <v>Compact Conventional/Sporty Car (43)</v>
      </c>
      <c r="AZ187" s="41" t="str">
        <f>INDEX(Input!$1:$1048576,AZ$93,$C187*2+6)</f>
        <v>Kia Forte</v>
      </c>
      <c r="BA187" s="3">
        <f>INDEX(Input!$1:$1048576,BA$93,$C187*2+6)</f>
        <v>2020</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19695</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94"/>
        <v>1500</v>
      </c>
      <c r="CJ187" s="16" t="str">
        <f>INDEX(Input!$1:$1048576,CJ$93,$C187*2+6)</f>
        <v>N</v>
      </c>
      <c r="CK187" s="1" t="str">
        <f t="shared" si="495"/>
        <v>Market</v>
      </c>
      <c r="CL187" s="1" t="str">
        <f t="shared" si="496"/>
        <v>Market</v>
      </c>
      <c r="CM187" s="1" t="str">
        <f t="shared" si="497"/>
        <v>Market</v>
      </c>
      <c r="CN187" s="1" t="str">
        <f t="shared" si="498"/>
        <v>Market</v>
      </c>
      <c r="CO187" s="1" t="str">
        <f t="shared" si="499"/>
        <v>Market</v>
      </c>
      <c r="CP187" s="304">
        <f t="shared" si="500"/>
        <v>0</v>
      </c>
      <c r="CQ187" s="1">
        <f t="shared" si="501"/>
        <v>0</v>
      </c>
      <c r="CR187" s="1">
        <f t="shared" si="502"/>
        <v>0</v>
      </c>
      <c r="CS187" s="1">
        <f t="shared" si="503"/>
        <v>0</v>
      </c>
      <c r="CT187" s="1">
        <f t="shared" si="504"/>
        <v>1.9E-2</v>
      </c>
      <c r="CU187" s="1">
        <f t="shared" si="505"/>
        <v>3.9E-2</v>
      </c>
      <c r="CV187" s="304">
        <f t="shared" si="506"/>
        <v>2646</v>
      </c>
      <c r="CW187" s="20" t="s">
        <v>122</v>
      </c>
      <c r="CX187" s="20" t="s">
        <v>122</v>
      </c>
      <c r="CY187" s="20" t="s">
        <v>122</v>
      </c>
      <c r="CZ187" s="20" t="s">
        <v>122</v>
      </c>
      <c r="DA187" s="20" t="s">
        <v>122</v>
      </c>
      <c r="DB187" s="503">
        <f t="shared" si="507"/>
        <v>0</v>
      </c>
      <c r="DC187" s="127">
        <v>0</v>
      </c>
      <c r="DD187" s="127">
        <v>0</v>
      </c>
      <c r="DE187" s="127">
        <v>0</v>
      </c>
      <c r="DF187" s="127">
        <v>0</v>
      </c>
      <c r="DG187" s="127">
        <v>0</v>
      </c>
      <c r="DH187" s="127">
        <v>0</v>
      </c>
      <c r="DI187" s="127">
        <v>0</v>
      </c>
      <c r="DJ187" s="127">
        <v>0</v>
      </c>
      <c r="DK187" s="127">
        <v>0</v>
      </c>
      <c r="DL187" s="127">
        <v>0</v>
      </c>
      <c r="DM187" s="304">
        <f>INDEX(Input!$1:$1048576,DM$93,$C187*2+6)</f>
        <v>20731.578947368424</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v>1.5607255748827407E-2</v>
      </c>
      <c r="DZ187" s="7">
        <v>0</v>
      </c>
      <c r="EA187" s="7">
        <v>0.24319036861307605</v>
      </c>
      <c r="EB187" s="7">
        <v>0</v>
      </c>
      <c r="EC187" s="7">
        <v>0</v>
      </c>
      <c r="ED187" s="7">
        <v>0</v>
      </c>
      <c r="EE187" s="7">
        <v>0</v>
      </c>
      <c r="EF187" s="7">
        <v>0</v>
      </c>
      <c r="EG187" s="7">
        <v>0</v>
      </c>
      <c r="EH187" s="7">
        <v>1.9867163211649871E-2</v>
      </c>
      <c r="EI187" s="7">
        <v>3.5734944822064248E-2</v>
      </c>
      <c r="EJ187" s="7">
        <v>0.2810414146221305</v>
      </c>
      <c r="EK187" s="7">
        <v>0.6201009292597075</v>
      </c>
      <c r="EL187" s="7">
        <v>4.3255548084448148E-2</v>
      </c>
      <c r="EM187" s="7">
        <v>1.4216169224407946E-2</v>
      </c>
      <c r="EN187" s="7">
        <v>5.5814951386993931E-2</v>
      </c>
      <c r="EO187" s="7">
        <v>0.54282673726813291</v>
      </c>
      <c r="EP187" s="7">
        <v>0.31081245487132431</v>
      </c>
      <c r="EQ187" s="7">
        <v>5.2604987572922444E-2</v>
      </c>
      <c r="ER187" s="7">
        <v>3.7940868900626368E-2</v>
      </c>
      <c r="ES187" s="7">
        <v>0.72698620641368861</v>
      </c>
      <c r="ET187" s="7">
        <v>0.74120237563809654</v>
      </c>
      <c r="EU187" s="6">
        <v>1850</v>
      </c>
      <c r="EV187" s="6">
        <v>0</v>
      </c>
      <c r="EW187" s="6">
        <v>1850</v>
      </c>
      <c r="EX187" s="6">
        <v>0</v>
      </c>
      <c r="EY187" s="6">
        <v>2631.5502763133168</v>
      </c>
      <c r="EZ187" s="6">
        <v>4642.9999999999991</v>
      </c>
      <c r="FA187" s="6">
        <v>0</v>
      </c>
      <c r="FB187" s="6">
        <v>0</v>
      </c>
      <c r="FC187" s="6">
        <v>0</v>
      </c>
      <c r="FD187" s="6">
        <v>0</v>
      </c>
      <c r="FE187" s="6">
        <v>0</v>
      </c>
      <c r="FF187" s="6">
        <v>0</v>
      </c>
      <c r="FG187" s="6">
        <v>0</v>
      </c>
      <c r="FH187" s="6">
        <v>1152.120827037782</v>
      </c>
      <c r="FI187" s="6">
        <v>1531.4299904380618</v>
      </c>
      <c r="FJ187" s="6">
        <v>2070.7205842538215</v>
      </c>
      <c r="FK187" s="6">
        <v>1746.9903521590436</v>
      </c>
      <c r="FL187" s="6">
        <v>893.9143356348942</v>
      </c>
      <c r="FM187" s="6">
        <v>1781.5502763133168</v>
      </c>
      <c r="FN187" s="6">
        <v>0</v>
      </c>
      <c r="FO187" s="6">
        <v>0</v>
      </c>
      <c r="FP187" s="6">
        <v>0</v>
      </c>
      <c r="FQ187" s="6">
        <v>0</v>
      </c>
      <c r="FR187" s="6">
        <v>0</v>
      </c>
      <c r="FS187" s="6">
        <v>0</v>
      </c>
      <c r="FT187" s="7">
        <v>0.25879762436190346</v>
      </c>
      <c r="FU187" s="7">
        <v>1.4216169224407946E-2</v>
      </c>
      <c r="FV187" s="7">
        <v>0.72698620641368861</v>
      </c>
      <c r="FW187" s="6">
        <v>1850</v>
      </c>
      <c r="FX187" s="6">
        <v>2631.5502763133163</v>
      </c>
      <c r="FY187" s="6">
        <v>4642.9999999999991</v>
      </c>
      <c r="FZ187" s="6">
        <v>3077.4375890575293</v>
      </c>
      <c r="GA187" s="6">
        <v>3891.5831254988843</v>
      </c>
      <c r="GB187" s="6">
        <v>15803.416874501116</v>
      </c>
      <c r="GC187" s="7">
        <v>7.0901643973087014E-2</v>
      </c>
      <c r="GD187" s="7">
        <v>7.9201751460342612E-2</v>
      </c>
      <c r="GE187" s="7"/>
      <c r="GF187" s="7"/>
      <c r="GG187" s="7">
        <v>0.11706509217763934</v>
      </c>
      <c r="GH187" s="42">
        <v>2.8319224109689447</v>
      </c>
      <c r="GI187" s="6">
        <v>10846.222816090316</v>
      </c>
      <c r="GJ187" s="14">
        <v>0.51074630601039572</v>
      </c>
      <c r="GK187" s="14">
        <v>0.5082951978616097</v>
      </c>
      <c r="GL187" s="14">
        <v>0.48925369398960444</v>
      </c>
      <c r="GM187" s="14">
        <v>0.49170480213839041</v>
      </c>
      <c r="GO187" s="5">
        <v>338.16872463277008</v>
      </c>
      <c r="GP187" s="5">
        <v>302.87425392274076</v>
      </c>
      <c r="GQ187" s="5">
        <v>527.27910984145694</v>
      </c>
      <c r="GR187" s="5">
        <v>404.20319246551543</v>
      </c>
      <c r="GS187" s="5">
        <v>334.50205195691484</v>
      </c>
      <c r="GT187" s="5">
        <v>289.18266033348181</v>
      </c>
      <c r="GU187" s="5">
        <v>254.29573314828914</v>
      </c>
      <c r="GV187" s="39" t="s">
        <v>392</v>
      </c>
      <c r="GW187" s="5">
        <v>468.76388888888891</v>
      </c>
      <c r="GX187" s="5">
        <v>351.57291666666669</v>
      </c>
      <c r="GY187" s="5">
        <v>281.25833333333333</v>
      </c>
      <c r="GZ187" s="5">
        <v>248.18079879493993</v>
      </c>
      <c r="HA187" s="5">
        <v>229.8919505212948</v>
      </c>
      <c r="HB187" s="39">
        <v>264.76293361772173</v>
      </c>
      <c r="HC187" s="5">
        <v>79.984375000000014</v>
      </c>
      <c r="HD187" s="5">
        <v>97.680464181286524</v>
      </c>
      <c r="HE187" s="5">
        <v>108.74208417678813</v>
      </c>
      <c r="HF187" s="5">
        <v>110.33379934210527</v>
      </c>
      <c r="HG187" s="5">
        <v>118.58410087719298</v>
      </c>
      <c r="HH187" s="39">
        <v>101.58957776786529</v>
      </c>
      <c r="HI187" s="16"/>
      <c r="HJ187" s="19" t="str">
        <f t="shared" si="676"/>
        <v>On</v>
      </c>
      <c r="HK187" s="1" t="str">
        <f t="shared" si="676"/>
        <v>On</v>
      </c>
      <c r="HL187" s="16"/>
      <c r="HM187" s="889">
        <f t="shared" si="677"/>
        <v>1.7699001661282989E-2</v>
      </c>
      <c r="HN187" s="889">
        <f t="shared" si="677"/>
        <v>1.0509929974846072E-3</v>
      </c>
      <c r="HO187" s="889">
        <f t="shared" si="677"/>
        <v>5.7398960259851091E-2</v>
      </c>
      <c r="HP187" s="890">
        <f>(FT187*$GD187-HM187)/$JF187*INDEX(Input!$1:$1048576,$JG$93,$C187*2+6)</f>
        <v>35.938281079724327</v>
      </c>
      <c r="HQ187" s="890">
        <f>(FU187*$GD187-HN187)/$JF187*INDEX(Input!$1:$1048576,$JG$93,$C187*2+6)</f>
        <v>0.9626336846286353</v>
      </c>
      <c r="HR187" s="890">
        <f>(FV187*$GD187-HO187)/$JF187*INDEX(Input!$1:$1048576,$JG$93,$C187*2+6)</f>
        <v>2.3069118039405292</v>
      </c>
      <c r="HS187" s="890">
        <f t="shared" si="678"/>
        <v>-0.13917966391394995</v>
      </c>
      <c r="HT187" s="890">
        <f t="shared" si="679"/>
        <v>6.9486592275315981</v>
      </c>
      <c r="HU187" s="890">
        <f t="shared" si="680"/>
        <v>10.987880813744638</v>
      </c>
      <c r="HV187" s="891">
        <f t="shared" si="681"/>
        <v>0</v>
      </c>
      <c r="HW187" s="891">
        <f t="shared" si="682"/>
        <v>0</v>
      </c>
      <c r="HX187" s="891">
        <f t="shared" si="683"/>
        <v>0</v>
      </c>
      <c r="HY187" s="890">
        <f>INDEX(Input!$1:$1048576,HY$93,$C187*2+6)*INDEX(Input!$1:$1048576,$JG$93,$C187*2+6)</f>
        <v>154.99999999999997</v>
      </c>
      <c r="HZ187" s="890">
        <f>INDEX(Input!$1:$1048576,HZ$93,$C187*2+6)*INDEX(Input!$1:$1048576,$JG$93,$C187*2+6)</f>
        <v>140</v>
      </c>
      <c r="IA187" s="890">
        <f>INDEX(Input!$1:$1048576,IA$93,$C187*2+6)*INDEX(Input!$1:$1048576,$JG$93,$C187*2+6)</f>
        <v>683</v>
      </c>
      <c r="IB187" s="890">
        <f t="shared" si="684"/>
        <v>190.79910141581024</v>
      </c>
      <c r="IC187" s="890">
        <f t="shared" si="685"/>
        <v>147.91129291216023</v>
      </c>
      <c r="ID187" s="890">
        <f>IF(AND(INDEX(Input!$1:$1048576,IA$93,$C187*2+7)="TOS",Y187&lt;=INDEX(Y:Y,MATCH(C187*1000+2,A:A))),0,1)*MAX(IA187+HR187+HU187+HX187,0%)</f>
        <v>696.29479261768518</v>
      </c>
      <c r="IE187" s="892">
        <f t="shared" si="686"/>
        <v>0.18434603403183564</v>
      </c>
      <c r="IF187" s="892">
        <f t="shared" si="686"/>
        <v>0.14290874555774233</v>
      </c>
      <c r="IG187" s="892">
        <f t="shared" si="686"/>
        <v>0.67274522041042206</v>
      </c>
      <c r="IH187" s="21"/>
      <c r="II187" s="19">
        <f t="shared" si="687"/>
        <v>1200</v>
      </c>
      <c r="IJ187" s="19">
        <f t="shared" si="688"/>
        <v>2231.5502763133163</v>
      </c>
      <c r="IK187" s="19">
        <f t="shared" si="688"/>
        <v>4498</v>
      </c>
      <c r="IL187" s="19">
        <f t="shared" si="689"/>
        <v>650</v>
      </c>
      <c r="IM187" s="19">
        <f t="shared" si="690"/>
        <v>400</v>
      </c>
      <c r="IN187" s="19">
        <f t="shared" si="690"/>
        <v>144.99999999999909</v>
      </c>
      <c r="IO187" s="39">
        <f t="shared" si="691"/>
        <v>0</v>
      </c>
      <c r="IP187" s="39">
        <f t="shared" si="691"/>
        <v>0</v>
      </c>
      <c r="IQ187" s="39">
        <f t="shared" si="691"/>
        <v>0</v>
      </c>
      <c r="IR187" s="39">
        <v>0</v>
      </c>
      <c r="IS187" s="39">
        <v>0</v>
      </c>
      <c r="IT187" s="39">
        <v>0</v>
      </c>
      <c r="IU187" s="39">
        <v>0</v>
      </c>
      <c r="IV187" s="39">
        <v>0</v>
      </c>
      <c r="IW187" s="39">
        <v>0</v>
      </c>
      <c r="IX187" s="39">
        <f>INDEX(Input!$1:$1048576,IX$93,$C187*2+6)+INDEX(Input!$1:$1048576,IX$94,$C187*2+6)</f>
        <v>1600</v>
      </c>
      <c r="IY187" s="39">
        <f>INDEX(Input!$1:$1048576,IY$93,$C187*2+6)+INDEX(Input!$1:$1048576,IY$94,$C187*2+6)</f>
        <v>2503.5492916397525</v>
      </c>
      <c r="IZ187" s="39">
        <f>INDEX(Input!$1:$1048576,IZ$93,$C187*2+6)+INDEX(Input!$1:$1048576,IZ$94,$C187*2+6)</f>
        <v>6273.7109265464023</v>
      </c>
      <c r="JA187" s="19">
        <f t="shared" si="692"/>
        <v>2250</v>
      </c>
      <c r="JB187" s="19">
        <f t="shared" si="692"/>
        <v>2903.5492916397525</v>
      </c>
      <c r="JC187" s="19">
        <f t="shared" si="692"/>
        <v>6418.7109265464014</v>
      </c>
      <c r="JD187" s="19">
        <f t="shared" si="693"/>
        <v>5147.8782605351826</v>
      </c>
      <c r="JE187" s="21"/>
      <c r="JF187" s="1">
        <f t="shared" si="694"/>
        <v>7.6148954918618686E-2</v>
      </c>
      <c r="JG187" s="15">
        <f>INDEX(Input!$1:$1048576,JG$93,$C187*2+6)/(1+VLOOKUP(C187*1000+INDEX(Input!$1:$1048576,JG$93+1,$C187*2+6),$A:$KK,$JK$92,FALSE))</f>
        <v>978</v>
      </c>
      <c r="JH187" s="1">
        <f t="shared" si="695"/>
        <v>4.0089802217069009E-2</v>
      </c>
      <c r="JI187" s="1">
        <f t="shared" si="696"/>
        <v>1.8197709997302955E-2</v>
      </c>
      <c r="JJ187" s="1">
        <f t="shared" si="697"/>
        <v>0</v>
      </c>
      <c r="JK187" s="1">
        <f t="shared" si="698"/>
        <v>5.8287512214371964E-2</v>
      </c>
      <c r="JL187" s="15">
        <f t="shared" si="699"/>
        <v>57.00518694565578</v>
      </c>
      <c r="JM187" s="15">
        <f t="shared" si="700"/>
        <v>1035.0051869456559</v>
      </c>
      <c r="JN187" s="21"/>
      <c r="JO187" s="19">
        <f>INDEX(Input!$1:$1048576,JO$93,$C187*2+6)</f>
        <v>5908.5</v>
      </c>
      <c r="JP187" s="19">
        <f>INDEX(Input!$1:$1048576,JP$93,$C187*2+6)</f>
        <v>4993.2939301234746</v>
      </c>
      <c r="JQ187" s="39">
        <f t="shared" si="701"/>
        <v>760.62173946481744</v>
      </c>
      <c r="JR187" s="39">
        <f t="shared" si="702"/>
        <v>154.58433041170792</v>
      </c>
      <c r="JS187" s="39">
        <f t="shared" si="703"/>
        <v>5.3280807014186937</v>
      </c>
      <c r="JT187" s="39">
        <f t="shared" si="704"/>
        <v>0.44463923775793612</v>
      </c>
      <c r="JU187" s="385">
        <f>(JQ187*JM187-INDEX(Input!$1:$1048576,Input!A$18,$C187*2+6)*JL187*INDEX(Input!$1:$1048576,Input!A$19,$C187*2+6))/1000000</f>
        <v>0.78724744564971327</v>
      </c>
      <c r="JV187" s="39">
        <f t="shared" si="705"/>
        <v>-0.10782409068952847</v>
      </c>
      <c r="JW187" s="1">
        <f t="shared" si="706"/>
        <v>-0.12046421577711972</v>
      </c>
      <c r="JX187" s="19">
        <f t="shared" si="707"/>
        <v>7799.9785911029439</v>
      </c>
      <c r="JZ187" s="341"/>
      <c r="KA187" s="342"/>
      <c r="KB187" s="469">
        <f t="shared" si="708"/>
        <v>3.2656316020464753</v>
      </c>
      <c r="KI187" s="473">
        <f t="shared" si="709"/>
        <v>35.799101415810298</v>
      </c>
      <c r="KJ187" s="473">
        <f t="shared" si="709"/>
        <v>7.9112929121602633</v>
      </c>
      <c r="KK187" s="473">
        <f t="shared" si="709"/>
        <v>13.294792617685289</v>
      </c>
      <c r="KN187" s="888">
        <f t="shared" si="710"/>
        <v>1002</v>
      </c>
      <c r="KO187" s="893">
        <f t="shared" si="711"/>
        <v>-2.1835442132780436E-2</v>
      </c>
      <c r="KP187" s="894">
        <f t="shared" si="712"/>
        <v>-75.007631165916962</v>
      </c>
      <c r="KQ187" s="894">
        <f t="shared" si="713"/>
        <v>-206.57563944025787</v>
      </c>
      <c r="KR187" s="895">
        <f t="shared" si="714"/>
        <v>4.1746707588579586</v>
      </c>
      <c r="KS187" s="895">
        <f t="shared" si="715"/>
        <v>1.5158232856886058</v>
      </c>
      <c r="KT187" s="896">
        <f t="shared" si="716"/>
        <v>-82.310573396665475</v>
      </c>
      <c r="KU187" s="663">
        <f t="shared" si="717"/>
        <v>-51.933463521125638</v>
      </c>
    </row>
    <row r="188" spans="1:307" s="26" customFormat="1" ht="15" outlineLevel="1">
      <c r="A188" s="561">
        <f t="shared" si="386"/>
        <v>1088</v>
      </c>
      <c r="B188" s="561">
        <f t="shared" si="508"/>
        <v>88</v>
      </c>
      <c r="C188" s="561">
        <f t="shared" si="105"/>
        <v>1</v>
      </c>
      <c r="D188" s="561" t="str">
        <f t="shared" si="718"/>
        <v/>
      </c>
      <c r="E188" s="475">
        <f>INDEX(Input!$1:$1048576,E$93,$C188*2+MIN($B188,2)+5)
+INDEX(Scenarios!E$121:E$200,MATCH($B188,Scenarios!$B$121:$B$200,0))</f>
        <v>1250</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0</v>
      </c>
      <c r="V188" s="478">
        <f>IFERROR(MAX(0,INDEX(Input!$1:$1048576,V$93,$C188*2+MIN($B188,2)+5)
+INDEX(Scenarios!V$121:V$200,MATCH($B188,Scenarios!$B$121:$B$200,0)),),"Market")</f>
        <v>1.9E-2</v>
      </c>
      <c r="W188" s="863">
        <f>IFERROR(MAX(0,INDEX(Input!$1:$1048576,W$93,$C188*2+MIN($B188,2)+5)-0%,),"Market")</f>
        <v>3.9E-2</v>
      </c>
      <c r="X188" s="476" t="str">
        <f>INDEX(Input!$1:$1048576,X$93,$C188*2+MIN($B188,2)+5)</f>
        <v>Y</v>
      </c>
      <c r="Y188" s="475">
        <f>INDEX(Input!$1:$1048576,Y$93,$C188*2+MIN($B188,2)+5)
++INDEX(Scenarios!Y$121:Y$200,MATCH($B188,Scenarios!$B$121:$B$200,0))</f>
        <v>2826</v>
      </c>
      <c r="Z188" s="477">
        <f>INDEX(Input!$1:$1048576,Z$93,$C188*2+MIN($B188,2)+5)
+INDEX(Scenarios!Z$121:Z$200,MATCH($B188,Scenarios!$B$121:$B$200,0))</f>
        <v>0</v>
      </c>
      <c r="AA188" s="475">
        <f>INDEX(Input!$1:$1048576,AA$93,$C188*2+MIN($B188,2)+5)</f>
        <v>0</v>
      </c>
      <c r="AB188" s="476">
        <f>INDEX(Input!$1:$1048576,AB$93,$C188*2+MIN($B188,2)+5)</f>
        <v>1</v>
      </c>
      <c r="AC188" s="475">
        <f>INDEX(Input!$1:$1048576,AC$93,$C188*2+MIN($B188,2)+5)
+INDEX(Scenarios!AC$121:AC$200,MATCH($B188,Scenarios!$B$121:$B$200,0))</f>
        <v>0</v>
      </c>
      <c r="AD188" s="476">
        <f>INDEX(Input!$1:$1048576,AD$93,$C188*2+MIN($B188,2)+5)</f>
        <v>0.35</v>
      </c>
      <c r="AE188" s="475">
        <f>INDEX(Input!$1:$1048576,AE$93,$C188*2+MIN($B188,2)+5)
+INDEX(Scenarios!AE$121:AE$200,MATCH($B188,Scenarios!$B$121:$B$200,0))</f>
        <v>0</v>
      </c>
      <c r="AF188" s="476">
        <f>INDEX(Input!$1:$1048576,AF$93,$C188*2+MIN($B188,2)+5)</f>
        <v>1</v>
      </c>
      <c r="AG188" s="475">
        <f>INDEX(Input!$1:$1048576,AG$93,$C188*2+MIN($B188,2)+5)
+INDEX(Scenarios!AG$121:AG$200,MATCH($B188,Scenarios!$B$121:$B$200,0))</f>
        <v>0</v>
      </c>
      <c r="AH188" s="476">
        <f>INDEX(Input!$1:$1048576,AH$93,$C188*2+MIN($B188,2)+5)</f>
        <v>1</v>
      </c>
      <c r="AI188" s="475">
        <f>INDEX(Input!$1:$1048576,AI$93,$C188*2+MIN($B188,2)+5)
+INDEX(Scenarios!AI$121:AI$200,MATCH($B188,Scenarios!$B$121:$B$200,0))</f>
        <v>0</v>
      </c>
      <c r="AJ188" s="476">
        <f>INDEX(Input!$1:$1048576,AJ$93,$C188*2+MIN($B188,2)+5)</f>
        <v>0.35</v>
      </c>
      <c r="AK188" s="150">
        <f>ROUND(INDEX(Input!$1:$1048576,AK$93,$C187*2+MIN($B188,1)+5)+(Y188-VLOOKUP($C188*1000+1,$A:$HH,Y$92,FALSE)),0)</f>
        <v>5482</v>
      </c>
      <c r="AL188" s="150">
        <f>ROUND(INDEX(Input!$1:$1048576,AL$93,$C187*2+MIN($B188,1)+5)-(Y188-VLOOKUP($C188*1000+1,$A:$HH,Y$92,FALSE))/36,0)</f>
        <v>5602</v>
      </c>
      <c r="AM188" s="32" t="str">
        <f t="shared" si="387"/>
        <v>std/std/std/std</v>
      </c>
      <c r="AN188" s="32" t="str">
        <f t="shared" si="388"/>
        <v>$0 + 0/0/0/1.9/3.9</v>
      </c>
      <c r="AO188" s="32" t="str">
        <f t="shared" si="389"/>
        <v>0/0/0/1.9/3.9</v>
      </c>
      <c r="AP188" s="32" t="str">
        <f t="shared" si="493"/>
        <v>0/0.9/1.9/3.9</v>
      </c>
      <c r="AQ188" s="536">
        <f t="shared" si="492"/>
        <v>0</v>
      </c>
      <c r="AR188" s="32"/>
      <c r="AS188" s="302"/>
      <c r="AT188" s="3">
        <f t="shared" si="106"/>
        <v>88</v>
      </c>
      <c r="AU188" s="41" t="s">
        <v>121</v>
      </c>
      <c r="AV188" s="41" t="s">
        <v>116</v>
      </c>
      <c r="AW188" s="41" t="str">
        <f>INDEX(Input!$1:$1048576,AW$93,$C188*2+6)</f>
        <v>Kia</v>
      </c>
      <c r="AX188" s="41" t="str">
        <f>INDEX(Input!$1:$1048576,AX$93,$C188*2+6)</f>
        <v>Kia-LR - L1</v>
      </c>
      <c r="AY188" s="41" t="str">
        <f>IF(LEN(D188)=0,"",INDEX(Input!$1:$1048576,AY$93,$C188*2+6))</f>
        <v/>
      </c>
      <c r="AZ188" s="41" t="str">
        <f>INDEX(Input!$1:$1048576,AZ$93,$C188*2+6)</f>
        <v>Kia Forte</v>
      </c>
      <c r="BA188" s="3">
        <f>INDEX(Input!$1:$1048576,BA$93,$C188*2+6)</f>
        <v>2020</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19695</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94"/>
        <v>1250</v>
      </c>
      <c r="CJ188" s="16" t="str">
        <f>INDEX(Input!$1:$1048576,CJ$93,$C188*2+6)</f>
        <v>N</v>
      </c>
      <c r="CK188" s="1" t="str">
        <f t="shared" si="495"/>
        <v>Market</v>
      </c>
      <c r="CL188" s="1" t="str">
        <f t="shared" si="496"/>
        <v>Market</v>
      </c>
      <c r="CM188" s="1" t="str">
        <f t="shared" si="497"/>
        <v>Market</v>
      </c>
      <c r="CN188" s="1" t="str">
        <f t="shared" si="498"/>
        <v>Market</v>
      </c>
      <c r="CO188" s="1" t="str">
        <f t="shared" si="499"/>
        <v>Market</v>
      </c>
      <c r="CP188" s="304">
        <f t="shared" si="500"/>
        <v>0</v>
      </c>
      <c r="CQ188" s="1">
        <f t="shared" si="501"/>
        <v>0</v>
      </c>
      <c r="CR188" s="1">
        <f t="shared" si="502"/>
        <v>0</v>
      </c>
      <c r="CS188" s="1">
        <f t="shared" si="503"/>
        <v>0</v>
      </c>
      <c r="CT188" s="1">
        <f t="shared" si="504"/>
        <v>1.9E-2</v>
      </c>
      <c r="CU188" s="1">
        <f t="shared" si="505"/>
        <v>3.9E-2</v>
      </c>
      <c r="CV188" s="304">
        <f t="shared" si="506"/>
        <v>2826</v>
      </c>
      <c r="CW188" s="20" t="s">
        <v>122</v>
      </c>
      <c r="CX188" s="20" t="s">
        <v>122</v>
      </c>
      <c r="CY188" s="20" t="s">
        <v>122</v>
      </c>
      <c r="CZ188" s="20" t="s">
        <v>122</v>
      </c>
      <c r="DA188" s="20" t="s">
        <v>122</v>
      </c>
      <c r="DB188" s="503">
        <f t="shared" si="507"/>
        <v>0</v>
      </c>
      <c r="DC188" s="127">
        <v>0</v>
      </c>
      <c r="DD188" s="127">
        <v>0</v>
      </c>
      <c r="DE188" s="127">
        <v>0</v>
      </c>
      <c r="DF188" s="127">
        <v>0</v>
      </c>
      <c r="DG188" s="127">
        <v>0</v>
      </c>
      <c r="DH188" s="127">
        <v>0</v>
      </c>
      <c r="DI188" s="127">
        <v>0</v>
      </c>
      <c r="DJ188" s="127">
        <v>0</v>
      </c>
      <c r="DK188" s="127">
        <v>0</v>
      </c>
      <c r="DL188" s="127">
        <v>0</v>
      </c>
      <c r="DM188" s="304">
        <f>INDEX(Input!$1:$1048576,DM$93,$C188*2+6)</f>
        <v>20731.578947368424</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c r="DZ188" s="7"/>
      <c r="EA188" s="7"/>
      <c r="EB188" s="7"/>
      <c r="EC188" s="7"/>
      <c r="ED188" s="7"/>
      <c r="EE188" s="7"/>
      <c r="EF188" s="7"/>
      <c r="EG188" s="7"/>
      <c r="EH188" s="7"/>
      <c r="EI188" s="7"/>
      <c r="EJ188" s="7"/>
      <c r="EK188" s="7"/>
      <c r="EL188" s="7"/>
      <c r="EM188" s="7"/>
      <c r="EN188" s="7"/>
      <c r="EO188" s="7"/>
      <c r="EP188" s="7"/>
      <c r="EQ188" s="7"/>
      <c r="ER188" s="7"/>
      <c r="ES188" s="7"/>
      <c r="ET188" s="7"/>
      <c r="EU188" s="6"/>
      <c r="EV188" s="6"/>
      <c r="EW188" s="6"/>
      <c r="EX188" s="6"/>
      <c r="EY188" s="6"/>
      <c r="EZ188" s="6"/>
      <c r="FA188" s="6"/>
      <c r="FB188" s="6"/>
      <c r="FC188" s="6"/>
      <c r="FD188" s="6"/>
      <c r="FE188" s="6"/>
      <c r="FF188" s="6"/>
      <c r="FG188" s="6"/>
      <c r="FH188" s="6"/>
      <c r="FI188" s="6"/>
      <c r="FJ188" s="6"/>
      <c r="FK188" s="6"/>
      <c r="FL188" s="6"/>
      <c r="FM188" s="6"/>
      <c r="FN188" s="6"/>
      <c r="FO188" s="6"/>
      <c r="FP188" s="6"/>
      <c r="FQ188" s="6"/>
      <c r="FR188" s="6"/>
      <c r="FS188" s="6"/>
      <c r="FT188" s="7"/>
      <c r="FU188" s="7"/>
      <c r="FV188" s="7"/>
      <c r="FW188" s="6"/>
      <c r="FX188" s="6"/>
      <c r="FY188" s="6"/>
      <c r="FZ188" s="6"/>
      <c r="GA188" s="6"/>
      <c r="GB188" s="6"/>
      <c r="GC188" s="7"/>
      <c r="GD188" s="7"/>
      <c r="GE188" s="7"/>
      <c r="GF188" s="7"/>
      <c r="GG188" s="7"/>
      <c r="GH188" s="42"/>
      <c r="GI188" s="6"/>
      <c r="GJ188" s="14"/>
      <c r="GK188" s="14"/>
      <c r="GL188" s="14"/>
      <c r="GM188" s="14"/>
      <c r="GO188" s="5"/>
      <c r="GP188" s="5"/>
      <c r="GQ188" s="5"/>
      <c r="GR188" s="5"/>
      <c r="GS188" s="5"/>
      <c r="GT188" s="5"/>
      <c r="GU188" s="5"/>
      <c r="GV188" s="39"/>
      <c r="GW188" s="5"/>
      <c r="GX188" s="5"/>
      <c r="GY188" s="5"/>
      <c r="GZ188" s="5"/>
      <c r="HA188" s="5"/>
      <c r="HB188" s="39"/>
      <c r="HC188" s="5"/>
      <c r="HD188" s="5"/>
      <c r="HE188" s="5"/>
      <c r="HF188" s="5"/>
      <c r="HG188" s="5"/>
      <c r="HH188" s="39"/>
      <c r="HI188" s="16"/>
      <c r="HJ188" s="19"/>
      <c r="HK188" s="1"/>
      <c r="HL188" s="16"/>
      <c r="HM188" s="1"/>
      <c r="HN188" s="1"/>
      <c r="HO188" s="1"/>
      <c r="HP188" s="1"/>
      <c r="HQ188" s="1"/>
      <c r="HR188" s="1"/>
      <c r="HS188" s="1"/>
      <c r="HT188" s="1"/>
      <c r="HU188" s="1"/>
      <c r="HV188" s="1"/>
      <c r="HW188" s="1"/>
      <c r="HX188" s="1"/>
      <c r="HY188" s="1"/>
      <c r="HZ188" s="1"/>
      <c r="IA188" s="1"/>
      <c r="IB188" s="1"/>
      <c r="IC188" s="1"/>
      <c r="ID188" s="1"/>
      <c r="IE188" s="1"/>
      <c r="IF188" s="1"/>
      <c r="IG188" s="1"/>
      <c r="IH188" s="21"/>
      <c r="II188" s="19"/>
      <c r="IJ188" s="19"/>
      <c r="IK188" s="19"/>
      <c r="IL188" s="19"/>
      <c r="IM188" s="19"/>
      <c r="IN188" s="19"/>
      <c r="IO188" s="39"/>
      <c r="IP188" s="39"/>
      <c r="IQ188" s="39"/>
      <c r="IR188" s="39"/>
      <c r="IS188" s="39"/>
      <c r="IT188" s="39"/>
      <c r="IU188" s="39"/>
      <c r="IV188" s="39"/>
      <c r="IW188" s="39"/>
      <c r="IX188" s="39"/>
      <c r="IY188" s="39"/>
      <c r="IZ188" s="39"/>
      <c r="JA188" s="19"/>
      <c r="JB188" s="19"/>
      <c r="JC188" s="19"/>
      <c r="JD188" s="19"/>
      <c r="JE188" s="21"/>
      <c r="JF188" s="1"/>
      <c r="JG188" s="15"/>
      <c r="JH188" s="1"/>
      <c r="JI188" s="1"/>
      <c r="JJ188" s="1"/>
      <c r="JK188" s="1"/>
      <c r="JL188" s="15"/>
      <c r="JM188" s="15"/>
      <c r="JN188" s="21"/>
      <c r="JO188" s="19"/>
      <c r="JP188" s="19"/>
      <c r="JQ188" s="39"/>
      <c r="JR188" s="39"/>
      <c r="JS188" s="39"/>
      <c r="JT188" s="39"/>
      <c r="JU188" s="385"/>
      <c r="JV188" s="39"/>
      <c r="JW188" s="1"/>
      <c r="JX188" s="19"/>
      <c r="JZ188" s="341"/>
      <c r="KA188" s="342"/>
      <c r="KB188" s="469"/>
      <c r="KI188" s="473"/>
      <c r="KJ188" s="473"/>
      <c r="KK188" s="473"/>
    </row>
    <row r="189" spans="1:307" s="26" customFormat="1" ht="15" outlineLevel="1">
      <c r="A189" s="561">
        <f t="shared" si="386"/>
        <v>1089</v>
      </c>
      <c r="B189" s="561">
        <f t="shared" si="508"/>
        <v>89</v>
      </c>
      <c r="C189" s="561">
        <f t="shared" si="105"/>
        <v>1</v>
      </c>
      <c r="D189" s="561" t="str">
        <f t="shared" si="718"/>
        <v/>
      </c>
      <c r="E189" s="475">
        <f>INDEX(Input!$1:$1048576,E$93,$C189*2+MIN($B189,2)+5)
+INDEX(Scenarios!E$121:E$200,MATCH($B189,Scenarios!$B$121:$B$200,0))</f>
        <v>1250</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0</v>
      </c>
      <c r="V189" s="478">
        <f>IFERROR(MAX(0,INDEX(Input!$1:$1048576,V$93,$C189*2+MIN($B189,2)+5)
+INDEX(Scenarios!V$121:V$200,MATCH($B189,Scenarios!$B$121:$B$200,0)),),"Market")</f>
        <v>1.9E-2</v>
      </c>
      <c r="W189" s="863">
        <f>IFERROR(MAX(0,INDEX(Input!$1:$1048576,W$93,$C189*2+MIN($B189,2)+5)-0%,),"Market")</f>
        <v>3.9E-2</v>
      </c>
      <c r="X189" s="476" t="str">
        <f>INDEX(Input!$1:$1048576,X$93,$C189*2+MIN($B189,2)+5)</f>
        <v>Y</v>
      </c>
      <c r="Y189" s="475">
        <f>INDEX(Input!$1:$1048576,Y$93,$C189*2+MIN($B189,2)+5)
++INDEX(Scenarios!Y$121:Y$200,MATCH($B189,Scenarios!$B$121:$B$200,0))</f>
        <v>2826</v>
      </c>
      <c r="Z189" s="477">
        <f>INDEX(Input!$1:$1048576,Z$93,$C189*2+MIN($B189,2)+5)
+INDEX(Scenarios!Z$121:Z$200,MATCH($B189,Scenarios!$B$121:$B$200,0))</f>
        <v>0</v>
      </c>
      <c r="AA189" s="475">
        <f>INDEX(Input!$1:$1048576,AA$93,$C189*2+MIN($B189,2)+5)</f>
        <v>0</v>
      </c>
      <c r="AB189" s="476">
        <f>INDEX(Input!$1:$1048576,AB$93,$C189*2+MIN($B189,2)+5)</f>
        <v>1</v>
      </c>
      <c r="AC189" s="475">
        <f>INDEX(Input!$1:$1048576,AC$93,$C189*2+MIN($B189,2)+5)
+INDEX(Scenarios!AC$121:AC$200,MATCH($B189,Scenarios!$B$121:$B$200,0))</f>
        <v>0</v>
      </c>
      <c r="AD189" s="476">
        <f>INDEX(Input!$1:$1048576,AD$93,$C189*2+MIN($B189,2)+5)</f>
        <v>0.35</v>
      </c>
      <c r="AE189" s="475">
        <f>INDEX(Input!$1:$1048576,AE$93,$C189*2+MIN($B189,2)+5)
+INDEX(Scenarios!AE$121:AE$200,MATCH($B189,Scenarios!$B$121:$B$200,0))</f>
        <v>0</v>
      </c>
      <c r="AF189" s="476">
        <f>INDEX(Input!$1:$1048576,AF$93,$C189*2+MIN($B189,2)+5)</f>
        <v>1</v>
      </c>
      <c r="AG189" s="475">
        <f>INDEX(Input!$1:$1048576,AG$93,$C189*2+MIN($B189,2)+5)
+INDEX(Scenarios!AG$121:AG$200,MATCH($B189,Scenarios!$B$121:$B$200,0))</f>
        <v>0</v>
      </c>
      <c r="AH189" s="476">
        <f>INDEX(Input!$1:$1048576,AH$93,$C189*2+MIN($B189,2)+5)</f>
        <v>1</v>
      </c>
      <c r="AI189" s="475">
        <f>INDEX(Input!$1:$1048576,AI$93,$C189*2+MIN($B189,2)+5)
+INDEX(Scenarios!AI$121:AI$200,MATCH($B189,Scenarios!$B$121:$B$200,0))</f>
        <v>0</v>
      </c>
      <c r="AJ189" s="476">
        <f>INDEX(Input!$1:$1048576,AJ$93,$C189*2+MIN($B189,2)+5)</f>
        <v>0.35</v>
      </c>
      <c r="AK189" s="150">
        <f>ROUND(INDEX(Input!$1:$1048576,AK$93,$C188*2+MIN($B189,1)+5)+(Y189-VLOOKUP($C189*1000+1,$A:$HH,Y$92,FALSE)),0)</f>
        <v>5482</v>
      </c>
      <c r="AL189" s="150">
        <f>ROUND(INDEX(Input!$1:$1048576,AL$93,$C188*2+MIN($B189,1)+5)-(Y189-VLOOKUP($C189*1000+1,$A:$HH,Y$92,FALSE))/36,0)</f>
        <v>5602</v>
      </c>
      <c r="AM189" s="32" t="str">
        <f t="shared" si="387"/>
        <v>std/std/std/std</v>
      </c>
      <c r="AN189" s="32" t="str">
        <f t="shared" si="388"/>
        <v>$0 + 0/0/0/1.9/3.9</v>
      </c>
      <c r="AO189" s="32" t="str">
        <f t="shared" si="389"/>
        <v>0/0/0/1.9/3.9</v>
      </c>
      <c r="AP189" s="32" t="str">
        <f t="shared" si="493"/>
        <v>0/0.9/1.9/3.9</v>
      </c>
      <c r="AQ189" s="536">
        <f t="shared" si="492"/>
        <v>0</v>
      </c>
      <c r="AR189" s="32"/>
      <c r="AS189" s="302"/>
      <c r="AT189" s="3">
        <f t="shared" si="106"/>
        <v>89</v>
      </c>
      <c r="AU189" s="41" t="s">
        <v>121</v>
      </c>
      <c r="AV189" s="41" t="s">
        <v>116</v>
      </c>
      <c r="AW189" s="41" t="str">
        <f>INDEX(Input!$1:$1048576,AW$93,$C189*2+6)</f>
        <v>Kia</v>
      </c>
      <c r="AX189" s="41" t="str">
        <f>INDEX(Input!$1:$1048576,AX$93,$C189*2+6)</f>
        <v>Kia-LR - L1</v>
      </c>
      <c r="AY189" s="41" t="str">
        <f>IF(LEN(D189)=0,"",INDEX(Input!$1:$1048576,AY$93,$C189*2+6))</f>
        <v/>
      </c>
      <c r="AZ189" s="41" t="str">
        <f>INDEX(Input!$1:$1048576,AZ$93,$C189*2+6)</f>
        <v>Kia Forte</v>
      </c>
      <c r="BA189" s="3">
        <f>INDEX(Input!$1:$1048576,BA$93,$C189*2+6)</f>
        <v>2020</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19695</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94"/>
        <v>1250</v>
      </c>
      <c r="CJ189" s="16" t="str">
        <f>INDEX(Input!$1:$1048576,CJ$93,$C189*2+6)</f>
        <v>N</v>
      </c>
      <c r="CK189" s="1" t="str">
        <f t="shared" si="495"/>
        <v>Market</v>
      </c>
      <c r="CL189" s="1" t="str">
        <f t="shared" si="496"/>
        <v>Market</v>
      </c>
      <c r="CM189" s="1" t="str">
        <f t="shared" si="497"/>
        <v>Market</v>
      </c>
      <c r="CN189" s="1" t="str">
        <f t="shared" si="498"/>
        <v>Market</v>
      </c>
      <c r="CO189" s="1" t="str">
        <f t="shared" si="499"/>
        <v>Market</v>
      </c>
      <c r="CP189" s="304">
        <f t="shared" si="500"/>
        <v>0</v>
      </c>
      <c r="CQ189" s="1">
        <f t="shared" si="501"/>
        <v>0</v>
      </c>
      <c r="CR189" s="1">
        <f t="shared" si="502"/>
        <v>0</v>
      </c>
      <c r="CS189" s="1">
        <f t="shared" si="503"/>
        <v>0</v>
      </c>
      <c r="CT189" s="1">
        <f t="shared" si="504"/>
        <v>1.9E-2</v>
      </c>
      <c r="CU189" s="1">
        <f t="shared" si="505"/>
        <v>3.9E-2</v>
      </c>
      <c r="CV189" s="304">
        <f t="shared" si="506"/>
        <v>2826</v>
      </c>
      <c r="CW189" s="20" t="s">
        <v>122</v>
      </c>
      <c r="CX189" s="20" t="s">
        <v>122</v>
      </c>
      <c r="CY189" s="20" t="s">
        <v>122</v>
      </c>
      <c r="CZ189" s="20" t="s">
        <v>122</v>
      </c>
      <c r="DA189" s="20" t="s">
        <v>122</v>
      </c>
      <c r="DB189" s="503">
        <f t="shared" si="507"/>
        <v>0</v>
      </c>
      <c r="DC189" s="127">
        <v>0</v>
      </c>
      <c r="DD189" s="127">
        <v>0</v>
      </c>
      <c r="DE189" s="127">
        <v>0</v>
      </c>
      <c r="DF189" s="127">
        <v>0</v>
      </c>
      <c r="DG189" s="127">
        <v>0</v>
      </c>
      <c r="DH189" s="127">
        <v>0</v>
      </c>
      <c r="DI189" s="127">
        <v>0</v>
      </c>
      <c r="DJ189" s="127">
        <v>0</v>
      </c>
      <c r="DK189" s="127">
        <v>0</v>
      </c>
      <c r="DL189" s="127">
        <v>0</v>
      </c>
      <c r="DM189" s="304">
        <f>INDEX(Input!$1:$1048576,DM$93,$C189*2+6)</f>
        <v>20731.578947368424</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c r="DZ189" s="7"/>
      <c r="EA189" s="7"/>
      <c r="EB189" s="7"/>
      <c r="EC189" s="7"/>
      <c r="ED189" s="7"/>
      <c r="EE189" s="7"/>
      <c r="EF189" s="7"/>
      <c r="EG189" s="7"/>
      <c r="EH189" s="7"/>
      <c r="EI189" s="7"/>
      <c r="EJ189" s="7"/>
      <c r="EK189" s="7"/>
      <c r="EL189" s="7"/>
      <c r="EM189" s="7"/>
      <c r="EN189" s="7"/>
      <c r="EO189" s="7"/>
      <c r="EP189" s="7"/>
      <c r="EQ189" s="7"/>
      <c r="ER189" s="7"/>
      <c r="ES189" s="7"/>
      <c r="ET189" s="7"/>
      <c r="EU189" s="6"/>
      <c r="EV189" s="6"/>
      <c r="EW189" s="6"/>
      <c r="EX189" s="6"/>
      <c r="EY189" s="6"/>
      <c r="EZ189" s="6"/>
      <c r="FA189" s="6"/>
      <c r="FB189" s="6"/>
      <c r="FC189" s="6"/>
      <c r="FD189" s="6"/>
      <c r="FE189" s="6"/>
      <c r="FF189" s="6"/>
      <c r="FG189" s="6"/>
      <c r="FH189" s="6"/>
      <c r="FI189" s="6"/>
      <c r="FJ189" s="6"/>
      <c r="FK189" s="6"/>
      <c r="FL189" s="6"/>
      <c r="FM189" s="6"/>
      <c r="FN189" s="6"/>
      <c r="FO189" s="6"/>
      <c r="FP189" s="6"/>
      <c r="FQ189" s="6"/>
      <c r="FR189" s="6"/>
      <c r="FS189" s="6"/>
      <c r="FT189" s="7"/>
      <c r="FU189" s="7"/>
      <c r="FV189" s="7"/>
      <c r="FW189" s="6"/>
      <c r="FX189" s="6"/>
      <c r="FY189" s="6"/>
      <c r="FZ189" s="6"/>
      <c r="GA189" s="6"/>
      <c r="GB189" s="6"/>
      <c r="GC189" s="7"/>
      <c r="GD189" s="7"/>
      <c r="GE189" s="7"/>
      <c r="GF189" s="7"/>
      <c r="GG189" s="7"/>
      <c r="GH189" s="42"/>
      <c r="GI189" s="6"/>
      <c r="GJ189" s="14"/>
      <c r="GK189" s="14"/>
      <c r="GL189" s="14"/>
      <c r="GM189" s="14"/>
      <c r="GO189" s="5"/>
      <c r="GP189" s="5"/>
      <c r="GQ189" s="5"/>
      <c r="GR189" s="5"/>
      <c r="GS189" s="5"/>
      <c r="GT189" s="5"/>
      <c r="GU189" s="5"/>
      <c r="GV189" s="39"/>
      <c r="GW189" s="5"/>
      <c r="GX189" s="5"/>
      <c r="GY189" s="5"/>
      <c r="GZ189" s="5"/>
      <c r="HA189" s="5"/>
      <c r="HB189" s="39"/>
      <c r="HC189" s="5"/>
      <c r="HD189" s="5"/>
      <c r="HE189" s="5"/>
      <c r="HF189" s="5"/>
      <c r="HG189" s="5"/>
      <c r="HH189" s="39"/>
      <c r="HI189" s="16"/>
      <c r="HJ189" s="19"/>
      <c r="HK189" s="1"/>
      <c r="HL189" s="16"/>
      <c r="HM189" s="1"/>
      <c r="HN189" s="1"/>
      <c r="HO189" s="1"/>
      <c r="HP189" s="1"/>
      <c r="HQ189" s="1"/>
      <c r="HR189" s="1"/>
      <c r="HS189" s="1"/>
      <c r="HT189" s="1"/>
      <c r="HU189" s="1"/>
      <c r="HV189" s="1"/>
      <c r="HW189" s="1"/>
      <c r="HX189" s="1"/>
      <c r="HY189" s="1"/>
      <c r="HZ189" s="1"/>
      <c r="IA189" s="1"/>
      <c r="IB189" s="1"/>
      <c r="IC189" s="1"/>
      <c r="ID189" s="1"/>
      <c r="IE189" s="1"/>
      <c r="IF189" s="1"/>
      <c r="IG189" s="1"/>
      <c r="IH189" s="21"/>
      <c r="II189" s="19"/>
      <c r="IJ189" s="19"/>
      <c r="IK189" s="19"/>
      <c r="IL189" s="19"/>
      <c r="IM189" s="19"/>
      <c r="IN189" s="19"/>
      <c r="IO189" s="39"/>
      <c r="IP189" s="39"/>
      <c r="IQ189" s="39"/>
      <c r="IR189" s="39"/>
      <c r="IS189" s="39"/>
      <c r="IT189" s="39"/>
      <c r="IU189" s="39"/>
      <c r="IV189" s="39"/>
      <c r="IW189" s="39"/>
      <c r="IX189" s="39"/>
      <c r="IY189" s="39"/>
      <c r="IZ189" s="39"/>
      <c r="JA189" s="19"/>
      <c r="JB189" s="19"/>
      <c r="JC189" s="19"/>
      <c r="JD189" s="19"/>
      <c r="JE189" s="21"/>
      <c r="JF189" s="1"/>
      <c r="JG189" s="15"/>
      <c r="JH189" s="1"/>
      <c r="JI189" s="1"/>
      <c r="JJ189" s="1"/>
      <c r="JK189" s="1"/>
      <c r="JL189" s="15"/>
      <c r="JM189" s="15"/>
      <c r="JN189" s="21"/>
      <c r="JO189" s="19"/>
      <c r="JP189" s="19"/>
      <c r="JQ189" s="39"/>
      <c r="JR189" s="39"/>
      <c r="JS189" s="39"/>
      <c r="JT189" s="39"/>
      <c r="JU189" s="385"/>
      <c r="JV189" s="39"/>
      <c r="JW189" s="1"/>
      <c r="JX189" s="19"/>
      <c r="JZ189" s="341"/>
      <c r="KA189" s="342"/>
      <c r="KB189" s="469"/>
      <c r="KI189" s="473"/>
      <c r="KJ189" s="473"/>
      <c r="KK189" s="473"/>
    </row>
    <row r="190" spans="1:307" s="26" customFormat="1" ht="15" outlineLevel="1">
      <c r="A190" s="561">
        <f t="shared" si="386"/>
        <v>1090</v>
      </c>
      <c r="B190" s="561">
        <f t="shared" si="508"/>
        <v>90</v>
      </c>
      <c r="C190" s="561">
        <f t="shared" si="105"/>
        <v>1</v>
      </c>
      <c r="D190" s="561" t="str">
        <f t="shared" si="718"/>
        <v/>
      </c>
      <c r="E190" s="475">
        <f>INDEX(Input!$1:$1048576,E$93,$C190*2+MIN($B190,2)+5)
+INDEX(Scenarios!E$121:E$200,MATCH($B190,Scenarios!$B$121:$B$200,0))</f>
        <v>1250</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0</v>
      </c>
      <c r="V190" s="478">
        <f>IFERROR(MAX(0,INDEX(Input!$1:$1048576,V$93,$C190*2+MIN($B190,2)+5)
+INDEX(Scenarios!V$121:V$200,MATCH($B190,Scenarios!$B$121:$B$200,0)),),"Market")</f>
        <v>1.9E-2</v>
      </c>
      <c r="W190" s="863">
        <f>IFERROR(MAX(0,INDEX(Input!$1:$1048576,W$93,$C190*2+MIN($B190,2)+5)-0%,),"Market")</f>
        <v>3.9E-2</v>
      </c>
      <c r="X190" s="476" t="str">
        <f>INDEX(Input!$1:$1048576,X$93,$C190*2+MIN($B190,2)+5)</f>
        <v>Y</v>
      </c>
      <c r="Y190" s="475">
        <f>INDEX(Input!$1:$1048576,Y$93,$C190*2+MIN($B190,2)+5)
++INDEX(Scenarios!Y$121:Y$200,MATCH($B190,Scenarios!$B$121:$B$200,0))</f>
        <v>2826</v>
      </c>
      <c r="Z190" s="477">
        <f>INDEX(Input!$1:$1048576,Z$93,$C190*2+MIN($B190,2)+5)
+INDEX(Scenarios!Z$121:Z$200,MATCH($B190,Scenarios!$B$121:$B$200,0))</f>
        <v>0</v>
      </c>
      <c r="AA190" s="475">
        <f>INDEX(Input!$1:$1048576,AA$93,$C190*2+MIN($B190,2)+5)</f>
        <v>0</v>
      </c>
      <c r="AB190" s="476">
        <f>INDEX(Input!$1:$1048576,AB$93,$C190*2+MIN($B190,2)+5)</f>
        <v>1</v>
      </c>
      <c r="AC190" s="475">
        <f>INDEX(Input!$1:$1048576,AC$93,$C190*2+MIN($B190,2)+5)
+INDEX(Scenarios!AC$121:AC$200,MATCH($B190,Scenarios!$B$121:$B$200,0))</f>
        <v>0</v>
      </c>
      <c r="AD190" s="476">
        <f>INDEX(Input!$1:$1048576,AD$93,$C190*2+MIN($B190,2)+5)</f>
        <v>0.35</v>
      </c>
      <c r="AE190" s="475">
        <f>INDEX(Input!$1:$1048576,AE$93,$C190*2+MIN($B190,2)+5)
+INDEX(Scenarios!AE$121:AE$200,MATCH($B190,Scenarios!$B$121:$B$200,0))</f>
        <v>0</v>
      </c>
      <c r="AF190" s="476">
        <f>INDEX(Input!$1:$1048576,AF$93,$C190*2+MIN($B190,2)+5)</f>
        <v>1</v>
      </c>
      <c r="AG190" s="475">
        <f>INDEX(Input!$1:$1048576,AG$93,$C190*2+MIN($B190,2)+5)
+INDEX(Scenarios!AG$121:AG$200,MATCH($B190,Scenarios!$B$121:$B$200,0))</f>
        <v>0</v>
      </c>
      <c r="AH190" s="476">
        <f>INDEX(Input!$1:$1048576,AH$93,$C190*2+MIN($B190,2)+5)</f>
        <v>1</v>
      </c>
      <c r="AI190" s="475">
        <f>INDEX(Input!$1:$1048576,AI$93,$C190*2+MIN($B190,2)+5)
+INDEX(Scenarios!AI$121:AI$200,MATCH($B190,Scenarios!$B$121:$B$200,0))</f>
        <v>0</v>
      </c>
      <c r="AJ190" s="476">
        <f>INDEX(Input!$1:$1048576,AJ$93,$C190*2+MIN($B190,2)+5)</f>
        <v>0.35</v>
      </c>
      <c r="AK190" s="150">
        <f>ROUND(INDEX(Input!$1:$1048576,AK$93,$C189*2+MIN($B190,1)+5)+(Y190-VLOOKUP($C190*1000+1,$A:$HH,Y$92,FALSE)),0)</f>
        <v>5482</v>
      </c>
      <c r="AL190" s="150">
        <f>ROUND(INDEX(Input!$1:$1048576,AL$93,$C189*2+MIN($B190,1)+5)-(Y190-VLOOKUP($C190*1000+1,$A:$HH,Y$92,FALSE))/36,0)</f>
        <v>5602</v>
      </c>
      <c r="AM190" s="32" t="str">
        <f t="shared" si="387"/>
        <v>std/std/std/std</v>
      </c>
      <c r="AN190" s="32" t="str">
        <f t="shared" si="388"/>
        <v>$0 + 0/0/0/1.9/3.9</v>
      </c>
      <c r="AO190" s="32" t="str">
        <f t="shared" si="389"/>
        <v>0/0/0/1.9/3.9</v>
      </c>
      <c r="AP190" s="32" t="str">
        <f t="shared" si="493"/>
        <v>0/0.9/1.9/3.9</v>
      </c>
      <c r="AQ190" s="536">
        <f t="shared" si="492"/>
        <v>0</v>
      </c>
      <c r="AR190" s="32"/>
      <c r="AS190" s="302"/>
      <c r="AT190" s="3">
        <f t="shared" si="106"/>
        <v>90</v>
      </c>
      <c r="AU190" s="41" t="s">
        <v>121</v>
      </c>
      <c r="AV190" s="41" t="s">
        <v>116</v>
      </c>
      <c r="AW190" s="41" t="str">
        <f>INDEX(Input!$1:$1048576,AW$93,$C190*2+6)</f>
        <v>Kia</v>
      </c>
      <c r="AX190" s="41" t="str">
        <f>INDEX(Input!$1:$1048576,AX$93,$C190*2+6)</f>
        <v>Kia-LR - L1</v>
      </c>
      <c r="AY190" s="41" t="str">
        <f>IF(LEN(D190)=0,"",INDEX(Input!$1:$1048576,AY$93,$C190*2+6))</f>
        <v/>
      </c>
      <c r="AZ190" s="41" t="str">
        <f>INDEX(Input!$1:$1048576,AZ$93,$C190*2+6)</f>
        <v>Kia Forte</v>
      </c>
      <c r="BA190" s="3">
        <f>INDEX(Input!$1:$1048576,BA$93,$C190*2+6)</f>
        <v>2020</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19695</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94"/>
        <v>1250</v>
      </c>
      <c r="CJ190" s="16" t="str">
        <f>INDEX(Input!$1:$1048576,CJ$93,$C190*2+6)</f>
        <v>N</v>
      </c>
      <c r="CK190" s="1" t="str">
        <f t="shared" si="495"/>
        <v>Market</v>
      </c>
      <c r="CL190" s="1" t="str">
        <f t="shared" si="496"/>
        <v>Market</v>
      </c>
      <c r="CM190" s="1" t="str">
        <f t="shared" si="497"/>
        <v>Market</v>
      </c>
      <c r="CN190" s="1" t="str">
        <f t="shared" si="498"/>
        <v>Market</v>
      </c>
      <c r="CO190" s="1" t="str">
        <f t="shared" si="499"/>
        <v>Market</v>
      </c>
      <c r="CP190" s="304">
        <f t="shared" si="500"/>
        <v>0</v>
      </c>
      <c r="CQ190" s="1">
        <f t="shared" si="501"/>
        <v>0</v>
      </c>
      <c r="CR190" s="1">
        <f t="shared" si="502"/>
        <v>0</v>
      </c>
      <c r="CS190" s="1">
        <f t="shared" si="503"/>
        <v>0</v>
      </c>
      <c r="CT190" s="1">
        <f t="shared" si="504"/>
        <v>1.9E-2</v>
      </c>
      <c r="CU190" s="1">
        <f t="shared" si="505"/>
        <v>3.9E-2</v>
      </c>
      <c r="CV190" s="304">
        <f t="shared" si="506"/>
        <v>2826</v>
      </c>
      <c r="CW190" s="20" t="s">
        <v>122</v>
      </c>
      <c r="CX190" s="20" t="s">
        <v>122</v>
      </c>
      <c r="CY190" s="20" t="s">
        <v>122</v>
      </c>
      <c r="CZ190" s="20" t="s">
        <v>122</v>
      </c>
      <c r="DA190" s="20" t="s">
        <v>122</v>
      </c>
      <c r="DB190" s="503">
        <f t="shared" si="507"/>
        <v>0</v>
      </c>
      <c r="DC190" s="127">
        <v>0</v>
      </c>
      <c r="DD190" s="127">
        <v>0</v>
      </c>
      <c r="DE190" s="127">
        <v>0</v>
      </c>
      <c r="DF190" s="127">
        <v>0</v>
      </c>
      <c r="DG190" s="127">
        <v>0</v>
      </c>
      <c r="DH190" s="127">
        <v>0</v>
      </c>
      <c r="DI190" s="127">
        <v>0</v>
      </c>
      <c r="DJ190" s="127">
        <v>0</v>
      </c>
      <c r="DK190" s="127">
        <v>0</v>
      </c>
      <c r="DL190" s="127">
        <v>0</v>
      </c>
      <c r="DM190" s="304">
        <f>INDEX(Input!$1:$1048576,DM$93,$C190*2+6)</f>
        <v>20731.578947368424</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c r="DZ190" s="7"/>
      <c r="EA190" s="7"/>
      <c r="EB190" s="7"/>
      <c r="EC190" s="7"/>
      <c r="ED190" s="7"/>
      <c r="EE190" s="7"/>
      <c r="EF190" s="7"/>
      <c r="EG190" s="7"/>
      <c r="EH190" s="7"/>
      <c r="EI190" s="7"/>
      <c r="EJ190" s="7"/>
      <c r="EK190" s="7"/>
      <c r="EL190" s="7"/>
      <c r="EM190" s="7"/>
      <c r="EN190" s="7"/>
      <c r="EO190" s="7"/>
      <c r="EP190" s="7"/>
      <c r="EQ190" s="7"/>
      <c r="ER190" s="7"/>
      <c r="ES190" s="7"/>
      <c r="ET190" s="7"/>
      <c r="EU190" s="6"/>
      <c r="EV190" s="6"/>
      <c r="EW190" s="6"/>
      <c r="EX190" s="6"/>
      <c r="EY190" s="6"/>
      <c r="EZ190" s="6"/>
      <c r="FA190" s="6"/>
      <c r="FB190" s="6"/>
      <c r="FC190" s="6"/>
      <c r="FD190" s="6"/>
      <c r="FE190" s="6"/>
      <c r="FF190" s="6"/>
      <c r="FG190" s="6"/>
      <c r="FH190" s="6"/>
      <c r="FI190" s="6"/>
      <c r="FJ190" s="6"/>
      <c r="FK190" s="6"/>
      <c r="FL190" s="6"/>
      <c r="FM190" s="6"/>
      <c r="FN190" s="6"/>
      <c r="FO190" s="6"/>
      <c r="FP190" s="6"/>
      <c r="FQ190" s="6"/>
      <c r="FR190" s="6"/>
      <c r="FS190" s="6"/>
      <c r="FT190" s="7"/>
      <c r="FU190" s="7"/>
      <c r="FV190" s="7"/>
      <c r="FW190" s="6"/>
      <c r="FX190" s="6"/>
      <c r="FY190" s="6"/>
      <c r="FZ190" s="6"/>
      <c r="GA190" s="6"/>
      <c r="GB190" s="6"/>
      <c r="GC190" s="7"/>
      <c r="GD190" s="7"/>
      <c r="GE190" s="7"/>
      <c r="GF190" s="7"/>
      <c r="GG190" s="7"/>
      <c r="GH190" s="42"/>
      <c r="GI190" s="6"/>
      <c r="GJ190" s="14"/>
      <c r="GK190" s="14"/>
      <c r="GL190" s="14"/>
      <c r="GM190" s="14"/>
      <c r="GO190" s="5"/>
      <c r="GP190" s="5"/>
      <c r="GQ190" s="5"/>
      <c r="GR190" s="5"/>
      <c r="GS190" s="5"/>
      <c r="GT190" s="5"/>
      <c r="GU190" s="5"/>
      <c r="GV190" s="39"/>
      <c r="GW190" s="5"/>
      <c r="GX190" s="5"/>
      <c r="GY190" s="5"/>
      <c r="GZ190" s="5"/>
      <c r="HA190" s="5"/>
      <c r="HB190" s="39"/>
      <c r="HC190" s="5"/>
      <c r="HD190" s="5"/>
      <c r="HE190" s="5"/>
      <c r="HF190" s="5"/>
      <c r="HG190" s="5"/>
      <c r="HH190" s="39"/>
      <c r="HI190" s="16"/>
      <c r="HJ190" s="19"/>
      <c r="HK190" s="1"/>
      <c r="HL190" s="16"/>
      <c r="HM190" s="1"/>
      <c r="HN190" s="1"/>
      <c r="HO190" s="1"/>
      <c r="HP190" s="1"/>
      <c r="HQ190" s="1"/>
      <c r="HR190" s="1"/>
      <c r="HS190" s="1"/>
      <c r="HT190" s="1"/>
      <c r="HU190" s="1"/>
      <c r="HV190" s="1"/>
      <c r="HW190" s="1"/>
      <c r="HX190" s="1"/>
      <c r="HY190" s="1"/>
      <c r="HZ190" s="1"/>
      <c r="IA190" s="1"/>
      <c r="IB190" s="1"/>
      <c r="IC190" s="1"/>
      <c r="ID190" s="1"/>
      <c r="IE190" s="1"/>
      <c r="IF190" s="1"/>
      <c r="IG190" s="1"/>
      <c r="IH190" s="21"/>
      <c r="II190" s="19"/>
      <c r="IJ190" s="19"/>
      <c r="IK190" s="19"/>
      <c r="IL190" s="19"/>
      <c r="IM190" s="19"/>
      <c r="IN190" s="19"/>
      <c r="IO190" s="39"/>
      <c r="IP190" s="39"/>
      <c r="IQ190" s="39"/>
      <c r="IR190" s="39"/>
      <c r="IS190" s="39"/>
      <c r="IT190" s="39"/>
      <c r="IU190" s="39"/>
      <c r="IV190" s="39"/>
      <c r="IW190" s="39"/>
      <c r="IX190" s="39"/>
      <c r="IY190" s="39"/>
      <c r="IZ190" s="39"/>
      <c r="JA190" s="19"/>
      <c r="JB190" s="19"/>
      <c r="JC190" s="19"/>
      <c r="JD190" s="19"/>
      <c r="JE190" s="21"/>
      <c r="JF190" s="1"/>
      <c r="JG190" s="15"/>
      <c r="JH190" s="1"/>
      <c r="JI190" s="1"/>
      <c r="JJ190" s="1"/>
      <c r="JK190" s="1"/>
      <c r="JL190" s="15"/>
      <c r="JM190" s="15"/>
      <c r="JN190" s="21"/>
      <c r="JO190" s="19"/>
      <c r="JP190" s="19"/>
      <c r="JQ190" s="39"/>
      <c r="JR190" s="39"/>
      <c r="JS190" s="39"/>
      <c r="JT190" s="39"/>
      <c r="JU190" s="385"/>
      <c r="JV190" s="39"/>
      <c r="JW190" s="1"/>
      <c r="JX190" s="19"/>
      <c r="JZ190" s="341"/>
      <c r="KA190" s="342"/>
      <c r="KB190" s="469"/>
      <c r="KI190" s="473"/>
      <c r="KJ190" s="473"/>
      <c r="KK190" s="473"/>
    </row>
    <row r="191" spans="1:307" s="26" customFormat="1" ht="15" outlineLevel="1">
      <c r="A191" s="561">
        <f t="shared" si="386"/>
        <v>1091</v>
      </c>
      <c r="B191" s="561">
        <f t="shared" si="508"/>
        <v>91</v>
      </c>
      <c r="C191" s="561">
        <f t="shared" si="105"/>
        <v>1</v>
      </c>
      <c r="D191" s="561" t="str">
        <f t="shared" si="718"/>
        <v/>
      </c>
      <c r="E191" s="475">
        <f>INDEX(Input!$1:$1048576,E$93,$C191*2+MIN($B191,2)+5)
+INDEX(Scenarios!E$121:E$200,MATCH($B191,Scenarios!$B$121:$B$200,0))</f>
        <v>1250</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0</v>
      </c>
      <c r="V191" s="478">
        <f>IFERROR(MAX(0,INDEX(Input!$1:$1048576,V$93,$C191*2+MIN($B191,2)+5)
+INDEX(Scenarios!V$121:V$200,MATCH($B191,Scenarios!$B$121:$B$200,0)),),"Market")</f>
        <v>1.9E-2</v>
      </c>
      <c r="W191" s="863">
        <f>IFERROR(MAX(0,INDEX(Input!$1:$1048576,W$93,$C191*2+MIN($B191,2)+5)-0%,),"Market")</f>
        <v>3.9E-2</v>
      </c>
      <c r="X191" s="476" t="str">
        <f>INDEX(Input!$1:$1048576,X$93,$C191*2+MIN($B191,2)+5)</f>
        <v>Y</v>
      </c>
      <c r="Y191" s="475">
        <f>INDEX(Input!$1:$1048576,Y$93,$C191*2+MIN($B191,2)+5)
++INDEX(Scenarios!Y$121:Y$200,MATCH($B191,Scenarios!$B$121:$B$200,0))</f>
        <v>2826</v>
      </c>
      <c r="Z191" s="477">
        <f>INDEX(Input!$1:$1048576,Z$93,$C191*2+MIN($B191,2)+5)
+INDEX(Scenarios!Z$121:Z$200,MATCH($B191,Scenarios!$B$121:$B$200,0))</f>
        <v>0</v>
      </c>
      <c r="AA191" s="475">
        <f>INDEX(Input!$1:$1048576,AA$93,$C191*2+MIN($B191,2)+5)</f>
        <v>0</v>
      </c>
      <c r="AB191" s="476">
        <f>INDEX(Input!$1:$1048576,AB$93,$C191*2+MIN($B191,2)+5)</f>
        <v>1</v>
      </c>
      <c r="AC191" s="475">
        <f>INDEX(Input!$1:$1048576,AC$93,$C191*2+MIN($B191,2)+5)
+INDEX(Scenarios!AC$121:AC$200,MATCH($B191,Scenarios!$B$121:$B$200,0))</f>
        <v>0</v>
      </c>
      <c r="AD191" s="476">
        <f>INDEX(Input!$1:$1048576,AD$93,$C191*2+MIN($B191,2)+5)</f>
        <v>0.35</v>
      </c>
      <c r="AE191" s="475">
        <f>INDEX(Input!$1:$1048576,AE$93,$C191*2+MIN($B191,2)+5)
+INDEX(Scenarios!AE$121:AE$200,MATCH($B191,Scenarios!$B$121:$B$200,0))</f>
        <v>0</v>
      </c>
      <c r="AF191" s="476">
        <f>INDEX(Input!$1:$1048576,AF$93,$C191*2+MIN($B191,2)+5)</f>
        <v>1</v>
      </c>
      <c r="AG191" s="475">
        <f>INDEX(Input!$1:$1048576,AG$93,$C191*2+MIN($B191,2)+5)
+INDEX(Scenarios!AG$121:AG$200,MATCH($B191,Scenarios!$B$121:$B$200,0))</f>
        <v>0</v>
      </c>
      <c r="AH191" s="476">
        <f>INDEX(Input!$1:$1048576,AH$93,$C191*2+MIN($B191,2)+5)</f>
        <v>1</v>
      </c>
      <c r="AI191" s="475">
        <f>INDEX(Input!$1:$1048576,AI$93,$C191*2+MIN($B191,2)+5)
+INDEX(Scenarios!AI$121:AI$200,MATCH($B191,Scenarios!$B$121:$B$200,0))</f>
        <v>0</v>
      </c>
      <c r="AJ191" s="476">
        <f>INDEX(Input!$1:$1048576,AJ$93,$C191*2+MIN($B191,2)+5)</f>
        <v>0.35</v>
      </c>
      <c r="AK191" s="150">
        <f>ROUND(INDEX(Input!$1:$1048576,AK$93,$C190*2+MIN($B191,1)+5)+(Y191-VLOOKUP($C191*1000+1,$A:$HH,Y$92,FALSE)),0)</f>
        <v>5482</v>
      </c>
      <c r="AL191" s="150">
        <f>ROUND(INDEX(Input!$1:$1048576,AL$93,$C190*2+MIN($B191,1)+5)-(Y191-VLOOKUP($C191*1000+1,$A:$HH,Y$92,FALSE))/36,0)</f>
        <v>5602</v>
      </c>
      <c r="AM191" s="32" t="str">
        <f t="shared" si="387"/>
        <v>std/std/std/std</v>
      </c>
      <c r="AN191" s="32" t="str">
        <f t="shared" si="388"/>
        <v>$0 + 0/0/0/1.9/3.9</v>
      </c>
      <c r="AO191" s="32" t="str">
        <f t="shared" si="389"/>
        <v>0/0/0/1.9/3.9</v>
      </c>
      <c r="AP191" s="32" t="str">
        <f t="shared" si="493"/>
        <v>0/0.9/1.9/3.9</v>
      </c>
      <c r="AQ191" s="536">
        <f t="shared" si="492"/>
        <v>0</v>
      </c>
      <c r="AR191" s="32"/>
      <c r="AS191" s="302"/>
      <c r="AT191" s="3">
        <f t="shared" si="106"/>
        <v>91</v>
      </c>
      <c r="AU191" s="41" t="s">
        <v>121</v>
      </c>
      <c r="AV191" s="41" t="s">
        <v>116</v>
      </c>
      <c r="AW191" s="41" t="str">
        <f>INDEX(Input!$1:$1048576,AW$93,$C191*2+6)</f>
        <v>Kia</v>
      </c>
      <c r="AX191" s="41" t="str">
        <f>INDEX(Input!$1:$1048576,AX$93,$C191*2+6)</f>
        <v>Kia-LR - L1</v>
      </c>
      <c r="AY191" s="41" t="str">
        <f>IF(LEN(D191)=0,"",INDEX(Input!$1:$1048576,AY$93,$C191*2+6))</f>
        <v/>
      </c>
      <c r="AZ191" s="41" t="str">
        <f>INDEX(Input!$1:$1048576,AZ$93,$C191*2+6)</f>
        <v>Kia Forte</v>
      </c>
      <c r="BA191" s="3">
        <f>INDEX(Input!$1:$1048576,BA$93,$C191*2+6)</f>
        <v>2020</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19695</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94"/>
        <v>1250</v>
      </c>
      <c r="CJ191" s="16" t="str">
        <f>INDEX(Input!$1:$1048576,CJ$93,$C191*2+6)</f>
        <v>N</v>
      </c>
      <c r="CK191" s="1" t="str">
        <f t="shared" si="495"/>
        <v>Market</v>
      </c>
      <c r="CL191" s="1" t="str">
        <f t="shared" si="496"/>
        <v>Market</v>
      </c>
      <c r="CM191" s="1" t="str">
        <f t="shared" si="497"/>
        <v>Market</v>
      </c>
      <c r="CN191" s="1" t="str">
        <f t="shared" si="498"/>
        <v>Market</v>
      </c>
      <c r="CO191" s="1" t="str">
        <f t="shared" si="499"/>
        <v>Market</v>
      </c>
      <c r="CP191" s="304">
        <f t="shared" si="500"/>
        <v>0</v>
      </c>
      <c r="CQ191" s="1">
        <f t="shared" si="501"/>
        <v>0</v>
      </c>
      <c r="CR191" s="1">
        <f t="shared" si="502"/>
        <v>0</v>
      </c>
      <c r="CS191" s="1">
        <f t="shared" si="503"/>
        <v>0</v>
      </c>
      <c r="CT191" s="1">
        <f t="shared" si="504"/>
        <v>1.9E-2</v>
      </c>
      <c r="CU191" s="1">
        <f t="shared" si="505"/>
        <v>3.9E-2</v>
      </c>
      <c r="CV191" s="304">
        <f t="shared" si="506"/>
        <v>2826</v>
      </c>
      <c r="CW191" s="20" t="s">
        <v>122</v>
      </c>
      <c r="CX191" s="20" t="s">
        <v>122</v>
      </c>
      <c r="CY191" s="20" t="s">
        <v>122</v>
      </c>
      <c r="CZ191" s="20" t="s">
        <v>122</v>
      </c>
      <c r="DA191" s="20" t="s">
        <v>122</v>
      </c>
      <c r="DB191" s="503">
        <f t="shared" si="507"/>
        <v>0</v>
      </c>
      <c r="DC191" s="127">
        <v>0</v>
      </c>
      <c r="DD191" s="127">
        <v>0</v>
      </c>
      <c r="DE191" s="127">
        <v>0</v>
      </c>
      <c r="DF191" s="127">
        <v>0</v>
      </c>
      <c r="DG191" s="127">
        <v>0</v>
      </c>
      <c r="DH191" s="127">
        <v>0</v>
      </c>
      <c r="DI191" s="127">
        <v>0</v>
      </c>
      <c r="DJ191" s="127">
        <v>0</v>
      </c>
      <c r="DK191" s="127">
        <v>0</v>
      </c>
      <c r="DL191" s="127">
        <v>0</v>
      </c>
      <c r="DM191" s="304">
        <f>INDEX(Input!$1:$1048576,DM$93,$C191*2+6)</f>
        <v>20731.578947368424</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c r="DZ191" s="7"/>
      <c r="EA191" s="7"/>
      <c r="EB191" s="7"/>
      <c r="EC191" s="7"/>
      <c r="ED191" s="7"/>
      <c r="EE191" s="7"/>
      <c r="EF191" s="7"/>
      <c r="EG191" s="7"/>
      <c r="EH191" s="7"/>
      <c r="EI191" s="7"/>
      <c r="EJ191" s="7"/>
      <c r="EK191" s="7"/>
      <c r="EL191" s="7"/>
      <c r="EM191" s="7"/>
      <c r="EN191" s="7"/>
      <c r="EO191" s="7"/>
      <c r="EP191" s="7"/>
      <c r="EQ191" s="7"/>
      <c r="ER191" s="7"/>
      <c r="ES191" s="7"/>
      <c r="ET191" s="7"/>
      <c r="EU191" s="6"/>
      <c r="EV191" s="6"/>
      <c r="EW191" s="6"/>
      <c r="EX191" s="6"/>
      <c r="EY191" s="6"/>
      <c r="EZ191" s="6"/>
      <c r="FA191" s="6"/>
      <c r="FB191" s="6"/>
      <c r="FC191" s="6"/>
      <c r="FD191" s="6"/>
      <c r="FE191" s="6"/>
      <c r="FF191" s="6"/>
      <c r="FG191" s="6"/>
      <c r="FH191" s="6"/>
      <c r="FI191" s="6"/>
      <c r="FJ191" s="6"/>
      <c r="FK191" s="6"/>
      <c r="FL191" s="6"/>
      <c r="FM191" s="6"/>
      <c r="FN191" s="6"/>
      <c r="FO191" s="6"/>
      <c r="FP191" s="6"/>
      <c r="FQ191" s="6"/>
      <c r="FR191" s="6"/>
      <c r="FS191" s="6"/>
      <c r="FT191" s="7"/>
      <c r="FU191" s="7"/>
      <c r="FV191" s="7"/>
      <c r="FW191" s="6"/>
      <c r="FX191" s="6"/>
      <c r="FY191" s="6"/>
      <c r="FZ191" s="6"/>
      <c r="GA191" s="6"/>
      <c r="GB191" s="6"/>
      <c r="GC191" s="7"/>
      <c r="GD191" s="7"/>
      <c r="GE191" s="7"/>
      <c r="GF191" s="7"/>
      <c r="GG191" s="7"/>
      <c r="GH191" s="42"/>
      <c r="GI191" s="6"/>
      <c r="GJ191" s="14"/>
      <c r="GK191" s="14"/>
      <c r="GL191" s="14"/>
      <c r="GM191" s="14"/>
      <c r="GO191" s="5"/>
      <c r="GP191" s="5"/>
      <c r="GQ191" s="5"/>
      <c r="GR191" s="5"/>
      <c r="GS191" s="5"/>
      <c r="GT191" s="5"/>
      <c r="GU191" s="5"/>
      <c r="GV191" s="39"/>
      <c r="GW191" s="5"/>
      <c r="GX191" s="5"/>
      <c r="GY191" s="5"/>
      <c r="GZ191" s="5"/>
      <c r="HA191" s="5"/>
      <c r="HB191" s="39"/>
      <c r="HC191" s="5"/>
      <c r="HD191" s="5"/>
      <c r="HE191" s="5"/>
      <c r="HF191" s="5"/>
      <c r="HG191" s="5"/>
      <c r="HH191" s="39"/>
      <c r="HI191" s="16"/>
      <c r="HJ191" s="19"/>
      <c r="HK191" s="1"/>
      <c r="HL191" s="16"/>
      <c r="HM191" s="1"/>
      <c r="HN191" s="1"/>
      <c r="HO191" s="1"/>
      <c r="HP191" s="1"/>
      <c r="HQ191" s="1"/>
      <c r="HR191" s="1"/>
      <c r="HS191" s="1"/>
      <c r="HT191" s="1"/>
      <c r="HU191" s="1"/>
      <c r="HV191" s="1"/>
      <c r="HW191" s="1"/>
      <c r="HX191" s="1"/>
      <c r="HY191" s="1"/>
      <c r="HZ191" s="1"/>
      <c r="IA191" s="1"/>
      <c r="IB191" s="1"/>
      <c r="IC191" s="1"/>
      <c r="ID191" s="1"/>
      <c r="IE191" s="1"/>
      <c r="IF191" s="1"/>
      <c r="IG191" s="1"/>
      <c r="IH191" s="21"/>
      <c r="II191" s="19"/>
      <c r="IJ191" s="19"/>
      <c r="IK191" s="19"/>
      <c r="IL191" s="19"/>
      <c r="IM191" s="19"/>
      <c r="IN191" s="19"/>
      <c r="IO191" s="39"/>
      <c r="IP191" s="39"/>
      <c r="IQ191" s="39"/>
      <c r="IR191" s="39"/>
      <c r="IS191" s="39"/>
      <c r="IT191" s="39"/>
      <c r="IU191" s="39"/>
      <c r="IV191" s="39"/>
      <c r="IW191" s="39"/>
      <c r="IX191" s="39"/>
      <c r="IY191" s="39"/>
      <c r="IZ191" s="39"/>
      <c r="JA191" s="19"/>
      <c r="JB191" s="19"/>
      <c r="JC191" s="19"/>
      <c r="JD191" s="19"/>
      <c r="JE191" s="21"/>
      <c r="JF191" s="1"/>
      <c r="JG191" s="15"/>
      <c r="JH191" s="1"/>
      <c r="JI191" s="1"/>
      <c r="JJ191" s="1"/>
      <c r="JK191" s="1"/>
      <c r="JL191" s="15"/>
      <c r="JM191" s="15"/>
      <c r="JN191" s="21"/>
      <c r="JO191" s="19"/>
      <c r="JP191" s="19"/>
      <c r="JQ191" s="39"/>
      <c r="JR191" s="39"/>
      <c r="JS191" s="39"/>
      <c r="JT191" s="39"/>
      <c r="JU191" s="385"/>
      <c r="JV191" s="39"/>
      <c r="JW191" s="1"/>
      <c r="JX191" s="19"/>
      <c r="JZ191" s="341"/>
      <c r="KA191" s="342"/>
      <c r="KB191" s="469"/>
      <c r="KI191" s="473"/>
      <c r="KJ191" s="473"/>
      <c r="KK191" s="473"/>
    </row>
    <row r="192" spans="1:307" s="26" customFormat="1" ht="15" outlineLevel="1">
      <c r="A192" s="561">
        <f t="shared" si="386"/>
        <v>1092</v>
      </c>
      <c r="B192" s="561">
        <f t="shared" si="508"/>
        <v>92</v>
      </c>
      <c r="C192" s="561">
        <f t="shared" si="105"/>
        <v>1</v>
      </c>
      <c r="D192" s="561" t="str">
        <f t="shared" si="718"/>
        <v/>
      </c>
      <c r="E192" s="475">
        <f>INDEX(Input!$1:$1048576,E$93,$C192*2+MIN($B192,2)+5)
+INDEX(Scenarios!E$121:E$200,MATCH($B192,Scenarios!$B$121:$B$200,0))</f>
        <v>1250</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0</v>
      </c>
      <c r="V192" s="478">
        <f>IFERROR(MAX(0,INDEX(Input!$1:$1048576,V$93,$C192*2+MIN($B192,2)+5)
+INDEX(Scenarios!V$121:V$200,MATCH($B192,Scenarios!$B$121:$B$200,0)),),"Market")</f>
        <v>1.9E-2</v>
      </c>
      <c r="W192" s="863">
        <f>IFERROR(MAX(0,INDEX(Input!$1:$1048576,W$93,$C192*2+MIN($B192,2)+5)-0%,),"Market")</f>
        <v>3.9E-2</v>
      </c>
      <c r="X192" s="476" t="str">
        <f>INDEX(Input!$1:$1048576,X$93,$C192*2+MIN($B192,2)+5)</f>
        <v>Y</v>
      </c>
      <c r="Y192" s="475">
        <f>INDEX(Input!$1:$1048576,Y$93,$C192*2+MIN($B192,2)+5)
++INDEX(Scenarios!Y$121:Y$200,MATCH($B192,Scenarios!$B$121:$B$200,0))</f>
        <v>2826</v>
      </c>
      <c r="Z192" s="477">
        <f>INDEX(Input!$1:$1048576,Z$93,$C192*2+MIN($B192,2)+5)
+INDEX(Scenarios!Z$121:Z$200,MATCH($B192,Scenarios!$B$121:$B$200,0))</f>
        <v>0</v>
      </c>
      <c r="AA192" s="475">
        <f>INDEX(Input!$1:$1048576,AA$93,$C192*2+MIN($B192,2)+5)</f>
        <v>0</v>
      </c>
      <c r="AB192" s="476">
        <f>INDEX(Input!$1:$1048576,AB$93,$C192*2+MIN($B192,2)+5)</f>
        <v>1</v>
      </c>
      <c r="AC192" s="475">
        <f>INDEX(Input!$1:$1048576,AC$93,$C192*2+MIN($B192,2)+5)
+INDEX(Scenarios!AC$121:AC$200,MATCH($B192,Scenarios!$B$121:$B$200,0))</f>
        <v>0</v>
      </c>
      <c r="AD192" s="476">
        <f>INDEX(Input!$1:$1048576,AD$93,$C192*2+MIN($B192,2)+5)</f>
        <v>0.35</v>
      </c>
      <c r="AE192" s="475">
        <f>INDEX(Input!$1:$1048576,AE$93,$C192*2+MIN($B192,2)+5)
+INDEX(Scenarios!AE$121:AE$200,MATCH($B192,Scenarios!$B$121:$B$200,0))</f>
        <v>0</v>
      </c>
      <c r="AF192" s="476">
        <f>INDEX(Input!$1:$1048576,AF$93,$C192*2+MIN($B192,2)+5)</f>
        <v>1</v>
      </c>
      <c r="AG192" s="475">
        <f>INDEX(Input!$1:$1048576,AG$93,$C192*2+MIN($B192,2)+5)
+INDEX(Scenarios!AG$121:AG$200,MATCH($B192,Scenarios!$B$121:$B$200,0))</f>
        <v>0</v>
      </c>
      <c r="AH192" s="476">
        <f>INDEX(Input!$1:$1048576,AH$93,$C192*2+MIN($B192,2)+5)</f>
        <v>1</v>
      </c>
      <c r="AI192" s="475">
        <f>INDEX(Input!$1:$1048576,AI$93,$C192*2+MIN($B192,2)+5)
+INDEX(Scenarios!AI$121:AI$200,MATCH($B192,Scenarios!$B$121:$B$200,0))</f>
        <v>0</v>
      </c>
      <c r="AJ192" s="476">
        <f>INDEX(Input!$1:$1048576,AJ$93,$C192*2+MIN($B192,2)+5)</f>
        <v>0.35</v>
      </c>
      <c r="AK192" s="150">
        <f>ROUND(INDEX(Input!$1:$1048576,AK$93,$C191*2+MIN($B192,1)+5)+(Y192-VLOOKUP($C192*1000+1,$A:$HH,Y$92,FALSE)),0)</f>
        <v>5482</v>
      </c>
      <c r="AL192" s="150">
        <f>ROUND(INDEX(Input!$1:$1048576,AL$93,$C191*2+MIN($B192,1)+5)-(Y192-VLOOKUP($C192*1000+1,$A:$HH,Y$92,FALSE))/36,0)</f>
        <v>5602</v>
      </c>
      <c r="AM192" s="32" t="str">
        <f t="shared" si="387"/>
        <v>std/std/std/std</v>
      </c>
      <c r="AN192" s="32" t="str">
        <f t="shared" si="388"/>
        <v>$0 + 0/0/0/1.9/3.9</v>
      </c>
      <c r="AO192" s="32" t="str">
        <f t="shared" si="389"/>
        <v>0/0/0/1.9/3.9</v>
      </c>
      <c r="AP192" s="32" t="str">
        <f t="shared" si="493"/>
        <v>0/0.9/1.9/3.9</v>
      </c>
      <c r="AQ192" s="536">
        <f t="shared" si="492"/>
        <v>0</v>
      </c>
      <c r="AR192" s="32"/>
      <c r="AS192" s="302"/>
      <c r="AT192" s="3">
        <f t="shared" si="106"/>
        <v>92</v>
      </c>
      <c r="AU192" s="41" t="s">
        <v>121</v>
      </c>
      <c r="AV192" s="41" t="s">
        <v>116</v>
      </c>
      <c r="AW192" s="41" t="str">
        <f>INDEX(Input!$1:$1048576,AW$93,$C192*2+6)</f>
        <v>Kia</v>
      </c>
      <c r="AX192" s="41" t="str">
        <f>INDEX(Input!$1:$1048576,AX$93,$C192*2+6)</f>
        <v>Kia-LR - L1</v>
      </c>
      <c r="AY192" s="41" t="str">
        <f>IF(LEN(D192)=0,"",INDEX(Input!$1:$1048576,AY$93,$C192*2+6))</f>
        <v/>
      </c>
      <c r="AZ192" s="41" t="str">
        <f>INDEX(Input!$1:$1048576,AZ$93,$C192*2+6)</f>
        <v>Kia Forte</v>
      </c>
      <c r="BA192" s="3">
        <f>INDEX(Input!$1:$1048576,BA$93,$C192*2+6)</f>
        <v>2020</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19695</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94"/>
        <v>1250</v>
      </c>
      <c r="CJ192" s="16" t="str">
        <f>INDEX(Input!$1:$1048576,CJ$93,$C192*2+6)</f>
        <v>N</v>
      </c>
      <c r="CK192" s="1" t="str">
        <f t="shared" si="495"/>
        <v>Market</v>
      </c>
      <c r="CL192" s="1" t="str">
        <f t="shared" si="496"/>
        <v>Market</v>
      </c>
      <c r="CM192" s="1" t="str">
        <f t="shared" si="497"/>
        <v>Market</v>
      </c>
      <c r="CN192" s="1" t="str">
        <f t="shared" si="498"/>
        <v>Market</v>
      </c>
      <c r="CO192" s="1" t="str">
        <f t="shared" si="499"/>
        <v>Market</v>
      </c>
      <c r="CP192" s="304">
        <f t="shared" si="500"/>
        <v>0</v>
      </c>
      <c r="CQ192" s="1">
        <f t="shared" si="501"/>
        <v>0</v>
      </c>
      <c r="CR192" s="1">
        <f t="shared" si="502"/>
        <v>0</v>
      </c>
      <c r="CS192" s="1">
        <f t="shared" si="503"/>
        <v>0</v>
      </c>
      <c r="CT192" s="1">
        <f t="shared" si="504"/>
        <v>1.9E-2</v>
      </c>
      <c r="CU192" s="1">
        <f t="shared" si="505"/>
        <v>3.9E-2</v>
      </c>
      <c r="CV192" s="304">
        <f t="shared" si="506"/>
        <v>2826</v>
      </c>
      <c r="CW192" s="20" t="s">
        <v>122</v>
      </c>
      <c r="CX192" s="20" t="s">
        <v>122</v>
      </c>
      <c r="CY192" s="20" t="s">
        <v>122</v>
      </c>
      <c r="CZ192" s="20" t="s">
        <v>122</v>
      </c>
      <c r="DA192" s="20" t="s">
        <v>122</v>
      </c>
      <c r="DB192" s="503">
        <f t="shared" si="507"/>
        <v>0</v>
      </c>
      <c r="DC192" s="127">
        <v>0</v>
      </c>
      <c r="DD192" s="127">
        <v>0</v>
      </c>
      <c r="DE192" s="127">
        <v>0</v>
      </c>
      <c r="DF192" s="127">
        <v>0</v>
      </c>
      <c r="DG192" s="127">
        <v>0</v>
      </c>
      <c r="DH192" s="127">
        <v>0</v>
      </c>
      <c r="DI192" s="127">
        <v>0</v>
      </c>
      <c r="DJ192" s="127">
        <v>0</v>
      </c>
      <c r="DK192" s="127">
        <v>0</v>
      </c>
      <c r="DL192" s="127">
        <v>0</v>
      </c>
      <c r="DM192" s="304">
        <f>INDEX(Input!$1:$1048576,DM$93,$C192*2+6)</f>
        <v>20731.578947368424</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c r="DZ192" s="7"/>
      <c r="EA192" s="7"/>
      <c r="EB192" s="7"/>
      <c r="EC192" s="7"/>
      <c r="ED192" s="7"/>
      <c r="EE192" s="7"/>
      <c r="EF192" s="7"/>
      <c r="EG192" s="7"/>
      <c r="EH192" s="7"/>
      <c r="EI192" s="7"/>
      <c r="EJ192" s="7"/>
      <c r="EK192" s="7"/>
      <c r="EL192" s="7"/>
      <c r="EM192" s="7"/>
      <c r="EN192" s="7"/>
      <c r="EO192" s="7"/>
      <c r="EP192" s="7"/>
      <c r="EQ192" s="7"/>
      <c r="ER192" s="7"/>
      <c r="ES192" s="7"/>
      <c r="ET192" s="7"/>
      <c r="EU192" s="6"/>
      <c r="EV192" s="6"/>
      <c r="EW192" s="6"/>
      <c r="EX192" s="6"/>
      <c r="EY192" s="6"/>
      <c r="EZ192" s="6"/>
      <c r="FA192" s="6"/>
      <c r="FB192" s="6"/>
      <c r="FC192" s="6"/>
      <c r="FD192" s="6"/>
      <c r="FE192" s="6"/>
      <c r="FF192" s="6"/>
      <c r="FG192" s="6"/>
      <c r="FH192" s="6"/>
      <c r="FI192" s="6"/>
      <c r="FJ192" s="6"/>
      <c r="FK192" s="6"/>
      <c r="FL192" s="6"/>
      <c r="FM192" s="6"/>
      <c r="FN192" s="6"/>
      <c r="FO192" s="6"/>
      <c r="FP192" s="6"/>
      <c r="FQ192" s="6"/>
      <c r="FR192" s="6"/>
      <c r="FS192" s="6"/>
      <c r="FT192" s="7"/>
      <c r="FU192" s="7"/>
      <c r="FV192" s="7"/>
      <c r="FW192" s="6"/>
      <c r="FX192" s="6"/>
      <c r="FY192" s="6"/>
      <c r="FZ192" s="6"/>
      <c r="GA192" s="6"/>
      <c r="GB192" s="6"/>
      <c r="GC192" s="7"/>
      <c r="GD192" s="7"/>
      <c r="GE192" s="7"/>
      <c r="GF192" s="7"/>
      <c r="GG192" s="7"/>
      <c r="GH192" s="42"/>
      <c r="GI192" s="6"/>
      <c r="GJ192" s="14"/>
      <c r="GK192" s="14"/>
      <c r="GL192" s="14"/>
      <c r="GM192" s="14"/>
      <c r="GO192" s="5"/>
      <c r="GP192" s="5"/>
      <c r="GQ192" s="5"/>
      <c r="GR192" s="5"/>
      <c r="GS192" s="5"/>
      <c r="GT192" s="5"/>
      <c r="GU192" s="5"/>
      <c r="GV192" s="39"/>
      <c r="GW192" s="5"/>
      <c r="GX192" s="5"/>
      <c r="GY192" s="5"/>
      <c r="GZ192" s="5"/>
      <c r="HA192" s="5"/>
      <c r="HB192" s="39"/>
      <c r="HC192" s="5"/>
      <c r="HD192" s="5"/>
      <c r="HE192" s="5"/>
      <c r="HF192" s="5"/>
      <c r="HG192" s="5"/>
      <c r="HH192" s="39"/>
      <c r="HI192" s="16"/>
      <c r="HJ192" s="19"/>
      <c r="HK192" s="1"/>
      <c r="HL192" s="16"/>
      <c r="HM192" s="1"/>
      <c r="HN192" s="1"/>
      <c r="HO192" s="1"/>
      <c r="HP192" s="1"/>
      <c r="HQ192" s="1"/>
      <c r="HR192" s="1"/>
      <c r="HS192" s="1"/>
      <c r="HT192" s="1"/>
      <c r="HU192" s="1"/>
      <c r="HV192" s="1"/>
      <c r="HW192" s="1"/>
      <c r="HX192" s="1"/>
      <c r="HY192" s="1"/>
      <c r="HZ192" s="1"/>
      <c r="IA192" s="1"/>
      <c r="IB192" s="1"/>
      <c r="IC192" s="1"/>
      <c r="ID192" s="1"/>
      <c r="IE192" s="1"/>
      <c r="IF192" s="1"/>
      <c r="IG192" s="1"/>
      <c r="IH192" s="21"/>
      <c r="II192" s="19"/>
      <c r="IJ192" s="19"/>
      <c r="IK192" s="19"/>
      <c r="IL192" s="19"/>
      <c r="IM192" s="19"/>
      <c r="IN192" s="19"/>
      <c r="IO192" s="39"/>
      <c r="IP192" s="39"/>
      <c r="IQ192" s="39"/>
      <c r="IR192" s="39"/>
      <c r="IS192" s="39"/>
      <c r="IT192" s="39"/>
      <c r="IU192" s="39"/>
      <c r="IV192" s="39"/>
      <c r="IW192" s="39"/>
      <c r="IX192" s="39"/>
      <c r="IY192" s="39"/>
      <c r="IZ192" s="39"/>
      <c r="JA192" s="19"/>
      <c r="JB192" s="19"/>
      <c r="JC192" s="19"/>
      <c r="JD192" s="19"/>
      <c r="JE192" s="21"/>
      <c r="JF192" s="1"/>
      <c r="JG192" s="15"/>
      <c r="JH192" s="1"/>
      <c r="JI192" s="1"/>
      <c r="JJ192" s="1"/>
      <c r="JK192" s="1"/>
      <c r="JL192" s="15"/>
      <c r="JM192" s="15"/>
      <c r="JN192" s="21"/>
      <c r="JO192" s="19"/>
      <c r="JP192" s="19"/>
      <c r="JQ192" s="39"/>
      <c r="JR192" s="39"/>
      <c r="JS192" s="39"/>
      <c r="JT192" s="39"/>
      <c r="JU192" s="385"/>
      <c r="JV192" s="39"/>
      <c r="JW192" s="1"/>
      <c r="JX192" s="19"/>
      <c r="JZ192" s="341"/>
      <c r="KA192" s="342"/>
      <c r="KB192" s="469"/>
      <c r="KI192" s="473"/>
      <c r="KJ192" s="473"/>
      <c r="KK192" s="473"/>
    </row>
    <row r="193" spans="1:310" s="26" customFormat="1" ht="15" outlineLevel="1">
      <c r="A193" s="561">
        <f t="shared" si="386"/>
        <v>1093</v>
      </c>
      <c r="B193" s="561">
        <f t="shared" si="508"/>
        <v>93</v>
      </c>
      <c r="C193" s="561">
        <f t="shared" si="105"/>
        <v>1</v>
      </c>
      <c r="D193" s="561" t="str">
        <f t="shared" si="718"/>
        <v/>
      </c>
      <c r="E193" s="475">
        <f>INDEX(Input!$1:$1048576,E$93,$C193*2+MIN($B193,2)+5)
+INDEX(Scenarios!E$121:E$200,MATCH($B193,Scenarios!$B$121:$B$200,0))</f>
        <v>1250</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1.9E-2</v>
      </c>
      <c r="W193" s="863">
        <f>IFERROR(MAX(0,INDEX(Input!$1:$1048576,W$93,$C193*2+MIN($B193,2)+5)-0%,),"Market")</f>
        <v>3.9E-2</v>
      </c>
      <c r="X193" s="476" t="str">
        <f>INDEX(Input!$1:$1048576,X$93,$C193*2+MIN($B193,2)+5)</f>
        <v>Y</v>
      </c>
      <c r="Y193" s="475">
        <f>INDEX(Input!$1:$1048576,Y$93,$C193*2+MIN($B193,2)+5)
++INDEX(Scenarios!Y$121:Y$200,MATCH($B193,Scenarios!$B$121:$B$200,0))</f>
        <v>2826</v>
      </c>
      <c r="Z193" s="477">
        <f>INDEX(Input!$1:$1048576,Z$93,$C193*2+MIN($B193,2)+5)
+INDEX(Scenarios!Z$121:Z$200,MATCH($B193,Scenarios!$B$121:$B$200,0))</f>
        <v>0</v>
      </c>
      <c r="AA193" s="475">
        <f>INDEX(Input!$1:$1048576,AA$93,$C193*2+MIN($B193,2)+5)</f>
        <v>0</v>
      </c>
      <c r="AB193" s="476">
        <f>INDEX(Input!$1:$1048576,AB$93,$C193*2+MIN($B193,2)+5)</f>
        <v>1</v>
      </c>
      <c r="AC193" s="475">
        <f>INDEX(Input!$1:$1048576,AC$93,$C193*2+MIN($B193,2)+5)
+INDEX(Scenarios!AC$121:AC$200,MATCH($B193,Scenarios!$B$121:$B$200,0))</f>
        <v>0</v>
      </c>
      <c r="AD193" s="476">
        <f>INDEX(Input!$1:$1048576,AD$93,$C193*2+MIN($B193,2)+5)</f>
        <v>0.35</v>
      </c>
      <c r="AE193" s="475">
        <f>INDEX(Input!$1:$1048576,AE$93,$C193*2+MIN($B193,2)+5)
+INDEX(Scenarios!AE$121:AE$200,MATCH($B193,Scenarios!$B$121:$B$200,0))</f>
        <v>0</v>
      </c>
      <c r="AF193" s="476">
        <f>INDEX(Input!$1:$1048576,AF$93,$C193*2+MIN($B193,2)+5)</f>
        <v>1</v>
      </c>
      <c r="AG193" s="475">
        <f>INDEX(Input!$1:$1048576,AG$93,$C193*2+MIN($B193,2)+5)
+INDEX(Scenarios!AG$121:AG$200,MATCH($B193,Scenarios!$B$121:$B$200,0))</f>
        <v>0</v>
      </c>
      <c r="AH193" s="476">
        <f>INDEX(Input!$1:$1048576,AH$93,$C193*2+MIN($B193,2)+5)</f>
        <v>1</v>
      </c>
      <c r="AI193" s="475">
        <f>INDEX(Input!$1:$1048576,AI$93,$C193*2+MIN($B193,2)+5)
+INDEX(Scenarios!AI$121:AI$200,MATCH($B193,Scenarios!$B$121:$B$200,0))</f>
        <v>0</v>
      </c>
      <c r="AJ193" s="476">
        <f>INDEX(Input!$1:$1048576,AJ$93,$C193*2+MIN($B193,2)+5)</f>
        <v>0.35</v>
      </c>
      <c r="AK193" s="150">
        <f>ROUND(INDEX(Input!$1:$1048576,AK$93,$C192*2+MIN($B193,1)+5)+(Y193-VLOOKUP($C193*1000+1,$A:$HH,Y$92,FALSE)),0)</f>
        <v>5482</v>
      </c>
      <c r="AL193" s="150">
        <f>ROUND(INDEX(Input!$1:$1048576,AL$93,$C192*2+MIN($B193,1)+5)-(Y193-VLOOKUP($C193*1000+1,$A:$HH,Y$92,FALSE))/36,0)</f>
        <v>5602</v>
      </c>
      <c r="AM193" s="32" t="str">
        <f t="shared" si="387"/>
        <v>std/std/std/std</v>
      </c>
      <c r="AN193" s="32" t="str">
        <f t="shared" si="388"/>
        <v>$0 + 0/0/0/1.9/3.9</v>
      </c>
      <c r="AO193" s="32" t="str">
        <f t="shared" si="389"/>
        <v>0/0/0/1.9/3.9</v>
      </c>
      <c r="AP193" s="32" t="str">
        <f t="shared" si="493"/>
        <v>0/0.9/1.9/3.9</v>
      </c>
      <c r="AQ193" s="536">
        <f t="shared" si="492"/>
        <v>0</v>
      </c>
      <c r="AR193" s="32"/>
      <c r="AS193" s="302"/>
      <c r="AT193" s="3">
        <f t="shared" si="106"/>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Forte</v>
      </c>
      <c r="BA193" s="3">
        <f>INDEX(Input!$1:$1048576,BA$93,$C193*2+6)</f>
        <v>2020</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19695</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94"/>
        <v>1250</v>
      </c>
      <c r="CJ193" s="16" t="str">
        <f>INDEX(Input!$1:$1048576,CJ$93,$C193*2+6)</f>
        <v>N</v>
      </c>
      <c r="CK193" s="1" t="str">
        <f t="shared" si="495"/>
        <v>Market</v>
      </c>
      <c r="CL193" s="1" t="str">
        <f t="shared" si="496"/>
        <v>Market</v>
      </c>
      <c r="CM193" s="1" t="str">
        <f t="shared" si="497"/>
        <v>Market</v>
      </c>
      <c r="CN193" s="1" t="str">
        <f t="shared" si="498"/>
        <v>Market</v>
      </c>
      <c r="CO193" s="1" t="str">
        <f t="shared" si="499"/>
        <v>Market</v>
      </c>
      <c r="CP193" s="304">
        <f t="shared" si="500"/>
        <v>0</v>
      </c>
      <c r="CQ193" s="1">
        <f t="shared" si="501"/>
        <v>0</v>
      </c>
      <c r="CR193" s="1">
        <f t="shared" si="502"/>
        <v>0</v>
      </c>
      <c r="CS193" s="1">
        <f t="shared" si="503"/>
        <v>0</v>
      </c>
      <c r="CT193" s="1">
        <f t="shared" si="504"/>
        <v>1.9E-2</v>
      </c>
      <c r="CU193" s="1">
        <f t="shared" si="505"/>
        <v>3.9E-2</v>
      </c>
      <c r="CV193" s="304">
        <f t="shared" si="506"/>
        <v>2826</v>
      </c>
      <c r="CW193" s="20" t="s">
        <v>122</v>
      </c>
      <c r="CX193" s="20" t="s">
        <v>122</v>
      </c>
      <c r="CY193" s="20" t="s">
        <v>122</v>
      </c>
      <c r="CZ193" s="20" t="s">
        <v>122</v>
      </c>
      <c r="DA193" s="20" t="s">
        <v>122</v>
      </c>
      <c r="DB193" s="503">
        <f t="shared" si="507"/>
        <v>0</v>
      </c>
      <c r="DC193" s="127">
        <v>0</v>
      </c>
      <c r="DD193" s="127">
        <v>0</v>
      </c>
      <c r="DE193" s="127">
        <v>0</v>
      </c>
      <c r="DF193" s="127">
        <v>0</v>
      </c>
      <c r="DG193" s="127">
        <v>0</v>
      </c>
      <c r="DH193" s="127">
        <v>0</v>
      </c>
      <c r="DI193" s="127">
        <v>0</v>
      </c>
      <c r="DJ193" s="127">
        <v>0</v>
      </c>
      <c r="DK193" s="127">
        <v>0</v>
      </c>
      <c r="DL193" s="127">
        <v>0</v>
      </c>
      <c r="DM193" s="304">
        <f>INDEX(Input!$1:$1048576,DM$93,$C193*2+6)</f>
        <v>20731.578947368424</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386"/>
        <v>1094</v>
      </c>
      <c r="B194" s="561">
        <f t="shared" si="508"/>
        <v>94</v>
      </c>
      <c r="C194" s="561">
        <f t="shared" si="105"/>
        <v>1</v>
      </c>
      <c r="D194" s="561" t="str">
        <f t="shared" si="718"/>
        <v/>
      </c>
      <c r="E194" s="475">
        <f>INDEX(Input!$1:$1048576,E$93,$C194*2+MIN($B194,2)+5)
+INDEX(Scenarios!E$121:E$200,MATCH($B194,Scenarios!$B$121:$B$200,0))</f>
        <v>1250</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1.9E-2</v>
      </c>
      <c r="W194" s="863">
        <f>IFERROR(MAX(0,INDEX(Input!$1:$1048576,W$93,$C194*2+MIN($B194,2)+5)-0%,),"Market")</f>
        <v>3.9E-2</v>
      </c>
      <c r="X194" s="476" t="str">
        <f>INDEX(Input!$1:$1048576,X$93,$C194*2+MIN($B194,2)+5)</f>
        <v>Y</v>
      </c>
      <c r="Y194" s="475">
        <f>INDEX(Input!$1:$1048576,Y$93,$C194*2+MIN($B194,2)+5)
++INDEX(Scenarios!Y$121:Y$200,MATCH($B194,Scenarios!$B$121:$B$200,0))</f>
        <v>2826</v>
      </c>
      <c r="Z194" s="477">
        <f>INDEX(Input!$1:$1048576,Z$93,$C194*2+MIN($B194,2)+5)
+INDEX(Scenarios!Z$121:Z$200,MATCH($B194,Scenarios!$B$121:$B$200,0))</f>
        <v>0</v>
      </c>
      <c r="AA194" s="475">
        <f>INDEX(Input!$1:$1048576,AA$93,$C194*2+MIN($B194,2)+5)</f>
        <v>0</v>
      </c>
      <c r="AB194" s="476">
        <f>INDEX(Input!$1:$1048576,AB$93,$C194*2+MIN($B194,2)+5)</f>
        <v>1</v>
      </c>
      <c r="AC194" s="475">
        <f>INDEX(Input!$1:$1048576,AC$93,$C194*2+MIN($B194,2)+5)
+INDEX(Scenarios!AC$121:AC$200,MATCH($B194,Scenarios!$B$121:$B$200,0))</f>
        <v>0</v>
      </c>
      <c r="AD194" s="476">
        <f>INDEX(Input!$1:$1048576,AD$93,$C194*2+MIN($B194,2)+5)</f>
        <v>0.35</v>
      </c>
      <c r="AE194" s="475">
        <f>INDEX(Input!$1:$1048576,AE$93,$C194*2+MIN($B194,2)+5)
+INDEX(Scenarios!AE$121:AE$200,MATCH($B194,Scenarios!$B$121:$B$200,0))</f>
        <v>0</v>
      </c>
      <c r="AF194" s="476">
        <f>INDEX(Input!$1:$1048576,AF$93,$C194*2+MIN($B194,2)+5)</f>
        <v>1</v>
      </c>
      <c r="AG194" s="475">
        <f>INDEX(Input!$1:$1048576,AG$93,$C194*2+MIN($B194,2)+5)
+INDEX(Scenarios!AG$121:AG$200,MATCH($B194,Scenarios!$B$121:$B$200,0))</f>
        <v>0</v>
      </c>
      <c r="AH194" s="476">
        <f>INDEX(Input!$1:$1048576,AH$93,$C194*2+MIN($B194,2)+5)</f>
        <v>1</v>
      </c>
      <c r="AI194" s="475">
        <f>INDEX(Input!$1:$1048576,AI$93,$C194*2+MIN($B194,2)+5)
+INDEX(Scenarios!AI$121:AI$200,MATCH($B194,Scenarios!$B$121:$B$200,0))</f>
        <v>0</v>
      </c>
      <c r="AJ194" s="476">
        <f>INDEX(Input!$1:$1048576,AJ$93,$C194*2+MIN($B194,2)+5)</f>
        <v>0.35</v>
      </c>
      <c r="AK194" s="150">
        <f>ROUND(INDEX(Input!$1:$1048576,AK$93,$C193*2+MIN($B194,1)+5)+(Y194-VLOOKUP($C194*1000+1,$A:$HH,Y$92,FALSE)),0)</f>
        <v>5482</v>
      </c>
      <c r="AL194" s="150">
        <f>ROUND(INDEX(Input!$1:$1048576,AL$93,$C193*2+MIN($B194,1)+5)-(Y194-VLOOKUP($C194*1000+1,$A:$HH,Y$92,FALSE))/36,0)</f>
        <v>5602</v>
      </c>
      <c r="AM194" s="32" t="str">
        <f t="shared" si="387"/>
        <v>std/std/std/std</v>
      </c>
      <c r="AN194" s="32" t="str">
        <f t="shared" si="388"/>
        <v>$0 + 0/0/0/1.9/3.9</v>
      </c>
      <c r="AO194" s="32" t="str">
        <f t="shared" si="389"/>
        <v>0/0/0/1.9/3.9</v>
      </c>
      <c r="AP194" s="32" t="str">
        <f t="shared" si="493"/>
        <v>0/0.9/1.9/3.9</v>
      </c>
      <c r="AQ194" s="536">
        <f t="shared" si="492"/>
        <v>0</v>
      </c>
      <c r="AR194" s="32"/>
      <c r="AS194" s="302"/>
      <c r="AT194" s="3">
        <f t="shared" si="106"/>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Forte</v>
      </c>
      <c r="BA194" s="3">
        <f>INDEX(Input!$1:$1048576,BA$93,$C194*2+6)</f>
        <v>2020</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19695</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94"/>
        <v>1250</v>
      </c>
      <c r="CJ194" s="16" t="str">
        <f>INDEX(Input!$1:$1048576,CJ$93,$C194*2+6)</f>
        <v>N</v>
      </c>
      <c r="CK194" s="1" t="str">
        <f t="shared" si="495"/>
        <v>Market</v>
      </c>
      <c r="CL194" s="1" t="str">
        <f t="shared" si="496"/>
        <v>Market</v>
      </c>
      <c r="CM194" s="1" t="str">
        <f t="shared" si="497"/>
        <v>Market</v>
      </c>
      <c r="CN194" s="1" t="str">
        <f t="shared" si="498"/>
        <v>Market</v>
      </c>
      <c r="CO194" s="1" t="str">
        <f t="shared" si="499"/>
        <v>Market</v>
      </c>
      <c r="CP194" s="304">
        <f t="shared" si="500"/>
        <v>0</v>
      </c>
      <c r="CQ194" s="1">
        <f t="shared" si="501"/>
        <v>0</v>
      </c>
      <c r="CR194" s="1">
        <f t="shared" si="502"/>
        <v>0</v>
      </c>
      <c r="CS194" s="1">
        <f t="shared" si="503"/>
        <v>0</v>
      </c>
      <c r="CT194" s="1">
        <f t="shared" si="504"/>
        <v>1.9E-2</v>
      </c>
      <c r="CU194" s="1">
        <f t="shared" si="505"/>
        <v>3.9E-2</v>
      </c>
      <c r="CV194" s="304">
        <f t="shared" si="506"/>
        <v>2826</v>
      </c>
      <c r="CW194" s="20" t="s">
        <v>122</v>
      </c>
      <c r="CX194" s="20" t="s">
        <v>122</v>
      </c>
      <c r="CY194" s="20" t="s">
        <v>122</v>
      </c>
      <c r="CZ194" s="20" t="s">
        <v>122</v>
      </c>
      <c r="DA194" s="20" t="s">
        <v>122</v>
      </c>
      <c r="DB194" s="503">
        <f t="shared" si="507"/>
        <v>0</v>
      </c>
      <c r="DC194" s="127">
        <v>0</v>
      </c>
      <c r="DD194" s="127">
        <v>0</v>
      </c>
      <c r="DE194" s="127">
        <v>0</v>
      </c>
      <c r="DF194" s="127">
        <v>0</v>
      </c>
      <c r="DG194" s="127">
        <v>0</v>
      </c>
      <c r="DH194" s="127">
        <v>0</v>
      </c>
      <c r="DI194" s="127">
        <v>0</v>
      </c>
      <c r="DJ194" s="127">
        <v>0</v>
      </c>
      <c r="DK194" s="127">
        <v>0</v>
      </c>
      <c r="DL194" s="127">
        <v>0</v>
      </c>
      <c r="DM194" s="304">
        <f>INDEX(Input!$1:$1048576,DM$93,$C194*2+6)</f>
        <v>20731.578947368424</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386"/>
        <v>1095</v>
      </c>
      <c r="B195" s="561">
        <f t="shared" si="508"/>
        <v>95</v>
      </c>
      <c r="C195" s="561">
        <f t="shared" si="105"/>
        <v>1</v>
      </c>
      <c r="D195" s="561" t="str">
        <f t="shared" si="718"/>
        <v/>
      </c>
      <c r="E195" s="475">
        <f>INDEX(Input!$1:$1048576,E$93,$C195*2+MIN($B195,2)+5)
+INDEX(Scenarios!E$121:E$200,MATCH($B195,Scenarios!$B$121:$B$200,0))</f>
        <v>1250</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1.9E-2</v>
      </c>
      <c r="W195" s="863">
        <f>IFERROR(MAX(0,INDEX(Input!$1:$1048576,W$93,$C195*2+MIN($B195,2)+5)-0%,),"Market")</f>
        <v>3.9E-2</v>
      </c>
      <c r="X195" s="476" t="str">
        <f>INDEX(Input!$1:$1048576,X$93,$C195*2+MIN($B195,2)+5)</f>
        <v>Y</v>
      </c>
      <c r="Y195" s="475">
        <f>INDEX(Input!$1:$1048576,Y$93,$C195*2+MIN($B195,2)+5)
++INDEX(Scenarios!Y$121:Y$200,MATCH($B195,Scenarios!$B$121:$B$200,0))</f>
        <v>2826</v>
      </c>
      <c r="Z195" s="477">
        <f>INDEX(Input!$1:$1048576,Z$93,$C195*2+MIN($B195,2)+5)
+INDEX(Scenarios!Z$121:Z$200,MATCH($B195,Scenarios!$B$121:$B$200,0))</f>
        <v>0</v>
      </c>
      <c r="AA195" s="475">
        <f>INDEX(Input!$1:$1048576,AA$93,$C195*2+MIN($B195,2)+5)</f>
        <v>0</v>
      </c>
      <c r="AB195" s="476">
        <f>INDEX(Input!$1:$1048576,AB$93,$C195*2+MIN($B195,2)+5)</f>
        <v>1</v>
      </c>
      <c r="AC195" s="475">
        <f>INDEX(Input!$1:$1048576,AC$93,$C195*2+MIN($B195,2)+5)
+INDEX(Scenarios!AC$121:AC$200,MATCH($B195,Scenarios!$B$121:$B$200,0))</f>
        <v>0</v>
      </c>
      <c r="AD195" s="476">
        <f>INDEX(Input!$1:$1048576,AD$93,$C195*2+MIN($B195,2)+5)</f>
        <v>0.35</v>
      </c>
      <c r="AE195" s="475">
        <f>INDEX(Input!$1:$1048576,AE$93,$C195*2+MIN($B195,2)+5)
+INDEX(Scenarios!AE$121:AE$200,MATCH($B195,Scenarios!$B$121:$B$200,0))</f>
        <v>0</v>
      </c>
      <c r="AF195" s="476">
        <f>INDEX(Input!$1:$1048576,AF$93,$C195*2+MIN($B195,2)+5)</f>
        <v>1</v>
      </c>
      <c r="AG195" s="475">
        <f>INDEX(Input!$1:$1048576,AG$93,$C195*2+MIN($B195,2)+5)
+INDEX(Scenarios!AG$121:AG$200,MATCH($B195,Scenarios!$B$121:$B$200,0))</f>
        <v>0</v>
      </c>
      <c r="AH195" s="476">
        <f>INDEX(Input!$1:$1048576,AH$93,$C195*2+MIN($B195,2)+5)</f>
        <v>1</v>
      </c>
      <c r="AI195" s="475">
        <f>INDEX(Input!$1:$1048576,AI$93,$C195*2+MIN($B195,2)+5)
+INDEX(Scenarios!AI$121:AI$200,MATCH($B195,Scenarios!$B$121:$B$200,0))</f>
        <v>0</v>
      </c>
      <c r="AJ195" s="476">
        <f>INDEX(Input!$1:$1048576,AJ$93,$C195*2+MIN($B195,2)+5)</f>
        <v>0.35</v>
      </c>
      <c r="AK195" s="150">
        <f>ROUND(INDEX(Input!$1:$1048576,AK$93,$C194*2+MIN($B195,1)+5)+(Y195-VLOOKUP($C195*1000+1,$A:$HH,Y$92,FALSE)),0)</f>
        <v>5482</v>
      </c>
      <c r="AL195" s="150">
        <f>ROUND(INDEX(Input!$1:$1048576,AL$93,$C194*2+MIN($B195,1)+5)-(Y195-VLOOKUP($C195*1000+1,$A:$HH,Y$92,FALSE))/36,0)</f>
        <v>5602</v>
      </c>
      <c r="AM195" s="32" t="str">
        <f t="shared" si="387"/>
        <v>std/std/std/std</v>
      </c>
      <c r="AN195" s="32" t="str">
        <f t="shared" si="388"/>
        <v>$0 + 0/0/0/1.9/3.9</v>
      </c>
      <c r="AO195" s="32" t="str">
        <f t="shared" si="389"/>
        <v>0/0/0/1.9/3.9</v>
      </c>
      <c r="AP195" s="32" t="str">
        <f t="shared" si="493"/>
        <v>0/0.9/1.9/3.9</v>
      </c>
      <c r="AQ195" s="536">
        <f t="shared" si="492"/>
        <v>0</v>
      </c>
      <c r="AR195" s="32"/>
      <c r="AS195" s="302"/>
      <c r="AT195" s="3">
        <f t="shared" si="106"/>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Forte</v>
      </c>
      <c r="BA195" s="3">
        <f>INDEX(Input!$1:$1048576,BA$93,$C195*2+6)</f>
        <v>2020</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19695</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94"/>
        <v>1250</v>
      </c>
      <c r="CJ195" s="16" t="str">
        <f>INDEX(Input!$1:$1048576,CJ$93,$C195*2+6)</f>
        <v>N</v>
      </c>
      <c r="CK195" s="1" t="str">
        <f t="shared" si="495"/>
        <v>Market</v>
      </c>
      <c r="CL195" s="1" t="str">
        <f t="shared" si="496"/>
        <v>Market</v>
      </c>
      <c r="CM195" s="1" t="str">
        <f t="shared" si="497"/>
        <v>Market</v>
      </c>
      <c r="CN195" s="1" t="str">
        <f t="shared" si="498"/>
        <v>Market</v>
      </c>
      <c r="CO195" s="1" t="str">
        <f t="shared" si="499"/>
        <v>Market</v>
      </c>
      <c r="CP195" s="304">
        <f t="shared" si="500"/>
        <v>0</v>
      </c>
      <c r="CQ195" s="1">
        <f t="shared" si="501"/>
        <v>0</v>
      </c>
      <c r="CR195" s="1">
        <f t="shared" si="502"/>
        <v>0</v>
      </c>
      <c r="CS195" s="1">
        <f t="shared" si="503"/>
        <v>0</v>
      </c>
      <c r="CT195" s="1">
        <f t="shared" si="504"/>
        <v>1.9E-2</v>
      </c>
      <c r="CU195" s="1">
        <f t="shared" si="505"/>
        <v>3.9E-2</v>
      </c>
      <c r="CV195" s="304">
        <f t="shared" si="506"/>
        <v>2826</v>
      </c>
      <c r="CW195" s="20" t="s">
        <v>122</v>
      </c>
      <c r="CX195" s="20" t="s">
        <v>122</v>
      </c>
      <c r="CY195" s="20" t="s">
        <v>122</v>
      </c>
      <c r="CZ195" s="20" t="s">
        <v>122</v>
      </c>
      <c r="DA195" s="20" t="s">
        <v>122</v>
      </c>
      <c r="DB195" s="503">
        <f t="shared" si="507"/>
        <v>0</v>
      </c>
      <c r="DC195" s="127">
        <v>0</v>
      </c>
      <c r="DD195" s="127">
        <v>0</v>
      </c>
      <c r="DE195" s="127">
        <v>0</v>
      </c>
      <c r="DF195" s="127">
        <v>0</v>
      </c>
      <c r="DG195" s="127">
        <v>0</v>
      </c>
      <c r="DH195" s="127">
        <v>0</v>
      </c>
      <c r="DI195" s="127">
        <v>0</v>
      </c>
      <c r="DJ195" s="127">
        <v>0</v>
      </c>
      <c r="DK195" s="127">
        <v>0</v>
      </c>
      <c r="DL195" s="127">
        <v>0</v>
      </c>
      <c r="DM195" s="304">
        <f>INDEX(Input!$1:$1048576,DM$93,$C195*2+6)</f>
        <v>20731.578947368424</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386"/>
        <v>1096</v>
      </c>
      <c r="B196" s="561">
        <f t="shared" si="508"/>
        <v>96</v>
      </c>
      <c r="C196" s="561">
        <f t="shared" si="105"/>
        <v>1</v>
      </c>
      <c r="D196" s="561" t="str">
        <f t="shared" si="718"/>
        <v/>
      </c>
      <c r="E196" s="475">
        <f>INDEX(Input!$1:$1048576,E$93,$C196*2+MIN($B196,2)+5)
+INDEX(Scenarios!E$121:E$200,MATCH($B196,Scenarios!$B$121:$B$200,0))</f>
        <v>1250</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1.9E-2</v>
      </c>
      <c r="W196" s="863">
        <f>IFERROR(MAX(0,INDEX(Input!$1:$1048576,W$93,$C196*2+MIN($B196,2)+5)-0%,),"Market")</f>
        <v>3.9E-2</v>
      </c>
      <c r="X196" s="476" t="str">
        <f>INDEX(Input!$1:$1048576,X$93,$C196*2+MIN($B196,2)+5)</f>
        <v>Y</v>
      </c>
      <c r="Y196" s="475">
        <f>INDEX(Input!$1:$1048576,Y$93,$C196*2+MIN($B196,2)+5)
++INDEX(Scenarios!Y$121:Y$200,MATCH($B196,Scenarios!$B$121:$B$200,0))</f>
        <v>2826</v>
      </c>
      <c r="Z196" s="477">
        <f>INDEX(Input!$1:$1048576,Z$93,$C196*2+MIN($B196,2)+5)
+INDEX(Scenarios!Z$121:Z$200,MATCH($B196,Scenarios!$B$121:$B$200,0))</f>
        <v>0</v>
      </c>
      <c r="AA196" s="475">
        <f>INDEX(Input!$1:$1048576,AA$93,$C196*2+MIN($B196,2)+5)</f>
        <v>0</v>
      </c>
      <c r="AB196" s="476">
        <f>INDEX(Input!$1:$1048576,AB$93,$C196*2+MIN($B196,2)+5)</f>
        <v>1</v>
      </c>
      <c r="AC196" s="475">
        <f>INDEX(Input!$1:$1048576,AC$93,$C196*2+MIN($B196,2)+5)
+INDEX(Scenarios!AC$121:AC$200,MATCH($B196,Scenarios!$B$121:$B$200,0))</f>
        <v>0</v>
      </c>
      <c r="AD196" s="476">
        <f>INDEX(Input!$1:$1048576,AD$93,$C196*2+MIN($B196,2)+5)</f>
        <v>0.35</v>
      </c>
      <c r="AE196" s="475">
        <f>INDEX(Input!$1:$1048576,AE$93,$C196*2+MIN($B196,2)+5)
+INDEX(Scenarios!AE$121:AE$200,MATCH($B196,Scenarios!$B$121:$B$200,0))</f>
        <v>0</v>
      </c>
      <c r="AF196" s="476">
        <f>INDEX(Input!$1:$1048576,AF$93,$C196*2+MIN($B196,2)+5)</f>
        <v>1</v>
      </c>
      <c r="AG196" s="475">
        <f>INDEX(Input!$1:$1048576,AG$93,$C196*2+MIN($B196,2)+5)
+INDEX(Scenarios!AG$121:AG$200,MATCH($B196,Scenarios!$B$121:$B$200,0))</f>
        <v>0</v>
      </c>
      <c r="AH196" s="476">
        <f>INDEX(Input!$1:$1048576,AH$93,$C196*2+MIN($B196,2)+5)</f>
        <v>1</v>
      </c>
      <c r="AI196" s="475">
        <f>INDEX(Input!$1:$1048576,AI$93,$C196*2+MIN($B196,2)+5)
+INDEX(Scenarios!AI$121:AI$200,MATCH($B196,Scenarios!$B$121:$B$200,0))</f>
        <v>0</v>
      </c>
      <c r="AJ196" s="476">
        <f>INDEX(Input!$1:$1048576,AJ$93,$C196*2+MIN($B196,2)+5)</f>
        <v>0.35</v>
      </c>
      <c r="AK196" s="150">
        <f>ROUND(INDEX(Input!$1:$1048576,AK$93,$C195*2+MIN($B196,1)+5)+(Y196-VLOOKUP($C196*1000+1,$A:$HH,Y$92,FALSE)),0)</f>
        <v>5482</v>
      </c>
      <c r="AL196" s="150">
        <f>ROUND(INDEX(Input!$1:$1048576,AL$93,$C195*2+MIN($B196,1)+5)-(Y196-VLOOKUP($C196*1000+1,$A:$HH,Y$92,FALSE))/36,0)</f>
        <v>5602</v>
      </c>
      <c r="AM196" s="32" t="str">
        <f t="shared" si="387"/>
        <v>std/std/std/std</v>
      </c>
      <c r="AN196" s="32" t="str">
        <f t="shared" si="388"/>
        <v>$0 + 0/0/0/1.9/3.9</v>
      </c>
      <c r="AO196" s="32" t="str">
        <f t="shared" si="389"/>
        <v>0/0/0/1.9/3.9</v>
      </c>
      <c r="AP196" s="32" t="str">
        <f t="shared" si="493"/>
        <v>0/0.9/1.9/3.9</v>
      </c>
      <c r="AQ196" s="536">
        <f t="shared" si="492"/>
        <v>0</v>
      </c>
      <c r="AR196" s="32"/>
      <c r="AS196" s="302"/>
      <c r="AT196" s="3">
        <f t="shared" si="106"/>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Forte</v>
      </c>
      <c r="BA196" s="3">
        <f>INDEX(Input!$1:$1048576,BA$93,$C196*2+6)</f>
        <v>2020</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19695</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94"/>
        <v>1250</v>
      </c>
      <c r="CJ196" s="16" t="str">
        <f>INDEX(Input!$1:$1048576,CJ$93,$C196*2+6)</f>
        <v>N</v>
      </c>
      <c r="CK196" s="1" t="str">
        <f t="shared" si="495"/>
        <v>Market</v>
      </c>
      <c r="CL196" s="1" t="str">
        <f t="shared" si="496"/>
        <v>Market</v>
      </c>
      <c r="CM196" s="1" t="str">
        <f t="shared" si="497"/>
        <v>Market</v>
      </c>
      <c r="CN196" s="1" t="str">
        <f t="shared" si="498"/>
        <v>Market</v>
      </c>
      <c r="CO196" s="1" t="str">
        <f t="shared" si="499"/>
        <v>Market</v>
      </c>
      <c r="CP196" s="304">
        <f t="shared" si="500"/>
        <v>0</v>
      </c>
      <c r="CQ196" s="1">
        <f t="shared" si="501"/>
        <v>0</v>
      </c>
      <c r="CR196" s="1">
        <f t="shared" si="502"/>
        <v>0</v>
      </c>
      <c r="CS196" s="1">
        <f t="shared" si="503"/>
        <v>0</v>
      </c>
      <c r="CT196" s="1">
        <f t="shared" si="504"/>
        <v>1.9E-2</v>
      </c>
      <c r="CU196" s="1">
        <f t="shared" si="505"/>
        <v>3.9E-2</v>
      </c>
      <c r="CV196" s="304">
        <f t="shared" si="506"/>
        <v>2826</v>
      </c>
      <c r="CW196" s="20" t="s">
        <v>122</v>
      </c>
      <c r="CX196" s="20" t="s">
        <v>122</v>
      </c>
      <c r="CY196" s="20" t="s">
        <v>122</v>
      </c>
      <c r="CZ196" s="20" t="s">
        <v>122</v>
      </c>
      <c r="DA196" s="20" t="s">
        <v>122</v>
      </c>
      <c r="DB196" s="503">
        <f t="shared" si="507"/>
        <v>0</v>
      </c>
      <c r="DC196" s="127">
        <v>0</v>
      </c>
      <c r="DD196" s="127">
        <v>0</v>
      </c>
      <c r="DE196" s="127">
        <v>0</v>
      </c>
      <c r="DF196" s="127">
        <v>0</v>
      </c>
      <c r="DG196" s="127">
        <v>0</v>
      </c>
      <c r="DH196" s="127">
        <v>0</v>
      </c>
      <c r="DI196" s="127">
        <v>0</v>
      </c>
      <c r="DJ196" s="127">
        <v>0</v>
      </c>
      <c r="DK196" s="127">
        <v>0</v>
      </c>
      <c r="DL196" s="127">
        <v>0</v>
      </c>
      <c r="DM196" s="304">
        <f>INDEX(Input!$1:$1048576,DM$93,$C196*2+6)</f>
        <v>20731.578947368424</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386"/>
        <v>1097</v>
      </c>
      <c r="B197" s="561">
        <f t="shared" si="508"/>
        <v>97</v>
      </c>
      <c r="C197" s="561">
        <f t="shared" si="105"/>
        <v>1</v>
      </c>
      <c r="D197" s="561" t="str">
        <f t="shared" si="718"/>
        <v/>
      </c>
      <c r="E197" s="475">
        <f>INDEX(Input!$1:$1048576,E$93,$C197*2+MIN($B197,2)+5)
+INDEX(Scenarios!E$121:E$200,MATCH($B197,Scenarios!$B$121:$B$200,0))</f>
        <v>1250</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1.9E-2</v>
      </c>
      <c r="W197" s="863">
        <f>IFERROR(MAX(0,INDEX(Input!$1:$1048576,W$93,$C197*2+MIN($B197,2)+5)-0%,),"Market")</f>
        <v>3.9E-2</v>
      </c>
      <c r="X197" s="476" t="str">
        <f>INDEX(Input!$1:$1048576,X$93,$C197*2+MIN($B197,2)+5)</f>
        <v>Y</v>
      </c>
      <c r="Y197" s="475">
        <f>INDEX(Input!$1:$1048576,Y$93,$C197*2+MIN($B197,2)+5)
++INDEX(Scenarios!Y$121:Y$200,MATCH($B197,Scenarios!$B$121:$B$200,0))</f>
        <v>2826</v>
      </c>
      <c r="Z197" s="477">
        <f>INDEX(Input!$1:$1048576,Z$93,$C197*2+MIN($B197,2)+5)
+INDEX(Scenarios!Z$121:Z$200,MATCH($B197,Scenarios!$B$121:$B$200,0))</f>
        <v>0</v>
      </c>
      <c r="AA197" s="475">
        <f>INDEX(Input!$1:$1048576,AA$93,$C197*2+MIN($B197,2)+5)</f>
        <v>0</v>
      </c>
      <c r="AB197" s="476">
        <f>INDEX(Input!$1:$1048576,AB$93,$C197*2+MIN($B197,2)+5)</f>
        <v>1</v>
      </c>
      <c r="AC197" s="475">
        <f>INDEX(Input!$1:$1048576,AC$93,$C197*2+MIN($B197,2)+5)
+INDEX(Scenarios!AC$121:AC$200,MATCH($B197,Scenarios!$B$121:$B$200,0))</f>
        <v>0</v>
      </c>
      <c r="AD197" s="476">
        <f>INDEX(Input!$1:$1048576,AD$93,$C197*2+MIN($B197,2)+5)</f>
        <v>0.35</v>
      </c>
      <c r="AE197" s="475">
        <f>INDEX(Input!$1:$1048576,AE$93,$C197*2+MIN($B197,2)+5)
+INDEX(Scenarios!AE$121:AE$200,MATCH($B197,Scenarios!$B$121:$B$200,0))</f>
        <v>0</v>
      </c>
      <c r="AF197" s="476">
        <f>INDEX(Input!$1:$1048576,AF$93,$C197*2+MIN($B197,2)+5)</f>
        <v>1</v>
      </c>
      <c r="AG197" s="475">
        <f>INDEX(Input!$1:$1048576,AG$93,$C197*2+MIN($B197,2)+5)
+INDEX(Scenarios!AG$121:AG$200,MATCH($B197,Scenarios!$B$121:$B$200,0))</f>
        <v>0</v>
      </c>
      <c r="AH197" s="476">
        <f>INDEX(Input!$1:$1048576,AH$93,$C197*2+MIN($B197,2)+5)</f>
        <v>1</v>
      </c>
      <c r="AI197" s="475">
        <f>INDEX(Input!$1:$1048576,AI$93,$C197*2+MIN($B197,2)+5)
+INDEX(Scenarios!AI$121:AI$200,MATCH($B197,Scenarios!$B$121:$B$200,0))</f>
        <v>0</v>
      </c>
      <c r="AJ197" s="476">
        <f>INDEX(Input!$1:$1048576,AJ$93,$C197*2+MIN($B197,2)+5)</f>
        <v>0.35</v>
      </c>
      <c r="AK197" s="150">
        <f>ROUND(INDEX(Input!$1:$1048576,AK$93,$C196*2+MIN($B197,1)+5)+(Y197-VLOOKUP($C197*1000+1,$A:$HH,Y$92,FALSE)),0)</f>
        <v>5482</v>
      </c>
      <c r="AL197" s="150">
        <f>ROUND(INDEX(Input!$1:$1048576,AL$93,$C196*2+MIN($B197,1)+5)-(Y197-VLOOKUP($C197*1000+1,$A:$HH,Y$92,FALSE))/36,0)</f>
        <v>5602</v>
      </c>
      <c r="AM197" s="32" t="str">
        <f t="shared" si="387"/>
        <v>std/std/std/std</v>
      </c>
      <c r="AN197" s="32" t="str">
        <f t="shared" si="388"/>
        <v>$0 + 0/0/0/1.9/3.9</v>
      </c>
      <c r="AO197" s="32" t="str">
        <f t="shared" si="389"/>
        <v>0/0/0/1.9/3.9</v>
      </c>
      <c r="AP197" s="32" t="str">
        <f t="shared" si="493"/>
        <v>0/0.9/1.9/3.9</v>
      </c>
      <c r="AQ197" s="536">
        <f t="shared" si="492"/>
        <v>0</v>
      </c>
      <c r="AR197" s="32"/>
      <c r="AS197" s="302"/>
      <c r="AT197" s="3">
        <f t="shared" si="106"/>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Forte</v>
      </c>
      <c r="BA197" s="3">
        <f>INDEX(Input!$1:$1048576,BA$93,$C197*2+6)</f>
        <v>2020</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19695</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94"/>
        <v>1250</v>
      </c>
      <c r="CJ197" s="16" t="str">
        <f>INDEX(Input!$1:$1048576,CJ$93,$C197*2+6)</f>
        <v>N</v>
      </c>
      <c r="CK197" s="1" t="str">
        <f t="shared" si="495"/>
        <v>Market</v>
      </c>
      <c r="CL197" s="1" t="str">
        <f t="shared" si="496"/>
        <v>Market</v>
      </c>
      <c r="CM197" s="1" t="str">
        <f t="shared" si="497"/>
        <v>Market</v>
      </c>
      <c r="CN197" s="1" t="str">
        <f t="shared" si="498"/>
        <v>Market</v>
      </c>
      <c r="CO197" s="1" t="str">
        <f t="shared" si="499"/>
        <v>Market</v>
      </c>
      <c r="CP197" s="304">
        <f t="shared" si="500"/>
        <v>0</v>
      </c>
      <c r="CQ197" s="1">
        <f t="shared" si="501"/>
        <v>0</v>
      </c>
      <c r="CR197" s="1">
        <f t="shared" si="502"/>
        <v>0</v>
      </c>
      <c r="CS197" s="1">
        <f t="shared" si="503"/>
        <v>0</v>
      </c>
      <c r="CT197" s="1">
        <f t="shared" si="504"/>
        <v>1.9E-2</v>
      </c>
      <c r="CU197" s="1">
        <f t="shared" si="505"/>
        <v>3.9E-2</v>
      </c>
      <c r="CV197" s="304">
        <f t="shared" si="506"/>
        <v>2826</v>
      </c>
      <c r="CW197" s="20" t="s">
        <v>122</v>
      </c>
      <c r="CX197" s="20" t="s">
        <v>122</v>
      </c>
      <c r="CY197" s="20" t="s">
        <v>122</v>
      </c>
      <c r="CZ197" s="20" t="s">
        <v>122</v>
      </c>
      <c r="DA197" s="20" t="s">
        <v>122</v>
      </c>
      <c r="DB197" s="503">
        <f t="shared" si="507"/>
        <v>0</v>
      </c>
      <c r="DC197" s="127">
        <v>0</v>
      </c>
      <c r="DD197" s="127">
        <v>0</v>
      </c>
      <c r="DE197" s="127">
        <v>0</v>
      </c>
      <c r="DF197" s="127">
        <v>0</v>
      </c>
      <c r="DG197" s="127">
        <v>0</v>
      </c>
      <c r="DH197" s="127">
        <v>0</v>
      </c>
      <c r="DI197" s="127">
        <v>0</v>
      </c>
      <c r="DJ197" s="127">
        <v>0</v>
      </c>
      <c r="DK197" s="127">
        <v>0</v>
      </c>
      <c r="DL197" s="127">
        <v>0</v>
      </c>
      <c r="DM197" s="304">
        <f>INDEX(Input!$1:$1048576,DM$93,$C197*2+6)</f>
        <v>20731.578947368424</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386"/>
        <v>1098</v>
      </c>
      <c r="B198" s="561">
        <f t="shared" si="508"/>
        <v>98</v>
      </c>
      <c r="C198" s="561">
        <f t="shared" si="105"/>
        <v>1</v>
      </c>
      <c r="D198" s="561" t="str">
        <f t="shared" si="718"/>
        <v/>
      </c>
      <c r="E198" s="475">
        <f>INDEX(Input!$1:$1048576,E$93,$C198*2+MIN($B198,2)+5)
+INDEX(Scenarios!E$121:E$200,MATCH($B198,Scenarios!$B$121:$B$200,0))</f>
        <v>1250</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1.9E-2</v>
      </c>
      <c r="W198" s="863">
        <f>IFERROR(MAX(0,INDEX(Input!$1:$1048576,W$93,$C198*2+MIN($B198,2)+5)-0%,),"Market")</f>
        <v>3.9E-2</v>
      </c>
      <c r="X198" s="476" t="str">
        <f>INDEX(Input!$1:$1048576,X$93,$C198*2+MIN($B198,2)+5)</f>
        <v>Y</v>
      </c>
      <c r="Y198" s="475">
        <f>INDEX(Input!$1:$1048576,Y$93,$C198*2+MIN($B198,2)+5)
++INDEX(Scenarios!Y$121:Y$200,MATCH($B198,Scenarios!$B$121:$B$200,0))</f>
        <v>2826</v>
      </c>
      <c r="Z198" s="477">
        <f>INDEX(Input!$1:$1048576,Z$93,$C198*2+MIN($B198,2)+5)
+INDEX(Scenarios!Z$121:Z$200,MATCH($B198,Scenarios!$B$121:$B$200,0))</f>
        <v>0</v>
      </c>
      <c r="AA198" s="475">
        <f>INDEX(Input!$1:$1048576,AA$93,$C198*2+MIN($B198,2)+5)</f>
        <v>0</v>
      </c>
      <c r="AB198" s="476">
        <f>INDEX(Input!$1:$1048576,AB$93,$C198*2+MIN($B198,2)+5)</f>
        <v>1</v>
      </c>
      <c r="AC198" s="475">
        <f>INDEX(Input!$1:$1048576,AC$93,$C198*2+MIN($B198,2)+5)
+INDEX(Scenarios!AC$121:AC$200,MATCH($B198,Scenarios!$B$121:$B$200,0))</f>
        <v>0</v>
      </c>
      <c r="AD198" s="476">
        <f>INDEX(Input!$1:$1048576,AD$93,$C198*2+MIN($B198,2)+5)</f>
        <v>0.35</v>
      </c>
      <c r="AE198" s="475">
        <f>INDEX(Input!$1:$1048576,AE$93,$C198*2+MIN($B198,2)+5)
+INDEX(Scenarios!AE$121:AE$200,MATCH($B198,Scenarios!$B$121:$B$200,0))</f>
        <v>0</v>
      </c>
      <c r="AF198" s="476">
        <f>INDEX(Input!$1:$1048576,AF$93,$C198*2+MIN($B198,2)+5)</f>
        <v>1</v>
      </c>
      <c r="AG198" s="475">
        <f>INDEX(Input!$1:$1048576,AG$93,$C198*2+MIN($B198,2)+5)
+INDEX(Scenarios!AG$121:AG$200,MATCH($B198,Scenarios!$B$121:$B$200,0))</f>
        <v>0</v>
      </c>
      <c r="AH198" s="476">
        <f>INDEX(Input!$1:$1048576,AH$93,$C198*2+MIN($B198,2)+5)</f>
        <v>1</v>
      </c>
      <c r="AI198" s="475">
        <f>INDEX(Input!$1:$1048576,AI$93,$C198*2+MIN($B198,2)+5)
+INDEX(Scenarios!AI$121:AI$200,MATCH($B198,Scenarios!$B$121:$B$200,0))</f>
        <v>0</v>
      </c>
      <c r="AJ198" s="476">
        <f>INDEX(Input!$1:$1048576,AJ$93,$C198*2+MIN($B198,2)+5)</f>
        <v>0.35</v>
      </c>
      <c r="AK198" s="150">
        <f>ROUND(INDEX(Input!$1:$1048576,AK$93,$C197*2+MIN($B198,1)+5)+(Y198-VLOOKUP($C198*1000+1,$A:$HH,Y$92,FALSE)),0)</f>
        <v>5482</v>
      </c>
      <c r="AL198" s="150">
        <f>ROUND(INDEX(Input!$1:$1048576,AL$93,$C197*2+MIN($B198,1)+5)-(Y198-VLOOKUP($C198*1000+1,$A:$HH,Y$92,FALSE))/36,0)</f>
        <v>5602</v>
      </c>
      <c r="AM198" s="32" t="str">
        <f t="shared" si="387"/>
        <v>std/std/std/std</v>
      </c>
      <c r="AN198" s="32" t="str">
        <f t="shared" si="388"/>
        <v>$0 + 0/0/0/1.9/3.9</v>
      </c>
      <c r="AO198" s="32" t="str">
        <f t="shared" si="389"/>
        <v>0/0/0/1.9/3.9</v>
      </c>
      <c r="AP198" s="32" t="str">
        <f t="shared" si="493"/>
        <v>0/0.9/1.9/3.9</v>
      </c>
      <c r="AQ198" s="536">
        <f t="shared" si="492"/>
        <v>0</v>
      </c>
      <c r="AR198" s="32"/>
      <c r="AS198" s="302"/>
      <c r="AT198" s="3">
        <f t="shared" si="106"/>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Forte</v>
      </c>
      <c r="BA198" s="3">
        <f>INDEX(Input!$1:$1048576,BA$93,$C198*2+6)</f>
        <v>2020</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19695</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94"/>
        <v>1250</v>
      </c>
      <c r="CJ198" s="16" t="str">
        <f>INDEX(Input!$1:$1048576,CJ$93,$C198*2+6)</f>
        <v>N</v>
      </c>
      <c r="CK198" s="1" t="str">
        <f t="shared" si="495"/>
        <v>Market</v>
      </c>
      <c r="CL198" s="1" t="str">
        <f t="shared" si="496"/>
        <v>Market</v>
      </c>
      <c r="CM198" s="1" t="str">
        <f t="shared" si="497"/>
        <v>Market</v>
      </c>
      <c r="CN198" s="1" t="str">
        <f t="shared" si="498"/>
        <v>Market</v>
      </c>
      <c r="CO198" s="1" t="str">
        <f t="shared" si="499"/>
        <v>Market</v>
      </c>
      <c r="CP198" s="304">
        <f t="shared" si="500"/>
        <v>0</v>
      </c>
      <c r="CQ198" s="1">
        <f t="shared" si="501"/>
        <v>0</v>
      </c>
      <c r="CR198" s="1">
        <f t="shared" si="502"/>
        <v>0</v>
      </c>
      <c r="CS198" s="1">
        <f t="shared" si="503"/>
        <v>0</v>
      </c>
      <c r="CT198" s="1">
        <f t="shared" si="504"/>
        <v>1.9E-2</v>
      </c>
      <c r="CU198" s="1">
        <f t="shared" si="505"/>
        <v>3.9E-2</v>
      </c>
      <c r="CV198" s="304">
        <f t="shared" si="506"/>
        <v>2826</v>
      </c>
      <c r="CW198" s="20" t="s">
        <v>122</v>
      </c>
      <c r="CX198" s="20" t="s">
        <v>122</v>
      </c>
      <c r="CY198" s="20" t="s">
        <v>122</v>
      </c>
      <c r="CZ198" s="20" t="s">
        <v>122</v>
      </c>
      <c r="DA198" s="20" t="s">
        <v>122</v>
      </c>
      <c r="DB198" s="503">
        <f t="shared" si="507"/>
        <v>0</v>
      </c>
      <c r="DC198" s="127">
        <v>0</v>
      </c>
      <c r="DD198" s="127">
        <v>0</v>
      </c>
      <c r="DE198" s="127">
        <v>0</v>
      </c>
      <c r="DF198" s="127">
        <v>0</v>
      </c>
      <c r="DG198" s="127">
        <v>0</v>
      </c>
      <c r="DH198" s="127">
        <v>0</v>
      </c>
      <c r="DI198" s="127">
        <v>0</v>
      </c>
      <c r="DJ198" s="127">
        <v>0</v>
      </c>
      <c r="DK198" s="127">
        <v>0</v>
      </c>
      <c r="DL198" s="127">
        <v>0</v>
      </c>
      <c r="DM198" s="304">
        <f>INDEX(Input!$1:$1048576,DM$93,$C198*2+6)</f>
        <v>20731.578947368424</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ref="A199" si="719">C199*1000+B199</f>
        <v>1099</v>
      </c>
      <c r="B199" s="561">
        <f t="shared" si="508"/>
        <v>99</v>
      </c>
      <c r="C199" s="561">
        <f t="shared" si="105"/>
        <v>1</v>
      </c>
      <c r="D199" s="561" t="str">
        <f t="shared" si="718"/>
        <v/>
      </c>
      <c r="E199" s="475">
        <f>INDEX(Input!$1:$1048576,E$93,$C199*2+MIN($B199,2)+5)
+INDEX(Scenarios!E$121:E$200,MATCH($B199,Scenarios!$B$121:$B$200,0))</f>
        <v>1250</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1.9E-2</v>
      </c>
      <c r="W199" s="863">
        <f>IFERROR(MAX(0,INDEX(Input!$1:$1048576,W$93,$C199*2+MIN($B199,2)+5)-0%,),"Market")</f>
        <v>3.9E-2</v>
      </c>
      <c r="X199" s="476" t="str">
        <f>INDEX(Input!$1:$1048576,X$93,$C199*2+MIN($B199,2)+5)</f>
        <v>Y</v>
      </c>
      <c r="Y199" s="475">
        <f>INDEX(Input!$1:$1048576,Y$93,$C199*2+MIN($B199,2)+5)
++INDEX(Scenarios!Y$121:Y$200,MATCH($B199,Scenarios!$B$121:$B$200,0))</f>
        <v>2826</v>
      </c>
      <c r="Z199" s="477">
        <f>INDEX(Input!$1:$1048576,Z$93,$C199*2+MIN($B199,2)+5)
+INDEX(Scenarios!Z$121:Z$200,MATCH($B199,Scenarios!$B$121:$B$200,0))</f>
        <v>0</v>
      </c>
      <c r="AA199" s="475">
        <f>INDEX(Input!$1:$1048576,AA$93,$C199*2+MIN($B199,2)+5)</f>
        <v>0</v>
      </c>
      <c r="AB199" s="476">
        <f>INDEX(Input!$1:$1048576,AB$93,$C199*2+MIN($B199,2)+5)</f>
        <v>1</v>
      </c>
      <c r="AC199" s="475">
        <f>INDEX(Input!$1:$1048576,AC$93,$C199*2+MIN($B199,2)+5)
+INDEX(Scenarios!AC$121:AC$200,MATCH($B199,Scenarios!$B$121:$B$200,0))</f>
        <v>0</v>
      </c>
      <c r="AD199" s="476">
        <f>INDEX(Input!$1:$1048576,AD$93,$C199*2+MIN($B199,2)+5)</f>
        <v>0.35</v>
      </c>
      <c r="AE199" s="475">
        <f>INDEX(Input!$1:$1048576,AE$93,$C199*2+MIN($B199,2)+5)
+INDEX(Scenarios!AE$121:AE$200,MATCH($B199,Scenarios!$B$121:$B$200,0))</f>
        <v>0</v>
      </c>
      <c r="AF199" s="476">
        <f>INDEX(Input!$1:$1048576,AF$93,$C199*2+MIN($B199,2)+5)</f>
        <v>1</v>
      </c>
      <c r="AG199" s="475">
        <f>INDEX(Input!$1:$1048576,AG$93,$C199*2+MIN($B199,2)+5)
+INDEX(Scenarios!AG$121:AG$200,MATCH($B199,Scenarios!$B$121:$B$200,0))</f>
        <v>0</v>
      </c>
      <c r="AH199" s="476">
        <f>INDEX(Input!$1:$1048576,AH$93,$C199*2+MIN($B199,2)+5)</f>
        <v>1</v>
      </c>
      <c r="AI199" s="475">
        <f>INDEX(Input!$1:$1048576,AI$93,$C199*2+MIN($B199,2)+5)
+INDEX(Scenarios!AI$121:AI$200,MATCH($B199,Scenarios!$B$121:$B$200,0))</f>
        <v>0</v>
      </c>
      <c r="AJ199" s="476">
        <f>INDEX(Input!$1:$1048576,AJ$93,$C199*2+MIN($B199,2)+5)</f>
        <v>0.35</v>
      </c>
      <c r="AK199" s="150">
        <f>ROUND(INDEX(Input!$1:$1048576,AK$93,$C198*2+MIN($B199,1)+5)+(Y199-VLOOKUP($C199*1000+1,$A:$HH,Y$92,FALSE)),0)</f>
        <v>5482</v>
      </c>
      <c r="AL199" s="150">
        <f>ROUND(INDEX(Input!$1:$1048576,AL$93,$C198*2+MIN($B199,1)+5)-(Y199-VLOOKUP($C199*1000+1,$A:$HH,Y$92,FALSE))/36,0)</f>
        <v>5602</v>
      </c>
      <c r="AM199" s="32" t="str">
        <f t="shared" ref="AM199" si="720">IF(K199="market","std",ROUND(K199*1000,0)/10)&amp;"/"&amp;IF(L199="market","std",ROUND(L199*1000,0)/10)&amp;"/"&amp;IF(M199="market","std",ROUND(M199*1000,0)/10)&amp;"/"&amp;IF(N199="market","std",ROUND(N199*1000,0)/10)&amp;IF(P199="N","","/"&amp;IF(O199="market","std",ROUND(O199*1000,0)/10))</f>
        <v>std/std/std/std</v>
      </c>
      <c r="AN199" s="32" t="str">
        <f t="shared" ref="AN199" si="721">"$"&amp;ROUND(Q199,0)&amp;" + "&amp;IF(S199="market","std",ROUND(S199*1000,0)/10)&amp;"/"&amp;IF(T199="market","std",ROUND(T199*1000,0)/10)&amp;"/"&amp;IF(U199="market","std",ROUND(U199*1000,0)/10)&amp;"/"&amp;IF(V199="market","std",ROUND(V199*1000,0)/10)&amp;IF(X199="N","","/"&amp;IF(W199="market","std",ROUND(W199*1000,0)/10))</f>
        <v>$0 + 0/0/0/1.9/3.9</v>
      </c>
      <c r="AO199" s="32" t="str">
        <f t="shared" ref="AO199" si="722">IF(S199="market","std",ROUND(S199*1000,0)/10)&amp;"/"&amp;IF(T199="market","std",ROUND(T199*1000,0)/10)&amp;"/"&amp;IF(U199="market","std",ROUND(U199*1000,0)/10)&amp;"/"&amp;IF(V199="market","std",ROUND(V199*1000,0)/10)&amp;IF(X199="N","","/"&amp;IF(W199="market","std",ROUND(W199*1000,0)/10))</f>
        <v>0/0/0/1.9/3.9</v>
      </c>
      <c r="AP199" s="32" t="str">
        <f t="shared" si="493"/>
        <v>0/0.9/1.9/3.9</v>
      </c>
      <c r="AQ199" s="536">
        <f t="shared" si="492"/>
        <v>0</v>
      </c>
      <c r="AR199" s="32"/>
      <c r="AS199" s="302"/>
      <c r="AT199" s="3">
        <f t="shared" si="106"/>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Forte</v>
      </c>
      <c r="BA199" s="3">
        <f>INDEX(Input!$1:$1048576,BA$93,$C199*2+6)</f>
        <v>2020</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19695</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94"/>
        <v>1250</v>
      </c>
      <c r="CJ199" s="16" t="str">
        <f>INDEX(Input!$1:$1048576,CJ$93,$C199*2+6)</f>
        <v>N</v>
      </c>
      <c r="CK199" s="1" t="str">
        <f t="shared" si="495"/>
        <v>Market</v>
      </c>
      <c r="CL199" s="1" t="str">
        <f t="shared" si="496"/>
        <v>Market</v>
      </c>
      <c r="CM199" s="1" t="str">
        <f t="shared" si="497"/>
        <v>Market</v>
      </c>
      <c r="CN199" s="1" t="str">
        <f t="shared" si="498"/>
        <v>Market</v>
      </c>
      <c r="CO199" s="1" t="str">
        <f t="shared" si="499"/>
        <v>Market</v>
      </c>
      <c r="CP199" s="304">
        <f t="shared" si="500"/>
        <v>0</v>
      </c>
      <c r="CQ199" s="1">
        <f t="shared" si="501"/>
        <v>0</v>
      </c>
      <c r="CR199" s="1">
        <f t="shared" si="502"/>
        <v>0</v>
      </c>
      <c r="CS199" s="1">
        <f t="shared" si="503"/>
        <v>0</v>
      </c>
      <c r="CT199" s="1">
        <f t="shared" si="504"/>
        <v>1.9E-2</v>
      </c>
      <c r="CU199" s="1">
        <f t="shared" si="505"/>
        <v>3.9E-2</v>
      </c>
      <c r="CV199" s="304">
        <f t="shared" si="506"/>
        <v>2826</v>
      </c>
      <c r="CW199" s="20" t="s">
        <v>122</v>
      </c>
      <c r="CX199" s="20" t="s">
        <v>122</v>
      </c>
      <c r="CY199" s="20" t="s">
        <v>122</v>
      </c>
      <c r="CZ199" s="20" t="s">
        <v>122</v>
      </c>
      <c r="DA199" s="20" t="s">
        <v>122</v>
      </c>
      <c r="DB199" s="503">
        <f t="shared" si="507"/>
        <v>0</v>
      </c>
      <c r="DC199" s="127">
        <v>0</v>
      </c>
      <c r="DD199" s="127">
        <v>0</v>
      </c>
      <c r="DE199" s="127">
        <v>0</v>
      </c>
      <c r="DF199" s="127">
        <v>0</v>
      </c>
      <c r="DG199" s="127">
        <v>0</v>
      </c>
      <c r="DH199" s="127">
        <v>0</v>
      </c>
      <c r="DI199" s="127">
        <v>0</v>
      </c>
      <c r="DJ199" s="127">
        <v>0</v>
      </c>
      <c r="DK199" s="127">
        <v>0</v>
      </c>
      <c r="DL199" s="127">
        <v>0</v>
      </c>
      <c r="DM199" s="304">
        <f>INDEX(Input!$1:$1048576,DM$93,$C199*2+6)</f>
        <v>20731.578947368424</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ref="A200" si="723">C200*1000+B200</f>
        <v>1100</v>
      </c>
      <c r="B200" s="561">
        <f t="shared" si="508"/>
        <v>100</v>
      </c>
      <c r="C200" s="561">
        <f t="shared" si="105"/>
        <v>1</v>
      </c>
      <c r="D200" s="561" t="str">
        <f t="shared" si="718"/>
        <v/>
      </c>
      <c r="E200" s="475">
        <f>INDEX(Input!$1:$1048576,E$93,$C200*2+MIN($B200,2)+5)
+INDEX(Scenarios!E$121:E$200,MATCH($B200,Scenarios!$B$121:$B$200,0))</f>
        <v>1250</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1.9E-2</v>
      </c>
      <c r="W200" s="863">
        <f>IFERROR(MAX(0,INDEX(Input!$1:$1048576,W$93,$C200*2+MIN($B200,2)+5)-0%,),"Market")</f>
        <v>3.9E-2</v>
      </c>
      <c r="X200" s="476" t="str">
        <f>INDEX(Input!$1:$1048576,X$93,$C200*2+MIN($B200,2)+5)</f>
        <v>Y</v>
      </c>
      <c r="Y200" s="475">
        <f>INDEX(Input!$1:$1048576,Y$93,$C200*2+MIN($B200,2)+5)
++INDEX(Scenarios!Y$121:Y$200,MATCH($B200,Scenarios!$B$121:$B$200,0))</f>
        <v>2826</v>
      </c>
      <c r="Z200" s="477">
        <f>INDEX(Input!$1:$1048576,Z$93,$C200*2+MIN($B200,2)+5)
+INDEX(Scenarios!Z$121:Z$200,MATCH($B200,Scenarios!$B$121:$B$200,0))</f>
        <v>0</v>
      </c>
      <c r="AA200" s="475">
        <f>INDEX(Input!$1:$1048576,AA$93,$C200*2+MIN($B200,2)+5)</f>
        <v>0</v>
      </c>
      <c r="AB200" s="476">
        <f>INDEX(Input!$1:$1048576,AB$93,$C200*2+MIN($B200,2)+5)</f>
        <v>1</v>
      </c>
      <c r="AC200" s="475">
        <f>INDEX(Input!$1:$1048576,AC$93,$C200*2+MIN($B200,2)+5)
+INDEX(Scenarios!AC$121:AC$200,MATCH($B200,Scenarios!$B$121:$B$200,0))</f>
        <v>0</v>
      </c>
      <c r="AD200" s="476">
        <f>INDEX(Input!$1:$1048576,AD$93,$C200*2+MIN($B200,2)+5)</f>
        <v>0.35</v>
      </c>
      <c r="AE200" s="475">
        <f>INDEX(Input!$1:$1048576,AE$93,$C200*2+MIN($B200,2)+5)
+INDEX(Scenarios!AE$121:AE$200,MATCH($B200,Scenarios!$B$121:$B$200,0))</f>
        <v>0</v>
      </c>
      <c r="AF200" s="476">
        <f>INDEX(Input!$1:$1048576,AF$93,$C200*2+MIN($B200,2)+5)</f>
        <v>1</v>
      </c>
      <c r="AG200" s="475">
        <f>INDEX(Input!$1:$1048576,AG$93,$C200*2+MIN($B200,2)+5)
+INDEX(Scenarios!AG$121:AG$200,MATCH($B200,Scenarios!$B$121:$B$200,0))</f>
        <v>0</v>
      </c>
      <c r="AH200" s="476">
        <f>INDEX(Input!$1:$1048576,AH$93,$C200*2+MIN($B200,2)+5)</f>
        <v>1</v>
      </c>
      <c r="AI200" s="475">
        <f>INDEX(Input!$1:$1048576,AI$93,$C200*2+MIN($B200,2)+5)
+INDEX(Scenarios!AI$121:AI$200,MATCH($B200,Scenarios!$B$121:$B$200,0))</f>
        <v>0</v>
      </c>
      <c r="AJ200" s="476">
        <f>INDEX(Input!$1:$1048576,AJ$93,$C200*2+MIN($B200,2)+5)</f>
        <v>0.35</v>
      </c>
      <c r="AK200" s="150">
        <f>ROUND(INDEX(Input!$1:$1048576,AK$93,$C199*2+MIN($B200,1)+5)+(Y200-VLOOKUP($C200*1000+1,$A:$HH,Y$92,FALSE)),0)</f>
        <v>5482</v>
      </c>
      <c r="AL200" s="150">
        <f>ROUND(INDEX(Input!$1:$1048576,AL$93,$C199*2+MIN($B200,1)+5)-(Y200-VLOOKUP($C200*1000+1,$A:$HH,Y$92,FALSE))/36,0)</f>
        <v>5602</v>
      </c>
      <c r="AM200" s="32" t="str">
        <f t="shared" ref="AM200" si="724">IF(K200="market","std",ROUND(K200*1000,0)/10)&amp;"/"&amp;IF(L200="market","std",ROUND(L200*1000,0)/10)&amp;"/"&amp;IF(M200="market","std",ROUND(M200*1000,0)/10)&amp;"/"&amp;IF(N200="market","std",ROUND(N200*1000,0)/10)&amp;IF(P200="N","","/"&amp;IF(O200="market","std",ROUND(O200*1000,0)/10))</f>
        <v>std/std/std/std</v>
      </c>
      <c r="AN200" s="32" t="str">
        <f t="shared" ref="AN200" si="725">"$"&amp;ROUND(Q200,0)&amp;" + "&amp;IF(S200="market","std",ROUND(S200*1000,0)/10)&amp;"/"&amp;IF(T200="market","std",ROUND(T200*1000,0)/10)&amp;"/"&amp;IF(U200="market","std",ROUND(U200*1000,0)/10)&amp;"/"&amp;IF(V200="market","std",ROUND(V200*1000,0)/10)&amp;IF(X200="N","","/"&amp;IF(W200="market","std",ROUND(W200*1000,0)/10))</f>
        <v>$0 + 0/0/0/1.9/3.9</v>
      </c>
      <c r="AO200" s="32" t="str">
        <f t="shared" ref="AO200" si="726">IF(S200="market","std",ROUND(S200*1000,0)/10)&amp;"/"&amp;IF(T200="market","std",ROUND(T200*1000,0)/10)&amp;"/"&amp;IF(U200="market","std",ROUND(U200*1000,0)/10)&amp;"/"&amp;IF(V200="market","std",ROUND(V200*1000,0)/10)&amp;IF(X200="N","","/"&amp;IF(W200="market","std",ROUND(W200*1000,0)/10))</f>
        <v>0/0/0/1.9/3.9</v>
      </c>
      <c r="AP200" s="32" t="str">
        <f t="shared" si="493"/>
        <v>0/0.9/1.9/3.9</v>
      </c>
      <c r="AQ200" s="536">
        <f t="shared" si="492"/>
        <v>0</v>
      </c>
      <c r="AR200" s="32"/>
      <c r="AS200" s="302"/>
      <c r="AT200" s="3">
        <f t="shared" si="106"/>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Forte</v>
      </c>
      <c r="BA200" s="3">
        <f>INDEX(Input!$1:$1048576,BA$93,$C200*2+6)</f>
        <v>2020</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19695</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94"/>
        <v>1250</v>
      </c>
      <c r="CJ200" s="16" t="str">
        <f>INDEX(Input!$1:$1048576,CJ$93,$C200*2+6)</f>
        <v>N</v>
      </c>
      <c r="CK200" s="1" t="str">
        <f t="shared" si="495"/>
        <v>Market</v>
      </c>
      <c r="CL200" s="1" t="str">
        <f t="shared" si="496"/>
        <v>Market</v>
      </c>
      <c r="CM200" s="1" t="str">
        <f t="shared" si="497"/>
        <v>Market</v>
      </c>
      <c r="CN200" s="1" t="str">
        <f t="shared" si="498"/>
        <v>Market</v>
      </c>
      <c r="CO200" s="1" t="str">
        <f t="shared" si="499"/>
        <v>Market</v>
      </c>
      <c r="CP200" s="304">
        <f t="shared" si="500"/>
        <v>0</v>
      </c>
      <c r="CQ200" s="1">
        <f t="shared" si="501"/>
        <v>0</v>
      </c>
      <c r="CR200" s="1">
        <f t="shared" si="502"/>
        <v>0</v>
      </c>
      <c r="CS200" s="1">
        <f t="shared" si="503"/>
        <v>0</v>
      </c>
      <c r="CT200" s="1">
        <f t="shared" si="504"/>
        <v>1.9E-2</v>
      </c>
      <c r="CU200" s="1">
        <f t="shared" si="505"/>
        <v>3.9E-2</v>
      </c>
      <c r="CV200" s="304">
        <f t="shared" si="506"/>
        <v>2826</v>
      </c>
      <c r="CW200" s="20" t="s">
        <v>122</v>
      </c>
      <c r="CX200" s="20" t="s">
        <v>122</v>
      </c>
      <c r="CY200" s="20" t="s">
        <v>122</v>
      </c>
      <c r="CZ200" s="20" t="s">
        <v>122</v>
      </c>
      <c r="DA200" s="20" t="s">
        <v>122</v>
      </c>
      <c r="DB200" s="503">
        <f t="shared" si="507"/>
        <v>0</v>
      </c>
      <c r="DC200" s="127">
        <v>0</v>
      </c>
      <c r="DD200" s="127">
        <v>0</v>
      </c>
      <c r="DE200" s="127">
        <v>0</v>
      </c>
      <c r="DF200" s="127">
        <v>0</v>
      </c>
      <c r="DG200" s="127">
        <v>0</v>
      </c>
      <c r="DH200" s="127">
        <v>0</v>
      </c>
      <c r="DI200" s="127">
        <v>0</v>
      </c>
      <c r="DJ200" s="127">
        <v>0</v>
      </c>
      <c r="DK200" s="127">
        <v>0</v>
      </c>
      <c r="DL200" s="127">
        <v>0</v>
      </c>
      <c r="DM200" s="304">
        <f>INDEX(Input!$1:$1048576,DM$93,$C200*2+6)</f>
        <v>20731.578947368424</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750</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1.9E-2</v>
      </c>
      <c r="W201" s="22">
        <f>INDEX(Input!$1:$1048576,W$93,$C201*2+MIN($B201,1)+5)</f>
        <v>3.9E-2</v>
      </c>
      <c r="X201" s="367" t="str">
        <f>INDEX(Input!$1:$1048576,X$93,$C201*2+MIN($B201,1)+5)</f>
        <v>Y</v>
      </c>
      <c r="Y201" s="49">
        <f>INDEX(Input!$1:$1048576,Y$93,$C201*2+MIN($B201,1)+5)</f>
        <v>1475</v>
      </c>
      <c r="Z201" s="584">
        <f>INDEX(Input!$1:$1048576,Z$93,$C201*2+MIN($B201,1)+5)</f>
        <v>0</v>
      </c>
      <c r="AA201" s="49">
        <f>INDEX(Input!$1:$1048576,AA$93,$C201*2+MIN($B201,1)+5)</f>
        <v>0</v>
      </c>
      <c r="AB201" s="367">
        <f>INDEX(Input!$1:$1048576,AB$93,$C201*2+MIN($B201,1)+5)</f>
        <v>1</v>
      </c>
      <c r="AC201" s="49">
        <f>INDEX(Input!$1:$1048576,AC$93,$C201*2+MIN($B201,1)+5)</f>
        <v>1000</v>
      </c>
      <c r="AD201" s="367">
        <f>INDEX(Input!$1:$1048576,AD$93,$C201*2+MIN($B201,1)+5)</f>
        <v>0.35</v>
      </c>
      <c r="AE201" s="49">
        <f>INDEX(Input!$1:$1048576,AE$93,$C201*2+MIN($B201,1)+5)</f>
        <v>0</v>
      </c>
      <c r="AF201" s="367">
        <f>INDEX(Input!$1:$1048576,AF$93,$C201*2+MIN($B201,1)+5)</f>
        <v>1</v>
      </c>
      <c r="AG201" s="49">
        <f>INDEX(Input!$1:$1048576,AG$93,$C201*2+MIN($B201,1)+5)</f>
        <v>500</v>
      </c>
      <c r="AH201" s="367">
        <f>INDEX(Input!$1:$1048576,AH$93,$C201*2+MIN($B201,1)+5)</f>
        <v>1</v>
      </c>
      <c r="AI201" s="49">
        <f>INDEX(Input!$1:$1048576,AI$93,$C201*2+MIN($B201,1)+5)</f>
        <v>500</v>
      </c>
      <c r="AJ201" s="367">
        <f>INDEX(Input!$1:$1048576,AJ$93,$C201*2+MIN($B201,1)+5)</f>
        <v>0.35</v>
      </c>
      <c r="AK201" s="298">
        <f>ROUND(INDEX(Input!$1:$1048576,AK$93,$C201*2+MIN($B201,1)+5),0)</f>
        <v>5099</v>
      </c>
      <c r="AL201" s="49">
        <f>ROUND(INDEX(Input!$1:$1048576,AL$93,$C201*2+MIN($B201,1)+5),0)</f>
        <v>5099</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+ 0/0/0/1.9/3.9</v>
      </c>
      <c r="AO201" s="44" t="str">
        <f>IF(S201="market","std",ROUND(S201*1000,0)/10)&amp;"/"&amp;IF(T201="market","std",ROUND(T201*1000,0)/10)&amp;"/"&amp;IF(U201="market","std",ROUND(U201*1000,0)/10)&amp;"/"&amp;IF(V201="market","std",ROUND(V201*1000,0)/10)&amp;IF(X201="N","","/"&amp;IF(W201="market","std",ROUND(W201*1000,0)/10))</f>
        <v>0/0/0/1.9/3.9</v>
      </c>
      <c r="AP201" s="44" t="str">
        <f t="shared" si="493"/>
        <v>0/0.9/1.9/3.9</v>
      </c>
      <c r="AQ201" s="507">
        <f t="shared" si="492"/>
        <v>850.34665833853842</v>
      </c>
      <c r="AR201" s="44"/>
      <c r="AS201" s="368"/>
      <c r="AT201" s="579">
        <v>1</v>
      </c>
      <c r="AU201" s="45" t="s">
        <v>121</v>
      </c>
      <c r="AV201" s="45" t="s">
        <v>116</v>
      </c>
      <c r="AW201" s="45" t="str">
        <f>INDEX(Input!$1:$1048576,AW$93,$C201*2+6)</f>
        <v>Kia</v>
      </c>
      <c r="AX201" s="45" t="str">
        <f>INDEX(Input!$1:$1048576,AX$93,$C201*2+6)</f>
        <v>Kia-LR - L2</v>
      </c>
      <c r="AY201" s="10" t="str">
        <f>IF(LEN(D201)=0,"",INDEX(Input!$1:$1048576,AY$93,$C201*2+6))</f>
        <v>Compact Conventional/Sporty Car (43)</v>
      </c>
      <c r="AZ201" s="45" t="str">
        <f>INDEX(Input!$1:$1048576,AZ$93,$C201*2+6)</f>
        <v>Kia Forte</v>
      </c>
      <c r="BA201" s="50">
        <f>INDEX(Input!$1:$1048576,BA$93,$C201*2+6)</f>
        <v>2020</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19695</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94"/>
        <v>1100</v>
      </c>
      <c r="CJ201" s="46" t="str">
        <f>INDEX(Input!$1:$1048576,CJ$93,$C201*2+6)</f>
        <v>N</v>
      </c>
      <c r="CK201" s="38" t="str">
        <f t="shared" si="495"/>
        <v>Market</v>
      </c>
      <c r="CL201" s="38" t="str">
        <f t="shared" si="496"/>
        <v>Market</v>
      </c>
      <c r="CM201" s="38" t="str">
        <f t="shared" si="497"/>
        <v>Market</v>
      </c>
      <c r="CN201" s="38" t="str">
        <f t="shared" si="498"/>
        <v>Market</v>
      </c>
      <c r="CO201" s="38" t="str">
        <f t="shared" si="499"/>
        <v>Market</v>
      </c>
      <c r="CP201" s="49">
        <f t="shared" si="500"/>
        <v>350</v>
      </c>
      <c r="CQ201" s="38">
        <f t="shared" si="501"/>
        <v>0</v>
      </c>
      <c r="CR201" s="38">
        <f t="shared" si="502"/>
        <v>0</v>
      </c>
      <c r="CS201" s="38">
        <f t="shared" si="503"/>
        <v>0</v>
      </c>
      <c r="CT201" s="38">
        <f t="shared" si="504"/>
        <v>1.9E-2</v>
      </c>
      <c r="CU201" s="38">
        <f t="shared" si="505"/>
        <v>3.9E-2</v>
      </c>
      <c r="CV201" s="49">
        <f t="shared" si="506"/>
        <v>1650</v>
      </c>
      <c r="CW201" s="22" t="s">
        <v>122</v>
      </c>
      <c r="CX201" s="22" t="s">
        <v>122</v>
      </c>
      <c r="CY201" s="22" t="s">
        <v>122</v>
      </c>
      <c r="CZ201" s="22" t="s">
        <v>122</v>
      </c>
      <c r="DA201" s="22" t="s">
        <v>122</v>
      </c>
      <c r="DB201" s="502">
        <f t="shared" si="507"/>
        <v>500</v>
      </c>
      <c r="DC201" s="29">
        <v>0</v>
      </c>
      <c r="DD201" s="29">
        <v>0</v>
      </c>
      <c r="DE201" s="29">
        <v>0</v>
      </c>
      <c r="DF201" s="49">
        <v>0</v>
      </c>
      <c r="DG201" s="49">
        <v>0</v>
      </c>
      <c r="DH201" s="49">
        <v>0</v>
      </c>
      <c r="DI201" s="49">
        <v>0</v>
      </c>
      <c r="DJ201" s="49">
        <v>0</v>
      </c>
      <c r="DK201" s="29">
        <v>0</v>
      </c>
      <c r="DL201" s="29">
        <v>0</v>
      </c>
      <c r="DM201" s="49">
        <f>INDEX(Input!$1:$1048576,DM$93,$C201*2+6)</f>
        <v>20731.578947368424</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2.7766768968971511E-2</v>
      </c>
      <c r="DZ201" s="37">
        <v>0</v>
      </c>
      <c r="EA201" s="37">
        <v>0.5701116446215776</v>
      </c>
      <c r="EB201" s="37">
        <v>0</v>
      </c>
      <c r="EC201" s="37">
        <v>0</v>
      </c>
      <c r="ED201" s="37">
        <v>0</v>
      </c>
      <c r="EE201" s="37">
        <v>0</v>
      </c>
      <c r="EF201" s="37">
        <v>0</v>
      </c>
      <c r="EG201" s="37">
        <v>0</v>
      </c>
      <c r="EH201" s="37">
        <v>1.6188417980989682E-2</v>
      </c>
      <c r="EI201" s="37">
        <v>2.6434569913112313E-2</v>
      </c>
      <c r="EJ201" s="37">
        <v>0.26566993929405081</v>
      </c>
      <c r="EK201" s="37">
        <v>0.64374678753779968</v>
      </c>
      <c r="EL201" s="37">
        <v>4.7960285274047339E-2</v>
      </c>
      <c r="EM201" s="37">
        <v>3.6516195245269008E-2</v>
      </c>
      <c r="EN201" s="37">
        <v>4.8990560304565667E-2</v>
      </c>
      <c r="EO201" s="37">
        <v>0.56260462806118994</v>
      </c>
      <c r="EP201" s="37">
        <v>0.28443428241315</v>
      </c>
      <c r="EQ201" s="37">
        <v>6.478185054293413E-2</v>
      </c>
      <c r="ER201" s="37">
        <v>3.9188678678160477E-2</v>
      </c>
      <c r="ES201" s="37">
        <v>0.36560539116418195</v>
      </c>
      <c r="ET201" s="37">
        <v>0.40212158640945089</v>
      </c>
      <c r="EU201" s="36">
        <v>1200</v>
      </c>
      <c r="EV201" s="36">
        <v>0</v>
      </c>
      <c r="EW201" s="36">
        <v>1200</v>
      </c>
      <c r="EX201" s="36">
        <v>0</v>
      </c>
      <c r="EY201" s="36">
        <v>2226.7968732767699</v>
      </c>
      <c r="EZ201" s="36">
        <v>1786</v>
      </c>
      <c r="FA201" s="36">
        <v>0</v>
      </c>
      <c r="FB201" s="36">
        <v>0</v>
      </c>
      <c r="FC201" s="36">
        <v>0</v>
      </c>
      <c r="FD201" s="36">
        <v>0</v>
      </c>
      <c r="FE201" s="36">
        <v>0</v>
      </c>
      <c r="FF201" s="36">
        <v>0</v>
      </c>
      <c r="FG201" s="36">
        <v>0</v>
      </c>
      <c r="FH201" s="36">
        <v>1154.7857626528219</v>
      </c>
      <c r="FI201" s="36">
        <v>1531.4299904380621</v>
      </c>
      <c r="FJ201" s="36">
        <v>2070.7205842538224</v>
      </c>
      <c r="FK201" s="36">
        <v>1746.9903521590438</v>
      </c>
      <c r="FL201" s="36">
        <v>893.91433563489329</v>
      </c>
      <c r="FM201" s="36">
        <v>1776.7968732767699</v>
      </c>
      <c r="FN201" s="36">
        <v>0</v>
      </c>
      <c r="FO201" s="36">
        <v>0</v>
      </c>
      <c r="FP201" s="36">
        <v>0</v>
      </c>
      <c r="FQ201" s="36">
        <v>0</v>
      </c>
      <c r="FR201" s="36">
        <v>0</v>
      </c>
      <c r="FS201" s="36">
        <v>0</v>
      </c>
      <c r="FT201" s="37">
        <v>0.59787841359054905</v>
      </c>
      <c r="FU201" s="37">
        <v>3.6516195245269008E-2</v>
      </c>
      <c r="FV201" s="37">
        <v>0.36560539116418195</v>
      </c>
      <c r="FW201" s="36">
        <v>1200</v>
      </c>
      <c r="FX201" s="36">
        <v>2226.7968732767699</v>
      </c>
      <c r="FY201" s="36">
        <v>1786</v>
      </c>
      <c r="FZ201" s="36">
        <v>2594.6978186474794</v>
      </c>
      <c r="GA201" s="36">
        <v>1451.739474324017</v>
      </c>
      <c r="GB201" s="36">
        <v>18243.260525675982</v>
      </c>
      <c r="GC201" s="37">
        <v>9.6947029492584935E-2</v>
      </c>
      <c r="GD201" s="37">
        <v>8.5237567437015646E-2</v>
      </c>
      <c r="GE201" s="37"/>
      <c r="GF201" s="37"/>
      <c r="GG201" s="37">
        <v>-0.12078206126434123</v>
      </c>
      <c r="GH201" s="35">
        <v>2.0812680605689584</v>
      </c>
      <c r="GI201" s="36">
        <v>10914.720419996125</v>
      </c>
      <c r="GJ201" s="34">
        <v>0.5107463060103955</v>
      </c>
      <c r="GK201" s="34">
        <v>0.50829519786160982</v>
      </c>
      <c r="GL201" s="34">
        <v>0.48925369398960444</v>
      </c>
      <c r="GM201" s="33">
        <v>0.49170480213839013</v>
      </c>
      <c r="GN201" s="61"/>
      <c r="GO201" s="13">
        <v>338.16872463277008</v>
      </c>
      <c r="GP201" s="27">
        <v>315.27501390194027</v>
      </c>
      <c r="GQ201" s="27">
        <v>527.27910984145694</v>
      </c>
      <c r="GR201" s="27">
        <v>404.20319246551543</v>
      </c>
      <c r="GS201" s="27">
        <v>334.50205195691484</v>
      </c>
      <c r="GT201" s="27">
        <v>289.18266033348181</v>
      </c>
      <c r="GU201" s="27">
        <v>254.29573314828914</v>
      </c>
      <c r="GV201" s="29" t="s">
        <v>392</v>
      </c>
      <c r="GW201" s="27">
        <v>479.875</v>
      </c>
      <c r="GX201" s="27">
        <v>359.90625</v>
      </c>
      <c r="GY201" s="27">
        <v>287.92500000000001</v>
      </c>
      <c r="GZ201" s="27">
        <v>254.06342861438094</v>
      </c>
      <c r="HA201" s="27">
        <v>235.34107974463748</v>
      </c>
      <c r="HB201" s="29">
        <v>268.61494260026006</v>
      </c>
      <c r="HC201" s="27">
        <v>204.97812499999995</v>
      </c>
      <c r="HD201" s="27">
        <v>182.99365862573094</v>
      </c>
      <c r="HE201" s="27">
        <v>187.95057776653167</v>
      </c>
      <c r="HF201" s="27">
        <v>176.40192434210525</v>
      </c>
      <c r="HG201" s="27">
        <v>173.34326754385964</v>
      </c>
      <c r="HH201" s="12">
        <v>184.67539686979035</v>
      </c>
      <c r="HI201" s="94"/>
      <c r="HJ201" s="335" t="s">
        <v>353</v>
      </c>
      <c r="HK201" s="335" t="s">
        <v>353</v>
      </c>
      <c r="HL201" s="94"/>
      <c r="HM201" s="640">
        <f t="shared" ref="HM201:HM261" si="727">VLOOKUP($C201*1000+1,$A:$HH,FT$92,FALSE)*$JF201</f>
        <v>5.0961701597560354E-2</v>
      </c>
      <c r="HN201" s="22">
        <f t="shared" ref="HN201:HN261" si="728">VLOOKUP($C201*1000+1,$A:$HH,FU$92,FALSE)*$JF201</f>
        <v>3.112551654761847E-3</v>
      </c>
      <c r="HO201" s="638">
        <f t="shared" ref="HO201:HO261" si="729">VLOOKUP($C201*1000+1,$A:$HH,FV$92,FALSE)*$JF201</f>
        <v>3.1163314184693442E-2</v>
      </c>
      <c r="HP201" s="649">
        <f>(FT201*$GD201-HM201)/$JF201*INDEX(Input!$1:$1048576,$JG$93,$C201*2+6)</f>
        <v>0</v>
      </c>
      <c r="HQ201" s="650">
        <f>(FU201*$GD201-HN201)/$JF201*INDEX(Input!$1:$1048576,$JG$93,$C201*2+6)</f>
        <v>0</v>
      </c>
      <c r="HR201" s="651">
        <f>(FV201*$GD201-HO201)/$JF201*INDEX(Input!$1:$1048576,$JG$93,$C201*2+6)</f>
        <v>0</v>
      </c>
      <c r="HS201" s="650">
        <f t="shared" ref="HS201:HS202" si="730">IF(AND(HJ201="On",HK201="On"),IL201/1000*INDEX(KG:KG,MATCH(C201*1000+3,$KF:$KF,0))*SUM(HY201:IA201)*1.1
+INDEX(HR:HR,MATCH(C201*1000+4,$KF:$KF,0))/INDEX(IM:IM,MATCH(C201*1000+4,$KF:$KF,0))*IM201*20%,0)</f>
        <v>0</v>
      </c>
      <c r="HT201" s="650">
        <f t="shared" ref="HT201:HT261" si="731">IF(AND(HJ201="On",HK201="On"),IM201/1000*INDEX(KG:KG,MATCH(C201*1000+4,$KF:$KF,0))*SUM(HY201:IA201)*1.1
+INDEX(HR:HR,MATCH(C201*1000+3,$KF:$KF,0))/INDEX(IL:IL,MATCH(C201*1000+3,$KF:$KF,0))*IL201*20%,0)</f>
        <v>0</v>
      </c>
      <c r="HU201" s="651">
        <f t="shared" ref="HU201:HU261" si="732">IF(HJ201="On",IN201/1000*INDEX(KG:KG,MATCH(C201*1000+5,$KF:$KF,0))*SUM(HY201:IA201)*1.1
-INDEX(HR:HR,MATCH(C201*1000+3,$KF:$KF,0))/INDEX(IL:IL,MATCH(C201*1000+3,$KF:$KF,0))*IL201*20%
-INDEX(HR:HR,MATCH(C201*1000+4,$KF:$KF,0))/INDEX(IM:IM,MATCH(C201*1000+4,$KF:$KF,0))*IM201*20%,0)</f>
        <v>0</v>
      </c>
      <c r="HV201" s="649">
        <f t="shared" ref="HV201:HV261" si="733">IL201/1000*0+IM201/1000*0+IN201/1000*0
+(CP201-INDEX(CP:CP,MATCH(C201*1000+1,A:A,0)))/1000*0+IF(FU201&gt;0,0,0)</f>
        <v>0</v>
      </c>
      <c r="HW201" s="650">
        <f t="shared" ref="HW201:HW261" si="734">IL201/1000*0+IM201/1000*0+IN201/1000*0
+(CP201-INDEX(CP:CP,MATCH(C201*1000+1,A:A,0)))/1000*0+IF(FU201&gt;0,0,0)</f>
        <v>0</v>
      </c>
      <c r="HX201" s="651">
        <f t="shared" ref="HX201:HX261" si="735">IL201/1000*0+IM201/1000*0+IN201/1000*0
+(CP201-INDEX(CP:CP,MATCH(C201*1000+1,A:A,0)))/1000*0+IF(FU201&gt;0,0,0)</f>
        <v>0</v>
      </c>
      <c r="HY201" s="641">
        <f>INDEX(Input!$1:$1048576,HY$93,$C201*2+6)*INDEX(Input!$1:$1048576,$JG$93,$C201*2+6)</f>
        <v>555</v>
      </c>
      <c r="HZ201" s="641">
        <f>INDEX(Input!$1:$1048576,HZ$93,$C201*2+6)*INDEX(Input!$1:$1048576,$JG$93,$C201*2+6)</f>
        <v>480</v>
      </c>
      <c r="IA201" s="642">
        <f>INDEX(Input!$1:$1048576,IA$93,$C201*2+6)*INDEX(Input!$1:$1048576,$JG$93,$C201*2+6)</f>
        <v>566</v>
      </c>
      <c r="IB201" s="649">
        <f>SUM(HP201:IA201)-IC201-ID201</f>
        <v>555</v>
      </c>
      <c r="IC201" s="650">
        <f>IF(FU201=0,0,1)*MAX(HZ201+HQ201+HT201+HW201,0%)</f>
        <v>480</v>
      </c>
      <c r="ID201" s="651">
        <f>IF(AND(INDEX(Input!$1:$1048576,IA$93,$C201*2+7)="TOS",Y201&lt;=INDEX(Y:Y,MATCH(C201*1000+2,A:A))),0,1)*MAX(IA201+HR201+HU201+HX201,0%)</f>
        <v>566</v>
      </c>
      <c r="IE201" s="129">
        <f>IB201/SUM($IB201:$ID201)</f>
        <v>0.34665833853841349</v>
      </c>
      <c r="IF201" s="652">
        <f t="shared" ref="IF201:IF261" si="736">IC201/SUM($IB201:$ID201)</f>
        <v>0.29981261711430357</v>
      </c>
      <c r="IG201" s="653">
        <f t="shared" ref="IG201:IG261" si="737">ID201/SUM($IB201:$ID201)</f>
        <v>0.35352904434728294</v>
      </c>
      <c r="IH201" s="95"/>
      <c r="II201" s="298">
        <f t="shared" ref="II201:II261" si="738">VLOOKUP($C201*1000+1,$A:$HH,FW$92,FALSE)-VLOOKUP($C201*1000+1,$A:$HH,FA$92,FALSE)*VLOOKUP($C201*1000+1,$A:$HH,DZ$92,FALSE)/VLOOKUP($C201*1000+1,$A:$HH,FT$92,FALSE)</f>
        <v>1200</v>
      </c>
      <c r="IJ201" s="49">
        <f t="shared" ref="IJ201:IJ261" si="739">VLOOKUP($C201*1000+1,$A:$HH,FX$92,FALSE)</f>
        <v>2226.7968732767699</v>
      </c>
      <c r="IK201" s="40">
        <f t="shared" ref="IK201:IK261" si="740">VLOOKUP($C201*1000+1,$A:$HH,FY$92,FALSE)</f>
        <v>1786</v>
      </c>
      <c r="IL201" s="298">
        <f>(FW201-FA201*DZ201/FT201)-II201</f>
        <v>0</v>
      </c>
      <c r="IM201" s="49">
        <f t="shared" ref="IM201:IM261" si="741">FX201-IJ201</f>
        <v>0</v>
      </c>
      <c r="IN201" s="40">
        <f t="shared" ref="IN201:IN261" si="742">FY201-IK201</f>
        <v>0</v>
      </c>
      <c r="IO201" s="25">
        <f t="shared" ref="IO201:IO261" si="743">(F201-VLOOKUP($C201*1000+1,$A:$HH,F$92,FALSE))*(1-$I201)</f>
        <v>0</v>
      </c>
      <c r="IP201" s="29">
        <f t="shared" ref="IP201:IP261" si="744">(G201-VLOOKUP($C201*1000+1,$A:$HH,G$92,FALSE))*(1-$I201)</f>
        <v>0</v>
      </c>
      <c r="IQ201" s="29">
        <f t="shared" ref="IQ201:IQ261" si="745">(H201-VLOOKUP($C201*1000+1,$A:$HH,H$92,FALSE))*(1-$I201)</f>
        <v>0</v>
      </c>
      <c r="IR201" s="17">
        <v>0</v>
      </c>
      <c r="IS201" s="29">
        <v>0</v>
      </c>
      <c r="IT201" s="12">
        <v>0</v>
      </c>
      <c r="IU201" s="25">
        <v>0</v>
      </c>
      <c r="IV201" s="29">
        <v>0</v>
      </c>
      <c r="IW201" s="12">
        <v>0</v>
      </c>
      <c r="IX201" s="372">
        <f>INDEX(Input!$1:$1048576,IX$93,$C201*2+6)+INDEX(Input!$1:$1048576,IX$94,$C201*2+6)</f>
        <v>1600</v>
      </c>
      <c r="IY201" s="373">
        <f>INDEX(Input!$1:$1048576,IY$93,$C201*2+6)+INDEX(Input!$1:$1048576,IY$94,$C201*2+6)</f>
        <v>2503.5492916397525</v>
      </c>
      <c r="IZ201" s="374">
        <f>INDEX(Input!$1:$1048576,IZ$93,$C201*2+6)+INDEX(Input!$1:$1048576,IZ$94,$C201*2+6)</f>
        <v>5773.7109265464023</v>
      </c>
      <c r="JA201" s="298">
        <f>(IL201+IO201+IR201+IU201+IX201)</f>
        <v>1600</v>
      </c>
      <c r="JB201" s="49">
        <f>(IM201+IP201+IS201+IV201+IY201)</f>
        <v>2503.5492916397525</v>
      </c>
      <c r="JC201" s="49">
        <f>(IN201+IQ201+IT201+IW201+IZ201)</f>
        <v>5773.7109265464023</v>
      </c>
      <c r="JD201" s="40">
        <f>SUMPRODUCT(IE201:IG201,JA201:JC201)</f>
        <v>3346.4235130620518</v>
      </c>
      <c r="JE201" s="95"/>
      <c r="JF201" s="28">
        <f t="shared" ref="JF201:JF261" si="746">VLOOKUP($C201*1000+1,$A:$HH,GD$92,FALSE)</f>
        <v>8.5237567437015646E-2</v>
      </c>
      <c r="JG201" s="23">
        <f>INDEX(Input!$1:$1048576,JG$93,$C201*2+6)/(1+VLOOKUP(C201*1000+INDEX(Input!$1:$1048576,JG$93+1,$C201*2+6),$A:$KK,$JK$92,FALSE))</f>
        <v>1601</v>
      </c>
      <c r="JH201" s="38">
        <f>SUM(HP201:HR201)/SUM(HY201:IA201)</f>
        <v>0</v>
      </c>
      <c r="JI201" s="38">
        <f>SUM(HS201:HU201)/SUM(HY201:IA201)</f>
        <v>0</v>
      </c>
      <c r="JJ201" s="11">
        <f>SUM(HV201:HX201)/SUM(HY201:IA201)</f>
        <v>0</v>
      </c>
      <c r="JK201" s="2">
        <f>SUM(JH201:JJ201)</f>
        <v>0</v>
      </c>
      <c r="JL201" s="9">
        <f>JG201*JK201</f>
        <v>0</v>
      </c>
      <c r="JM201" s="8">
        <f>JG201+JL201</f>
        <v>1601</v>
      </c>
      <c r="JN201" s="95"/>
      <c r="JO201" s="375">
        <f>INDEX(Input!$1:$1048576,JO$93,$C201*2+6)</f>
        <v>5908.5</v>
      </c>
      <c r="JP201" s="375">
        <f>INDEX(Input!$1:$1048576,JP$93,$C201*2+6)</f>
        <v>3346.4235130620518</v>
      </c>
      <c r="JQ201" s="25">
        <f>JO201-JD201</f>
        <v>2562.0764869379482</v>
      </c>
      <c r="JR201" s="29">
        <f t="shared" ref="JR201" si="747">JD201-JP201</f>
        <v>0</v>
      </c>
      <c r="JS201" s="29">
        <f t="shared" ref="JS201" si="748">JM201*JD201/1000000</f>
        <v>5.3576240444123444</v>
      </c>
      <c r="JT201" s="29">
        <f>(JD201*JM201-JP201*JG201)/1000000</f>
        <v>0</v>
      </c>
      <c r="JU201" s="376">
        <f>(JQ201*JM201-INDEX(Input!$1:$1048576,Input!A$18,$C201*2+6)*JL201*INDEX(Input!$1:$1048576,Input!A$19,$C201*2+6))/1000000</f>
        <v>4.1018844555876548</v>
      </c>
      <c r="JV201" s="29">
        <f t="shared" ref="JV201:JV212" si="749">JU201-(JO201-JP201)*JG201/1000000</f>
        <v>0</v>
      </c>
      <c r="JW201" s="38">
        <f>JV201/(JU201-JV201)</f>
        <v>0</v>
      </c>
      <c r="JX201" s="40">
        <f>IF(JL201=0,0,JT201/JL201)*1000000</f>
        <v>0</v>
      </c>
      <c r="JZ201" s="377"/>
      <c r="KA201" s="378"/>
      <c r="KB201" s="474">
        <f>KA206</f>
        <v>2.4482969984810516</v>
      </c>
      <c r="KC201" s="379"/>
      <c r="KD201" s="379"/>
      <c r="KE201" s="379"/>
      <c r="KF201" s="379"/>
      <c r="KG201" s="380"/>
      <c r="KI201" s="381"/>
      <c r="KJ201" s="379"/>
      <c r="KK201" s="379"/>
      <c r="KL201" s="380"/>
      <c r="KN201" s="542">
        <f>C201*1000+$KN$97</f>
        <v>2002</v>
      </c>
      <c r="KO201" s="540">
        <f t="shared" ref="KO201:KO261" si="750">JM201/INDEX(JM:JM,MATCH(KN201,A:A,0))-1</f>
        <v>-7.336606681531066E-2</v>
      </c>
      <c r="KP201" s="545">
        <f t="shared" ref="KP201:KP261" si="751">(IL201-INDEX(IL:IL,MATCH(KN201,A:A,0)))*IE201
+(IM201-IF(HN201=0,INDEX(IX:IX,MATCH(KN201,A:A,0)),INDEX(IM:IM,MATCH(KN201,A:A,0))))*IF201
+(IN201-INDEX(IN:IN,MATCH(KN201,A:A,0)))*IG201</f>
        <v>-373.48914352171852</v>
      </c>
      <c r="KQ201" s="545">
        <f t="shared" ref="KQ201:KQ261" si="752">JD201-INDEX(JD:JD,MATCH(KN201,A:A,0))</f>
        <v>-379.1800618944867</v>
      </c>
      <c r="KR201" s="549">
        <f t="shared" ref="KR201:KR261" si="753">KO201/(KP201/(BX201-INDEX(JD:JD,MATCH(KN201,A:A,0))))</f>
        <v>3.1369367100540426</v>
      </c>
      <c r="KS201" s="549">
        <f t="shared" ref="KS201:KS261" si="754">KO201/(KQ201/(BX201-INDEX(JD:JD,MATCH(KN201,A:A,0))))</f>
        <v>3.0898560416553305</v>
      </c>
      <c r="KT201" s="661">
        <f>(1+JK206/(JD206-JD201)*(0-JD201))*JM201</f>
        <v>528.59039248727379</v>
      </c>
      <c r="KU201" s="662">
        <f>IF(D201="",0,IFERROR((JM201/KT201-1)/(JD201/BX201)+B201*10^-6,0))</f>
        <v>11.940336035856491</v>
      </c>
      <c r="KV201" s="568"/>
      <c r="KW201" s="26"/>
    </row>
    <row r="202" spans="1:310" s="60" customFormat="1" ht="15.75" thickBot="1">
      <c r="A202" s="560">
        <f t="shared" ref="A202:A265" si="755">C202*1000+B202</f>
        <v>2002</v>
      </c>
      <c r="B202" s="560">
        <f>B201+1</f>
        <v>2</v>
      </c>
      <c r="C202" s="560">
        <f>C201</f>
        <v>2</v>
      </c>
      <c r="D202" s="560" t="s">
        <v>567</v>
      </c>
      <c r="E202" s="365">
        <f>INDEX(Input!$1:$1048576,E$93,$C202*2+MIN($B202,2)+5)</f>
        <v>1250</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1.9E-2</v>
      </c>
      <c r="W202" s="22">
        <f>INDEX(Input!$1:$1048576,W$93,$C202*2+MIN($B202,2)+5)</f>
        <v>3.9E-2</v>
      </c>
      <c r="X202" s="367" t="str">
        <f>INDEX(Input!$1:$1048576,X$93,$C202*2+MIN($B202,2)+5)</f>
        <v>Y</v>
      </c>
      <c r="Y202" s="49">
        <f>INDEX(Input!$1:$1048576,Y$93,$C202*2+MIN($B202,2)+5)</f>
        <v>1358</v>
      </c>
      <c r="Z202" s="584">
        <f>INDEX(Input!$1:$1048576,Z$93,$C202*2+MIN($B202,2)+5)</f>
        <v>0</v>
      </c>
      <c r="AA202" s="49">
        <f>INDEX(Input!$1:$1048576,AA$93,$C202*2+MIN($B202,2)+5)</f>
        <v>0</v>
      </c>
      <c r="AB202" s="367">
        <f>INDEX(Input!$1:$1048576,AB$93,$C202*2+MIN($B202,2)+5)</f>
        <v>1</v>
      </c>
      <c r="AC202" s="49">
        <f>INDEX(Input!$1:$1048576,AC$93,$C202*2+MIN($B202,2)+5)</f>
        <v>0</v>
      </c>
      <c r="AD202" s="367">
        <f>INDEX(Input!$1:$1048576,AD$93,$C202*2+MIN($B202,2)+5)</f>
        <v>0.35</v>
      </c>
      <c r="AE202" s="49">
        <f>INDEX(Input!$1:$1048576,AE$93,$C202*2+MIN($B202,2)+5)</f>
        <v>0</v>
      </c>
      <c r="AF202" s="367">
        <f>INDEX(Input!$1:$1048576,AF$93,$C202*2+MIN($B202,2)+5)</f>
        <v>1</v>
      </c>
      <c r="AG202" s="49">
        <f>INDEX(Input!$1:$1048576,AG$93,$C202*2+MIN($B202,2)+5)</f>
        <v>0</v>
      </c>
      <c r="AH202" s="367">
        <f>INDEX(Input!$1:$1048576,AH$93,$C202*2+MIN($B202,2)+5)</f>
        <v>1</v>
      </c>
      <c r="AI202" s="49">
        <f>INDEX(Input!$1:$1048576,AI$93,$C202*2+MIN($B202,2)+5)</f>
        <v>0</v>
      </c>
      <c r="AJ202" s="367">
        <f>INDEX(Input!$1:$1048576,AJ$93,$C202*2+MIN($B202,2)+5)</f>
        <v>0.35</v>
      </c>
      <c r="AK202" s="298">
        <f>ROUND(INDEX(Input!$1:$1048576,AK$93,$C202*2+MIN($B202,2)+5),0)</f>
        <v>4982</v>
      </c>
      <c r="AL202" s="49">
        <f>ROUND(INDEX(Input!$1:$1048576,AL$93,$C201*2+6)-(Y202-VLOOKUP($C202*1000+1,$A:$HH,Y$92,FALSE))/36,0)</f>
        <v>5102</v>
      </c>
      <c r="AM202" s="46" t="str">
        <f t="shared" ref="AM202:AM265" si="756">IF(K202="market","std",ROUND(K202*1000,0)/10)&amp;"/"&amp;IF(L202="market","std",ROUND(L202*1000,0)/10)&amp;"/"&amp;IF(M202="market","std",ROUND(M202*1000,0)/10)&amp;"/"&amp;IF(N202="market","std",ROUND(N202*1000,0)/10)&amp;IF(P202="N","","/"&amp;IF(O202="market","std",ROUND(O202*1000,0)/10))</f>
        <v>std/std/std/std</v>
      </c>
      <c r="AN202" s="46" t="str">
        <f t="shared" ref="AN202:AN265" si="757">"$"&amp;ROUND(Q202,0)&amp;" + "&amp;IF(S202="market","std",ROUND(S202*1000,0)/10)&amp;"/"&amp;IF(T202="market","std",ROUND(T202*1000,0)/10)&amp;"/"&amp;IF(U202="market","std",ROUND(U202*1000,0)/10)&amp;"/"&amp;IF(V202="market","std",ROUND(V202*1000,0)/10)&amp;IF(X202="N","","/"&amp;IF(W202="market","std",ROUND(W202*1000,0)/10))</f>
        <v>$0 + 0/0/0/1.9/3.9</v>
      </c>
      <c r="AO202" s="44" t="str">
        <f t="shared" ref="AO202:AO265" si="758">IF(S202="market","std",ROUND(S202*1000,0)/10)&amp;"/"&amp;IF(T202="market","std",ROUND(T202*1000,0)/10)&amp;"/"&amp;IF(U202="market","std",ROUND(U202*1000,0)/10)&amp;"/"&amp;IF(V202="market","std",ROUND(V202*1000,0)/10)&amp;IF(X202="N","","/"&amp;IF(W202="market","std",ROUND(W202*1000,0)/10))</f>
        <v>0/0/0/1.9/3.9</v>
      </c>
      <c r="AP202" s="44" t="str">
        <f t="shared" si="493"/>
        <v>0/0.9/1.9/3.9</v>
      </c>
      <c r="AQ202" s="507">
        <f t="shared" si="492"/>
        <v>0.34672566644447778</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Compact Conventional/Sporty Car (43)</v>
      </c>
      <c r="AZ202" s="45" t="str">
        <f>INDEX(Input!$1:$1048576,AZ$93,$C202*2+6)</f>
        <v>Kia Forte</v>
      </c>
      <c r="BA202" s="50">
        <f>INDEX(Input!$1:$1048576,BA$93,$C202*2+6)</f>
        <v>2020</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19695</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94"/>
        <v>1250</v>
      </c>
      <c r="CJ202" s="46" t="str">
        <f>INDEX(Input!$1:$1048576,CJ$93,$C202*2+6)</f>
        <v>N</v>
      </c>
      <c r="CK202" s="38" t="str">
        <f t="shared" si="495"/>
        <v>Market</v>
      </c>
      <c r="CL202" s="38" t="str">
        <f t="shared" si="496"/>
        <v>Market</v>
      </c>
      <c r="CM202" s="38" t="str">
        <f t="shared" si="497"/>
        <v>Market</v>
      </c>
      <c r="CN202" s="38" t="str">
        <f t="shared" si="498"/>
        <v>Market</v>
      </c>
      <c r="CO202" s="38" t="str">
        <f t="shared" si="499"/>
        <v>Market</v>
      </c>
      <c r="CP202" s="49">
        <f t="shared" si="500"/>
        <v>0</v>
      </c>
      <c r="CQ202" s="38">
        <f t="shared" si="501"/>
        <v>0</v>
      </c>
      <c r="CR202" s="38">
        <f t="shared" si="502"/>
        <v>0</v>
      </c>
      <c r="CS202" s="38">
        <f t="shared" si="503"/>
        <v>0</v>
      </c>
      <c r="CT202" s="38">
        <f t="shared" si="504"/>
        <v>1.9E-2</v>
      </c>
      <c r="CU202" s="38">
        <f t="shared" si="505"/>
        <v>3.9E-2</v>
      </c>
      <c r="CV202" s="49">
        <f t="shared" si="506"/>
        <v>1358</v>
      </c>
      <c r="CW202" s="22" t="s">
        <v>122</v>
      </c>
      <c r="CX202" s="22" t="s">
        <v>122</v>
      </c>
      <c r="CY202" s="22" t="s">
        <v>122</v>
      </c>
      <c r="CZ202" s="22" t="s">
        <v>122</v>
      </c>
      <c r="DA202" s="22" t="s">
        <v>122</v>
      </c>
      <c r="DB202" s="502">
        <f t="shared" si="507"/>
        <v>0</v>
      </c>
      <c r="DC202" s="29">
        <v>0</v>
      </c>
      <c r="DD202" s="29">
        <v>0</v>
      </c>
      <c r="DE202" s="29">
        <v>0</v>
      </c>
      <c r="DF202" s="49">
        <v>0</v>
      </c>
      <c r="DG202" s="49">
        <v>0</v>
      </c>
      <c r="DH202" s="49">
        <v>0</v>
      </c>
      <c r="DI202" s="49">
        <v>0</v>
      </c>
      <c r="DJ202" s="49">
        <v>0</v>
      </c>
      <c r="DK202" s="29">
        <v>0</v>
      </c>
      <c r="DL202" s="29">
        <v>0</v>
      </c>
      <c r="DM202" s="49">
        <f>INDEX(Input!$1:$1048576,DM$93,$C202*2+6)</f>
        <v>20731.578947368424</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2.8172181193883154E-2</v>
      </c>
      <c r="DZ202" s="37">
        <v>0</v>
      </c>
      <c r="EA202" s="37">
        <v>0.57474069431131491</v>
      </c>
      <c r="EB202" s="37">
        <v>0</v>
      </c>
      <c r="EC202" s="37">
        <v>0</v>
      </c>
      <c r="ED202" s="37">
        <v>0</v>
      </c>
      <c r="EE202" s="37">
        <v>0</v>
      </c>
      <c r="EF202" s="37">
        <v>0</v>
      </c>
      <c r="EG202" s="37">
        <v>0</v>
      </c>
      <c r="EH202" s="37">
        <v>1.6192016847189652E-2</v>
      </c>
      <c r="EI202" s="37">
        <v>2.6440573538848409E-2</v>
      </c>
      <c r="EJ202" s="37">
        <v>0.26571566631182436</v>
      </c>
      <c r="EK202" s="37">
        <v>0.64369308477316522</v>
      </c>
      <c r="EL202" s="37">
        <v>4.7958658528971729E-2</v>
      </c>
      <c r="EM202" s="37">
        <v>3.6829166665016615E-2</v>
      </c>
      <c r="EN202" s="37">
        <v>4.9732829896061599E-2</v>
      </c>
      <c r="EO202" s="37">
        <v>0.56166639571941102</v>
      </c>
      <c r="EP202" s="37">
        <v>0.28600598047763837</v>
      </c>
      <c r="EQ202" s="37">
        <v>6.3879165114545791E-2</v>
      </c>
      <c r="ER202" s="37">
        <v>3.8715628792343387E-2</v>
      </c>
      <c r="ES202" s="37">
        <v>0.36025795782978526</v>
      </c>
      <c r="ET202" s="37">
        <v>0.39708712449480194</v>
      </c>
      <c r="EU202" s="36">
        <v>1600</v>
      </c>
      <c r="EV202" s="36">
        <v>0</v>
      </c>
      <c r="EW202" s="36">
        <v>1600</v>
      </c>
      <c r="EX202" s="36">
        <v>0</v>
      </c>
      <c r="EY202" s="36">
        <v>2626.809620731502</v>
      </c>
      <c r="EZ202" s="36">
        <v>2111</v>
      </c>
      <c r="FA202" s="36">
        <v>0</v>
      </c>
      <c r="FB202" s="36">
        <v>0</v>
      </c>
      <c r="FC202" s="36">
        <v>0</v>
      </c>
      <c r="FD202" s="36">
        <v>0</v>
      </c>
      <c r="FE202" s="36">
        <v>0</v>
      </c>
      <c r="FF202" s="36">
        <v>0</v>
      </c>
      <c r="FG202" s="36">
        <v>0</v>
      </c>
      <c r="FH202" s="36">
        <v>1154.7846453283337</v>
      </c>
      <c r="FI202" s="36">
        <v>1531.4299904380628</v>
      </c>
      <c r="FJ202" s="36">
        <v>2070.7205842538219</v>
      </c>
      <c r="FK202" s="36">
        <v>1746.9903521590445</v>
      </c>
      <c r="FL202" s="36">
        <v>893.91433563489318</v>
      </c>
      <c r="FM202" s="36">
        <v>1776.8096207315023</v>
      </c>
      <c r="FN202" s="36">
        <v>0</v>
      </c>
      <c r="FO202" s="36">
        <v>0</v>
      </c>
      <c r="FP202" s="36">
        <v>0</v>
      </c>
      <c r="FQ202" s="36">
        <v>0</v>
      </c>
      <c r="FR202" s="36">
        <v>0</v>
      </c>
      <c r="FS202" s="36">
        <v>0</v>
      </c>
      <c r="FT202" s="37">
        <v>0.60291287550519812</v>
      </c>
      <c r="FU202" s="37">
        <v>3.6829166665016615E-2</v>
      </c>
      <c r="FV202" s="37">
        <v>0.36025795782978526</v>
      </c>
      <c r="FW202" s="36">
        <v>1599.9999999999998</v>
      </c>
      <c r="FX202" s="36">
        <v>2626.809620731502</v>
      </c>
      <c r="FY202" s="36">
        <v>2111</v>
      </c>
      <c r="FZ202" s="36">
        <v>2594.6978186474794</v>
      </c>
      <c r="GA202" s="36">
        <v>1821.9083591061831</v>
      </c>
      <c r="GB202" s="36">
        <v>17873.091640893817</v>
      </c>
      <c r="GC202" s="37">
        <v>9.6947029492584935E-2</v>
      </c>
      <c r="GD202" s="37">
        <v>8.9151531509832307E-2</v>
      </c>
      <c r="GE202" s="37"/>
      <c r="GF202" s="37"/>
      <c r="GG202" s="37">
        <v>-8.040986942615784E-2</v>
      </c>
      <c r="GH202" s="35">
        <v>2.0492934508814304</v>
      </c>
      <c r="GI202" s="36">
        <v>11432.537813628131</v>
      </c>
      <c r="GJ202" s="34">
        <v>0.51074630601039528</v>
      </c>
      <c r="GK202" s="34">
        <v>0.5082951978616097</v>
      </c>
      <c r="GL202" s="34">
        <v>0.48925369398960444</v>
      </c>
      <c r="GM202" s="33">
        <v>0.49170480213839035</v>
      </c>
      <c r="GN202" s="61"/>
      <c r="GO202" s="13">
        <v>338.16872463277008</v>
      </c>
      <c r="GP202" s="27">
        <v>307.64377699166363</v>
      </c>
      <c r="GQ202" s="27">
        <v>527.27910984145694</v>
      </c>
      <c r="GR202" s="27">
        <v>404.20319246551543</v>
      </c>
      <c r="GS202" s="27">
        <v>334.50205195691484</v>
      </c>
      <c r="GT202" s="27">
        <v>289.18266033348181</v>
      </c>
      <c r="GU202" s="27">
        <v>254.29573314828914</v>
      </c>
      <c r="GV202" s="29" t="s">
        <v>392</v>
      </c>
      <c r="GW202" s="27">
        <v>468.76388888888891</v>
      </c>
      <c r="GX202" s="27">
        <v>351.57291666666669</v>
      </c>
      <c r="GY202" s="27">
        <v>281.25833333333333</v>
      </c>
      <c r="GZ202" s="27">
        <v>248.18079879493993</v>
      </c>
      <c r="HA202" s="27">
        <v>229.89195052129486</v>
      </c>
      <c r="HB202" s="29">
        <v>262.3983413024485</v>
      </c>
      <c r="HC202" s="27">
        <v>190.75937499999998</v>
      </c>
      <c r="HD202" s="27">
        <v>173.28879751461983</v>
      </c>
      <c r="HE202" s="27">
        <v>178.94016109986501</v>
      </c>
      <c r="HF202" s="27">
        <v>168.88629934210525</v>
      </c>
      <c r="HG202" s="27">
        <v>167.11410087719298</v>
      </c>
      <c r="HH202" s="12">
        <v>175.25369738552143</v>
      </c>
      <c r="HI202" s="94"/>
      <c r="HJ202" s="370" t="str">
        <f>HJ201</f>
        <v>On</v>
      </c>
      <c r="HK202" s="371" t="str">
        <f>HK201</f>
        <v>On</v>
      </c>
      <c r="HL202" s="94"/>
      <c r="HM202" s="640">
        <f t="shared" si="727"/>
        <v>5.0961701597560354E-2</v>
      </c>
      <c r="HN202" s="22">
        <f t="shared" si="728"/>
        <v>3.112551654761847E-3</v>
      </c>
      <c r="HO202" s="638">
        <f t="shared" si="729"/>
        <v>3.1163314184693442E-2</v>
      </c>
      <c r="HP202" s="650">
        <f>(FT202*$GD202-HM202)/$JF202*INDEX(Input!$1:$1048576,$JG$93,$C202*2+6)</f>
        <v>52.383431766514569</v>
      </c>
      <c r="HQ202" s="650">
        <f>(FU202*$GD202-HN202)/$JF202*INDEX(Input!$1:$1048576,$JG$93,$C202*2+6)</f>
        <v>3.2085706505894889</v>
      </c>
      <c r="HR202" s="651">
        <f>(FV202*$GD202-HO202)/$JF202*INDEX(Input!$1:$1048576,$JG$93,$C202*2+6)</f>
        <v>17.923193628463387</v>
      </c>
      <c r="HS202" s="650">
        <f t="shared" si="730"/>
        <v>-8.3250851011876037</v>
      </c>
      <c r="HT202" s="650">
        <f t="shared" si="731"/>
        <v>31.568783989283908</v>
      </c>
      <c r="HU202" s="651">
        <f t="shared" si="732"/>
        <v>29.999977977049475</v>
      </c>
      <c r="HV202" s="645">
        <f t="shared" si="733"/>
        <v>0</v>
      </c>
      <c r="HW202" s="646">
        <f t="shared" si="734"/>
        <v>0</v>
      </c>
      <c r="HX202" s="647">
        <f t="shared" si="735"/>
        <v>0</v>
      </c>
      <c r="HY202" s="643">
        <f>INDEX(Input!$1:$1048576,HY$93,$C202*2+6)*INDEX(Input!$1:$1048576,$JG$93,$C202*2+6)</f>
        <v>555</v>
      </c>
      <c r="HZ202" s="641">
        <f>INDEX(Input!$1:$1048576,HZ$93,$C202*2+6)*INDEX(Input!$1:$1048576,$JG$93,$C202*2+6)</f>
        <v>480</v>
      </c>
      <c r="IA202" s="642">
        <f>INDEX(Input!$1:$1048576,IA$93,$C202*2+6)*INDEX(Input!$1:$1048576,$JG$93,$C202*2+6)</f>
        <v>566</v>
      </c>
      <c r="IB202" s="649">
        <f t="shared" ref="IB202:IB261" si="759">SUM(HP202:IA202)-IC202-ID202</f>
        <v>599.05834666532689</v>
      </c>
      <c r="IC202" s="650">
        <f t="shared" ref="IC202:IC261" si="760">MAX(HZ202+HQ202+HT202+HW202,0%)</f>
        <v>514.77735463987335</v>
      </c>
      <c r="ID202" s="651">
        <f>IF(AND(INDEX(Input!$1:$1048576,IA$93,$C202*2+7)="TOS",Y202&lt;=INDEX(Y:Y,MATCH(C202*1000+2,A:A))),0,1)*MAX(IA202+HR202+HU202+HX202,0%)</f>
        <v>613.92317160551295</v>
      </c>
      <c r="IE202" s="129">
        <f t="shared" ref="IE202" si="761">IB202/SUM($IB202:$ID202)</f>
        <v>0.34672566644447778</v>
      </c>
      <c r="IF202" s="652">
        <f t="shared" si="736"/>
        <v>0.29794513731689914</v>
      </c>
      <c r="IG202" s="653">
        <f t="shared" si="737"/>
        <v>0.35532919623862302</v>
      </c>
      <c r="IH202" s="95"/>
      <c r="II202" s="298">
        <f t="shared" si="738"/>
        <v>1200</v>
      </c>
      <c r="IJ202" s="49">
        <f t="shared" si="739"/>
        <v>2226.7968732767699</v>
      </c>
      <c r="IK202" s="40">
        <f t="shared" si="740"/>
        <v>1786</v>
      </c>
      <c r="IL202" s="298">
        <f t="shared" ref="IL202:IL261" si="762">(FW202-FA202*DZ202/FT202)-II202</f>
        <v>399.99999999999977</v>
      </c>
      <c r="IM202" s="49">
        <f t="shared" si="741"/>
        <v>400.01274745473211</v>
      </c>
      <c r="IN202" s="40">
        <f t="shared" si="742"/>
        <v>325</v>
      </c>
      <c r="IO202" s="25">
        <f t="shared" si="743"/>
        <v>0</v>
      </c>
      <c r="IP202" s="29">
        <f t="shared" si="744"/>
        <v>0</v>
      </c>
      <c r="IQ202" s="29">
        <f t="shared" si="745"/>
        <v>0</v>
      </c>
      <c r="IR202" s="17">
        <v>0</v>
      </c>
      <c r="IS202" s="29">
        <v>0</v>
      </c>
      <c r="IT202" s="12">
        <v>0</v>
      </c>
      <c r="IU202" s="25">
        <v>0</v>
      </c>
      <c r="IV202" s="29">
        <v>0</v>
      </c>
      <c r="IW202" s="12">
        <v>0</v>
      </c>
      <c r="IX202" s="372">
        <f>INDEX(Input!$1:$1048576,IX$93,$C202*2+6)+INDEX(Input!$1:$1048576,IX$94,$C202*2+6)</f>
        <v>1600</v>
      </c>
      <c r="IY202" s="373">
        <f>INDEX(Input!$1:$1048576,IY$93,$C202*2+6)+INDEX(Input!$1:$1048576,IY$94,$C202*2+6)</f>
        <v>2503.5492916397525</v>
      </c>
      <c r="IZ202" s="374">
        <f>INDEX(Input!$1:$1048576,IZ$93,$C202*2+6)+INDEX(Input!$1:$1048576,IZ$94,$C202*2+6)</f>
        <v>5773.7109265464023</v>
      </c>
      <c r="JA202" s="298">
        <f t="shared" ref="JA202:JA261" si="763">(IL202+IO202+IR202+IU202+IX202)</f>
        <v>1999.9999999999998</v>
      </c>
      <c r="JB202" s="49">
        <f t="shared" ref="JB202:JB261" si="764">(IM202+IP202+IS202+IV202+IY202)</f>
        <v>2903.5620390944846</v>
      </c>
      <c r="JC202" s="49">
        <f t="shared" ref="JC202:JC261" si="765">(IN202+IQ202+IT202+IW202+IZ202)</f>
        <v>6098.7109265464023</v>
      </c>
      <c r="JD202" s="40">
        <f t="shared" ref="JD202:JD261" si="766">SUMPRODUCT(IE202:IG202,JA202:JC202)</f>
        <v>3725.6035749565385</v>
      </c>
      <c r="JE202" s="382"/>
      <c r="JF202" s="28">
        <f t="shared" si="746"/>
        <v>8.5237567437015646E-2</v>
      </c>
      <c r="JG202" s="23">
        <f>INDEX(Input!$1:$1048576,JG$93,$C202*2+6)/(1+VLOOKUP(C202*1000+INDEX(Input!$1:$1048576,JG$93+1,$C202*2+6),$A:$KK,$JK$92,FALSE))</f>
        <v>1601</v>
      </c>
      <c r="JH202" s="38">
        <f t="shared" ref="JH202:JH261" si="767">SUM(HP202:HR202)/SUM(HY202:IA202)</f>
        <v>4.5918298591859745E-2</v>
      </c>
      <c r="JI202" s="38">
        <f t="shared" ref="JI202:JI261" si="768">SUM(HS202:HU202)/SUM(HY202:IA202)</f>
        <v>3.3256512720265946E-2</v>
      </c>
      <c r="JJ202" s="11">
        <f t="shared" ref="JJ202:JJ212" si="769">SUM(HV202:HX202)/SUM(HY202:IA202)</f>
        <v>0</v>
      </c>
      <c r="JK202" s="2">
        <f t="shared" ref="JK202:JK204" si="770">SUM(JH202:JJ202)</f>
        <v>7.9174811312125698E-2</v>
      </c>
      <c r="JL202" s="9">
        <f t="shared" ref="JL202:JL261" si="771">JG202*JK202</f>
        <v>126.75887291071324</v>
      </c>
      <c r="JM202" s="8">
        <f t="shared" ref="JM202:JM205" si="772">JG202+JL202</f>
        <v>1727.7588729107133</v>
      </c>
      <c r="JN202" s="95"/>
      <c r="JO202" s="375">
        <f>INDEX(Input!$1:$1048576,JO$93,$C202*2+6)</f>
        <v>5908.5</v>
      </c>
      <c r="JP202" s="375">
        <f>INDEX(Input!$1:$1048576,JP$93,$C202*2+6)</f>
        <v>3346.4235130620518</v>
      </c>
      <c r="JQ202" s="25">
        <f>JO202-JD202</f>
        <v>2182.8964250434615</v>
      </c>
      <c r="JR202" s="29">
        <f>JD202-JP202</f>
        <v>379.1800618944867</v>
      </c>
      <c r="JS202" s="29">
        <f>JM202*JD202/1000000</f>
        <v>6.4369446335790332</v>
      </c>
      <c r="JT202" s="29">
        <f t="shared" ref="JT202:JT261" si="773">(JD202*JM202-JP202*JG202)/1000000</f>
        <v>1.0793205891666888</v>
      </c>
      <c r="JU202" s="376">
        <f>(JQ202*JM202-INDEX(Input!$1:$1048576,Input!A$18,$C202*2+6)*JL202*INDEX(Input!$1:$1048576,Input!A$19,$C202*2+6))/1000000</f>
        <v>3.771518667013916</v>
      </c>
      <c r="JV202" s="29">
        <f t="shared" si="749"/>
        <v>-0.33036578857373877</v>
      </c>
      <c r="JW202" s="38">
        <f>JV202/(JU202-JV202)</f>
        <v>-8.0540003540009286E-2</v>
      </c>
      <c r="JX202" s="40">
        <f>IF(JL202=0,0,JT202/JL202)*1000000</f>
        <v>8514.7537555571635</v>
      </c>
      <c r="JZ202" s="377"/>
      <c r="KA202" s="378"/>
      <c r="KB202" s="474">
        <f>KB201</f>
        <v>2.4482969984810516</v>
      </c>
      <c r="KC202" s="379"/>
      <c r="KD202" s="379"/>
      <c r="KE202" s="379"/>
      <c r="KF202" s="379"/>
      <c r="KG202" s="380"/>
      <c r="KI202" s="513">
        <f>$JM202*IE202-$JG202*HY202/SUM($HY202:$IA202)</f>
        <v>44.058346665326894</v>
      </c>
      <c r="KJ202" s="514">
        <f t="shared" ref="KJ202:KJ215" si="774">$JM202*IF202-$JG202*HZ202/SUM($HY202:$IA202)</f>
        <v>34.777354639873352</v>
      </c>
      <c r="KK202" s="514">
        <f t="shared" ref="KK202:KK261" si="775">$JM202*IG202-$JG202*IA202/SUM($HY202:$IA202)</f>
        <v>47.923171605512948</v>
      </c>
      <c r="KL202" s="380"/>
      <c r="KN202" s="543">
        <f>KM202+(KN201-KM201)</f>
        <v>2002</v>
      </c>
      <c r="KO202" s="540">
        <f t="shared" si="750"/>
        <v>0</v>
      </c>
      <c r="KP202" s="545">
        <f t="shared" si="751"/>
        <v>0</v>
      </c>
      <c r="KQ202" s="545">
        <f t="shared" si="752"/>
        <v>0</v>
      </c>
      <c r="KR202" s="547" t="e">
        <f t="shared" si="753"/>
        <v>#DIV/0!</v>
      </c>
      <c r="KS202" s="547" t="e">
        <f t="shared" si="754"/>
        <v>#DIV/0!</v>
      </c>
      <c r="KT202" s="661">
        <f>KT201</f>
        <v>528.59039248727379</v>
      </c>
      <c r="KU202" s="662">
        <f t="shared" ref="KU202:KU261" si="776">IF(D202="",0,IFERROR((JM202/KT202-1)/(JD202/BX202)+B202*10^-6,0))</f>
        <v>11.992793490518734</v>
      </c>
      <c r="KV202" s="568"/>
      <c r="KW202" s="26"/>
      <c r="KX202" s="582"/>
    </row>
    <row r="203" spans="1:310" s="26" customFormat="1" ht="15">
      <c r="A203" s="561">
        <f t="shared" si="755"/>
        <v>2003</v>
      </c>
      <c r="B203" s="561">
        <f t="shared" ref="B203:B266" si="777">B202+1</f>
        <v>3</v>
      </c>
      <c r="C203" s="561">
        <f t="shared" si="105"/>
        <v>2</v>
      </c>
      <c r="D203" s="561" t="s">
        <v>740</v>
      </c>
      <c r="E203" s="475">
        <f>INDEX(Input!$1:$1048576,E$93,$C203*2+MIN($B203,1)+5)+500</f>
        <v>1250</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1.9E-2</v>
      </c>
      <c r="W203" s="862">
        <f>INDEX(Input!$1:$1048576,W$93,$C203*2+MIN($B203,1)+5)</f>
        <v>3.9E-2</v>
      </c>
      <c r="X203" s="118" t="str">
        <f>INDEX(Input!$1:$1048576,X$93,$C203*2+MIN($B203,1)+5)</f>
        <v>Y</v>
      </c>
      <c r="Y203" s="150">
        <f>INDEX(Input!$1:$1048576,Y$93,$C203*2+MIN($B203,1)+5)</f>
        <v>1475</v>
      </c>
      <c r="Z203" s="30">
        <f>INDEX(Input!$1:$1048576,Z$93,$C203*2+MIN($B203,1)+5)</f>
        <v>0</v>
      </c>
      <c r="AA203" s="115">
        <f>INDEX(Input!$1:$1048576,AA$93,$C203*2+MIN($B203,1)+5)</f>
        <v>0</v>
      </c>
      <c r="AB203" s="118">
        <f>INDEX(Input!$1:$1048576,AB$93,$C203*2+MIN($B203,1)+5)</f>
        <v>1</v>
      </c>
      <c r="AC203" s="115">
        <f>INDEX(Input!$1:$1048576,AC$93,$C203*2+MIN($B203,1)+5)</f>
        <v>1000</v>
      </c>
      <c r="AD203" s="118">
        <f>INDEX(Input!$1:$1048576,AD$93,$C203*2+MIN($B203,1)+5)</f>
        <v>0.35</v>
      </c>
      <c r="AE203" s="115">
        <f>INDEX(Input!$1:$1048576,AE$93,$C203*2+MIN($B203,1)+5)</f>
        <v>0</v>
      </c>
      <c r="AF203" s="118">
        <f>INDEX(Input!$1:$1048576,AF$93,$C203*2+MIN($B203,1)+5)</f>
        <v>1</v>
      </c>
      <c r="AG203" s="115">
        <f>INDEX(Input!$1:$1048576,AG$93,$C203*2+MIN($B203,1)+5)</f>
        <v>500</v>
      </c>
      <c r="AH203" s="118">
        <f>INDEX(Input!$1:$1048576,AH$93,$C203*2+MIN($B203,1)+5)</f>
        <v>1</v>
      </c>
      <c r="AI203" s="115">
        <f>INDEX(Input!$1:$1048576,AI$93,$C203*2+MIN($B203,1)+5)</f>
        <v>500</v>
      </c>
      <c r="AJ203" s="118">
        <f>INDEX(Input!$1:$1048576,AJ$93,$C203*2+MIN($B203,1)+5)</f>
        <v>0.35</v>
      </c>
      <c r="AK203" s="150">
        <f>ROUND(INDEX(Input!$1:$1048576,AK$93,$C202*2+MIN($B203,1)+5)+(Y203-VLOOKUP($C203*1000+1,$A:$HH,Y$92,FALSE)),0)</f>
        <v>5099</v>
      </c>
      <c r="AL203" s="150">
        <f>ROUND(INDEX(Input!$1:$1048576,AL$93,$C202*2+MIN($B203,1)+5)-(Y203-VLOOKUP($C203*1000+1,$A:$HH,Y$92,FALSE))/36,0)</f>
        <v>5099</v>
      </c>
      <c r="AM203" s="32" t="str">
        <f t="shared" si="756"/>
        <v>std/std/std/std</v>
      </c>
      <c r="AN203" s="32" t="str">
        <f t="shared" si="757"/>
        <v>$0 + 0/0/0/1.9/3.9</v>
      </c>
      <c r="AO203" s="32" t="str">
        <f t="shared" si="758"/>
        <v>0/0/0/1.9/3.9</v>
      </c>
      <c r="AP203" s="32" t="str">
        <f t="shared" si="493"/>
        <v>0/0.9/1.9/3.9</v>
      </c>
      <c r="AQ203" s="536">
        <f t="shared" si="492"/>
        <v>850.38629223705516</v>
      </c>
      <c r="AR203" s="32"/>
      <c r="AS203" s="302"/>
      <c r="AT203" s="3">
        <f t="shared" si="106"/>
        <v>3</v>
      </c>
      <c r="AU203" s="41" t="s">
        <v>121</v>
      </c>
      <c r="AV203" s="41" t="s">
        <v>116</v>
      </c>
      <c r="AW203" s="41" t="str">
        <f>INDEX(Input!$1:$1048576,AW$93,$C203*2+6)</f>
        <v>Kia</v>
      </c>
      <c r="AX203" s="41" t="str">
        <f>INDEX(Input!$1:$1048576,AX$93,$C203*2+6)</f>
        <v>Kia-LR - L2</v>
      </c>
      <c r="AY203" s="41" t="str">
        <f>IF(LEN(D203)=0,"",INDEX(Input!$1:$1048576,AY$93,$C203*2+6))</f>
        <v>Compact Conventional/Sporty Car (43)</v>
      </c>
      <c r="AZ203" s="41" t="str">
        <f>INDEX(Input!$1:$1048576,AZ$93,$C203*2+6)</f>
        <v>Kia Forte</v>
      </c>
      <c r="BA203" s="3">
        <f>INDEX(Input!$1:$1048576,BA$93,$C203*2+6)</f>
        <v>2020</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19695</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94"/>
        <v>1600</v>
      </c>
      <c r="CJ203" s="16" t="str">
        <f>INDEX(Input!$1:$1048576,CJ$93,$C203*2+6)</f>
        <v>N</v>
      </c>
      <c r="CK203" s="1" t="str">
        <f t="shared" si="495"/>
        <v>Market</v>
      </c>
      <c r="CL203" s="1" t="str">
        <f t="shared" si="496"/>
        <v>Market</v>
      </c>
      <c r="CM203" s="1" t="str">
        <f t="shared" si="497"/>
        <v>Market</v>
      </c>
      <c r="CN203" s="1" t="str">
        <f t="shared" si="498"/>
        <v>Market</v>
      </c>
      <c r="CO203" s="1" t="str">
        <f t="shared" si="499"/>
        <v>Market</v>
      </c>
      <c r="CP203" s="304">
        <f t="shared" si="500"/>
        <v>350</v>
      </c>
      <c r="CQ203" s="1">
        <f t="shared" si="501"/>
        <v>0</v>
      </c>
      <c r="CR203" s="1">
        <f t="shared" si="502"/>
        <v>0</v>
      </c>
      <c r="CS203" s="1">
        <f t="shared" si="503"/>
        <v>0</v>
      </c>
      <c r="CT203" s="1">
        <f t="shared" si="504"/>
        <v>1.9E-2</v>
      </c>
      <c r="CU203" s="1">
        <f t="shared" si="505"/>
        <v>3.9E-2</v>
      </c>
      <c r="CV203" s="304">
        <f t="shared" si="506"/>
        <v>1650</v>
      </c>
      <c r="CW203" s="20" t="s">
        <v>122</v>
      </c>
      <c r="CX203" s="20" t="s">
        <v>122</v>
      </c>
      <c r="CY203" s="20" t="s">
        <v>122</v>
      </c>
      <c r="CZ203" s="20" t="s">
        <v>122</v>
      </c>
      <c r="DA203" s="20" t="s">
        <v>122</v>
      </c>
      <c r="DB203" s="503">
        <f t="shared" si="507"/>
        <v>500</v>
      </c>
      <c r="DC203" s="127">
        <v>0</v>
      </c>
      <c r="DD203" s="127">
        <v>0</v>
      </c>
      <c r="DE203" s="127">
        <v>0</v>
      </c>
      <c r="DF203" s="127">
        <v>0</v>
      </c>
      <c r="DG203" s="127">
        <v>0</v>
      </c>
      <c r="DH203" s="127">
        <v>0</v>
      </c>
      <c r="DI203" s="127">
        <v>0</v>
      </c>
      <c r="DJ203" s="127">
        <v>0</v>
      </c>
      <c r="DK203" s="127">
        <v>0</v>
      </c>
      <c r="DL203" s="127">
        <v>0</v>
      </c>
      <c r="DM203" s="304">
        <f>INDEX(Input!$1:$1048576,DM$93,$C203*2+6)</f>
        <v>20731.578947368424</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2.9561307689188413E-2</v>
      </c>
      <c r="DZ203" s="7">
        <v>0</v>
      </c>
      <c r="EA203" s="7">
        <v>0.60244631408706106</v>
      </c>
      <c r="EB203" s="7">
        <v>0</v>
      </c>
      <c r="EC203" s="7">
        <v>0</v>
      </c>
      <c r="ED203" s="7">
        <v>0</v>
      </c>
      <c r="EE203" s="7">
        <v>0</v>
      </c>
      <c r="EF203" s="7">
        <v>0</v>
      </c>
      <c r="EG203" s="7">
        <v>0</v>
      </c>
      <c r="EH203" s="7">
        <v>1.620057456080129E-2</v>
      </c>
      <c r="EI203" s="7">
        <v>2.6460855848493947E-2</v>
      </c>
      <c r="EJ203" s="7">
        <v>0.26579964508481113</v>
      </c>
      <c r="EK203" s="7">
        <v>0.64358287643851209</v>
      </c>
      <c r="EL203" s="7">
        <v>4.795604806738106E-2</v>
      </c>
      <c r="EM203" s="7">
        <v>3.33346478229921E-2</v>
      </c>
      <c r="EN203" s="7">
        <v>4.8979977346018541E-2</v>
      </c>
      <c r="EO203" s="7">
        <v>0.56255787990245676</v>
      </c>
      <c r="EP203" s="7">
        <v>0.28448431261849466</v>
      </c>
      <c r="EQ203" s="7">
        <v>6.4769556170485645E-2</v>
      </c>
      <c r="ER203" s="7">
        <v>3.9208273962544324E-2</v>
      </c>
      <c r="ES203" s="7">
        <v>0.33465773040075841</v>
      </c>
      <c r="ET203" s="7">
        <v>0.36799237822375053</v>
      </c>
      <c r="EU203" s="6">
        <v>1700</v>
      </c>
      <c r="EV203" s="6">
        <v>0</v>
      </c>
      <c r="EW203" s="6">
        <v>1700</v>
      </c>
      <c r="EX203" s="6">
        <v>0</v>
      </c>
      <c r="EY203" s="6">
        <v>2226.8295745287478</v>
      </c>
      <c r="EZ203" s="6">
        <v>1786</v>
      </c>
      <c r="FA203" s="6">
        <v>0</v>
      </c>
      <c r="FB203" s="6">
        <v>0</v>
      </c>
      <c r="FC203" s="6">
        <v>0</v>
      </c>
      <c r="FD203" s="6">
        <v>0</v>
      </c>
      <c r="FE203" s="6">
        <v>0</v>
      </c>
      <c r="FF203" s="6">
        <v>0</v>
      </c>
      <c r="FG203" s="6">
        <v>0</v>
      </c>
      <c r="FH203" s="6">
        <v>1154.783435262761</v>
      </c>
      <c r="FI203" s="6">
        <v>1531.4299904380621</v>
      </c>
      <c r="FJ203" s="6">
        <v>2070.7205842538206</v>
      </c>
      <c r="FK203" s="6">
        <v>1746.9903521590443</v>
      </c>
      <c r="FL203" s="6">
        <v>893.91433563489375</v>
      </c>
      <c r="FM203" s="6">
        <v>1776.8295745287478</v>
      </c>
      <c r="FN203" s="6">
        <v>0</v>
      </c>
      <c r="FO203" s="6">
        <v>0</v>
      </c>
      <c r="FP203" s="6">
        <v>0</v>
      </c>
      <c r="FQ203" s="6">
        <v>0</v>
      </c>
      <c r="FR203" s="6">
        <v>0</v>
      </c>
      <c r="FS203" s="6">
        <v>0</v>
      </c>
      <c r="FT203" s="7">
        <v>0.63200762177624947</v>
      </c>
      <c r="FU203" s="7">
        <v>3.33346478229921E-2</v>
      </c>
      <c r="FV203" s="7">
        <v>0.33465773040075841</v>
      </c>
      <c r="FW203" s="6">
        <v>1700</v>
      </c>
      <c r="FX203" s="6">
        <v>2226.8295745287478</v>
      </c>
      <c r="FY203" s="6">
        <v>1786</v>
      </c>
      <c r="FZ203" s="6">
        <v>2594.6978186474794</v>
      </c>
      <c r="GA203" s="6">
        <v>1746.3422431441179</v>
      </c>
      <c r="GB203" s="6">
        <v>17948.657756855882</v>
      </c>
      <c r="GC203" s="7">
        <v>9.6947029492584935E-2</v>
      </c>
      <c r="GD203" s="7">
        <v>8.8485896974546605E-2</v>
      </c>
      <c r="GE203" s="7"/>
      <c r="GF203" s="7"/>
      <c r="GG203" s="7">
        <v>-8.727583054708743E-2</v>
      </c>
      <c r="GH203" s="42">
        <v>2.026152161026348</v>
      </c>
      <c r="GI203" s="6">
        <v>11466.737571214388</v>
      </c>
      <c r="GJ203" s="14">
        <v>0.51074630601039539</v>
      </c>
      <c r="GK203" s="14">
        <v>0.50829519786161004</v>
      </c>
      <c r="GL203" s="14">
        <v>0.48925369398960483</v>
      </c>
      <c r="GM203" s="14">
        <v>0.49170480213839074</v>
      </c>
      <c r="GO203" s="5">
        <v>338.16872463277008</v>
      </c>
      <c r="GP203" s="5">
        <v>305.73596776409454</v>
      </c>
      <c r="GQ203" s="5">
        <v>527.27910984145694</v>
      </c>
      <c r="GR203" s="5">
        <v>404.20319246551543</v>
      </c>
      <c r="GS203" s="5">
        <v>334.50205195691484</v>
      </c>
      <c r="GT203" s="5">
        <v>289.18266033348181</v>
      </c>
      <c r="GU203" s="5">
        <v>254.29573314828914</v>
      </c>
      <c r="GV203" s="39" t="s">
        <v>392</v>
      </c>
      <c r="GW203" s="5">
        <v>479.875</v>
      </c>
      <c r="GX203" s="5">
        <v>359.90625</v>
      </c>
      <c r="GY203" s="5">
        <v>287.92500000000001</v>
      </c>
      <c r="GZ203" s="5">
        <v>254.06342861438094</v>
      </c>
      <c r="HA203" s="5">
        <v>235.34107974463748</v>
      </c>
      <c r="HB203" s="39">
        <v>268.6249412465678</v>
      </c>
      <c r="HC203" s="5">
        <v>204.97812499999995</v>
      </c>
      <c r="HD203" s="5">
        <v>182.99365862573094</v>
      </c>
      <c r="HE203" s="5">
        <v>187.95057776653167</v>
      </c>
      <c r="HF203" s="5">
        <v>176.40192434210525</v>
      </c>
      <c r="HG203" s="5">
        <v>173.34326754385964</v>
      </c>
      <c r="HH203" s="39">
        <v>184.67530414385516</v>
      </c>
      <c r="HI203" s="16"/>
      <c r="HJ203" s="19" t="str">
        <f t="shared" ref="HJ203:HK218" si="778">HJ202</f>
        <v>On</v>
      </c>
      <c r="HK203" s="1" t="str">
        <f t="shared" si="778"/>
        <v>On</v>
      </c>
      <c r="HL203" s="16"/>
      <c r="HM203" s="639">
        <f t="shared" si="727"/>
        <v>5.0961701597560354E-2</v>
      </c>
      <c r="HN203" s="639">
        <f t="shared" si="728"/>
        <v>3.112551654761847E-3</v>
      </c>
      <c r="HO203" s="639">
        <f t="shared" si="729"/>
        <v>3.1163314184693442E-2</v>
      </c>
      <c r="HP203" s="644">
        <f>(FT203*$GD203-HM203)/$JF203*INDEX(Input!$1:$1048576,$JG$93,$C203*2+6)</f>
        <v>93.201364547128975</v>
      </c>
      <c r="HQ203" s="644">
        <f>(FU203*$GD203-HN203)/$JF203*INDEX(Input!$1:$1048576,$JG$93,$C203*2+6)</f>
        <v>-3.0598199853201229</v>
      </c>
      <c r="HR203" s="644">
        <f>(FV203*$GD203-HO203)/$JF203*INDEX(Input!$1:$1048576,$JG$93,$C203*2+6)</f>
        <v>-29.128827447023543</v>
      </c>
      <c r="HS203" s="644">
        <f t="shared" ref="HS203:HS218" si="779">IF(AND(HJ203="On",HK203="On"),IL203/1000*INDEX(KG:KG,MATCH(C203*1000+3,$KF:$KF,0))*SUM(HY203:IA203)*1.1
+INDEX(HR:HR,MATCH(C203*1000+4,$KF:$KF,0))/INDEX(IM:IM,MATCH(C203*1000+4,$KF:$KF,0))*IM203*20%,0)</f>
        <v>-10.066030941387119</v>
      </c>
      <c r="HT203" s="644">
        <f t="shared" si="731"/>
        <v>-5.8228037172422136</v>
      </c>
      <c r="HU203" s="644">
        <f t="shared" si="732"/>
        <v>5.8257877482867508</v>
      </c>
      <c r="HV203" s="648">
        <f t="shared" si="733"/>
        <v>0</v>
      </c>
      <c r="HW203" s="648">
        <f t="shared" si="734"/>
        <v>0</v>
      </c>
      <c r="HX203" s="648">
        <f t="shared" si="735"/>
        <v>0</v>
      </c>
      <c r="HY203" s="644">
        <f>INDEX(Input!$1:$1048576,HY$93,$C203*2+6)*INDEX(Input!$1:$1048576,$JG$93,$C203*2+6)</f>
        <v>555</v>
      </c>
      <c r="HZ203" s="644">
        <f>INDEX(Input!$1:$1048576,HZ$93,$C203*2+6)*INDEX(Input!$1:$1048576,$JG$93,$C203*2+6)</f>
        <v>480</v>
      </c>
      <c r="IA203" s="644">
        <f>INDEX(Input!$1:$1048576,IA$93,$C203*2+6)*INDEX(Input!$1:$1048576,$JG$93,$C203*2+6)</f>
        <v>566</v>
      </c>
      <c r="IB203" s="644">
        <f t="shared" si="759"/>
        <v>638.13533360574195</v>
      </c>
      <c r="IC203" s="644">
        <f t="shared" si="760"/>
        <v>471.11737629743766</v>
      </c>
      <c r="ID203" s="644">
        <f>IF(AND(INDEX(Input!$1:$1048576,IA$93,$C203*2+7)="TOS",Y203&lt;=INDEX(Y:Y,MATCH(C203*1000+2,A:A))),0,1)*MAX(IA203+HR203+HU203+HX203,0%)</f>
        <v>542.69696030126318</v>
      </c>
      <c r="IE203" s="128">
        <f t="shared" ref="IE203:IE204" si="780">IB203/SUM($IB203:$ID203)</f>
        <v>0.38629223705512006</v>
      </c>
      <c r="IF203" s="128">
        <f t="shared" si="736"/>
        <v>0.28518869841787187</v>
      </c>
      <c r="IG203" s="128">
        <f t="shared" si="737"/>
        <v>0.32851906452700819</v>
      </c>
      <c r="IH203" s="21"/>
      <c r="II203" s="19">
        <f t="shared" si="738"/>
        <v>1200</v>
      </c>
      <c r="IJ203" s="19">
        <f t="shared" si="739"/>
        <v>2226.7968732767699</v>
      </c>
      <c r="IK203" s="19">
        <f t="shared" si="740"/>
        <v>1786</v>
      </c>
      <c r="IL203" s="19">
        <f t="shared" si="762"/>
        <v>500</v>
      </c>
      <c r="IM203" s="19">
        <f t="shared" si="741"/>
        <v>3.2701251977869106E-2</v>
      </c>
      <c r="IN203" s="19">
        <f t="shared" si="742"/>
        <v>0</v>
      </c>
      <c r="IO203" s="39">
        <f t="shared" si="743"/>
        <v>0</v>
      </c>
      <c r="IP203" s="39">
        <f t="shared" si="744"/>
        <v>0</v>
      </c>
      <c r="IQ203" s="39">
        <f t="shared" si="745"/>
        <v>0</v>
      </c>
      <c r="IR203" s="39">
        <v>0</v>
      </c>
      <c r="IS203" s="39">
        <v>0</v>
      </c>
      <c r="IT203" s="39">
        <v>0</v>
      </c>
      <c r="IU203" s="39">
        <v>0</v>
      </c>
      <c r="IV203" s="39">
        <v>0</v>
      </c>
      <c r="IW203" s="39">
        <v>0</v>
      </c>
      <c r="IX203" s="39">
        <f>INDEX(Input!$1:$1048576,IX$93,$C203*2+6)+INDEX(Input!$1:$1048576,IX$94,$C203*2+6)</f>
        <v>1600</v>
      </c>
      <c r="IY203" s="39">
        <f>INDEX(Input!$1:$1048576,IY$93,$C203*2+6)+INDEX(Input!$1:$1048576,IY$94,$C203*2+6)</f>
        <v>2503.5492916397525</v>
      </c>
      <c r="IZ203" s="39">
        <f>INDEX(Input!$1:$1048576,IZ$93,$C203*2+6)+INDEX(Input!$1:$1048576,IZ$94,$C203*2+6)</f>
        <v>5773.7109265464023</v>
      </c>
      <c r="JA203" s="19">
        <f t="shared" si="763"/>
        <v>2100</v>
      </c>
      <c r="JB203" s="19">
        <f t="shared" si="764"/>
        <v>2503.5819928917304</v>
      </c>
      <c r="JC203" s="19">
        <f t="shared" si="765"/>
        <v>5773.7109265464023</v>
      </c>
      <c r="JD203" s="19">
        <f t="shared" si="766"/>
        <v>3421.9811001893559</v>
      </c>
      <c r="JE203" s="21"/>
      <c r="JF203" s="1">
        <f t="shared" si="746"/>
        <v>8.5237567437015646E-2</v>
      </c>
      <c r="JG203" s="15">
        <f>INDEX(Input!$1:$1048576,JG$93,$C203*2+6)/(1+VLOOKUP(C203*1000+INDEX(Input!$1:$1048576,JG$93+1,$C203*2+6),$A:$KK,$JK$92,FALSE))</f>
        <v>1601</v>
      </c>
      <c r="JH203" s="1">
        <f t="shared" si="767"/>
        <v>3.810912999049676E-2</v>
      </c>
      <c r="JI203" s="1">
        <f t="shared" si="768"/>
        <v>-6.2854758965287831E-3</v>
      </c>
      <c r="JJ203" s="1">
        <f t="shared" si="769"/>
        <v>0</v>
      </c>
      <c r="JK203" s="1">
        <f t="shared" si="770"/>
        <v>3.1823654093967979E-2</v>
      </c>
      <c r="JL203" s="15">
        <f t="shared" si="771"/>
        <v>50.949670204442732</v>
      </c>
      <c r="JM203" s="15">
        <f t="shared" si="772"/>
        <v>1651.9496702044428</v>
      </c>
      <c r="JN203" s="21"/>
      <c r="JO203" s="19">
        <f>INDEX(Input!$1:$1048576,JO$93,$C203*2+6)</f>
        <v>5908.5</v>
      </c>
      <c r="JP203" s="19">
        <f>INDEX(Input!$1:$1048576,JP$93,$C203*2+6)</f>
        <v>3346.4235130620518</v>
      </c>
      <c r="JQ203" s="39">
        <f t="shared" ref="JQ203:JQ261" si="781">JO203-JD203</f>
        <v>2486.5188998106441</v>
      </c>
      <c r="JR203" s="39">
        <f t="shared" ref="JR203:JR205" si="782">JD203-JP203</f>
        <v>75.557587127304032</v>
      </c>
      <c r="JS203" s="39">
        <f t="shared" ref="JS203:JS261" si="783">JM203*JD203/1000000</f>
        <v>5.6529405499036427</v>
      </c>
      <c r="JT203" s="39">
        <f t="shared" si="773"/>
        <v>0.29531650549129768</v>
      </c>
      <c r="JU203" s="385">
        <f>(JQ203*JM203-INDEX(Input!$1:$1048576,Input!A$18,$C203*2+6)*JL203*INDEX(Input!$1:$1048576,Input!A$19,$C203*2+6))/1000000</f>
        <v>4.1076040764993076</v>
      </c>
      <c r="JV203" s="39">
        <f t="shared" si="749"/>
        <v>5.7196209116527896E-3</v>
      </c>
      <c r="JW203" s="1">
        <f>JV203/(JU203-JV203)</f>
        <v>1.3943885971389144E-3</v>
      </c>
      <c r="JX203" s="19">
        <f>IF(JL203=0,0,JT203/JL203)*1000000</f>
        <v>5796.2397853862167</v>
      </c>
      <c r="JZ203" s="468">
        <f>(HY203+HP203)/SUM(HP203:HR203,HY203:IA203)*IL203</f>
        <v>195.00493524273122</v>
      </c>
      <c r="KA203" s="469">
        <f>JH203/(JZ203/BX203)</f>
        <v>3.848924716846676</v>
      </c>
      <c r="KB203" s="469">
        <f t="shared" ref="KB203:KB266" si="784">KB202</f>
        <v>2.4482969984810516</v>
      </c>
      <c r="KC203" s="469">
        <f>MIN(AVERAGE(KB203*0.8,VLOOKUP(AZ201,Lookup!$B:$E,4,FALSE)*0.8),$KC$97)</f>
        <v>2.6173187993924207</v>
      </c>
      <c r="KD203" s="469">
        <f>AVERAGE(KB203,VLOOKUP(AZ201,Lookup!$B:$E,4,FALSE))</f>
        <v>3.2716484992405257</v>
      </c>
      <c r="KE203" s="469">
        <f>MIN(MAX(KA203,KC203),KD203)</f>
        <v>3.2716484992405257</v>
      </c>
      <c r="KF203" s="470">
        <f>A203</f>
        <v>2003</v>
      </c>
      <c r="KG203" s="471">
        <f>(JH203/KA203*KE203-JH203)/MAX(IL203:IN203)*1000</f>
        <v>-1.143150154165587E-2</v>
      </c>
      <c r="KH203" s="472"/>
      <c r="KI203" s="473">
        <f t="shared" ref="KI203:KI214" si="785">$JM203*IE203-$JG203*HY203/SUM($HY203:$IA203)</f>
        <v>83.135333605742062</v>
      </c>
      <c r="KJ203" s="473">
        <f t="shared" si="774"/>
        <v>-8.8826237025622845</v>
      </c>
      <c r="KK203" s="473">
        <f t="shared" si="775"/>
        <v>-23.303039698736825</v>
      </c>
      <c r="KL203" s="472" t="str">
        <f>IF(OR(KJ203&gt;0,KK203&gt;0),"Error - Adjust TR","ok")</f>
        <v>ok</v>
      </c>
      <c r="KN203" s="544">
        <f>KM203+(KN202-KM202)</f>
        <v>2002</v>
      </c>
      <c r="KO203" s="541">
        <f t="shared" si="750"/>
        <v>-4.3877189053908139E-2</v>
      </c>
      <c r="KP203" s="546">
        <f t="shared" si="751"/>
        <v>-182.20926103544929</v>
      </c>
      <c r="KQ203" s="546">
        <f t="shared" si="752"/>
        <v>-303.62247476718267</v>
      </c>
      <c r="KR203" s="548">
        <f t="shared" si="753"/>
        <v>3.8455357430054846</v>
      </c>
      <c r="KS203" s="548">
        <f t="shared" si="754"/>
        <v>2.3077745695727128</v>
      </c>
      <c r="KT203" s="473">
        <f t="shared" ref="KT203:KT266" si="786">KT202</f>
        <v>528.59039248727379</v>
      </c>
      <c r="KU203" s="663">
        <f t="shared" si="776"/>
        <v>12.231448646850151</v>
      </c>
      <c r="KV203" s="117"/>
    </row>
    <row r="204" spans="1:310" s="26" customFormat="1" ht="15">
      <c r="A204" s="561">
        <f t="shared" si="755"/>
        <v>2004</v>
      </c>
      <c r="B204" s="561">
        <f t="shared" si="777"/>
        <v>4</v>
      </c>
      <c r="C204" s="561">
        <f t="shared" si="105"/>
        <v>2</v>
      </c>
      <c r="D204" s="561" t="s">
        <v>741</v>
      </c>
      <c r="E204" s="115">
        <f>INDEX(Input!$1:$1048576,E$93,$C204*2+MIN($B204,1)+5)</f>
        <v>750</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1.9E-2</v>
      </c>
      <c r="W204" s="863">
        <f>INDEX(Input!$1:$1048576,W$93,$C204*2+MIN($B204,1)+5)</f>
        <v>3.9E-2</v>
      </c>
      <c r="X204" s="476" t="str">
        <f>INDEX(Input!$1:$1048576,X$93,$C204*2+MIN($B204,1)+5)</f>
        <v>Y</v>
      </c>
      <c r="Y204" s="150">
        <f>INDEX(Input!$1:$1048576,Y$93,$C204*2+MIN($B204,1)+5)</f>
        <v>1475</v>
      </c>
      <c r="Z204" s="30">
        <f>INDEX(Input!$1:$1048576,Z$93,$C204*2+MIN($B204,1)+5)</f>
        <v>0</v>
      </c>
      <c r="AA204" s="115">
        <f>INDEX(Input!$1:$1048576,AA$93,$C204*2+MIN($B204,1)+5)</f>
        <v>0</v>
      </c>
      <c r="AB204" s="118">
        <f>INDEX(Input!$1:$1048576,AB$93,$C204*2+MIN($B204,1)+5)</f>
        <v>1</v>
      </c>
      <c r="AC204" s="115">
        <f>INDEX(Input!$1:$1048576,AC$93,$C204*2+MIN($B204,1)+5)</f>
        <v>1000</v>
      </c>
      <c r="AD204" s="118">
        <f>INDEX(Input!$1:$1048576,AD$93,$C204*2+MIN($B204,1)+5)</f>
        <v>0.35</v>
      </c>
      <c r="AE204" s="115">
        <f>INDEX(Input!$1:$1048576,AE$93,$C204*2+MIN($B204,1)+5)</f>
        <v>0</v>
      </c>
      <c r="AF204" s="118">
        <f>INDEX(Input!$1:$1048576,AF$93,$C204*2+MIN($B204,1)+5)</f>
        <v>1</v>
      </c>
      <c r="AG204" s="115">
        <f>INDEX(Input!$1:$1048576,AG$93,$C204*2+MIN($B204,1)+5)</f>
        <v>500</v>
      </c>
      <c r="AH204" s="118">
        <f>INDEX(Input!$1:$1048576,AH$93,$C204*2+MIN($B204,1)+5)</f>
        <v>1</v>
      </c>
      <c r="AI204" s="115">
        <f>INDEX(Input!$1:$1048576,AI$93,$C204*2+MIN($B204,1)+5)</f>
        <v>500</v>
      </c>
      <c r="AJ204" s="118">
        <f>INDEX(Input!$1:$1048576,AJ$93,$C204*2+MIN($B204,1)+5)</f>
        <v>0.35</v>
      </c>
      <c r="AK204" s="150">
        <f>ROUND(INDEX(Input!$1:$1048576,AK$93,$C203*2+MIN($B204,1)+5)+(Y204-VLOOKUP($C204*1000+1,$A:$HH,Y$92,FALSE)),0)</f>
        <v>5099</v>
      </c>
      <c r="AL204" s="150">
        <f>ROUND(INDEX(Input!$1:$1048576,AL$93,$C203*2+MIN($B204,1)+5)-(Y204-VLOOKUP($C204*1000+1,$A:$HH,Y$92,FALSE))/36,0)</f>
        <v>5099</v>
      </c>
      <c r="AM204" s="32" t="str">
        <f t="shared" si="756"/>
        <v>3.5/4/4.5/4.5</v>
      </c>
      <c r="AN204" s="32" t="str">
        <f t="shared" si="757"/>
        <v>$500 + 0/0/0/1.9/3.9</v>
      </c>
      <c r="AO204" s="32" t="str">
        <f t="shared" si="758"/>
        <v>0/0/0/1.9/3.9</v>
      </c>
      <c r="AP204" s="32" t="str">
        <f t="shared" si="493"/>
        <v>0/0.9/1.9/3.9</v>
      </c>
      <c r="AQ204" s="536">
        <f t="shared" si="492"/>
        <v>850.33386359421945</v>
      </c>
      <c r="AR204" s="32"/>
      <c r="AS204" s="302"/>
      <c r="AT204" s="3">
        <f t="shared" si="106"/>
        <v>4</v>
      </c>
      <c r="AU204" s="41" t="s">
        <v>121</v>
      </c>
      <c r="AV204" s="41" t="s">
        <v>116</v>
      </c>
      <c r="AW204" s="41" t="str">
        <f>INDEX(Input!$1:$1048576,AW$93,$C204*2+6)</f>
        <v>Kia</v>
      </c>
      <c r="AX204" s="41" t="str">
        <f>INDEX(Input!$1:$1048576,AX$93,$C204*2+6)</f>
        <v>Kia-LR - L2</v>
      </c>
      <c r="AY204" s="41" t="str">
        <f>IF(LEN(D204)=0,"",INDEX(Input!$1:$1048576,AY$93,$C204*2+6))</f>
        <v>Compact Conventional/Sporty Car (43)</v>
      </c>
      <c r="AZ204" s="41" t="str">
        <f>INDEX(Input!$1:$1048576,AZ$93,$C204*2+6)</f>
        <v>Kia Forte</v>
      </c>
      <c r="BA204" s="3">
        <f>INDEX(Input!$1:$1048576,BA$93,$C204*2+6)</f>
        <v>2020</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19695</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94"/>
        <v>1100</v>
      </c>
      <c r="CJ204" s="16" t="str">
        <f>INDEX(Input!$1:$1048576,CJ$93,$C204*2+6)</f>
        <v>N</v>
      </c>
      <c r="CK204" s="1">
        <f t="shared" si="495"/>
        <v>3.4999999999999996E-2</v>
      </c>
      <c r="CL204" s="1">
        <f t="shared" si="496"/>
        <v>0.04</v>
      </c>
      <c r="CM204" s="1">
        <f t="shared" si="497"/>
        <v>4.4499999999999998E-2</v>
      </c>
      <c r="CN204" s="1">
        <f t="shared" si="498"/>
        <v>4.4499999999999998E-2</v>
      </c>
      <c r="CO204" s="1" t="str">
        <f t="shared" si="499"/>
        <v>Market</v>
      </c>
      <c r="CP204" s="304">
        <f t="shared" si="500"/>
        <v>850</v>
      </c>
      <c r="CQ204" s="1">
        <f t="shared" si="501"/>
        <v>0</v>
      </c>
      <c r="CR204" s="1">
        <f t="shared" si="502"/>
        <v>0</v>
      </c>
      <c r="CS204" s="1">
        <f t="shared" si="503"/>
        <v>0</v>
      </c>
      <c r="CT204" s="1">
        <f t="shared" si="504"/>
        <v>1.9E-2</v>
      </c>
      <c r="CU204" s="1">
        <f t="shared" si="505"/>
        <v>3.9E-2</v>
      </c>
      <c r="CV204" s="304">
        <f t="shared" si="506"/>
        <v>1650</v>
      </c>
      <c r="CW204" s="20" t="s">
        <v>122</v>
      </c>
      <c r="CX204" s="20" t="s">
        <v>122</v>
      </c>
      <c r="CY204" s="20" t="s">
        <v>122</v>
      </c>
      <c r="CZ204" s="20" t="s">
        <v>122</v>
      </c>
      <c r="DA204" s="20" t="s">
        <v>122</v>
      </c>
      <c r="DB204" s="503">
        <f t="shared" si="507"/>
        <v>500</v>
      </c>
      <c r="DC204" s="127">
        <v>0</v>
      </c>
      <c r="DD204" s="127">
        <v>0</v>
      </c>
      <c r="DE204" s="127">
        <v>0</v>
      </c>
      <c r="DF204" s="127">
        <v>0</v>
      </c>
      <c r="DG204" s="127">
        <v>0</v>
      </c>
      <c r="DH204" s="127">
        <v>0</v>
      </c>
      <c r="DI204" s="127">
        <v>0</v>
      </c>
      <c r="DJ204" s="127">
        <v>0</v>
      </c>
      <c r="DK204" s="127">
        <v>0</v>
      </c>
      <c r="DL204" s="127">
        <v>0</v>
      </c>
      <c r="DM204" s="304">
        <f>INDEX(Input!$1:$1048576,DM$93,$C204*2+6)</f>
        <v>20731.578947368424</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2.7624127613776469E-2</v>
      </c>
      <c r="DZ204" s="7">
        <v>0</v>
      </c>
      <c r="EA204" s="7">
        <v>0.56656070113167278</v>
      </c>
      <c r="EB204" s="7">
        <v>0</v>
      </c>
      <c r="EC204" s="7">
        <v>0</v>
      </c>
      <c r="ED204" s="7">
        <v>0</v>
      </c>
      <c r="EE204" s="7">
        <v>0</v>
      </c>
      <c r="EF204" s="7">
        <v>0</v>
      </c>
      <c r="EG204" s="7">
        <v>0</v>
      </c>
      <c r="EH204" s="7">
        <v>1.6192514491433323E-2</v>
      </c>
      <c r="EI204" s="7">
        <v>2.6445931816747682E-2</v>
      </c>
      <c r="EJ204" s="7">
        <v>0.26568114534592946</v>
      </c>
      <c r="EK204" s="7">
        <v>0.64372446426648111</v>
      </c>
      <c r="EL204" s="7">
        <v>4.7955944079408751E-2</v>
      </c>
      <c r="EM204" s="7">
        <v>4.2048229636587393E-2</v>
      </c>
      <c r="EN204" s="7">
        <v>4.8989622629882774E-2</v>
      </c>
      <c r="EO204" s="7">
        <v>0.56260116075037481</v>
      </c>
      <c r="EP204" s="7">
        <v>0.28443872367016271</v>
      </c>
      <c r="EQ204" s="7">
        <v>6.4781165350635342E-2</v>
      </c>
      <c r="ER204" s="7">
        <v>3.9189327598944564E-2</v>
      </c>
      <c r="ES204" s="7">
        <v>0.36376694161796336</v>
      </c>
      <c r="ET204" s="7">
        <v>0.40581517125455069</v>
      </c>
      <c r="EU204" s="6">
        <v>1200</v>
      </c>
      <c r="EV204" s="6">
        <v>0</v>
      </c>
      <c r="EW204" s="6">
        <v>1200</v>
      </c>
      <c r="EX204" s="6">
        <v>0</v>
      </c>
      <c r="EY204" s="6">
        <v>2726.7992727054989</v>
      </c>
      <c r="EZ204" s="6">
        <v>1786</v>
      </c>
      <c r="FA204" s="6">
        <v>0</v>
      </c>
      <c r="FB204" s="6">
        <v>0</v>
      </c>
      <c r="FC204" s="6">
        <v>0</v>
      </c>
      <c r="FD204" s="6">
        <v>0</v>
      </c>
      <c r="FE204" s="6">
        <v>0</v>
      </c>
      <c r="FF204" s="6">
        <v>0</v>
      </c>
      <c r="FG204" s="6">
        <v>0</v>
      </c>
      <c r="FH204" s="6">
        <v>1154.7822715500122</v>
      </c>
      <c r="FI204" s="6">
        <v>1531.4299904380607</v>
      </c>
      <c r="FJ204" s="6">
        <v>2070.7205842538224</v>
      </c>
      <c r="FK204" s="6">
        <v>1746.9903521590436</v>
      </c>
      <c r="FL204" s="6">
        <v>893.91433563489318</v>
      </c>
      <c r="FM204" s="6">
        <v>1776.7992727054991</v>
      </c>
      <c r="FN204" s="6">
        <v>0</v>
      </c>
      <c r="FO204" s="6">
        <v>0</v>
      </c>
      <c r="FP204" s="6">
        <v>0</v>
      </c>
      <c r="FQ204" s="6">
        <v>0</v>
      </c>
      <c r="FR204" s="6">
        <v>0</v>
      </c>
      <c r="FS204" s="6">
        <v>0</v>
      </c>
      <c r="FT204" s="7">
        <v>0.5941848287454492</v>
      </c>
      <c r="FU204" s="7">
        <v>4.2048229636587393E-2</v>
      </c>
      <c r="FV204" s="7">
        <v>0.36376694161796336</v>
      </c>
      <c r="FW204" s="6">
        <v>1200</v>
      </c>
      <c r="FX204" s="6">
        <v>2726.7992727054989</v>
      </c>
      <c r="FY204" s="6">
        <v>1786</v>
      </c>
      <c r="FZ204" s="6">
        <v>2594.6978186474794</v>
      </c>
      <c r="GA204" s="6">
        <v>1477.3666342158219</v>
      </c>
      <c r="GB204" s="6">
        <v>18217.633365784179</v>
      </c>
      <c r="GC204" s="7">
        <v>9.6947029492584935E-2</v>
      </c>
      <c r="GD204" s="7">
        <v>8.5419295098062176E-2</v>
      </c>
      <c r="GE204" s="7"/>
      <c r="GF204" s="7"/>
      <c r="GG204" s="7">
        <v>-0.11890755657866203</v>
      </c>
      <c r="GH204" s="42">
        <v>2.0959625574291776</v>
      </c>
      <c r="GI204" s="6">
        <v>10874.003959720856</v>
      </c>
      <c r="GJ204" s="14">
        <v>0.51074630601039539</v>
      </c>
      <c r="GK204" s="14">
        <v>0.50829519786160937</v>
      </c>
      <c r="GL204" s="14">
        <v>0.48925369398960383</v>
      </c>
      <c r="GM204" s="14">
        <v>0.49170480213839002</v>
      </c>
      <c r="GO204" s="5">
        <v>338.16872463277008</v>
      </c>
      <c r="GP204" s="5">
        <v>315.27501390194027</v>
      </c>
      <c r="GQ204" s="5">
        <v>519.39401419935825</v>
      </c>
      <c r="GR204" s="5">
        <v>400.22503305126548</v>
      </c>
      <c r="GS204" s="5">
        <v>330.05398937228341</v>
      </c>
      <c r="GT204" s="5">
        <v>280.96783041547633</v>
      </c>
      <c r="GU204" s="5">
        <v>254.29573314828914</v>
      </c>
      <c r="GV204" s="39" t="s">
        <v>392</v>
      </c>
      <c r="GW204" s="5">
        <v>465.98611111111109</v>
      </c>
      <c r="GX204" s="5">
        <v>349.48958333333331</v>
      </c>
      <c r="GY204" s="5">
        <v>279.59166666666664</v>
      </c>
      <c r="GZ204" s="5">
        <v>246.7101413400797</v>
      </c>
      <c r="HA204" s="5">
        <v>228.52966821545922</v>
      </c>
      <c r="HB204" s="39">
        <v>260.84300833032455</v>
      </c>
      <c r="HC204" s="5">
        <v>204.97812499999995</v>
      </c>
      <c r="HD204" s="5">
        <v>182.99365862573094</v>
      </c>
      <c r="HE204" s="5">
        <v>187.95057776653167</v>
      </c>
      <c r="HF204" s="5">
        <v>176.40192434210525</v>
      </c>
      <c r="HG204" s="5">
        <v>173.34326754385964</v>
      </c>
      <c r="HH204" s="39">
        <v>184.67539652473093</v>
      </c>
      <c r="HI204" s="16"/>
      <c r="HJ204" s="19" t="str">
        <f t="shared" si="778"/>
        <v>On</v>
      </c>
      <c r="HK204" s="1" t="str">
        <f t="shared" si="778"/>
        <v>On</v>
      </c>
      <c r="HL204" s="16"/>
      <c r="HM204" s="639">
        <f t="shared" si="727"/>
        <v>5.0961701597560354E-2</v>
      </c>
      <c r="HN204" s="639">
        <f t="shared" si="728"/>
        <v>3.112551654761847E-3</v>
      </c>
      <c r="HO204" s="639">
        <f t="shared" si="729"/>
        <v>3.1163314184693442E-2</v>
      </c>
      <c r="HP204" s="644">
        <f>(FT204*$GD204-HM204)/$JF204*INDEX(Input!$1:$1048576,$JG$93,$C204*2+6)</f>
        <v>-3.8852662198618222</v>
      </c>
      <c r="HQ204" s="644">
        <f>(FU204*$GD204-HN204)/$JF204*INDEX(Input!$1:$1048576,$JG$93,$C204*2+6)</f>
        <v>9.0003125501537564</v>
      </c>
      <c r="HR204" s="644">
        <f>(FV204*$GD204-HO204)/$JF204*INDEX(Input!$1:$1048576,$JG$93,$C204*2+6)</f>
        <v>-1.7016924056802416</v>
      </c>
      <c r="HS204" s="644">
        <f t="shared" si="779"/>
        <v>-0.34033848113604837</v>
      </c>
      <c r="HT204" s="644">
        <f t="shared" si="731"/>
        <v>45.285519612867645</v>
      </c>
      <c r="HU204" s="644">
        <f t="shared" si="732"/>
        <v>0.34033848113604837</v>
      </c>
      <c r="HV204" s="648">
        <f t="shared" si="733"/>
        <v>0</v>
      </c>
      <c r="HW204" s="648">
        <f t="shared" si="734"/>
        <v>0</v>
      </c>
      <c r="HX204" s="648">
        <f t="shared" si="735"/>
        <v>0</v>
      </c>
      <c r="HY204" s="644">
        <f>INDEX(Input!$1:$1048576,HY$93,$C204*2+6)*INDEX(Input!$1:$1048576,$JG$93,$C204*2+6)</f>
        <v>555</v>
      </c>
      <c r="HZ204" s="644">
        <f>INDEX(Input!$1:$1048576,HZ$93,$C204*2+6)*INDEX(Input!$1:$1048576,$JG$93,$C204*2+6)</f>
        <v>480</v>
      </c>
      <c r="IA204" s="644">
        <f>INDEX(Input!$1:$1048576,IA$93,$C204*2+6)*INDEX(Input!$1:$1048576,$JG$93,$C204*2+6)</f>
        <v>566</v>
      </c>
      <c r="IB204" s="644">
        <f t="shared" si="759"/>
        <v>550.77439529900198</v>
      </c>
      <c r="IC204" s="644">
        <f t="shared" si="760"/>
        <v>534.28583216302138</v>
      </c>
      <c r="ID204" s="644">
        <f>IF(AND(INDEX(Input!$1:$1048576,IA$93,$C204*2+7)="TOS",Y204&lt;=INDEX(Y:Y,MATCH(C204*1000+2,A:A))),0,1)*MAX(IA204+HR204+HU204+HX204,0%)</f>
        <v>564.63864607545588</v>
      </c>
      <c r="IE204" s="128">
        <f t="shared" si="780"/>
        <v>0.33386359421945078</v>
      </c>
      <c r="IF204" s="128">
        <f t="shared" si="736"/>
        <v>0.32386870157542302</v>
      </c>
      <c r="IG204" s="128">
        <f t="shared" si="737"/>
        <v>0.34226770420512626</v>
      </c>
      <c r="IH204" s="21"/>
      <c r="II204" s="19">
        <f t="shared" si="738"/>
        <v>1200</v>
      </c>
      <c r="IJ204" s="19">
        <f t="shared" si="739"/>
        <v>2226.7968732767699</v>
      </c>
      <c r="IK204" s="19">
        <f t="shared" si="740"/>
        <v>1786</v>
      </c>
      <c r="IL204" s="19">
        <f t="shared" si="762"/>
        <v>0</v>
      </c>
      <c r="IM204" s="19">
        <f t="shared" si="741"/>
        <v>500.00239942872895</v>
      </c>
      <c r="IN204" s="19">
        <f t="shared" si="742"/>
        <v>0</v>
      </c>
      <c r="IO204" s="39">
        <f t="shared" si="743"/>
        <v>0</v>
      </c>
      <c r="IP204" s="39">
        <f t="shared" si="744"/>
        <v>0</v>
      </c>
      <c r="IQ204" s="39">
        <f t="shared" si="745"/>
        <v>0</v>
      </c>
      <c r="IR204" s="39">
        <v>0</v>
      </c>
      <c r="IS204" s="39">
        <v>0</v>
      </c>
      <c r="IT204" s="39">
        <v>0</v>
      </c>
      <c r="IU204" s="39">
        <v>0</v>
      </c>
      <c r="IV204" s="39">
        <v>0</v>
      </c>
      <c r="IW204" s="39">
        <v>0</v>
      </c>
      <c r="IX204" s="39">
        <f>INDEX(Input!$1:$1048576,IX$93,$C204*2+6)+INDEX(Input!$1:$1048576,IX$94,$C204*2+6)</f>
        <v>1600</v>
      </c>
      <c r="IY204" s="39">
        <f>INDEX(Input!$1:$1048576,IY$93,$C204*2+6)+INDEX(Input!$1:$1048576,IY$94,$C204*2+6)</f>
        <v>2503.5492916397525</v>
      </c>
      <c r="IZ204" s="39">
        <f>INDEX(Input!$1:$1048576,IZ$93,$C204*2+6)+INDEX(Input!$1:$1048576,IZ$94,$C204*2+6)</f>
        <v>5773.7109265464023</v>
      </c>
      <c r="JA204" s="19">
        <f t="shared" si="763"/>
        <v>1600</v>
      </c>
      <c r="JB204" s="19">
        <f t="shared" si="764"/>
        <v>3003.5516910684814</v>
      </c>
      <c r="JC204" s="19">
        <f t="shared" si="765"/>
        <v>5773.7109265464023</v>
      </c>
      <c r="JD204" s="19">
        <f t="shared" si="766"/>
        <v>3483.0929206252258</v>
      </c>
      <c r="JE204" s="21"/>
      <c r="JF204" s="1">
        <f t="shared" si="746"/>
        <v>8.5237567437015646E-2</v>
      </c>
      <c r="JG204" s="15">
        <f>INDEX(Input!$1:$1048576,JG$93,$C204*2+6)/(1+VLOOKUP(C204*1000+INDEX(Input!$1:$1048576,JG$93+1,$C204*2+6),$A:$KK,$JK$92,FALSE))</f>
        <v>1601</v>
      </c>
      <c r="JH204" s="1">
        <f t="shared" si="767"/>
        <v>2.1320136943233552E-3</v>
      </c>
      <c r="JI204" s="1">
        <f t="shared" si="768"/>
        <v>2.8285771151072857E-2</v>
      </c>
      <c r="JJ204" s="1">
        <f t="shared" si="769"/>
        <v>0</v>
      </c>
      <c r="JK204" s="1">
        <f t="shared" si="770"/>
        <v>3.0417784845396211E-2</v>
      </c>
      <c r="JL204" s="15">
        <f t="shared" si="771"/>
        <v>48.698873537479336</v>
      </c>
      <c r="JM204" s="15">
        <f t="shared" si="772"/>
        <v>1649.6988735374794</v>
      </c>
      <c r="JN204" s="21"/>
      <c r="JO204" s="19">
        <f>INDEX(Input!$1:$1048576,JO$93,$C204*2+6)</f>
        <v>5908.5</v>
      </c>
      <c r="JP204" s="19">
        <f>INDEX(Input!$1:$1048576,JP$93,$C204*2+6)</f>
        <v>3346.4235130620518</v>
      </c>
      <c r="JQ204" s="39">
        <f t="shared" si="781"/>
        <v>2425.4070793747742</v>
      </c>
      <c r="JR204" s="39">
        <f t="shared" si="782"/>
        <v>136.66940756317399</v>
      </c>
      <c r="JS204" s="39">
        <f t="shared" si="783"/>
        <v>5.7460544675818035</v>
      </c>
      <c r="JT204" s="39">
        <f t="shared" si="773"/>
        <v>0.38843042316945919</v>
      </c>
      <c r="JU204" s="385">
        <f>(JQ204*JM204-INDEX(Input!$1:$1048576,Input!A$18,$C204*2+6)*JL204*INDEX(Input!$1:$1048576,Input!A$19,$C204*2+6))/1000000</f>
        <v>4.0011913267143928</v>
      </c>
      <c r="JV204" s="39">
        <f t="shared" si="749"/>
        <v>-0.10069312887326198</v>
      </c>
      <c r="JW204" s="1">
        <f>JV204/(JU204-JV204)</f>
        <v>-2.4548016884311828E-2</v>
      </c>
      <c r="JX204" s="19">
        <f t="shared" ref="JX204:JX261" si="787">IF(JL204=0,0,JT204/JL204)*1000000</f>
        <v>7976.1685425950909</v>
      </c>
      <c r="JZ204" s="468">
        <f>(HZ204+HQ204)/SUM(HP204:HR204,HY204:IA204)*IM204</f>
        <v>152.39297840446915</v>
      </c>
      <c r="KA204" s="469">
        <f>JH204/(JZ204/BX204)</f>
        <v>0.27553769307042469</v>
      </c>
      <c r="KB204" s="469">
        <f t="shared" si="784"/>
        <v>2.4482969984810516</v>
      </c>
      <c r="KC204" s="469">
        <f>MIN(KE203+0.5,KE203*1.1)</f>
        <v>3.5988133491645784</v>
      </c>
      <c r="KD204" s="469">
        <f>KC204+2</f>
        <v>5.598813349164578</v>
      </c>
      <c r="KE204" s="469">
        <f>MIN(MAX(KA204,KC204),KD204)</f>
        <v>3.5988133491645784</v>
      </c>
      <c r="KF204" s="470">
        <f>A204</f>
        <v>2004</v>
      </c>
      <c r="KG204" s="471">
        <f>IF(HK204="Off",0,(JH204/KA204*KE204-JH204)/MAX(IL204:IN204)*1000)</f>
        <v>5.1428428022437106E-2</v>
      </c>
      <c r="KH204" s="472"/>
      <c r="KI204" s="473">
        <f t="shared" si="785"/>
        <v>-4.2256047009979056</v>
      </c>
      <c r="KJ204" s="473">
        <f t="shared" si="774"/>
        <v>54.285832163021382</v>
      </c>
      <c r="KK204" s="473">
        <f t="shared" si="775"/>
        <v>-1.3613539245440052</v>
      </c>
      <c r="KL204" s="472" t="str">
        <f>IF(OR(KI204&gt;0,KK204&gt;0),"Error - Adjust TR","ok")</f>
        <v>ok</v>
      </c>
      <c r="KN204" s="544">
        <f t="shared" ref="KN204:KN261" si="788">KM204+(KN203-KM203)</f>
        <v>2002</v>
      </c>
      <c r="KO204" s="541">
        <f t="shared" si="750"/>
        <v>-4.517991520525555E-2</v>
      </c>
      <c r="KP204" s="546">
        <f t="shared" si="751"/>
        <v>-212.39892279864949</v>
      </c>
      <c r="KQ204" s="546">
        <f t="shared" si="752"/>
        <v>-242.51065433131271</v>
      </c>
      <c r="KR204" s="548">
        <f t="shared" si="753"/>
        <v>3.3968909392565068</v>
      </c>
      <c r="KS204" s="548">
        <f t="shared" si="754"/>
        <v>2.9751104270119315</v>
      </c>
      <c r="KT204" s="473">
        <f t="shared" si="786"/>
        <v>528.59039248727379</v>
      </c>
      <c r="KU204" s="663">
        <f t="shared" si="776"/>
        <v>11.992768271147487</v>
      </c>
      <c r="KV204" s="117"/>
    </row>
    <row r="205" spans="1:310" s="26" customFormat="1" ht="15">
      <c r="A205" s="561">
        <f t="shared" si="755"/>
        <v>2005</v>
      </c>
      <c r="B205" s="561">
        <f t="shared" si="777"/>
        <v>5</v>
      </c>
      <c r="C205" s="561">
        <f t="shared" si="105"/>
        <v>2</v>
      </c>
      <c r="D205" s="561" t="s">
        <v>568</v>
      </c>
      <c r="E205" s="115">
        <f>INDEX(Input!$1:$1048576,E$93,$C205*2+MIN($B205,1)+5)</f>
        <v>750</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1.9E-2</v>
      </c>
      <c r="W205" s="862">
        <f>INDEX(Input!$1:$1048576,W$93,$C205*2+MIN($B205,1)+5)</f>
        <v>3.9E-2</v>
      </c>
      <c r="X205" s="118" t="str">
        <f>INDEX(Input!$1:$1048576,X$93,$C205*2+MIN($B205,1)+5)</f>
        <v>Y</v>
      </c>
      <c r="Y205" s="475">
        <f>INDEX(Input!$1:$1048576,Y$93,$C205*2+MIN($B205,1)+5)+500</f>
        <v>1975</v>
      </c>
      <c r="Z205" s="30">
        <f>INDEX(Input!$1:$1048576,Z$93,$C205*2+MIN($B205,1)+5)</f>
        <v>0</v>
      </c>
      <c r="AA205" s="115">
        <f>INDEX(Input!$1:$1048576,AA$93,$C205*2+MIN($B205,1)+5)</f>
        <v>0</v>
      </c>
      <c r="AB205" s="118">
        <f>INDEX(Input!$1:$1048576,AB$93,$C205*2+MIN($B205,1)+5)</f>
        <v>1</v>
      </c>
      <c r="AC205" s="115">
        <f>INDEX(Input!$1:$1048576,AC$93,$C205*2+MIN($B205,1)+5)</f>
        <v>1000</v>
      </c>
      <c r="AD205" s="118">
        <f>INDEX(Input!$1:$1048576,AD$93,$C205*2+MIN($B205,1)+5)</f>
        <v>0.35</v>
      </c>
      <c r="AE205" s="115">
        <f>INDEX(Input!$1:$1048576,AE$93,$C205*2+MIN($B205,1)+5)</f>
        <v>0</v>
      </c>
      <c r="AF205" s="118">
        <f>INDEX(Input!$1:$1048576,AF$93,$C205*2+MIN($B205,1)+5)</f>
        <v>1</v>
      </c>
      <c r="AG205" s="115">
        <f>INDEX(Input!$1:$1048576,AG$93,$C205*2+MIN($B205,1)+5)</f>
        <v>500</v>
      </c>
      <c r="AH205" s="118">
        <f>INDEX(Input!$1:$1048576,AH$93,$C205*2+MIN($B205,1)+5)</f>
        <v>1</v>
      </c>
      <c r="AI205" s="115">
        <f>INDEX(Input!$1:$1048576,AI$93,$C205*2+MIN($B205,1)+5)</f>
        <v>500</v>
      </c>
      <c r="AJ205" s="118">
        <f>INDEX(Input!$1:$1048576,AJ$93,$C205*2+MIN($B205,1)+5)</f>
        <v>0.35</v>
      </c>
      <c r="AK205" s="150">
        <f>ROUND(INDEX(Input!$1:$1048576,AK$93,$C204*2+MIN($B205,1)+5)+(Y205-VLOOKUP($C205*1000+1,$A:$HH,Y$92,FALSE)),0)</f>
        <v>5599</v>
      </c>
      <c r="AL205" s="150">
        <f>ROUND(INDEX(Input!$1:$1048576,AL$93,$C204*2+MIN($B205,1)+5)-(Y205-VLOOKUP($C205*1000+1,$A:$HH,Y$92,FALSE))/36,0)</f>
        <v>5085</v>
      </c>
      <c r="AM205" s="32" t="str">
        <f t="shared" si="756"/>
        <v>std/std/std/std</v>
      </c>
      <c r="AN205" s="32" t="str">
        <f t="shared" si="757"/>
        <v>$0 + 0/0/0/1.9/3.9</v>
      </c>
      <c r="AO205" s="32" t="str">
        <f t="shared" si="758"/>
        <v>0/0/0/1.9/3.9</v>
      </c>
      <c r="AP205" s="32" t="str">
        <f t="shared" si="493"/>
        <v>0/0.9/1.9/3.9</v>
      </c>
      <c r="AQ205" s="536">
        <f t="shared" si="492"/>
        <v>850.3136054201434</v>
      </c>
      <c r="AR205" s="32"/>
      <c r="AS205" s="302"/>
      <c r="AT205" s="3">
        <f t="shared" si="106"/>
        <v>5</v>
      </c>
      <c r="AU205" s="41" t="s">
        <v>121</v>
      </c>
      <c r="AV205" s="41" t="s">
        <v>116</v>
      </c>
      <c r="AW205" s="41" t="str">
        <f>INDEX(Input!$1:$1048576,AW$93,$C205*2+6)</f>
        <v>Kia</v>
      </c>
      <c r="AX205" s="41" t="str">
        <f>INDEX(Input!$1:$1048576,AX$93,$C205*2+6)</f>
        <v>Kia-LR - L2</v>
      </c>
      <c r="AY205" s="41" t="str">
        <f>IF(LEN(D205)=0,"",INDEX(Input!$1:$1048576,AY$93,$C205*2+6))</f>
        <v>Compact Conventional/Sporty Car (43)</v>
      </c>
      <c r="AZ205" s="41" t="str">
        <f>INDEX(Input!$1:$1048576,AZ$93,$C205*2+6)</f>
        <v>Kia Forte</v>
      </c>
      <c r="BA205" s="3">
        <f>INDEX(Input!$1:$1048576,BA$93,$C205*2+6)</f>
        <v>2020</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19695</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94"/>
        <v>1100</v>
      </c>
      <c r="CJ205" s="16" t="str">
        <f>INDEX(Input!$1:$1048576,CJ$93,$C205*2+6)</f>
        <v>N</v>
      </c>
      <c r="CK205" s="1" t="str">
        <f t="shared" si="495"/>
        <v>Market</v>
      </c>
      <c r="CL205" s="1" t="str">
        <f t="shared" si="496"/>
        <v>Market</v>
      </c>
      <c r="CM205" s="1" t="str">
        <f t="shared" si="497"/>
        <v>Market</v>
      </c>
      <c r="CN205" s="1" t="str">
        <f t="shared" si="498"/>
        <v>Market</v>
      </c>
      <c r="CO205" s="1" t="str">
        <f t="shared" si="499"/>
        <v>Market</v>
      </c>
      <c r="CP205" s="304">
        <f t="shared" si="500"/>
        <v>350</v>
      </c>
      <c r="CQ205" s="1">
        <f t="shared" si="501"/>
        <v>0</v>
      </c>
      <c r="CR205" s="1">
        <f t="shared" si="502"/>
        <v>0</v>
      </c>
      <c r="CS205" s="1">
        <f t="shared" si="503"/>
        <v>0</v>
      </c>
      <c r="CT205" s="1">
        <f t="shared" si="504"/>
        <v>1.9E-2</v>
      </c>
      <c r="CU205" s="1">
        <f t="shared" si="505"/>
        <v>3.9E-2</v>
      </c>
      <c r="CV205" s="304">
        <f t="shared" si="506"/>
        <v>2150</v>
      </c>
      <c r="CW205" s="20" t="s">
        <v>122</v>
      </c>
      <c r="CX205" s="20" t="s">
        <v>122</v>
      </c>
      <c r="CY205" s="20" t="s">
        <v>122</v>
      </c>
      <c r="CZ205" s="20" t="s">
        <v>122</v>
      </c>
      <c r="DA205" s="20" t="s">
        <v>122</v>
      </c>
      <c r="DB205" s="503">
        <f t="shared" si="507"/>
        <v>500</v>
      </c>
      <c r="DC205" s="127">
        <v>0</v>
      </c>
      <c r="DD205" s="127">
        <v>0</v>
      </c>
      <c r="DE205" s="127">
        <v>0</v>
      </c>
      <c r="DF205" s="127">
        <v>0</v>
      </c>
      <c r="DG205" s="127">
        <v>0</v>
      </c>
      <c r="DH205" s="127">
        <v>0</v>
      </c>
      <c r="DI205" s="127">
        <v>0</v>
      </c>
      <c r="DJ205" s="127">
        <v>0</v>
      </c>
      <c r="DK205" s="127">
        <v>0</v>
      </c>
      <c r="DL205" s="127">
        <v>0</v>
      </c>
      <c r="DM205" s="304">
        <f>INDEX(Input!$1:$1048576,DM$93,$C205*2+6)</f>
        <v>20731.578947368424</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2.629709205851748E-2</v>
      </c>
      <c r="DZ205" s="7">
        <v>0</v>
      </c>
      <c r="EA205" s="7">
        <v>0.5401900875189255</v>
      </c>
      <c r="EB205" s="7">
        <v>0</v>
      </c>
      <c r="EC205" s="7">
        <v>0</v>
      </c>
      <c r="ED205" s="7">
        <v>0</v>
      </c>
      <c r="EE205" s="7">
        <v>0</v>
      </c>
      <c r="EF205" s="7">
        <v>0</v>
      </c>
      <c r="EG205" s="7">
        <v>0</v>
      </c>
      <c r="EH205" s="7">
        <v>1.6173156447968493E-2</v>
      </c>
      <c r="EI205" s="7">
        <v>2.6395642410414071E-2</v>
      </c>
      <c r="EJ205" s="7">
        <v>0.26555730730082683</v>
      </c>
      <c r="EK205" s="7">
        <v>0.64390562716049138</v>
      </c>
      <c r="EL205" s="7">
        <v>4.7968266680298882E-2</v>
      </c>
      <c r="EM205" s="7">
        <v>3.4584915231678053E-2</v>
      </c>
      <c r="EN205" s="7">
        <v>5.0170392881251094E-2</v>
      </c>
      <c r="EO205" s="7">
        <v>0.56121270768523834</v>
      </c>
      <c r="EP205" s="7">
        <v>0.2867930098093181</v>
      </c>
      <c r="EQ205" s="7">
        <v>6.3397326627324779E-2</v>
      </c>
      <c r="ER205" s="7">
        <v>3.8426562996867857E-2</v>
      </c>
      <c r="ES205" s="7">
        <v>0.39892790519087895</v>
      </c>
      <c r="ET205" s="7">
        <v>0.43351282042255707</v>
      </c>
      <c r="EU205" s="6">
        <v>1200</v>
      </c>
      <c r="EV205" s="6">
        <v>0</v>
      </c>
      <c r="EW205" s="6">
        <v>1200</v>
      </c>
      <c r="EX205" s="6">
        <v>0</v>
      </c>
      <c r="EY205" s="6">
        <v>2226.7711175516074</v>
      </c>
      <c r="EZ205" s="6">
        <v>2286</v>
      </c>
      <c r="FA205" s="6">
        <v>0</v>
      </c>
      <c r="FB205" s="6">
        <v>0</v>
      </c>
      <c r="FC205" s="6">
        <v>0</v>
      </c>
      <c r="FD205" s="6">
        <v>0</v>
      </c>
      <c r="FE205" s="6">
        <v>0</v>
      </c>
      <c r="FF205" s="6">
        <v>0</v>
      </c>
      <c r="FG205" s="6">
        <v>0</v>
      </c>
      <c r="FH205" s="6">
        <v>1154.7910940756835</v>
      </c>
      <c r="FI205" s="6">
        <v>1531.4299904380621</v>
      </c>
      <c r="FJ205" s="6">
        <v>2070.7205842538224</v>
      </c>
      <c r="FK205" s="6">
        <v>1746.9903521590438</v>
      </c>
      <c r="FL205" s="6">
        <v>893.91433563489363</v>
      </c>
      <c r="FM205" s="6">
        <v>1776.7711175516074</v>
      </c>
      <c r="FN205" s="6">
        <v>0</v>
      </c>
      <c r="FO205" s="6">
        <v>0</v>
      </c>
      <c r="FP205" s="6">
        <v>0</v>
      </c>
      <c r="FQ205" s="6">
        <v>0</v>
      </c>
      <c r="FR205" s="6">
        <v>0</v>
      </c>
      <c r="FS205" s="6">
        <v>0</v>
      </c>
      <c r="FT205" s="7">
        <v>0.56648717957744299</v>
      </c>
      <c r="FU205" s="7">
        <v>3.4584915231678053E-2</v>
      </c>
      <c r="FV205" s="7">
        <v>0.39892790519087895</v>
      </c>
      <c r="FW205" s="6">
        <v>1199.9999999999998</v>
      </c>
      <c r="FX205" s="6">
        <v>2226.7711175516074</v>
      </c>
      <c r="FY205" s="6">
        <v>2286</v>
      </c>
      <c r="FZ205" s="6">
        <v>2594.6978186474794</v>
      </c>
      <c r="GA205" s="6">
        <v>1668.7464971001523</v>
      </c>
      <c r="GB205" s="6">
        <v>18026.253502899846</v>
      </c>
      <c r="GC205" s="7">
        <v>9.6947029492584935E-2</v>
      </c>
      <c r="GD205" s="7">
        <v>8.7223536372376564E-2</v>
      </c>
      <c r="GE205" s="7"/>
      <c r="GF205" s="7"/>
      <c r="GG205" s="7">
        <v>-0.10029696805668584</v>
      </c>
      <c r="GH205" s="42">
        <v>2.1333181776505126</v>
      </c>
      <c r="GI205" s="6">
        <v>10900.843334005509</v>
      </c>
      <c r="GJ205" s="14">
        <v>0.51074630601039561</v>
      </c>
      <c r="GK205" s="14">
        <v>0.50829519786160959</v>
      </c>
      <c r="GL205" s="14">
        <v>0.48925369398960417</v>
      </c>
      <c r="GM205" s="14">
        <v>0.49170480213839024</v>
      </c>
      <c r="GO205" s="5">
        <v>338.16872463277008</v>
      </c>
      <c r="GP205" s="5">
        <v>315.27501390194027</v>
      </c>
      <c r="GQ205" s="5">
        <v>527.27910984145694</v>
      </c>
      <c r="GR205" s="5">
        <v>404.20319246551543</v>
      </c>
      <c r="GS205" s="5">
        <v>334.50205195691484</v>
      </c>
      <c r="GT205" s="5">
        <v>289.18266033348181</v>
      </c>
      <c r="GU205" s="5">
        <v>254.29573314828914</v>
      </c>
      <c r="GV205" s="39" t="s">
        <v>392</v>
      </c>
      <c r="GW205" s="5">
        <v>479.875</v>
      </c>
      <c r="GX205" s="5">
        <v>359.90625</v>
      </c>
      <c r="GY205" s="5">
        <v>287.92500000000001</v>
      </c>
      <c r="GZ205" s="5">
        <v>254.06342861438094</v>
      </c>
      <c r="HA205" s="5">
        <v>235.34107974463748</v>
      </c>
      <c r="HB205" s="39">
        <v>268.60341284584047</v>
      </c>
      <c r="HC205" s="5">
        <v>183.10312499999998</v>
      </c>
      <c r="HD205" s="5">
        <v>168.06310307017537</v>
      </c>
      <c r="HE205" s="5">
        <v>174.08839827935219</v>
      </c>
      <c r="HF205" s="5">
        <v>164.83942434210525</v>
      </c>
      <c r="HG205" s="5">
        <v>163.75993421052632</v>
      </c>
      <c r="HH205" s="39">
        <v>170.17595082483035</v>
      </c>
      <c r="HI205" s="16"/>
      <c r="HJ205" s="19" t="str">
        <f t="shared" si="778"/>
        <v>On</v>
      </c>
      <c r="HK205" s="1" t="str">
        <f t="shared" si="778"/>
        <v>On</v>
      </c>
      <c r="HL205" s="16"/>
      <c r="HM205" s="639">
        <f t="shared" si="727"/>
        <v>5.0961701597560354E-2</v>
      </c>
      <c r="HN205" s="639">
        <f t="shared" si="728"/>
        <v>3.112551654761847E-3</v>
      </c>
      <c r="HO205" s="639">
        <f t="shared" si="729"/>
        <v>3.1163314184693442E-2</v>
      </c>
      <c r="HP205" s="644">
        <f>(FT205*$GD205-HM205)/$JF205*INDEX(Input!$1:$1048576,$JG$93,$C205*2+6)</f>
        <v>-29.126230809475956</v>
      </c>
      <c r="HQ205" s="644">
        <f>(FU205*$GD205-HN205)/$JF205*INDEX(Input!$1:$1048576,$JG$93,$C205*2+6)</f>
        <v>-1.8018909577896269</v>
      </c>
      <c r="HR205" s="644">
        <f>(FV205*$GD205-HO205)/$JF205*INDEX(Input!$1:$1048576,$JG$93,$C205*2+6)</f>
        <v>68.23017485391992</v>
      </c>
      <c r="HS205" s="644">
        <f t="shared" si="779"/>
        <v>1.7531244634798989E-5</v>
      </c>
      <c r="HT205" s="644">
        <f t="shared" si="731"/>
        <v>-2.332711599631923E-3</v>
      </c>
      <c r="HU205" s="644">
        <f t="shared" si="732"/>
        <v>38.564732361589471</v>
      </c>
      <c r="HV205" s="648">
        <f t="shared" si="733"/>
        <v>0</v>
      </c>
      <c r="HW205" s="648">
        <f t="shared" si="734"/>
        <v>0</v>
      </c>
      <c r="HX205" s="648">
        <f t="shared" si="735"/>
        <v>0</v>
      </c>
      <c r="HY205" s="644">
        <f>INDEX(Input!$1:$1048576,HY$93,$C205*2+6)*INDEX(Input!$1:$1048576,$JG$93,$C205*2+6)</f>
        <v>555</v>
      </c>
      <c r="HZ205" s="644">
        <f>INDEX(Input!$1:$1048576,HZ$93,$C205*2+6)*INDEX(Input!$1:$1048576,$JG$93,$C205*2+6)</f>
        <v>480</v>
      </c>
      <c r="IA205" s="644">
        <f>INDEX(Input!$1:$1048576,IA$93,$C205*2+6)*INDEX(Input!$1:$1048576,$JG$93,$C205*2+6)</f>
        <v>566</v>
      </c>
      <c r="IB205" s="644">
        <f t="shared" si="759"/>
        <v>525.87378672176885</v>
      </c>
      <c r="IC205" s="644">
        <f t="shared" si="760"/>
        <v>478.19577633061073</v>
      </c>
      <c r="ID205" s="644">
        <f>IF(AND(INDEX(Input!$1:$1048576,IA$93,$C205*2+7)="TOS",Y205&lt;=INDEX(Y:Y,MATCH(C205*1000+2,A:A))),0,1)*MAX(IA205+HR205+HU205+HX205,0%)</f>
        <v>672.7949072155094</v>
      </c>
      <c r="IE205" s="128">
        <f t="shared" ref="IE205:IE206" si="789">IB205/SUM($IB205:$ID205)</f>
        <v>0.3136054201433211</v>
      </c>
      <c r="IF205" s="128">
        <f t="shared" si="736"/>
        <v>0.28517258538742618</v>
      </c>
      <c r="IG205" s="128">
        <f t="shared" si="737"/>
        <v>0.40122199446925277</v>
      </c>
      <c r="IH205" s="21"/>
      <c r="II205" s="19">
        <f t="shared" si="738"/>
        <v>1200</v>
      </c>
      <c r="IJ205" s="19">
        <f t="shared" si="739"/>
        <v>2226.7968732767699</v>
      </c>
      <c r="IK205" s="19">
        <f t="shared" si="740"/>
        <v>1786</v>
      </c>
      <c r="IL205" s="19">
        <f t="shared" si="762"/>
        <v>0</v>
      </c>
      <c r="IM205" s="19">
        <f t="shared" si="741"/>
        <v>-2.5755725162525778E-2</v>
      </c>
      <c r="IN205" s="19">
        <f t="shared" si="742"/>
        <v>500</v>
      </c>
      <c r="IO205" s="39">
        <f t="shared" si="743"/>
        <v>0</v>
      </c>
      <c r="IP205" s="39">
        <f t="shared" si="744"/>
        <v>0</v>
      </c>
      <c r="IQ205" s="39">
        <f t="shared" si="745"/>
        <v>0</v>
      </c>
      <c r="IR205" s="39">
        <v>0</v>
      </c>
      <c r="IS205" s="39">
        <v>0</v>
      </c>
      <c r="IT205" s="39">
        <v>0</v>
      </c>
      <c r="IU205" s="39">
        <v>0</v>
      </c>
      <c r="IV205" s="39">
        <v>0</v>
      </c>
      <c r="IW205" s="39">
        <v>0</v>
      </c>
      <c r="IX205" s="39">
        <f>INDEX(Input!$1:$1048576,IX$93,$C205*2+6)+INDEX(Input!$1:$1048576,IX$94,$C205*2+6)</f>
        <v>1600</v>
      </c>
      <c r="IY205" s="39">
        <f>INDEX(Input!$1:$1048576,IY$93,$C205*2+6)+INDEX(Input!$1:$1048576,IY$94,$C205*2+6)</f>
        <v>2503.5492916397525</v>
      </c>
      <c r="IZ205" s="39">
        <f>INDEX(Input!$1:$1048576,IZ$93,$C205*2+6)+INDEX(Input!$1:$1048576,IZ$94,$C205*2+6)</f>
        <v>5773.7109265464023</v>
      </c>
      <c r="JA205" s="19">
        <f t="shared" si="763"/>
        <v>1600</v>
      </c>
      <c r="JB205" s="19">
        <f t="shared" si="764"/>
        <v>2503.52353591459</v>
      </c>
      <c r="JC205" s="19">
        <f t="shared" si="765"/>
        <v>6273.7109265464023</v>
      </c>
      <c r="JD205" s="19">
        <f t="shared" si="766"/>
        <v>3732.8557622168396</v>
      </c>
      <c r="JE205" s="21"/>
      <c r="JF205" s="1">
        <f t="shared" si="746"/>
        <v>8.5237567437015646E-2</v>
      </c>
      <c r="JG205" s="15">
        <f>INDEX(Input!$1:$1048576,JG$93,$C205*2+6)/(1+VLOOKUP(C205*1000+INDEX(Input!$1:$1048576,JG$93+1,$C205*2+6),$A:$KK,$JK$92,FALSE))</f>
        <v>1601</v>
      </c>
      <c r="JH205" s="1">
        <f t="shared" si="767"/>
        <v>2.3299221165930258E-2</v>
      </c>
      <c r="JI205" s="1">
        <f t="shared" si="768"/>
        <v>2.4086456702832274E-2</v>
      </c>
      <c r="JJ205" s="1">
        <f t="shared" si="769"/>
        <v>0</v>
      </c>
      <c r="JK205" s="1">
        <f>SUM(JH205:JJ205)</f>
        <v>4.7385677868762535E-2</v>
      </c>
      <c r="JL205" s="15">
        <f t="shared" si="771"/>
        <v>75.864470267888819</v>
      </c>
      <c r="JM205" s="15">
        <f t="shared" si="772"/>
        <v>1676.8644702678889</v>
      </c>
      <c r="JN205" s="21"/>
      <c r="JO205" s="19">
        <f>INDEX(Input!$1:$1048576,JO$93,$C205*2+6)</f>
        <v>5908.5</v>
      </c>
      <c r="JP205" s="19">
        <f>INDEX(Input!$1:$1048576,JP$93,$C205*2+6)</f>
        <v>3346.4235130620518</v>
      </c>
      <c r="JQ205" s="39">
        <f t="shared" si="781"/>
        <v>2175.6442377831604</v>
      </c>
      <c r="JR205" s="39">
        <f t="shared" si="782"/>
        <v>386.43224915478777</v>
      </c>
      <c r="JS205" s="39">
        <f t="shared" si="783"/>
        <v>6.2594932002961778</v>
      </c>
      <c r="JT205" s="39">
        <f t="shared" si="773"/>
        <v>0.90186915588383287</v>
      </c>
      <c r="JU205" s="385">
        <f>(JQ205*JM205-INDEX(Input!$1:$1048576,Input!A$18,$C205*2+6)*JL205*INDEX(Input!$1:$1048576,Input!A$19,$C205*2+6))/1000000</f>
        <v>3.6482605222816442</v>
      </c>
      <c r="JV205" s="39">
        <f t="shared" si="749"/>
        <v>-0.45362393330601058</v>
      </c>
      <c r="JW205" s="1">
        <f t="shared" ref="JW205" si="790">JV205/(JU205-JV205)</f>
        <v>-0.11058915437953806</v>
      </c>
      <c r="JX205" s="19">
        <f t="shared" si="787"/>
        <v>11887.898942669706</v>
      </c>
      <c r="JZ205" s="468">
        <f>(IA205+HR205)/SUM(HP205:HR205,HY205:IA205)*IN205</f>
        <v>193.5632607122094</v>
      </c>
      <c r="KA205" s="469">
        <f>JH205/(JZ205/BX205)</f>
        <v>2.3706883174760018</v>
      </c>
      <c r="KB205" s="469">
        <f>KB204</f>
        <v>2.4482969984810516</v>
      </c>
      <c r="KC205" s="469">
        <f>MIN(KE204+1)</f>
        <v>4.598813349164578</v>
      </c>
      <c r="KD205" s="469">
        <f>KC205+2</f>
        <v>6.598813349164578</v>
      </c>
      <c r="KE205" s="469">
        <f>MIN(MAX(KA205,KC205),KD205)</f>
        <v>4.598813349164578</v>
      </c>
      <c r="KF205" s="470">
        <f>A205</f>
        <v>2005</v>
      </c>
      <c r="KG205" s="471">
        <f>(JH205/KA205*KE205-JH205)/MAX(IL205:IN205)*1000</f>
        <v>4.3796206794428597E-2</v>
      </c>
      <c r="KH205" s="472"/>
      <c r="KI205" s="473">
        <f t="shared" si="785"/>
        <v>-29.126213278231148</v>
      </c>
      <c r="KJ205" s="473">
        <f t="shared" si="774"/>
        <v>-1.8042236693892733</v>
      </c>
      <c r="KK205" s="473">
        <f t="shared" si="775"/>
        <v>106.7949072155094</v>
      </c>
      <c r="KL205" s="472" t="str">
        <f>IF(OR(KI205&gt;0,KJ205&gt;0),"Error - Adjust TR","ok")</f>
        <v>ok</v>
      </c>
      <c r="KN205" s="544">
        <f t="shared" si="788"/>
        <v>2002</v>
      </c>
      <c r="KO205" s="541">
        <f t="shared" si="750"/>
        <v>-2.9456889755156479E-2</v>
      </c>
      <c r="KP205" s="546">
        <f t="shared" si="751"/>
        <v>-169.30833323153581</v>
      </c>
      <c r="KQ205" s="546">
        <f t="shared" si="752"/>
        <v>7.2521872603010706</v>
      </c>
      <c r="KR205" s="548">
        <f t="shared" si="753"/>
        <v>2.7784146295126111</v>
      </c>
      <c r="KS205" s="548">
        <f t="shared" si="754"/>
        <v>-64.86439650061746</v>
      </c>
      <c r="KT205" s="473">
        <f t="shared" si="786"/>
        <v>528.59039248727379</v>
      </c>
      <c r="KU205" s="663">
        <f t="shared" si="776"/>
        <v>11.461494782280667</v>
      </c>
      <c r="KV205" s="117"/>
    </row>
    <row r="206" spans="1:310" s="26" customFormat="1" ht="15">
      <c r="A206" s="561">
        <f t="shared" si="755"/>
        <v>2006</v>
      </c>
      <c r="B206" s="561">
        <f t="shared" si="777"/>
        <v>6</v>
      </c>
      <c r="C206" s="561">
        <f t="shared" si="105"/>
        <v>2</v>
      </c>
      <c r="D206" s="561" t="s">
        <v>742</v>
      </c>
      <c r="E206" s="115">
        <f>INDEX(Input!$1:$1048576,E$93,$C206*2+MIN($B206,1)+5)</f>
        <v>750</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1.9E-2</v>
      </c>
      <c r="W206" s="862">
        <f>INDEX(Input!$1:$1048576,W$93,$C206*2+MIN($B206,1)+5)</f>
        <v>3.9E-2</v>
      </c>
      <c r="X206" s="118" t="str">
        <f>INDEX(Input!$1:$1048576,X$93,$C206*2+MIN($B206,1)+5)</f>
        <v>Y</v>
      </c>
      <c r="Y206" s="150">
        <f>INDEX(Input!$1:$1048576,Y$93,$C206*2+MIN($B206,1)+5)</f>
        <v>1475</v>
      </c>
      <c r="Z206" s="477">
        <f>INDEX(Input!$1:$1048576,Z$93,$C206*2+MIN($B206,1)+5)+500</f>
        <v>500</v>
      </c>
      <c r="AA206" s="115">
        <f>INDEX(Input!$1:$1048576,AA$93,$C206*2+MIN($B206,1)+5)</f>
        <v>0</v>
      </c>
      <c r="AB206" s="118">
        <f>INDEX(Input!$1:$1048576,AB$93,$C206*2+MIN($B206,1)+5)</f>
        <v>1</v>
      </c>
      <c r="AC206" s="115">
        <f>INDEX(Input!$1:$1048576,AC$93,$C206*2+MIN($B206,1)+5)</f>
        <v>1000</v>
      </c>
      <c r="AD206" s="118">
        <f>INDEX(Input!$1:$1048576,AD$93,$C206*2+MIN($B206,1)+5)</f>
        <v>0.35</v>
      </c>
      <c r="AE206" s="115">
        <f>INDEX(Input!$1:$1048576,AE$93,$C206*2+MIN($B206,1)+5)</f>
        <v>0</v>
      </c>
      <c r="AF206" s="118">
        <f>INDEX(Input!$1:$1048576,AF$93,$C206*2+MIN($B206,1)+5)</f>
        <v>1</v>
      </c>
      <c r="AG206" s="115">
        <f>INDEX(Input!$1:$1048576,AG$93,$C206*2+MIN($B206,1)+5)</f>
        <v>500</v>
      </c>
      <c r="AH206" s="118">
        <f>INDEX(Input!$1:$1048576,AH$93,$C206*2+MIN($B206,1)+5)</f>
        <v>1</v>
      </c>
      <c r="AI206" s="115">
        <f>INDEX(Input!$1:$1048576,AI$93,$C206*2+MIN($B206,1)+5)</f>
        <v>500</v>
      </c>
      <c r="AJ206" s="118">
        <f>INDEX(Input!$1:$1048576,AJ$93,$C206*2+MIN($B206,1)+5)</f>
        <v>0.35</v>
      </c>
      <c r="AK206" s="150">
        <f>ROUND(INDEX(Input!$1:$1048576,AK$93,$C205*2+MIN($B206,1)+5)+(Y206-VLOOKUP($C206*1000+1,$A:$HH,Y$92,FALSE)),0)</f>
        <v>5099</v>
      </c>
      <c r="AL206" s="150">
        <f>ROUND(INDEX(Input!$1:$1048576,AL$93,$C205*2+MIN($B206,1)+5)-(Y206-VLOOKUP($C206*1000+1,$A:$HH,Y$92,FALSE))/36,0)</f>
        <v>5099</v>
      </c>
      <c r="AM206" s="32" t="str">
        <f t="shared" si="756"/>
        <v>std/std/std/std</v>
      </c>
      <c r="AN206" s="32" t="str">
        <f t="shared" si="757"/>
        <v>$0 + 0/0/0/1.9/3.9</v>
      </c>
      <c r="AO206" s="32" t="str">
        <f t="shared" si="758"/>
        <v>0/0/0/1.9/3.9</v>
      </c>
      <c r="AP206" s="32" t="str">
        <f t="shared" si="493"/>
        <v>0/0.9/1.9/3.9</v>
      </c>
      <c r="AQ206" s="536">
        <f t="shared" si="492"/>
        <v>850.34078711026291</v>
      </c>
      <c r="AR206" s="32"/>
      <c r="AS206" s="302"/>
      <c r="AT206" s="3">
        <f t="shared" si="106"/>
        <v>6</v>
      </c>
      <c r="AU206" s="41" t="s">
        <v>121</v>
      </c>
      <c r="AV206" s="41" t="s">
        <v>116</v>
      </c>
      <c r="AW206" s="41" t="str">
        <f>INDEX(Input!$1:$1048576,AW$93,$C206*2+6)</f>
        <v>Kia</v>
      </c>
      <c r="AX206" s="41" t="str">
        <f>INDEX(Input!$1:$1048576,AX$93,$C206*2+6)</f>
        <v>Kia-LR - L2</v>
      </c>
      <c r="AY206" s="41" t="str">
        <f>IF(LEN(D206)=0,"",INDEX(Input!$1:$1048576,AY$93,$C206*2+6))</f>
        <v>Compact Conventional/Sporty Car (43)</v>
      </c>
      <c r="AZ206" s="41" t="str">
        <f>INDEX(Input!$1:$1048576,AZ$93,$C206*2+6)</f>
        <v>Kia Forte</v>
      </c>
      <c r="BA206" s="3">
        <f>INDEX(Input!$1:$1048576,BA$93,$C206*2+6)</f>
        <v>2020</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19695</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94"/>
        <v>1100</v>
      </c>
      <c r="CJ206" s="16" t="str">
        <f>INDEX(Input!$1:$1048576,CJ$93,$C206*2+6)</f>
        <v>N</v>
      </c>
      <c r="CK206" s="1" t="str">
        <f t="shared" si="495"/>
        <v>Market</v>
      </c>
      <c r="CL206" s="1" t="str">
        <f t="shared" si="496"/>
        <v>Market</v>
      </c>
      <c r="CM206" s="1" t="str">
        <f t="shared" si="497"/>
        <v>Market</v>
      </c>
      <c r="CN206" s="1" t="str">
        <f t="shared" si="498"/>
        <v>Market</v>
      </c>
      <c r="CO206" s="1" t="str">
        <f t="shared" si="499"/>
        <v>Market</v>
      </c>
      <c r="CP206" s="304">
        <f t="shared" si="500"/>
        <v>350</v>
      </c>
      <c r="CQ206" s="1">
        <f t="shared" si="501"/>
        <v>0</v>
      </c>
      <c r="CR206" s="1">
        <f t="shared" si="502"/>
        <v>0</v>
      </c>
      <c r="CS206" s="1">
        <f t="shared" si="503"/>
        <v>0</v>
      </c>
      <c r="CT206" s="1">
        <f t="shared" si="504"/>
        <v>1.9E-2</v>
      </c>
      <c r="CU206" s="1">
        <f t="shared" si="505"/>
        <v>3.9E-2</v>
      </c>
      <c r="CV206" s="304">
        <f t="shared" si="506"/>
        <v>1650</v>
      </c>
      <c r="CW206" s="20" t="s">
        <v>122</v>
      </c>
      <c r="CX206" s="20" t="s">
        <v>122</v>
      </c>
      <c r="CY206" s="20" t="s">
        <v>122</v>
      </c>
      <c r="CZ206" s="20" t="s">
        <v>122</v>
      </c>
      <c r="DA206" s="20" t="s">
        <v>122</v>
      </c>
      <c r="DB206" s="503">
        <f t="shared" si="507"/>
        <v>1000</v>
      </c>
      <c r="DC206" s="127">
        <v>0</v>
      </c>
      <c r="DD206" s="127">
        <v>0</v>
      </c>
      <c r="DE206" s="127">
        <v>0</v>
      </c>
      <c r="DF206" s="127">
        <v>0</v>
      </c>
      <c r="DG206" s="127">
        <v>0</v>
      </c>
      <c r="DH206" s="127">
        <v>0</v>
      </c>
      <c r="DI206" s="127">
        <v>0</v>
      </c>
      <c r="DJ206" s="127">
        <v>0</v>
      </c>
      <c r="DK206" s="127">
        <v>0</v>
      </c>
      <c r="DL206" s="127">
        <v>0</v>
      </c>
      <c r="DM206" s="304">
        <f>INDEX(Input!$1:$1048576,DM$93,$C206*2+6)</f>
        <v>20731.578947368424</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2.7992746191899044E-2</v>
      </c>
      <c r="DZ206" s="7">
        <v>0</v>
      </c>
      <c r="EA206" s="7">
        <v>0.57021979969795222</v>
      </c>
      <c r="EB206" s="7">
        <v>0</v>
      </c>
      <c r="EC206" s="7">
        <v>0</v>
      </c>
      <c r="ED206" s="7">
        <v>0</v>
      </c>
      <c r="EE206" s="7">
        <v>0</v>
      </c>
      <c r="EF206" s="7">
        <v>0</v>
      </c>
      <c r="EG206" s="7">
        <v>0</v>
      </c>
      <c r="EH206" s="7">
        <v>1.6190028434808056E-2</v>
      </c>
      <c r="EI206" s="7">
        <v>2.6434688696644063E-2</v>
      </c>
      <c r="EJ206" s="7">
        <v>0.26570621863497657</v>
      </c>
      <c r="EK206" s="7">
        <v>0.64370923153937221</v>
      </c>
      <c r="EL206" s="7">
        <v>4.7959832694198797E-2</v>
      </c>
      <c r="EM206" s="7">
        <v>3.6540797937367808E-2</v>
      </c>
      <c r="EN206" s="7">
        <v>5.0158332743040573E-2</v>
      </c>
      <c r="EO206" s="7">
        <v>0.56116099114194562</v>
      </c>
      <c r="EP206" s="7">
        <v>0.28684974556190851</v>
      </c>
      <c r="EQ206" s="7">
        <v>6.3384126155964449E-2</v>
      </c>
      <c r="ER206" s="7">
        <v>3.8446804397140433E-2</v>
      </c>
      <c r="ES206" s="7">
        <v>0.36524665617278101</v>
      </c>
      <c r="ET206" s="7">
        <v>0.40178745411014877</v>
      </c>
      <c r="EU206" s="6">
        <v>1700</v>
      </c>
      <c r="EV206" s="6">
        <v>0</v>
      </c>
      <c r="EW206" s="6">
        <v>1700</v>
      </c>
      <c r="EX206" s="6">
        <v>0</v>
      </c>
      <c r="EY206" s="6">
        <v>2726.808019304362</v>
      </c>
      <c r="EZ206" s="6">
        <v>2286</v>
      </c>
      <c r="FA206" s="6">
        <v>0</v>
      </c>
      <c r="FB206" s="6">
        <v>0</v>
      </c>
      <c r="FC206" s="6">
        <v>0</v>
      </c>
      <c r="FD206" s="6">
        <v>0</v>
      </c>
      <c r="FE206" s="6">
        <v>0</v>
      </c>
      <c r="FF206" s="6">
        <v>0</v>
      </c>
      <c r="FG206" s="6">
        <v>0</v>
      </c>
      <c r="FH206" s="6">
        <v>1154.7854257963115</v>
      </c>
      <c r="FI206" s="6">
        <v>1531.4299904380618</v>
      </c>
      <c r="FJ206" s="6">
        <v>2070.7205842538224</v>
      </c>
      <c r="FK206" s="6">
        <v>1746.9903521590438</v>
      </c>
      <c r="FL206" s="6">
        <v>893.91433563489375</v>
      </c>
      <c r="FM206" s="6">
        <v>1776.808019304362</v>
      </c>
      <c r="FN206" s="6">
        <v>0</v>
      </c>
      <c r="FO206" s="6">
        <v>0</v>
      </c>
      <c r="FP206" s="6">
        <v>0</v>
      </c>
      <c r="FQ206" s="6">
        <v>0</v>
      </c>
      <c r="FR206" s="6">
        <v>0</v>
      </c>
      <c r="FS206" s="6">
        <v>0</v>
      </c>
      <c r="FT206" s="7">
        <v>0.59821254588985129</v>
      </c>
      <c r="FU206" s="7">
        <v>3.6540797937367808E-2</v>
      </c>
      <c r="FV206" s="7">
        <v>0.36524665617278101</v>
      </c>
      <c r="FW206" s="6">
        <v>1700</v>
      </c>
      <c r="FX206" s="6">
        <v>2726.808019304362</v>
      </c>
      <c r="FY206" s="6">
        <v>2286</v>
      </c>
      <c r="FZ206" s="6">
        <v>2594.6978186474794</v>
      </c>
      <c r="GA206" s="6">
        <v>1951.5549248711195</v>
      </c>
      <c r="GB206" s="6">
        <v>17743.445075128882</v>
      </c>
      <c r="GC206" s="7">
        <v>9.6947029492584935E-2</v>
      </c>
      <c r="GD206" s="7">
        <v>9.0535533431274878E-2</v>
      </c>
      <c r="GE206" s="7"/>
      <c r="GF206" s="7"/>
      <c r="GG206" s="7">
        <v>-6.6134012510413689E-2</v>
      </c>
      <c r="GH206" s="42">
        <v>2.0252254809885519</v>
      </c>
      <c r="GI206" s="6">
        <v>11676.398002781872</v>
      </c>
      <c r="GJ206" s="14">
        <v>0.51074630601039539</v>
      </c>
      <c r="GK206" s="14">
        <v>0.5082951978616097</v>
      </c>
      <c r="GL206" s="14">
        <v>0.48925369398960439</v>
      </c>
      <c r="GM206" s="14">
        <v>0.49170480213839013</v>
      </c>
      <c r="GO206" s="5">
        <v>338.16872463277008</v>
      </c>
      <c r="GP206" s="5">
        <v>305.73596776409454</v>
      </c>
      <c r="GQ206" s="5">
        <v>527.27910984145694</v>
      </c>
      <c r="GR206" s="5">
        <v>404.20319246551543</v>
      </c>
      <c r="GS206" s="5">
        <v>334.50205195691484</v>
      </c>
      <c r="GT206" s="5">
        <v>289.18266033348181</v>
      </c>
      <c r="GU206" s="5">
        <v>254.29573314828914</v>
      </c>
      <c r="GV206" s="39" t="s">
        <v>392</v>
      </c>
      <c r="GW206" s="5">
        <v>465.98611111111109</v>
      </c>
      <c r="GX206" s="5">
        <v>349.48958333333331</v>
      </c>
      <c r="GY206" s="5">
        <v>279.59166666666664</v>
      </c>
      <c r="GZ206" s="5">
        <v>246.7101413400797</v>
      </c>
      <c r="HA206" s="5">
        <v>228.52966821545922</v>
      </c>
      <c r="HB206" s="39">
        <v>260.84206138736863</v>
      </c>
      <c r="HC206" s="5">
        <v>183.10312499999998</v>
      </c>
      <c r="HD206" s="5">
        <v>168.06310307017537</v>
      </c>
      <c r="HE206" s="5">
        <v>174.08839827935219</v>
      </c>
      <c r="HF206" s="5">
        <v>164.83942434210525</v>
      </c>
      <c r="HG206" s="5">
        <v>163.75993421052632</v>
      </c>
      <c r="HH206" s="39">
        <v>170.17606674166075</v>
      </c>
      <c r="HI206" s="16"/>
      <c r="HJ206" s="19" t="str">
        <f t="shared" si="778"/>
        <v>On</v>
      </c>
      <c r="HK206" s="1" t="str">
        <f t="shared" si="778"/>
        <v>On</v>
      </c>
      <c r="HL206" s="16"/>
      <c r="HM206" s="639">
        <f t="shared" si="727"/>
        <v>5.0961701597560354E-2</v>
      </c>
      <c r="HN206" s="639">
        <f t="shared" si="728"/>
        <v>3.112551654761847E-3</v>
      </c>
      <c r="HO206" s="639">
        <f t="shared" si="729"/>
        <v>3.1163314184693442E-2</v>
      </c>
      <c r="HP206" s="644">
        <f>(FT206*$GD206-HM206)/$JF206*INDEX(Input!$1:$1048576,$JG$93,$C206*2+6)</f>
        <v>60.063449768275625</v>
      </c>
      <c r="HQ206" s="644">
        <f>(FU206*$GD206-HN206)/$JF206*INDEX(Input!$1:$1048576,$JG$93,$C206*2+6)</f>
        <v>3.6755865283636657</v>
      </c>
      <c r="HR206" s="644">
        <f>(FV206*$GD206-HO206)/$JF206*INDEX(Input!$1:$1048576,$JG$93,$C206*2+6)</f>
        <v>35.771588089452706</v>
      </c>
      <c r="HS206" s="644">
        <f t="shared" si="779"/>
        <v>-10.406353117220899</v>
      </c>
      <c r="HT206" s="644">
        <f t="shared" si="731"/>
        <v>39.460546308210091</v>
      </c>
      <c r="HU206" s="644">
        <f t="shared" si="732"/>
        <v>44.730859816954641</v>
      </c>
      <c r="HV206" s="648">
        <f t="shared" si="733"/>
        <v>0</v>
      </c>
      <c r="HW206" s="648">
        <f t="shared" si="734"/>
        <v>0</v>
      </c>
      <c r="HX206" s="648">
        <f t="shared" si="735"/>
        <v>0</v>
      </c>
      <c r="HY206" s="644">
        <f>INDEX(Input!$1:$1048576,HY$93,$C206*2+6)*INDEX(Input!$1:$1048576,$JG$93,$C206*2+6)</f>
        <v>555</v>
      </c>
      <c r="HZ206" s="644">
        <f>INDEX(Input!$1:$1048576,HZ$93,$C206*2+6)*INDEX(Input!$1:$1048576,$JG$93,$C206*2+6)</f>
        <v>480</v>
      </c>
      <c r="IA206" s="644">
        <f>INDEX(Input!$1:$1048576,IA$93,$C206*2+6)*INDEX(Input!$1:$1048576,$JG$93,$C206*2+6)</f>
        <v>566</v>
      </c>
      <c r="IB206" s="644">
        <f t="shared" si="759"/>
        <v>604.65709665105476</v>
      </c>
      <c r="IC206" s="644">
        <f t="shared" si="760"/>
        <v>523.13613283657378</v>
      </c>
      <c r="ID206" s="644">
        <f>IF(AND(INDEX(Input!$1:$1048576,IA$93,$C206*2+7)="TOS",Y206&lt;=INDEX(Y:Y,MATCH(C206*1000+2,A:A))),0,1)*MAX(IA206+HR206+HU206+HX206,0%)</f>
        <v>646.50244790640738</v>
      </c>
      <c r="IE206" s="128">
        <f t="shared" si="789"/>
        <v>0.34078711026289243</v>
      </c>
      <c r="IF206" s="128">
        <f t="shared" si="736"/>
        <v>0.29484157544976963</v>
      </c>
      <c r="IG206" s="128">
        <f t="shared" si="737"/>
        <v>0.36437131428733793</v>
      </c>
      <c r="IH206" s="21"/>
      <c r="II206" s="19">
        <f t="shared" si="738"/>
        <v>1200</v>
      </c>
      <c r="IJ206" s="19">
        <f t="shared" si="739"/>
        <v>2226.7968732767699</v>
      </c>
      <c r="IK206" s="19">
        <f t="shared" si="740"/>
        <v>1786</v>
      </c>
      <c r="IL206" s="19">
        <f t="shared" si="762"/>
        <v>500</v>
      </c>
      <c r="IM206" s="19">
        <f t="shared" si="741"/>
        <v>500.01114602759208</v>
      </c>
      <c r="IN206" s="19">
        <f t="shared" si="742"/>
        <v>500</v>
      </c>
      <c r="IO206" s="39">
        <f t="shared" si="743"/>
        <v>0</v>
      </c>
      <c r="IP206" s="39">
        <f t="shared" si="744"/>
        <v>0</v>
      </c>
      <c r="IQ206" s="39">
        <f t="shared" si="745"/>
        <v>0</v>
      </c>
      <c r="IR206" s="39">
        <v>0</v>
      </c>
      <c r="IS206" s="39">
        <v>0</v>
      </c>
      <c r="IT206" s="39">
        <v>0</v>
      </c>
      <c r="IU206" s="39">
        <v>0</v>
      </c>
      <c r="IV206" s="39">
        <v>0</v>
      </c>
      <c r="IW206" s="39">
        <v>0</v>
      </c>
      <c r="IX206" s="39">
        <f>INDEX(Input!$1:$1048576,IX$93,$C206*2+6)+INDEX(Input!$1:$1048576,IX$94,$C206*2+6)</f>
        <v>1600</v>
      </c>
      <c r="IY206" s="39">
        <f>INDEX(Input!$1:$1048576,IY$93,$C206*2+6)+INDEX(Input!$1:$1048576,IY$94,$C206*2+6)</f>
        <v>2503.5492916397525</v>
      </c>
      <c r="IZ206" s="39">
        <f>INDEX(Input!$1:$1048576,IZ$93,$C206*2+6)+INDEX(Input!$1:$1048576,IZ$94,$C206*2+6)</f>
        <v>5773.7109265464023</v>
      </c>
      <c r="JA206" s="19">
        <f t="shared" si="763"/>
        <v>2100</v>
      </c>
      <c r="JB206" s="19">
        <f t="shared" si="764"/>
        <v>3003.5604376673446</v>
      </c>
      <c r="JC206" s="19">
        <f t="shared" si="765"/>
        <v>6273.7109265464023</v>
      </c>
      <c r="JD206" s="19">
        <f t="shared" si="766"/>
        <v>3887.1877187170589</v>
      </c>
      <c r="JE206" s="21"/>
      <c r="JF206" s="1">
        <f t="shared" si="746"/>
        <v>8.5237567437015646E-2</v>
      </c>
      <c r="JG206" s="15">
        <f>INDEX(Input!$1:$1048576,JG$93,$C206*2+6)/(1+VLOOKUP(C206*1000+INDEX(Input!$1:$1048576,JG$93+1,$C206*2+6),$A:$KK,$JK$92,FALSE))</f>
        <v>1601</v>
      </c>
      <c r="JH206" s="1">
        <f t="shared" si="767"/>
        <v>6.2155293183068075E-2</v>
      </c>
      <c r="JI206" s="1">
        <f t="shared" si="768"/>
        <v>4.6086853846310949E-2</v>
      </c>
      <c r="JJ206" s="1">
        <f t="shared" si="769"/>
        <v>0</v>
      </c>
      <c r="JK206" s="1">
        <f t="shared" ref="JK206:JK207" si="791">SUM(JH206:JJ206)</f>
        <v>0.10824214702937902</v>
      </c>
      <c r="JL206" s="15">
        <f t="shared" si="771"/>
        <v>173.29567739403581</v>
      </c>
      <c r="JM206" s="15">
        <f>JG206+JL206</f>
        <v>1774.2956773940359</v>
      </c>
      <c r="JN206" s="21"/>
      <c r="JO206" s="19">
        <f>INDEX(Input!$1:$1048576,JO$93,$C206*2+6)</f>
        <v>5908.5</v>
      </c>
      <c r="JP206" s="19">
        <f>INDEX(Input!$1:$1048576,JP$93,$C206*2+6)</f>
        <v>3346.4235130620518</v>
      </c>
      <c r="JQ206" s="39">
        <f t="shared" si="781"/>
        <v>2021.3122812829411</v>
      </c>
      <c r="JR206" s="39">
        <f>JD206-JP206</f>
        <v>540.76420565500712</v>
      </c>
      <c r="JS206" s="39">
        <f t="shared" si="783"/>
        <v>6.897020366538861</v>
      </c>
      <c r="JT206" s="39">
        <f t="shared" si="773"/>
        <v>1.5393963221265161</v>
      </c>
      <c r="JU206" s="385">
        <f>(JQ206*JM206-INDEX(Input!$1:$1048576,Input!A$18,$C206*2+6)*JL206*INDEX(Input!$1:$1048576,Input!A$19,$C206*2+6))/1000000</f>
        <v>3.5864056433437996</v>
      </c>
      <c r="JV206" s="39">
        <f t="shared" si="749"/>
        <v>-0.51547881224385517</v>
      </c>
      <c r="JW206" s="1">
        <f>JV206/(JU206-JV206)</f>
        <v>-0.12566877927086936</v>
      </c>
      <c r="JX206" s="19">
        <f t="shared" si="787"/>
        <v>8883.062435690601</v>
      </c>
      <c r="JZ206" s="468">
        <f>DB206-DB201</f>
        <v>500</v>
      </c>
      <c r="KA206" s="469">
        <f>JH206/(JZ206/BX206)</f>
        <v>2.4482969984810516</v>
      </c>
      <c r="KB206" s="469">
        <f t="shared" si="784"/>
        <v>2.4482969984810516</v>
      </c>
      <c r="KI206" s="473">
        <f t="shared" si="785"/>
        <v>49.657096651054758</v>
      </c>
      <c r="KJ206" s="473">
        <f t="shared" si="774"/>
        <v>43.136132836573779</v>
      </c>
      <c r="KK206" s="473">
        <f t="shared" si="775"/>
        <v>80.502447906407383</v>
      </c>
      <c r="KN206" s="544">
        <f t="shared" si="788"/>
        <v>2002</v>
      </c>
      <c r="KO206" s="541">
        <f t="shared" si="750"/>
        <v>2.6934779622878269E-2</v>
      </c>
      <c r="KP206" s="546">
        <f t="shared" si="751"/>
        <v>127.32737640424949</v>
      </c>
      <c r="KQ206" s="546">
        <f t="shared" si="752"/>
        <v>161.58414376052042</v>
      </c>
      <c r="KR206" s="548">
        <f t="shared" si="753"/>
        <v>3.3781593995411208</v>
      </c>
      <c r="KS206" s="548">
        <f t="shared" si="754"/>
        <v>2.6619701872258781</v>
      </c>
      <c r="KT206" s="473">
        <f t="shared" si="786"/>
        <v>528.59039248727379</v>
      </c>
      <c r="KU206" s="663">
        <f t="shared" si="776"/>
        <v>11.940341035856495</v>
      </c>
      <c r="KV206" s="117"/>
    </row>
    <row r="207" spans="1:310" s="26" customFormat="1" ht="15">
      <c r="A207" s="561">
        <f t="shared" si="755"/>
        <v>2007</v>
      </c>
      <c r="B207" s="561">
        <f t="shared" si="777"/>
        <v>7</v>
      </c>
      <c r="C207" s="561">
        <f t="shared" si="105"/>
        <v>2</v>
      </c>
      <c r="D207" s="561" t="s">
        <v>634</v>
      </c>
      <c r="E207" s="475">
        <f>INDEX(Input!$1:$1048576,E$93,$C207*2+MIN($B207,1)+5)</f>
        <v>750</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1.9E-2</v>
      </c>
      <c r="W207" s="863">
        <f>IFERROR(MAX(0,INDEX(Input!$1:$1048576,W$93,$C207*2+MIN($B207,1)+5)-0%),"Market")</f>
        <v>3.9E-2</v>
      </c>
      <c r="X207" s="476" t="str">
        <f>INDEX(Input!$1:$1048576,X$93,$C207*2+MIN($B207,1)+5)</f>
        <v>Y</v>
      </c>
      <c r="Y207" s="475">
        <f>INDEX(Input!$1:$1048576,Y$93,$C207*2+MIN($B207,1)+5)</f>
        <v>1475</v>
      </c>
      <c r="Z207" s="477">
        <f>INDEX(Input!$1:$1048576,Z$93,$C207*2+MIN($B207,1)+5)</f>
        <v>0</v>
      </c>
      <c r="AA207" s="475">
        <f>INDEX(Input!$1:$1048576,AA$93,$C207*2+MIN($B207,1)+5)</f>
        <v>0</v>
      </c>
      <c r="AB207" s="476">
        <f>INDEX(Input!$1:$1048576,AB$93,$C207*2+MIN($B207,1)+5)</f>
        <v>1</v>
      </c>
      <c r="AC207" s="475">
        <f>INDEX(Input!$1:$1048576,AC$93,$C207*2+MIN($B207,1)+5)</f>
        <v>1000</v>
      </c>
      <c r="AD207" s="476">
        <f>INDEX(Input!$1:$1048576,AD$93,$C207*2+MIN($B207,1)+5)</f>
        <v>0.35</v>
      </c>
      <c r="AE207" s="475">
        <f>INDEX(Input!$1:$1048576,AE$93,$C207*2+MIN($B207,1)+5)</f>
        <v>0</v>
      </c>
      <c r="AF207" s="476">
        <f>INDEX(Input!$1:$1048576,AF$93,$C207*2+MIN($B207,1)+5)</f>
        <v>1</v>
      </c>
      <c r="AG207" s="475">
        <f>INDEX(Input!$1:$1048576,AG$93,$C207*2+MIN($B207,1)+5)</f>
        <v>500</v>
      </c>
      <c r="AH207" s="476">
        <f>INDEX(Input!$1:$1048576,AH$93,$C207*2+MIN($B207,1)+5)</f>
        <v>1</v>
      </c>
      <c r="AI207" s="475">
        <f>INDEX(Input!$1:$1048576,AI$93,$C207*2+MIN($B207,1)+5)</f>
        <v>500</v>
      </c>
      <c r="AJ207" s="476">
        <f>INDEX(Input!$1:$1048576,AJ$93,$C207*2+MIN($B207,1)+5)</f>
        <v>0.35</v>
      </c>
      <c r="AK207" s="150">
        <f>ROUND(INDEX(Input!$1:$1048576,AK$93,$C206*2+MIN($B207,1)+5)+(Y207-VLOOKUP($C207*1000+1,$A:$HH,Y$92,FALSE)),0)</f>
        <v>5099</v>
      </c>
      <c r="AL207" s="150">
        <f>ROUND(INDEX(Input!$1:$1048576,AL$93,$C206*2+MIN($B207,1)+5)-(Y207-VLOOKUP($C207*1000+1,$A:$HH,Y$92,FALSE))/36,0)</f>
        <v>5099</v>
      </c>
      <c r="AM207" s="32" t="str">
        <f t="shared" si="756"/>
        <v>std/std/std/std</v>
      </c>
      <c r="AN207" s="32" t="str">
        <f t="shared" si="757"/>
        <v>$0 + 0/0/0/1.9/3.9</v>
      </c>
      <c r="AO207" s="32" t="str">
        <f t="shared" si="758"/>
        <v>0/0/0/1.9/3.9</v>
      </c>
      <c r="AP207" s="32" t="str">
        <f t="shared" si="493"/>
        <v>0/0.9/1.9/3.9</v>
      </c>
      <c r="AQ207" s="536">
        <f t="shared" si="492"/>
        <v>850.34665833853842</v>
      </c>
      <c r="AR207" s="32"/>
      <c r="AS207" s="302"/>
      <c r="AT207" s="3">
        <f t="shared" si="106"/>
        <v>7</v>
      </c>
      <c r="AU207" s="41" t="s">
        <v>121</v>
      </c>
      <c r="AV207" s="41" t="s">
        <v>116</v>
      </c>
      <c r="AW207" s="41" t="str">
        <f>INDEX(Input!$1:$1048576,AW$93,$C207*2+6)</f>
        <v>Kia</v>
      </c>
      <c r="AX207" s="41" t="str">
        <f>INDEX(Input!$1:$1048576,AX$93,$C207*2+6)</f>
        <v>Kia-LR - L2</v>
      </c>
      <c r="AY207" s="41" t="str">
        <f>IF(LEN(D207)=0,"",INDEX(Input!$1:$1048576,AY$93,$C207*2+6))</f>
        <v>Compact Conventional/Sporty Car (43)</v>
      </c>
      <c r="AZ207" s="41" t="str">
        <f>INDEX(Input!$1:$1048576,AZ$93,$C207*2+6)</f>
        <v>Kia Forte</v>
      </c>
      <c r="BA207" s="3">
        <f>INDEX(Input!$1:$1048576,BA$93,$C207*2+6)</f>
        <v>2020</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19695</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94"/>
        <v>1100</v>
      </c>
      <c r="CJ207" s="16" t="str">
        <f>INDEX(Input!$1:$1048576,CJ$93,$C207*2+6)</f>
        <v>N</v>
      </c>
      <c r="CK207" s="1" t="str">
        <f t="shared" si="495"/>
        <v>Market</v>
      </c>
      <c r="CL207" s="1" t="str">
        <f t="shared" si="496"/>
        <v>Market</v>
      </c>
      <c r="CM207" s="1" t="str">
        <f t="shared" si="497"/>
        <v>Market</v>
      </c>
      <c r="CN207" s="1" t="str">
        <f t="shared" si="498"/>
        <v>Market</v>
      </c>
      <c r="CO207" s="1" t="str">
        <f t="shared" si="499"/>
        <v>Market</v>
      </c>
      <c r="CP207" s="304">
        <f t="shared" si="500"/>
        <v>350</v>
      </c>
      <c r="CQ207" s="1">
        <f t="shared" si="501"/>
        <v>0</v>
      </c>
      <c r="CR207" s="1">
        <f t="shared" si="502"/>
        <v>0</v>
      </c>
      <c r="CS207" s="1">
        <f t="shared" si="503"/>
        <v>0</v>
      </c>
      <c r="CT207" s="1">
        <f t="shared" si="504"/>
        <v>1.9E-2</v>
      </c>
      <c r="CU207" s="1">
        <f t="shared" si="505"/>
        <v>3.9E-2</v>
      </c>
      <c r="CV207" s="304">
        <f t="shared" si="506"/>
        <v>1650</v>
      </c>
      <c r="CW207" s="20" t="s">
        <v>122</v>
      </c>
      <c r="CX207" s="20" t="s">
        <v>122</v>
      </c>
      <c r="CY207" s="20" t="s">
        <v>122</v>
      </c>
      <c r="CZ207" s="20" t="s">
        <v>122</v>
      </c>
      <c r="DA207" s="20" t="s">
        <v>122</v>
      </c>
      <c r="DB207" s="503">
        <f t="shared" si="507"/>
        <v>500</v>
      </c>
      <c r="DC207" s="127">
        <v>0</v>
      </c>
      <c r="DD207" s="127">
        <v>0</v>
      </c>
      <c r="DE207" s="127">
        <v>0</v>
      </c>
      <c r="DF207" s="127">
        <v>0</v>
      </c>
      <c r="DG207" s="127">
        <v>0</v>
      </c>
      <c r="DH207" s="127">
        <v>0</v>
      </c>
      <c r="DI207" s="127">
        <v>0</v>
      </c>
      <c r="DJ207" s="127">
        <v>0</v>
      </c>
      <c r="DK207" s="127">
        <v>0</v>
      </c>
      <c r="DL207" s="127">
        <v>0</v>
      </c>
      <c r="DM207" s="304">
        <f>INDEX(Input!$1:$1048576,DM$93,$C207*2+6)</f>
        <v>20731.578947368424</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2.7766768968971511E-2</v>
      </c>
      <c r="DZ207" s="7">
        <v>0</v>
      </c>
      <c r="EA207" s="7">
        <v>0.5701116446215776</v>
      </c>
      <c r="EB207" s="7">
        <v>0</v>
      </c>
      <c r="EC207" s="7">
        <v>0</v>
      </c>
      <c r="ED207" s="7">
        <v>0</v>
      </c>
      <c r="EE207" s="7">
        <v>0</v>
      </c>
      <c r="EF207" s="7">
        <v>0</v>
      </c>
      <c r="EG207" s="7">
        <v>0</v>
      </c>
      <c r="EH207" s="7">
        <v>1.6188417980989682E-2</v>
      </c>
      <c r="EI207" s="7">
        <v>2.6434569913112313E-2</v>
      </c>
      <c r="EJ207" s="7">
        <v>0.26566993929405081</v>
      </c>
      <c r="EK207" s="7">
        <v>0.64374678753779968</v>
      </c>
      <c r="EL207" s="7">
        <v>4.7960285274047339E-2</v>
      </c>
      <c r="EM207" s="7">
        <v>3.6516195245269008E-2</v>
      </c>
      <c r="EN207" s="7">
        <v>4.8990560304565667E-2</v>
      </c>
      <c r="EO207" s="7">
        <v>0.56260462806118994</v>
      </c>
      <c r="EP207" s="7">
        <v>0.28443428241315</v>
      </c>
      <c r="EQ207" s="7">
        <v>6.478185054293413E-2</v>
      </c>
      <c r="ER207" s="7">
        <v>3.9188678678160477E-2</v>
      </c>
      <c r="ES207" s="7">
        <v>0.36560539116418195</v>
      </c>
      <c r="ET207" s="7">
        <v>0.40212158640945089</v>
      </c>
      <c r="EU207" s="6">
        <v>1200</v>
      </c>
      <c r="EV207" s="6">
        <v>0</v>
      </c>
      <c r="EW207" s="6">
        <v>1200</v>
      </c>
      <c r="EX207" s="6">
        <v>0</v>
      </c>
      <c r="EY207" s="6">
        <v>2226.7968732767699</v>
      </c>
      <c r="EZ207" s="6">
        <v>1786</v>
      </c>
      <c r="FA207" s="6">
        <v>0</v>
      </c>
      <c r="FB207" s="6">
        <v>0</v>
      </c>
      <c r="FC207" s="6">
        <v>0</v>
      </c>
      <c r="FD207" s="6">
        <v>0</v>
      </c>
      <c r="FE207" s="6">
        <v>0</v>
      </c>
      <c r="FF207" s="6">
        <v>0</v>
      </c>
      <c r="FG207" s="6">
        <v>0</v>
      </c>
      <c r="FH207" s="6">
        <v>1154.7857626528219</v>
      </c>
      <c r="FI207" s="6">
        <v>1531.4299904380621</v>
      </c>
      <c r="FJ207" s="6">
        <v>2070.7205842538224</v>
      </c>
      <c r="FK207" s="6">
        <v>1746.9903521590438</v>
      </c>
      <c r="FL207" s="6">
        <v>893.91433563489329</v>
      </c>
      <c r="FM207" s="6">
        <v>1776.7968732767699</v>
      </c>
      <c r="FN207" s="6">
        <v>0</v>
      </c>
      <c r="FO207" s="6">
        <v>0</v>
      </c>
      <c r="FP207" s="6">
        <v>0</v>
      </c>
      <c r="FQ207" s="6">
        <v>0</v>
      </c>
      <c r="FR207" s="6">
        <v>0</v>
      </c>
      <c r="FS207" s="6">
        <v>0</v>
      </c>
      <c r="FT207" s="7">
        <v>0.59787841359054905</v>
      </c>
      <c r="FU207" s="7">
        <v>3.6516195245269008E-2</v>
      </c>
      <c r="FV207" s="7">
        <v>0.36560539116418195</v>
      </c>
      <c r="FW207" s="6">
        <v>1200</v>
      </c>
      <c r="FX207" s="6">
        <v>2226.7968732767699</v>
      </c>
      <c r="FY207" s="6">
        <v>1786</v>
      </c>
      <c r="FZ207" s="6">
        <v>2594.6978186474794</v>
      </c>
      <c r="GA207" s="6">
        <v>1451.739474324017</v>
      </c>
      <c r="GB207" s="6">
        <v>18243.260525675982</v>
      </c>
      <c r="GC207" s="7">
        <v>9.6947029492584935E-2</v>
      </c>
      <c r="GD207" s="7">
        <v>8.5237567437015646E-2</v>
      </c>
      <c r="GE207" s="7"/>
      <c r="GF207" s="7"/>
      <c r="GG207" s="7">
        <v>-0.12078206126434123</v>
      </c>
      <c r="GH207" s="42">
        <v>2.0812680605689584</v>
      </c>
      <c r="GI207" s="6">
        <v>10914.720419996125</v>
      </c>
      <c r="GJ207" s="14">
        <v>0.5107463060103955</v>
      </c>
      <c r="GK207" s="14">
        <v>0.50829519786160982</v>
      </c>
      <c r="GL207" s="14">
        <v>0.48925369398960444</v>
      </c>
      <c r="GM207" s="14">
        <v>0.49170480213839013</v>
      </c>
      <c r="GO207" s="5">
        <v>338.16872463277008</v>
      </c>
      <c r="GP207" s="5">
        <v>315.27501390194027</v>
      </c>
      <c r="GQ207" s="5">
        <v>527.27910984145694</v>
      </c>
      <c r="GR207" s="5">
        <v>404.20319246551543</v>
      </c>
      <c r="GS207" s="5">
        <v>334.50205195691484</v>
      </c>
      <c r="GT207" s="5">
        <v>289.18266033348181</v>
      </c>
      <c r="GU207" s="5">
        <v>254.29573314828914</v>
      </c>
      <c r="GV207" s="39" t="s">
        <v>392</v>
      </c>
      <c r="GW207" s="5">
        <v>479.875</v>
      </c>
      <c r="GX207" s="5">
        <v>359.90625</v>
      </c>
      <c r="GY207" s="5">
        <v>287.92500000000001</v>
      </c>
      <c r="GZ207" s="5">
        <v>254.06342861438094</v>
      </c>
      <c r="HA207" s="5">
        <v>235.34107974463748</v>
      </c>
      <c r="HB207" s="39">
        <v>268.61494260026006</v>
      </c>
      <c r="HC207" s="5">
        <v>204.97812499999995</v>
      </c>
      <c r="HD207" s="5">
        <v>182.99365862573094</v>
      </c>
      <c r="HE207" s="5">
        <v>187.95057776653167</v>
      </c>
      <c r="HF207" s="5">
        <v>176.40192434210525</v>
      </c>
      <c r="HG207" s="5">
        <v>173.34326754385964</v>
      </c>
      <c r="HH207" s="39">
        <v>184.67539686979035</v>
      </c>
      <c r="HI207" s="16"/>
      <c r="HJ207" s="19" t="str">
        <f t="shared" si="778"/>
        <v>On</v>
      </c>
      <c r="HK207" s="1" t="str">
        <f t="shared" si="778"/>
        <v>On</v>
      </c>
      <c r="HL207" s="16"/>
      <c r="HM207" s="639">
        <f t="shared" si="727"/>
        <v>5.0961701597560354E-2</v>
      </c>
      <c r="HN207" s="639">
        <f t="shared" si="728"/>
        <v>3.112551654761847E-3</v>
      </c>
      <c r="HO207" s="639">
        <f t="shared" si="729"/>
        <v>3.1163314184693442E-2</v>
      </c>
      <c r="HP207" s="644">
        <f>(FT207*$GD207-HM207)/$JF207*INDEX(Input!$1:$1048576,$JG$93,$C207*2+6)</f>
        <v>0</v>
      </c>
      <c r="HQ207" s="644">
        <f>(FU207*$GD207-HN207)/$JF207*INDEX(Input!$1:$1048576,$JG$93,$C207*2+6)</f>
        <v>0</v>
      </c>
      <c r="HR207" s="644">
        <f>(FV207*$GD207-HO207)/$JF207*INDEX(Input!$1:$1048576,$JG$93,$C207*2+6)</f>
        <v>0</v>
      </c>
      <c r="HS207" s="644">
        <f t="shared" si="779"/>
        <v>0</v>
      </c>
      <c r="HT207" s="644">
        <f t="shared" si="731"/>
        <v>0</v>
      </c>
      <c r="HU207" s="644">
        <f t="shared" si="732"/>
        <v>0</v>
      </c>
      <c r="HV207" s="648">
        <f t="shared" si="733"/>
        <v>0</v>
      </c>
      <c r="HW207" s="648">
        <f t="shared" si="734"/>
        <v>0</v>
      </c>
      <c r="HX207" s="648">
        <f t="shared" si="735"/>
        <v>0</v>
      </c>
      <c r="HY207" s="644">
        <f>INDEX(Input!$1:$1048576,HY$93,$C207*2+6)*INDEX(Input!$1:$1048576,$JG$93,$C207*2+6)</f>
        <v>555</v>
      </c>
      <c r="HZ207" s="644">
        <f>INDEX(Input!$1:$1048576,HZ$93,$C207*2+6)*INDEX(Input!$1:$1048576,$JG$93,$C207*2+6)</f>
        <v>480</v>
      </c>
      <c r="IA207" s="644">
        <f>INDEX(Input!$1:$1048576,IA$93,$C207*2+6)*INDEX(Input!$1:$1048576,$JG$93,$C207*2+6)</f>
        <v>566</v>
      </c>
      <c r="IB207" s="644">
        <f t="shared" si="759"/>
        <v>555</v>
      </c>
      <c r="IC207" s="644">
        <f t="shared" si="760"/>
        <v>480</v>
      </c>
      <c r="ID207" s="644">
        <f>IF(AND(INDEX(Input!$1:$1048576,IA$93,$C207*2+7)="TOS",Y207&lt;=INDEX(Y:Y,MATCH(C207*1000+2,A:A))),0,1)*MAX(IA207+HR207+HU207+HX207,0%)</f>
        <v>566</v>
      </c>
      <c r="IE207" s="128">
        <f t="shared" ref="IE207" si="792">IB207/SUM($IB207:$ID207)</f>
        <v>0.34665833853841349</v>
      </c>
      <c r="IF207" s="128">
        <f t="shared" si="736"/>
        <v>0.29981261711430357</v>
      </c>
      <c r="IG207" s="128">
        <f t="shared" si="737"/>
        <v>0.35352904434728294</v>
      </c>
      <c r="IH207" s="21"/>
      <c r="II207" s="19">
        <f t="shared" si="738"/>
        <v>1200</v>
      </c>
      <c r="IJ207" s="19">
        <f t="shared" si="739"/>
        <v>2226.7968732767699</v>
      </c>
      <c r="IK207" s="19">
        <f t="shared" si="740"/>
        <v>1786</v>
      </c>
      <c r="IL207" s="19">
        <f t="shared" si="762"/>
        <v>0</v>
      </c>
      <c r="IM207" s="19">
        <f t="shared" si="741"/>
        <v>0</v>
      </c>
      <c r="IN207" s="19">
        <f t="shared" si="742"/>
        <v>0</v>
      </c>
      <c r="IO207" s="39">
        <f t="shared" si="743"/>
        <v>0</v>
      </c>
      <c r="IP207" s="39">
        <f t="shared" si="744"/>
        <v>0</v>
      </c>
      <c r="IQ207" s="39">
        <f t="shared" si="745"/>
        <v>0</v>
      </c>
      <c r="IR207" s="39">
        <v>0</v>
      </c>
      <c r="IS207" s="39">
        <v>0</v>
      </c>
      <c r="IT207" s="39">
        <v>0</v>
      </c>
      <c r="IU207" s="39">
        <v>0</v>
      </c>
      <c r="IV207" s="39">
        <v>0</v>
      </c>
      <c r="IW207" s="39">
        <v>0</v>
      </c>
      <c r="IX207" s="39">
        <f>INDEX(Input!$1:$1048576,IX$93,$C207*2+6)+INDEX(Input!$1:$1048576,IX$94,$C207*2+6)</f>
        <v>1600</v>
      </c>
      <c r="IY207" s="39">
        <f>INDEX(Input!$1:$1048576,IY$93,$C207*2+6)+INDEX(Input!$1:$1048576,IY$94,$C207*2+6)</f>
        <v>2503.5492916397525</v>
      </c>
      <c r="IZ207" s="39">
        <f>INDEX(Input!$1:$1048576,IZ$93,$C207*2+6)+INDEX(Input!$1:$1048576,IZ$94,$C207*2+6)</f>
        <v>5773.7109265464023</v>
      </c>
      <c r="JA207" s="19">
        <f t="shared" si="763"/>
        <v>1600</v>
      </c>
      <c r="JB207" s="19">
        <f t="shared" si="764"/>
        <v>2503.5492916397525</v>
      </c>
      <c r="JC207" s="19">
        <f t="shared" si="765"/>
        <v>5773.7109265464023</v>
      </c>
      <c r="JD207" s="19">
        <f t="shared" si="766"/>
        <v>3346.4235130620518</v>
      </c>
      <c r="JE207" s="21"/>
      <c r="JF207" s="1">
        <f t="shared" si="746"/>
        <v>8.5237567437015646E-2</v>
      </c>
      <c r="JG207" s="15">
        <f>INDEX(Input!$1:$1048576,JG$93,$C207*2+6)/(1+VLOOKUP(C207*1000+INDEX(Input!$1:$1048576,JG$93+1,$C207*2+6),$A:$KK,$JK$92,FALSE))</f>
        <v>1601</v>
      </c>
      <c r="JH207" s="1">
        <f t="shared" si="767"/>
        <v>0</v>
      </c>
      <c r="JI207" s="1">
        <f t="shared" si="768"/>
        <v>0</v>
      </c>
      <c r="JJ207" s="1">
        <f t="shared" si="769"/>
        <v>0</v>
      </c>
      <c r="JK207" s="1">
        <f t="shared" si="791"/>
        <v>0</v>
      </c>
      <c r="JL207" s="15">
        <f t="shared" si="771"/>
        <v>0</v>
      </c>
      <c r="JM207" s="15">
        <f>JG207+JL207</f>
        <v>1601</v>
      </c>
      <c r="JN207" s="21"/>
      <c r="JO207" s="19">
        <f>INDEX(Input!$1:$1048576,JO$93,$C207*2+6)</f>
        <v>5908.5</v>
      </c>
      <c r="JP207" s="19">
        <f>INDEX(Input!$1:$1048576,JP$93,$C207*2+6)</f>
        <v>3346.4235130620518</v>
      </c>
      <c r="JQ207" s="39">
        <f t="shared" si="781"/>
        <v>2562.0764869379482</v>
      </c>
      <c r="JR207" s="39">
        <f>JD207-JP207</f>
        <v>0</v>
      </c>
      <c r="JS207" s="39">
        <f t="shared" si="783"/>
        <v>5.3576240444123444</v>
      </c>
      <c r="JT207" s="39">
        <f t="shared" si="773"/>
        <v>0</v>
      </c>
      <c r="JU207" s="385">
        <f>(JQ207*JM207-INDEX(Input!$1:$1048576,Input!A$18,$C207*2+6)*JL207*INDEX(Input!$1:$1048576,Input!A$19,$C207*2+6))/1000000</f>
        <v>4.1018844555876548</v>
      </c>
      <c r="JV207" s="39">
        <f t="shared" si="749"/>
        <v>0</v>
      </c>
      <c r="JW207" s="1">
        <f>JV207/(JU207-JV207)</f>
        <v>0</v>
      </c>
      <c r="JX207" s="19">
        <f t="shared" si="787"/>
        <v>0</v>
      </c>
      <c r="JZ207" s="468"/>
      <c r="KA207" s="469"/>
      <c r="KB207" s="469">
        <f t="shared" si="784"/>
        <v>2.4482969984810516</v>
      </c>
      <c r="KI207" s="473">
        <f t="shared" si="785"/>
        <v>0</v>
      </c>
      <c r="KJ207" s="473">
        <f t="shared" si="774"/>
        <v>0</v>
      </c>
      <c r="KK207" s="473">
        <f t="shared" si="775"/>
        <v>0</v>
      </c>
      <c r="KN207" s="544">
        <f t="shared" si="788"/>
        <v>2002</v>
      </c>
      <c r="KO207" s="541">
        <f t="shared" si="750"/>
        <v>-7.336606681531066E-2</v>
      </c>
      <c r="KP207" s="546">
        <f t="shared" si="751"/>
        <v>-373.48914352171852</v>
      </c>
      <c r="KQ207" s="546">
        <f t="shared" si="752"/>
        <v>-379.1800618944867</v>
      </c>
      <c r="KR207" s="548">
        <f t="shared" si="753"/>
        <v>3.1369367100540426</v>
      </c>
      <c r="KS207" s="548">
        <f t="shared" si="754"/>
        <v>3.0898560416553305</v>
      </c>
      <c r="KT207" s="473">
        <f t="shared" si="786"/>
        <v>528.59039248727379</v>
      </c>
      <c r="KU207" s="663">
        <f t="shared" si="776"/>
        <v>11.940342035856492</v>
      </c>
      <c r="KV207" s="117"/>
    </row>
    <row r="208" spans="1:310" s="26" customFormat="1" ht="15">
      <c r="A208" s="561">
        <f t="shared" si="755"/>
        <v>2008</v>
      </c>
      <c r="B208" s="561">
        <f t="shared" si="777"/>
        <v>8</v>
      </c>
      <c r="C208" s="561">
        <f t="shared" si="105"/>
        <v>2</v>
      </c>
      <c r="D208" s="561" t="s">
        <v>569</v>
      </c>
      <c r="E208" s="475">
        <f>INDEX(Input!$1:$1048576,E$93,$C208*2+MIN($B208,2)+5)</f>
        <v>1250</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1.9E-2</v>
      </c>
      <c r="W208" s="863">
        <f>IFERROR(MAX(0,INDEX(Input!$1:$1048576,W$93,$C208*2+MIN($B208,2)+5)-0%,),"Market")</f>
        <v>3.9E-2</v>
      </c>
      <c r="X208" s="476" t="str">
        <f>INDEX(Input!$1:$1048576,X$93,$C208*2+MIN($B208,2)+5)</f>
        <v>Y</v>
      </c>
      <c r="Y208" s="475">
        <f>INDEX(Input!$1:$1048576,Y$93,$C208*2+MIN($B208,2)+5)</f>
        <v>1358</v>
      </c>
      <c r="Z208" s="477">
        <f>INDEX(Input!$1:$1048576,Z$93,$C208*2+MIN($B208,2)+5)</f>
        <v>0</v>
      </c>
      <c r="AA208" s="475">
        <f>INDEX(Input!$1:$1048576,AA$93,$C208*2+MIN($B208,2)+5)</f>
        <v>0</v>
      </c>
      <c r="AB208" s="476">
        <f>INDEX(Input!$1:$1048576,AB$93,$C208*2+MIN($B208,2)+5)</f>
        <v>1</v>
      </c>
      <c r="AC208" s="475">
        <f>INDEX(Input!$1:$1048576,AC$93,$C208*2+MIN($B208,2)+5)</f>
        <v>0</v>
      </c>
      <c r="AD208" s="476">
        <f>INDEX(Input!$1:$1048576,AD$93,$C208*2+MIN($B208,2)+5)</f>
        <v>0.35</v>
      </c>
      <c r="AE208" s="475">
        <f>INDEX(Input!$1:$1048576,AE$93,$C208*2+MIN($B208,2)+5)</f>
        <v>0</v>
      </c>
      <c r="AF208" s="476">
        <f>INDEX(Input!$1:$1048576,AF$93,$C208*2+MIN($B208,2)+5)</f>
        <v>1</v>
      </c>
      <c r="AG208" s="475">
        <f>INDEX(Input!$1:$1048576,AG$93,$C208*2+MIN($B208,2)+5)</f>
        <v>0</v>
      </c>
      <c r="AH208" s="476">
        <f>INDEX(Input!$1:$1048576,AH$93,$C208*2+MIN($B208,2)+5)</f>
        <v>1</v>
      </c>
      <c r="AI208" s="475">
        <f>INDEX(Input!$1:$1048576,AI$93,$C208*2+MIN($B208,2)+5)</f>
        <v>0</v>
      </c>
      <c r="AJ208" s="476">
        <f>INDEX(Input!$1:$1048576,AJ$93,$C208*2+MIN($B208,2)+5)</f>
        <v>0.35</v>
      </c>
      <c r="AK208" s="150">
        <f>ROUND(INDEX(Input!$1:$1048576,AK$93,$C207*2+MIN($B208,1)+5)+(Y208-VLOOKUP($C208*1000+1,$A:$HH,Y$92,FALSE)),0)</f>
        <v>4982</v>
      </c>
      <c r="AL208" s="150">
        <f>ROUND(INDEX(Input!$1:$1048576,AL$93,$C207*2+MIN($B208,1)+5)-(Y208-VLOOKUP($C208*1000+1,$A:$HH,Y$92,FALSE))/36,0)</f>
        <v>5102</v>
      </c>
      <c r="AM208" s="32" t="str">
        <f t="shared" si="756"/>
        <v>std/std/std/std</v>
      </c>
      <c r="AN208" s="32" t="str">
        <f t="shared" si="757"/>
        <v>$0 + 0/0/0/1.9/3.9</v>
      </c>
      <c r="AO208" s="32" t="str">
        <f t="shared" si="758"/>
        <v>0/0/0/1.9/3.9</v>
      </c>
      <c r="AP208" s="32" t="str">
        <f t="shared" si="493"/>
        <v>0/0.9/1.9/3.9</v>
      </c>
      <c r="AQ208" s="536">
        <f t="shared" si="492"/>
        <v>0.34672566644447778</v>
      </c>
      <c r="AR208" s="32"/>
      <c r="AS208" s="302"/>
      <c r="AT208" s="3">
        <f t="shared" si="106"/>
        <v>8</v>
      </c>
      <c r="AU208" s="41" t="s">
        <v>121</v>
      </c>
      <c r="AV208" s="41" t="s">
        <v>116</v>
      </c>
      <c r="AW208" s="41" t="str">
        <f>INDEX(Input!$1:$1048576,AW$93,$C208*2+6)</f>
        <v>Kia</v>
      </c>
      <c r="AX208" s="41" t="str">
        <f>INDEX(Input!$1:$1048576,AX$93,$C208*2+6)</f>
        <v>Kia-LR - L2</v>
      </c>
      <c r="AY208" s="41" t="str">
        <f>IF(LEN(D208)=0,"",INDEX(Input!$1:$1048576,AY$93,$C208*2+6))</f>
        <v>Compact Conventional/Sporty Car (43)</v>
      </c>
      <c r="AZ208" s="41" t="str">
        <f>INDEX(Input!$1:$1048576,AZ$93,$C208*2+6)</f>
        <v>Kia Forte</v>
      </c>
      <c r="BA208" s="3">
        <f>INDEX(Input!$1:$1048576,BA$93,$C208*2+6)</f>
        <v>2020</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19695</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94"/>
        <v>1250</v>
      </c>
      <c r="CJ208" s="16" t="str">
        <f>INDEX(Input!$1:$1048576,CJ$93,$C208*2+6)</f>
        <v>N</v>
      </c>
      <c r="CK208" s="1" t="str">
        <f t="shared" si="495"/>
        <v>Market</v>
      </c>
      <c r="CL208" s="1" t="str">
        <f t="shared" si="496"/>
        <v>Market</v>
      </c>
      <c r="CM208" s="1" t="str">
        <f t="shared" si="497"/>
        <v>Market</v>
      </c>
      <c r="CN208" s="1" t="str">
        <f t="shared" si="498"/>
        <v>Market</v>
      </c>
      <c r="CO208" s="1" t="str">
        <f t="shared" si="499"/>
        <v>Market</v>
      </c>
      <c r="CP208" s="304">
        <f t="shared" si="500"/>
        <v>0</v>
      </c>
      <c r="CQ208" s="1">
        <f t="shared" si="501"/>
        <v>0</v>
      </c>
      <c r="CR208" s="1">
        <f t="shared" si="502"/>
        <v>0</v>
      </c>
      <c r="CS208" s="1">
        <f t="shared" si="503"/>
        <v>0</v>
      </c>
      <c r="CT208" s="1">
        <f t="shared" si="504"/>
        <v>1.9E-2</v>
      </c>
      <c r="CU208" s="1">
        <f t="shared" si="505"/>
        <v>3.9E-2</v>
      </c>
      <c r="CV208" s="304">
        <f t="shared" si="506"/>
        <v>1358</v>
      </c>
      <c r="CW208" s="20" t="s">
        <v>122</v>
      </c>
      <c r="CX208" s="20" t="s">
        <v>122</v>
      </c>
      <c r="CY208" s="20" t="s">
        <v>122</v>
      </c>
      <c r="CZ208" s="20" t="s">
        <v>122</v>
      </c>
      <c r="DA208" s="20" t="s">
        <v>122</v>
      </c>
      <c r="DB208" s="503">
        <f t="shared" si="507"/>
        <v>0</v>
      </c>
      <c r="DC208" s="127">
        <v>0</v>
      </c>
      <c r="DD208" s="127">
        <v>0</v>
      </c>
      <c r="DE208" s="127">
        <v>0</v>
      </c>
      <c r="DF208" s="127">
        <v>0</v>
      </c>
      <c r="DG208" s="127">
        <v>0</v>
      </c>
      <c r="DH208" s="127">
        <v>0</v>
      </c>
      <c r="DI208" s="127">
        <v>0</v>
      </c>
      <c r="DJ208" s="127">
        <v>0</v>
      </c>
      <c r="DK208" s="127">
        <v>0</v>
      </c>
      <c r="DL208" s="127">
        <v>0</v>
      </c>
      <c r="DM208" s="304">
        <f>INDEX(Input!$1:$1048576,DM$93,$C208*2+6)</f>
        <v>20731.578947368424</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2.8172181193883154E-2</v>
      </c>
      <c r="DZ208" s="7">
        <v>0</v>
      </c>
      <c r="EA208" s="7">
        <v>0.57474069431131491</v>
      </c>
      <c r="EB208" s="7">
        <v>0</v>
      </c>
      <c r="EC208" s="7">
        <v>0</v>
      </c>
      <c r="ED208" s="7">
        <v>0</v>
      </c>
      <c r="EE208" s="7">
        <v>0</v>
      </c>
      <c r="EF208" s="7">
        <v>0</v>
      </c>
      <c r="EG208" s="7">
        <v>0</v>
      </c>
      <c r="EH208" s="7">
        <v>1.6192016847189652E-2</v>
      </c>
      <c r="EI208" s="7">
        <v>2.6440573538848409E-2</v>
      </c>
      <c r="EJ208" s="7">
        <v>0.26571566631182436</v>
      </c>
      <c r="EK208" s="7">
        <v>0.64369308477316522</v>
      </c>
      <c r="EL208" s="7">
        <v>4.7958658528971729E-2</v>
      </c>
      <c r="EM208" s="7">
        <v>3.6829166665016615E-2</v>
      </c>
      <c r="EN208" s="7">
        <v>4.9732829896061599E-2</v>
      </c>
      <c r="EO208" s="7">
        <v>0.56166639571941102</v>
      </c>
      <c r="EP208" s="7">
        <v>0.28600598047763837</v>
      </c>
      <c r="EQ208" s="7">
        <v>6.3879165114545791E-2</v>
      </c>
      <c r="ER208" s="7">
        <v>3.8715628792343387E-2</v>
      </c>
      <c r="ES208" s="7">
        <v>0.36025795782978526</v>
      </c>
      <c r="ET208" s="7">
        <v>0.39708712449480194</v>
      </c>
      <c r="EU208" s="6">
        <v>1600</v>
      </c>
      <c r="EV208" s="6">
        <v>0</v>
      </c>
      <c r="EW208" s="6">
        <v>1600</v>
      </c>
      <c r="EX208" s="6">
        <v>0</v>
      </c>
      <c r="EY208" s="6">
        <v>2626.809620731502</v>
      </c>
      <c r="EZ208" s="6">
        <v>2111</v>
      </c>
      <c r="FA208" s="6">
        <v>0</v>
      </c>
      <c r="FB208" s="6">
        <v>0</v>
      </c>
      <c r="FC208" s="6">
        <v>0</v>
      </c>
      <c r="FD208" s="6">
        <v>0</v>
      </c>
      <c r="FE208" s="6">
        <v>0</v>
      </c>
      <c r="FF208" s="6">
        <v>0</v>
      </c>
      <c r="FG208" s="6">
        <v>0</v>
      </c>
      <c r="FH208" s="6">
        <v>1154.7846453283337</v>
      </c>
      <c r="FI208" s="6">
        <v>1531.4299904380628</v>
      </c>
      <c r="FJ208" s="6">
        <v>2070.7205842538219</v>
      </c>
      <c r="FK208" s="6">
        <v>1746.9903521590445</v>
      </c>
      <c r="FL208" s="6">
        <v>893.91433563489318</v>
      </c>
      <c r="FM208" s="6">
        <v>1776.8096207315023</v>
      </c>
      <c r="FN208" s="6">
        <v>0</v>
      </c>
      <c r="FO208" s="6">
        <v>0</v>
      </c>
      <c r="FP208" s="6">
        <v>0</v>
      </c>
      <c r="FQ208" s="6">
        <v>0</v>
      </c>
      <c r="FR208" s="6">
        <v>0</v>
      </c>
      <c r="FS208" s="6">
        <v>0</v>
      </c>
      <c r="FT208" s="7">
        <v>0.60291287550519812</v>
      </c>
      <c r="FU208" s="7">
        <v>3.6829166665016615E-2</v>
      </c>
      <c r="FV208" s="7">
        <v>0.36025795782978526</v>
      </c>
      <c r="FW208" s="6">
        <v>1599.9999999999998</v>
      </c>
      <c r="FX208" s="6">
        <v>2626.809620731502</v>
      </c>
      <c r="FY208" s="6">
        <v>2111</v>
      </c>
      <c r="FZ208" s="6">
        <v>2594.6978186474794</v>
      </c>
      <c r="GA208" s="6">
        <v>1821.9083591061831</v>
      </c>
      <c r="GB208" s="6">
        <v>17873.091640893817</v>
      </c>
      <c r="GC208" s="7">
        <v>9.6947029492584935E-2</v>
      </c>
      <c r="GD208" s="7">
        <v>8.9151531509832307E-2</v>
      </c>
      <c r="GE208" s="7"/>
      <c r="GF208" s="7"/>
      <c r="GG208" s="7">
        <v>-8.040986942615784E-2</v>
      </c>
      <c r="GH208" s="42">
        <v>2.0492934508814304</v>
      </c>
      <c r="GI208" s="6">
        <v>11432.537813628131</v>
      </c>
      <c r="GJ208" s="14">
        <v>0.51074630601039528</v>
      </c>
      <c r="GK208" s="14">
        <v>0.5082951978616097</v>
      </c>
      <c r="GL208" s="14">
        <v>0.48925369398960444</v>
      </c>
      <c r="GM208" s="14">
        <v>0.49170480213839035</v>
      </c>
      <c r="GO208" s="5">
        <v>338.16872463277008</v>
      </c>
      <c r="GP208" s="5">
        <v>307.64377699166363</v>
      </c>
      <c r="GQ208" s="5">
        <v>527.27910984145694</v>
      </c>
      <c r="GR208" s="5">
        <v>404.20319246551543</v>
      </c>
      <c r="GS208" s="5">
        <v>334.50205195691484</v>
      </c>
      <c r="GT208" s="5">
        <v>289.18266033348181</v>
      </c>
      <c r="GU208" s="5">
        <v>254.29573314828914</v>
      </c>
      <c r="GV208" s="39" t="s">
        <v>392</v>
      </c>
      <c r="GW208" s="5">
        <v>468.76388888888891</v>
      </c>
      <c r="GX208" s="5">
        <v>351.57291666666669</v>
      </c>
      <c r="GY208" s="5">
        <v>281.25833333333333</v>
      </c>
      <c r="GZ208" s="5">
        <v>248.18079879493993</v>
      </c>
      <c r="HA208" s="5">
        <v>229.89195052129486</v>
      </c>
      <c r="HB208" s="39">
        <v>262.3983413024485</v>
      </c>
      <c r="HC208" s="5">
        <v>190.75937499999998</v>
      </c>
      <c r="HD208" s="5">
        <v>173.28879751461983</v>
      </c>
      <c r="HE208" s="5">
        <v>178.94016109986501</v>
      </c>
      <c r="HF208" s="5">
        <v>168.88629934210525</v>
      </c>
      <c r="HG208" s="5">
        <v>167.11410087719298</v>
      </c>
      <c r="HH208" s="39">
        <v>175.25369738552143</v>
      </c>
      <c r="HI208" s="16"/>
      <c r="HJ208" s="19" t="str">
        <f t="shared" si="778"/>
        <v>On</v>
      </c>
      <c r="HK208" s="1" t="str">
        <f t="shared" si="778"/>
        <v>On</v>
      </c>
      <c r="HL208" s="16"/>
      <c r="HM208" s="639">
        <f t="shared" si="727"/>
        <v>5.0961701597560354E-2</v>
      </c>
      <c r="HN208" s="639">
        <f t="shared" si="728"/>
        <v>3.112551654761847E-3</v>
      </c>
      <c r="HO208" s="639">
        <f t="shared" si="729"/>
        <v>3.1163314184693442E-2</v>
      </c>
      <c r="HP208" s="644">
        <f>(FT208*$GD208-HM208)/$JF208*INDEX(Input!$1:$1048576,$JG$93,$C208*2+6)</f>
        <v>52.383431766514569</v>
      </c>
      <c r="HQ208" s="644">
        <f>(FU208*$GD208-HN208)/$JF208*INDEX(Input!$1:$1048576,$JG$93,$C208*2+6)</f>
        <v>3.2085706505894889</v>
      </c>
      <c r="HR208" s="644">
        <f>(FV208*$GD208-HO208)/$JF208*INDEX(Input!$1:$1048576,$JG$93,$C208*2+6)</f>
        <v>17.923193628463387</v>
      </c>
      <c r="HS208" s="644">
        <f t="shared" si="779"/>
        <v>-8.3250851011876037</v>
      </c>
      <c r="HT208" s="644">
        <f t="shared" si="731"/>
        <v>31.568783989283908</v>
      </c>
      <c r="HU208" s="644">
        <f t="shared" si="732"/>
        <v>29.999977977049475</v>
      </c>
      <c r="HV208" s="648">
        <f t="shared" si="733"/>
        <v>0</v>
      </c>
      <c r="HW208" s="648">
        <f t="shared" si="734"/>
        <v>0</v>
      </c>
      <c r="HX208" s="648">
        <f t="shared" si="735"/>
        <v>0</v>
      </c>
      <c r="HY208" s="644">
        <f>INDEX(Input!$1:$1048576,HY$93,$C208*2+6)*INDEX(Input!$1:$1048576,$JG$93,$C208*2+6)</f>
        <v>555</v>
      </c>
      <c r="HZ208" s="644">
        <f>INDEX(Input!$1:$1048576,HZ$93,$C208*2+6)*INDEX(Input!$1:$1048576,$JG$93,$C208*2+6)</f>
        <v>480</v>
      </c>
      <c r="IA208" s="644">
        <f>INDEX(Input!$1:$1048576,IA$93,$C208*2+6)*INDEX(Input!$1:$1048576,$JG$93,$C208*2+6)</f>
        <v>566</v>
      </c>
      <c r="IB208" s="644">
        <f t="shared" si="759"/>
        <v>599.05834666532689</v>
      </c>
      <c r="IC208" s="644">
        <f t="shared" si="760"/>
        <v>514.77735463987335</v>
      </c>
      <c r="ID208" s="644">
        <f>IF(AND(INDEX(Input!$1:$1048576,IA$93,$C208*2+7)="TOS",Y208&lt;=INDEX(Y:Y,MATCH(C208*1000+2,A:A))),0,1)*MAX(IA208+HR208+HU208+HX208,0%)</f>
        <v>613.92317160551295</v>
      </c>
      <c r="IE208" s="128">
        <f t="shared" ref="IE208:IE211" si="793">IB208/SUM($IB208:$ID208)</f>
        <v>0.34672566644447778</v>
      </c>
      <c r="IF208" s="128">
        <f t="shared" si="736"/>
        <v>0.29794513731689914</v>
      </c>
      <c r="IG208" s="128">
        <f t="shared" si="737"/>
        <v>0.35532919623862302</v>
      </c>
      <c r="IH208" s="21"/>
      <c r="II208" s="19">
        <f t="shared" si="738"/>
        <v>1200</v>
      </c>
      <c r="IJ208" s="19">
        <f t="shared" si="739"/>
        <v>2226.7968732767699</v>
      </c>
      <c r="IK208" s="19">
        <f t="shared" si="740"/>
        <v>1786</v>
      </c>
      <c r="IL208" s="19">
        <f t="shared" si="762"/>
        <v>399.99999999999977</v>
      </c>
      <c r="IM208" s="19">
        <f t="shared" si="741"/>
        <v>400.01274745473211</v>
      </c>
      <c r="IN208" s="19">
        <f t="shared" si="742"/>
        <v>325</v>
      </c>
      <c r="IO208" s="39">
        <f t="shared" si="743"/>
        <v>0</v>
      </c>
      <c r="IP208" s="39">
        <f t="shared" si="744"/>
        <v>0</v>
      </c>
      <c r="IQ208" s="39">
        <f t="shared" si="745"/>
        <v>0</v>
      </c>
      <c r="IR208" s="39">
        <v>0</v>
      </c>
      <c r="IS208" s="39">
        <v>0</v>
      </c>
      <c r="IT208" s="39">
        <v>0</v>
      </c>
      <c r="IU208" s="39">
        <v>0</v>
      </c>
      <c r="IV208" s="39">
        <v>0</v>
      </c>
      <c r="IW208" s="39">
        <v>0</v>
      </c>
      <c r="IX208" s="39">
        <f>INDEX(Input!$1:$1048576,IX$93,$C208*2+6)+INDEX(Input!$1:$1048576,IX$94,$C208*2+6)</f>
        <v>1600</v>
      </c>
      <c r="IY208" s="39">
        <f>INDEX(Input!$1:$1048576,IY$93,$C208*2+6)+INDEX(Input!$1:$1048576,IY$94,$C208*2+6)</f>
        <v>2503.5492916397525</v>
      </c>
      <c r="IZ208" s="39">
        <f>INDEX(Input!$1:$1048576,IZ$93,$C208*2+6)+INDEX(Input!$1:$1048576,IZ$94,$C208*2+6)</f>
        <v>5773.7109265464023</v>
      </c>
      <c r="JA208" s="19">
        <f t="shared" si="763"/>
        <v>1999.9999999999998</v>
      </c>
      <c r="JB208" s="19">
        <f t="shared" si="764"/>
        <v>2903.5620390944846</v>
      </c>
      <c r="JC208" s="19">
        <f t="shared" si="765"/>
        <v>6098.7109265464023</v>
      </c>
      <c r="JD208" s="19">
        <f t="shared" si="766"/>
        <v>3725.6035749565385</v>
      </c>
      <c r="JE208" s="21"/>
      <c r="JF208" s="1">
        <f t="shared" si="746"/>
        <v>8.5237567437015646E-2</v>
      </c>
      <c r="JG208" s="15">
        <f>INDEX(Input!$1:$1048576,JG$93,$C208*2+6)/(1+VLOOKUP(C208*1000+INDEX(Input!$1:$1048576,JG$93+1,$C208*2+6),$A:$KK,$JK$92,FALSE))</f>
        <v>1601</v>
      </c>
      <c r="JH208" s="1">
        <f t="shared" si="767"/>
        <v>4.5918298591859745E-2</v>
      </c>
      <c r="JI208" s="1">
        <f t="shared" si="768"/>
        <v>3.3256512720265946E-2</v>
      </c>
      <c r="JJ208" s="1">
        <f t="shared" si="769"/>
        <v>0</v>
      </c>
      <c r="JK208" s="1">
        <f t="shared" ref="JK208:JK211" si="794">SUM(JH208:JJ208)</f>
        <v>7.9174811312125698E-2</v>
      </c>
      <c r="JL208" s="15">
        <f t="shared" si="771"/>
        <v>126.75887291071324</v>
      </c>
      <c r="JM208" s="15">
        <f t="shared" ref="JM208:JM261" si="795">JG208+JL208</f>
        <v>1727.7588729107133</v>
      </c>
      <c r="JN208" s="21"/>
      <c r="JO208" s="19">
        <f>INDEX(Input!$1:$1048576,JO$93,$C208*2+6)</f>
        <v>5908.5</v>
      </c>
      <c r="JP208" s="19">
        <f>INDEX(Input!$1:$1048576,JP$93,$C208*2+6)</f>
        <v>3346.4235130620518</v>
      </c>
      <c r="JQ208" s="39">
        <f t="shared" si="781"/>
        <v>2182.8964250434615</v>
      </c>
      <c r="JR208" s="39">
        <f>JD208-JP208</f>
        <v>379.1800618944867</v>
      </c>
      <c r="JS208" s="39">
        <f t="shared" si="783"/>
        <v>6.4369446335790332</v>
      </c>
      <c r="JT208" s="39">
        <f t="shared" si="773"/>
        <v>1.0793205891666888</v>
      </c>
      <c r="JU208" s="385">
        <f>(JQ208*JM208-INDEX(Input!$1:$1048576,Input!A$18,$C208*2+6)*JL208*INDEX(Input!$1:$1048576,Input!A$19,$C208*2+6))/1000000</f>
        <v>3.771518667013916</v>
      </c>
      <c r="JV208" s="39">
        <f t="shared" si="749"/>
        <v>-0.33036578857373877</v>
      </c>
      <c r="JW208" s="1">
        <f t="shared" ref="JW208:JW261" si="796">JV208/(JU208-JV208)</f>
        <v>-8.0540003540009286E-2</v>
      </c>
      <c r="JX208" s="19">
        <f t="shared" si="787"/>
        <v>8514.7537555571635</v>
      </c>
      <c r="JZ208" s="341"/>
      <c r="KA208" s="342"/>
      <c r="KB208" s="469">
        <f t="shared" si="784"/>
        <v>2.4482969984810516</v>
      </c>
      <c r="KI208" s="473">
        <f t="shared" si="785"/>
        <v>44.058346665326894</v>
      </c>
      <c r="KJ208" s="473">
        <f t="shared" si="774"/>
        <v>34.777354639873352</v>
      </c>
      <c r="KK208" s="473">
        <f t="shared" si="775"/>
        <v>47.923171605512948</v>
      </c>
      <c r="KN208" s="544">
        <f t="shared" si="788"/>
        <v>2002</v>
      </c>
      <c r="KO208" s="541">
        <f t="shared" si="750"/>
        <v>0</v>
      </c>
      <c r="KP208" s="546">
        <f t="shared" si="751"/>
        <v>0</v>
      </c>
      <c r="KQ208" s="546">
        <f t="shared" si="752"/>
        <v>0</v>
      </c>
      <c r="KR208" s="548" t="e">
        <f t="shared" si="753"/>
        <v>#DIV/0!</v>
      </c>
      <c r="KS208" s="548" t="e">
        <f t="shared" si="754"/>
        <v>#DIV/0!</v>
      </c>
      <c r="KT208" s="473">
        <f>KT207</f>
        <v>528.59039248727379</v>
      </c>
      <c r="KU208" s="663">
        <f t="shared" si="776"/>
        <v>11.992799490518733</v>
      </c>
      <c r="KV208" s="117"/>
    </row>
    <row r="209" spans="1:308" s="26" customFormat="1" ht="15">
      <c r="A209" s="561">
        <f t="shared" si="755"/>
        <v>2009</v>
      </c>
      <c r="B209" s="561">
        <f t="shared" si="777"/>
        <v>9</v>
      </c>
      <c r="C209" s="561">
        <f t="shared" si="105"/>
        <v>2</v>
      </c>
      <c r="D209" s="561" t="str">
        <f t="shared" ref="D209:D218" si="797">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1500</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1.9E-2</v>
      </c>
      <c r="W209" s="862">
        <f>INDEX(Input!$1:$1048576,W$93,$C209*2+MIN($B209,2)+5)</f>
        <v>3.9E-2</v>
      </c>
      <c r="X209" s="118" t="str">
        <f>INDEX(Input!$1:$1048576,X$93,$C209*2+MIN($B209,2)+5)</f>
        <v>Y</v>
      </c>
      <c r="Y209" s="150">
        <f>INDEX(Input!$1:$1048576,Y$93,$C209*2+MIN($B209,2)+5)</f>
        <v>1358</v>
      </c>
      <c r="Z209" s="30">
        <f>INDEX(Input!$1:$1048576,Z$93,$C209*2+MIN($B209,2)+5)</f>
        <v>0</v>
      </c>
      <c r="AA209" s="115">
        <f>INDEX(Input!$1:$1048576,AA$93,$C209*2+MIN($B209,2)+5)</f>
        <v>0</v>
      </c>
      <c r="AB209" s="118">
        <f>INDEX(Input!$1:$1048576,AB$93,$C209*2+MIN($B209,2)+5)</f>
        <v>1</v>
      </c>
      <c r="AC209" s="115">
        <f>INDEX(Input!$1:$1048576,AC$93,$C209*2+MIN($B209,2)+5)</f>
        <v>0</v>
      </c>
      <c r="AD209" s="118">
        <f>INDEX(Input!$1:$1048576,AD$93,$C209*2+MIN($B209,2)+5)</f>
        <v>0.35</v>
      </c>
      <c r="AE209" s="115">
        <f>INDEX(Input!$1:$1048576,AE$93,$C209*2+MIN($B209,2)+5)</f>
        <v>0</v>
      </c>
      <c r="AF209" s="118">
        <f>INDEX(Input!$1:$1048576,AF$93,$C209*2+MIN($B209,2)+5)</f>
        <v>1</v>
      </c>
      <c r="AG209" s="115">
        <f>INDEX(Input!$1:$1048576,AG$93,$C209*2+MIN($B209,2)+5)</f>
        <v>0</v>
      </c>
      <c r="AH209" s="118">
        <f>INDEX(Input!$1:$1048576,AH$93,$C209*2+MIN($B209,2)+5)</f>
        <v>1</v>
      </c>
      <c r="AI209" s="115">
        <f>INDEX(Input!$1:$1048576,AI$93,$C209*2+MIN($B209,2)+5)</f>
        <v>0</v>
      </c>
      <c r="AJ209" s="118">
        <f>INDEX(Input!$1:$1048576,AJ$93,$C209*2+MIN($B209,2)+5)</f>
        <v>0.35</v>
      </c>
      <c r="AK209" s="150">
        <f>ROUND(INDEX(Input!$1:$1048576,AK$93,$C208*2+MIN($B209,1)+5)+(Y209-VLOOKUP($C209*1000+1,$A:$HH,Y$92,FALSE)),0)</f>
        <v>4982</v>
      </c>
      <c r="AL209" s="150">
        <f>ROUND(INDEX(Input!$1:$1048576,AL$93,$C208*2+MIN($B209,1)+5)-(Y209-VLOOKUP($C209*1000+1,$A:$HH,Y$92,FALSE))/36,0)</f>
        <v>5102</v>
      </c>
      <c r="AM209" s="32" t="str">
        <f t="shared" si="756"/>
        <v>std/std/std/std</v>
      </c>
      <c r="AN209" s="32" t="str">
        <f t="shared" si="757"/>
        <v>$0 + 0/0/0/1.9/3.9</v>
      </c>
      <c r="AO209" s="32" t="str">
        <f t="shared" si="758"/>
        <v>0/0/0/1.9/3.9</v>
      </c>
      <c r="AP209" s="32" t="str">
        <f t="shared" si="493"/>
        <v>0/0.9/1.9/3.9</v>
      </c>
      <c r="AQ209" s="536">
        <f t="shared" si="492"/>
        <v>0.3660826263168796</v>
      </c>
      <c r="AR209" s="32"/>
      <c r="AS209" s="302"/>
      <c r="AT209" s="3">
        <f t="shared" si="106"/>
        <v>9</v>
      </c>
      <c r="AU209" s="41" t="s">
        <v>121</v>
      </c>
      <c r="AV209" s="41" t="s">
        <v>116</v>
      </c>
      <c r="AW209" s="41" t="str">
        <f>INDEX(Input!$1:$1048576,AW$93,$C209*2+6)</f>
        <v>Kia</v>
      </c>
      <c r="AX209" s="41" t="str">
        <f>INDEX(Input!$1:$1048576,AX$93,$C209*2+6)</f>
        <v>Kia-LR - L2</v>
      </c>
      <c r="AY209" s="41" t="str">
        <f>IF(LEN(D209)=0,"",INDEX(Input!$1:$1048576,AY$93,$C209*2+6))</f>
        <v>Compact Conventional/Sporty Car (43)</v>
      </c>
      <c r="AZ209" s="41" t="str">
        <f>INDEX(Input!$1:$1048576,AZ$93,$C209*2+6)</f>
        <v>Kia Forte</v>
      </c>
      <c r="BA209" s="3">
        <f>INDEX(Input!$1:$1048576,BA$93,$C209*2+6)</f>
        <v>2020</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19695</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94"/>
        <v>1500</v>
      </c>
      <c r="CJ209" s="16" t="str">
        <f>INDEX(Input!$1:$1048576,CJ$93,$C209*2+6)</f>
        <v>N</v>
      </c>
      <c r="CK209" s="1" t="str">
        <f t="shared" si="495"/>
        <v>Market</v>
      </c>
      <c r="CL209" s="1" t="str">
        <f t="shared" si="496"/>
        <v>Market</v>
      </c>
      <c r="CM209" s="1" t="str">
        <f t="shared" si="497"/>
        <v>Market</v>
      </c>
      <c r="CN209" s="1" t="str">
        <f t="shared" si="498"/>
        <v>Market</v>
      </c>
      <c r="CO209" s="1" t="str">
        <f t="shared" si="499"/>
        <v>Market</v>
      </c>
      <c r="CP209" s="304">
        <f t="shared" si="500"/>
        <v>0</v>
      </c>
      <c r="CQ209" s="1">
        <f t="shared" si="501"/>
        <v>0</v>
      </c>
      <c r="CR209" s="1">
        <f t="shared" si="502"/>
        <v>0</v>
      </c>
      <c r="CS209" s="1">
        <f t="shared" si="503"/>
        <v>0</v>
      </c>
      <c r="CT209" s="1">
        <f t="shared" si="504"/>
        <v>1.9E-2</v>
      </c>
      <c r="CU209" s="1">
        <f t="shared" si="505"/>
        <v>3.9E-2</v>
      </c>
      <c r="CV209" s="304">
        <f t="shared" si="506"/>
        <v>1358</v>
      </c>
      <c r="CW209" s="20" t="s">
        <v>122</v>
      </c>
      <c r="CX209" s="20" t="s">
        <v>122</v>
      </c>
      <c r="CY209" s="20" t="s">
        <v>122</v>
      </c>
      <c r="CZ209" s="20" t="s">
        <v>122</v>
      </c>
      <c r="DA209" s="20" t="s">
        <v>122</v>
      </c>
      <c r="DB209" s="503">
        <f t="shared" si="507"/>
        <v>0</v>
      </c>
      <c r="DC209" s="127">
        <v>0</v>
      </c>
      <c r="DD209" s="127">
        <v>0</v>
      </c>
      <c r="DE209" s="127">
        <v>0</v>
      </c>
      <c r="DF209" s="127">
        <v>0</v>
      </c>
      <c r="DG209" s="127">
        <v>0</v>
      </c>
      <c r="DH209" s="127">
        <v>0</v>
      </c>
      <c r="DI209" s="127">
        <v>0</v>
      </c>
      <c r="DJ209" s="127">
        <v>0</v>
      </c>
      <c r="DK209" s="127">
        <v>0</v>
      </c>
      <c r="DL209" s="127">
        <v>0</v>
      </c>
      <c r="DM209" s="304">
        <f>INDEX(Input!$1:$1048576,DM$93,$C209*2+6)</f>
        <v>20731.578947368424</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2.9075339832514549E-2</v>
      </c>
      <c r="DZ209" s="7">
        <v>0</v>
      </c>
      <c r="EA209" s="7">
        <v>0.59096634113361701</v>
      </c>
      <c r="EB209" s="7">
        <v>0</v>
      </c>
      <c r="EC209" s="7">
        <v>0</v>
      </c>
      <c r="ED209" s="7">
        <v>0</v>
      </c>
      <c r="EE209" s="7">
        <v>0</v>
      </c>
      <c r="EF209" s="7">
        <v>0</v>
      </c>
      <c r="EG209" s="7">
        <v>0</v>
      </c>
      <c r="EH209" s="7">
        <v>1.6198137501926176E-2</v>
      </c>
      <c r="EI209" s="7">
        <v>2.6453802984299259E-2</v>
      </c>
      <c r="EJ209" s="7">
        <v>0.26578099132037369</v>
      </c>
      <c r="EK209" s="7">
        <v>0.64361056264697591</v>
      </c>
      <c r="EL209" s="7">
        <v>4.7956505546425526E-2</v>
      </c>
      <c r="EM209" s="7">
        <v>3.51968382569149E-2</v>
      </c>
      <c r="EN209" s="7">
        <v>4.9727499506932636E-2</v>
      </c>
      <c r="EO209" s="7">
        <v>0.56164303053227826</v>
      </c>
      <c r="EP209" s="7">
        <v>0.28603115030822374</v>
      </c>
      <c r="EQ209" s="7">
        <v>6.3873030390967908E-2</v>
      </c>
      <c r="ER209" s="7">
        <v>3.8725289261597406E-2</v>
      </c>
      <c r="ES209" s="7">
        <v>0.34476148077695373</v>
      </c>
      <c r="ET209" s="7">
        <v>0.37995831903386845</v>
      </c>
      <c r="EU209" s="6">
        <v>1850</v>
      </c>
      <c r="EV209" s="6">
        <v>0</v>
      </c>
      <c r="EW209" s="6">
        <v>1850</v>
      </c>
      <c r="EX209" s="6">
        <v>0</v>
      </c>
      <c r="EY209" s="6">
        <v>2626.8261095860439</v>
      </c>
      <c r="EZ209" s="6">
        <v>2111</v>
      </c>
      <c r="FA209" s="6">
        <v>0</v>
      </c>
      <c r="FB209" s="6">
        <v>0</v>
      </c>
      <c r="FC209" s="6">
        <v>0</v>
      </c>
      <c r="FD209" s="6">
        <v>0</v>
      </c>
      <c r="FE209" s="6">
        <v>0</v>
      </c>
      <c r="FF209" s="6">
        <v>0</v>
      </c>
      <c r="FG209" s="6">
        <v>0</v>
      </c>
      <c r="FH209" s="6">
        <v>1154.7834691004059</v>
      </c>
      <c r="FI209" s="6">
        <v>1531.4299904380616</v>
      </c>
      <c r="FJ209" s="6">
        <v>2070.7205842538219</v>
      </c>
      <c r="FK209" s="6">
        <v>1746.9903521590429</v>
      </c>
      <c r="FL209" s="6">
        <v>893.9143356348942</v>
      </c>
      <c r="FM209" s="6">
        <v>1776.8261095860439</v>
      </c>
      <c r="FN209" s="6">
        <v>0</v>
      </c>
      <c r="FO209" s="6">
        <v>0</v>
      </c>
      <c r="FP209" s="6">
        <v>0</v>
      </c>
      <c r="FQ209" s="6">
        <v>0</v>
      </c>
      <c r="FR209" s="6">
        <v>0</v>
      </c>
      <c r="FS209" s="6">
        <v>0</v>
      </c>
      <c r="FT209" s="7">
        <v>0.62004168096613155</v>
      </c>
      <c r="FU209" s="7">
        <v>3.51968382569149E-2</v>
      </c>
      <c r="FV209" s="7">
        <v>0.34476148077695373</v>
      </c>
      <c r="FW209" s="6">
        <v>1849.9999999999998</v>
      </c>
      <c r="FX209" s="6">
        <v>2626.8261095860439</v>
      </c>
      <c r="FY209" s="6">
        <v>2111</v>
      </c>
      <c r="FZ209" s="6">
        <v>2594.6978186474794</v>
      </c>
      <c r="GA209" s="6">
        <v>1967.3245694156335</v>
      </c>
      <c r="GB209" s="6">
        <v>17727.675430584368</v>
      </c>
      <c r="GC209" s="7">
        <v>9.6947029492584935E-2</v>
      </c>
      <c r="GD209" s="7">
        <v>9.0818759660662204E-2</v>
      </c>
      <c r="GE209" s="7"/>
      <c r="GF209" s="7"/>
      <c r="GG209" s="7">
        <v>-6.3212559105706848E-2</v>
      </c>
      <c r="GH209" s="42">
        <v>1.984418929419187</v>
      </c>
      <c r="GI209" s="6">
        <v>11892.144227210601</v>
      </c>
      <c r="GJ209" s="14">
        <v>0.5107463060103955</v>
      </c>
      <c r="GK209" s="14">
        <v>0.50829519786160982</v>
      </c>
      <c r="GL209" s="14">
        <v>0.48925369398960444</v>
      </c>
      <c r="GM209" s="14">
        <v>0.49170480213839013</v>
      </c>
      <c r="GO209" s="5">
        <v>338.16872463277008</v>
      </c>
      <c r="GP209" s="5">
        <v>302.87425392274076</v>
      </c>
      <c r="GQ209" s="5">
        <v>527.27910984145694</v>
      </c>
      <c r="GR209" s="5">
        <v>404.20319246551543</v>
      </c>
      <c r="GS209" s="5">
        <v>334.50205195691484</v>
      </c>
      <c r="GT209" s="5">
        <v>289.18266033348181</v>
      </c>
      <c r="GU209" s="5">
        <v>254.29573314828914</v>
      </c>
      <c r="GV209" s="39" t="s">
        <v>392</v>
      </c>
      <c r="GW209" s="5">
        <v>468.76388888888891</v>
      </c>
      <c r="GX209" s="5">
        <v>351.57291666666669</v>
      </c>
      <c r="GY209" s="5">
        <v>281.25833333333333</v>
      </c>
      <c r="GZ209" s="5">
        <v>248.18079879493993</v>
      </c>
      <c r="HA209" s="5">
        <v>229.89195052129486</v>
      </c>
      <c r="HB209" s="39">
        <v>262.40325940156504</v>
      </c>
      <c r="HC209" s="5">
        <v>190.75937499999998</v>
      </c>
      <c r="HD209" s="5">
        <v>173.28879751461983</v>
      </c>
      <c r="HE209" s="5">
        <v>178.94016109986501</v>
      </c>
      <c r="HF209" s="5">
        <v>168.88629934210525</v>
      </c>
      <c r="HG209" s="5">
        <v>167.11410087719298</v>
      </c>
      <c r="HH209" s="39">
        <v>175.25371386205137</v>
      </c>
      <c r="HI209" s="16"/>
      <c r="HJ209" s="19" t="str">
        <f t="shared" si="778"/>
        <v>On</v>
      </c>
      <c r="HK209" s="1" t="str">
        <f t="shared" si="778"/>
        <v>On</v>
      </c>
      <c r="HL209" s="16"/>
      <c r="HM209" s="639">
        <f t="shared" si="727"/>
        <v>5.0961701597560354E-2</v>
      </c>
      <c r="HN209" s="639">
        <f t="shared" si="728"/>
        <v>3.112551654761847E-3</v>
      </c>
      <c r="HO209" s="639">
        <f t="shared" si="729"/>
        <v>3.1163314184693442E-2</v>
      </c>
      <c r="HP209" s="644">
        <f>(FT209*$GD209-HM209)/$JF209*INDEX(Input!$1:$1048576,$JG$93,$C209*2+6)</f>
        <v>100.48261185125571</v>
      </c>
      <c r="HQ209" s="644">
        <f>(FU209*$GD209-HN209)/$JF209*INDEX(Input!$1:$1048576,$JG$93,$C209*2+6)</f>
        <v>1.5774082850502849</v>
      </c>
      <c r="HR209" s="644">
        <f>(FV209*$GD209-HO209)/$JF209*INDEX(Input!$1:$1048576,$JG$93,$C209*2+6)</f>
        <v>2.7703852675183493</v>
      </c>
      <c r="HS209" s="644">
        <f t="shared" si="779"/>
        <v>-13.358100665969703</v>
      </c>
      <c r="HT209" s="644">
        <f t="shared" si="731"/>
        <v>28.657394650106415</v>
      </c>
      <c r="HU209" s="644">
        <f t="shared" si="732"/>
        <v>32.912871945281388</v>
      </c>
      <c r="HV209" s="648">
        <f t="shared" si="733"/>
        <v>0</v>
      </c>
      <c r="HW209" s="648">
        <f t="shared" si="734"/>
        <v>0</v>
      </c>
      <c r="HX209" s="648">
        <f t="shared" si="735"/>
        <v>0</v>
      </c>
      <c r="HY209" s="644">
        <f>INDEX(Input!$1:$1048576,HY$93,$C209*2+6)*INDEX(Input!$1:$1048576,$JG$93,$C209*2+6)</f>
        <v>555</v>
      </c>
      <c r="HZ209" s="644">
        <f>INDEX(Input!$1:$1048576,HZ$93,$C209*2+6)*INDEX(Input!$1:$1048576,$JG$93,$C209*2+6)</f>
        <v>480</v>
      </c>
      <c r="IA209" s="644">
        <f>INDEX(Input!$1:$1048576,IA$93,$C209*2+6)*INDEX(Input!$1:$1048576,$JG$93,$C209*2+6)</f>
        <v>566</v>
      </c>
      <c r="IB209" s="644">
        <f t="shared" si="759"/>
        <v>642.124511185286</v>
      </c>
      <c r="IC209" s="644">
        <f t="shared" si="760"/>
        <v>510.23480293515672</v>
      </c>
      <c r="ID209" s="644">
        <f>IF(AND(INDEX(Input!$1:$1048576,IA$93,$C209*2+7)="TOS",Y209&lt;=INDEX(Y:Y,MATCH(C209*1000+2,A:A))),0,1)*MAX(IA209+HR209+HU209+HX209,0%)</f>
        <v>601.68325721279973</v>
      </c>
      <c r="IE209" s="128">
        <f t="shared" si="793"/>
        <v>0.3660826263168796</v>
      </c>
      <c r="IF209" s="128">
        <f t="shared" si="736"/>
        <v>0.29089077498690857</v>
      </c>
      <c r="IG209" s="128">
        <f t="shared" si="737"/>
        <v>0.34302659869621188</v>
      </c>
      <c r="IH209" s="21"/>
      <c r="II209" s="19">
        <f t="shared" si="738"/>
        <v>1200</v>
      </c>
      <c r="IJ209" s="19">
        <f t="shared" si="739"/>
        <v>2226.7968732767699</v>
      </c>
      <c r="IK209" s="19">
        <f t="shared" si="740"/>
        <v>1786</v>
      </c>
      <c r="IL209" s="19">
        <f t="shared" si="762"/>
        <v>649.99999999999977</v>
      </c>
      <c r="IM209" s="19">
        <f t="shared" si="741"/>
        <v>400.02923630927398</v>
      </c>
      <c r="IN209" s="19">
        <f t="shared" si="742"/>
        <v>325</v>
      </c>
      <c r="IO209" s="39">
        <f t="shared" si="743"/>
        <v>0</v>
      </c>
      <c r="IP209" s="39">
        <f t="shared" si="744"/>
        <v>0</v>
      </c>
      <c r="IQ209" s="39">
        <f t="shared" si="745"/>
        <v>0</v>
      </c>
      <c r="IR209" s="39">
        <v>0</v>
      </c>
      <c r="IS209" s="39">
        <v>0</v>
      </c>
      <c r="IT209" s="39">
        <v>0</v>
      </c>
      <c r="IU209" s="39">
        <v>0</v>
      </c>
      <c r="IV209" s="39">
        <v>0</v>
      </c>
      <c r="IW209" s="39">
        <v>0</v>
      </c>
      <c r="IX209" s="39">
        <f>INDEX(Input!$1:$1048576,IX$93,$C209*2+6)+INDEX(Input!$1:$1048576,IX$94,$C209*2+6)</f>
        <v>1600</v>
      </c>
      <c r="IY209" s="39">
        <f>INDEX(Input!$1:$1048576,IY$93,$C209*2+6)+INDEX(Input!$1:$1048576,IY$94,$C209*2+6)</f>
        <v>2503.5492916397525</v>
      </c>
      <c r="IZ209" s="39">
        <f>INDEX(Input!$1:$1048576,IZ$93,$C209*2+6)+INDEX(Input!$1:$1048576,IZ$94,$C209*2+6)</f>
        <v>5773.7109265464023</v>
      </c>
      <c r="JA209" s="19">
        <f t="shared" si="763"/>
        <v>2250</v>
      </c>
      <c r="JB209" s="19">
        <f t="shared" si="764"/>
        <v>2903.5785279490265</v>
      </c>
      <c r="JC209" s="19">
        <f t="shared" si="765"/>
        <v>6098.7109265464023</v>
      </c>
      <c r="JD209" s="19">
        <f t="shared" si="766"/>
        <v>3760.3301830080541</v>
      </c>
      <c r="JE209" s="21"/>
      <c r="JF209" s="1">
        <f t="shared" si="746"/>
        <v>8.5237567437015646E-2</v>
      </c>
      <c r="JG209" s="15">
        <f>INDEX(Input!$1:$1048576,JG$93,$C209*2+6)/(1+VLOOKUP(C209*1000+INDEX(Input!$1:$1048576,JG$93+1,$C209*2+6),$A:$KK,$JK$92,FALSE))</f>
        <v>1601</v>
      </c>
      <c r="JH209" s="1">
        <f t="shared" si="767"/>
        <v>6.5478079577654183E-2</v>
      </c>
      <c r="JI209" s="1">
        <f t="shared" si="768"/>
        <v>3.0113782591766457E-2</v>
      </c>
      <c r="JJ209" s="1">
        <f t="shared" si="769"/>
        <v>0</v>
      </c>
      <c r="JK209" s="1">
        <f t="shared" si="794"/>
        <v>9.5591862169420644E-2</v>
      </c>
      <c r="JL209" s="15">
        <f t="shared" si="771"/>
        <v>153.04257133324245</v>
      </c>
      <c r="JM209" s="15">
        <f t="shared" si="795"/>
        <v>1754.0425713332424</v>
      </c>
      <c r="JN209" s="21"/>
      <c r="JO209" s="19">
        <f>INDEX(Input!$1:$1048576,JO$93,$C209*2+6)</f>
        <v>5908.5</v>
      </c>
      <c r="JP209" s="19">
        <f>INDEX(Input!$1:$1048576,JP$93,$C209*2+6)</f>
        <v>3346.4235130620518</v>
      </c>
      <c r="JQ209" s="39">
        <f t="shared" si="781"/>
        <v>2148.1698169919459</v>
      </c>
      <c r="JR209" s="39">
        <f t="shared" ref="JR209:JR261" si="798">JD209-JP209</f>
        <v>413.90666994600224</v>
      </c>
      <c r="JS209" s="39">
        <f t="shared" si="783"/>
        <v>6.5957792232654491</v>
      </c>
      <c r="JT209" s="39">
        <f t="shared" si="773"/>
        <v>1.2381551788531049</v>
      </c>
      <c r="JU209" s="385">
        <f>(JQ209*JM209-INDEX(Input!$1:$1048576,Input!A$18,$C209*2+6)*JL209*INDEX(Input!$1:$1048576,Input!A$19,$C209*2+6))/1000000</f>
        <v>3.767981309457014</v>
      </c>
      <c r="JV209" s="39">
        <f t="shared" si="749"/>
        <v>-0.33390314613064076</v>
      </c>
      <c r="JW209" s="1">
        <f t="shared" si="796"/>
        <v>-8.1402377308749482E-2</v>
      </c>
      <c r="JX209" s="19">
        <f t="shared" si="787"/>
        <v>8090.2664406826034</v>
      </c>
      <c r="JZ209" s="341"/>
      <c r="KA209" s="342"/>
      <c r="KB209" s="469">
        <f t="shared" si="784"/>
        <v>2.4482969984810516</v>
      </c>
      <c r="KI209" s="473">
        <f t="shared" si="785"/>
        <v>87.124511185285996</v>
      </c>
      <c r="KJ209" s="473">
        <f t="shared" si="774"/>
        <v>30.234802935156779</v>
      </c>
      <c r="KK209" s="473">
        <f t="shared" si="775"/>
        <v>35.683257212799731</v>
      </c>
      <c r="KN209" s="544">
        <f t="shared" si="788"/>
        <v>2002</v>
      </c>
      <c r="KO209" s="541">
        <f t="shared" si="750"/>
        <v>1.5212596407188306E-2</v>
      </c>
      <c r="KP209" s="546">
        <f t="shared" si="751"/>
        <v>91.525453034896231</v>
      </c>
      <c r="KQ209" s="546">
        <f t="shared" si="752"/>
        <v>34.726608051515541</v>
      </c>
      <c r="KR209" s="548">
        <f t="shared" si="753"/>
        <v>2.65429970161368</v>
      </c>
      <c r="KS209" s="548">
        <f t="shared" si="754"/>
        <v>6.9956726646091107</v>
      </c>
      <c r="KT209" s="473">
        <f t="shared" si="786"/>
        <v>528.59039248727379</v>
      </c>
      <c r="KU209" s="663">
        <f t="shared" si="776"/>
        <v>12.142480912659899</v>
      </c>
      <c r="KV209" s="117" t="e">
        <f>RANK(KU209,$KU$109:$KU$200)</f>
        <v>#N/A</v>
      </c>
    </row>
    <row r="210" spans="1:308" s="26" customFormat="1" ht="15">
      <c r="A210" s="561">
        <f t="shared" si="755"/>
        <v>2010</v>
      </c>
      <c r="B210" s="561">
        <f t="shared" si="777"/>
        <v>10</v>
      </c>
      <c r="C210" s="561">
        <f t="shared" si="105"/>
        <v>2</v>
      </c>
      <c r="D210" s="561" t="str">
        <f t="shared" si="797"/>
        <v xml:space="preserve">500 CC, </v>
      </c>
      <c r="E210" s="475">
        <f>INDEX(Input!$1:$1048576,E$93,$C210*2+MIN($B210,2)+5)+IF(OR(BX210&gt;50000,INDEX(Input!$1:$1048576,E$93,$C210*2+MIN($B210,2)+5)&gt;0),0,250)+IF(BX210&gt;50000,500,250)*2</f>
        <v>1750</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1.9E-2</v>
      </c>
      <c r="W210" s="862">
        <f>INDEX(Input!$1:$1048576,W$93,$C210*2+MIN($B210,2)+5)</f>
        <v>3.9E-2</v>
      </c>
      <c r="X210" s="118" t="str">
        <f>INDEX(Input!$1:$1048576,X$93,$C210*2+MIN($B210,2)+5)</f>
        <v>Y</v>
      </c>
      <c r="Y210" s="150">
        <f>INDEX(Input!$1:$1048576,Y$93,$C210*2+MIN($B210,2)+5)</f>
        <v>1358</v>
      </c>
      <c r="Z210" s="30">
        <f>INDEX(Input!$1:$1048576,Z$93,$C210*2+MIN($B210,2)+5)</f>
        <v>0</v>
      </c>
      <c r="AA210" s="115">
        <f>INDEX(Input!$1:$1048576,AA$93,$C210*2+MIN($B210,2)+5)</f>
        <v>0</v>
      </c>
      <c r="AB210" s="118">
        <f>INDEX(Input!$1:$1048576,AB$93,$C210*2+MIN($B210,2)+5)</f>
        <v>1</v>
      </c>
      <c r="AC210" s="115">
        <f>INDEX(Input!$1:$1048576,AC$93,$C210*2+MIN($B210,2)+5)</f>
        <v>0</v>
      </c>
      <c r="AD210" s="118">
        <f>INDEX(Input!$1:$1048576,AD$93,$C210*2+MIN($B210,2)+5)</f>
        <v>0.35</v>
      </c>
      <c r="AE210" s="115">
        <f>INDEX(Input!$1:$1048576,AE$93,$C210*2+MIN($B210,2)+5)</f>
        <v>0</v>
      </c>
      <c r="AF210" s="118">
        <f>INDEX(Input!$1:$1048576,AF$93,$C210*2+MIN($B210,2)+5)</f>
        <v>1</v>
      </c>
      <c r="AG210" s="115">
        <f>INDEX(Input!$1:$1048576,AG$93,$C210*2+MIN($B210,2)+5)</f>
        <v>0</v>
      </c>
      <c r="AH210" s="118">
        <f>INDEX(Input!$1:$1048576,AH$93,$C210*2+MIN($B210,2)+5)</f>
        <v>1</v>
      </c>
      <c r="AI210" s="115">
        <f>INDEX(Input!$1:$1048576,AI$93,$C210*2+MIN($B210,2)+5)</f>
        <v>0</v>
      </c>
      <c r="AJ210" s="118">
        <f>INDEX(Input!$1:$1048576,AJ$93,$C210*2+MIN($B210,2)+5)</f>
        <v>0.35</v>
      </c>
      <c r="AK210" s="150">
        <f>ROUND(INDEX(Input!$1:$1048576,AK$93,$C209*2+MIN($B210,1)+5)+(Y210-VLOOKUP($C210*1000+1,$A:$HH,Y$92,FALSE)),0)</f>
        <v>4982</v>
      </c>
      <c r="AL210" s="150">
        <f>ROUND(INDEX(Input!$1:$1048576,AL$93,$C209*2+MIN($B210,1)+5)-(Y210-VLOOKUP($C210*1000+1,$A:$HH,Y$92,FALSE))/36,0)</f>
        <v>5102</v>
      </c>
      <c r="AM210" s="32" t="str">
        <f t="shared" si="756"/>
        <v>std/std/std/std</v>
      </c>
      <c r="AN210" s="32" t="str">
        <f t="shared" si="757"/>
        <v>$0 + 0/0/0/1.9/3.9</v>
      </c>
      <c r="AO210" s="32" t="str">
        <f t="shared" si="758"/>
        <v>0/0/0/1.9/3.9</v>
      </c>
      <c r="AP210" s="32" t="str">
        <f t="shared" si="493"/>
        <v>0/0.9/1.9/3.9</v>
      </c>
      <c r="AQ210" s="536">
        <f t="shared" si="492"/>
        <v>0.3853867727663563</v>
      </c>
      <c r="AR210" s="32"/>
      <c r="AS210" s="302"/>
      <c r="AT210" s="3">
        <f t="shared" si="106"/>
        <v>10</v>
      </c>
      <c r="AU210" s="41" t="s">
        <v>121</v>
      </c>
      <c r="AV210" s="41" t="s">
        <v>116</v>
      </c>
      <c r="AW210" s="41" t="str">
        <f>INDEX(Input!$1:$1048576,AW$93,$C210*2+6)</f>
        <v>Kia</v>
      </c>
      <c r="AX210" s="41" t="str">
        <f>INDEX(Input!$1:$1048576,AX$93,$C210*2+6)</f>
        <v>Kia-LR - L2</v>
      </c>
      <c r="AY210" s="41" t="str">
        <f>IF(LEN(D210)=0,"",INDEX(Input!$1:$1048576,AY$93,$C210*2+6))</f>
        <v>Compact Conventional/Sporty Car (43)</v>
      </c>
      <c r="AZ210" s="41" t="str">
        <f>INDEX(Input!$1:$1048576,AZ$93,$C210*2+6)</f>
        <v>Kia Forte</v>
      </c>
      <c r="BA210" s="3">
        <f>INDEX(Input!$1:$1048576,BA$93,$C210*2+6)</f>
        <v>2020</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19695</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94"/>
        <v>1750</v>
      </c>
      <c r="CJ210" s="16" t="str">
        <f>INDEX(Input!$1:$1048576,CJ$93,$C210*2+6)</f>
        <v>N</v>
      </c>
      <c r="CK210" s="1" t="str">
        <f t="shared" si="495"/>
        <v>Market</v>
      </c>
      <c r="CL210" s="1" t="str">
        <f t="shared" si="496"/>
        <v>Market</v>
      </c>
      <c r="CM210" s="1" t="str">
        <f t="shared" si="497"/>
        <v>Market</v>
      </c>
      <c r="CN210" s="1" t="str">
        <f t="shared" si="498"/>
        <v>Market</v>
      </c>
      <c r="CO210" s="1" t="str">
        <f t="shared" si="499"/>
        <v>Market</v>
      </c>
      <c r="CP210" s="304">
        <f t="shared" si="500"/>
        <v>0</v>
      </c>
      <c r="CQ210" s="1">
        <f t="shared" si="501"/>
        <v>0</v>
      </c>
      <c r="CR210" s="1">
        <f t="shared" si="502"/>
        <v>0</v>
      </c>
      <c r="CS210" s="1">
        <f t="shared" si="503"/>
        <v>0</v>
      </c>
      <c r="CT210" s="1">
        <f t="shared" si="504"/>
        <v>1.9E-2</v>
      </c>
      <c r="CU210" s="1">
        <f t="shared" si="505"/>
        <v>3.9E-2</v>
      </c>
      <c r="CV210" s="304">
        <f t="shared" si="506"/>
        <v>1358</v>
      </c>
      <c r="CW210" s="20" t="s">
        <v>122</v>
      </c>
      <c r="CX210" s="20" t="s">
        <v>122</v>
      </c>
      <c r="CY210" s="20" t="s">
        <v>122</v>
      </c>
      <c r="CZ210" s="20" t="s">
        <v>122</v>
      </c>
      <c r="DA210" s="20" t="s">
        <v>122</v>
      </c>
      <c r="DB210" s="503">
        <f t="shared" si="507"/>
        <v>0</v>
      </c>
      <c r="DC210" s="127">
        <v>0</v>
      </c>
      <c r="DD210" s="127">
        <v>0</v>
      </c>
      <c r="DE210" s="127">
        <v>0</v>
      </c>
      <c r="DF210" s="127">
        <v>0</v>
      </c>
      <c r="DG210" s="127">
        <v>0</v>
      </c>
      <c r="DH210" s="127">
        <v>0</v>
      </c>
      <c r="DI210" s="127">
        <v>0</v>
      </c>
      <c r="DJ210" s="127">
        <v>0</v>
      </c>
      <c r="DK210" s="127">
        <v>0</v>
      </c>
      <c r="DL210" s="127">
        <v>0</v>
      </c>
      <c r="DM210" s="304">
        <f>INDEX(Input!$1:$1048576,DM$93,$C210*2+6)</f>
        <v>20731.578947368424</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2.9972131299263079E-2</v>
      </c>
      <c r="DZ210" s="7">
        <v>0</v>
      </c>
      <c r="EA210" s="7">
        <v>0.60690947477995694</v>
      </c>
      <c r="EB210" s="7">
        <v>0</v>
      </c>
      <c r="EC210" s="7">
        <v>0</v>
      </c>
      <c r="ED210" s="7">
        <v>0</v>
      </c>
      <c r="EE210" s="7">
        <v>0</v>
      </c>
      <c r="EF210" s="7">
        <v>0</v>
      </c>
      <c r="EG210" s="7">
        <v>0</v>
      </c>
      <c r="EH210" s="7">
        <v>1.620409380938867E-2</v>
      </c>
      <c r="EI210" s="7">
        <v>2.6466637869749388E-2</v>
      </c>
      <c r="EJ210" s="7">
        <v>0.26584446601413325</v>
      </c>
      <c r="EK210" s="7">
        <v>0.64353047177785172</v>
      </c>
      <c r="EL210" s="7">
        <v>4.7954330528877244E-2</v>
      </c>
      <c r="EM210" s="7">
        <v>3.3596303450345907E-2</v>
      </c>
      <c r="EN210" s="7">
        <v>4.972229990944755E-2</v>
      </c>
      <c r="EO210" s="7">
        <v>0.56162017314603963</v>
      </c>
      <c r="EP210" s="7">
        <v>0.28605574125394745</v>
      </c>
      <c r="EQ210" s="7">
        <v>6.3866992723209282E-2</v>
      </c>
      <c r="ER210" s="7">
        <v>3.873479296735631E-2</v>
      </c>
      <c r="ES210" s="7">
        <v>0.32952209047043407</v>
      </c>
      <c r="ET210" s="7">
        <v>0.36311839392077994</v>
      </c>
      <c r="EU210" s="6">
        <v>2100</v>
      </c>
      <c r="EV210" s="6">
        <v>0</v>
      </c>
      <c r="EW210" s="6">
        <v>2100</v>
      </c>
      <c r="EX210" s="6">
        <v>0</v>
      </c>
      <c r="EY210" s="6">
        <v>2626.8422002570906</v>
      </c>
      <c r="EZ210" s="6">
        <v>2111</v>
      </c>
      <c r="FA210" s="6">
        <v>0</v>
      </c>
      <c r="FB210" s="6">
        <v>0</v>
      </c>
      <c r="FC210" s="6">
        <v>0</v>
      </c>
      <c r="FD210" s="6">
        <v>0</v>
      </c>
      <c r="FE210" s="6">
        <v>0</v>
      </c>
      <c r="FF210" s="6">
        <v>0</v>
      </c>
      <c r="FG210" s="6">
        <v>0</v>
      </c>
      <c r="FH210" s="6">
        <v>1154.7822717008253</v>
      </c>
      <c r="FI210" s="6">
        <v>1531.4299904380616</v>
      </c>
      <c r="FJ210" s="6">
        <v>2070.7205842538224</v>
      </c>
      <c r="FK210" s="6">
        <v>1746.9903521590438</v>
      </c>
      <c r="FL210" s="6">
        <v>893.91433563489318</v>
      </c>
      <c r="FM210" s="6">
        <v>1776.8422002570908</v>
      </c>
      <c r="FN210" s="6">
        <v>0</v>
      </c>
      <c r="FO210" s="6">
        <v>0</v>
      </c>
      <c r="FP210" s="6">
        <v>0</v>
      </c>
      <c r="FQ210" s="6">
        <v>0</v>
      </c>
      <c r="FR210" s="6">
        <v>0</v>
      </c>
      <c r="FS210" s="6">
        <v>0</v>
      </c>
      <c r="FT210" s="7">
        <v>0.63688160607922006</v>
      </c>
      <c r="FU210" s="7">
        <v>3.3596303450345907E-2</v>
      </c>
      <c r="FV210" s="7">
        <v>0.32952209047043407</v>
      </c>
      <c r="FW210" s="6">
        <v>2099.9999999999995</v>
      </c>
      <c r="FX210" s="6">
        <v>2626.8422002570906</v>
      </c>
      <c r="FY210" s="6">
        <v>2111</v>
      </c>
      <c r="FZ210" s="6">
        <v>2594.6978186474794</v>
      </c>
      <c r="GA210" s="6">
        <v>2121.3246934254598</v>
      </c>
      <c r="GB210" s="6">
        <v>17573.67530657454</v>
      </c>
      <c r="GC210" s="7">
        <v>9.6947029492584935E-2</v>
      </c>
      <c r="GD210" s="7">
        <v>9.2560620610060651E-2</v>
      </c>
      <c r="GE210" s="7"/>
      <c r="GF210" s="7"/>
      <c r="GG210" s="7">
        <v>-4.5245418095659982E-2</v>
      </c>
      <c r="GH210" s="42">
        <v>1.8824653574832311</v>
      </c>
      <c r="GI210" s="6">
        <v>12583.668620078799</v>
      </c>
      <c r="GJ210" s="14">
        <v>0.51074630601039506</v>
      </c>
      <c r="GK210" s="14">
        <v>0.50829519786160948</v>
      </c>
      <c r="GL210" s="14">
        <v>0.48925369398960411</v>
      </c>
      <c r="GM210" s="14">
        <v>0.4917048021383903</v>
      </c>
      <c r="GO210" s="5">
        <v>338.16872463277008</v>
      </c>
      <c r="GP210" s="5">
        <v>298.1047308538179</v>
      </c>
      <c r="GQ210" s="5">
        <v>527.27910984145694</v>
      </c>
      <c r="GR210" s="5">
        <v>404.20319246551543</v>
      </c>
      <c r="GS210" s="5">
        <v>334.50205195691484</v>
      </c>
      <c r="GT210" s="5">
        <v>289.18266033348181</v>
      </c>
      <c r="GU210" s="5">
        <v>254.29573314828914</v>
      </c>
      <c r="GV210" s="39" t="s">
        <v>392</v>
      </c>
      <c r="GW210" s="5">
        <v>468.76388888888891</v>
      </c>
      <c r="GX210" s="5">
        <v>351.57291666666669</v>
      </c>
      <c r="GY210" s="5">
        <v>281.25833333333333</v>
      </c>
      <c r="GZ210" s="5">
        <v>248.18079879493993</v>
      </c>
      <c r="HA210" s="5">
        <v>229.89195052129486</v>
      </c>
      <c r="HB210" s="39">
        <v>262.408039653201</v>
      </c>
      <c r="HC210" s="5">
        <v>190.75937499999998</v>
      </c>
      <c r="HD210" s="5">
        <v>173.28879751461983</v>
      </c>
      <c r="HE210" s="5">
        <v>178.94016109986501</v>
      </c>
      <c r="HF210" s="5">
        <v>168.88629934210525</v>
      </c>
      <c r="HG210" s="5">
        <v>167.11410087719298</v>
      </c>
      <c r="HH210" s="39">
        <v>175.25372989277716</v>
      </c>
      <c r="HI210" s="16"/>
      <c r="HJ210" s="19" t="str">
        <f t="shared" si="778"/>
        <v>On</v>
      </c>
      <c r="HK210" s="1" t="str">
        <f t="shared" si="778"/>
        <v>On</v>
      </c>
      <c r="HL210" s="16"/>
      <c r="HM210" s="639">
        <f t="shared" si="727"/>
        <v>5.0961701597560354E-2</v>
      </c>
      <c r="HN210" s="639">
        <f t="shared" si="728"/>
        <v>3.112551654761847E-3</v>
      </c>
      <c r="HO210" s="639">
        <f t="shared" si="729"/>
        <v>3.1163314184693442E-2</v>
      </c>
      <c r="HP210" s="644">
        <f>(FT210*$GD210-HM210)/$JF210*INDEX(Input!$1:$1048576,$JG$93,$C210*2+6)</f>
        <v>150.04553773299409</v>
      </c>
      <c r="HQ210" s="644">
        <f>(FU210*$GD210-HN210)/$JF210*INDEX(Input!$1:$1048576,$JG$93,$C210*2+6)</f>
        <v>-5.3661649493061632E-2</v>
      </c>
      <c r="HR210" s="644">
        <f>(FV210*$GD210-HO210)/$JF210*INDEX(Input!$1:$1048576,$JG$93,$C210*2+6)</f>
        <v>-12.4444485515222</v>
      </c>
      <c r="HS210" s="644">
        <f t="shared" si="779"/>
        <v>-18.391115959718768</v>
      </c>
      <c r="HT210" s="644">
        <f t="shared" si="731"/>
        <v>25.745969247209018</v>
      </c>
      <c r="HU210" s="644">
        <f t="shared" si="732"/>
        <v>35.82576564248027</v>
      </c>
      <c r="HV210" s="648">
        <f t="shared" si="733"/>
        <v>0</v>
      </c>
      <c r="HW210" s="648">
        <f t="shared" si="734"/>
        <v>0</v>
      </c>
      <c r="HX210" s="648">
        <f t="shared" si="735"/>
        <v>0</v>
      </c>
      <c r="HY210" s="644">
        <f>INDEX(Input!$1:$1048576,HY$93,$C210*2+6)*INDEX(Input!$1:$1048576,$JG$93,$C210*2+6)</f>
        <v>555</v>
      </c>
      <c r="HZ210" s="644">
        <f>INDEX(Input!$1:$1048576,HZ$93,$C210*2+6)*INDEX(Input!$1:$1048576,$JG$93,$C210*2+6)</f>
        <v>480</v>
      </c>
      <c r="IA210" s="644">
        <f>INDEX(Input!$1:$1048576,IA$93,$C210*2+6)*INDEX(Input!$1:$1048576,$JG$93,$C210*2+6)</f>
        <v>566</v>
      </c>
      <c r="IB210" s="644">
        <f t="shared" si="759"/>
        <v>686.6544217732752</v>
      </c>
      <c r="IC210" s="644">
        <f t="shared" si="760"/>
        <v>505.69230759771597</v>
      </c>
      <c r="ID210" s="644">
        <f>IF(AND(INDEX(Input!$1:$1048576,IA$93,$C210*2+7)="TOS",Y210&lt;=INDEX(Y:Y,MATCH(C210*1000+2,A:A))),0,1)*MAX(IA210+HR210+HU210+HX210,0%)</f>
        <v>589.38131709095808</v>
      </c>
      <c r="IE210" s="128">
        <f t="shared" si="793"/>
        <v>0.3853867727663563</v>
      </c>
      <c r="IF210" s="128">
        <f t="shared" si="736"/>
        <v>0.28382126475580266</v>
      </c>
      <c r="IG210" s="128">
        <f t="shared" si="737"/>
        <v>0.33079196247784098</v>
      </c>
      <c r="IH210" s="21"/>
      <c r="II210" s="19">
        <f t="shared" si="738"/>
        <v>1200</v>
      </c>
      <c r="IJ210" s="19">
        <f t="shared" si="739"/>
        <v>2226.7968732767699</v>
      </c>
      <c r="IK210" s="19">
        <f t="shared" si="740"/>
        <v>1786</v>
      </c>
      <c r="IL210" s="19">
        <f t="shared" si="762"/>
        <v>899.99999999999955</v>
      </c>
      <c r="IM210" s="19">
        <f t="shared" si="741"/>
        <v>400.04532698032062</v>
      </c>
      <c r="IN210" s="19">
        <f t="shared" si="742"/>
        <v>325</v>
      </c>
      <c r="IO210" s="39">
        <f t="shared" si="743"/>
        <v>0</v>
      </c>
      <c r="IP210" s="39">
        <f t="shared" si="744"/>
        <v>0</v>
      </c>
      <c r="IQ210" s="39">
        <f t="shared" si="745"/>
        <v>0</v>
      </c>
      <c r="IR210" s="39">
        <v>0</v>
      </c>
      <c r="IS210" s="39">
        <v>0</v>
      </c>
      <c r="IT210" s="39">
        <v>0</v>
      </c>
      <c r="IU210" s="39">
        <v>0</v>
      </c>
      <c r="IV210" s="39">
        <v>0</v>
      </c>
      <c r="IW210" s="39">
        <v>0</v>
      </c>
      <c r="IX210" s="39">
        <f>INDEX(Input!$1:$1048576,IX$93,$C210*2+6)+INDEX(Input!$1:$1048576,IX$94,$C210*2+6)</f>
        <v>1600</v>
      </c>
      <c r="IY210" s="39">
        <f>INDEX(Input!$1:$1048576,IY$93,$C210*2+6)+INDEX(Input!$1:$1048576,IY$94,$C210*2+6)</f>
        <v>2503.5492916397525</v>
      </c>
      <c r="IZ210" s="39">
        <f>INDEX(Input!$1:$1048576,IZ$93,$C210*2+6)+INDEX(Input!$1:$1048576,IZ$94,$C210*2+6)</f>
        <v>5773.7109265464023</v>
      </c>
      <c r="JA210" s="19">
        <f t="shared" si="763"/>
        <v>2499.9999999999995</v>
      </c>
      <c r="JB210" s="19">
        <f t="shared" si="764"/>
        <v>2903.5946186200731</v>
      </c>
      <c r="JC210" s="19">
        <f t="shared" si="765"/>
        <v>6098.7109265464023</v>
      </c>
      <c r="JD210" s="19">
        <f t="shared" si="766"/>
        <v>3804.9733848881183</v>
      </c>
      <c r="JE210" s="21"/>
      <c r="JF210" s="1">
        <f t="shared" si="746"/>
        <v>8.5237567437015646E-2</v>
      </c>
      <c r="JG210" s="15">
        <f>INDEX(Input!$1:$1048576,JG$93,$C210*2+6)/(1+VLOOKUP(C210*1000+INDEX(Input!$1:$1048576,JG$93+1,$C210*2+6),$A:$KK,$JK$92,FALSE))</f>
        <v>1601</v>
      </c>
      <c r="JH210" s="1">
        <f t="shared" si="767"/>
        <v>8.5913446303547053E-2</v>
      </c>
      <c r="JI210" s="1">
        <f t="shared" si="768"/>
        <v>2.6971029937520624E-2</v>
      </c>
      <c r="JJ210" s="1">
        <f t="shared" si="769"/>
        <v>0</v>
      </c>
      <c r="JK210" s="1">
        <f t="shared" si="794"/>
        <v>0.11288447624106768</v>
      </c>
      <c r="JL210" s="15">
        <f t="shared" si="771"/>
        <v>180.72804646194936</v>
      </c>
      <c r="JM210" s="15">
        <f t="shared" si="795"/>
        <v>1781.7280464619494</v>
      </c>
      <c r="JN210" s="21"/>
      <c r="JO210" s="19">
        <f>INDEX(Input!$1:$1048576,JO$93,$C210*2+6)</f>
        <v>5908.5</v>
      </c>
      <c r="JP210" s="19">
        <f>INDEX(Input!$1:$1048576,JP$93,$C210*2+6)</f>
        <v>3346.4235130620518</v>
      </c>
      <c r="JQ210" s="39">
        <f t="shared" si="781"/>
        <v>2103.5266151118817</v>
      </c>
      <c r="JR210" s="39">
        <f t="shared" si="798"/>
        <v>458.54987182606646</v>
      </c>
      <c r="JS210" s="39">
        <f t="shared" si="783"/>
        <v>6.7794277958964182</v>
      </c>
      <c r="JT210" s="39">
        <f t="shared" si="773"/>
        <v>1.4218037514840738</v>
      </c>
      <c r="JU210" s="385">
        <f>(JQ210*JM210-INDEX(Input!$1:$1048576,Input!A$18,$C210*2+6)*JL210*INDEX(Input!$1:$1048576,Input!A$19,$C210*2+6))/1000000</f>
        <v>3.7479123666240097</v>
      </c>
      <c r="JV210" s="39">
        <f t="shared" si="749"/>
        <v>-0.35397208896364507</v>
      </c>
      <c r="JW210" s="1">
        <f t="shared" si="796"/>
        <v>-8.6294992654280755E-2</v>
      </c>
      <c r="JX210" s="19">
        <f t="shared" si="787"/>
        <v>7867.0896925974439</v>
      </c>
      <c r="JZ210" s="341"/>
      <c r="KA210" s="342"/>
      <c r="KB210" s="469">
        <f t="shared" si="784"/>
        <v>2.4482969984810516</v>
      </c>
      <c r="KI210" s="473">
        <f t="shared" si="785"/>
        <v>131.6544217732752</v>
      </c>
      <c r="KJ210" s="473">
        <f t="shared" si="774"/>
        <v>25.692307597715967</v>
      </c>
      <c r="KK210" s="473">
        <f t="shared" si="775"/>
        <v>23.381317090958078</v>
      </c>
      <c r="KN210" s="544">
        <f t="shared" si="788"/>
        <v>2002</v>
      </c>
      <c r="KO210" s="541">
        <f t="shared" si="750"/>
        <v>3.1236519399443496E-2</v>
      </c>
      <c r="KP210" s="546">
        <f t="shared" si="751"/>
        <v>192.70263314533574</v>
      </c>
      <c r="KQ210" s="546">
        <f t="shared" si="752"/>
        <v>79.369809931579766</v>
      </c>
      <c r="KR210" s="548">
        <f t="shared" si="753"/>
        <v>2.5885913082052121</v>
      </c>
      <c r="KS210" s="548">
        <f t="shared" si="754"/>
        <v>6.2848627413658349</v>
      </c>
      <c r="KT210" s="473">
        <f t="shared" si="786"/>
        <v>528.59039248727379</v>
      </c>
      <c r="KU210" s="663">
        <f t="shared" si="776"/>
        <v>12.271120766880983</v>
      </c>
      <c r="KV210" s="117" t="e">
        <f t="shared" ref="KV210:KV211" si="799">RANK(KU210,$KU$109:$KU$200)</f>
        <v>#N/A</v>
      </c>
    </row>
    <row r="211" spans="1:308" s="26" customFormat="1" ht="15">
      <c r="A211" s="561">
        <f t="shared" si="755"/>
        <v>2011</v>
      </c>
      <c r="B211" s="561">
        <f t="shared" si="777"/>
        <v>11</v>
      </c>
      <c r="C211" s="561">
        <f t="shared" si="105"/>
        <v>2</v>
      </c>
      <c r="D211" s="561" t="str">
        <f t="shared" si="797"/>
        <v xml:space="preserve">750 CC, </v>
      </c>
      <c r="E211" s="475">
        <f>INDEX(Input!$1:$1048576,E$93,$C211*2+MIN($B211,2)+5)+IF(OR(BX211&gt;50000,INDEX(Input!$1:$1048576,E$93,$C211*2+MIN($B211,2)+5)&gt;0),0,250)+IF(BX211&gt;50000,500,250)*3</f>
        <v>2000</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1.9E-2</v>
      </c>
      <c r="W211" s="862">
        <f>INDEX(Input!$1:$1048576,W$93,$C211*2+MIN($B211,2)+5)</f>
        <v>3.9E-2</v>
      </c>
      <c r="X211" s="118" t="str">
        <f>INDEX(Input!$1:$1048576,X$93,$C211*2+MIN($B211,2)+5)</f>
        <v>Y</v>
      </c>
      <c r="Y211" s="150">
        <f>INDEX(Input!$1:$1048576,Y$93,$C211*2+MIN($B211,2)+5)</f>
        <v>1358</v>
      </c>
      <c r="Z211" s="30">
        <f>INDEX(Input!$1:$1048576,Z$93,$C211*2+MIN($B211,2)+5)</f>
        <v>0</v>
      </c>
      <c r="AA211" s="115">
        <f>INDEX(Input!$1:$1048576,AA$93,$C211*2+MIN($B211,2)+5)</f>
        <v>0</v>
      </c>
      <c r="AB211" s="118">
        <f>INDEX(Input!$1:$1048576,AB$93,$C211*2+MIN($B211,2)+5)</f>
        <v>1</v>
      </c>
      <c r="AC211" s="115">
        <f>INDEX(Input!$1:$1048576,AC$93,$C211*2+MIN($B211,2)+5)</f>
        <v>0</v>
      </c>
      <c r="AD211" s="118">
        <f>INDEX(Input!$1:$1048576,AD$93,$C211*2+MIN($B211,2)+5)</f>
        <v>0.35</v>
      </c>
      <c r="AE211" s="115">
        <f>INDEX(Input!$1:$1048576,AE$93,$C211*2+MIN($B211,2)+5)</f>
        <v>0</v>
      </c>
      <c r="AF211" s="118">
        <f>INDEX(Input!$1:$1048576,AF$93,$C211*2+MIN($B211,2)+5)</f>
        <v>1</v>
      </c>
      <c r="AG211" s="115">
        <f>INDEX(Input!$1:$1048576,AG$93,$C211*2+MIN($B211,2)+5)</f>
        <v>0</v>
      </c>
      <c r="AH211" s="118">
        <f>INDEX(Input!$1:$1048576,AH$93,$C211*2+MIN($B211,2)+5)</f>
        <v>1</v>
      </c>
      <c r="AI211" s="115">
        <f>INDEX(Input!$1:$1048576,AI$93,$C211*2+MIN($B211,2)+5)</f>
        <v>0</v>
      </c>
      <c r="AJ211" s="118">
        <f>INDEX(Input!$1:$1048576,AJ$93,$C211*2+MIN($B211,2)+5)</f>
        <v>0.35</v>
      </c>
      <c r="AK211" s="150">
        <f>ROUND(INDEX(Input!$1:$1048576,AK$93,$C210*2+MIN($B211,1)+5)+(Y211-VLOOKUP($C211*1000+1,$A:$HH,Y$92,FALSE)),0)</f>
        <v>4982</v>
      </c>
      <c r="AL211" s="150">
        <f>ROUND(INDEX(Input!$1:$1048576,AL$93,$C210*2+MIN($B211,1)+5)-(Y211-VLOOKUP($C211*1000+1,$A:$HH,Y$92,FALSE))/36,0)</f>
        <v>5102</v>
      </c>
      <c r="AM211" s="32" t="str">
        <f t="shared" si="756"/>
        <v>std/std/std/std</v>
      </c>
      <c r="AN211" s="32" t="str">
        <f t="shared" si="757"/>
        <v>$0 + 0/0/0/1.9/3.9</v>
      </c>
      <c r="AO211" s="32" t="str">
        <f t="shared" si="758"/>
        <v>0/0/0/1.9/3.9</v>
      </c>
      <c r="AP211" s="32" t="str">
        <f t="shared" si="493"/>
        <v>0/0.9/1.9/3.9</v>
      </c>
      <c r="AQ211" s="536">
        <f t="shared" si="492"/>
        <v>0.40459029721903206</v>
      </c>
      <c r="AR211" s="32"/>
      <c r="AS211" s="302"/>
      <c r="AT211" s="3">
        <f t="shared" si="106"/>
        <v>11</v>
      </c>
      <c r="AU211" s="41" t="s">
        <v>121</v>
      </c>
      <c r="AV211" s="41" t="s">
        <v>116</v>
      </c>
      <c r="AW211" s="41" t="str">
        <f>INDEX(Input!$1:$1048576,AW$93,$C211*2+6)</f>
        <v>Kia</v>
      </c>
      <c r="AX211" s="41" t="str">
        <f>INDEX(Input!$1:$1048576,AX$93,$C211*2+6)</f>
        <v>Kia-LR - L2</v>
      </c>
      <c r="AY211" s="41" t="str">
        <f>IF(LEN(D211)=0,"",INDEX(Input!$1:$1048576,AY$93,$C211*2+6))</f>
        <v>Compact Conventional/Sporty Car (43)</v>
      </c>
      <c r="AZ211" s="41" t="str">
        <f>INDEX(Input!$1:$1048576,AZ$93,$C211*2+6)</f>
        <v>Kia Forte</v>
      </c>
      <c r="BA211" s="3">
        <f>INDEX(Input!$1:$1048576,BA$93,$C211*2+6)</f>
        <v>2020</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19695</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94"/>
        <v>2000</v>
      </c>
      <c r="CJ211" s="16" t="str">
        <f>INDEX(Input!$1:$1048576,CJ$93,$C211*2+6)</f>
        <v>N</v>
      </c>
      <c r="CK211" s="1" t="str">
        <f t="shared" si="495"/>
        <v>Market</v>
      </c>
      <c r="CL211" s="1" t="str">
        <f t="shared" si="496"/>
        <v>Market</v>
      </c>
      <c r="CM211" s="1" t="str">
        <f t="shared" si="497"/>
        <v>Market</v>
      </c>
      <c r="CN211" s="1" t="str">
        <f t="shared" si="498"/>
        <v>Market</v>
      </c>
      <c r="CO211" s="1" t="str">
        <f t="shared" si="499"/>
        <v>Market</v>
      </c>
      <c r="CP211" s="304">
        <f t="shared" si="500"/>
        <v>0</v>
      </c>
      <c r="CQ211" s="1">
        <f t="shared" si="501"/>
        <v>0</v>
      </c>
      <c r="CR211" s="1">
        <f t="shared" si="502"/>
        <v>0</v>
      </c>
      <c r="CS211" s="1">
        <f t="shared" si="503"/>
        <v>0</v>
      </c>
      <c r="CT211" s="1">
        <f t="shared" si="504"/>
        <v>1.9E-2</v>
      </c>
      <c r="CU211" s="1">
        <f t="shared" si="505"/>
        <v>3.9E-2</v>
      </c>
      <c r="CV211" s="304">
        <f t="shared" si="506"/>
        <v>1358</v>
      </c>
      <c r="CW211" s="20" t="s">
        <v>122</v>
      </c>
      <c r="CX211" s="20" t="s">
        <v>122</v>
      </c>
      <c r="CY211" s="20" t="s">
        <v>122</v>
      </c>
      <c r="CZ211" s="20" t="s">
        <v>122</v>
      </c>
      <c r="DA211" s="20" t="s">
        <v>122</v>
      </c>
      <c r="DB211" s="503">
        <f t="shared" si="507"/>
        <v>0</v>
      </c>
      <c r="DC211" s="127">
        <v>0</v>
      </c>
      <c r="DD211" s="127">
        <v>0</v>
      </c>
      <c r="DE211" s="127">
        <v>0</v>
      </c>
      <c r="DF211" s="127">
        <v>0</v>
      </c>
      <c r="DG211" s="127">
        <v>0</v>
      </c>
      <c r="DH211" s="127">
        <v>0</v>
      </c>
      <c r="DI211" s="127">
        <v>0</v>
      </c>
      <c r="DJ211" s="127">
        <v>0</v>
      </c>
      <c r="DK211" s="127">
        <v>0</v>
      </c>
      <c r="DL211" s="127">
        <v>0</v>
      </c>
      <c r="DM211" s="304">
        <f>INDEX(Input!$1:$1048576,DM$93,$C211*2+6)</f>
        <v>20731.578947368424</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3.0860820841972225E-2</v>
      </c>
      <c r="DZ211" s="7">
        <v>0</v>
      </c>
      <c r="EA211" s="7">
        <v>0.62253741555078634</v>
      </c>
      <c r="EB211" s="7">
        <v>0</v>
      </c>
      <c r="EC211" s="7">
        <v>0</v>
      </c>
      <c r="ED211" s="7">
        <v>0</v>
      </c>
      <c r="EE211" s="7">
        <v>0</v>
      </c>
      <c r="EF211" s="7">
        <v>0</v>
      </c>
      <c r="EG211" s="7">
        <v>0</v>
      </c>
      <c r="EH211" s="7">
        <v>1.6209877595850172E-2</v>
      </c>
      <c r="EI211" s="7">
        <v>2.6479056009717596E-2</v>
      </c>
      <c r="EJ211" s="7">
        <v>0.26590608321761361</v>
      </c>
      <c r="EK211" s="7">
        <v>0.64345283546292242</v>
      </c>
      <c r="EL211" s="7">
        <v>4.7952147713896526E-2</v>
      </c>
      <c r="EM211" s="7">
        <v>3.2030566738231965E-2</v>
      </c>
      <c r="EN211" s="7">
        <v>4.9717243827558932E-2</v>
      </c>
      <c r="EO211" s="7">
        <v>0.56159788385526654</v>
      </c>
      <c r="EP211" s="7">
        <v>0.28607968755169355</v>
      </c>
      <c r="EQ211" s="7">
        <v>6.3861071583895937E-2</v>
      </c>
      <c r="ER211" s="7">
        <v>3.8744113181585105E-2</v>
      </c>
      <c r="ES211" s="7">
        <v>0.31457119686900953</v>
      </c>
      <c r="ET211" s="7">
        <v>0.34660176360724143</v>
      </c>
      <c r="EU211" s="6">
        <v>2350</v>
      </c>
      <c r="EV211" s="6">
        <v>0</v>
      </c>
      <c r="EW211" s="6">
        <v>2350</v>
      </c>
      <c r="EX211" s="6">
        <v>0</v>
      </c>
      <c r="EY211" s="6">
        <v>2626.8578880631358</v>
      </c>
      <c r="EZ211" s="6">
        <v>2111</v>
      </c>
      <c r="FA211" s="6">
        <v>0</v>
      </c>
      <c r="FB211" s="6">
        <v>0</v>
      </c>
      <c r="FC211" s="6">
        <v>0</v>
      </c>
      <c r="FD211" s="6">
        <v>0</v>
      </c>
      <c r="FE211" s="6">
        <v>0</v>
      </c>
      <c r="FF211" s="6">
        <v>0</v>
      </c>
      <c r="FG211" s="6">
        <v>0</v>
      </c>
      <c r="FH211" s="6">
        <v>1154.7810632509197</v>
      </c>
      <c r="FI211" s="6">
        <v>1531.429990438063</v>
      </c>
      <c r="FJ211" s="6">
        <v>2070.7205842538215</v>
      </c>
      <c r="FK211" s="6">
        <v>1746.9903521590434</v>
      </c>
      <c r="FL211" s="6">
        <v>893.91433563489386</v>
      </c>
      <c r="FM211" s="6">
        <v>1776.857888063136</v>
      </c>
      <c r="FN211" s="6">
        <v>0</v>
      </c>
      <c r="FO211" s="6">
        <v>0</v>
      </c>
      <c r="FP211" s="6">
        <v>0</v>
      </c>
      <c r="FQ211" s="6">
        <v>0</v>
      </c>
      <c r="FR211" s="6">
        <v>0</v>
      </c>
      <c r="FS211" s="6">
        <v>0</v>
      </c>
      <c r="FT211" s="7">
        <v>0.65339823639275862</v>
      </c>
      <c r="FU211" s="7">
        <v>3.2030566738231965E-2</v>
      </c>
      <c r="FV211" s="7">
        <v>0.31457119686900953</v>
      </c>
      <c r="FW211" s="6">
        <v>2350</v>
      </c>
      <c r="FX211" s="6">
        <v>2626.8578880631358</v>
      </c>
      <c r="FY211" s="6">
        <v>2111</v>
      </c>
      <c r="FZ211" s="6">
        <v>2594.6978186474794</v>
      </c>
      <c r="GA211" s="6">
        <v>2283.6853990089194</v>
      </c>
      <c r="GB211" s="6">
        <v>17411.314600991082</v>
      </c>
      <c r="GC211" s="7">
        <v>9.6947029492584935E-2</v>
      </c>
      <c r="GD211" s="7">
        <v>9.437898907414391E-2</v>
      </c>
      <c r="GE211" s="7"/>
      <c r="GF211" s="7"/>
      <c r="GG211" s="7">
        <v>-2.6489108865758944E-2</v>
      </c>
      <c r="GH211" s="42">
        <v>1.6774346172973233</v>
      </c>
      <c r="GI211" s="6">
        <v>14024.828569007701</v>
      </c>
      <c r="GJ211" s="14">
        <v>0.51074630601039572</v>
      </c>
      <c r="GK211" s="14">
        <v>0.50829519786160993</v>
      </c>
      <c r="GL211" s="14">
        <v>0.4892536939896045</v>
      </c>
      <c r="GM211" s="14">
        <v>0.49170480213839063</v>
      </c>
      <c r="GO211" s="5">
        <v>338.16872463277008</v>
      </c>
      <c r="GP211" s="5">
        <v>293.33520778489498</v>
      </c>
      <c r="GQ211" s="5">
        <v>527.27910984145694</v>
      </c>
      <c r="GR211" s="5">
        <v>404.20319246551543</v>
      </c>
      <c r="GS211" s="5">
        <v>334.50205195691484</v>
      </c>
      <c r="GT211" s="5">
        <v>289.18266033348181</v>
      </c>
      <c r="GU211" s="5">
        <v>254.29573314828914</v>
      </c>
      <c r="GV211" s="39" t="s">
        <v>392</v>
      </c>
      <c r="GW211" s="5">
        <v>468.76388888888891</v>
      </c>
      <c r="GX211" s="5">
        <v>351.57291666666669</v>
      </c>
      <c r="GY211" s="5">
        <v>281.25833333333333</v>
      </c>
      <c r="GZ211" s="5">
        <v>248.18079879493993</v>
      </c>
      <c r="HA211" s="5">
        <v>229.89195052129486</v>
      </c>
      <c r="HB211" s="39">
        <v>262.41267746283074</v>
      </c>
      <c r="HC211" s="5">
        <v>190.75937499999998</v>
      </c>
      <c r="HD211" s="5">
        <v>173.28879751461983</v>
      </c>
      <c r="HE211" s="5">
        <v>178.94016109986501</v>
      </c>
      <c r="HF211" s="5">
        <v>168.88629934210525</v>
      </c>
      <c r="HG211" s="5">
        <v>167.11410087719298</v>
      </c>
      <c r="HH211" s="39">
        <v>175.25374540765137</v>
      </c>
      <c r="HI211" s="16"/>
      <c r="HJ211" s="19" t="str">
        <f t="shared" si="778"/>
        <v>On</v>
      </c>
      <c r="HK211" s="1" t="str">
        <f t="shared" si="778"/>
        <v>On</v>
      </c>
      <c r="HL211" s="16"/>
      <c r="HM211" s="639">
        <f t="shared" si="727"/>
        <v>5.0961701597560354E-2</v>
      </c>
      <c r="HN211" s="639">
        <f t="shared" si="728"/>
        <v>3.112551654761847E-3</v>
      </c>
      <c r="HO211" s="639">
        <f t="shared" si="729"/>
        <v>3.1163314184693442E-2</v>
      </c>
      <c r="HP211" s="644">
        <f>(FT211*$GD211-HM211)/$JF211*INDEX(Input!$1:$1048576,$JG$93,$C211*2+6)</f>
        <v>201.07667715538031</v>
      </c>
      <c r="HQ211" s="644">
        <f>(FU211*$GD211-HN211)/$JF211*INDEX(Input!$1:$1048576,$JG$93,$C211*2+6)</f>
        <v>-1.6817956907257687</v>
      </c>
      <c r="HR211" s="644">
        <f>(FV211*$GD211-HO211)/$JF211*INDEX(Input!$1:$1048576,$JG$93,$C211*2+6)</f>
        <v>-27.693406620749876</v>
      </c>
      <c r="HS211" s="644">
        <f t="shared" si="779"/>
        <v>-23.424130979248233</v>
      </c>
      <c r="HT211" s="644">
        <f t="shared" si="731"/>
        <v>22.834507356584872</v>
      </c>
      <c r="HU211" s="644">
        <f t="shared" si="732"/>
        <v>38.738659065459558</v>
      </c>
      <c r="HV211" s="648">
        <f t="shared" si="733"/>
        <v>0</v>
      </c>
      <c r="HW211" s="648">
        <f t="shared" si="734"/>
        <v>0</v>
      </c>
      <c r="HX211" s="648">
        <f t="shared" si="735"/>
        <v>0</v>
      </c>
      <c r="HY211" s="644">
        <f>INDEX(Input!$1:$1048576,HY$93,$C211*2+6)*INDEX(Input!$1:$1048576,$JG$93,$C211*2+6)</f>
        <v>555</v>
      </c>
      <c r="HZ211" s="644">
        <f>INDEX(Input!$1:$1048576,HZ$93,$C211*2+6)*INDEX(Input!$1:$1048576,$JG$93,$C211*2+6)</f>
        <v>480</v>
      </c>
      <c r="IA211" s="644">
        <f>INDEX(Input!$1:$1048576,IA$93,$C211*2+6)*INDEX(Input!$1:$1048576,$JG$93,$C211*2+6)</f>
        <v>566</v>
      </c>
      <c r="IB211" s="644">
        <f t="shared" si="759"/>
        <v>732.65254617613209</v>
      </c>
      <c r="IC211" s="644">
        <f t="shared" si="760"/>
        <v>501.1527116658591</v>
      </c>
      <c r="ID211" s="644">
        <f>IF(AND(INDEX(Input!$1:$1048576,IA$93,$C211*2+7)="TOS",Y211&lt;=INDEX(Y:Y,MATCH(C211*1000+2,A:A))),0,1)*MAX(IA211+HR211+HU211+HX211,0%)</f>
        <v>577.0452524447096</v>
      </c>
      <c r="IE211" s="128">
        <f t="shared" si="793"/>
        <v>0.40459029721903206</v>
      </c>
      <c r="IF211" s="128">
        <f t="shared" si="736"/>
        <v>0.27674990774722463</v>
      </c>
      <c r="IG211" s="128">
        <f t="shared" si="737"/>
        <v>0.31865979503374336</v>
      </c>
      <c r="IH211" s="21"/>
      <c r="II211" s="19">
        <f t="shared" si="738"/>
        <v>1200</v>
      </c>
      <c r="IJ211" s="19">
        <f t="shared" si="739"/>
        <v>2226.7968732767699</v>
      </c>
      <c r="IK211" s="19">
        <f t="shared" si="740"/>
        <v>1786</v>
      </c>
      <c r="IL211" s="19">
        <f t="shared" si="762"/>
        <v>1150</v>
      </c>
      <c r="IM211" s="19">
        <f t="shared" si="741"/>
        <v>400.06101478636583</v>
      </c>
      <c r="IN211" s="19">
        <f t="shared" si="742"/>
        <v>325</v>
      </c>
      <c r="IO211" s="39">
        <f t="shared" si="743"/>
        <v>0</v>
      </c>
      <c r="IP211" s="39">
        <f t="shared" si="744"/>
        <v>0</v>
      </c>
      <c r="IQ211" s="39">
        <f t="shared" si="745"/>
        <v>0</v>
      </c>
      <c r="IR211" s="39">
        <v>0</v>
      </c>
      <c r="IS211" s="39">
        <v>0</v>
      </c>
      <c r="IT211" s="39">
        <v>0</v>
      </c>
      <c r="IU211" s="39">
        <v>0</v>
      </c>
      <c r="IV211" s="39">
        <v>0</v>
      </c>
      <c r="IW211" s="39">
        <v>0</v>
      </c>
      <c r="IX211" s="39">
        <f>INDEX(Input!$1:$1048576,IX$93,$C211*2+6)+INDEX(Input!$1:$1048576,IX$94,$C211*2+6)</f>
        <v>1600</v>
      </c>
      <c r="IY211" s="39">
        <f>INDEX(Input!$1:$1048576,IY$93,$C211*2+6)+INDEX(Input!$1:$1048576,IY$94,$C211*2+6)</f>
        <v>2503.5492916397525</v>
      </c>
      <c r="IZ211" s="39">
        <f>INDEX(Input!$1:$1048576,IZ$93,$C211*2+6)+INDEX(Input!$1:$1048576,IZ$94,$C211*2+6)</f>
        <v>5773.7109265464023</v>
      </c>
      <c r="JA211" s="19">
        <f t="shared" si="763"/>
        <v>2750</v>
      </c>
      <c r="JB211" s="19">
        <f t="shared" si="764"/>
        <v>2903.6103064261183</v>
      </c>
      <c r="JC211" s="19">
        <f t="shared" si="765"/>
        <v>6098.7109265464023</v>
      </c>
      <c r="JD211" s="19">
        <f t="shared" si="766"/>
        <v>3859.6111756129849</v>
      </c>
      <c r="JE211" s="21"/>
      <c r="JF211" s="1">
        <f t="shared" si="746"/>
        <v>8.5237567437015646E-2</v>
      </c>
      <c r="JG211" s="15">
        <f>INDEX(Input!$1:$1048576,JG$93,$C211*2+6)/(1+VLOOKUP(C211*1000+INDEX(Input!$1:$1048576,JG$93+1,$C211*2+6),$A:$KK,$JK$92,FALSE))</f>
        <v>1601</v>
      </c>
      <c r="JH211" s="1">
        <f t="shared" si="767"/>
        <v>0.10724639278195169</v>
      </c>
      <c r="JI211" s="1">
        <f t="shared" si="768"/>
        <v>2.3828254492689691E-2</v>
      </c>
      <c r="JJ211" s="1">
        <f t="shared" si="769"/>
        <v>0</v>
      </c>
      <c r="JK211" s="1">
        <f t="shared" si="794"/>
        <v>0.13107464727464138</v>
      </c>
      <c r="JL211" s="15">
        <f t="shared" si="771"/>
        <v>209.85051028670085</v>
      </c>
      <c r="JM211" s="15">
        <f t="shared" si="795"/>
        <v>1810.8505102867009</v>
      </c>
      <c r="JN211" s="21"/>
      <c r="JO211" s="19">
        <f>INDEX(Input!$1:$1048576,JO$93,$C211*2+6)</f>
        <v>5908.5</v>
      </c>
      <c r="JP211" s="19">
        <f>INDEX(Input!$1:$1048576,JP$93,$C211*2+6)</f>
        <v>3346.4235130620518</v>
      </c>
      <c r="JQ211" s="39">
        <f t="shared" si="781"/>
        <v>2048.8888243870151</v>
      </c>
      <c r="JR211" s="39">
        <f t="shared" si="798"/>
        <v>513.18766255093306</v>
      </c>
      <c r="JS211" s="39">
        <f t="shared" si="783"/>
        <v>6.9891788668670269</v>
      </c>
      <c r="JT211" s="39">
        <f t="shared" si="773"/>
        <v>1.6315548224546825</v>
      </c>
      <c r="JU211" s="385">
        <f>(JQ211*JM211-INDEX(Input!$1:$1048576,Input!A$18,$C211*2+6)*JL211*INDEX(Input!$1:$1048576,Input!A$19,$C211*2+6))/1000000</f>
        <v>3.7102313731619452</v>
      </c>
      <c r="JV211" s="39">
        <f t="shared" si="749"/>
        <v>-0.39165308242570962</v>
      </c>
      <c r="JW211" s="1">
        <f t="shared" si="796"/>
        <v>-9.5481256643441856E-2</v>
      </c>
      <c r="JX211" s="19">
        <f t="shared" si="787"/>
        <v>7774.843245439949</v>
      </c>
      <c r="JZ211" s="341"/>
      <c r="KA211" s="342"/>
      <c r="KB211" s="469">
        <f t="shared" si="784"/>
        <v>2.4482969984810516</v>
      </c>
      <c r="KI211" s="473">
        <f t="shared" si="785"/>
        <v>177.6525461761322</v>
      </c>
      <c r="KJ211" s="473">
        <f t="shared" si="774"/>
        <v>21.152711665859101</v>
      </c>
      <c r="KK211" s="473">
        <f t="shared" si="775"/>
        <v>11.045252444709718</v>
      </c>
      <c r="KN211" s="544">
        <f t="shared" si="788"/>
        <v>2002</v>
      </c>
      <c r="KO211" s="541">
        <f t="shared" si="750"/>
        <v>4.8092149129586037E-2</v>
      </c>
      <c r="KP211" s="546">
        <f t="shared" si="751"/>
        <v>303.45608089385098</v>
      </c>
      <c r="KQ211" s="546">
        <f t="shared" si="752"/>
        <v>134.00760065644636</v>
      </c>
      <c r="KR211" s="548">
        <f t="shared" si="753"/>
        <v>2.5308525441983671</v>
      </c>
      <c r="KS211" s="548">
        <f t="shared" si="754"/>
        <v>5.7310375726492344</v>
      </c>
      <c r="KT211" s="473">
        <f t="shared" si="786"/>
        <v>528.59039248727379</v>
      </c>
      <c r="KU211" s="663">
        <f t="shared" si="776"/>
        <v>12.378547433245725</v>
      </c>
      <c r="KV211" s="117" t="e">
        <f t="shared" si="799"/>
        <v>#N/A</v>
      </c>
    </row>
    <row r="212" spans="1:308" s="26" customFormat="1" ht="15">
      <c r="A212" s="561">
        <f t="shared" si="755"/>
        <v>2012</v>
      </c>
      <c r="B212" s="561">
        <f t="shared" si="777"/>
        <v>12</v>
      </c>
      <c r="C212" s="561">
        <f t="shared" si="105"/>
        <v>2</v>
      </c>
      <c r="D212" s="561" t="str">
        <f t="shared" si="797"/>
        <v xml:space="preserve">1000 CC, </v>
      </c>
      <c r="E212" s="475">
        <f>INDEX(Input!$1:$1048576,E$93,$C212*2+MIN($B212,2)+5)+IF(OR(BX212&gt;50000,INDEX(Input!$1:$1048576,E$93,$C212*2+MIN($B212,2)+5)&gt;0),0,250)+IF(BX212&gt;50000,500,250)*4</f>
        <v>2250</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1.9E-2</v>
      </c>
      <c r="W212" s="862">
        <f>INDEX(Input!$1:$1048576,W$93,$C212*2+MIN($B212,2)+5)</f>
        <v>3.9E-2</v>
      </c>
      <c r="X212" s="118" t="str">
        <f>INDEX(Input!$1:$1048576,X$93,$C212*2+MIN($B212,2)+5)</f>
        <v>Y</v>
      </c>
      <c r="Y212" s="150">
        <f>INDEX(Input!$1:$1048576,Y$93,$C212*2+MIN($B212,2)+5)</f>
        <v>1358</v>
      </c>
      <c r="Z212" s="30">
        <f>INDEX(Input!$1:$1048576,Z$93,$C212*2+MIN($B212,2)+5)</f>
        <v>0</v>
      </c>
      <c r="AA212" s="115">
        <f>INDEX(Input!$1:$1048576,AA$93,$C212*2+MIN($B212,2)+5)</f>
        <v>0</v>
      </c>
      <c r="AB212" s="118">
        <f>INDEX(Input!$1:$1048576,AB$93,$C212*2+MIN($B212,2)+5)</f>
        <v>1</v>
      </c>
      <c r="AC212" s="115">
        <f>INDEX(Input!$1:$1048576,AC$93,$C212*2+MIN($B212,2)+5)</f>
        <v>0</v>
      </c>
      <c r="AD212" s="118">
        <f>INDEX(Input!$1:$1048576,AD$93,$C212*2+MIN($B212,2)+5)</f>
        <v>0.35</v>
      </c>
      <c r="AE212" s="115">
        <f>INDEX(Input!$1:$1048576,AE$93,$C212*2+MIN($B212,2)+5)</f>
        <v>0</v>
      </c>
      <c r="AF212" s="118">
        <f>INDEX(Input!$1:$1048576,AF$93,$C212*2+MIN($B212,2)+5)</f>
        <v>1</v>
      </c>
      <c r="AG212" s="115">
        <f>INDEX(Input!$1:$1048576,AG$93,$C212*2+MIN($B212,2)+5)</f>
        <v>0</v>
      </c>
      <c r="AH212" s="118">
        <f>INDEX(Input!$1:$1048576,AH$93,$C212*2+MIN($B212,2)+5)</f>
        <v>1</v>
      </c>
      <c r="AI212" s="115">
        <f>INDEX(Input!$1:$1048576,AI$93,$C212*2+MIN($B212,2)+5)</f>
        <v>0</v>
      </c>
      <c r="AJ212" s="118">
        <f>INDEX(Input!$1:$1048576,AJ$93,$C212*2+MIN($B212,2)+5)</f>
        <v>0.35</v>
      </c>
      <c r="AK212" s="150">
        <f>ROUND(INDEX(Input!$1:$1048576,AK$93,$C211*2+MIN($B212,1)+5)+(Y212-VLOOKUP($C212*1000+1,$A:$HH,Y$92,FALSE)),0)</f>
        <v>4982</v>
      </c>
      <c r="AL212" s="150">
        <f>ROUND(INDEX(Input!$1:$1048576,AL$93,$C211*2+MIN($B212,1)+5)-(Y212-VLOOKUP($C212*1000+1,$A:$HH,Y$92,FALSE))/36,0)</f>
        <v>5102</v>
      </c>
      <c r="AM212" s="32" t="str">
        <f t="shared" si="756"/>
        <v>std/std/std/std</v>
      </c>
      <c r="AN212" s="32" t="str">
        <f t="shared" si="757"/>
        <v>$0 + 0/0/0/1.9/3.9</v>
      </c>
      <c r="AO212" s="32" t="str">
        <f t="shared" si="758"/>
        <v>0/0/0/1.9/3.9</v>
      </c>
      <c r="AP212" s="32" t="str">
        <f t="shared" si="493"/>
        <v>0/0.9/1.9/3.9</v>
      </c>
      <c r="AQ212" s="536">
        <f t="shared" si="492"/>
        <v>0.42364726122167556</v>
      </c>
      <c r="AR212" s="32"/>
      <c r="AS212" s="302"/>
      <c r="AT212" s="3">
        <f t="shared" si="106"/>
        <v>12</v>
      </c>
      <c r="AU212" s="41" t="s">
        <v>121</v>
      </c>
      <c r="AV212" s="41" t="s">
        <v>116</v>
      </c>
      <c r="AW212" s="41" t="str">
        <f>INDEX(Input!$1:$1048576,AW$93,$C212*2+6)</f>
        <v>Kia</v>
      </c>
      <c r="AX212" s="41" t="str">
        <f>INDEX(Input!$1:$1048576,AX$93,$C212*2+6)</f>
        <v>Kia-LR - L2</v>
      </c>
      <c r="AY212" s="41" t="str">
        <f>IF(LEN(D212)=0,"",INDEX(Input!$1:$1048576,AY$93,$C212*2+6))</f>
        <v>Compact Conventional/Sporty Car (43)</v>
      </c>
      <c r="AZ212" s="41" t="str">
        <f>INDEX(Input!$1:$1048576,AZ$93,$C212*2+6)</f>
        <v>Kia Forte</v>
      </c>
      <c r="BA212" s="3">
        <f>INDEX(Input!$1:$1048576,BA$93,$C212*2+6)</f>
        <v>2020</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19695</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94"/>
        <v>2250</v>
      </c>
      <c r="CJ212" s="16" t="str">
        <f>INDEX(Input!$1:$1048576,CJ$93,$C212*2+6)</f>
        <v>N</v>
      </c>
      <c r="CK212" s="1" t="str">
        <f t="shared" si="495"/>
        <v>Market</v>
      </c>
      <c r="CL212" s="1" t="str">
        <f t="shared" si="496"/>
        <v>Market</v>
      </c>
      <c r="CM212" s="1" t="str">
        <f t="shared" si="497"/>
        <v>Market</v>
      </c>
      <c r="CN212" s="1" t="str">
        <f t="shared" si="498"/>
        <v>Market</v>
      </c>
      <c r="CO212" s="1" t="str">
        <f t="shared" si="499"/>
        <v>Market</v>
      </c>
      <c r="CP212" s="304">
        <f t="shared" si="500"/>
        <v>0</v>
      </c>
      <c r="CQ212" s="1">
        <f t="shared" si="501"/>
        <v>0</v>
      </c>
      <c r="CR212" s="1">
        <f t="shared" si="502"/>
        <v>0</v>
      </c>
      <c r="CS212" s="1">
        <f t="shared" si="503"/>
        <v>0</v>
      </c>
      <c r="CT212" s="1">
        <f t="shared" si="504"/>
        <v>1.9E-2</v>
      </c>
      <c r="CU212" s="1">
        <f t="shared" si="505"/>
        <v>3.9E-2</v>
      </c>
      <c r="CV212" s="304">
        <f t="shared" si="506"/>
        <v>1358</v>
      </c>
      <c r="CW212" s="20" t="s">
        <v>122</v>
      </c>
      <c r="CX212" s="20" t="s">
        <v>122</v>
      </c>
      <c r="CY212" s="20" t="s">
        <v>122</v>
      </c>
      <c r="CZ212" s="20" t="s">
        <v>122</v>
      </c>
      <c r="DA212" s="20" t="s">
        <v>122</v>
      </c>
      <c r="DB212" s="503">
        <f t="shared" si="507"/>
        <v>0</v>
      </c>
      <c r="DC212" s="127">
        <v>0</v>
      </c>
      <c r="DD212" s="127">
        <v>0</v>
      </c>
      <c r="DE212" s="127">
        <v>0</v>
      </c>
      <c r="DF212" s="127">
        <v>0</v>
      </c>
      <c r="DG212" s="127">
        <v>0</v>
      </c>
      <c r="DH212" s="127">
        <v>0</v>
      </c>
      <c r="DI212" s="127">
        <v>0</v>
      </c>
      <c r="DJ212" s="127">
        <v>0</v>
      </c>
      <c r="DK212" s="127">
        <v>0</v>
      </c>
      <c r="DL212" s="127">
        <v>0</v>
      </c>
      <c r="DM212" s="304">
        <f>INDEX(Input!$1:$1048576,DM$93,$C212*2+6)</f>
        <v>20731.578947368424</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3.1739772805261773E-2</v>
      </c>
      <c r="DZ212" s="7">
        <v>0</v>
      </c>
      <c r="EA212" s="7">
        <v>0.63782017684681602</v>
      </c>
      <c r="EB212" s="7">
        <v>0</v>
      </c>
      <c r="EC212" s="7">
        <v>0</v>
      </c>
      <c r="ED212" s="7">
        <v>0</v>
      </c>
      <c r="EE212" s="7">
        <v>0</v>
      </c>
      <c r="EF212" s="7">
        <v>0</v>
      </c>
      <c r="EG212" s="7">
        <v>0</v>
      </c>
      <c r="EH212" s="7">
        <v>1.6215481486732464E-2</v>
      </c>
      <c r="EI212" s="7">
        <v>2.6491037096404206E-2</v>
      </c>
      <c r="EJ212" s="7">
        <v>0.26596584369388482</v>
      </c>
      <c r="EK212" s="7">
        <v>0.64337766659779982</v>
      </c>
      <c r="EL212" s="7">
        <v>4.7949971125178674E-2</v>
      </c>
      <c r="EM212" s="7">
        <v>3.0502345570077177E-2</v>
      </c>
      <c r="EN212" s="7">
        <v>4.9712343196744987E-2</v>
      </c>
      <c r="EO212" s="7">
        <v>0.56157621958648574</v>
      </c>
      <c r="EP212" s="7">
        <v>0.28610292715850544</v>
      </c>
      <c r="EQ212" s="7">
        <v>6.385528559157215E-2</v>
      </c>
      <c r="ER212" s="7">
        <v>3.8753224466691466E-2</v>
      </c>
      <c r="ES212" s="7">
        <v>0.29993770477784498</v>
      </c>
      <c r="ET212" s="7">
        <v>0.33044005034792218</v>
      </c>
      <c r="EU212" s="6">
        <v>2600</v>
      </c>
      <c r="EV212" s="6">
        <v>0</v>
      </c>
      <c r="EW212" s="6">
        <v>2600</v>
      </c>
      <c r="EX212" s="6">
        <v>0</v>
      </c>
      <c r="EY212" s="6">
        <v>2626.8731701953211</v>
      </c>
      <c r="EZ212" s="6">
        <v>2111</v>
      </c>
      <c r="FA212" s="6">
        <v>0</v>
      </c>
      <c r="FB212" s="6">
        <v>0</v>
      </c>
      <c r="FC212" s="6">
        <v>0</v>
      </c>
      <c r="FD212" s="6">
        <v>0</v>
      </c>
      <c r="FE212" s="6">
        <v>0</v>
      </c>
      <c r="FF212" s="6">
        <v>0</v>
      </c>
      <c r="FG212" s="6">
        <v>0</v>
      </c>
      <c r="FH212" s="6">
        <v>1154.779853747101</v>
      </c>
      <c r="FI212" s="6">
        <v>1531.4299904380623</v>
      </c>
      <c r="FJ212" s="6">
        <v>2070.7205842538219</v>
      </c>
      <c r="FK212" s="6">
        <v>1746.9903521590443</v>
      </c>
      <c r="FL212" s="6">
        <v>893.91433563489375</v>
      </c>
      <c r="FM212" s="6">
        <v>1776.8731701953211</v>
      </c>
      <c r="FN212" s="6">
        <v>0</v>
      </c>
      <c r="FO212" s="6">
        <v>0</v>
      </c>
      <c r="FP212" s="6">
        <v>0</v>
      </c>
      <c r="FQ212" s="6">
        <v>0</v>
      </c>
      <c r="FR212" s="6">
        <v>0</v>
      </c>
      <c r="FS212" s="6">
        <v>0</v>
      </c>
      <c r="FT212" s="7">
        <v>0.66955994965207777</v>
      </c>
      <c r="FU212" s="7">
        <v>3.0502345570077177E-2</v>
      </c>
      <c r="FV212" s="7">
        <v>0.29993770477784498</v>
      </c>
      <c r="FW212" s="6">
        <v>2600</v>
      </c>
      <c r="FX212" s="6">
        <v>2626.8731701953211</v>
      </c>
      <c r="FY212" s="6">
        <v>2111</v>
      </c>
      <c r="FZ212" s="6">
        <v>2594.6978186474794</v>
      </c>
      <c r="GA212" s="6">
        <v>2454.1501570874948</v>
      </c>
      <c r="GB212" s="6">
        <v>17240.849842912507</v>
      </c>
      <c r="GC212" s="7">
        <v>9.6947029492584935E-2</v>
      </c>
      <c r="GD212" s="7">
        <v>9.6275706681428805E-2</v>
      </c>
      <c r="GE212" s="7"/>
      <c r="GF212" s="7"/>
      <c r="GG212" s="7">
        <v>-6.9246351813953928E-3</v>
      </c>
      <c r="GH212" s="42">
        <v>0.97035189617421069</v>
      </c>
      <c r="GI212" s="6">
        <v>22750.910618576894</v>
      </c>
      <c r="GJ212" s="14">
        <v>0.51074630601039572</v>
      </c>
      <c r="GK212" s="14">
        <v>0.50829519786160982</v>
      </c>
      <c r="GL212" s="14">
        <v>0.48925369398960461</v>
      </c>
      <c r="GM212" s="14">
        <v>0.49170480213839041</v>
      </c>
      <c r="GO212" s="5">
        <v>338.16872463277008</v>
      </c>
      <c r="GP212" s="5">
        <v>288.56568471597211</v>
      </c>
      <c r="GQ212" s="5">
        <v>527.27910984145694</v>
      </c>
      <c r="GR212" s="5">
        <v>404.20319246551543</v>
      </c>
      <c r="GS212" s="5">
        <v>334.50205195691484</v>
      </c>
      <c r="GT212" s="5">
        <v>289.18266033348181</v>
      </c>
      <c r="GU212" s="5">
        <v>254.29573314828914</v>
      </c>
      <c r="GV212" s="39" t="s">
        <v>392</v>
      </c>
      <c r="GW212" s="5">
        <v>468.76388888888891</v>
      </c>
      <c r="GX212" s="5">
        <v>351.57291666666669</v>
      </c>
      <c r="GY212" s="5">
        <v>281.25833333333333</v>
      </c>
      <c r="GZ212" s="5">
        <v>248.18079879493993</v>
      </c>
      <c r="HA212" s="5">
        <v>229.89195052129486</v>
      </c>
      <c r="HB212" s="39">
        <v>262.41716887284366</v>
      </c>
      <c r="HC212" s="5">
        <v>190.75937499999998</v>
      </c>
      <c r="HD212" s="5">
        <v>173.28879751461983</v>
      </c>
      <c r="HE212" s="5">
        <v>178.94016109986501</v>
      </c>
      <c r="HF212" s="5">
        <v>168.88629934210525</v>
      </c>
      <c r="HG212" s="5">
        <v>167.11410087719298</v>
      </c>
      <c r="HH212" s="39">
        <v>175.25376033966774</v>
      </c>
      <c r="HI212" s="16"/>
      <c r="HJ212" s="19" t="str">
        <f t="shared" si="778"/>
        <v>On</v>
      </c>
      <c r="HK212" s="1" t="str">
        <f t="shared" si="778"/>
        <v>On</v>
      </c>
      <c r="HL212" s="16"/>
      <c r="HM212" s="639">
        <f t="shared" si="727"/>
        <v>5.0961701597560354E-2</v>
      </c>
      <c r="HN212" s="639">
        <f t="shared" si="728"/>
        <v>3.112551654761847E-3</v>
      </c>
      <c r="HO212" s="639">
        <f t="shared" si="729"/>
        <v>3.1163314184693442E-2</v>
      </c>
      <c r="HP212" s="644">
        <f>(FT212*$GD212-HM212)/$JF212*INDEX(Input!$1:$1048576,$JG$93,$C212*2+6)</f>
        <v>253.58008749994968</v>
      </c>
      <c r="HQ212" s="644">
        <f>(FU212*$GD212-HN212)/$JF212*INDEX(Input!$1:$1048576,$JG$93,$C212*2+6)</f>
        <v>-3.3042093122390348</v>
      </c>
      <c r="HR212" s="644">
        <f>(FV212*$GD212-HO212)/$JF212*INDEX(Input!$1:$1048576,$JG$93,$C212*2+6)</f>
        <v>-42.948739911928421</v>
      </c>
      <c r="HS212" s="644">
        <f t="shared" si="779"/>
        <v>-28.457145722646164</v>
      </c>
      <c r="HT212" s="644">
        <f t="shared" si="731"/>
        <v>19.92300872383397</v>
      </c>
      <c r="HU212" s="644">
        <f t="shared" si="732"/>
        <v>41.651552212307301</v>
      </c>
      <c r="HV212" s="648">
        <f t="shared" si="733"/>
        <v>0</v>
      </c>
      <c r="HW212" s="648">
        <f t="shared" si="734"/>
        <v>0</v>
      </c>
      <c r="HX212" s="648">
        <f t="shared" si="735"/>
        <v>0</v>
      </c>
      <c r="HY212" s="644">
        <f>INDEX(Input!$1:$1048576,HY$93,$C212*2+6)*INDEX(Input!$1:$1048576,$JG$93,$C212*2+6)</f>
        <v>555</v>
      </c>
      <c r="HZ212" s="644">
        <f>INDEX(Input!$1:$1048576,HZ$93,$C212*2+6)*INDEX(Input!$1:$1048576,$JG$93,$C212*2+6)</f>
        <v>480</v>
      </c>
      <c r="IA212" s="644">
        <f>INDEX(Input!$1:$1048576,IA$93,$C212*2+6)*INDEX(Input!$1:$1048576,$JG$93,$C212*2+6)</f>
        <v>566</v>
      </c>
      <c r="IB212" s="644">
        <f t="shared" si="759"/>
        <v>780.12294177730359</v>
      </c>
      <c r="IC212" s="644">
        <f t="shared" si="760"/>
        <v>496.61879941159492</v>
      </c>
      <c r="ID212" s="644">
        <f>IF(AND(INDEX(Input!$1:$1048576,IA$93,$C212*2+7)="TOS",Y212&lt;=INDEX(Y:Y,MATCH(C212*1000+2,A:A))),0,1)*MAX(IA212+HR212+HU212+HX212,0%)</f>
        <v>564.70281230037881</v>
      </c>
      <c r="IE212" s="128">
        <f t="shared" ref="IE212" si="800">IB212/SUM($IB212:$ID212)</f>
        <v>0.42364726122167556</v>
      </c>
      <c r="IF212" s="128">
        <f t="shared" si="736"/>
        <v>0.26968979243527724</v>
      </c>
      <c r="IG212" s="128">
        <f t="shared" si="737"/>
        <v>0.30666294634304725</v>
      </c>
      <c r="IH212" s="21"/>
      <c r="II212" s="19">
        <f t="shared" si="738"/>
        <v>1200</v>
      </c>
      <c r="IJ212" s="19">
        <f t="shared" si="739"/>
        <v>2226.7968732767699</v>
      </c>
      <c r="IK212" s="19">
        <f t="shared" si="740"/>
        <v>1786</v>
      </c>
      <c r="IL212" s="19">
        <f t="shared" si="762"/>
        <v>1400</v>
      </c>
      <c r="IM212" s="19">
        <f t="shared" si="741"/>
        <v>400.07629691855118</v>
      </c>
      <c r="IN212" s="19">
        <f t="shared" si="742"/>
        <v>325</v>
      </c>
      <c r="IO212" s="39">
        <f t="shared" si="743"/>
        <v>0</v>
      </c>
      <c r="IP212" s="39">
        <f t="shared" si="744"/>
        <v>0</v>
      </c>
      <c r="IQ212" s="39">
        <f t="shared" si="745"/>
        <v>0</v>
      </c>
      <c r="IR212" s="39">
        <v>0</v>
      </c>
      <c r="IS212" s="39">
        <v>0</v>
      </c>
      <c r="IT212" s="39">
        <v>0</v>
      </c>
      <c r="IU212" s="39">
        <v>0</v>
      </c>
      <c r="IV212" s="39">
        <v>0</v>
      </c>
      <c r="IW212" s="39">
        <v>0</v>
      </c>
      <c r="IX212" s="39">
        <f>INDEX(Input!$1:$1048576,IX$93,$C212*2+6)+INDEX(Input!$1:$1048576,IX$94,$C212*2+6)</f>
        <v>1600</v>
      </c>
      <c r="IY212" s="39">
        <f>INDEX(Input!$1:$1048576,IY$93,$C212*2+6)+INDEX(Input!$1:$1048576,IY$94,$C212*2+6)</f>
        <v>2503.5492916397525</v>
      </c>
      <c r="IZ212" s="39">
        <f>INDEX(Input!$1:$1048576,IZ$93,$C212*2+6)+INDEX(Input!$1:$1048576,IZ$94,$C212*2+6)</f>
        <v>5773.7109265464023</v>
      </c>
      <c r="JA212" s="19">
        <f t="shared" si="763"/>
        <v>3000</v>
      </c>
      <c r="JB212" s="19">
        <f t="shared" si="764"/>
        <v>2903.6255885583037</v>
      </c>
      <c r="JC212" s="19">
        <f t="shared" si="765"/>
        <v>6098.7109265464023</v>
      </c>
      <c r="JD212" s="19">
        <f t="shared" si="766"/>
        <v>3924.2686275823307</v>
      </c>
      <c r="JE212" s="21"/>
      <c r="JF212" s="1">
        <f t="shared" si="746"/>
        <v>8.5237567437015646E-2</v>
      </c>
      <c r="JG212" s="15">
        <f>INDEX(Input!$1:$1048576,JG$93,$C212*2+6)/(1+VLOOKUP(C212*1000+INDEX(Input!$1:$1048576,JG$93+1,$C212*2+6),$A:$KK,$JK$92,FALSE))</f>
        <v>1601</v>
      </c>
      <c r="JH212" s="1">
        <f t="shared" si="767"/>
        <v>0.12949852484433619</v>
      </c>
      <c r="JI212" s="1">
        <f t="shared" si="768"/>
        <v>2.068545609837296E-2</v>
      </c>
      <c r="JJ212" s="1">
        <f t="shared" si="769"/>
        <v>0</v>
      </c>
      <c r="JK212" s="1">
        <f t="shared" ref="JK212" si="801">SUM(JH212:JJ212)</f>
        <v>0.15018398094270916</v>
      </c>
      <c r="JL212" s="15">
        <f t="shared" si="771"/>
        <v>240.44455348927735</v>
      </c>
      <c r="JM212" s="15">
        <f t="shared" si="795"/>
        <v>1841.4445534892773</v>
      </c>
      <c r="JN212" s="21"/>
      <c r="JO212" s="19">
        <f>INDEX(Input!$1:$1048576,JO$93,$C212*2+6)</f>
        <v>5908.5</v>
      </c>
      <c r="JP212" s="19">
        <f>INDEX(Input!$1:$1048576,JP$93,$C212*2+6)</f>
        <v>3346.4235130620518</v>
      </c>
      <c r="JQ212" s="39">
        <f t="shared" si="781"/>
        <v>1984.2313724176693</v>
      </c>
      <c r="JR212" s="39">
        <f t="shared" si="798"/>
        <v>577.84511452027891</v>
      </c>
      <c r="JS212" s="39">
        <f t="shared" si="783"/>
        <v>7.2263230906903244</v>
      </c>
      <c r="JT212" s="39">
        <f t="shared" si="773"/>
        <v>1.8686990462779793</v>
      </c>
      <c r="JU212" s="385">
        <f>(JQ212*JM212-INDEX(Input!$1:$1048576,Input!A$18,$C212*2+6)*JL212*INDEX(Input!$1:$1048576,Input!A$19,$C212*2+6))/1000000</f>
        <v>3.6538520536010708</v>
      </c>
      <c r="JV212" s="39">
        <f t="shared" si="749"/>
        <v>-0.44803240198658401</v>
      </c>
      <c r="JW212" s="1">
        <f t="shared" si="796"/>
        <v>-0.10922599279369434</v>
      </c>
      <c r="JX212" s="19">
        <f t="shared" si="787"/>
        <v>7771.8501798432881</v>
      </c>
      <c r="JZ212" s="341"/>
      <c r="KA212" s="342"/>
      <c r="KB212" s="469">
        <f t="shared" si="784"/>
        <v>2.4482969984810516</v>
      </c>
      <c r="KI212" s="473">
        <f t="shared" si="785"/>
        <v>225.12294177730359</v>
      </c>
      <c r="KJ212" s="473">
        <f t="shared" si="774"/>
        <v>16.618799411594978</v>
      </c>
      <c r="KK212" s="473">
        <f t="shared" si="775"/>
        <v>-1.2971876996211904</v>
      </c>
      <c r="KN212" s="544">
        <f t="shared" si="788"/>
        <v>2002</v>
      </c>
      <c r="KO212" s="541">
        <f t="shared" si="750"/>
        <v>6.579950614696628E-2</v>
      </c>
      <c r="KP212" s="546">
        <f t="shared" si="751"/>
        <v>423.66439986338241</v>
      </c>
      <c r="KQ212" s="546">
        <f t="shared" si="752"/>
        <v>198.66505262579221</v>
      </c>
      <c r="KR212" s="548">
        <f t="shared" si="753"/>
        <v>2.4802140528489756</v>
      </c>
      <c r="KS212" s="548">
        <f t="shared" si="754"/>
        <v>5.2891959826082084</v>
      </c>
      <c r="KT212" s="473">
        <f t="shared" si="786"/>
        <v>528.59039248727379</v>
      </c>
      <c r="KU212" s="663">
        <f t="shared" si="776"/>
        <v>12.465074959699296</v>
      </c>
      <c r="KV212" s="117" t="e">
        <f>RANK(KU212,$KU$109:$KU$200)</f>
        <v>#N/A</v>
      </c>
    </row>
    <row r="213" spans="1:308" s="26" customFormat="1" ht="15">
      <c r="A213" s="561">
        <f t="shared" si="755"/>
        <v>2013</v>
      </c>
      <c r="B213" s="561">
        <f t="shared" si="777"/>
        <v>13</v>
      </c>
      <c r="C213" s="561">
        <f t="shared" si="105"/>
        <v>2</v>
      </c>
      <c r="D213" s="561" t="str">
        <f t="shared" si="797"/>
        <v xml:space="preserve">0/0/0.9/3.9, </v>
      </c>
      <c r="E213" s="115">
        <f>INDEX(Input!$1:$1048576,E$93,$C213*2+MIN($B213,2)+5)</f>
        <v>1250</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8.9999999999999993E-3</v>
      </c>
      <c r="W213" s="863">
        <f>IFERROR(MAX(0,INDEX(Input!$1:$1048576,W$93,$C213*2+MIN($B213,2)+5)-0%,),"Market")</f>
        <v>3.9E-2</v>
      </c>
      <c r="X213" s="476" t="str">
        <f>INDEX(Input!$1:$1048576,X$93,$C213*2+MIN($B213,2)+5)</f>
        <v>Y</v>
      </c>
      <c r="Y213" s="150">
        <f>INDEX(Input!$1:$1048576,Y$93,$C213*2+MIN($B213,2)+5)</f>
        <v>1358</v>
      </c>
      <c r="Z213" s="30">
        <f>INDEX(Input!$1:$1048576,Z$93,$C213*2+MIN($B213,2)+5)</f>
        <v>0</v>
      </c>
      <c r="AA213" s="475">
        <f>INDEX(Input!$1:$1048576,AA$93,$C213*2+MIN($B213,2)+5)</f>
        <v>0</v>
      </c>
      <c r="AB213" s="118">
        <f>INDEX(Input!$1:$1048576,AB$93,$C213*2+MIN($B213,2)+5)</f>
        <v>1</v>
      </c>
      <c r="AC213" s="115">
        <f>INDEX(Input!$1:$1048576,AC$93,$C213*2+MIN($B213,2)+5)</f>
        <v>0</v>
      </c>
      <c r="AD213" s="118">
        <f>INDEX(Input!$1:$1048576,AD$93,$C213*2+MIN($B213,2)+5)</f>
        <v>0.35</v>
      </c>
      <c r="AE213" s="115">
        <f>INDEX(Input!$1:$1048576,AE$93,$C213*2+MIN($B213,2)+5)</f>
        <v>0</v>
      </c>
      <c r="AF213" s="118">
        <f>INDEX(Input!$1:$1048576,AF$93,$C213*2+MIN($B213,2)+5)</f>
        <v>1</v>
      </c>
      <c r="AG213" s="115">
        <f>INDEX(Input!$1:$1048576,AG$93,$C213*2+MIN($B213,2)+5)</f>
        <v>0</v>
      </c>
      <c r="AH213" s="118">
        <f>INDEX(Input!$1:$1048576,AH$93,$C213*2+MIN($B213,2)+5)</f>
        <v>1</v>
      </c>
      <c r="AI213" s="115">
        <f>INDEX(Input!$1:$1048576,AI$93,$C213*2+MIN($B213,2)+5)</f>
        <v>0</v>
      </c>
      <c r="AJ213" s="118">
        <f>INDEX(Input!$1:$1048576,AJ$93,$C213*2+MIN($B213,2)+5)</f>
        <v>0.35</v>
      </c>
      <c r="AK213" s="150">
        <f>ROUND(INDEX(Input!$1:$1048576,AK$93,$C212*2+MIN($B213,1)+5)+(Y213-VLOOKUP($C213*1000+1,$A:$HH,Y$92,FALSE)),0)</f>
        <v>4982</v>
      </c>
      <c r="AL213" s="150">
        <f>ROUND(INDEX(Input!$1:$1048576,AL$93,$C212*2+MIN($B213,1)+5)-(Y213-VLOOKUP($C213*1000+1,$A:$HH,Y$92,FALSE))/36,0)</f>
        <v>5102</v>
      </c>
      <c r="AM213" s="32" t="str">
        <f t="shared" si="756"/>
        <v>std/std/std/std</v>
      </c>
      <c r="AN213" s="32" t="str">
        <f t="shared" si="757"/>
        <v>$0 + 0/0/0/0.9/3.9</v>
      </c>
      <c r="AO213" s="32" t="str">
        <f t="shared" si="758"/>
        <v>0/0/0/0.9/3.9</v>
      </c>
      <c r="AP213" s="32" t="str">
        <f t="shared" si="493"/>
        <v>0/0/0.9/3.9</v>
      </c>
      <c r="AQ213" s="536">
        <f t="shared" si="492"/>
        <v>0.33348845914677583</v>
      </c>
      <c r="AR213" s="32"/>
      <c r="AS213" s="302"/>
      <c r="AT213" s="3">
        <f t="shared" si="106"/>
        <v>13</v>
      </c>
      <c r="AU213" s="41" t="s">
        <v>121</v>
      </c>
      <c r="AV213" s="41" t="s">
        <v>116</v>
      </c>
      <c r="AW213" s="41" t="str">
        <f>INDEX(Input!$1:$1048576,AW$93,$C213*2+6)</f>
        <v>Kia</v>
      </c>
      <c r="AX213" s="41" t="str">
        <f>INDEX(Input!$1:$1048576,AX$93,$C213*2+6)</f>
        <v>Kia-LR - L2</v>
      </c>
      <c r="AY213" s="41" t="str">
        <f>IF(LEN(D213)=0,"",INDEX(Input!$1:$1048576,AY$93,$C213*2+6))</f>
        <v>Compact Conventional/Sporty Car (43)</v>
      </c>
      <c r="AZ213" s="41" t="str">
        <f>INDEX(Input!$1:$1048576,AZ$93,$C213*2+6)</f>
        <v>Kia Forte</v>
      </c>
      <c r="BA213" s="3">
        <f>INDEX(Input!$1:$1048576,BA$93,$C213*2+6)</f>
        <v>2020</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19695</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94"/>
        <v>1250</v>
      </c>
      <c r="CJ213" s="16" t="str">
        <f>INDEX(Input!$1:$1048576,CJ$93,$C213*2+6)</f>
        <v>N</v>
      </c>
      <c r="CK213" s="1" t="str">
        <f t="shared" si="495"/>
        <v>Market</v>
      </c>
      <c r="CL213" s="1" t="str">
        <f t="shared" si="496"/>
        <v>Market</v>
      </c>
      <c r="CM213" s="1" t="str">
        <f t="shared" si="497"/>
        <v>Market</v>
      </c>
      <c r="CN213" s="1" t="str">
        <f t="shared" si="498"/>
        <v>Market</v>
      </c>
      <c r="CO213" s="1" t="str">
        <f t="shared" si="499"/>
        <v>Market</v>
      </c>
      <c r="CP213" s="304">
        <f t="shared" si="500"/>
        <v>0</v>
      </c>
      <c r="CQ213" s="1">
        <f t="shared" si="501"/>
        <v>0</v>
      </c>
      <c r="CR213" s="1">
        <f t="shared" si="502"/>
        <v>0</v>
      </c>
      <c r="CS213" s="1">
        <f t="shared" si="503"/>
        <v>0</v>
      </c>
      <c r="CT213" s="1">
        <f t="shared" si="504"/>
        <v>8.9999999999999993E-3</v>
      </c>
      <c r="CU213" s="1">
        <f t="shared" si="505"/>
        <v>3.9E-2</v>
      </c>
      <c r="CV213" s="304">
        <f t="shared" si="506"/>
        <v>1358</v>
      </c>
      <c r="CW213" s="20" t="s">
        <v>122</v>
      </c>
      <c r="CX213" s="20" t="s">
        <v>122</v>
      </c>
      <c r="CY213" s="20" t="s">
        <v>122</v>
      </c>
      <c r="CZ213" s="20" t="s">
        <v>122</v>
      </c>
      <c r="DA213" s="20" t="s">
        <v>122</v>
      </c>
      <c r="DB213" s="503">
        <f t="shared" si="507"/>
        <v>0</v>
      </c>
      <c r="DC213" s="127">
        <v>0</v>
      </c>
      <c r="DD213" s="127">
        <v>0</v>
      </c>
      <c r="DE213" s="127">
        <v>0</v>
      </c>
      <c r="DF213" s="127">
        <v>0</v>
      </c>
      <c r="DG213" s="127">
        <v>0</v>
      </c>
      <c r="DH213" s="127">
        <v>0</v>
      </c>
      <c r="DI213" s="127">
        <v>0</v>
      </c>
      <c r="DJ213" s="127">
        <v>0</v>
      </c>
      <c r="DK213" s="127">
        <v>0</v>
      </c>
      <c r="DL213" s="127">
        <v>0</v>
      </c>
      <c r="DM213" s="304">
        <f>INDEX(Input!$1:$1048576,DM$93,$C213*2+6)</f>
        <v>20731.578947368424</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2.776166668115948E-2</v>
      </c>
      <c r="DZ213" s="7">
        <v>0</v>
      </c>
      <c r="EA213" s="7">
        <v>0.56624925374313928</v>
      </c>
      <c r="EB213" s="7">
        <v>0</v>
      </c>
      <c r="EC213" s="7">
        <v>0</v>
      </c>
      <c r="ED213" s="7">
        <v>0</v>
      </c>
      <c r="EE213" s="7">
        <v>0</v>
      </c>
      <c r="EF213" s="7">
        <v>0</v>
      </c>
      <c r="EG213" s="7">
        <v>0</v>
      </c>
      <c r="EH213" s="7">
        <v>1.1562783079939999E-2</v>
      </c>
      <c r="EI213" s="7">
        <v>1.8884725987221497E-2</v>
      </c>
      <c r="EJ213" s="7">
        <v>0.18972130209570573</v>
      </c>
      <c r="EK213" s="7">
        <v>0.74558857567949699</v>
      </c>
      <c r="EL213" s="7">
        <v>3.4242613157635639E-2</v>
      </c>
      <c r="EM213" s="7">
        <v>5.0813854696443769E-2</v>
      </c>
      <c r="EN213" s="7">
        <v>4.9729701940271522E-2</v>
      </c>
      <c r="EO213" s="7">
        <v>0.56165423141121629</v>
      </c>
      <c r="EP213" s="7">
        <v>0.28602086896996864</v>
      </c>
      <c r="EQ213" s="7">
        <v>6.3876437110191378E-2</v>
      </c>
      <c r="ER213" s="7">
        <v>3.8718760568352446E-2</v>
      </c>
      <c r="ES213" s="7">
        <v>0.35517522487925729</v>
      </c>
      <c r="ET213" s="7">
        <v>0.40598907957570124</v>
      </c>
      <c r="EU213" s="6">
        <v>1600</v>
      </c>
      <c r="EV213" s="6">
        <v>0</v>
      </c>
      <c r="EW213" s="6">
        <v>1600</v>
      </c>
      <c r="EX213" s="6">
        <v>0</v>
      </c>
      <c r="EY213" s="6">
        <v>2969.9350857626137</v>
      </c>
      <c r="EZ213" s="6">
        <v>2111</v>
      </c>
      <c r="FA213" s="6">
        <v>0</v>
      </c>
      <c r="FB213" s="6">
        <v>0</v>
      </c>
      <c r="FC213" s="6">
        <v>0</v>
      </c>
      <c r="FD213" s="6">
        <v>0</v>
      </c>
      <c r="FE213" s="6">
        <v>0</v>
      </c>
      <c r="FF213" s="6">
        <v>0</v>
      </c>
      <c r="FG213" s="6">
        <v>0</v>
      </c>
      <c r="FH213" s="6">
        <v>1154.7837494697146</v>
      </c>
      <c r="FI213" s="6">
        <v>1531.4299904380625</v>
      </c>
      <c r="FJ213" s="6">
        <v>2070.7205842538228</v>
      </c>
      <c r="FK213" s="6">
        <v>2218.639369850101</v>
      </c>
      <c r="FL213" s="6">
        <v>893.91433563489363</v>
      </c>
      <c r="FM213" s="6">
        <v>2119.9350857626137</v>
      </c>
      <c r="FN213" s="6">
        <v>0</v>
      </c>
      <c r="FO213" s="6">
        <v>0</v>
      </c>
      <c r="FP213" s="6">
        <v>0</v>
      </c>
      <c r="FQ213" s="6">
        <v>0</v>
      </c>
      <c r="FR213" s="6">
        <v>0</v>
      </c>
      <c r="FS213" s="6">
        <v>0</v>
      </c>
      <c r="FT213" s="7">
        <v>0.59401092042429871</v>
      </c>
      <c r="FU213" s="7">
        <v>5.0813854696443769E-2</v>
      </c>
      <c r="FV213" s="7">
        <v>0.35517522487925729</v>
      </c>
      <c r="FW213" s="6">
        <v>1600</v>
      </c>
      <c r="FX213" s="6">
        <v>2969.9350857626132</v>
      </c>
      <c r="FY213" s="6">
        <v>2111</v>
      </c>
      <c r="FZ213" s="6">
        <v>2594.6978186474794</v>
      </c>
      <c r="GA213" s="6">
        <v>1851.1062223048016</v>
      </c>
      <c r="GB213" s="6">
        <v>17843.893777695197</v>
      </c>
      <c r="GC213" s="7">
        <v>9.6947029492584935E-2</v>
      </c>
      <c r="GD213" s="7">
        <v>8.968964261155403E-2</v>
      </c>
      <c r="GE213" s="7"/>
      <c r="GF213" s="7"/>
      <c r="GG213" s="7">
        <v>-7.4859301197939154E-2</v>
      </c>
      <c r="GH213" s="42">
        <v>1.9827469061578371</v>
      </c>
      <c r="GI213" s="6">
        <v>11784.295344342028</v>
      </c>
      <c r="GJ213" s="14">
        <v>0.51074630601039539</v>
      </c>
      <c r="GK213" s="14">
        <v>0.50829519786160993</v>
      </c>
      <c r="GL213" s="14">
        <v>0.48925369398960422</v>
      </c>
      <c r="GM213" s="14">
        <v>0.49170480213839024</v>
      </c>
      <c r="GO213" s="5">
        <v>338.16872463277008</v>
      </c>
      <c r="GP213" s="5">
        <v>307.64377699166363</v>
      </c>
      <c r="GQ213" s="5">
        <v>527.27910984145694</v>
      </c>
      <c r="GR213" s="5">
        <v>404.20319246551543</v>
      </c>
      <c r="GS213" s="5">
        <v>334.50205195691484</v>
      </c>
      <c r="GT213" s="5">
        <v>289.18266033348181</v>
      </c>
      <c r="GU213" s="5">
        <v>254.29573314828914</v>
      </c>
      <c r="GV213" s="39" t="s">
        <v>392</v>
      </c>
      <c r="GW213" s="5">
        <v>468.76388888888891</v>
      </c>
      <c r="GX213" s="5">
        <v>351.57291666666669</v>
      </c>
      <c r="GY213" s="5">
        <v>281.25833333333333</v>
      </c>
      <c r="GZ213" s="5">
        <v>240.8550698915011</v>
      </c>
      <c r="HA213" s="5">
        <v>229.89195052129486</v>
      </c>
      <c r="HB213" s="39">
        <v>252.87116021932263</v>
      </c>
      <c r="HC213" s="5">
        <v>190.75937499999998</v>
      </c>
      <c r="HD213" s="5">
        <v>173.28879751461983</v>
      </c>
      <c r="HE213" s="5">
        <v>178.94016109986501</v>
      </c>
      <c r="HF213" s="5">
        <v>168.88629934210525</v>
      </c>
      <c r="HG213" s="5">
        <v>167.11410087719298</v>
      </c>
      <c r="HH213" s="39">
        <v>175.25371955087823</v>
      </c>
      <c r="HI213" s="16"/>
      <c r="HJ213" s="19" t="str">
        <f t="shared" si="778"/>
        <v>On</v>
      </c>
      <c r="HK213" s="1" t="str">
        <f t="shared" si="778"/>
        <v>On</v>
      </c>
      <c r="HL213" s="16"/>
      <c r="HM213" s="639">
        <f t="shared" si="727"/>
        <v>5.0961701597560354E-2</v>
      </c>
      <c r="HN213" s="639">
        <f t="shared" si="728"/>
        <v>3.112551654761847E-3</v>
      </c>
      <c r="HO213" s="639">
        <f t="shared" si="729"/>
        <v>3.1163314184693442E-2</v>
      </c>
      <c r="HP213" s="644">
        <f>(FT213*$GD213-HM213)/$JF213*INDEX(Input!$1:$1048576,$JG$93,$C213*2+6)</f>
        <v>43.480778924735006</v>
      </c>
      <c r="HQ213" s="644">
        <f>(FU213*$GD213-HN213)/$JF213*INDEX(Input!$1:$1048576,$JG$93,$C213*2+6)</f>
        <v>27.139730692177082</v>
      </c>
      <c r="HR213" s="644">
        <f>(FV213*$GD213-HO213)/$JF213*INDEX(Input!$1:$1048576,$JG$93,$C213*2+6)</f>
        <v>13.001918483265982</v>
      </c>
      <c r="HS213" s="644">
        <f t="shared" si="779"/>
        <v>-8.5586415795989392</v>
      </c>
      <c r="HT213" s="644">
        <f t="shared" si="731"/>
        <v>62.645864807484287</v>
      </c>
      <c r="HU213" s="644">
        <f t="shared" si="732"/>
        <v>30.233534455460809</v>
      </c>
      <c r="HV213" s="648">
        <f t="shared" si="733"/>
        <v>0</v>
      </c>
      <c r="HW213" s="648">
        <f t="shared" si="734"/>
        <v>0</v>
      </c>
      <c r="HX213" s="648">
        <f t="shared" si="735"/>
        <v>0</v>
      </c>
      <c r="HY213" s="644">
        <f>INDEX(Input!$1:$1048576,HY$93,$C213*2+6)*INDEX(Input!$1:$1048576,$JG$93,$C213*2+6)</f>
        <v>555</v>
      </c>
      <c r="HZ213" s="644">
        <f>INDEX(Input!$1:$1048576,HZ$93,$C213*2+6)*INDEX(Input!$1:$1048576,$JG$93,$C213*2+6)</f>
        <v>480</v>
      </c>
      <c r="IA213" s="644">
        <f>INDEX(Input!$1:$1048576,IA$93,$C213*2+6)*INDEX(Input!$1:$1048576,$JG$93,$C213*2+6)</f>
        <v>566</v>
      </c>
      <c r="IB213" s="644">
        <f t="shared" si="759"/>
        <v>589.92213734513632</v>
      </c>
      <c r="IC213" s="644">
        <f t="shared" si="760"/>
        <v>569.78559549966133</v>
      </c>
      <c r="ID213" s="644">
        <f>IF(AND(INDEX(Input!$1:$1048576,IA$93,$C213*2+7)="TOS",Y213&lt;=INDEX(Y:Y,MATCH(C213*1000+2,A:A))),0,1)*MAX(IA213+HR213+HU213+HX213,0%)</f>
        <v>609.23545293872678</v>
      </c>
      <c r="IE213" s="128">
        <f t="shared" ref="IE213:IE214" si="802">IB213/SUM($IB213:$ID213)</f>
        <v>0.33348845914677583</v>
      </c>
      <c r="IF213" s="128">
        <f t="shared" si="736"/>
        <v>0.3221050851598064</v>
      </c>
      <c r="IG213" s="128">
        <f t="shared" si="737"/>
        <v>0.34440645569341782</v>
      </c>
      <c r="IH213" s="21"/>
      <c r="II213" s="19">
        <f t="shared" si="738"/>
        <v>1200</v>
      </c>
      <c r="IJ213" s="19">
        <f t="shared" si="739"/>
        <v>2226.7968732767699</v>
      </c>
      <c r="IK213" s="19">
        <f t="shared" si="740"/>
        <v>1786</v>
      </c>
      <c r="IL213" s="19">
        <f t="shared" si="762"/>
        <v>400</v>
      </c>
      <c r="IM213" s="19">
        <f t="shared" si="741"/>
        <v>743.13821248584327</v>
      </c>
      <c r="IN213" s="19">
        <f t="shared" si="742"/>
        <v>325</v>
      </c>
      <c r="IO213" s="39">
        <f t="shared" si="743"/>
        <v>0</v>
      </c>
      <c r="IP213" s="39">
        <f t="shared" si="744"/>
        <v>0</v>
      </c>
      <c r="IQ213" s="39">
        <f t="shared" si="745"/>
        <v>0</v>
      </c>
      <c r="IR213" s="39">
        <v>0</v>
      </c>
      <c r="IS213" s="39">
        <v>0</v>
      </c>
      <c r="IT213" s="39">
        <v>0</v>
      </c>
      <c r="IU213" s="39">
        <v>0</v>
      </c>
      <c r="IV213" s="39">
        <v>0</v>
      </c>
      <c r="IW213" s="39">
        <v>0</v>
      </c>
      <c r="IX213" s="39">
        <f>INDEX(Input!$1:$1048576,IX$93,$C213*2+6)+INDEX(Input!$1:$1048576,IX$94,$C213*2+6)</f>
        <v>1600</v>
      </c>
      <c r="IY213" s="39">
        <f>INDEX(Input!$1:$1048576,IY$93,$C213*2+6)+INDEX(Input!$1:$1048576,IY$94,$C213*2+6)</f>
        <v>2503.5492916397525</v>
      </c>
      <c r="IZ213" s="39">
        <f>INDEX(Input!$1:$1048576,IZ$93,$C213*2+6)+INDEX(Input!$1:$1048576,IZ$94,$C213*2+6)</f>
        <v>5773.7109265464023</v>
      </c>
      <c r="JA213" s="19">
        <f t="shared" si="763"/>
        <v>2000</v>
      </c>
      <c r="JB213" s="19">
        <f t="shared" si="764"/>
        <v>3246.6875041255958</v>
      </c>
      <c r="JC213" s="19">
        <f t="shared" si="765"/>
        <v>6098.7109265464023</v>
      </c>
      <c r="JD213" s="19">
        <f t="shared" si="766"/>
        <v>3813.1868878077726</v>
      </c>
      <c r="JE213" s="21"/>
      <c r="JF213" s="1">
        <f t="shared" si="746"/>
        <v>8.5237567437015646E-2</v>
      </c>
      <c r="JG213" s="15">
        <f>INDEX(Input!$1:$1048576,JG$93,$C213*2+6)/(1+VLOOKUP(C213*1000+INDEX(Input!$1:$1048576,JG$93+1,$C213*2+6),$A:$KK,$JK$92,FALSE))</f>
        <v>1601</v>
      </c>
      <c r="JH213" s="1">
        <f t="shared" si="767"/>
        <v>5.2231372954514722E-2</v>
      </c>
      <c r="JI213" s="1">
        <f t="shared" si="768"/>
        <v>5.2667556329385481E-2</v>
      </c>
      <c r="JJ213" s="1">
        <f>SUM(HV213:HX213)/SUM(HY213:IA213)</f>
        <v>0</v>
      </c>
      <c r="JK213" s="1">
        <f t="shared" ref="JK213:JK214" si="803">SUM(JH213:JJ213)</f>
        <v>0.10489892928390021</v>
      </c>
      <c r="JL213" s="15">
        <f t="shared" si="771"/>
        <v>167.94318578352423</v>
      </c>
      <c r="JM213" s="15">
        <f t="shared" si="795"/>
        <v>1768.9431857835243</v>
      </c>
      <c r="JN213" s="21"/>
      <c r="JO213" s="19">
        <f>INDEX(Input!$1:$1048576,JO$93,$C213*2+6)</f>
        <v>5908.5</v>
      </c>
      <c r="JP213" s="19">
        <f>INDEX(Input!$1:$1048576,JP$93,$C213*2+6)</f>
        <v>3346.4235130620518</v>
      </c>
      <c r="JQ213" s="39">
        <f t="shared" si="781"/>
        <v>2095.3131121922274</v>
      </c>
      <c r="JR213" s="39">
        <f t="shared" si="798"/>
        <v>466.76337474572074</v>
      </c>
      <c r="JS213" s="39">
        <f t="shared" si="783"/>
        <v>6.745310961306644</v>
      </c>
      <c r="JT213" s="39">
        <f t="shared" si="773"/>
        <v>1.3876869168942989</v>
      </c>
      <c r="JU213" s="385">
        <f>(JQ213*JM213-INDEX(Input!$1:$1048576,Input!A$18,$C213*2+6)*JL213*INDEX(Input!$1:$1048576,Input!A$19,$C213*2+6))/1000000</f>
        <v>3.7064898518953098</v>
      </c>
      <c r="JV213" s="39">
        <f>JU213-(JO213-JP213)*JG213/1000000</f>
        <v>-0.39539460369234503</v>
      </c>
      <c r="JW213" s="1">
        <f t="shared" si="796"/>
        <v>-9.6393403562046218E-2</v>
      </c>
      <c r="JX213" s="19">
        <f t="shared" si="787"/>
        <v>8262.835496541089</v>
      </c>
      <c r="JZ213" s="341"/>
      <c r="KA213" s="342"/>
      <c r="KB213" s="469">
        <f t="shared" si="784"/>
        <v>2.4482969984810516</v>
      </c>
      <c r="KI213" s="473">
        <f t="shared" si="785"/>
        <v>34.922137345136321</v>
      </c>
      <c r="KJ213" s="473">
        <f t="shared" si="774"/>
        <v>89.785595499661326</v>
      </c>
      <c r="KK213" s="473">
        <f t="shared" si="775"/>
        <v>43.23545293872678</v>
      </c>
      <c r="KN213" s="544">
        <f t="shared" si="788"/>
        <v>2002</v>
      </c>
      <c r="KO213" s="541">
        <f t="shared" si="750"/>
        <v>2.3836840613892463E-2</v>
      </c>
      <c r="KP213" s="546">
        <f t="shared" si="751"/>
        <v>110.52245713434431</v>
      </c>
      <c r="KQ213" s="546">
        <f t="shared" si="752"/>
        <v>87.583312851234041</v>
      </c>
      <c r="KR213" s="548">
        <f t="shared" si="753"/>
        <v>3.4441865223926231</v>
      </c>
      <c r="KS213" s="548">
        <f t="shared" si="754"/>
        <v>4.3462612327807335</v>
      </c>
      <c r="KT213" s="473">
        <f t="shared" si="786"/>
        <v>528.59039248727379</v>
      </c>
      <c r="KU213" s="663">
        <f t="shared" si="776"/>
        <v>12.119768481791775</v>
      </c>
      <c r="KV213" s="117" t="e">
        <f>RANK(KU213,$KU$109:$KU$200)</f>
        <v>#N/A</v>
      </c>
    </row>
    <row r="214" spans="1:308" s="26" customFormat="1" ht="15">
      <c r="A214" s="561">
        <f t="shared" si="755"/>
        <v>2014</v>
      </c>
      <c r="B214" s="561">
        <f t="shared" si="777"/>
        <v>14</v>
      </c>
      <c r="C214" s="561">
        <f t="shared" si="105"/>
        <v>2</v>
      </c>
      <c r="D214" s="561" t="str">
        <f t="shared" si="797"/>
        <v xml:space="preserve">0/0/0/3.9, </v>
      </c>
      <c r="E214" s="115">
        <f>INDEX(Input!$1:$1048576,E$93,$C214*2+MIN($B214,2)+5)</f>
        <v>1250</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63">
        <f>IFERROR(MAX(0,INDEX(Input!$1:$1048576,W$93,$C214*2+MIN($B214,2)+5)-0%,),"Market")</f>
        <v>3.9E-2</v>
      </c>
      <c r="X214" s="476" t="str">
        <f>INDEX(Input!$1:$1048576,X$93,$C214*2+MIN($B214,2)+5)</f>
        <v>Y</v>
      </c>
      <c r="Y214" s="150">
        <f>INDEX(Input!$1:$1048576,Y$93,$C214*2+MIN($B214,2)+5)</f>
        <v>1358</v>
      </c>
      <c r="Z214" s="30">
        <f>INDEX(Input!$1:$1048576,Z$93,$C214*2+MIN($B214,2)+5)</f>
        <v>0</v>
      </c>
      <c r="AA214" s="475">
        <f>INDEX(Input!$1:$1048576,AA$93,$C214*2+MIN($B214,2)+5)</f>
        <v>0</v>
      </c>
      <c r="AB214" s="118">
        <f>INDEX(Input!$1:$1048576,AB$93,$C214*2+MIN($B214,2)+5)</f>
        <v>1</v>
      </c>
      <c r="AC214" s="115">
        <f>INDEX(Input!$1:$1048576,AC$93,$C214*2+MIN($B214,2)+5)</f>
        <v>0</v>
      </c>
      <c r="AD214" s="118">
        <f>INDEX(Input!$1:$1048576,AD$93,$C214*2+MIN($B214,2)+5)</f>
        <v>0.35</v>
      </c>
      <c r="AE214" s="115">
        <f>INDEX(Input!$1:$1048576,AE$93,$C214*2+MIN($B214,2)+5)</f>
        <v>0</v>
      </c>
      <c r="AF214" s="118">
        <f>INDEX(Input!$1:$1048576,AF$93,$C214*2+MIN($B214,2)+5)</f>
        <v>1</v>
      </c>
      <c r="AG214" s="115">
        <f>INDEX(Input!$1:$1048576,AG$93,$C214*2+MIN($B214,2)+5)</f>
        <v>0</v>
      </c>
      <c r="AH214" s="118">
        <f>INDEX(Input!$1:$1048576,AH$93,$C214*2+MIN($B214,2)+5)</f>
        <v>1</v>
      </c>
      <c r="AI214" s="115">
        <f>INDEX(Input!$1:$1048576,AI$93,$C214*2+MIN($B214,2)+5)</f>
        <v>0</v>
      </c>
      <c r="AJ214" s="118">
        <f>INDEX(Input!$1:$1048576,AJ$93,$C214*2+MIN($B214,2)+5)</f>
        <v>0.35</v>
      </c>
      <c r="AK214" s="150">
        <f>ROUND(INDEX(Input!$1:$1048576,AK$93,$C213*2+MIN($B214,1)+5)+(Y214-VLOOKUP($C214*1000+1,$A:$HH,Y$92,FALSE)),0)</f>
        <v>4982</v>
      </c>
      <c r="AL214" s="150">
        <f>ROUND(INDEX(Input!$1:$1048576,AL$93,$C213*2+MIN($B214,1)+5)-(Y214-VLOOKUP($C214*1000+1,$A:$HH,Y$92,FALSE))/36,0)</f>
        <v>5102</v>
      </c>
      <c r="AM214" s="32" t="str">
        <f t="shared" si="756"/>
        <v>std/std/std/std</v>
      </c>
      <c r="AN214" s="32" t="str">
        <f t="shared" si="757"/>
        <v>$0 + 0/0/0/0/3.9</v>
      </c>
      <c r="AO214" s="32" t="str">
        <f t="shared" si="758"/>
        <v>0/0/0/0/3.9</v>
      </c>
      <c r="AP214" s="32" t="str">
        <f t="shared" si="493"/>
        <v>0/0/0/3.9</v>
      </c>
      <c r="AQ214" s="536">
        <f t="shared" si="492"/>
        <v>0.31779301433040857</v>
      </c>
      <c r="AR214" s="32"/>
      <c r="AS214" s="302"/>
      <c r="AT214" s="3">
        <f t="shared" si="106"/>
        <v>14</v>
      </c>
      <c r="AU214" s="41" t="s">
        <v>121</v>
      </c>
      <c r="AV214" s="41" t="s">
        <v>116</v>
      </c>
      <c r="AW214" s="41" t="str">
        <f>INDEX(Input!$1:$1048576,AW$93,$C214*2+6)</f>
        <v>Kia</v>
      </c>
      <c r="AX214" s="41" t="str">
        <f>INDEX(Input!$1:$1048576,AX$93,$C214*2+6)</f>
        <v>Kia-LR - L2</v>
      </c>
      <c r="AY214" s="41" t="str">
        <f>IF(LEN(D214)=0,"",INDEX(Input!$1:$1048576,AY$93,$C214*2+6))</f>
        <v>Compact Conventional/Sporty Car (43)</v>
      </c>
      <c r="AZ214" s="41" t="str">
        <f>INDEX(Input!$1:$1048576,AZ$93,$C214*2+6)</f>
        <v>Kia Forte</v>
      </c>
      <c r="BA214" s="3">
        <f>INDEX(Input!$1:$1048576,BA$93,$C214*2+6)</f>
        <v>2020</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19695</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94"/>
        <v>1250</v>
      </c>
      <c r="CJ214" s="16" t="str">
        <f>INDEX(Input!$1:$1048576,CJ$93,$C214*2+6)</f>
        <v>N</v>
      </c>
      <c r="CK214" s="1" t="str">
        <f t="shared" si="495"/>
        <v>Market</v>
      </c>
      <c r="CL214" s="1" t="str">
        <f t="shared" si="496"/>
        <v>Market</v>
      </c>
      <c r="CM214" s="1" t="str">
        <f t="shared" si="497"/>
        <v>Market</v>
      </c>
      <c r="CN214" s="1" t="str">
        <f t="shared" si="498"/>
        <v>Market</v>
      </c>
      <c r="CO214" s="1" t="str">
        <f t="shared" si="499"/>
        <v>Market</v>
      </c>
      <c r="CP214" s="304">
        <f t="shared" si="500"/>
        <v>0</v>
      </c>
      <c r="CQ214" s="1">
        <f t="shared" si="501"/>
        <v>0</v>
      </c>
      <c r="CR214" s="1">
        <f t="shared" si="502"/>
        <v>0</v>
      </c>
      <c r="CS214" s="1">
        <f t="shared" si="503"/>
        <v>0</v>
      </c>
      <c r="CT214" s="1">
        <f t="shared" si="504"/>
        <v>0</v>
      </c>
      <c r="CU214" s="1">
        <f t="shared" si="505"/>
        <v>3.9E-2</v>
      </c>
      <c r="CV214" s="304">
        <f t="shared" si="506"/>
        <v>1358</v>
      </c>
      <c r="CW214" s="20" t="s">
        <v>122</v>
      </c>
      <c r="CX214" s="20" t="s">
        <v>122</v>
      </c>
      <c r="CY214" s="20" t="s">
        <v>122</v>
      </c>
      <c r="CZ214" s="20" t="s">
        <v>122</v>
      </c>
      <c r="DA214" s="20" t="s">
        <v>122</v>
      </c>
      <c r="DB214" s="503">
        <f t="shared" si="507"/>
        <v>0</v>
      </c>
      <c r="DC214" s="127">
        <v>0</v>
      </c>
      <c r="DD214" s="127">
        <v>0</v>
      </c>
      <c r="DE214" s="127">
        <v>0</v>
      </c>
      <c r="DF214" s="127">
        <v>0</v>
      </c>
      <c r="DG214" s="127">
        <v>0</v>
      </c>
      <c r="DH214" s="127">
        <v>0</v>
      </c>
      <c r="DI214" s="127">
        <v>0</v>
      </c>
      <c r="DJ214" s="127">
        <v>0</v>
      </c>
      <c r="DK214" s="127">
        <v>0</v>
      </c>
      <c r="DL214" s="127">
        <v>0</v>
      </c>
      <c r="DM214" s="304">
        <f>INDEX(Input!$1:$1048576,DM$93,$C214*2+6)</f>
        <v>20731.578947368424</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2.7205198417362894E-2</v>
      </c>
      <c r="DZ214" s="7">
        <v>0</v>
      </c>
      <c r="EA214" s="7">
        <v>0.55459077721640848</v>
      </c>
      <c r="EB214" s="7">
        <v>0</v>
      </c>
      <c r="EC214" s="7">
        <v>0</v>
      </c>
      <c r="ED214" s="7">
        <v>0</v>
      </c>
      <c r="EE214" s="7">
        <v>0</v>
      </c>
      <c r="EF214" s="7">
        <v>0</v>
      </c>
      <c r="EG214" s="7">
        <v>0</v>
      </c>
      <c r="EH214" s="7">
        <v>8.2326512237684783E-3</v>
      </c>
      <c r="EI214" s="7">
        <v>1.3448978531071035E-2</v>
      </c>
      <c r="EJ214" s="7">
        <v>0.13505495693721134</v>
      </c>
      <c r="EK214" s="7">
        <v>0.81888766819424219</v>
      </c>
      <c r="EL214" s="7">
        <v>2.4375745113707274E-2</v>
      </c>
      <c r="EM214" s="7">
        <v>6.9922779300577401E-2</v>
      </c>
      <c r="EN214" s="7">
        <v>4.9725449378190491E-2</v>
      </c>
      <c r="EO214" s="7">
        <v>0.56163742237485237</v>
      </c>
      <c r="EP214" s="7">
        <v>0.2860412038129394</v>
      </c>
      <c r="EQ214" s="7">
        <v>6.3872532179881925E-2</v>
      </c>
      <c r="ER214" s="7">
        <v>3.8723392254135791E-2</v>
      </c>
      <c r="ES214" s="7">
        <v>0.34828124506565122</v>
      </c>
      <c r="ET214" s="7">
        <v>0.41820402436622861</v>
      </c>
      <c r="EU214" s="6">
        <v>1600</v>
      </c>
      <c r="EV214" s="6">
        <v>0</v>
      </c>
      <c r="EW214" s="6">
        <v>1600</v>
      </c>
      <c r="EX214" s="6">
        <v>0</v>
      </c>
      <c r="EY214" s="6">
        <v>3339.6469658476244</v>
      </c>
      <c r="EZ214" s="6">
        <v>2111</v>
      </c>
      <c r="FA214" s="6">
        <v>0</v>
      </c>
      <c r="FB214" s="6">
        <v>0</v>
      </c>
      <c r="FC214" s="6">
        <v>0</v>
      </c>
      <c r="FD214" s="6">
        <v>0</v>
      </c>
      <c r="FE214" s="6">
        <v>0</v>
      </c>
      <c r="FF214" s="6">
        <v>0</v>
      </c>
      <c r="FG214" s="6">
        <v>0</v>
      </c>
      <c r="FH214" s="6">
        <v>1154.7824182600464</v>
      </c>
      <c r="FI214" s="6">
        <v>1531.4299904380623</v>
      </c>
      <c r="FJ214" s="6">
        <v>2070.7205842538224</v>
      </c>
      <c r="FK214" s="6">
        <v>2635.395613320291</v>
      </c>
      <c r="FL214" s="6">
        <v>893.91433563489386</v>
      </c>
      <c r="FM214" s="6">
        <v>2489.6469658476244</v>
      </c>
      <c r="FN214" s="6">
        <v>0</v>
      </c>
      <c r="FO214" s="6">
        <v>0</v>
      </c>
      <c r="FP214" s="6">
        <v>0</v>
      </c>
      <c r="FQ214" s="6">
        <v>0</v>
      </c>
      <c r="FR214" s="6">
        <v>0</v>
      </c>
      <c r="FS214" s="6">
        <v>0</v>
      </c>
      <c r="FT214" s="7">
        <v>0.58179597563377139</v>
      </c>
      <c r="FU214" s="7">
        <v>6.9922779300577401E-2</v>
      </c>
      <c r="FV214" s="7">
        <v>0.34828124506565122</v>
      </c>
      <c r="FW214" s="6">
        <v>1600</v>
      </c>
      <c r="FX214" s="6">
        <v>3339.6469658476244</v>
      </c>
      <c r="FY214" s="6">
        <v>2111</v>
      </c>
      <c r="FZ214" s="6">
        <v>2594.6978186474794</v>
      </c>
      <c r="GA214" s="6">
        <v>1899.6126670824303</v>
      </c>
      <c r="GB214" s="6">
        <v>17795.387332917569</v>
      </c>
      <c r="GC214" s="7">
        <v>9.6947029492584935E-2</v>
      </c>
      <c r="GD214" s="7">
        <v>9.0437050285746112E-2</v>
      </c>
      <c r="GE214" s="7"/>
      <c r="GF214" s="7"/>
      <c r="GG214" s="7">
        <v>-6.7149857410914726E-2</v>
      </c>
      <c r="GH214" s="42">
        <v>1.902668239610926</v>
      </c>
      <c r="GI214" s="6">
        <v>12250.865497175082</v>
      </c>
      <c r="GJ214" s="14">
        <v>0.5107463060103955</v>
      </c>
      <c r="GK214" s="14">
        <v>0.5082951978616097</v>
      </c>
      <c r="GL214" s="14">
        <v>0.48925369398960444</v>
      </c>
      <c r="GM214" s="14">
        <v>0.49170480213838991</v>
      </c>
      <c r="GO214" s="5">
        <v>338.16872463277008</v>
      </c>
      <c r="GP214" s="5">
        <v>307.64377699166363</v>
      </c>
      <c r="GQ214" s="5">
        <v>527.27910984145694</v>
      </c>
      <c r="GR214" s="5">
        <v>404.20319246551543</v>
      </c>
      <c r="GS214" s="5">
        <v>334.50205195691484</v>
      </c>
      <c r="GT214" s="5">
        <v>289.18266033348181</v>
      </c>
      <c r="GU214" s="5">
        <v>254.29573314828914</v>
      </c>
      <c r="GV214" s="39" t="s">
        <v>392</v>
      </c>
      <c r="GW214" s="5">
        <v>468.76388888888891</v>
      </c>
      <c r="GX214" s="5">
        <v>351.57291666666669</v>
      </c>
      <c r="GY214" s="5">
        <v>281.25833333333333</v>
      </c>
      <c r="GZ214" s="5">
        <v>234.38194444444446</v>
      </c>
      <c r="HA214" s="5">
        <v>229.89195052129486</v>
      </c>
      <c r="HB214" s="39">
        <v>244.10906985098438</v>
      </c>
      <c r="HC214" s="5">
        <v>190.75937499999998</v>
      </c>
      <c r="HD214" s="5">
        <v>173.28879751461983</v>
      </c>
      <c r="HE214" s="5">
        <v>178.94016109986501</v>
      </c>
      <c r="HF214" s="5">
        <v>168.88629934210525</v>
      </c>
      <c r="HG214" s="5">
        <v>167.11410087719298</v>
      </c>
      <c r="HH214" s="39">
        <v>175.25374876794777</v>
      </c>
      <c r="HI214" s="16"/>
      <c r="HJ214" s="19" t="str">
        <f t="shared" si="778"/>
        <v>On</v>
      </c>
      <c r="HK214" s="1" t="str">
        <f t="shared" si="778"/>
        <v>On</v>
      </c>
      <c r="HL214" s="16"/>
      <c r="HM214" s="639">
        <f t="shared" si="727"/>
        <v>5.0961701597560354E-2</v>
      </c>
      <c r="HN214" s="639">
        <f t="shared" si="728"/>
        <v>3.112551654761847E-3</v>
      </c>
      <c r="HO214" s="639">
        <f t="shared" si="729"/>
        <v>3.1163314184693442E-2</v>
      </c>
      <c r="HP214" s="644">
        <f>(FT214*$GD214-HM214)/$JF214*INDEX(Input!$1:$1048576,$JG$93,$C214*2+6)</f>
        <v>31.070697826577984</v>
      </c>
      <c r="HQ214" s="644">
        <f>(FU214*$GD214-HN214)/$JF214*INDEX(Input!$1:$1048576,$JG$93,$C214*2+6)</f>
        <v>60.312658110444978</v>
      </c>
      <c r="HR214" s="644">
        <f>(FV214*$GD214-HO214)/$JF214*INDEX(Input!$1:$1048576,$JG$93,$C214*2+6)</f>
        <v>6.2774794331157979</v>
      </c>
      <c r="HS214" s="644">
        <f t="shared" si="779"/>
        <v>-8.8102947314035056</v>
      </c>
      <c r="HT214" s="644">
        <f t="shared" si="731"/>
        <v>96.130893311005423</v>
      </c>
      <c r="HU214" s="644">
        <f t="shared" si="732"/>
        <v>30.485187607265374</v>
      </c>
      <c r="HV214" s="648">
        <f t="shared" si="733"/>
        <v>0</v>
      </c>
      <c r="HW214" s="648">
        <f t="shared" si="734"/>
        <v>0</v>
      </c>
      <c r="HX214" s="648">
        <f t="shared" si="735"/>
        <v>0</v>
      </c>
      <c r="HY214" s="644">
        <f>INDEX(Input!$1:$1048576,HY$93,$C214*2+6)*INDEX(Input!$1:$1048576,$JG$93,$C214*2+6)</f>
        <v>555</v>
      </c>
      <c r="HZ214" s="644">
        <f>INDEX(Input!$1:$1048576,HZ$93,$C214*2+6)*INDEX(Input!$1:$1048576,$JG$93,$C214*2+6)</f>
        <v>480</v>
      </c>
      <c r="IA214" s="644">
        <f>INDEX(Input!$1:$1048576,IA$93,$C214*2+6)*INDEX(Input!$1:$1048576,$JG$93,$C214*2+6)</f>
        <v>566</v>
      </c>
      <c r="IB214" s="644">
        <f t="shared" si="759"/>
        <v>577.26040309517441</v>
      </c>
      <c r="IC214" s="644">
        <f t="shared" si="760"/>
        <v>636.44355142145037</v>
      </c>
      <c r="ID214" s="644">
        <f>IF(AND(INDEX(Input!$1:$1048576,IA$93,$C214*2+7)="TOS",Y214&lt;=INDEX(Y:Y,MATCH(C214*1000+2,A:A))),0,1)*MAX(IA214+HR214+HU214+HX214,0%)</f>
        <v>602.76266704038119</v>
      </c>
      <c r="IE214" s="128">
        <f t="shared" si="802"/>
        <v>0.31779301433040857</v>
      </c>
      <c r="IF214" s="128">
        <f t="shared" si="736"/>
        <v>0.35037448190262654</v>
      </c>
      <c r="IG214" s="128">
        <f t="shared" si="737"/>
        <v>0.33183250376696488</v>
      </c>
      <c r="IH214" s="21"/>
      <c r="II214" s="19">
        <f t="shared" si="738"/>
        <v>1200</v>
      </c>
      <c r="IJ214" s="19">
        <f t="shared" si="739"/>
        <v>2226.7968732767699</v>
      </c>
      <c r="IK214" s="19">
        <f t="shared" si="740"/>
        <v>1786</v>
      </c>
      <c r="IL214" s="19">
        <f t="shared" si="762"/>
        <v>400</v>
      </c>
      <c r="IM214" s="19">
        <f t="shared" si="741"/>
        <v>1112.8500925708545</v>
      </c>
      <c r="IN214" s="19">
        <f t="shared" si="742"/>
        <v>325</v>
      </c>
      <c r="IO214" s="39">
        <f t="shared" si="743"/>
        <v>0</v>
      </c>
      <c r="IP214" s="39">
        <f t="shared" si="744"/>
        <v>0</v>
      </c>
      <c r="IQ214" s="39">
        <f t="shared" si="745"/>
        <v>0</v>
      </c>
      <c r="IR214" s="39">
        <v>0</v>
      </c>
      <c r="IS214" s="39">
        <v>0</v>
      </c>
      <c r="IT214" s="39">
        <v>0</v>
      </c>
      <c r="IU214" s="39">
        <v>0</v>
      </c>
      <c r="IV214" s="39">
        <v>0</v>
      </c>
      <c r="IW214" s="39">
        <v>0</v>
      </c>
      <c r="IX214" s="39">
        <f>INDEX(Input!$1:$1048576,IX$93,$C214*2+6)+INDEX(Input!$1:$1048576,IX$94,$C214*2+6)</f>
        <v>1600</v>
      </c>
      <c r="IY214" s="39">
        <f>INDEX(Input!$1:$1048576,IY$93,$C214*2+6)+INDEX(Input!$1:$1048576,IY$94,$C214*2+6)</f>
        <v>2503.5492916397525</v>
      </c>
      <c r="IZ214" s="39">
        <f>INDEX(Input!$1:$1048576,IZ$93,$C214*2+6)+INDEX(Input!$1:$1048576,IZ$94,$C214*2+6)</f>
        <v>5773.7109265464023</v>
      </c>
      <c r="JA214" s="19">
        <f t="shared" si="763"/>
        <v>2000</v>
      </c>
      <c r="JB214" s="19">
        <f t="shared" si="764"/>
        <v>3616.399384210607</v>
      </c>
      <c r="JC214" s="19">
        <f t="shared" si="765"/>
        <v>6098.7109265464023</v>
      </c>
      <c r="JD214" s="19">
        <f t="shared" si="766"/>
        <v>3926.4306057634253</v>
      </c>
      <c r="JE214" s="21"/>
      <c r="JF214" s="1">
        <f t="shared" si="746"/>
        <v>8.5237567437015646E-2</v>
      </c>
      <c r="JG214" s="15">
        <f>INDEX(Input!$1:$1048576,JG$93,$C214*2+6)/(1+VLOOKUP(C214*1000+INDEX(Input!$1:$1048576,JG$93+1,$C214*2+6),$A:$KK,$JK$92,FALSE))</f>
        <v>1601</v>
      </c>
      <c r="JH214" s="1">
        <f t="shared" si="767"/>
        <v>6.0999897170605104E-2</v>
      </c>
      <c r="JI214" s="1">
        <f t="shared" si="768"/>
        <v>7.358262722477657E-2</v>
      </c>
      <c r="JJ214" s="1">
        <f t="shared" ref="JJ214:JJ218" si="804">SUM(HV214:HX214)/SUM(HY214:IA214)</f>
        <v>0</v>
      </c>
      <c r="JK214" s="1">
        <f t="shared" si="803"/>
        <v>0.13458252439538168</v>
      </c>
      <c r="JL214" s="15">
        <f t="shared" si="771"/>
        <v>215.46662155700608</v>
      </c>
      <c r="JM214" s="15">
        <f t="shared" si="795"/>
        <v>1816.466621557006</v>
      </c>
      <c r="JN214" s="21"/>
      <c r="JO214" s="19">
        <f>INDEX(Input!$1:$1048576,JO$93,$C214*2+6)</f>
        <v>5908.5</v>
      </c>
      <c r="JP214" s="19">
        <f>INDEX(Input!$1:$1048576,JP$93,$C214*2+6)</f>
        <v>3346.4235130620518</v>
      </c>
      <c r="JQ214" s="39">
        <f t="shared" si="781"/>
        <v>1982.0693942365747</v>
      </c>
      <c r="JR214" s="39">
        <f t="shared" si="798"/>
        <v>580.00709270137349</v>
      </c>
      <c r="JS214" s="39">
        <f t="shared" si="783"/>
        <v>7.1322301372291177</v>
      </c>
      <c r="JT214" s="39">
        <f t="shared" si="773"/>
        <v>1.7746060928167728</v>
      </c>
      <c r="JU214" s="385">
        <f>(JQ214*JM214-INDEX(Input!$1:$1048576,Input!A$18,$C214*2+6)*JL214*INDEX(Input!$1:$1048576,Input!A$19,$C214*2+6))/1000000</f>
        <v>3.6003628962404521</v>
      </c>
      <c r="JV214" s="39">
        <f t="shared" ref="JV214:JV261" si="805">JU214-(JO214-JP214)*JG214/1000000</f>
        <v>-0.50152155934720266</v>
      </c>
      <c r="JW214" s="1">
        <f t="shared" si="796"/>
        <v>-0.12226613518184835</v>
      </c>
      <c r="JX214" s="19">
        <f t="shared" si="787"/>
        <v>8236.1067342732931</v>
      </c>
      <c r="JZ214" s="341"/>
      <c r="KA214" s="342"/>
      <c r="KB214" s="469">
        <f t="shared" si="784"/>
        <v>2.4482969984810516</v>
      </c>
      <c r="KI214" s="473">
        <f t="shared" si="785"/>
        <v>22.260403095174411</v>
      </c>
      <c r="KJ214" s="473">
        <f t="shared" si="774"/>
        <v>156.44355142145037</v>
      </c>
      <c r="KK214" s="473">
        <f t="shared" si="775"/>
        <v>36.762667040381189</v>
      </c>
      <c r="KN214" s="544">
        <f t="shared" si="788"/>
        <v>2002</v>
      </c>
      <c r="KO214" s="541">
        <f t="shared" si="750"/>
        <v>5.1342667103106088E-2</v>
      </c>
      <c r="KP214" s="546">
        <f t="shared" si="751"/>
        <v>249.76001547590525</v>
      </c>
      <c r="KQ214" s="546">
        <f t="shared" si="752"/>
        <v>200.8270308068868</v>
      </c>
      <c r="KR214" s="548">
        <f t="shared" si="753"/>
        <v>3.2827968997609114</v>
      </c>
      <c r="KS214" s="548">
        <f t="shared" si="754"/>
        <v>4.0826745343706108</v>
      </c>
      <c r="KT214" s="473">
        <f t="shared" si="786"/>
        <v>528.59039248727379</v>
      </c>
      <c r="KU214" s="663">
        <f t="shared" si="776"/>
        <v>12.221187815491009</v>
      </c>
      <c r="KV214" s="117" t="e">
        <f t="shared" ref="KV214:KV218" si="806">RANK(KU214,$KU$109:$KU$200)</f>
        <v>#N/A</v>
      </c>
    </row>
    <row r="215" spans="1:308" s="26" customFormat="1" ht="15">
      <c r="A215" s="561">
        <f t="shared" si="755"/>
        <v>2015</v>
      </c>
      <c r="B215" s="561">
        <f t="shared" si="777"/>
        <v>15</v>
      </c>
      <c r="C215" s="561">
        <f t="shared" si="105"/>
        <v>2</v>
      </c>
      <c r="D215" s="561" t="str">
        <f t="shared" si="797"/>
        <v xml:space="preserve">500 Combo, </v>
      </c>
      <c r="E215" s="115">
        <f>INDEX(Input!$1:$1048576,E$93,$C215*2+MIN($B215,2)+5)</f>
        <v>1250</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1.9E-2</v>
      </c>
      <c r="W215" s="863">
        <f>IFERROR(MAX(0,INDEX(Input!$1:$1048576,W$93,$C215*2+MIN($B215,2)+5)-0%,),"Market")</f>
        <v>3.9E-2</v>
      </c>
      <c r="X215" s="476" t="str">
        <f>INDEX(Input!$1:$1048576,X$93,$C215*2+MIN($B215,2)+5)</f>
        <v>Y</v>
      </c>
      <c r="Y215" s="150">
        <f>INDEX(Input!$1:$1048576,Y$93,$C215*2+MIN($B215,2)+5)</f>
        <v>1358</v>
      </c>
      <c r="Z215" s="30">
        <f>INDEX(Input!$1:$1048576,Z$93,$C215*2+MIN($B215,2)+5)</f>
        <v>0</v>
      </c>
      <c r="AA215" s="475">
        <f>INDEX(Input!$1:$1048576,AA$93,$C215*2+MIN($B215,2)+5)</f>
        <v>0</v>
      </c>
      <c r="AB215" s="118">
        <f>INDEX(Input!$1:$1048576,AB$93,$C215*2+MIN($B215,2)+5)</f>
        <v>1</v>
      </c>
      <c r="AC215" s="115">
        <f>INDEX(Input!$1:$1048576,AC$93,$C215*2+MIN($B215,2)+5)</f>
        <v>0</v>
      </c>
      <c r="AD215" s="118">
        <f>INDEX(Input!$1:$1048576,AD$93,$C215*2+MIN($B215,2)+5)</f>
        <v>0.35</v>
      </c>
      <c r="AE215" s="115">
        <f>INDEX(Input!$1:$1048576,AE$93,$C215*2+MIN($B215,2)+5)</f>
        <v>0</v>
      </c>
      <c r="AF215" s="118">
        <f>INDEX(Input!$1:$1048576,AF$93,$C215*2+MIN($B215,2)+5)</f>
        <v>1</v>
      </c>
      <c r="AG215" s="115">
        <f>INDEX(Input!$1:$1048576,AG$93,$C215*2+MIN($B215,2)+5)</f>
        <v>0</v>
      </c>
      <c r="AH215" s="118">
        <f>INDEX(Input!$1:$1048576,AH$93,$C215*2+MIN($B215,2)+5)</f>
        <v>1</v>
      </c>
      <c r="AI215" s="115">
        <f>INDEX(Input!$1:$1048576,AI$93,$C215*2+MIN($B215,2)+5)</f>
        <v>0</v>
      </c>
      <c r="AJ215" s="118">
        <f>INDEX(Input!$1:$1048576,AJ$93,$C215*2+MIN($B215,2)+5)</f>
        <v>0.35</v>
      </c>
      <c r="AK215" s="150">
        <f>ROUND(INDEX(Input!$1:$1048576,AK$93,$C214*2+MIN($B215,1)+5)+(Y215-VLOOKUP($C215*1000+1,$A:$HH,Y$92,FALSE)),0)</f>
        <v>4982</v>
      </c>
      <c r="AL215" s="150">
        <f>ROUND(INDEX(Input!$1:$1048576,AL$93,$C214*2+MIN($B215,1)+5)-(Y215-VLOOKUP($C215*1000+1,$A:$HH,Y$92,FALSE))/36,0)</f>
        <v>5102</v>
      </c>
      <c r="AM215" s="32" t="str">
        <f t="shared" si="756"/>
        <v>std/std/std/std</v>
      </c>
      <c r="AN215" s="32" t="str">
        <f t="shared" si="757"/>
        <v>$500 + 0/0/0/1.9/3.9</v>
      </c>
      <c r="AO215" s="32" t="str">
        <f t="shared" si="758"/>
        <v>0/0/0/1.9/3.9</v>
      </c>
      <c r="AP215" s="32" t="str">
        <f t="shared" si="493"/>
        <v>0/0.9/1.9/3.9</v>
      </c>
      <c r="AQ215" s="536">
        <f t="shared" si="492"/>
        <v>0.33467051222780153</v>
      </c>
      <c r="AR215" s="32"/>
      <c r="AS215" s="302"/>
      <c r="AT215" s="3">
        <f t="shared" si="106"/>
        <v>15</v>
      </c>
      <c r="AU215" s="41" t="s">
        <v>121</v>
      </c>
      <c r="AV215" s="41" t="s">
        <v>116</v>
      </c>
      <c r="AW215" s="41" t="str">
        <f>INDEX(Input!$1:$1048576,AW$93,$C215*2+6)</f>
        <v>Kia</v>
      </c>
      <c r="AX215" s="41" t="str">
        <f>INDEX(Input!$1:$1048576,AX$93,$C215*2+6)</f>
        <v>Kia-LR - L2</v>
      </c>
      <c r="AY215" s="41" t="str">
        <f>IF(LEN(D215)=0,"",INDEX(Input!$1:$1048576,AY$93,$C215*2+6))</f>
        <v>Compact Conventional/Sporty Car (43)</v>
      </c>
      <c r="AZ215" s="41" t="str">
        <f>INDEX(Input!$1:$1048576,AZ$93,$C215*2+6)</f>
        <v>Kia Forte</v>
      </c>
      <c r="BA215" s="3">
        <f>INDEX(Input!$1:$1048576,BA$93,$C215*2+6)</f>
        <v>2020</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19695</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94"/>
        <v>1250</v>
      </c>
      <c r="CJ215" s="16" t="str">
        <f>INDEX(Input!$1:$1048576,CJ$93,$C215*2+6)</f>
        <v>N</v>
      </c>
      <c r="CK215" s="1" t="str">
        <f t="shared" si="495"/>
        <v>Market</v>
      </c>
      <c r="CL215" s="1" t="str">
        <f t="shared" si="496"/>
        <v>Market</v>
      </c>
      <c r="CM215" s="1" t="str">
        <f t="shared" si="497"/>
        <v>Market</v>
      </c>
      <c r="CN215" s="1" t="str">
        <f t="shared" si="498"/>
        <v>Market</v>
      </c>
      <c r="CO215" s="1" t="str">
        <f t="shared" si="499"/>
        <v>Market</v>
      </c>
      <c r="CP215" s="304">
        <f t="shared" si="500"/>
        <v>500</v>
      </c>
      <c r="CQ215" s="1">
        <f t="shared" si="501"/>
        <v>0</v>
      </c>
      <c r="CR215" s="1">
        <f t="shared" si="502"/>
        <v>0</v>
      </c>
      <c r="CS215" s="1">
        <f t="shared" si="503"/>
        <v>0</v>
      </c>
      <c r="CT215" s="1">
        <f t="shared" si="504"/>
        <v>1.9E-2</v>
      </c>
      <c r="CU215" s="1">
        <f t="shared" si="505"/>
        <v>3.9E-2</v>
      </c>
      <c r="CV215" s="304">
        <f t="shared" si="506"/>
        <v>1358</v>
      </c>
      <c r="CW215" s="20" t="s">
        <v>122</v>
      </c>
      <c r="CX215" s="20" t="s">
        <v>122</v>
      </c>
      <c r="CY215" s="20" t="s">
        <v>122</v>
      </c>
      <c r="CZ215" s="20" t="s">
        <v>122</v>
      </c>
      <c r="DA215" s="20" t="s">
        <v>122</v>
      </c>
      <c r="DB215" s="503">
        <f t="shared" si="507"/>
        <v>0</v>
      </c>
      <c r="DC215" s="127">
        <v>0</v>
      </c>
      <c r="DD215" s="127">
        <v>0</v>
      </c>
      <c r="DE215" s="127">
        <v>0</v>
      </c>
      <c r="DF215" s="127">
        <v>0</v>
      </c>
      <c r="DG215" s="127">
        <v>0</v>
      </c>
      <c r="DH215" s="127">
        <v>0</v>
      </c>
      <c r="DI215" s="127">
        <v>0</v>
      </c>
      <c r="DJ215" s="127">
        <v>0</v>
      </c>
      <c r="DK215" s="127">
        <v>0</v>
      </c>
      <c r="DL215" s="127">
        <v>0</v>
      </c>
      <c r="DM215" s="304">
        <f>INDEX(Input!$1:$1048576,DM$93,$C215*2+6)</f>
        <v>20731.578947368424</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2.8026255052851556E-2</v>
      </c>
      <c r="DZ215" s="7">
        <v>0</v>
      </c>
      <c r="EA215" s="7">
        <v>0.57113602796955332</v>
      </c>
      <c r="EB215" s="7">
        <v>0</v>
      </c>
      <c r="EC215" s="7">
        <v>0</v>
      </c>
      <c r="ED215" s="7">
        <v>0</v>
      </c>
      <c r="EE215" s="7">
        <v>0</v>
      </c>
      <c r="EF215" s="7">
        <v>0</v>
      </c>
      <c r="EG215" s="7">
        <v>0</v>
      </c>
      <c r="EH215" s="7">
        <v>1.6196126016705076E-2</v>
      </c>
      <c r="EI215" s="7">
        <v>2.64519858915825E-2</v>
      </c>
      <c r="EJ215" s="7">
        <v>0.26572679049778353</v>
      </c>
      <c r="EK215" s="7">
        <v>0.64367079479755762</v>
      </c>
      <c r="EL215" s="7">
        <v>4.7954302796371667E-2</v>
      </c>
      <c r="EM215" s="7">
        <v>4.2406901318762631E-2</v>
      </c>
      <c r="EN215" s="7">
        <v>4.973188539375021E-2</v>
      </c>
      <c r="EO215" s="7">
        <v>0.56166293765924036</v>
      </c>
      <c r="EP215" s="7">
        <v>0.2860104364633354</v>
      </c>
      <c r="EQ215" s="7">
        <v>6.3878483827694177E-2</v>
      </c>
      <c r="ER215" s="7">
        <v>3.8716256655979761E-2</v>
      </c>
      <c r="ES215" s="7">
        <v>0.35843081565883245</v>
      </c>
      <c r="ET215" s="7">
        <v>0.40083771697759513</v>
      </c>
      <c r="EU215" s="6">
        <v>1600</v>
      </c>
      <c r="EV215" s="6">
        <v>0</v>
      </c>
      <c r="EW215" s="6">
        <v>1600</v>
      </c>
      <c r="EX215" s="6">
        <v>0</v>
      </c>
      <c r="EY215" s="6">
        <v>3126.8119874558852</v>
      </c>
      <c r="EZ215" s="6">
        <v>2111</v>
      </c>
      <c r="FA215" s="6">
        <v>0</v>
      </c>
      <c r="FB215" s="6">
        <v>0</v>
      </c>
      <c r="FC215" s="6">
        <v>0</v>
      </c>
      <c r="FD215" s="6">
        <v>0</v>
      </c>
      <c r="FE215" s="6">
        <v>0</v>
      </c>
      <c r="FF215" s="6">
        <v>0</v>
      </c>
      <c r="FG215" s="6">
        <v>0</v>
      </c>
      <c r="FH215" s="6">
        <v>1154.7811409461583</v>
      </c>
      <c r="FI215" s="6">
        <v>1531.4299904380623</v>
      </c>
      <c r="FJ215" s="6">
        <v>2070.7205842538215</v>
      </c>
      <c r="FK215" s="6">
        <v>1746.9903521590436</v>
      </c>
      <c r="FL215" s="6">
        <v>893.91433563489386</v>
      </c>
      <c r="FM215" s="6">
        <v>1776.8119874558852</v>
      </c>
      <c r="FN215" s="6">
        <v>0</v>
      </c>
      <c r="FO215" s="6">
        <v>0</v>
      </c>
      <c r="FP215" s="6">
        <v>0</v>
      </c>
      <c r="FQ215" s="6">
        <v>0</v>
      </c>
      <c r="FR215" s="6">
        <v>0</v>
      </c>
      <c r="FS215" s="6">
        <v>0</v>
      </c>
      <c r="FT215" s="7">
        <v>0.59916228302240482</v>
      </c>
      <c r="FU215" s="7">
        <v>4.2406901318762631E-2</v>
      </c>
      <c r="FV215" s="7">
        <v>0.35843081565883245</v>
      </c>
      <c r="FW215" s="6">
        <v>1600.0000000000002</v>
      </c>
      <c r="FX215" s="6">
        <v>3126.8119874558852</v>
      </c>
      <c r="FY215" s="6">
        <v>2111</v>
      </c>
      <c r="FZ215" s="6">
        <v>2594.6978186474794</v>
      </c>
      <c r="GA215" s="6">
        <v>1847.9055120860089</v>
      </c>
      <c r="GB215" s="6">
        <v>17847.09448791399</v>
      </c>
      <c r="GC215" s="7">
        <v>9.6947029492584935E-2</v>
      </c>
      <c r="GD215" s="7">
        <v>8.93423748887439E-2</v>
      </c>
      <c r="GE215" s="7"/>
      <c r="GF215" s="7"/>
      <c r="GG215" s="7">
        <v>-7.8441336920206328E-2</v>
      </c>
      <c r="GH215" s="42">
        <v>2.068717255212241</v>
      </c>
      <c r="GI215" s="6">
        <v>11368.297895519472</v>
      </c>
      <c r="GJ215" s="14">
        <v>0.51074630601039528</v>
      </c>
      <c r="GK215" s="14">
        <v>0.50829519786160948</v>
      </c>
      <c r="GL215" s="14">
        <v>0.48925369398960411</v>
      </c>
      <c r="GM215" s="14">
        <v>0.49170480213839007</v>
      </c>
      <c r="GO215" s="5">
        <v>338.16872463277008</v>
      </c>
      <c r="GP215" s="5">
        <v>307.64377699166363</v>
      </c>
      <c r="GQ215" s="5">
        <v>527.27910984145694</v>
      </c>
      <c r="GR215" s="5">
        <v>404.20319246551543</v>
      </c>
      <c r="GS215" s="5">
        <v>334.50205195691484</v>
      </c>
      <c r="GT215" s="5">
        <v>289.18266033348181</v>
      </c>
      <c r="GU215" s="5">
        <v>254.29573314828914</v>
      </c>
      <c r="GV215" s="39" t="s">
        <v>392</v>
      </c>
      <c r="GW215" s="5">
        <v>454.875</v>
      </c>
      <c r="GX215" s="5">
        <v>341.15625</v>
      </c>
      <c r="GY215" s="5">
        <v>272.92500000000001</v>
      </c>
      <c r="GZ215" s="5">
        <v>240.82751152063875</v>
      </c>
      <c r="HA215" s="5">
        <v>223.08053899211663</v>
      </c>
      <c r="HB215" s="39">
        <v>254.62626489469474</v>
      </c>
      <c r="HC215" s="5">
        <v>190.75937499999998</v>
      </c>
      <c r="HD215" s="5">
        <v>173.28879751461983</v>
      </c>
      <c r="HE215" s="5">
        <v>178.94016109986501</v>
      </c>
      <c r="HF215" s="5">
        <v>168.88629934210525</v>
      </c>
      <c r="HG215" s="5">
        <v>167.11410087719298</v>
      </c>
      <c r="HH215" s="39">
        <v>175.2537051894125</v>
      </c>
      <c r="HI215" s="16"/>
      <c r="HJ215" s="19" t="str">
        <f t="shared" si="778"/>
        <v>On</v>
      </c>
      <c r="HK215" s="1" t="str">
        <f t="shared" si="778"/>
        <v>On</v>
      </c>
      <c r="HL215" s="16"/>
      <c r="HM215" s="639">
        <f t="shared" si="727"/>
        <v>5.0961701597560354E-2</v>
      </c>
      <c r="HN215" s="639">
        <f t="shared" si="728"/>
        <v>3.112551654761847E-3</v>
      </c>
      <c r="HO215" s="639">
        <f t="shared" si="729"/>
        <v>3.1163314184693442E-2</v>
      </c>
      <c r="HP215" s="644">
        <f>(FT215*$GD215-HM215)/$JF215*INDEX(Input!$1:$1048576,$JG$93,$C215*2+6)</f>
        <v>48.250748368989854</v>
      </c>
      <c r="HQ215" s="644">
        <f>(FU215*$GD215-HN215)/$JF215*INDEX(Input!$1:$1048576,$JG$93,$C215*2+6)</f>
        <v>12.700582704769072</v>
      </c>
      <c r="HR215" s="644">
        <f>(FV215*$GD215-HO215)/$JF215*INDEX(Input!$1:$1048576,$JG$93,$C215*2+6)</f>
        <v>16.148437582508798</v>
      </c>
      <c r="HS215" s="644">
        <f t="shared" si="779"/>
        <v>-8.6654235600626741</v>
      </c>
      <c r="HT215" s="644">
        <f t="shared" si="731"/>
        <v>76.854300640099183</v>
      </c>
      <c r="HU215" s="644">
        <f t="shared" si="732"/>
        <v>30.340316435924542</v>
      </c>
      <c r="HV215" s="648">
        <f t="shared" si="733"/>
        <v>0</v>
      </c>
      <c r="HW215" s="648">
        <f t="shared" si="734"/>
        <v>0</v>
      </c>
      <c r="HX215" s="648">
        <f t="shared" si="735"/>
        <v>0</v>
      </c>
      <c r="HY215" s="644">
        <f>INDEX(Input!$1:$1048576,HY$93,$C215*2+6)*INDEX(Input!$1:$1048576,$JG$93,$C215*2+6)</f>
        <v>555</v>
      </c>
      <c r="HZ215" s="644">
        <f>INDEX(Input!$1:$1048576,HZ$93,$C215*2+6)*INDEX(Input!$1:$1048576,$JG$93,$C215*2+6)</f>
        <v>480</v>
      </c>
      <c r="IA215" s="644">
        <f>INDEX(Input!$1:$1048576,IA$93,$C215*2+6)*INDEX(Input!$1:$1048576,$JG$93,$C215*2+6)</f>
        <v>566</v>
      </c>
      <c r="IB215" s="644">
        <f t="shared" si="759"/>
        <v>594.58532480892723</v>
      </c>
      <c r="IC215" s="644">
        <f t="shared" si="760"/>
        <v>569.55488334486824</v>
      </c>
      <c r="ID215" s="644">
        <f>IF(AND(INDEX(Input!$1:$1048576,IA$93,$C215*2+7)="TOS",Y215&lt;=INDEX(Y:Y,MATCH(C215*1000+2,A:A))),0,1)*MAX(IA215+HR215+HU215+HX215,0%)</f>
        <v>612.48875401843338</v>
      </c>
      <c r="IE215" s="128">
        <f t="shared" ref="IE215" si="807">IB215/SUM($IB215:$ID215)</f>
        <v>0.33467051222780153</v>
      </c>
      <c r="IF215" s="128">
        <f t="shared" si="736"/>
        <v>0.32058178464483167</v>
      </c>
      <c r="IG215" s="128">
        <f t="shared" si="737"/>
        <v>0.34474770312736686</v>
      </c>
      <c r="IH215" s="21"/>
      <c r="II215" s="19">
        <f t="shared" si="738"/>
        <v>1200</v>
      </c>
      <c r="IJ215" s="19">
        <f t="shared" si="739"/>
        <v>2226.7968732767699</v>
      </c>
      <c r="IK215" s="19">
        <f t="shared" si="740"/>
        <v>1786</v>
      </c>
      <c r="IL215" s="19">
        <f t="shared" si="762"/>
        <v>400.00000000000023</v>
      </c>
      <c r="IM215" s="19">
        <f t="shared" si="741"/>
        <v>900.01511417911524</v>
      </c>
      <c r="IN215" s="19">
        <f t="shared" si="742"/>
        <v>325</v>
      </c>
      <c r="IO215" s="39">
        <f t="shared" si="743"/>
        <v>0</v>
      </c>
      <c r="IP215" s="39">
        <f t="shared" si="744"/>
        <v>0</v>
      </c>
      <c r="IQ215" s="39">
        <f t="shared" si="745"/>
        <v>0</v>
      </c>
      <c r="IR215" s="39">
        <v>0</v>
      </c>
      <c r="IS215" s="39">
        <v>0</v>
      </c>
      <c r="IT215" s="39">
        <v>0</v>
      </c>
      <c r="IU215" s="39">
        <v>0</v>
      </c>
      <c r="IV215" s="39">
        <v>0</v>
      </c>
      <c r="IW215" s="39">
        <v>0</v>
      </c>
      <c r="IX215" s="39">
        <f>INDEX(Input!$1:$1048576,IX$93,$C215*2+6)+INDEX(Input!$1:$1048576,IX$94,$C215*2+6)</f>
        <v>1600</v>
      </c>
      <c r="IY215" s="39">
        <f>INDEX(Input!$1:$1048576,IY$93,$C215*2+6)+INDEX(Input!$1:$1048576,IY$94,$C215*2+6)</f>
        <v>2503.5492916397525</v>
      </c>
      <c r="IZ215" s="39">
        <f>INDEX(Input!$1:$1048576,IZ$93,$C215*2+6)+INDEX(Input!$1:$1048576,IZ$94,$C215*2+6)</f>
        <v>5773.7109265464023</v>
      </c>
      <c r="JA215" s="19">
        <f t="shared" si="763"/>
        <v>2000.0000000000002</v>
      </c>
      <c r="JB215" s="19">
        <f t="shared" si="764"/>
        <v>3403.5644058188677</v>
      </c>
      <c r="JC215" s="19">
        <f t="shared" si="765"/>
        <v>6098.7109265464023</v>
      </c>
      <c r="JD215" s="19">
        <f t="shared" si="766"/>
        <v>3862.9783597912892</v>
      </c>
      <c r="JE215" s="21"/>
      <c r="JF215" s="1">
        <f t="shared" si="746"/>
        <v>8.5237567437015646E-2</v>
      </c>
      <c r="JG215" s="15">
        <f>INDEX(Input!$1:$1048576,JG$93,$C215*2+6)/(1+VLOOKUP(C215*1000+INDEX(Input!$1:$1048576,JG$93+1,$C215*2+6),$A:$KK,$JK$92,FALSE))</f>
        <v>1601</v>
      </c>
      <c r="JH215" s="1">
        <f t="shared" si="767"/>
        <v>4.8157257124464531E-2</v>
      </c>
      <c r="JI215" s="1">
        <f t="shared" si="768"/>
        <v>6.1542282021212404E-2</v>
      </c>
      <c r="JJ215" s="1">
        <f t="shared" si="804"/>
        <v>0</v>
      </c>
      <c r="JK215" s="1">
        <f t="shared" ref="JK215:JK218" si="808">SUM(JH215:JJ215)</f>
        <v>0.10969953914567693</v>
      </c>
      <c r="JL215" s="15">
        <f t="shared" si="771"/>
        <v>175.62896217222877</v>
      </c>
      <c r="JM215" s="15">
        <f t="shared" si="795"/>
        <v>1776.6289621722287</v>
      </c>
      <c r="JN215" s="21"/>
      <c r="JO215" s="19">
        <f>INDEX(Input!$1:$1048576,JO$93,$C215*2+6)</f>
        <v>5908.5</v>
      </c>
      <c r="JP215" s="19">
        <f>INDEX(Input!$1:$1048576,JP$93,$C215*2+6)</f>
        <v>3346.4235130620518</v>
      </c>
      <c r="JQ215" s="39">
        <f t="shared" si="781"/>
        <v>2045.5216402087108</v>
      </c>
      <c r="JR215" s="39">
        <f t="shared" si="798"/>
        <v>516.5548467292374</v>
      </c>
      <c r="JS215" s="39">
        <f t="shared" si="783"/>
        <v>6.863079234249776</v>
      </c>
      <c r="JT215" s="39">
        <f t="shared" si="773"/>
        <v>1.5054551898374315</v>
      </c>
      <c r="JU215" s="385">
        <f>(JQ215*JM215-INDEX(Input!$1:$1048576,Input!A$18,$C215*2+6)*JL215*INDEX(Input!$1:$1048576,Input!A$19,$C215*2+6))/1000000</f>
        <v>3.6341329887448368</v>
      </c>
      <c r="JV215" s="39">
        <f t="shared" si="805"/>
        <v>-0.46775146684281799</v>
      </c>
      <c r="JW215" s="1">
        <f t="shared" si="796"/>
        <v>-0.11403331125176849</v>
      </c>
      <c r="JX215" s="19">
        <f t="shared" si="787"/>
        <v>8571.7934628636158</v>
      </c>
      <c r="JZ215" s="341"/>
      <c r="KA215" s="342"/>
      <c r="KB215" s="469">
        <f t="shared" si="784"/>
        <v>2.4482969984810516</v>
      </c>
      <c r="KI215" s="473">
        <f t="shared" ref="KI215" si="809">$JM215*IE215-$JG215*HY215/SUM($HY215:$IA215)</f>
        <v>39.585324808927226</v>
      </c>
      <c r="KJ215" s="473">
        <f t="shared" si="774"/>
        <v>89.554883344868244</v>
      </c>
      <c r="KK215" s="473">
        <f t="shared" si="775"/>
        <v>46.488754018433383</v>
      </c>
      <c r="KN215" s="544">
        <f t="shared" si="788"/>
        <v>2002</v>
      </c>
      <c r="KO215" s="541">
        <f t="shared" si="750"/>
        <v>2.828524861179571E-2</v>
      </c>
      <c r="KP215" s="546">
        <f t="shared" si="751"/>
        <v>160.29165105114248</v>
      </c>
      <c r="KQ215" s="546">
        <f t="shared" si="752"/>
        <v>137.3747848347507</v>
      </c>
      <c r="KR215" s="548">
        <f t="shared" si="753"/>
        <v>2.8179780113348363</v>
      </c>
      <c r="KS215" s="548">
        <f t="shared" si="754"/>
        <v>3.2880731977562534</v>
      </c>
      <c r="KT215" s="473">
        <f t="shared" si="786"/>
        <v>528.59039248727379</v>
      </c>
      <c r="KU215" s="663">
        <f t="shared" si="776"/>
        <v>12.037685507388581</v>
      </c>
      <c r="KV215" s="117" t="e">
        <f t="shared" si="806"/>
        <v>#N/A</v>
      </c>
    </row>
    <row r="216" spans="1:308" s="26" customFormat="1" ht="15">
      <c r="A216" s="561">
        <f t="shared" si="755"/>
        <v>2016</v>
      </c>
      <c r="B216" s="561">
        <f t="shared" si="777"/>
        <v>16</v>
      </c>
      <c r="C216" s="561">
        <f t="shared" si="105"/>
        <v>2</v>
      </c>
      <c r="D216" s="561" t="str">
        <f t="shared" si="797"/>
        <v xml:space="preserve">-360 Lease, </v>
      </c>
      <c r="E216" s="115">
        <f>INDEX(Input!$1:$1048576,E$93,$C216*2+MIN($B216,2)+5)</f>
        <v>1250</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1.9E-2</v>
      </c>
      <c r="W216" s="862">
        <f>INDEX(Input!$1:$1048576,W$93,$C216*2+MIN($B216,2)+5)</f>
        <v>3.9E-2</v>
      </c>
      <c r="X216" s="118" t="str">
        <f>INDEX(Input!$1:$1048576,X$93,$C216*2+MIN($B216,2)+5)</f>
        <v>Y</v>
      </c>
      <c r="Y216" s="475">
        <f>INDEX(Input!$1:$1048576,Y$93,$C216*2+MIN($B216,2)+5)-360</f>
        <v>998</v>
      </c>
      <c r="Z216" s="30">
        <f>INDEX(Input!$1:$1048576,Z$93,$C216*2+MIN($B216,2)+5)</f>
        <v>0</v>
      </c>
      <c r="AA216" s="115">
        <f>INDEX(Input!$1:$1048576,AA$93,$C216*2+MIN($B216,2)+5)</f>
        <v>0</v>
      </c>
      <c r="AB216" s="118">
        <f>INDEX(Input!$1:$1048576,AB$93,$C216*2+MIN($B216,2)+5)</f>
        <v>1</v>
      </c>
      <c r="AC216" s="115">
        <f>INDEX(Input!$1:$1048576,AC$93,$C216*2+MIN($B216,2)+5)</f>
        <v>0</v>
      </c>
      <c r="AD216" s="118">
        <f>INDEX(Input!$1:$1048576,AD$93,$C216*2+MIN($B216,2)+5)</f>
        <v>0.35</v>
      </c>
      <c r="AE216" s="115">
        <f>INDEX(Input!$1:$1048576,AE$93,$C216*2+MIN($B216,2)+5)</f>
        <v>0</v>
      </c>
      <c r="AF216" s="118">
        <f>INDEX(Input!$1:$1048576,AF$93,$C216*2+MIN($B216,2)+5)</f>
        <v>1</v>
      </c>
      <c r="AG216" s="115">
        <f>INDEX(Input!$1:$1048576,AG$93,$C216*2+MIN($B216,2)+5)</f>
        <v>0</v>
      </c>
      <c r="AH216" s="118">
        <f>INDEX(Input!$1:$1048576,AH$93,$C216*2+MIN($B216,2)+5)</f>
        <v>1</v>
      </c>
      <c r="AI216" s="115">
        <f>INDEX(Input!$1:$1048576,AI$93,$C216*2+MIN($B216,2)+5)</f>
        <v>0</v>
      </c>
      <c r="AJ216" s="118">
        <f>INDEX(Input!$1:$1048576,AJ$93,$C216*2+MIN($B216,2)+5)</f>
        <v>0.35</v>
      </c>
      <c r="AK216" s="150">
        <f>ROUND(INDEX(Input!$1:$1048576,AK$93,$C215*2+MIN($B216,1)+5)+(Y216-VLOOKUP($C216*1000+1,$A:$HH,Y$92,FALSE)),0)</f>
        <v>4622</v>
      </c>
      <c r="AL216" s="150">
        <f>ROUND(INDEX(Input!$1:$1048576,AL$93,$C215*2+MIN($B216,1)+5)-(Y216-VLOOKUP($C216*1000+1,$A:$HH,Y$92,FALSE))/36,0)</f>
        <v>5112</v>
      </c>
      <c r="AM216" s="32" t="str">
        <f t="shared" si="756"/>
        <v>std/std/std/std</v>
      </c>
      <c r="AN216" s="32" t="str">
        <f t="shared" si="757"/>
        <v>$0 + 0/0/0/1.9/3.9</v>
      </c>
      <c r="AO216" s="32" t="str">
        <f t="shared" si="758"/>
        <v>0/0/0/1.9/3.9</v>
      </c>
      <c r="AP216" s="32" t="str">
        <f t="shared" si="493"/>
        <v>0/0.9/1.9/3.9</v>
      </c>
      <c r="AQ216" s="536">
        <f t="shared" si="492"/>
        <v>0.36993171978217393</v>
      </c>
      <c r="AR216" s="32"/>
      <c r="AS216" s="302"/>
      <c r="AT216" s="3">
        <f t="shared" ref="AT216:AT279" si="810">AT215+1</f>
        <v>16</v>
      </c>
      <c r="AU216" s="41" t="s">
        <v>121</v>
      </c>
      <c r="AV216" s="41" t="s">
        <v>116</v>
      </c>
      <c r="AW216" s="41" t="str">
        <f>INDEX(Input!$1:$1048576,AW$93,$C216*2+6)</f>
        <v>Kia</v>
      </c>
      <c r="AX216" s="41" t="str">
        <f>INDEX(Input!$1:$1048576,AX$93,$C216*2+6)</f>
        <v>Kia-LR - L2</v>
      </c>
      <c r="AY216" s="41" t="str">
        <f>IF(LEN(D216)=0,"",INDEX(Input!$1:$1048576,AY$93,$C216*2+6))</f>
        <v>Compact Conventional/Sporty Car (43)</v>
      </c>
      <c r="AZ216" s="41" t="str">
        <f>INDEX(Input!$1:$1048576,AZ$93,$C216*2+6)</f>
        <v>Kia Forte</v>
      </c>
      <c r="BA216" s="3">
        <f>INDEX(Input!$1:$1048576,BA$93,$C216*2+6)</f>
        <v>2020</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19695</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94"/>
        <v>1250</v>
      </c>
      <c r="CJ216" s="16" t="str">
        <f>INDEX(Input!$1:$1048576,CJ$93,$C216*2+6)</f>
        <v>N</v>
      </c>
      <c r="CK216" s="1" t="str">
        <f t="shared" si="495"/>
        <v>Market</v>
      </c>
      <c r="CL216" s="1" t="str">
        <f t="shared" si="496"/>
        <v>Market</v>
      </c>
      <c r="CM216" s="1" t="str">
        <f t="shared" si="497"/>
        <v>Market</v>
      </c>
      <c r="CN216" s="1" t="str">
        <f t="shared" si="498"/>
        <v>Market</v>
      </c>
      <c r="CO216" s="1" t="str">
        <f t="shared" si="499"/>
        <v>Market</v>
      </c>
      <c r="CP216" s="304">
        <f t="shared" si="500"/>
        <v>0</v>
      </c>
      <c r="CQ216" s="1">
        <f t="shared" si="501"/>
        <v>0</v>
      </c>
      <c r="CR216" s="1">
        <f t="shared" si="502"/>
        <v>0</v>
      </c>
      <c r="CS216" s="1">
        <f t="shared" si="503"/>
        <v>0</v>
      </c>
      <c r="CT216" s="1">
        <f t="shared" si="504"/>
        <v>1.9E-2</v>
      </c>
      <c r="CU216" s="1">
        <f t="shared" si="505"/>
        <v>3.9E-2</v>
      </c>
      <c r="CV216" s="304">
        <f t="shared" si="506"/>
        <v>998</v>
      </c>
      <c r="CW216" s="20" t="s">
        <v>122</v>
      </c>
      <c r="CX216" s="20" t="s">
        <v>122</v>
      </c>
      <c r="CY216" s="20" t="s">
        <v>122</v>
      </c>
      <c r="CZ216" s="20" t="s">
        <v>122</v>
      </c>
      <c r="DA216" s="20" t="s">
        <v>122</v>
      </c>
      <c r="DB216" s="503">
        <f t="shared" si="507"/>
        <v>0</v>
      </c>
      <c r="DC216" s="127">
        <v>0</v>
      </c>
      <c r="DD216" s="127">
        <v>0</v>
      </c>
      <c r="DE216" s="127">
        <v>0</v>
      </c>
      <c r="DF216" s="127">
        <v>0</v>
      </c>
      <c r="DG216" s="127">
        <v>0</v>
      </c>
      <c r="DH216" s="127">
        <v>0</v>
      </c>
      <c r="DI216" s="127">
        <v>0</v>
      </c>
      <c r="DJ216" s="127">
        <v>0</v>
      </c>
      <c r="DK216" s="127">
        <v>0</v>
      </c>
      <c r="DL216" s="127">
        <v>0</v>
      </c>
      <c r="DM216" s="304">
        <f>INDEX(Input!$1:$1048576,DM$93,$C216*2+6)</f>
        <v>20731.578947368424</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2.9190810831282742E-2</v>
      </c>
      <c r="DZ216" s="7">
        <v>0</v>
      </c>
      <c r="EA216" s="7">
        <v>0.59531276595132765</v>
      </c>
      <c r="EB216" s="7">
        <v>0</v>
      </c>
      <c r="EC216" s="7">
        <v>0</v>
      </c>
      <c r="ED216" s="7">
        <v>0</v>
      </c>
      <c r="EE216" s="7">
        <v>0</v>
      </c>
      <c r="EF216" s="7">
        <v>0</v>
      </c>
      <c r="EG216" s="7">
        <v>0</v>
      </c>
      <c r="EH216" s="7">
        <v>1.6202411998498124E-2</v>
      </c>
      <c r="EI216" s="7">
        <v>2.6467142462114093E-2</v>
      </c>
      <c r="EJ216" s="7">
        <v>0.26579028713027086</v>
      </c>
      <c r="EK216" s="7">
        <v>0.64358732782075689</v>
      </c>
      <c r="EL216" s="7">
        <v>4.7952830588360133E-2</v>
      </c>
      <c r="EM216" s="7">
        <v>3.815760933790547E-2</v>
      </c>
      <c r="EN216" s="7">
        <v>4.8903617608556195E-2</v>
      </c>
      <c r="EO216" s="7">
        <v>0.56265976144447205</v>
      </c>
      <c r="EP216" s="7">
        <v>0.28431446543615307</v>
      </c>
      <c r="EQ216" s="7">
        <v>6.4865935934886765E-2</v>
      </c>
      <c r="ER216" s="7">
        <v>3.9256219575931971E-2</v>
      </c>
      <c r="ES216" s="7">
        <v>0.33733881387948395</v>
      </c>
      <c r="ET216" s="7">
        <v>0.37549642321738963</v>
      </c>
      <c r="EU216" s="6">
        <v>1600</v>
      </c>
      <c r="EV216" s="6">
        <v>0</v>
      </c>
      <c r="EW216" s="6">
        <v>1600</v>
      </c>
      <c r="EX216" s="6">
        <v>0</v>
      </c>
      <c r="EY216" s="6">
        <v>2626.8268027874074</v>
      </c>
      <c r="EZ216" s="6">
        <v>1751</v>
      </c>
      <c r="FA216" s="6">
        <v>0</v>
      </c>
      <c r="FB216" s="6">
        <v>0</v>
      </c>
      <c r="FC216" s="6">
        <v>0</v>
      </c>
      <c r="FD216" s="6">
        <v>0</v>
      </c>
      <c r="FE216" s="6">
        <v>0</v>
      </c>
      <c r="FF216" s="6">
        <v>0</v>
      </c>
      <c r="FG216" s="6">
        <v>0</v>
      </c>
      <c r="FH216" s="6">
        <v>1154.7807347566129</v>
      </c>
      <c r="FI216" s="6">
        <v>1531.4299904380616</v>
      </c>
      <c r="FJ216" s="6">
        <v>2070.7205842538228</v>
      </c>
      <c r="FK216" s="6">
        <v>1746.9903521590431</v>
      </c>
      <c r="FL216" s="6">
        <v>893.91433563489329</v>
      </c>
      <c r="FM216" s="6">
        <v>1776.8268027874071</v>
      </c>
      <c r="FN216" s="6">
        <v>0</v>
      </c>
      <c r="FO216" s="6">
        <v>0</v>
      </c>
      <c r="FP216" s="6">
        <v>0</v>
      </c>
      <c r="FQ216" s="6">
        <v>0</v>
      </c>
      <c r="FR216" s="6">
        <v>0</v>
      </c>
      <c r="FS216" s="6">
        <v>0</v>
      </c>
      <c r="FT216" s="7">
        <v>0.62450357678261037</v>
      </c>
      <c r="FU216" s="7">
        <v>3.815760933790547E-2</v>
      </c>
      <c r="FV216" s="7">
        <v>0.33733881387948395</v>
      </c>
      <c r="FW216" s="6">
        <v>1600.0000000000002</v>
      </c>
      <c r="FX216" s="6">
        <v>2626.8268027874074</v>
      </c>
      <c r="FY216" s="6">
        <v>1751</v>
      </c>
      <c r="FZ216" s="6">
        <v>2594.6978186474794</v>
      </c>
      <c r="GA216" s="6">
        <v>1690.1194168942543</v>
      </c>
      <c r="GB216" s="6">
        <v>18004.880583105747</v>
      </c>
      <c r="GC216" s="7">
        <v>9.6947029492584935E-2</v>
      </c>
      <c r="GD216" s="7">
        <v>8.7827561221887854E-2</v>
      </c>
      <c r="GE216" s="7"/>
      <c r="GF216" s="7"/>
      <c r="GG216" s="7">
        <v>-9.4066505373375991E-2</v>
      </c>
      <c r="GH216" s="42">
        <v>2.0480699293039857</v>
      </c>
      <c r="GI216" s="6">
        <v>11306.490283045843</v>
      </c>
      <c r="GJ216" s="14">
        <v>0.51074630601039539</v>
      </c>
      <c r="GK216" s="14">
        <v>0.5082951978616097</v>
      </c>
      <c r="GL216" s="14">
        <v>0.48925369398960439</v>
      </c>
      <c r="GM216" s="14">
        <v>0.49170480213839024</v>
      </c>
      <c r="GO216" s="5">
        <v>338.16872463277008</v>
      </c>
      <c r="GP216" s="5">
        <v>307.64377699166363</v>
      </c>
      <c r="GQ216" s="5">
        <v>527.27910984145694</v>
      </c>
      <c r="GR216" s="5">
        <v>404.20319246551543</v>
      </c>
      <c r="GS216" s="5">
        <v>334.50205195691484</v>
      </c>
      <c r="GT216" s="5">
        <v>289.18266033348181</v>
      </c>
      <c r="GU216" s="5">
        <v>254.29573314828914</v>
      </c>
      <c r="GV216" s="39" t="s">
        <v>392</v>
      </c>
      <c r="GW216" s="5">
        <v>468.76388888888891</v>
      </c>
      <c r="GX216" s="5">
        <v>351.57291666666669</v>
      </c>
      <c r="GY216" s="5">
        <v>281.25833333333333</v>
      </c>
      <c r="GZ216" s="5">
        <v>248.18079879493993</v>
      </c>
      <c r="HA216" s="5">
        <v>229.89195052129486</v>
      </c>
      <c r="HB216" s="39">
        <v>262.40595617331331</v>
      </c>
      <c r="HC216" s="5">
        <v>206.50937499999998</v>
      </c>
      <c r="HD216" s="5">
        <v>184.03879751461983</v>
      </c>
      <c r="HE216" s="5">
        <v>188.92093033063426</v>
      </c>
      <c r="HF216" s="5">
        <v>177.21129934210524</v>
      </c>
      <c r="HG216" s="5">
        <v>174.01410087719296</v>
      </c>
      <c r="HH216" s="39">
        <v>185.68934727374693</v>
      </c>
      <c r="HI216" s="16"/>
      <c r="HJ216" s="19" t="str">
        <f t="shared" si="778"/>
        <v>On</v>
      </c>
      <c r="HK216" s="1" t="str">
        <f t="shared" si="778"/>
        <v>On</v>
      </c>
      <c r="HL216" s="16"/>
      <c r="HM216" s="639">
        <f t="shared" si="727"/>
        <v>5.0961701597560354E-2</v>
      </c>
      <c r="HN216" s="639">
        <f t="shared" si="728"/>
        <v>3.112551654761847E-3</v>
      </c>
      <c r="HO216" s="639">
        <f t="shared" si="729"/>
        <v>3.1163314184693442E-2</v>
      </c>
      <c r="HP216" s="644">
        <f>(FT216*$GD216-HM216)/$JF216*INDEX(Input!$1:$1048576,$JG$93,$C216*2+6)</f>
        <v>73.00731769577537</v>
      </c>
      <c r="HQ216" s="644">
        <f>(FU216*$GD216-HN216)/$JF216*INDEX(Input!$1:$1048576,$JG$93,$C216*2+6)</f>
        <v>4.4841697659680042</v>
      </c>
      <c r="HR216" s="644">
        <f>(FV216*$GD216-HO216)/$JF216*INDEX(Input!$1:$1048576,$JG$93,$C216*2+6)</f>
        <v>-28.844157718970109</v>
      </c>
      <c r="HS216" s="644">
        <f t="shared" si="779"/>
        <v>-8.3250967965611089</v>
      </c>
      <c r="HT216" s="644">
        <f t="shared" si="731"/>
        <v>31.570340178475355</v>
      </c>
      <c r="HU216" s="644">
        <f t="shared" si="732"/>
        <v>2.2333697495824234</v>
      </c>
      <c r="HV216" s="648">
        <f t="shared" si="733"/>
        <v>0</v>
      </c>
      <c r="HW216" s="648">
        <f t="shared" si="734"/>
        <v>0</v>
      </c>
      <c r="HX216" s="648">
        <f t="shared" si="735"/>
        <v>0</v>
      </c>
      <c r="HY216" s="644">
        <f>INDEX(Input!$1:$1048576,HY$93,$C216*2+6)*INDEX(Input!$1:$1048576,$JG$93,$C216*2+6)</f>
        <v>555</v>
      </c>
      <c r="HZ216" s="644">
        <f>INDEX(Input!$1:$1048576,HZ$93,$C216*2+6)*INDEX(Input!$1:$1048576,$JG$93,$C216*2+6)</f>
        <v>480</v>
      </c>
      <c r="IA216" s="644">
        <f>INDEX(Input!$1:$1048576,IA$93,$C216*2+6)*INDEX(Input!$1:$1048576,$JG$93,$C216*2+6)</f>
        <v>566</v>
      </c>
      <c r="IB216" s="644">
        <f t="shared" si="759"/>
        <v>619.68222089921437</v>
      </c>
      <c r="IC216" s="644">
        <f t="shared" si="760"/>
        <v>516.05450994444334</v>
      </c>
      <c r="ID216" s="644">
        <f>IF(AND(INDEX(Input!$1:$1048576,IA$93,$C216*2+7)="TOS",Y216&lt;=INDEX(Y:Y,MATCH(C216*1000+2,A:A))),0,1)*MAX(IA216+HR216+HU216+HX216,0%)</f>
        <v>539.38921203061227</v>
      </c>
      <c r="IE216" s="128">
        <f t="shared" ref="IE216:IE218" si="811">IB216/SUM($IB216:$ID216)</f>
        <v>0.36993171978217393</v>
      </c>
      <c r="IF216" s="128">
        <f t="shared" si="736"/>
        <v>0.30806908109784842</v>
      </c>
      <c r="IG216" s="128">
        <f t="shared" si="737"/>
        <v>0.3219991991199776</v>
      </c>
      <c r="IH216" s="21"/>
      <c r="II216" s="19">
        <f t="shared" si="738"/>
        <v>1200</v>
      </c>
      <c r="IJ216" s="19">
        <f t="shared" si="739"/>
        <v>2226.7968732767699</v>
      </c>
      <c r="IK216" s="19">
        <f t="shared" si="740"/>
        <v>1786</v>
      </c>
      <c r="IL216" s="19">
        <f t="shared" si="762"/>
        <v>400.00000000000023</v>
      </c>
      <c r="IM216" s="19">
        <f t="shared" si="741"/>
        <v>400.02992951063743</v>
      </c>
      <c r="IN216" s="19">
        <f t="shared" si="742"/>
        <v>-35</v>
      </c>
      <c r="IO216" s="39">
        <f t="shared" si="743"/>
        <v>0</v>
      </c>
      <c r="IP216" s="39">
        <f t="shared" si="744"/>
        <v>0</v>
      </c>
      <c r="IQ216" s="39">
        <f t="shared" si="745"/>
        <v>0</v>
      </c>
      <c r="IR216" s="39">
        <v>0</v>
      </c>
      <c r="IS216" s="39">
        <v>0</v>
      </c>
      <c r="IT216" s="39">
        <v>0</v>
      </c>
      <c r="IU216" s="39">
        <v>0</v>
      </c>
      <c r="IV216" s="39">
        <v>0</v>
      </c>
      <c r="IW216" s="39">
        <v>0</v>
      </c>
      <c r="IX216" s="39">
        <f>INDEX(Input!$1:$1048576,IX$93,$C216*2+6)+INDEX(Input!$1:$1048576,IX$94,$C216*2+6)</f>
        <v>1600</v>
      </c>
      <c r="IY216" s="39">
        <f>INDEX(Input!$1:$1048576,IY$93,$C216*2+6)+INDEX(Input!$1:$1048576,IY$94,$C216*2+6)</f>
        <v>2503.5492916397525</v>
      </c>
      <c r="IZ216" s="39">
        <f>INDEX(Input!$1:$1048576,IZ$93,$C216*2+6)+INDEX(Input!$1:$1048576,IZ$94,$C216*2+6)</f>
        <v>5773.7109265464023</v>
      </c>
      <c r="JA216" s="19">
        <f t="shared" si="763"/>
        <v>2000.0000000000002</v>
      </c>
      <c r="JB216" s="19">
        <f t="shared" si="764"/>
        <v>2903.5792211503899</v>
      </c>
      <c r="JC216" s="19">
        <f t="shared" si="765"/>
        <v>5738.7109265464023</v>
      </c>
      <c r="JD216" s="19">
        <f t="shared" si="766"/>
        <v>3482.2267444479612</v>
      </c>
      <c r="JE216" s="21"/>
      <c r="JF216" s="1">
        <f t="shared" si="746"/>
        <v>8.5237567437015646E-2</v>
      </c>
      <c r="JG216" s="15">
        <f>INDEX(Input!$1:$1048576,JG$93,$C216*2+6)/(1+VLOOKUP(C216*1000+INDEX(Input!$1:$1048576,JG$93+1,$C216*2+6),$A:$KK,$JK$92,FALSE))</f>
        <v>1601</v>
      </c>
      <c r="JH216" s="1">
        <f t="shared" si="767"/>
        <v>3.0385590095423652E-2</v>
      </c>
      <c r="JI216" s="1">
        <f t="shared" si="768"/>
        <v>1.5914186840410162E-2</v>
      </c>
      <c r="JJ216" s="1">
        <f t="shared" si="804"/>
        <v>0</v>
      </c>
      <c r="JK216" s="1">
        <f t="shared" si="808"/>
        <v>4.6299776935833814E-2</v>
      </c>
      <c r="JL216" s="15">
        <f t="shared" si="771"/>
        <v>74.125942874269938</v>
      </c>
      <c r="JM216" s="15">
        <f t="shared" si="795"/>
        <v>1675.1259428742699</v>
      </c>
      <c r="JN216" s="21"/>
      <c r="JO216" s="19">
        <f>INDEX(Input!$1:$1048576,JO$93,$C216*2+6)</f>
        <v>5908.5</v>
      </c>
      <c r="JP216" s="19">
        <f>INDEX(Input!$1:$1048576,JP$93,$C216*2+6)</f>
        <v>3346.4235130620518</v>
      </c>
      <c r="JQ216" s="39">
        <f t="shared" si="781"/>
        <v>2426.2732555520388</v>
      </c>
      <c r="JR216" s="39">
        <f t="shared" si="798"/>
        <v>135.80323138590938</v>
      </c>
      <c r="JS216" s="39">
        <f t="shared" si="783"/>
        <v>5.8331683585953895</v>
      </c>
      <c r="JT216" s="39">
        <f t="shared" si="773"/>
        <v>0.47554431418304516</v>
      </c>
      <c r="JU216" s="385">
        <f>(JQ216*JM216-INDEX(Input!$1:$1048576,Input!A$18,$C216*2+6)*JL216*INDEX(Input!$1:$1048576,Input!A$19,$C216*2+6))/1000000</f>
        <v>4.0643132748772333</v>
      </c>
      <c r="JV216" s="39">
        <f t="shared" si="805"/>
        <v>-3.7571180710421537E-2</v>
      </c>
      <c r="JW216" s="1">
        <f t="shared" si="796"/>
        <v>-9.159492695909913E-3</v>
      </c>
      <c r="JX216" s="19">
        <f t="shared" si="787"/>
        <v>6415.3560244036053</v>
      </c>
      <c r="JZ216" s="341"/>
      <c r="KA216" s="342"/>
      <c r="KB216" s="469">
        <f t="shared" si="784"/>
        <v>2.4482969984810516</v>
      </c>
      <c r="KI216" s="473">
        <f t="shared" ref="KI216:KI232" si="812">$JM216*IE216-$JG216*HY216/SUM($HY216:$IA216)</f>
        <v>64.682220899214258</v>
      </c>
      <c r="KJ216" s="473">
        <f t="shared" ref="KJ216:KJ232" si="813">$JM216*IF216-$JG216*HZ216/SUM($HY216:$IA216)</f>
        <v>36.054509944443225</v>
      </c>
      <c r="KK216" s="473">
        <f t="shared" si="775"/>
        <v>-26.610787969387729</v>
      </c>
      <c r="KN216" s="544">
        <f t="shared" si="788"/>
        <v>2002</v>
      </c>
      <c r="KO216" s="541">
        <f t="shared" si="750"/>
        <v>-3.0463122407685339E-2</v>
      </c>
      <c r="KP216" s="546">
        <f t="shared" si="751"/>
        <v>-115.91441842301764</v>
      </c>
      <c r="KQ216" s="546">
        <f t="shared" si="752"/>
        <v>-243.37683050857731</v>
      </c>
      <c r="KR216" s="548">
        <f t="shared" si="753"/>
        <v>4.19686942048574</v>
      </c>
      <c r="KS216" s="548">
        <f t="shared" si="754"/>
        <v>1.9988660262210405</v>
      </c>
      <c r="KT216" s="473">
        <f t="shared" si="786"/>
        <v>528.59039248727379</v>
      </c>
      <c r="KU216" s="663">
        <f t="shared" si="776"/>
        <v>12.267830446379396</v>
      </c>
      <c r="KV216" s="117" t="e">
        <f t="shared" si="806"/>
        <v>#N/A</v>
      </c>
    </row>
    <row r="217" spans="1:308" s="26" customFormat="1" ht="15">
      <c r="A217" s="561">
        <f t="shared" si="755"/>
        <v>2017</v>
      </c>
      <c r="B217" s="561">
        <f t="shared" si="777"/>
        <v>17</v>
      </c>
      <c r="C217" s="561">
        <f t="shared" si="105"/>
        <v>2</v>
      </c>
      <c r="D217" s="561" t="str">
        <f t="shared" si="797"/>
        <v xml:space="preserve">360 Lease, </v>
      </c>
      <c r="E217" s="115">
        <f>INDEX(Input!$1:$1048576,E$93,$C217*2+MIN($B217,2)+5)</f>
        <v>1250</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1.9E-2</v>
      </c>
      <c r="W217" s="862">
        <f>INDEX(Input!$1:$1048576,W$93,$C217*2+MIN($B217,2)+5)</f>
        <v>3.9E-2</v>
      </c>
      <c r="X217" s="118" t="str">
        <f>INDEX(Input!$1:$1048576,X$93,$C217*2+MIN($B217,2)+5)</f>
        <v>Y</v>
      </c>
      <c r="Y217" s="475">
        <f>INDEX(Input!$1:$1048576,Y$93,$C217*2+MIN($B217,2)+5)+360</f>
        <v>1718</v>
      </c>
      <c r="Z217" s="30">
        <f>INDEX(Input!$1:$1048576,Z$93,$C217*2+MIN($B217,2)+5)</f>
        <v>0</v>
      </c>
      <c r="AA217" s="115">
        <f>INDEX(Input!$1:$1048576,AA$93,$C217*2+MIN($B217,2)+5)</f>
        <v>0</v>
      </c>
      <c r="AB217" s="118">
        <f>INDEX(Input!$1:$1048576,AB$93,$C217*2+MIN($B217,2)+5)</f>
        <v>1</v>
      </c>
      <c r="AC217" s="115">
        <f>INDEX(Input!$1:$1048576,AC$93,$C217*2+MIN($B217,2)+5)</f>
        <v>0</v>
      </c>
      <c r="AD217" s="118">
        <f>INDEX(Input!$1:$1048576,AD$93,$C217*2+MIN($B217,2)+5)</f>
        <v>0.35</v>
      </c>
      <c r="AE217" s="115">
        <f>INDEX(Input!$1:$1048576,AE$93,$C217*2+MIN($B217,2)+5)</f>
        <v>0</v>
      </c>
      <c r="AF217" s="118">
        <f>INDEX(Input!$1:$1048576,AF$93,$C217*2+MIN($B217,2)+5)</f>
        <v>1</v>
      </c>
      <c r="AG217" s="115">
        <f>INDEX(Input!$1:$1048576,AG$93,$C217*2+MIN($B217,2)+5)</f>
        <v>0</v>
      </c>
      <c r="AH217" s="118">
        <f>INDEX(Input!$1:$1048576,AH$93,$C217*2+MIN($B217,2)+5)</f>
        <v>1</v>
      </c>
      <c r="AI217" s="115">
        <f>INDEX(Input!$1:$1048576,AI$93,$C217*2+MIN($B217,2)+5)</f>
        <v>0</v>
      </c>
      <c r="AJ217" s="118">
        <f>INDEX(Input!$1:$1048576,AJ$93,$C217*2+MIN($B217,2)+5)</f>
        <v>0.35</v>
      </c>
      <c r="AK217" s="150">
        <f>ROUND(INDEX(Input!$1:$1048576,AK$93,$C216*2+MIN($B217,1)+5)+(Y217-VLOOKUP($C217*1000+1,$A:$HH,Y$92,FALSE)),0)</f>
        <v>5342</v>
      </c>
      <c r="AL217" s="150">
        <f>ROUND(INDEX(Input!$1:$1048576,AL$93,$C216*2+MIN($B217,1)+5)-(Y217-VLOOKUP($C217*1000+1,$A:$HH,Y$92,FALSE))/36,0)</f>
        <v>5092</v>
      </c>
      <c r="AM217" s="32" t="str">
        <f t="shared" si="756"/>
        <v>std/std/std/std</v>
      </c>
      <c r="AN217" s="32" t="str">
        <f t="shared" si="757"/>
        <v>$0 + 0/0/0/1.9/3.9</v>
      </c>
      <c r="AO217" s="32" t="str">
        <f t="shared" si="758"/>
        <v>0/0/0/1.9/3.9</v>
      </c>
      <c r="AP217" s="32" t="str">
        <f t="shared" si="493"/>
        <v>0/0.9/1.9/3.9</v>
      </c>
      <c r="AQ217" s="536">
        <f t="shared" si="492"/>
        <v>0.32347301107949139</v>
      </c>
      <c r="AR217" s="32"/>
      <c r="AS217" s="302"/>
      <c r="AT217" s="3">
        <f t="shared" si="810"/>
        <v>17</v>
      </c>
      <c r="AU217" s="41" t="s">
        <v>121</v>
      </c>
      <c r="AV217" s="41" t="s">
        <v>116</v>
      </c>
      <c r="AW217" s="41" t="str">
        <f>INDEX(Input!$1:$1048576,AW$93,$C217*2+6)</f>
        <v>Kia</v>
      </c>
      <c r="AX217" s="41" t="str">
        <f>INDEX(Input!$1:$1048576,AX$93,$C217*2+6)</f>
        <v>Kia-LR - L2</v>
      </c>
      <c r="AY217" s="41" t="str">
        <f>IF(LEN(D217)=0,"",INDEX(Input!$1:$1048576,AY$93,$C217*2+6))</f>
        <v>Compact Conventional/Sporty Car (43)</v>
      </c>
      <c r="AZ217" s="41" t="str">
        <f>INDEX(Input!$1:$1048576,AZ$93,$C217*2+6)</f>
        <v>Kia Forte</v>
      </c>
      <c r="BA217" s="3">
        <f>INDEX(Input!$1:$1048576,BA$93,$C217*2+6)</f>
        <v>2020</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19695</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94"/>
        <v>1250</v>
      </c>
      <c r="CJ217" s="16" t="str">
        <f>INDEX(Input!$1:$1048576,CJ$93,$C217*2+6)</f>
        <v>N</v>
      </c>
      <c r="CK217" s="1" t="str">
        <f t="shared" si="495"/>
        <v>Market</v>
      </c>
      <c r="CL217" s="1" t="str">
        <f t="shared" si="496"/>
        <v>Market</v>
      </c>
      <c r="CM217" s="1" t="str">
        <f t="shared" si="497"/>
        <v>Market</v>
      </c>
      <c r="CN217" s="1" t="str">
        <f t="shared" si="498"/>
        <v>Market</v>
      </c>
      <c r="CO217" s="1" t="str">
        <f t="shared" si="499"/>
        <v>Market</v>
      </c>
      <c r="CP217" s="304">
        <f t="shared" si="500"/>
        <v>0</v>
      </c>
      <c r="CQ217" s="1">
        <f t="shared" si="501"/>
        <v>0</v>
      </c>
      <c r="CR217" s="1">
        <f t="shared" si="502"/>
        <v>0</v>
      </c>
      <c r="CS217" s="1">
        <f t="shared" si="503"/>
        <v>0</v>
      </c>
      <c r="CT217" s="1">
        <f t="shared" si="504"/>
        <v>1.9E-2</v>
      </c>
      <c r="CU217" s="1">
        <f t="shared" si="505"/>
        <v>3.9E-2</v>
      </c>
      <c r="CV217" s="304">
        <f t="shared" si="506"/>
        <v>1718</v>
      </c>
      <c r="CW217" s="20" t="s">
        <v>122</v>
      </c>
      <c r="CX217" s="20" t="s">
        <v>122</v>
      </c>
      <c r="CY217" s="20" t="s">
        <v>122</v>
      </c>
      <c r="CZ217" s="20" t="s">
        <v>122</v>
      </c>
      <c r="DA217" s="20" t="s">
        <v>122</v>
      </c>
      <c r="DB217" s="503">
        <f t="shared" si="507"/>
        <v>0</v>
      </c>
      <c r="DC217" s="127">
        <v>0</v>
      </c>
      <c r="DD217" s="127">
        <v>0</v>
      </c>
      <c r="DE217" s="127">
        <v>0</v>
      </c>
      <c r="DF217" s="127">
        <v>0</v>
      </c>
      <c r="DG217" s="127">
        <v>0</v>
      </c>
      <c r="DH217" s="127">
        <v>0</v>
      </c>
      <c r="DI217" s="127">
        <v>0</v>
      </c>
      <c r="DJ217" s="127">
        <v>0</v>
      </c>
      <c r="DK217" s="127">
        <v>0</v>
      </c>
      <c r="DL217" s="127">
        <v>0</v>
      </c>
      <c r="DM217" s="304">
        <f>INDEX(Input!$1:$1048576,DM$93,$C217*2+6)</f>
        <v>20731.578947368424</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2.7093707304330829E-2</v>
      </c>
      <c r="DZ217" s="7">
        <v>0</v>
      </c>
      <c r="EA217" s="7">
        <v>0.55293606212822199</v>
      </c>
      <c r="EB217" s="7">
        <v>0</v>
      </c>
      <c r="EC217" s="7">
        <v>0</v>
      </c>
      <c r="ED217" s="7">
        <v>0</v>
      </c>
      <c r="EE217" s="7">
        <v>0</v>
      </c>
      <c r="EF217" s="7">
        <v>0</v>
      </c>
      <c r="EG217" s="7">
        <v>0</v>
      </c>
      <c r="EH217" s="7">
        <v>1.6180888957040999E-2</v>
      </c>
      <c r="EI217" s="7">
        <v>2.6412150448977916E-2</v>
      </c>
      <c r="EJ217" s="7">
        <v>0.265634462584727</v>
      </c>
      <c r="EK217" s="7">
        <v>0.64380785942325713</v>
      </c>
      <c r="EL217" s="7">
        <v>4.7964638585996866E-2</v>
      </c>
      <c r="EM217" s="7">
        <v>3.5421296791531526E-2</v>
      </c>
      <c r="EN217" s="7">
        <v>5.0632121496732942E-2</v>
      </c>
      <c r="EO217" s="7">
        <v>0.56063825451528859</v>
      </c>
      <c r="EP217" s="7">
        <v>0.287725975363752</v>
      </c>
      <c r="EQ217" s="7">
        <v>6.2856713602890399E-2</v>
      </c>
      <c r="ER217" s="7">
        <v>3.8146935021336502E-2</v>
      </c>
      <c r="ES217" s="7">
        <v>0.38454893377591576</v>
      </c>
      <c r="ET217" s="7">
        <v>0.4199702305674472</v>
      </c>
      <c r="EU217" s="6">
        <v>1600</v>
      </c>
      <c r="EV217" s="6">
        <v>0</v>
      </c>
      <c r="EW217" s="6">
        <v>1600</v>
      </c>
      <c r="EX217" s="6">
        <v>0</v>
      </c>
      <c r="EY217" s="6">
        <v>2626.7910127668256</v>
      </c>
      <c r="EZ217" s="6">
        <v>2471</v>
      </c>
      <c r="FA217" s="6">
        <v>0</v>
      </c>
      <c r="FB217" s="6">
        <v>0</v>
      </c>
      <c r="FC217" s="6">
        <v>0</v>
      </c>
      <c r="FD217" s="6">
        <v>0</v>
      </c>
      <c r="FE217" s="6">
        <v>0</v>
      </c>
      <c r="FF217" s="6">
        <v>0</v>
      </c>
      <c r="FG217" s="6">
        <v>0</v>
      </c>
      <c r="FH217" s="6">
        <v>1154.7886431546285</v>
      </c>
      <c r="FI217" s="6">
        <v>1531.4299904380618</v>
      </c>
      <c r="FJ217" s="6">
        <v>2070.7205842538233</v>
      </c>
      <c r="FK217" s="6">
        <v>1746.9903521590436</v>
      </c>
      <c r="FL217" s="6">
        <v>893.91433563489397</v>
      </c>
      <c r="FM217" s="6">
        <v>1776.7910127668254</v>
      </c>
      <c r="FN217" s="6">
        <v>0</v>
      </c>
      <c r="FO217" s="6">
        <v>0</v>
      </c>
      <c r="FP217" s="6">
        <v>0</v>
      </c>
      <c r="FQ217" s="6">
        <v>0</v>
      </c>
      <c r="FR217" s="6">
        <v>0</v>
      </c>
      <c r="FS217" s="6">
        <v>0</v>
      </c>
      <c r="FT217" s="7">
        <v>0.5800297694325528</v>
      </c>
      <c r="FU217" s="7">
        <v>3.5421296791531526E-2</v>
      </c>
      <c r="FV217" s="7">
        <v>0.38454893377591576</v>
      </c>
      <c r="FW217" s="6">
        <v>1600</v>
      </c>
      <c r="FX217" s="6">
        <v>2626.7910127668256</v>
      </c>
      <c r="FY217" s="6">
        <v>2471</v>
      </c>
      <c r="FZ217" s="6">
        <v>2594.6978186474794</v>
      </c>
      <c r="GA217" s="6">
        <v>1971.3123905249136</v>
      </c>
      <c r="GB217" s="6">
        <v>17723.687609475088</v>
      </c>
      <c r="GC217" s="7">
        <v>9.6947029492584935E-2</v>
      </c>
      <c r="GD217" s="7">
        <v>9.062995811224149E-2</v>
      </c>
      <c r="GE217" s="7"/>
      <c r="GF217" s="7"/>
      <c r="GG217" s="7">
        <v>-6.5160030311466222E-2</v>
      </c>
      <c r="GH217" s="42">
        <v>2.0586409933406533</v>
      </c>
      <c r="GI217" s="6">
        <v>11538.303460706602</v>
      </c>
      <c r="GJ217" s="14">
        <v>0.51074630601039561</v>
      </c>
      <c r="GK217" s="14">
        <v>0.50829519786161004</v>
      </c>
      <c r="GL217" s="14">
        <v>0.48925369398960461</v>
      </c>
      <c r="GM217" s="14">
        <v>0.49170480213839052</v>
      </c>
      <c r="GO217" s="5">
        <v>338.16872463277008</v>
      </c>
      <c r="GP217" s="5">
        <v>307.64377699166363</v>
      </c>
      <c r="GQ217" s="5">
        <v>527.27910984145694</v>
      </c>
      <c r="GR217" s="5">
        <v>404.20319246551543</v>
      </c>
      <c r="GS217" s="5">
        <v>334.50205195691484</v>
      </c>
      <c r="GT217" s="5">
        <v>289.18266033348181</v>
      </c>
      <c r="GU217" s="5">
        <v>254.29573314828914</v>
      </c>
      <c r="GV217" s="39" t="s">
        <v>392</v>
      </c>
      <c r="GW217" s="5">
        <v>468.76388888888891</v>
      </c>
      <c r="GX217" s="5">
        <v>351.57291666666669</v>
      </c>
      <c r="GY217" s="5">
        <v>281.25833333333333</v>
      </c>
      <c r="GZ217" s="5">
        <v>248.18079879493993</v>
      </c>
      <c r="HA217" s="5">
        <v>229.89195052129486</v>
      </c>
      <c r="HB217" s="39">
        <v>262.39015256715192</v>
      </c>
      <c r="HC217" s="5">
        <v>175.00937499999998</v>
      </c>
      <c r="HD217" s="5">
        <v>162.53879751461983</v>
      </c>
      <c r="HE217" s="5">
        <v>168.95939186909578</v>
      </c>
      <c r="HF217" s="5">
        <v>160.56129934210526</v>
      </c>
      <c r="HG217" s="5">
        <v>160.21410087719298</v>
      </c>
      <c r="HH217" s="39">
        <v>164.80460199419844</v>
      </c>
      <c r="HI217" s="16"/>
      <c r="HJ217" s="19" t="str">
        <f t="shared" si="778"/>
        <v>On</v>
      </c>
      <c r="HK217" s="1" t="str">
        <f t="shared" si="778"/>
        <v>On</v>
      </c>
      <c r="HL217" s="16"/>
      <c r="HM217" s="639">
        <f t="shared" si="727"/>
        <v>5.0961701597560354E-2</v>
      </c>
      <c r="HN217" s="639">
        <f t="shared" si="728"/>
        <v>3.112551654761847E-3</v>
      </c>
      <c r="HO217" s="639">
        <f t="shared" si="729"/>
        <v>3.1163314184693442E-2</v>
      </c>
      <c r="HP217" s="644">
        <f>(FT217*$GD217-HM217)/$JF217*INDEX(Input!$1:$1048576,$JG$93,$C217*2+6)</f>
        <v>30.172162643594145</v>
      </c>
      <c r="HQ217" s="644">
        <f>(FU217*$GD217-HN217)/$JF217*INDEX(Input!$1:$1048576,$JG$93,$C217*2+6)</f>
        <v>1.8346847202412095</v>
      </c>
      <c r="HR217" s="644">
        <f>(FV217*$GD217-HO217)/$JF217*INDEX(Input!$1:$1048576,$JG$93,$C217*2+6)</f>
        <v>69.277336718680985</v>
      </c>
      <c r="HS217" s="644">
        <f t="shared" si="779"/>
        <v>-8.325072435235521</v>
      </c>
      <c r="HT217" s="644">
        <f t="shared" si="731"/>
        <v>31.567098654672964</v>
      </c>
      <c r="HU217" s="644">
        <f t="shared" si="732"/>
        <v>57.76658523393796</v>
      </c>
      <c r="HV217" s="648">
        <f t="shared" si="733"/>
        <v>0</v>
      </c>
      <c r="HW217" s="648">
        <f t="shared" si="734"/>
        <v>0</v>
      </c>
      <c r="HX217" s="648">
        <f t="shared" si="735"/>
        <v>0</v>
      </c>
      <c r="HY217" s="644">
        <f>INDEX(Input!$1:$1048576,HY$93,$C217*2+6)*INDEX(Input!$1:$1048576,$JG$93,$C217*2+6)</f>
        <v>555</v>
      </c>
      <c r="HZ217" s="644">
        <f>INDEX(Input!$1:$1048576,HZ$93,$C217*2+6)*INDEX(Input!$1:$1048576,$JG$93,$C217*2+6)</f>
        <v>480</v>
      </c>
      <c r="IA217" s="644">
        <f>INDEX(Input!$1:$1048576,IA$93,$C217*2+6)*INDEX(Input!$1:$1048576,$JG$93,$C217*2+6)</f>
        <v>566</v>
      </c>
      <c r="IB217" s="644">
        <f t="shared" si="759"/>
        <v>576.84709020835874</v>
      </c>
      <c r="IC217" s="644">
        <f t="shared" si="760"/>
        <v>513.4017833749142</v>
      </c>
      <c r="ID217" s="644">
        <f>IF(AND(INDEX(Input!$1:$1048576,IA$93,$C217*2+7)="TOS",Y217&lt;=INDEX(Y:Y,MATCH(C217*1000+2,A:A))),0,1)*MAX(IA217+HR217+HU217+HX217,0%)</f>
        <v>693.04392195261892</v>
      </c>
      <c r="IE217" s="128">
        <f t="shared" si="811"/>
        <v>0.32347301107949139</v>
      </c>
      <c r="IF217" s="128">
        <f t="shared" si="736"/>
        <v>0.28789539477763293</v>
      </c>
      <c r="IG217" s="128">
        <f t="shared" si="737"/>
        <v>0.38863159414287568</v>
      </c>
      <c r="IH217" s="21"/>
      <c r="II217" s="19">
        <f t="shared" si="738"/>
        <v>1200</v>
      </c>
      <c r="IJ217" s="19">
        <f t="shared" si="739"/>
        <v>2226.7968732767699</v>
      </c>
      <c r="IK217" s="19">
        <f t="shared" si="740"/>
        <v>1786</v>
      </c>
      <c r="IL217" s="19">
        <f t="shared" si="762"/>
        <v>400</v>
      </c>
      <c r="IM217" s="19">
        <f t="shared" si="741"/>
        <v>399.99413949005566</v>
      </c>
      <c r="IN217" s="19">
        <f t="shared" si="742"/>
        <v>685</v>
      </c>
      <c r="IO217" s="39">
        <f t="shared" si="743"/>
        <v>0</v>
      </c>
      <c r="IP217" s="39">
        <f t="shared" si="744"/>
        <v>0</v>
      </c>
      <c r="IQ217" s="39">
        <f t="shared" si="745"/>
        <v>0</v>
      </c>
      <c r="IR217" s="39">
        <v>0</v>
      </c>
      <c r="IS217" s="39">
        <v>0</v>
      </c>
      <c r="IT217" s="39">
        <v>0</v>
      </c>
      <c r="IU217" s="39">
        <v>0</v>
      </c>
      <c r="IV217" s="39">
        <v>0</v>
      </c>
      <c r="IW217" s="39">
        <v>0</v>
      </c>
      <c r="IX217" s="39">
        <f>INDEX(Input!$1:$1048576,IX$93,$C217*2+6)+INDEX(Input!$1:$1048576,IX$94,$C217*2+6)</f>
        <v>1600</v>
      </c>
      <c r="IY217" s="39">
        <f>INDEX(Input!$1:$1048576,IY$93,$C217*2+6)+INDEX(Input!$1:$1048576,IY$94,$C217*2+6)</f>
        <v>2503.5492916397525</v>
      </c>
      <c r="IZ217" s="39">
        <f>INDEX(Input!$1:$1048576,IZ$93,$C217*2+6)+INDEX(Input!$1:$1048576,IZ$94,$C217*2+6)</f>
        <v>5773.7109265464023</v>
      </c>
      <c r="JA217" s="19">
        <f t="shared" si="763"/>
        <v>2000</v>
      </c>
      <c r="JB217" s="19">
        <f t="shared" si="764"/>
        <v>2903.5434311298081</v>
      </c>
      <c r="JC217" s="19">
        <f t="shared" si="765"/>
        <v>6458.7109265464023</v>
      </c>
      <c r="JD217" s="19">
        <f t="shared" si="766"/>
        <v>3992.9219280098396</v>
      </c>
      <c r="JE217" s="21"/>
      <c r="JF217" s="1">
        <f t="shared" si="746"/>
        <v>8.5237567437015646E-2</v>
      </c>
      <c r="JG217" s="15">
        <f>INDEX(Input!$1:$1048576,JG$93,$C217*2+6)/(1+VLOOKUP(C217*1000+INDEX(Input!$1:$1048576,JG$93+1,$C217*2+6),$A:$KK,$JK$92,FALSE))</f>
        <v>1601</v>
      </c>
      <c r="JH217" s="1">
        <f t="shared" si="767"/>
        <v>6.3263075629304388E-2</v>
      </c>
      <c r="JI217" s="1">
        <f t="shared" si="768"/>
        <v>5.0598757934650476E-2</v>
      </c>
      <c r="JJ217" s="1">
        <f t="shared" si="804"/>
        <v>0</v>
      </c>
      <c r="JK217" s="1">
        <f t="shared" si="808"/>
        <v>0.11386183356395486</v>
      </c>
      <c r="JL217" s="15">
        <f t="shared" si="771"/>
        <v>182.29279553589174</v>
      </c>
      <c r="JM217" s="15">
        <f t="shared" si="795"/>
        <v>1783.2927955358919</v>
      </c>
      <c r="JN217" s="21"/>
      <c r="JO217" s="19">
        <f>INDEX(Input!$1:$1048576,JO$93,$C217*2+6)</f>
        <v>5908.5</v>
      </c>
      <c r="JP217" s="19">
        <f>INDEX(Input!$1:$1048576,JP$93,$C217*2+6)</f>
        <v>3346.4235130620518</v>
      </c>
      <c r="JQ217" s="39">
        <f t="shared" si="781"/>
        <v>1915.5780719901604</v>
      </c>
      <c r="JR217" s="39">
        <f t="shared" si="798"/>
        <v>646.49841494778775</v>
      </c>
      <c r="JS217" s="39">
        <f t="shared" si="783"/>
        <v>7.1205489073572297</v>
      </c>
      <c r="JT217" s="39">
        <f t="shared" si="773"/>
        <v>1.7629248629448853</v>
      </c>
      <c r="JU217" s="385">
        <f>(JQ217*JM217-INDEX(Input!$1:$1048576,Input!A$18,$C217*2+6)*JL217*INDEX(Input!$1:$1048576,Input!A$19,$C217*2+6))/1000000</f>
        <v>3.4160365750665869</v>
      </c>
      <c r="JV217" s="39">
        <f t="shared" si="805"/>
        <v>-0.68584788052106793</v>
      </c>
      <c r="JW217" s="1">
        <f t="shared" si="796"/>
        <v>-0.16720312040647431</v>
      </c>
      <c r="JX217" s="19">
        <f t="shared" si="787"/>
        <v>9670.8422171175807</v>
      </c>
      <c r="JZ217" s="341"/>
      <c r="KA217" s="342"/>
      <c r="KB217" s="469">
        <f t="shared" si="784"/>
        <v>2.4482969984810516</v>
      </c>
      <c r="KI217" s="473">
        <f t="shared" si="812"/>
        <v>21.847090208358736</v>
      </c>
      <c r="KJ217" s="473">
        <f t="shared" si="813"/>
        <v>33.401783374914203</v>
      </c>
      <c r="KK217" s="473">
        <f t="shared" si="775"/>
        <v>127.04392195261892</v>
      </c>
      <c r="KN217" s="544">
        <f t="shared" si="788"/>
        <v>2002</v>
      </c>
      <c r="KO217" s="541">
        <f t="shared" si="750"/>
        <v>3.2142171859677271E-2</v>
      </c>
      <c r="KP217" s="546">
        <f t="shared" si="751"/>
        <v>139.90201674409877</v>
      </c>
      <c r="KQ217" s="546">
        <f t="shared" si="752"/>
        <v>267.31835305330105</v>
      </c>
      <c r="KR217" s="548">
        <f t="shared" si="753"/>
        <v>3.6689327025781702</v>
      </c>
      <c r="KS217" s="548">
        <f t="shared" si="754"/>
        <v>1.9201490601983351</v>
      </c>
      <c r="KT217" s="473">
        <f t="shared" si="786"/>
        <v>528.59039248727379</v>
      </c>
      <c r="KU217" s="663">
        <f t="shared" si="776"/>
        <v>11.708122603200986</v>
      </c>
      <c r="KV217" s="117" t="e">
        <f t="shared" si="806"/>
        <v>#N/A</v>
      </c>
    </row>
    <row r="218" spans="1:308" s="26" customFormat="1" ht="15">
      <c r="A218" s="561">
        <f t="shared" si="755"/>
        <v>2018</v>
      </c>
      <c r="B218" s="561">
        <f t="shared" si="777"/>
        <v>18</v>
      </c>
      <c r="C218" s="561">
        <f t="shared" si="105"/>
        <v>2</v>
      </c>
      <c r="D218" s="561" t="str">
        <f t="shared" si="797"/>
        <v xml:space="preserve">720 Lease, </v>
      </c>
      <c r="E218" s="115">
        <f>INDEX(Input!$1:$1048576,E$93,$C218*2+MIN($B218,2)+5)</f>
        <v>1250</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1.9E-2</v>
      </c>
      <c r="W218" s="862">
        <f>INDEX(Input!$1:$1048576,W$93,$C218*2+MIN($B218,2)+5)</f>
        <v>3.9E-2</v>
      </c>
      <c r="X218" s="118" t="str">
        <f>INDEX(Input!$1:$1048576,X$93,$C218*2+MIN($B218,2)+5)</f>
        <v>Y</v>
      </c>
      <c r="Y218" s="475">
        <f>INDEX(Input!$1:$1048576,Y$93,$C218*2+MIN($B218,2)+5)+720</f>
        <v>2078</v>
      </c>
      <c r="Z218" s="30">
        <f>INDEX(Input!$1:$1048576,Z$93,$C218*2+MIN($B218,2)+5)</f>
        <v>0</v>
      </c>
      <c r="AA218" s="115">
        <f>INDEX(Input!$1:$1048576,AA$93,$C218*2+MIN($B218,2)+5)</f>
        <v>0</v>
      </c>
      <c r="AB218" s="118">
        <f>INDEX(Input!$1:$1048576,AB$93,$C218*2+MIN($B218,2)+5)</f>
        <v>1</v>
      </c>
      <c r="AC218" s="115">
        <f>INDEX(Input!$1:$1048576,AC$93,$C218*2+MIN($B218,2)+5)</f>
        <v>0</v>
      </c>
      <c r="AD218" s="118">
        <f>INDEX(Input!$1:$1048576,AD$93,$C218*2+MIN($B218,2)+5)</f>
        <v>0.35</v>
      </c>
      <c r="AE218" s="115">
        <f>INDEX(Input!$1:$1048576,AE$93,$C218*2+MIN($B218,2)+5)</f>
        <v>0</v>
      </c>
      <c r="AF218" s="118">
        <f>INDEX(Input!$1:$1048576,AF$93,$C218*2+MIN($B218,2)+5)</f>
        <v>1</v>
      </c>
      <c r="AG218" s="115">
        <f>INDEX(Input!$1:$1048576,AG$93,$C218*2+MIN($B218,2)+5)</f>
        <v>0</v>
      </c>
      <c r="AH218" s="118">
        <f>INDEX(Input!$1:$1048576,AH$93,$C218*2+MIN($B218,2)+5)</f>
        <v>1</v>
      </c>
      <c r="AI218" s="115">
        <f>INDEX(Input!$1:$1048576,AI$93,$C218*2+MIN($B218,2)+5)</f>
        <v>0</v>
      </c>
      <c r="AJ218" s="118">
        <f>INDEX(Input!$1:$1048576,AJ$93,$C218*2+MIN($B218,2)+5)</f>
        <v>0.35</v>
      </c>
      <c r="AK218" s="150">
        <f>ROUND(INDEX(Input!$1:$1048576,AK$93,$C217*2+MIN($B218,1)+5)+(Y218-VLOOKUP($C218*1000+1,$A:$HH,Y$92,FALSE)),0)</f>
        <v>5702</v>
      </c>
      <c r="AL218" s="150">
        <f>ROUND(INDEX(Input!$1:$1048576,AL$93,$C217*2+MIN($B218,1)+5)-(Y218-VLOOKUP($C218*1000+1,$A:$HH,Y$92,FALSE))/36,0)</f>
        <v>5082</v>
      </c>
      <c r="AM218" s="32" t="str">
        <f t="shared" si="756"/>
        <v>std/std/std/std</v>
      </c>
      <c r="AN218" s="32" t="str">
        <f t="shared" si="757"/>
        <v>$0 + 0/0/0/1.9/3.9</v>
      </c>
      <c r="AO218" s="32" t="str">
        <f t="shared" si="758"/>
        <v>0/0/0/1.9/3.9</v>
      </c>
      <c r="AP218" s="32" t="str">
        <f t="shared" si="493"/>
        <v>0/0.9/1.9/3.9</v>
      </c>
      <c r="AQ218" s="536">
        <f t="shared" si="492"/>
        <v>0.30017681531560586</v>
      </c>
      <c r="AR218" s="32"/>
      <c r="AS218" s="302"/>
      <c r="AT218" s="3">
        <f t="shared" si="810"/>
        <v>18</v>
      </c>
      <c r="AU218" s="41" t="s">
        <v>121</v>
      </c>
      <c r="AV218" s="41" t="s">
        <v>116</v>
      </c>
      <c r="AW218" s="41" t="str">
        <f>INDEX(Input!$1:$1048576,AW$93,$C218*2+6)</f>
        <v>Kia</v>
      </c>
      <c r="AX218" s="41" t="str">
        <f>INDEX(Input!$1:$1048576,AX$93,$C218*2+6)</f>
        <v>Kia-LR - L2</v>
      </c>
      <c r="AY218" s="41" t="str">
        <f>IF(LEN(D218)=0,"",INDEX(Input!$1:$1048576,AY$93,$C218*2+6))</f>
        <v>Compact Conventional/Sporty Car (43)</v>
      </c>
      <c r="AZ218" s="41" t="str">
        <f>INDEX(Input!$1:$1048576,AZ$93,$C218*2+6)</f>
        <v>Kia Forte</v>
      </c>
      <c r="BA218" s="3">
        <f>INDEX(Input!$1:$1048576,BA$93,$C218*2+6)</f>
        <v>2020</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19695</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94"/>
        <v>1250</v>
      </c>
      <c r="CJ218" s="16" t="str">
        <f>INDEX(Input!$1:$1048576,CJ$93,$C218*2+6)</f>
        <v>N</v>
      </c>
      <c r="CK218" s="1" t="str">
        <f t="shared" si="495"/>
        <v>Market</v>
      </c>
      <c r="CL218" s="1" t="str">
        <f t="shared" si="496"/>
        <v>Market</v>
      </c>
      <c r="CM218" s="1" t="str">
        <f t="shared" si="497"/>
        <v>Market</v>
      </c>
      <c r="CN218" s="1" t="str">
        <f t="shared" si="498"/>
        <v>Market</v>
      </c>
      <c r="CO218" s="1" t="str">
        <f t="shared" si="499"/>
        <v>Market</v>
      </c>
      <c r="CP218" s="304">
        <f t="shared" si="500"/>
        <v>0</v>
      </c>
      <c r="CQ218" s="1">
        <f t="shared" si="501"/>
        <v>0</v>
      </c>
      <c r="CR218" s="1">
        <f t="shared" si="502"/>
        <v>0</v>
      </c>
      <c r="CS218" s="1">
        <f t="shared" si="503"/>
        <v>0</v>
      </c>
      <c r="CT218" s="1">
        <f t="shared" si="504"/>
        <v>1.9E-2</v>
      </c>
      <c r="CU218" s="1">
        <f t="shared" si="505"/>
        <v>3.9E-2</v>
      </c>
      <c r="CV218" s="304">
        <f t="shared" si="506"/>
        <v>2078</v>
      </c>
      <c r="CW218" s="20" t="s">
        <v>122</v>
      </c>
      <c r="CX218" s="20" t="s">
        <v>122</v>
      </c>
      <c r="CY218" s="20" t="s">
        <v>122</v>
      </c>
      <c r="CZ218" s="20" t="s">
        <v>122</v>
      </c>
      <c r="DA218" s="20" t="s">
        <v>122</v>
      </c>
      <c r="DB218" s="503">
        <f t="shared" si="507"/>
        <v>0</v>
      </c>
      <c r="DC218" s="127">
        <v>0</v>
      </c>
      <c r="DD218" s="127">
        <v>0</v>
      </c>
      <c r="DE218" s="127">
        <v>0</v>
      </c>
      <c r="DF218" s="127">
        <v>0</v>
      </c>
      <c r="DG218" s="127">
        <v>0</v>
      </c>
      <c r="DH218" s="127">
        <v>0</v>
      </c>
      <c r="DI218" s="127">
        <v>0</v>
      </c>
      <c r="DJ218" s="127">
        <v>0</v>
      </c>
      <c r="DK218" s="127">
        <v>0</v>
      </c>
      <c r="DL218" s="127">
        <v>0</v>
      </c>
      <c r="DM218" s="304">
        <f>INDEX(Input!$1:$1048576,DM$93,$C218*2+6)</f>
        <v>20731.578947368424</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2.5955593828592406E-2</v>
      </c>
      <c r="DZ218" s="7">
        <v>0</v>
      </c>
      <c r="EA218" s="7">
        <v>0.52989957272214838</v>
      </c>
      <c r="EB218" s="7">
        <v>0</v>
      </c>
      <c r="EC218" s="7">
        <v>0</v>
      </c>
      <c r="ED218" s="7">
        <v>0</v>
      </c>
      <c r="EE218" s="7">
        <v>0</v>
      </c>
      <c r="EF218" s="7">
        <v>0</v>
      </c>
      <c r="EG218" s="7">
        <v>0</v>
      </c>
      <c r="EH218" s="7">
        <v>1.616899631392011E-2</v>
      </c>
      <c r="EI218" s="7">
        <v>2.6381796894273682E-2</v>
      </c>
      <c r="EJ218" s="7">
        <v>0.26554612821284967</v>
      </c>
      <c r="EK218" s="7">
        <v>0.64393234945546962</v>
      </c>
      <c r="EL218" s="7">
        <v>4.797072912348635E-2</v>
      </c>
      <c r="EM218" s="7">
        <v>3.393410998719696E-2</v>
      </c>
      <c r="EN218" s="7">
        <v>5.1610619719654319E-2</v>
      </c>
      <c r="EO218" s="7">
        <v>0.55957140148192797</v>
      </c>
      <c r="EP218" s="7">
        <v>0.28947346330874879</v>
      </c>
      <c r="EQ218" s="7">
        <v>6.1796179649833242E-2</v>
      </c>
      <c r="ER218" s="7">
        <v>3.7548335839835342E-2</v>
      </c>
      <c r="ES218" s="7">
        <v>0.41021072346206222</v>
      </c>
      <c r="ET218" s="7">
        <v>0.4441448334492592</v>
      </c>
      <c r="EU218" s="6">
        <v>1600</v>
      </c>
      <c r="EV218" s="6">
        <v>0</v>
      </c>
      <c r="EW218" s="6">
        <v>1600</v>
      </c>
      <c r="EX218" s="6">
        <v>0</v>
      </c>
      <c r="EY218" s="6">
        <v>2626.7708719594166</v>
      </c>
      <c r="EZ218" s="6">
        <v>2831</v>
      </c>
      <c r="FA218" s="6">
        <v>0</v>
      </c>
      <c r="FB218" s="6">
        <v>0</v>
      </c>
      <c r="FC218" s="6">
        <v>0</v>
      </c>
      <c r="FD218" s="6">
        <v>0</v>
      </c>
      <c r="FE218" s="6">
        <v>0</v>
      </c>
      <c r="FF218" s="6">
        <v>0</v>
      </c>
      <c r="FG218" s="6">
        <v>0</v>
      </c>
      <c r="FH218" s="6">
        <v>1154.7926955984847</v>
      </c>
      <c r="FI218" s="6">
        <v>1531.4299904380612</v>
      </c>
      <c r="FJ218" s="6">
        <v>2070.7205842538224</v>
      </c>
      <c r="FK218" s="6">
        <v>1746.9903521590436</v>
      </c>
      <c r="FL218" s="6">
        <v>893.91433563489409</v>
      </c>
      <c r="FM218" s="6">
        <v>1776.7708719594166</v>
      </c>
      <c r="FN218" s="6">
        <v>0</v>
      </c>
      <c r="FO218" s="6">
        <v>0</v>
      </c>
      <c r="FP218" s="6">
        <v>0</v>
      </c>
      <c r="FQ218" s="6">
        <v>0</v>
      </c>
      <c r="FR218" s="6">
        <v>0</v>
      </c>
      <c r="FS218" s="6">
        <v>0</v>
      </c>
      <c r="FT218" s="7">
        <v>0.55585516655074074</v>
      </c>
      <c r="FU218" s="7">
        <v>3.393410998719696E-2</v>
      </c>
      <c r="FV218" s="7">
        <v>0.41021072346206222</v>
      </c>
      <c r="FW218" s="6">
        <v>1600.0000000000002</v>
      </c>
      <c r="FX218" s="6">
        <v>2626.7708719594166</v>
      </c>
      <c r="FY218" s="6">
        <v>2831</v>
      </c>
      <c r="FZ218" s="6">
        <v>2594.6978186474794</v>
      </c>
      <c r="GA218" s="6">
        <v>2139.8119562825195</v>
      </c>
      <c r="GB218" s="6">
        <v>17555.18804371748</v>
      </c>
      <c r="GC218" s="7">
        <v>9.6947029492584935E-2</v>
      </c>
      <c r="GD218" s="7">
        <v>9.2283821826681711E-2</v>
      </c>
      <c r="GE218" s="7"/>
      <c r="GF218" s="7"/>
      <c r="GG218" s="7">
        <v>-4.8100572965568716E-2</v>
      </c>
      <c r="GH218" s="42">
        <v>2.0825900801392989</v>
      </c>
      <c r="GI218" s="6">
        <v>11596.785840784385</v>
      </c>
      <c r="GJ218" s="14">
        <v>0.51074630601039572</v>
      </c>
      <c r="GK218" s="14">
        <v>0.50829519786160982</v>
      </c>
      <c r="GL218" s="14">
        <v>0.48925369398960444</v>
      </c>
      <c r="GM218" s="14">
        <v>0.4917048021383903</v>
      </c>
      <c r="GO218" s="5">
        <v>338.16872463277008</v>
      </c>
      <c r="GP218" s="5">
        <v>307.64377699166363</v>
      </c>
      <c r="GQ218" s="5">
        <v>527.27910984145694</v>
      </c>
      <c r="GR218" s="5">
        <v>404.20319246551543</v>
      </c>
      <c r="GS218" s="5">
        <v>334.50205195691484</v>
      </c>
      <c r="GT218" s="5">
        <v>289.18266033348181</v>
      </c>
      <c r="GU218" s="5">
        <v>254.29573314828914</v>
      </c>
      <c r="GV218" s="39" t="s">
        <v>392</v>
      </c>
      <c r="GW218" s="5">
        <v>468.76388888888891</v>
      </c>
      <c r="GX218" s="5">
        <v>351.57291666666669</v>
      </c>
      <c r="GY218" s="5">
        <v>281.25833333333333</v>
      </c>
      <c r="GZ218" s="5">
        <v>248.18079879493993</v>
      </c>
      <c r="HA218" s="5">
        <v>229.89195052129486</v>
      </c>
      <c r="HB218" s="39">
        <v>262.38135766072423</v>
      </c>
      <c r="HC218" s="5">
        <v>159.25937499999998</v>
      </c>
      <c r="HD218" s="5">
        <v>151.78879751461983</v>
      </c>
      <c r="HE218" s="5">
        <v>158.97862263832656</v>
      </c>
      <c r="HF218" s="5">
        <v>152.23629934210524</v>
      </c>
      <c r="HG218" s="5">
        <v>153.31410087719297</v>
      </c>
      <c r="HH218" s="39">
        <v>154.34054873368802</v>
      </c>
      <c r="HI218" s="16"/>
      <c r="HJ218" s="19" t="str">
        <f t="shared" si="778"/>
        <v>On</v>
      </c>
      <c r="HK218" s="1" t="str">
        <f t="shared" si="778"/>
        <v>On</v>
      </c>
      <c r="HL218" s="16"/>
      <c r="HM218" s="639">
        <f t="shared" si="727"/>
        <v>5.0961701597560354E-2</v>
      </c>
      <c r="HN218" s="639">
        <f t="shared" si="728"/>
        <v>3.112551654761847E-3</v>
      </c>
      <c r="HO218" s="639">
        <f t="shared" si="729"/>
        <v>3.1163314184693442E-2</v>
      </c>
      <c r="HP218" s="644">
        <f>(FT218*$GD218-HM218)/$JF218*INDEX(Input!$1:$1048576,$JG$93,$C218*2+6)</f>
        <v>6.2873078130456497</v>
      </c>
      <c r="HQ218" s="644">
        <f>(FU218*$GD218-HN218)/$JF218*INDEX(Input!$1:$1048576,$JG$93,$C218*2+6)</f>
        <v>0.35720571164227627</v>
      </c>
      <c r="HR218" s="644">
        <f>(FV218*$GD218-HO218)/$JF218*INDEX(Input!$1:$1048576,$JG$93,$C218*2+6)</f>
        <v>125.70385840874664</v>
      </c>
      <c r="HS218" s="644">
        <f t="shared" si="779"/>
        <v>-8.3250587259177102</v>
      </c>
      <c r="HT218" s="644">
        <f t="shared" si="731"/>
        <v>31.565274489568992</v>
      </c>
      <c r="HU218" s="644">
        <f t="shared" si="732"/>
        <v>85.53319144746068</v>
      </c>
      <c r="HV218" s="648">
        <f t="shared" si="733"/>
        <v>0</v>
      </c>
      <c r="HW218" s="648">
        <f t="shared" si="734"/>
        <v>0</v>
      </c>
      <c r="HX218" s="648">
        <f t="shared" si="735"/>
        <v>0</v>
      </c>
      <c r="HY218" s="644">
        <f>INDEX(Input!$1:$1048576,HY$93,$C218*2+6)*INDEX(Input!$1:$1048576,$JG$93,$C218*2+6)</f>
        <v>555</v>
      </c>
      <c r="HZ218" s="644">
        <f>INDEX(Input!$1:$1048576,HZ$93,$C218*2+6)*INDEX(Input!$1:$1048576,$JG$93,$C218*2+6)</f>
        <v>480</v>
      </c>
      <c r="IA218" s="644">
        <f>INDEX(Input!$1:$1048576,IA$93,$C218*2+6)*INDEX(Input!$1:$1048576,$JG$93,$C218*2+6)</f>
        <v>566</v>
      </c>
      <c r="IB218" s="644">
        <f t="shared" si="759"/>
        <v>552.96224908712782</v>
      </c>
      <c r="IC218" s="644">
        <f t="shared" si="760"/>
        <v>511.92248020121127</v>
      </c>
      <c r="ID218" s="644">
        <f>IF(AND(INDEX(Input!$1:$1048576,IA$93,$C218*2+7)="TOS",Y218&lt;=INDEX(Y:Y,MATCH(C218*1000+2,A:A))),0,1)*MAX(IA218+HR218+HU218+HX218,0%)</f>
        <v>777.23704985620736</v>
      </c>
      <c r="IE218" s="128">
        <f t="shared" si="811"/>
        <v>0.30017681531560586</v>
      </c>
      <c r="IF218" s="128">
        <f t="shared" si="736"/>
        <v>0.27789828338001643</v>
      </c>
      <c r="IG218" s="128">
        <f t="shared" si="737"/>
        <v>0.42192490130437765</v>
      </c>
      <c r="IH218" s="21"/>
      <c r="II218" s="19">
        <f t="shared" si="738"/>
        <v>1200</v>
      </c>
      <c r="IJ218" s="19">
        <f t="shared" si="739"/>
        <v>2226.7968732767699</v>
      </c>
      <c r="IK218" s="19">
        <f t="shared" si="740"/>
        <v>1786</v>
      </c>
      <c r="IL218" s="19">
        <f t="shared" si="762"/>
        <v>400.00000000000023</v>
      </c>
      <c r="IM218" s="19">
        <f t="shared" si="741"/>
        <v>399.97399868264665</v>
      </c>
      <c r="IN218" s="19">
        <f t="shared" si="742"/>
        <v>1045</v>
      </c>
      <c r="IO218" s="39">
        <f t="shared" si="743"/>
        <v>0</v>
      </c>
      <c r="IP218" s="39">
        <f t="shared" si="744"/>
        <v>0</v>
      </c>
      <c r="IQ218" s="39">
        <f t="shared" si="745"/>
        <v>0</v>
      </c>
      <c r="IR218" s="39">
        <v>0</v>
      </c>
      <c r="IS218" s="39">
        <v>0</v>
      </c>
      <c r="IT218" s="39">
        <v>0</v>
      </c>
      <c r="IU218" s="39">
        <v>0</v>
      </c>
      <c r="IV218" s="39">
        <v>0</v>
      </c>
      <c r="IW218" s="39">
        <v>0</v>
      </c>
      <c r="IX218" s="39">
        <f>INDEX(Input!$1:$1048576,IX$93,$C218*2+6)+INDEX(Input!$1:$1048576,IX$94,$C218*2+6)</f>
        <v>1600</v>
      </c>
      <c r="IY218" s="39">
        <f>INDEX(Input!$1:$1048576,IY$93,$C218*2+6)+INDEX(Input!$1:$1048576,IY$94,$C218*2+6)</f>
        <v>2503.5492916397525</v>
      </c>
      <c r="IZ218" s="39">
        <f>INDEX(Input!$1:$1048576,IZ$93,$C218*2+6)+INDEX(Input!$1:$1048576,IZ$94,$C218*2+6)</f>
        <v>5773.7109265464023</v>
      </c>
      <c r="JA218" s="19">
        <f t="shared" si="763"/>
        <v>2000.0000000000002</v>
      </c>
      <c r="JB218" s="19">
        <f t="shared" si="764"/>
        <v>2903.5232903223991</v>
      </c>
      <c r="JC218" s="19">
        <f t="shared" si="765"/>
        <v>6818.7109265464023</v>
      </c>
      <c r="JD218" s="19">
        <f t="shared" si="766"/>
        <v>4284.221703471876</v>
      </c>
      <c r="JE218" s="21"/>
      <c r="JF218" s="1">
        <f t="shared" si="746"/>
        <v>8.5237567437015646E-2</v>
      </c>
      <c r="JG218" s="15">
        <f>INDEX(Input!$1:$1048576,JG$93,$C218*2+6)/(1+VLOOKUP(C218*1000+INDEX(Input!$1:$1048576,JG$93+1,$C218*2+6),$A:$KK,$JK$92,FALSE))</f>
        <v>1601</v>
      </c>
      <c r="JH218" s="1">
        <f t="shared" si="767"/>
        <v>8.266606616704221E-2</v>
      </c>
      <c r="JI218" s="1">
        <f t="shared" si="768"/>
        <v>6.7940916434173618E-2</v>
      </c>
      <c r="JJ218" s="1">
        <f t="shared" si="804"/>
        <v>0</v>
      </c>
      <c r="JK218" s="1">
        <f t="shared" si="808"/>
        <v>0.15060698260121583</v>
      </c>
      <c r="JL218" s="15">
        <f t="shared" si="771"/>
        <v>241.12177914454654</v>
      </c>
      <c r="JM218" s="15">
        <f t="shared" si="795"/>
        <v>1842.1217791445465</v>
      </c>
      <c r="JN218" s="21"/>
      <c r="JO218" s="19">
        <f>INDEX(Input!$1:$1048576,JO$93,$C218*2+6)</f>
        <v>5908.5</v>
      </c>
      <c r="JP218" s="19">
        <f>INDEX(Input!$1:$1048576,JP$93,$C218*2+6)</f>
        <v>3346.4235130620518</v>
      </c>
      <c r="JQ218" s="39">
        <f t="shared" si="781"/>
        <v>1624.278296528124</v>
      </c>
      <c r="JR218" s="39">
        <f t="shared" si="798"/>
        <v>937.7981904098242</v>
      </c>
      <c r="JS218" s="39">
        <f t="shared" si="783"/>
        <v>7.8920581066492916</v>
      </c>
      <c r="JT218" s="39">
        <f t="shared" si="773"/>
        <v>2.5344340622369472</v>
      </c>
      <c r="JU218" s="385">
        <f>(JQ218*JM218-INDEX(Input!$1:$1048576,Input!A$18,$C218*2+6)*JL218*INDEX(Input!$1:$1048576,Input!A$19,$C218*2+6))/1000000</f>
        <v>2.9921184254262609</v>
      </c>
      <c r="JV218" s="39">
        <f t="shared" si="805"/>
        <v>-1.1097660301613939</v>
      </c>
      <c r="JW218" s="1">
        <f t="shared" si="796"/>
        <v>-0.27055029028173921</v>
      </c>
      <c r="JX218" s="19">
        <f t="shared" si="787"/>
        <v>10511.012614574385</v>
      </c>
      <c r="JZ218" s="341"/>
      <c r="KA218" s="342"/>
      <c r="KB218" s="469">
        <f t="shared" si="784"/>
        <v>2.4482969984810516</v>
      </c>
      <c r="KI218" s="473">
        <f t="shared" si="812"/>
        <v>-2.037750912872184</v>
      </c>
      <c r="KJ218" s="473">
        <f t="shared" si="813"/>
        <v>31.922480201211215</v>
      </c>
      <c r="KK218" s="473">
        <f t="shared" si="775"/>
        <v>211.23704985620736</v>
      </c>
      <c r="KN218" s="544">
        <f t="shared" si="788"/>
        <v>2002</v>
      </c>
      <c r="KO218" s="541">
        <f t="shared" si="750"/>
        <v>6.6191473837531989E-2</v>
      </c>
      <c r="KP218" s="546">
        <f t="shared" si="751"/>
        <v>303.77516072190645</v>
      </c>
      <c r="KQ218" s="546">
        <f t="shared" si="752"/>
        <v>558.6181285153375</v>
      </c>
      <c r="KR218" s="548">
        <f t="shared" si="753"/>
        <v>3.4796718834991105</v>
      </c>
      <c r="KS218" s="548">
        <f t="shared" si="754"/>
        <v>1.8922369892985296</v>
      </c>
      <c r="KT218" s="473">
        <f t="shared" si="786"/>
        <v>528.59039248727379</v>
      </c>
      <c r="KU218" s="663">
        <f t="shared" si="776"/>
        <v>11.423677178430975</v>
      </c>
      <c r="KV218" s="117" t="e">
        <f t="shared" si="806"/>
        <v>#N/A</v>
      </c>
    </row>
    <row r="219" spans="1:308" s="26" customFormat="1" ht="15">
      <c r="A219" s="561">
        <f t="shared" si="755"/>
        <v>2019</v>
      </c>
      <c r="B219" s="561">
        <f t="shared" si="777"/>
        <v>19</v>
      </c>
      <c r="C219" s="561">
        <f t="shared" si="105"/>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v>
      </c>
      <c r="E219" s="475">
        <f>INDEX(Input!$1:$1048576,E$93,$C219*2+MIN($B219,2)+5)</f>
        <v>1250</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1.9E-2</v>
      </c>
      <c r="W219" s="863">
        <f>IFERROR(MAX(0,INDEX(Input!$1:$1048576,W$93,$C219*2+MIN($B219,2)+5)-0%,),"Market")</f>
        <v>3.9E-2</v>
      </c>
      <c r="X219" s="476" t="str">
        <f>INDEX(Input!$1:$1048576,X$93,$C219*2+MIN($B219,2)+5)</f>
        <v>Y</v>
      </c>
      <c r="Y219" s="475">
        <f>INDEX(Input!$1:$1048576,Y$93,$C219*2+MIN($B219,2)+5)</f>
        <v>1358</v>
      </c>
      <c r="Z219" s="477">
        <f>INDEX(Input!$1:$1048576,Z$93,$C219*2+MIN($B219,2)+5)</f>
        <v>0</v>
      </c>
      <c r="AA219" s="475">
        <f>INDEX(Input!$1:$1048576,AA$93,$C219*2+MIN($B219,2)+5)</f>
        <v>0</v>
      </c>
      <c r="AB219" s="476">
        <f>INDEX(Input!$1:$1048576,AB$93,$C219*2+MIN($B219,2)+5)</f>
        <v>1</v>
      </c>
      <c r="AC219" s="475">
        <f>INDEX(Input!$1:$1048576,AC$93,$C219*2+MIN($B219,2)+5)-AC$102</f>
        <v>0</v>
      </c>
      <c r="AD219" s="476">
        <f>INDEX(Input!$1:$1048576,AD$93,$C219*2+MIN($B219,2)+5)</f>
        <v>0.35</v>
      </c>
      <c r="AE219" s="475">
        <f>INDEX(Input!$1:$1048576,AE$93,$C219*2+MIN($B219,2)+5)-AE$102</f>
        <v>0</v>
      </c>
      <c r="AF219" s="476">
        <f>INDEX(Input!$1:$1048576,AF$93,$C219*2+MIN($B219,2)+5)</f>
        <v>1</v>
      </c>
      <c r="AG219" s="475">
        <f>INDEX(Input!$1:$1048576,AG$93,$C219*2+MIN($B219,2)+5)</f>
        <v>0</v>
      </c>
      <c r="AH219" s="476">
        <f>INDEX(Input!$1:$1048576,AH$93,$C219*2+MIN($B219,2)+5)</f>
        <v>1</v>
      </c>
      <c r="AI219" s="475">
        <f>INDEX(Input!$1:$1048576,AI$93,$C219*2+MIN($B219,2)+5)-AI$102</f>
        <v>0</v>
      </c>
      <c r="AJ219" s="476">
        <f>INDEX(Input!$1:$1048576,AJ$93,$C219*2+MIN($B219,2)+5)</f>
        <v>0.35</v>
      </c>
      <c r="AK219" s="150">
        <f>ROUND(INDEX(Input!$1:$1048576,AK$93,$C218*2+MIN($B219,1)+5)+(Y219-VLOOKUP($C219*1000+1,$A:$HH,Y$92,FALSE)),0)</f>
        <v>4982</v>
      </c>
      <c r="AL219" s="150">
        <f>ROUND(INDEX(Input!$1:$1048576,AL$93,$C218*2+MIN($B219,1)+5)-(Y219-VLOOKUP($C219*1000+1,$A:$HH,Y$92,FALSE))/36,0)</f>
        <v>5102</v>
      </c>
      <c r="AM219" s="32" t="str">
        <f t="shared" si="756"/>
        <v>std/std/std/std</v>
      </c>
      <c r="AN219" s="32" t="str">
        <f t="shared" si="757"/>
        <v>$0 + 0/0/0/1.9/3.9</v>
      </c>
      <c r="AO219" s="32" t="str">
        <f t="shared" si="758"/>
        <v>0/0/0/1.9/3.9</v>
      </c>
      <c r="AP219" s="32" t="str">
        <f t="shared" si="493"/>
        <v>0/0.9/1.9/3.9</v>
      </c>
      <c r="AQ219" s="536">
        <f t="shared" si="492"/>
        <v>0.33942179641411763</v>
      </c>
      <c r="AR219" s="32"/>
      <c r="AS219" s="302"/>
      <c r="AT219" s="3">
        <f t="shared" si="810"/>
        <v>19</v>
      </c>
      <c r="AU219" s="41" t="s">
        <v>121</v>
      </c>
      <c r="AV219" s="41" t="s">
        <v>116</v>
      </c>
      <c r="AW219" s="41" t="str">
        <f>INDEX(Input!$1:$1048576,AW$93,$C219*2+6)</f>
        <v>Kia</v>
      </c>
      <c r="AX219" s="41" t="str">
        <f>INDEX(Input!$1:$1048576,AX$93,$C219*2+6)</f>
        <v>Kia-LR - L2</v>
      </c>
      <c r="AY219" s="41" t="str">
        <f>IF(LEN(D219)=0,"",INDEX(Input!$1:$1048576,AY$93,$C219*2+6))</f>
        <v>Compact Conventional/Sporty Car (43)</v>
      </c>
      <c r="AZ219" s="41" t="str">
        <f>INDEX(Input!$1:$1048576,AZ$93,$C219*2+6)</f>
        <v>Kia Forte</v>
      </c>
      <c r="BA219" s="3">
        <f>INDEX(Input!$1:$1048576,BA$93,$C219*2+6)</f>
        <v>2020</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19695</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94"/>
        <v>1250</v>
      </c>
      <c r="CJ219" s="16" t="str">
        <f>INDEX(Input!$1:$1048576,CJ$93,$C219*2+6)</f>
        <v>N</v>
      </c>
      <c r="CK219" s="1" t="str">
        <f t="shared" si="495"/>
        <v>Market</v>
      </c>
      <c r="CL219" s="1" t="str">
        <f t="shared" si="496"/>
        <v>Market</v>
      </c>
      <c r="CM219" s="1" t="str">
        <f t="shared" si="497"/>
        <v>Market</v>
      </c>
      <c r="CN219" s="1" t="str">
        <f t="shared" si="498"/>
        <v>Market</v>
      </c>
      <c r="CO219" s="1" t="str">
        <f t="shared" si="499"/>
        <v>Market</v>
      </c>
      <c r="CP219" s="304">
        <f t="shared" si="500"/>
        <v>0</v>
      </c>
      <c r="CQ219" s="1">
        <f t="shared" si="501"/>
        <v>0</v>
      </c>
      <c r="CR219" s="1">
        <f t="shared" si="502"/>
        <v>0</v>
      </c>
      <c r="CS219" s="1">
        <f t="shared" si="503"/>
        <v>0</v>
      </c>
      <c r="CT219" s="1">
        <f t="shared" si="504"/>
        <v>1.9E-2</v>
      </c>
      <c r="CU219" s="1">
        <f t="shared" si="505"/>
        <v>3.9E-2</v>
      </c>
      <c r="CV219" s="304">
        <f t="shared" si="506"/>
        <v>1358</v>
      </c>
      <c r="CW219" s="20" t="s">
        <v>122</v>
      </c>
      <c r="CX219" s="20" t="s">
        <v>122</v>
      </c>
      <c r="CY219" s="20" t="s">
        <v>122</v>
      </c>
      <c r="CZ219" s="20" t="s">
        <v>122</v>
      </c>
      <c r="DA219" s="20" t="s">
        <v>122</v>
      </c>
      <c r="DB219" s="503">
        <f t="shared" si="507"/>
        <v>0</v>
      </c>
      <c r="DC219" s="127">
        <v>0</v>
      </c>
      <c r="DD219" s="127">
        <v>0</v>
      </c>
      <c r="DE219" s="127">
        <v>0</v>
      </c>
      <c r="DF219" s="127">
        <v>0</v>
      </c>
      <c r="DG219" s="127">
        <v>0</v>
      </c>
      <c r="DH219" s="127">
        <v>0</v>
      </c>
      <c r="DI219" s="127">
        <v>0</v>
      </c>
      <c r="DJ219" s="127">
        <v>0</v>
      </c>
      <c r="DK219" s="127">
        <v>0</v>
      </c>
      <c r="DL219" s="127">
        <v>0</v>
      </c>
      <c r="DM219" s="304">
        <f>INDEX(Input!$1:$1048576,DM$93,$C219*2+6)</f>
        <v>20731.578947368424</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2.7505273404922065E-2</v>
      </c>
      <c r="DZ219" s="7">
        <v>0</v>
      </c>
      <c r="EA219" s="7">
        <v>0.56434840560746558</v>
      </c>
      <c r="EB219" s="7">
        <v>0</v>
      </c>
      <c r="EC219" s="7">
        <v>0</v>
      </c>
      <c r="ED219" s="7">
        <v>0</v>
      </c>
      <c r="EE219" s="7">
        <v>0</v>
      </c>
      <c r="EF219" s="7">
        <v>0</v>
      </c>
      <c r="EG219" s="7">
        <v>0</v>
      </c>
      <c r="EH219" s="7">
        <v>1.6185651107339976E-2</v>
      </c>
      <c r="EI219" s="7">
        <v>2.6427112501777945E-2</v>
      </c>
      <c r="EJ219" s="7">
        <v>0.26565215143778759</v>
      </c>
      <c r="EK219" s="7">
        <v>0.64377327273191209</v>
      </c>
      <c r="EL219" s="7">
        <v>4.7961812221182447E-2</v>
      </c>
      <c r="EM219" s="7">
        <v>3.6145913147699812E-2</v>
      </c>
      <c r="EN219" s="7">
        <v>4.9329646374582377E-2</v>
      </c>
      <c r="EO219" s="7">
        <v>0.56218877582883464</v>
      </c>
      <c r="EP219" s="7">
        <v>0.28514164521090002</v>
      </c>
      <c r="EQ219" s="7">
        <v>6.4372276166993925E-2</v>
      </c>
      <c r="ER219" s="7">
        <v>3.8967656418689357E-2</v>
      </c>
      <c r="ES219" s="7">
        <v>0.37200040783991256</v>
      </c>
      <c r="ET219" s="7">
        <v>0.40814632098761244</v>
      </c>
      <c r="EU219" s="6">
        <v>1250</v>
      </c>
      <c r="EV219" s="6">
        <v>0</v>
      </c>
      <c r="EW219" s="6">
        <v>1250</v>
      </c>
      <c r="EX219" s="6">
        <v>0</v>
      </c>
      <c r="EY219" s="6">
        <v>2276.7930747678702</v>
      </c>
      <c r="EZ219" s="6">
        <v>1936</v>
      </c>
      <c r="FA219" s="6">
        <v>0</v>
      </c>
      <c r="FB219" s="6">
        <v>0</v>
      </c>
      <c r="FC219" s="6">
        <v>0</v>
      </c>
      <c r="FD219" s="6">
        <v>0</v>
      </c>
      <c r="FE219" s="6">
        <v>0</v>
      </c>
      <c r="FF219" s="6">
        <v>0</v>
      </c>
      <c r="FG219" s="6">
        <v>0</v>
      </c>
      <c r="FH219" s="6">
        <v>1154.7867809842842</v>
      </c>
      <c r="FI219" s="6">
        <v>1531.4299904380625</v>
      </c>
      <c r="FJ219" s="6">
        <v>2070.7205842538219</v>
      </c>
      <c r="FK219" s="6">
        <v>1746.9903521590431</v>
      </c>
      <c r="FL219" s="6">
        <v>893.91433563489397</v>
      </c>
      <c r="FM219" s="6">
        <v>1776.7930747678702</v>
      </c>
      <c r="FN219" s="6">
        <v>0</v>
      </c>
      <c r="FO219" s="6">
        <v>0</v>
      </c>
      <c r="FP219" s="6">
        <v>0</v>
      </c>
      <c r="FQ219" s="6">
        <v>0</v>
      </c>
      <c r="FR219" s="6">
        <v>0</v>
      </c>
      <c r="FS219" s="6">
        <v>0</v>
      </c>
      <c r="FT219" s="7">
        <v>0.59185367901238761</v>
      </c>
      <c r="FU219" s="7">
        <v>3.6145913147699812E-2</v>
      </c>
      <c r="FV219" s="7">
        <v>0.37200040783991256</v>
      </c>
      <c r="FW219" s="6">
        <v>1250.0000000000002</v>
      </c>
      <c r="FX219" s="6">
        <v>2276.7930747678702</v>
      </c>
      <c r="FY219" s="6">
        <v>1936</v>
      </c>
      <c r="FZ219" s="6">
        <v>2594.6978186474794</v>
      </c>
      <c r="GA219" s="6">
        <v>1542.306653079399</v>
      </c>
      <c r="GB219" s="6">
        <v>18152.693346920601</v>
      </c>
      <c r="GC219" s="7">
        <v>9.6947029492584935E-2</v>
      </c>
      <c r="GD219" s="7">
        <v>8.6128183367128158E-2</v>
      </c>
      <c r="GE219" s="7"/>
      <c r="GF219" s="7"/>
      <c r="GG219" s="7">
        <v>-0.11159543703486309</v>
      </c>
      <c r="GH219" s="42">
        <v>2.0884555137967333</v>
      </c>
      <c r="GI219" s="6">
        <v>10972.720597686353</v>
      </c>
      <c r="GJ219" s="14">
        <v>0.51074630601039539</v>
      </c>
      <c r="GK219" s="14">
        <v>0.50829519786160993</v>
      </c>
      <c r="GL219" s="14">
        <v>0.48925369398960428</v>
      </c>
      <c r="GM219" s="14">
        <v>0.49170480213839063</v>
      </c>
      <c r="GO219" s="5">
        <v>338.16872463277008</v>
      </c>
      <c r="GP219" s="5">
        <v>314.32110928815564</v>
      </c>
      <c r="GQ219" s="5">
        <v>527.27910984145694</v>
      </c>
      <c r="GR219" s="5">
        <v>404.20319246551543</v>
      </c>
      <c r="GS219" s="5">
        <v>334.50205195691484</v>
      </c>
      <c r="GT219" s="5">
        <v>289.18266033348181</v>
      </c>
      <c r="GU219" s="5">
        <v>254.29573314828914</v>
      </c>
      <c r="GV219" s="39" t="s">
        <v>392</v>
      </c>
      <c r="GW219" s="5">
        <v>478.48611111111109</v>
      </c>
      <c r="GX219" s="5">
        <v>358.86458333333331</v>
      </c>
      <c r="GY219" s="5">
        <v>287.09166666666664</v>
      </c>
      <c r="GZ219" s="5">
        <v>253.32809988695078</v>
      </c>
      <c r="HA219" s="5">
        <v>234.65993859171965</v>
      </c>
      <c r="HB219" s="39">
        <v>267.8354587304155</v>
      </c>
      <c r="HC219" s="5">
        <v>198.41562499999995</v>
      </c>
      <c r="HD219" s="5">
        <v>178.51449195906429</v>
      </c>
      <c r="HE219" s="5">
        <v>183.79192392037783</v>
      </c>
      <c r="HF219" s="5">
        <v>172.93317434210525</v>
      </c>
      <c r="HG219" s="5">
        <v>170.46826754385964</v>
      </c>
      <c r="HH219" s="39">
        <v>180.32819881887076</v>
      </c>
      <c r="HI219" s="16"/>
      <c r="HJ219" s="19" t="str">
        <f t="shared" ref="HJ219:HK219" si="814">HJ218</f>
        <v>On</v>
      </c>
      <c r="HK219" s="1" t="str">
        <f t="shared" si="814"/>
        <v>On</v>
      </c>
      <c r="HL219" s="16"/>
      <c r="HM219" s="639">
        <f t="shared" si="727"/>
        <v>5.0961701597560354E-2</v>
      </c>
      <c r="HN219" s="639">
        <f t="shared" si="728"/>
        <v>3.112551654761847E-3</v>
      </c>
      <c r="HO219" s="639">
        <f t="shared" si="729"/>
        <v>3.1163314184693442E-2</v>
      </c>
      <c r="HP219" s="644">
        <f>(FT219*$GD219-HM219)/$JF219*INDEX(Input!$1:$1048576,$JG$93,$C219*2+6)</f>
        <v>0.25508156947055843</v>
      </c>
      <c r="HQ219" s="644">
        <f>(FU219*$GD219-HN219)/$JF219*INDEX(Input!$1:$1048576,$JG$93,$C219*2+6)</f>
        <v>1.1836558503276525E-2</v>
      </c>
      <c r="HR219" s="644">
        <f>(FV219*$GD219-HO219)/$JF219*INDEX(Input!$1:$1048576,$JG$93,$C219*2+6)</f>
        <v>16.461340866087127</v>
      </c>
      <c r="HS219" s="644">
        <f t="shared" ref="HS219" si="815">IF(AND(HJ219="On",HK219="On"),IL219/1000*INDEX(KG:KG,MATCH(C219*1000+3,$KF:$KF,0))*SUM(HY219:IA219)*1.1
+INDEX(HR:HR,MATCH(C219*1000+4,$KF:$KF,0))/INDEX(IM:IM,MATCH(C219*1000+4,$KF:$KF,0))*IM219*20%,0)</f>
        <v>-1.0406319674962237</v>
      </c>
      <c r="HT219" s="644">
        <f t="shared" si="731"/>
        <v>3.945609647327633</v>
      </c>
      <c r="HU219" s="644">
        <f t="shared" si="732"/>
        <v>12.186032616036416</v>
      </c>
      <c r="HV219" s="648">
        <f t="shared" si="733"/>
        <v>0</v>
      </c>
      <c r="HW219" s="648">
        <f t="shared" si="734"/>
        <v>0</v>
      </c>
      <c r="HX219" s="648">
        <f t="shared" si="735"/>
        <v>0</v>
      </c>
      <c r="HY219" s="644">
        <f>INDEX(Input!$1:$1048576,HY$93,$C219*2+6)*INDEX(Input!$1:$1048576,$JG$93,$C219*2+6)</f>
        <v>555</v>
      </c>
      <c r="HZ219" s="644">
        <f>INDEX(Input!$1:$1048576,HZ$93,$C219*2+6)*INDEX(Input!$1:$1048576,$JG$93,$C219*2+6)</f>
        <v>480</v>
      </c>
      <c r="IA219" s="644">
        <f>INDEX(Input!$1:$1048576,IA$93,$C219*2+6)*INDEX(Input!$1:$1048576,$JG$93,$C219*2+6)</f>
        <v>566</v>
      </c>
      <c r="IB219" s="644">
        <f t="shared" si="759"/>
        <v>554.21444960197448</v>
      </c>
      <c r="IC219" s="644">
        <f t="shared" si="760"/>
        <v>483.95744620583088</v>
      </c>
      <c r="ID219" s="644">
        <f>IF(AND(INDEX(Input!$1:$1048576,IA$93,$C219*2+7)="TOS",Y219&lt;=INDEX(Y:Y,MATCH(C219*1000+2,A:A))),0,1)*MAX(IA219+HR219+HU219+HX219,0%)</f>
        <v>594.6473734821235</v>
      </c>
      <c r="IE219" s="128">
        <f t="shared" ref="IE219" si="816">IB219/SUM($IB219:$ID219)</f>
        <v>0.33942179641411763</v>
      </c>
      <c r="IF219" s="128">
        <f t="shared" si="736"/>
        <v>0.29639376219285529</v>
      </c>
      <c r="IG219" s="128">
        <f t="shared" si="737"/>
        <v>0.36418444139302714</v>
      </c>
      <c r="IH219" s="21"/>
      <c r="II219" s="19">
        <f t="shared" si="738"/>
        <v>1200</v>
      </c>
      <c r="IJ219" s="19">
        <f t="shared" si="739"/>
        <v>2226.7968732767699</v>
      </c>
      <c r="IK219" s="19">
        <f t="shared" si="740"/>
        <v>1786</v>
      </c>
      <c r="IL219" s="19">
        <f t="shared" si="762"/>
        <v>50.000000000000227</v>
      </c>
      <c r="IM219" s="19">
        <f t="shared" si="741"/>
        <v>49.996201491100237</v>
      </c>
      <c r="IN219" s="19">
        <f t="shared" si="742"/>
        <v>150</v>
      </c>
      <c r="IO219" s="39">
        <f t="shared" si="743"/>
        <v>0</v>
      </c>
      <c r="IP219" s="39">
        <f t="shared" si="744"/>
        <v>0</v>
      </c>
      <c r="IQ219" s="39">
        <f t="shared" si="745"/>
        <v>0</v>
      </c>
      <c r="IR219" s="39">
        <v>0</v>
      </c>
      <c r="IS219" s="39">
        <v>0</v>
      </c>
      <c r="IT219" s="39">
        <v>0</v>
      </c>
      <c r="IU219" s="39">
        <v>0</v>
      </c>
      <c r="IV219" s="39">
        <v>0</v>
      </c>
      <c r="IW219" s="39">
        <v>0</v>
      </c>
      <c r="IX219" s="39">
        <f>INDEX(Input!$1:$1048576,IX$93,$C219*2+6)+INDEX(Input!$1:$1048576,IX$94,$C219*2+6)</f>
        <v>1600</v>
      </c>
      <c r="IY219" s="39">
        <f>INDEX(Input!$1:$1048576,IY$93,$C219*2+6)+INDEX(Input!$1:$1048576,IY$94,$C219*2+6)</f>
        <v>2503.5492916397525</v>
      </c>
      <c r="IZ219" s="39">
        <f>INDEX(Input!$1:$1048576,IZ$93,$C219*2+6)+INDEX(Input!$1:$1048576,IZ$94,$C219*2+6)</f>
        <v>5773.7109265464023</v>
      </c>
      <c r="JA219" s="19">
        <f t="shared" si="763"/>
        <v>1650.0000000000002</v>
      </c>
      <c r="JB219" s="19">
        <f t="shared" si="764"/>
        <v>2553.5454931308527</v>
      </c>
      <c r="JC219" s="19">
        <f t="shared" si="765"/>
        <v>5923.7109265464023</v>
      </c>
      <c r="JD219" s="19">
        <f t="shared" si="766"/>
        <v>3474.2242744810301</v>
      </c>
      <c r="JE219" s="21"/>
      <c r="JF219" s="1">
        <f t="shared" si="746"/>
        <v>8.5237567437015646E-2</v>
      </c>
      <c r="JG219" s="15">
        <f>INDEX(Input!$1:$1048576,JG$93,$C219*2+6)/(1+VLOOKUP(C219*1000+INDEX(Input!$1:$1048576,JG$93+1,$C219*2+6),$A:$KK,$JK$92,FALSE))</f>
        <v>1601</v>
      </c>
      <c r="JH219" s="1">
        <f t="shared" si="767"/>
        <v>1.0448631476615216E-2</v>
      </c>
      <c r="JI219" s="1">
        <f t="shared" si="768"/>
        <v>9.4259901910479851E-3</v>
      </c>
      <c r="JJ219" s="1">
        <f t="shared" ref="JJ219" si="817">SUM(HV219:HX219)/SUM(HY219:IA219)</f>
        <v>0</v>
      </c>
      <c r="JK219" s="1">
        <f t="shared" ref="JK219" si="818">SUM(JH219:JJ219)</f>
        <v>1.9874621667663201E-2</v>
      </c>
      <c r="JL219" s="15">
        <f t="shared" si="771"/>
        <v>31.819269289928783</v>
      </c>
      <c r="JM219" s="15">
        <f t="shared" si="795"/>
        <v>1632.8192692899288</v>
      </c>
      <c r="JN219" s="21"/>
      <c r="JO219" s="19">
        <f>INDEX(Input!$1:$1048576,JO$93,$C219*2+6)</f>
        <v>5908.5</v>
      </c>
      <c r="JP219" s="19">
        <f>INDEX(Input!$1:$1048576,JP$93,$C219*2+6)</f>
        <v>3346.4235130620518</v>
      </c>
      <c r="JQ219" s="39">
        <f t="shared" si="781"/>
        <v>2434.2757255189699</v>
      </c>
      <c r="JR219" s="39">
        <f t="shared" si="798"/>
        <v>127.80076141897825</v>
      </c>
      <c r="JS219" s="39">
        <f t="shared" si="783"/>
        <v>5.6727803412074485</v>
      </c>
      <c r="JT219" s="39">
        <f t="shared" si="773"/>
        <v>0.31515629679510371</v>
      </c>
      <c r="JU219" s="385">
        <f>(JQ219*JM219-INDEX(Input!$1:$1048576,Input!A$18,$C219*2+6)*JL219*INDEX(Input!$1:$1048576,Input!A$19,$C219*2+6))/1000000</f>
        <v>3.974732311392096</v>
      </c>
      <c r="JV219" s="39">
        <f t="shared" si="805"/>
        <v>-0.12715214419555876</v>
      </c>
      <c r="JW219" s="1">
        <f t="shared" si="796"/>
        <v>-3.0998470476746365E-2</v>
      </c>
      <c r="JX219" s="19">
        <f t="shared" si="787"/>
        <v>9904.5736696051281</v>
      </c>
      <c r="JZ219" s="341"/>
      <c r="KA219" s="342"/>
      <c r="KB219" s="469">
        <f t="shared" si="784"/>
        <v>2.4482969984810516</v>
      </c>
      <c r="KI219" s="473">
        <f t="shared" si="812"/>
        <v>-0.78555039802552074</v>
      </c>
      <c r="KJ219" s="473">
        <f t="shared" si="813"/>
        <v>3.9574462058308768</v>
      </c>
      <c r="KK219" s="473">
        <f t="shared" si="775"/>
        <v>28.647373482123498</v>
      </c>
      <c r="KN219" s="544">
        <f t="shared" si="788"/>
        <v>2002</v>
      </c>
      <c r="KO219" s="541">
        <f t="shared" si="750"/>
        <v>-5.4949567968846313E-2</v>
      </c>
      <c r="KP219" s="546">
        <f t="shared" si="751"/>
        <v>-286.27262687663006</v>
      </c>
      <c r="KQ219" s="546">
        <f t="shared" si="752"/>
        <v>-251.37930047550844</v>
      </c>
      <c r="KR219" s="548">
        <f t="shared" si="753"/>
        <v>3.0652998292342599</v>
      </c>
      <c r="KS219" s="548">
        <f t="shared" si="754"/>
        <v>3.4907863639507259</v>
      </c>
      <c r="KT219" s="473">
        <f t="shared" si="786"/>
        <v>528.59039248727379</v>
      </c>
      <c r="KU219" s="663">
        <f t="shared" si="776"/>
        <v>11.842371106544068</v>
      </c>
      <c r="KV219" s="117"/>
    </row>
    <row r="220" spans="1:308" s="26" customFormat="1" ht="15">
      <c r="A220" s="561">
        <f t="shared" si="755"/>
        <v>2020</v>
      </c>
      <c r="B220" s="561">
        <f t="shared" si="777"/>
        <v>20</v>
      </c>
      <c r="C220" s="561">
        <f t="shared" si="105"/>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0.9/1.9/2.9/3.9, </v>
      </c>
      <c r="E220" s="475">
        <f>INDEX(Input!$1:$1048576,E$93,$C220*2+MIN($B220,2)+5)</f>
        <v>1250</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IFERROR(MAX(0,INDEX(Input!$1:$1048576,U$93,$C220*2+MIN($B220,2)+5)+0.9%,),"Market")</f>
        <v>9.0000000000000011E-3</v>
      </c>
      <c r="V220" s="478">
        <f>IFERROR(MAX(0,INDEX(Input!$1:$1048576,V$93,$C220*2+MIN($B220,2)+5)+1%,),"Market")</f>
        <v>2.8999999999999998E-2</v>
      </c>
      <c r="W220" s="478">
        <f>IFERROR(MAX(0,INDEX(Input!$1:$1048576,W$93,$C220*2+MIN($B220,2)+5)+0%,),"Market")</f>
        <v>3.9E-2</v>
      </c>
      <c r="X220" s="476" t="str">
        <f>INDEX(Input!$1:$1048576,X$93,$C220*2+MIN($B220,2)+5)</f>
        <v>Y</v>
      </c>
      <c r="Y220" s="475">
        <f>INDEX(Input!$1:$1048576,Y$93,$C220*2+MIN($B220,2)+5)</f>
        <v>1358</v>
      </c>
      <c r="Z220" s="477">
        <f>INDEX(Input!$1:$1048576,Z$93,$C220*2+MIN($B220,2)+5)</f>
        <v>0</v>
      </c>
      <c r="AA220" s="475">
        <f>INDEX(Input!$1:$1048576,AA$93,$C220*2+MIN($B220,2)+5)</f>
        <v>0</v>
      </c>
      <c r="AB220" s="476">
        <f>INDEX(Input!$1:$1048576,AB$93,$C220*2+MIN($B220,2)+5)</f>
        <v>1</v>
      </c>
      <c r="AC220" s="475">
        <f>INDEX(Input!$1:$1048576,AC$93,$C220*2+MIN($B220,2)+5)</f>
        <v>0</v>
      </c>
      <c r="AD220" s="476">
        <f>INDEX(Input!$1:$1048576,AD$93,$C220*2+MIN($B220,2)+5)</f>
        <v>0.35</v>
      </c>
      <c r="AE220" s="475">
        <f>INDEX(Input!$1:$1048576,AE$93,$C220*2+MIN($B220,2)+5)</f>
        <v>0</v>
      </c>
      <c r="AF220" s="476">
        <f>INDEX(Input!$1:$1048576,AF$93,$C220*2+MIN($B220,2)+5)</f>
        <v>1</v>
      </c>
      <c r="AG220" s="475">
        <f>INDEX(Input!$1:$1048576,AG$93,$C220*2+MIN($B220,2)+5)</f>
        <v>0</v>
      </c>
      <c r="AH220" s="476">
        <f>INDEX(Input!$1:$1048576,AH$93,$C220*2+MIN($B220,2)+5)</f>
        <v>1</v>
      </c>
      <c r="AI220" s="475">
        <f>INDEX(Input!$1:$1048576,AI$93,$C220*2+MIN($B220,2)+5)</f>
        <v>0</v>
      </c>
      <c r="AJ220" s="476">
        <f>INDEX(Input!$1:$1048576,AJ$93,$C220*2+MIN($B220,2)+5)</f>
        <v>0.35</v>
      </c>
      <c r="AK220" s="150">
        <f>ROUND(INDEX(Input!$1:$1048576,AK$93,$C219*2+MIN($B220,1)+5)+(Y220-VLOOKUP($C220*1000+1,$A:$HH,Y$92,FALSE)),0)</f>
        <v>4982</v>
      </c>
      <c r="AL220" s="150">
        <f>ROUND(INDEX(Input!$1:$1048576,AL$93,$C219*2+MIN($B220,1)+5)-(Y220-VLOOKUP($C220*1000+1,$A:$HH,Y$92,FALSE))/36,0)</f>
        <v>5102</v>
      </c>
      <c r="AM220" s="32" t="str">
        <f t="shared" si="756"/>
        <v>std/std/std/std</v>
      </c>
      <c r="AN220" s="32" t="str">
        <f t="shared" si="757"/>
        <v>$0 + 0/0/0.9/2.9/3.9</v>
      </c>
      <c r="AO220" s="32" t="str">
        <f t="shared" si="758"/>
        <v>0/0/0.9/2.9/3.9</v>
      </c>
      <c r="AP220" s="32" t="str">
        <f t="shared" si="493"/>
        <v>0.9/1.9/2.9/3.9</v>
      </c>
      <c r="AQ220" s="536">
        <f t="shared" si="492"/>
        <v>0.36040322633354654</v>
      </c>
      <c r="AR220" s="32"/>
      <c r="AS220" s="302"/>
      <c r="AT220" s="3">
        <f t="shared" si="810"/>
        <v>20</v>
      </c>
      <c r="AU220" s="41" t="s">
        <v>121</v>
      </c>
      <c r="AV220" s="41" t="s">
        <v>116</v>
      </c>
      <c r="AW220" s="41" t="str">
        <f>INDEX(Input!$1:$1048576,AW$93,$C220*2+6)</f>
        <v>Kia</v>
      </c>
      <c r="AX220" s="41" t="str">
        <f>INDEX(Input!$1:$1048576,AX$93,$C220*2+6)</f>
        <v>Kia-LR - L2</v>
      </c>
      <c r="AY220" s="41" t="str">
        <f>IF(LEN(D220)=0,"",INDEX(Input!$1:$1048576,AY$93,$C220*2+6))</f>
        <v>Compact Conventional/Sporty Car (43)</v>
      </c>
      <c r="AZ220" s="41" t="str">
        <f>INDEX(Input!$1:$1048576,AZ$93,$C220*2+6)</f>
        <v>Kia Forte</v>
      </c>
      <c r="BA220" s="3">
        <f>INDEX(Input!$1:$1048576,BA$93,$C220*2+6)</f>
        <v>2020</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19695</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94"/>
        <v>1250</v>
      </c>
      <c r="CJ220" s="16" t="str">
        <f>INDEX(Input!$1:$1048576,CJ$93,$C220*2+6)</f>
        <v>N</v>
      </c>
      <c r="CK220" s="1" t="str">
        <f t="shared" si="495"/>
        <v>Market</v>
      </c>
      <c r="CL220" s="1" t="str">
        <f t="shared" si="496"/>
        <v>Market</v>
      </c>
      <c r="CM220" s="1" t="str">
        <f t="shared" si="497"/>
        <v>Market</v>
      </c>
      <c r="CN220" s="1" t="str">
        <f t="shared" si="498"/>
        <v>Market</v>
      </c>
      <c r="CO220" s="1" t="str">
        <f t="shared" si="499"/>
        <v>Market</v>
      </c>
      <c r="CP220" s="304">
        <f t="shared" si="500"/>
        <v>0</v>
      </c>
      <c r="CQ220" s="1">
        <f t="shared" si="501"/>
        <v>0</v>
      </c>
      <c r="CR220" s="1">
        <f t="shared" si="502"/>
        <v>0</v>
      </c>
      <c r="CS220" s="1">
        <f t="shared" si="503"/>
        <v>9.0000000000000011E-3</v>
      </c>
      <c r="CT220" s="1">
        <f t="shared" si="504"/>
        <v>2.8999999999999998E-2</v>
      </c>
      <c r="CU220" s="1">
        <f t="shared" si="505"/>
        <v>3.9E-2</v>
      </c>
      <c r="CV220" s="304">
        <f t="shared" si="506"/>
        <v>1358</v>
      </c>
      <c r="CW220" s="20" t="s">
        <v>122</v>
      </c>
      <c r="CX220" s="20" t="s">
        <v>122</v>
      </c>
      <c r="CY220" s="20" t="s">
        <v>122</v>
      </c>
      <c r="CZ220" s="20" t="s">
        <v>122</v>
      </c>
      <c r="DA220" s="20" t="s">
        <v>122</v>
      </c>
      <c r="DB220" s="503">
        <f t="shared" si="507"/>
        <v>0</v>
      </c>
      <c r="DC220" s="127">
        <v>0</v>
      </c>
      <c r="DD220" s="127">
        <v>0</v>
      </c>
      <c r="DE220" s="127">
        <v>0</v>
      </c>
      <c r="DF220" s="127">
        <v>0</v>
      </c>
      <c r="DG220" s="127">
        <v>0</v>
      </c>
      <c r="DH220" s="127">
        <v>0</v>
      </c>
      <c r="DI220" s="127">
        <v>0</v>
      </c>
      <c r="DJ220" s="127">
        <v>0</v>
      </c>
      <c r="DK220" s="127">
        <v>0</v>
      </c>
      <c r="DL220" s="127">
        <v>0</v>
      </c>
      <c r="DM220" s="304">
        <f>INDEX(Input!$1:$1048576,DM$93,$C220*2+6)</f>
        <v>20731.578947368424</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2.8524097126740495E-2</v>
      </c>
      <c r="DZ220" s="7">
        <v>0</v>
      </c>
      <c r="EA220" s="7">
        <v>0.58174825311890754</v>
      </c>
      <c r="EB220" s="7">
        <v>0</v>
      </c>
      <c r="EC220" s="7">
        <v>0</v>
      </c>
      <c r="ED220" s="7">
        <v>0</v>
      </c>
      <c r="EE220" s="7">
        <v>0</v>
      </c>
      <c r="EF220" s="7">
        <v>0</v>
      </c>
      <c r="EG220" s="7">
        <v>0</v>
      </c>
      <c r="EH220" s="7">
        <v>2.4067446553715337E-2</v>
      </c>
      <c r="EI220" s="7">
        <v>3.9294273317349561E-2</v>
      </c>
      <c r="EJ220" s="7">
        <v>0.28410154888498135</v>
      </c>
      <c r="EK220" s="7">
        <v>0.58124454294975048</v>
      </c>
      <c r="EL220" s="7">
        <v>7.1292188294203321E-2</v>
      </c>
      <c r="EM220" s="7">
        <v>2.5092319947788579E-2</v>
      </c>
      <c r="EN220" s="7">
        <v>4.9735417264765082E-2</v>
      </c>
      <c r="EO220" s="7">
        <v>0.56167623667802369</v>
      </c>
      <c r="EP220" s="7">
        <v>0.28599368328851887</v>
      </c>
      <c r="EQ220" s="7">
        <v>6.3881283742076883E-2</v>
      </c>
      <c r="ER220" s="7">
        <v>3.8713379026615861E-2</v>
      </c>
      <c r="ES220" s="7">
        <v>0.36463532980656338</v>
      </c>
      <c r="ET220" s="7">
        <v>0.38972764975435192</v>
      </c>
      <c r="EU220" s="6">
        <v>1600</v>
      </c>
      <c r="EV220" s="6">
        <v>0</v>
      </c>
      <c r="EW220" s="6">
        <v>1600</v>
      </c>
      <c r="EX220" s="6">
        <v>0</v>
      </c>
      <c r="EY220" s="6">
        <v>2223.5487183059095</v>
      </c>
      <c r="EZ220" s="6">
        <v>2111</v>
      </c>
      <c r="FA220" s="6">
        <v>0</v>
      </c>
      <c r="FB220" s="6">
        <v>0</v>
      </c>
      <c r="FC220" s="6">
        <v>0</v>
      </c>
      <c r="FD220" s="6">
        <v>0</v>
      </c>
      <c r="FE220" s="6">
        <v>0</v>
      </c>
      <c r="FF220" s="6">
        <v>0</v>
      </c>
      <c r="FG220" s="6">
        <v>0</v>
      </c>
      <c r="FH220" s="6">
        <v>1154.7853692596095</v>
      </c>
      <c r="FI220" s="6">
        <v>1531.4299904380621</v>
      </c>
      <c r="FJ220" s="6">
        <v>1709.9775738488459</v>
      </c>
      <c r="FK220" s="6">
        <v>1266.3227157028193</v>
      </c>
      <c r="FL220" s="6">
        <v>893.9143356348934</v>
      </c>
      <c r="FM220" s="6">
        <v>1373.5487183059097</v>
      </c>
      <c r="FN220" s="6">
        <v>0</v>
      </c>
      <c r="FO220" s="6">
        <v>0</v>
      </c>
      <c r="FP220" s="6">
        <v>0</v>
      </c>
      <c r="FQ220" s="6">
        <v>0</v>
      </c>
      <c r="FR220" s="6">
        <v>0</v>
      </c>
      <c r="FS220" s="6">
        <v>0</v>
      </c>
      <c r="FT220" s="7">
        <v>0.61027235024564808</v>
      </c>
      <c r="FU220" s="7">
        <v>2.5092319947788579E-2</v>
      </c>
      <c r="FV220" s="7">
        <v>0.36463532980656338</v>
      </c>
      <c r="FW220" s="6">
        <v>1599.9999999999998</v>
      </c>
      <c r="FX220" s="6">
        <v>2223.5487183059095</v>
      </c>
      <c r="FY220" s="6">
        <v>2111</v>
      </c>
      <c r="FZ220" s="6">
        <v>2594.6978186474794</v>
      </c>
      <c r="GA220" s="6">
        <v>1801.9749374739195</v>
      </c>
      <c r="GB220" s="6">
        <v>17893.025062526081</v>
      </c>
      <c r="GC220" s="7">
        <v>9.6947029492584935E-2</v>
      </c>
      <c r="GD220" s="7">
        <v>8.8697744196712655E-2</v>
      </c>
      <c r="GE220" s="7"/>
      <c r="GF220" s="7"/>
      <c r="GG220" s="7">
        <v>-8.5090645263176765E-2</v>
      </c>
      <c r="GH220" s="42">
        <v>2.1140556154722003</v>
      </c>
      <c r="GI220" s="6">
        <v>11118.191528871812</v>
      </c>
      <c r="GJ220" s="14">
        <v>0.51074630601039572</v>
      </c>
      <c r="GK220" s="14">
        <v>0.50829519786160959</v>
      </c>
      <c r="GL220" s="14">
        <v>0.48925369398960461</v>
      </c>
      <c r="GM220" s="14">
        <v>0.49170480213839024</v>
      </c>
      <c r="GO220" s="5">
        <v>338.16872463277008</v>
      </c>
      <c r="GP220" s="5">
        <v>307.64377699166363</v>
      </c>
      <c r="GQ220" s="5">
        <v>527.27910984145694</v>
      </c>
      <c r="GR220" s="5">
        <v>404.20319246551543</v>
      </c>
      <c r="GS220" s="5">
        <v>334.50205195691484</v>
      </c>
      <c r="GT220" s="5">
        <v>289.18266033348181</v>
      </c>
      <c r="GU220" s="5">
        <v>254.29573314828914</v>
      </c>
      <c r="GV220" s="39" t="s">
        <v>392</v>
      </c>
      <c r="GW220" s="5">
        <v>468.76388888888891</v>
      </c>
      <c r="GX220" s="5">
        <v>351.57291666666669</v>
      </c>
      <c r="GY220" s="5">
        <v>287.73954748358943</v>
      </c>
      <c r="GZ220" s="5">
        <v>255.64660634518972</v>
      </c>
      <c r="HA220" s="5">
        <v>229.89195052129486</v>
      </c>
      <c r="HB220" s="39">
        <v>271.82669832182467</v>
      </c>
      <c r="HC220" s="5">
        <v>190.75937499999998</v>
      </c>
      <c r="HD220" s="5">
        <v>173.28879751461983</v>
      </c>
      <c r="HE220" s="5">
        <v>178.94016109986501</v>
      </c>
      <c r="HF220" s="5">
        <v>168.88629934210525</v>
      </c>
      <c r="HG220" s="5">
        <v>167.11410087719298</v>
      </c>
      <c r="HH220" s="39">
        <v>175.25367765682711</v>
      </c>
      <c r="HI220" s="16"/>
      <c r="HJ220" s="19" t="str">
        <f t="shared" ref="HJ220:HK220" si="819">HJ219</f>
        <v>On</v>
      </c>
      <c r="HK220" s="1" t="str">
        <f t="shared" si="819"/>
        <v>On</v>
      </c>
      <c r="HL220" s="16"/>
      <c r="HM220" s="639">
        <f t="shared" si="727"/>
        <v>5.0961701597560354E-2</v>
      </c>
      <c r="HN220" s="639">
        <f t="shared" si="728"/>
        <v>3.112551654761847E-3</v>
      </c>
      <c r="HO220" s="639">
        <f t="shared" si="729"/>
        <v>3.1163314184693442E-2</v>
      </c>
      <c r="HP220" s="644">
        <f>(FT220*$GD220-HM220)/$JF220*INDEX(Input!$1:$1048576,$JG$93,$C220*2+6)</f>
        <v>59.505391525050221</v>
      </c>
      <c r="HQ220" s="644">
        <f>(FU220*$GD220-HN220)/$JF220*INDEX(Input!$1:$1048576,$JG$93,$C220*2+6)</f>
        <v>-16.658829294926758</v>
      </c>
      <c r="HR220" s="644">
        <f>(FV220*$GD220-HO220)/$JF220*INDEX(Input!$1:$1048576,$JG$93,$C220*2+6)</f>
        <v>22.145238437679321</v>
      </c>
      <c r="HS220" s="644">
        <f t="shared" ref="HS220" si="820">IF(AND(HJ220="On",HK220="On"),IL220/1000*INDEX(KG:KG,MATCH(C220*1000+3,$KF:$KF,0))*SUM(HY220:IA220)*1.1
+INDEX(HR:HR,MATCH(C220*1000+4,$KF:$KF,0))/INDEX(IM:IM,MATCH(C220*1000+4,$KF:$KF,0))*IM220*20%,0)</f>
        <v>-8.0505960123554594</v>
      </c>
      <c r="HT220" s="644">
        <f t="shared" si="731"/>
        <v>-4.9547997510376307</v>
      </c>
      <c r="HU220" s="644">
        <f t="shared" si="732"/>
        <v>29.725488888217331</v>
      </c>
      <c r="HV220" s="648">
        <f t="shared" si="733"/>
        <v>0</v>
      </c>
      <c r="HW220" s="648">
        <f t="shared" si="734"/>
        <v>0</v>
      </c>
      <c r="HX220" s="648">
        <f t="shared" si="735"/>
        <v>0</v>
      </c>
      <c r="HY220" s="644">
        <f>INDEX(Input!$1:$1048576,HY$93,$C220*2+6)*INDEX(Input!$1:$1048576,$JG$93,$C220*2+6)</f>
        <v>555</v>
      </c>
      <c r="HZ220" s="644">
        <f>INDEX(Input!$1:$1048576,HZ$93,$C220*2+6)*INDEX(Input!$1:$1048576,$JG$93,$C220*2+6)</f>
        <v>480</v>
      </c>
      <c r="IA220" s="644">
        <f>INDEX(Input!$1:$1048576,IA$93,$C220*2+6)*INDEX(Input!$1:$1048576,$JG$93,$C220*2+6)</f>
        <v>566</v>
      </c>
      <c r="IB220" s="644">
        <f t="shared" si="759"/>
        <v>606.45479551269489</v>
      </c>
      <c r="IC220" s="644">
        <f t="shared" si="760"/>
        <v>458.38637095403561</v>
      </c>
      <c r="ID220" s="644">
        <f>IF(AND(INDEX(Input!$1:$1048576,IA$93,$C220*2+7)="TOS",Y220&lt;=INDEX(Y:Y,MATCH(C220*1000+2,A:A))),0,1)*MAX(IA220+HR220+HU220+HX220,0%)</f>
        <v>617.87072732589661</v>
      </c>
      <c r="IE220" s="128">
        <f t="shared" ref="IE220" si="821">IB220/SUM($IB220:$ID220)</f>
        <v>0.36040322633354654</v>
      </c>
      <c r="IF220" s="128">
        <f t="shared" si="736"/>
        <v>0.27240930110792094</v>
      </c>
      <c r="IG220" s="128">
        <f t="shared" si="737"/>
        <v>0.36718747255853257</v>
      </c>
      <c r="IH220" s="21"/>
      <c r="II220" s="19">
        <f t="shared" si="738"/>
        <v>1200</v>
      </c>
      <c r="IJ220" s="19">
        <f t="shared" si="739"/>
        <v>2226.7968732767699</v>
      </c>
      <c r="IK220" s="19">
        <f t="shared" si="740"/>
        <v>1786</v>
      </c>
      <c r="IL220" s="19">
        <f t="shared" si="762"/>
        <v>399.99999999999977</v>
      </c>
      <c r="IM220" s="19">
        <f t="shared" si="741"/>
        <v>-3.2481549708604689</v>
      </c>
      <c r="IN220" s="19">
        <f t="shared" si="742"/>
        <v>325</v>
      </c>
      <c r="IO220" s="39">
        <f t="shared" si="743"/>
        <v>0</v>
      </c>
      <c r="IP220" s="39">
        <f t="shared" si="744"/>
        <v>0</v>
      </c>
      <c r="IQ220" s="39">
        <f t="shared" si="745"/>
        <v>0</v>
      </c>
      <c r="IR220" s="39">
        <v>0</v>
      </c>
      <c r="IS220" s="39">
        <v>0</v>
      </c>
      <c r="IT220" s="39">
        <v>0</v>
      </c>
      <c r="IU220" s="39">
        <v>0</v>
      </c>
      <c r="IV220" s="39">
        <v>0</v>
      </c>
      <c r="IW220" s="39">
        <v>0</v>
      </c>
      <c r="IX220" s="39">
        <f>INDEX(Input!$1:$1048576,IX$93,$C220*2+6)+INDEX(Input!$1:$1048576,IX$94,$C220*2+6)</f>
        <v>1600</v>
      </c>
      <c r="IY220" s="39">
        <f>INDEX(Input!$1:$1048576,IY$93,$C220*2+6)+INDEX(Input!$1:$1048576,IY$94,$C220*2+6)</f>
        <v>2503.5492916397525</v>
      </c>
      <c r="IZ220" s="39">
        <f>INDEX(Input!$1:$1048576,IZ$93,$C220*2+6)+INDEX(Input!$1:$1048576,IZ$94,$C220*2+6)</f>
        <v>5773.7109265464023</v>
      </c>
      <c r="JA220" s="19">
        <f t="shared" si="763"/>
        <v>1999.9999999999998</v>
      </c>
      <c r="JB220" s="19">
        <f t="shared" si="764"/>
        <v>2500.301136668892</v>
      </c>
      <c r="JC220" s="19">
        <f t="shared" si="765"/>
        <v>6098.7109265464023</v>
      </c>
      <c r="JD220" s="19">
        <f t="shared" si="766"/>
        <v>3641.2819888500862</v>
      </c>
      <c r="JE220" s="21"/>
      <c r="JF220" s="1">
        <f t="shared" si="746"/>
        <v>8.5237567437015646E-2</v>
      </c>
      <c r="JG220" s="15">
        <f>INDEX(Input!$1:$1048576,JG$93,$C220*2+6)/(1+VLOOKUP(C220*1000+INDEX(Input!$1:$1048576,JG$93+1,$C220*2+6),$A:$KK,$JK$92,FALSE))</f>
        <v>1601</v>
      </c>
      <c r="JH220" s="1">
        <f t="shared" si="767"/>
        <v>4.0594503852468954E-2</v>
      </c>
      <c r="JI220" s="1">
        <f t="shared" si="768"/>
        <v>1.0443530996142562E-2</v>
      </c>
      <c r="JJ220" s="1">
        <f t="shared" ref="JJ220" si="822">SUM(HV220:HX220)/SUM(HY220:IA220)</f>
        <v>0</v>
      </c>
      <c r="JK220" s="1">
        <f t="shared" ref="JK220" si="823">SUM(JH220:JJ220)</f>
        <v>5.1038034848611517E-2</v>
      </c>
      <c r="JL220" s="15">
        <f t="shared" si="771"/>
        <v>81.711893792627038</v>
      </c>
      <c r="JM220" s="15">
        <f t="shared" si="795"/>
        <v>1682.7118937926271</v>
      </c>
      <c r="JN220" s="21"/>
      <c r="JO220" s="19">
        <f>INDEX(Input!$1:$1048576,JO$93,$C220*2+6)</f>
        <v>5908.5</v>
      </c>
      <c r="JP220" s="19">
        <f>INDEX(Input!$1:$1048576,JP$93,$C220*2+6)</f>
        <v>3346.4235130620518</v>
      </c>
      <c r="JQ220" s="39">
        <f t="shared" si="781"/>
        <v>2267.2180111499138</v>
      </c>
      <c r="JR220" s="39">
        <f t="shared" si="798"/>
        <v>294.85847578803441</v>
      </c>
      <c r="JS220" s="39">
        <f t="shared" si="783"/>
        <v>6.1272285112909124</v>
      </c>
      <c r="JT220" s="39">
        <f t="shared" si="773"/>
        <v>0.76960446687856787</v>
      </c>
      <c r="JU220" s="385">
        <f>(JQ220*JM220-INDEX(Input!$1:$1048576,Input!A$18,$C220*2+6)*JL220*INDEX(Input!$1:$1048576,Input!A$19,$C220*2+6))/1000000</f>
        <v>3.8150747131828249</v>
      </c>
      <c r="JV220" s="39">
        <f t="shared" si="805"/>
        <v>-0.28680974240482993</v>
      </c>
      <c r="JW220" s="1">
        <f t="shared" si="796"/>
        <v>-6.9921458176164117E-2</v>
      </c>
      <c r="JX220" s="19">
        <f t="shared" si="787"/>
        <v>9418.5121792882765</v>
      </c>
      <c r="JZ220" s="341"/>
      <c r="KA220" s="342"/>
      <c r="KB220" s="469">
        <f t="shared" si="784"/>
        <v>2.4482969984810516</v>
      </c>
      <c r="KI220" s="473">
        <f t="shared" si="812"/>
        <v>51.454795512694886</v>
      </c>
      <c r="KJ220" s="473">
        <f t="shared" si="813"/>
        <v>-21.613629045964387</v>
      </c>
      <c r="KK220" s="473">
        <f t="shared" si="775"/>
        <v>51.87072732589661</v>
      </c>
      <c r="KN220" s="544">
        <f t="shared" si="788"/>
        <v>2002</v>
      </c>
      <c r="KO220" s="541">
        <f t="shared" si="750"/>
        <v>-2.6072491841524603E-2</v>
      </c>
      <c r="KP220" s="546">
        <f t="shared" si="751"/>
        <v>-109.85202059390518</v>
      </c>
      <c r="KQ220" s="546">
        <f t="shared" si="752"/>
        <v>-84.321586106452287</v>
      </c>
      <c r="KR220" s="548">
        <f t="shared" si="753"/>
        <v>3.7902075515315414</v>
      </c>
      <c r="KS220" s="548">
        <f t="shared" si="754"/>
        <v>4.9377861260861389</v>
      </c>
      <c r="KT220" s="473">
        <f t="shared" si="786"/>
        <v>528.59039248727379</v>
      </c>
      <c r="KU220" s="663">
        <f t="shared" si="776"/>
        <v>11.809586035807856</v>
      </c>
      <c r="KV220" s="117"/>
    </row>
    <row r="221" spans="1:308" s="26" customFormat="1" ht="15">
      <c r="A221" s="561">
        <f t="shared" si="755"/>
        <v>2021</v>
      </c>
      <c r="B221" s="561">
        <f t="shared" si="777"/>
        <v>21</v>
      </c>
      <c r="C221" s="561">
        <f t="shared" si="105"/>
        <v>2</v>
      </c>
      <c r="D221" s="561" t="str">
        <f t="shared" ref="D221:D252" si="824">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0/0/0.9/3.9, </v>
      </c>
      <c r="E221" s="475">
        <f>INDEX(Input!$1:$1048576,E$93,$C221*2+MIN($B221,2)+5)
+INDEX(Scenarios!E$121:E$200,MATCH($B221,Scenarios!$B$121:$B$200,0))</f>
        <v>1250</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8.9999999999999993E-3</v>
      </c>
      <c r="W221" s="863">
        <f>IFERROR(MAX(0,INDEX(Input!$1:$1048576,W$93,$C221*2+MIN($B221,2)+5)-0%,),"Market")</f>
        <v>3.9E-2</v>
      </c>
      <c r="X221" s="476" t="str">
        <f>INDEX(Input!$1:$1048576,X$93,$C221*2+MIN($B221,2)+5)</f>
        <v>Y</v>
      </c>
      <c r="Y221" s="475">
        <f>INDEX(Input!$1:$1048576,Y$93,$C221*2+MIN($B221,2)+5)
++INDEX(Scenarios!Y$121:Y$200,MATCH($B221,Scenarios!$B$121:$B$200,0))</f>
        <v>1358</v>
      </c>
      <c r="Z221" s="477">
        <f>INDEX(Input!$1:$1048576,Z$93,$C221*2+MIN($B221,2)+5)
+INDEX(Scenarios!Z$121:Z$200,MATCH($B221,Scenarios!$B$121:$B$200,0))</f>
        <v>0</v>
      </c>
      <c r="AA221" s="475">
        <f>INDEX(Input!$1:$1048576,AA$93,$C221*2+MIN($B221,2)+5)</f>
        <v>0</v>
      </c>
      <c r="AB221" s="476">
        <f>INDEX(Input!$1:$1048576,AB$93,$C221*2+MIN($B221,2)+5)</f>
        <v>1</v>
      </c>
      <c r="AC221" s="475">
        <f>INDEX(Input!$1:$1048576,AC$93,$C221*2+MIN($B221,2)+5)
+INDEX(Scenarios!AC$121:AC$200,MATCH($B221,Scenarios!$B$121:$B$200,0))</f>
        <v>0</v>
      </c>
      <c r="AD221" s="476">
        <f>INDEX(Input!$1:$1048576,AD$93,$C221*2+MIN($B221,2)+5)</f>
        <v>0.35</v>
      </c>
      <c r="AE221" s="475">
        <f>INDEX(Input!$1:$1048576,AE$93,$C221*2+MIN($B221,2)+5)
+INDEX(Scenarios!AE$121:AE$200,MATCH($B221,Scenarios!$B$121:$B$200,0))</f>
        <v>0</v>
      </c>
      <c r="AF221" s="476">
        <f>INDEX(Input!$1:$1048576,AF$93,$C221*2+MIN($B221,2)+5)</f>
        <v>1</v>
      </c>
      <c r="AG221" s="475">
        <f>INDEX(Input!$1:$1048576,AG$93,$C221*2+MIN($B221,2)+5)
+INDEX(Scenarios!AG$121:AG$200,MATCH($B221,Scenarios!$B$121:$B$200,0))</f>
        <v>0</v>
      </c>
      <c r="AH221" s="476">
        <f>INDEX(Input!$1:$1048576,AH$93,$C221*2+MIN($B221,2)+5)</f>
        <v>1</v>
      </c>
      <c r="AI221" s="475">
        <f>INDEX(Input!$1:$1048576,AI$93,$C221*2+MIN($B221,2)+5)
+INDEX(Scenarios!AI$121:AI$200,MATCH($B221,Scenarios!$B$121:$B$200,0))</f>
        <v>0</v>
      </c>
      <c r="AJ221" s="476">
        <f>INDEX(Input!$1:$1048576,AJ$93,$C221*2+MIN($B221,2)+5)</f>
        <v>0.35</v>
      </c>
      <c r="AK221" s="150">
        <f>ROUND(INDEX(Input!$1:$1048576,AK$93,$C220*2+MIN($B221,1)+5)+(Y221-VLOOKUP($C221*1000+1,$A:$HH,Y$92,FALSE)),0)</f>
        <v>4982</v>
      </c>
      <c r="AL221" s="150">
        <f>ROUND(INDEX(Input!$1:$1048576,AL$93,$C220*2+MIN($B221,1)+5)-(Y221-VLOOKUP($C221*1000+1,$A:$HH,Y$92,FALSE))/36,0)</f>
        <v>5102</v>
      </c>
      <c r="AM221" s="32" t="str">
        <f t="shared" si="756"/>
        <v>std/std/std/std</v>
      </c>
      <c r="AN221" s="32" t="str">
        <f t="shared" si="757"/>
        <v>$0 + 0/0/0/0.9/3.9</v>
      </c>
      <c r="AO221" s="32" t="str">
        <f t="shared" si="758"/>
        <v>0/0/0/0.9/3.9</v>
      </c>
      <c r="AP221" s="32" t="str">
        <f t="shared" si="493"/>
        <v>0/0/0.9/3.9</v>
      </c>
      <c r="AQ221" s="536">
        <f t="shared" si="492"/>
        <v>0.33348845914677583</v>
      </c>
      <c r="AR221" s="32"/>
      <c r="AS221" s="302"/>
      <c r="AT221" s="3">
        <f t="shared" si="810"/>
        <v>21</v>
      </c>
      <c r="AU221" s="41" t="s">
        <v>121</v>
      </c>
      <c r="AV221" s="41" t="s">
        <v>116</v>
      </c>
      <c r="AW221" s="41" t="str">
        <f>INDEX(Input!$1:$1048576,AW$93,$C221*2+6)</f>
        <v>Kia</v>
      </c>
      <c r="AX221" s="41" t="str">
        <f>INDEX(Input!$1:$1048576,AX$93,$C221*2+6)</f>
        <v>Kia-LR - L2</v>
      </c>
      <c r="AY221" s="41" t="str">
        <f>IF(LEN(D221)=0,"",INDEX(Input!$1:$1048576,AY$93,$C221*2+6))</f>
        <v>Compact Conventional/Sporty Car (43)</v>
      </c>
      <c r="AZ221" s="41" t="str">
        <f>INDEX(Input!$1:$1048576,AZ$93,$C221*2+6)</f>
        <v>Kia Forte</v>
      </c>
      <c r="BA221" s="3">
        <f>INDEX(Input!$1:$1048576,BA$93,$C221*2+6)</f>
        <v>2020</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19695</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94"/>
        <v>1250</v>
      </c>
      <c r="CJ221" s="16" t="str">
        <f>INDEX(Input!$1:$1048576,CJ$93,$C221*2+6)</f>
        <v>N</v>
      </c>
      <c r="CK221" s="1" t="str">
        <f t="shared" si="495"/>
        <v>Market</v>
      </c>
      <c r="CL221" s="1" t="str">
        <f t="shared" si="496"/>
        <v>Market</v>
      </c>
      <c r="CM221" s="1" t="str">
        <f t="shared" si="497"/>
        <v>Market</v>
      </c>
      <c r="CN221" s="1" t="str">
        <f t="shared" si="498"/>
        <v>Market</v>
      </c>
      <c r="CO221" s="1" t="str">
        <f t="shared" si="499"/>
        <v>Market</v>
      </c>
      <c r="CP221" s="304">
        <f t="shared" si="500"/>
        <v>0</v>
      </c>
      <c r="CQ221" s="1">
        <f t="shared" si="501"/>
        <v>0</v>
      </c>
      <c r="CR221" s="1">
        <f t="shared" si="502"/>
        <v>0</v>
      </c>
      <c r="CS221" s="1">
        <f t="shared" si="503"/>
        <v>0</v>
      </c>
      <c r="CT221" s="1">
        <f t="shared" si="504"/>
        <v>8.9999999999999993E-3</v>
      </c>
      <c r="CU221" s="1">
        <f t="shared" si="505"/>
        <v>3.9E-2</v>
      </c>
      <c r="CV221" s="304">
        <f t="shared" si="506"/>
        <v>1358</v>
      </c>
      <c r="CW221" s="20" t="s">
        <v>122</v>
      </c>
      <c r="CX221" s="20" t="s">
        <v>122</v>
      </c>
      <c r="CY221" s="20" t="s">
        <v>122</v>
      </c>
      <c r="CZ221" s="20" t="s">
        <v>122</v>
      </c>
      <c r="DA221" s="20" t="s">
        <v>122</v>
      </c>
      <c r="DB221" s="503">
        <f t="shared" si="507"/>
        <v>0</v>
      </c>
      <c r="DC221" s="127">
        <v>0</v>
      </c>
      <c r="DD221" s="127">
        <v>0</v>
      </c>
      <c r="DE221" s="127">
        <v>0</v>
      </c>
      <c r="DF221" s="127">
        <v>0</v>
      </c>
      <c r="DG221" s="127">
        <v>0</v>
      </c>
      <c r="DH221" s="127">
        <v>0</v>
      </c>
      <c r="DI221" s="127">
        <v>0</v>
      </c>
      <c r="DJ221" s="127">
        <v>0</v>
      </c>
      <c r="DK221" s="127">
        <v>0</v>
      </c>
      <c r="DL221" s="127">
        <v>0</v>
      </c>
      <c r="DM221" s="304">
        <f>INDEX(Input!$1:$1048576,DM$93,$C221*2+6)</f>
        <v>20731.578947368424</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2.776166668115948E-2</v>
      </c>
      <c r="DZ221" s="7">
        <v>0</v>
      </c>
      <c r="EA221" s="7">
        <v>0.56624925374313928</v>
      </c>
      <c r="EB221" s="7">
        <v>0</v>
      </c>
      <c r="EC221" s="7">
        <v>0</v>
      </c>
      <c r="ED221" s="7">
        <v>0</v>
      </c>
      <c r="EE221" s="7">
        <v>0</v>
      </c>
      <c r="EF221" s="7">
        <v>0</v>
      </c>
      <c r="EG221" s="7">
        <v>0</v>
      </c>
      <c r="EH221" s="7">
        <v>1.1562783079939999E-2</v>
      </c>
      <c r="EI221" s="7">
        <v>1.8884725987221497E-2</v>
      </c>
      <c r="EJ221" s="7">
        <v>0.18972130209570573</v>
      </c>
      <c r="EK221" s="7">
        <v>0.74558857567949699</v>
      </c>
      <c r="EL221" s="7">
        <v>3.4242613157635639E-2</v>
      </c>
      <c r="EM221" s="7">
        <v>5.0813854696443769E-2</v>
      </c>
      <c r="EN221" s="7">
        <v>4.9729701940271522E-2</v>
      </c>
      <c r="EO221" s="7">
        <v>0.56165423141121629</v>
      </c>
      <c r="EP221" s="7">
        <v>0.28602086896996864</v>
      </c>
      <c r="EQ221" s="7">
        <v>6.3876437110191378E-2</v>
      </c>
      <c r="ER221" s="7">
        <v>3.8718760568352446E-2</v>
      </c>
      <c r="ES221" s="7">
        <v>0.35517522487925729</v>
      </c>
      <c r="ET221" s="7">
        <v>0.40598907957570124</v>
      </c>
      <c r="EU221" s="6">
        <v>1600</v>
      </c>
      <c r="EV221" s="6">
        <v>0</v>
      </c>
      <c r="EW221" s="6">
        <v>1600</v>
      </c>
      <c r="EX221" s="6">
        <v>0</v>
      </c>
      <c r="EY221" s="6">
        <v>2969.9350857626137</v>
      </c>
      <c r="EZ221" s="6">
        <v>2111</v>
      </c>
      <c r="FA221" s="6">
        <v>0</v>
      </c>
      <c r="FB221" s="6">
        <v>0</v>
      </c>
      <c r="FC221" s="6">
        <v>0</v>
      </c>
      <c r="FD221" s="6">
        <v>0</v>
      </c>
      <c r="FE221" s="6">
        <v>0</v>
      </c>
      <c r="FF221" s="6">
        <v>0</v>
      </c>
      <c r="FG221" s="6">
        <v>0</v>
      </c>
      <c r="FH221" s="6">
        <v>1154.7837494697146</v>
      </c>
      <c r="FI221" s="6">
        <v>1531.4299904380625</v>
      </c>
      <c r="FJ221" s="6">
        <v>2070.7205842538228</v>
      </c>
      <c r="FK221" s="6">
        <v>2218.639369850101</v>
      </c>
      <c r="FL221" s="6">
        <v>893.91433563489363</v>
      </c>
      <c r="FM221" s="6">
        <v>2119.9350857626137</v>
      </c>
      <c r="FN221" s="6">
        <v>0</v>
      </c>
      <c r="FO221" s="6">
        <v>0</v>
      </c>
      <c r="FP221" s="6">
        <v>0</v>
      </c>
      <c r="FQ221" s="6">
        <v>0</v>
      </c>
      <c r="FR221" s="6">
        <v>0</v>
      </c>
      <c r="FS221" s="6">
        <v>0</v>
      </c>
      <c r="FT221" s="7">
        <v>0.59401092042429871</v>
      </c>
      <c r="FU221" s="7">
        <v>5.0813854696443769E-2</v>
      </c>
      <c r="FV221" s="7">
        <v>0.35517522487925729</v>
      </c>
      <c r="FW221" s="6">
        <v>1600</v>
      </c>
      <c r="FX221" s="6">
        <v>2969.9350857626132</v>
      </c>
      <c r="FY221" s="6">
        <v>2111</v>
      </c>
      <c r="FZ221" s="6">
        <v>2594.6978186474794</v>
      </c>
      <c r="GA221" s="6">
        <v>1851.1062223048016</v>
      </c>
      <c r="GB221" s="6">
        <v>17843.893777695197</v>
      </c>
      <c r="GC221" s="7">
        <v>9.6947029492584935E-2</v>
      </c>
      <c r="GD221" s="7">
        <v>8.968964261155403E-2</v>
      </c>
      <c r="GE221" s="7"/>
      <c r="GF221" s="7"/>
      <c r="GG221" s="7">
        <v>-7.4859301197939154E-2</v>
      </c>
      <c r="GH221" s="42">
        <v>1.9827469061578371</v>
      </c>
      <c r="GI221" s="6">
        <v>11784.295344342028</v>
      </c>
      <c r="GJ221" s="14">
        <v>0.51074630601039539</v>
      </c>
      <c r="GK221" s="14">
        <v>0.50829519786160993</v>
      </c>
      <c r="GL221" s="14">
        <v>0.48925369398960422</v>
      </c>
      <c r="GM221" s="14">
        <v>0.49170480213839024</v>
      </c>
      <c r="GO221" s="5">
        <v>338.16872463277008</v>
      </c>
      <c r="GP221" s="5">
        <v>307.64377699166363</v>
      </c>
      <c r="GQ221" s="5">
        <v>527.27910984145694</v>
      </c>
      <c r="GR221" s="5">
        <v>404.20319246551543</v>
      </c>
      <c r="GS221" s="5">
        <v>334.50205195691484</v>
      </c>
      <c r="GT221" s="5">
        <v>289.18266033348181</v>
      </c>
      <c r="GU221" s="5">
        <v>254.29573314828914</v>
      </c>
      <c r="GV221" s="39" t="s">
        <v>392</v>
      </c>
      <c r="GW221" s="5">
        <v>468.76388888888891</v>
      </c>
      <c r="GX221" s="5">
        <v>351.57291666666669</v>
      </c>
      <c r="GY221" s="5">
        <v>281.25833333333333</v>
      </c>
      <c r="GZ221" s="5">
        <v>240.8550698915011</v>
      </c>
      <c r="HA221" s="5">
        <v>229.89195052129486</v>
      </c>
      <c r="HB221" s="39">
        <v>252.87116021932263</v>
      </c>
      <c r="HC221" s="5">
        <v>190.75937499999998</v>
      </c>
      <c r="HD221" s="5">
        <v>173.28879751461983</v>
      </c>
      <c r="HE221" s="5">
        <v>178.94016109986501</v>
      </c>
      <c r="HF221" s="5">
        <v>168.88629934210525</v>
      </c>
      <c r="HG221" s="5">
        <v>167.11410087719298</v>
      </c>
      <c r="HH221" s="39">
        <v>175.25371955087823</v>
      </c>
      <c r="HI221" s="16"/>
      <c r="HJ221" s="19" t="str">
        <f t="shared" ref="HJ221:HK234" si="825">HJ220</f>
        <v>On</v>
      </c>
      <c r="HK221" s="1" t="str">
        <f t="shared" si="825"/>
        <v>On</v>
      </c>
      <c r="HL221" s="16"/>
      <c r="HM221" s="639">
        <f t="shared" si="727"/>
        <v>5.0961701597560354E-2</v>
      </c>
      <c r="HN221" s="639">
        <f t="shared" si="728"/>
        <v>3.112551654761847E-3</v>
      </c>
      <c r="HO221" s="639">
        <f t="shared" si="729"/>
        <v>3.1163314184693442E-2</v>
      </c>
      <c r="HP221" s="644">
        <f>(FT221*$GD221-HM221)/$JF221*INDEX(Input!$1:$1048576,$JG$93,$C221*2+6)</f>
        <v>43.480778924735006</v>
      </c>
      <c r="HQ221" s="644">
        <f>(FU221*$GD221-HN221)/$JF221*INDEX(Input!$1:$1048576,$JG$93,$C221*2+6)</f>
        <v>27.139730692177082</v>
      </c>
      <c r="HR221" s="644">
        <f>(FV221*$GD221-HO221)/$JF221*INDEX(Input!$1:$1048576,$JG$93,$C221*2+6)</f>
        <v>13.001918483265982</v>
      </c>
      <c r="HS221" s="644">
        <f t="shared" ref="HS221:HS232" si="826">IF(AND(HJ221="On",HK221="On"),IL221/1000*INDEX(KG:KG,MATCH(C221*1000+3,$KF:$KF,0))*SUM(HY221:IA221)*1.1
+INDEX(HR:HR,MATCH(C221*1000+4,$KF:$KF,0))/INDEX(IM:IM,MATCH(C221*1000+4,$KF:$KF,0))*IM221*20%,0)</f>
        <v>-8.5586415795989392</v>
      </c>
      <c r="HT221" s="644">
        <f t="shared" si="731"/>
        <v>62.645864807484287</v>
      </c>
      <c r="HU221" s="644">
        <f t="shared" si="732"/>
        <v>30.233534455460809</v>
      </c>
      <c r="HV221" s="648">
        <f t="shared" si="733"/>
        <v>0</v>
      </c>
      <c r="HW221" s="648">
        <f t="shared" si="734"/>
        <v>0</v>
      </c>
      <c r="HX221" s="648">
        <f t="shared" si="735"/>
        <v>0</v>
      </c>
      <c r="HY221" s="644">
        <f>INDEX(Input!$1:$1048576,HY$93,$C221*2+6)*INDEX(Input!$1:$1048576,$JG$93,$C221*2+6)</f>
        <v>555</v>
      </c>
      <c r="HZ221" s="644">
        <f>INDEX(Input!$1:$1048576,HZ$93,$C221*2+6)*INDEX(Input!$1:$1048576,$JG$93,$C221*2+6)</f>
        <v>480</v>
      </c>
      <c r="IA221" s="644">
        <f>INDEX(Input!$1:$1048576,IA$93,$C221*2+6)*INDEX(Input!$1:$1048576,$JG$93,$C221*2+6)</f>
        <v>566</v>
      </c>
      <c r="IB221" s="644">
        <f t="shared" si="759"/>
        <v>589.92213734513632</v>
      </c>
      <c r="IC221" s="644">
        <f t="shared" si="760"/>
        <v>569.78559549966133</v>
      </c>
      <c r="ID221" s="644">
        <f>IF(AND(INDEX(Input!$1:$1048576,IA$93,$C221*2+7)="TOS",Y221&lt;=INDEX(Y:Y,MATCH(C221*1000+2,A:A))),0,1)*MAX(IA221+HR221+HU221+HX221,0%)</f>
        <v>609.23545293872678</v>
      </c>
      <c r="IE221" s="128">
        <f t="shared" ref="IE221:IE232" si="827">IB221/SUM($IB221:$ID221)</f>
        <v>0.33348845914677583</v>
      </c>
      <c r="IF221" s="128">
        <f t="shared" si="736"/>
        <v>0.3221050851598064</v>
      </c>
      <c r="IG221" s="128">
        <f t="shared" si="737"/>
        <v>0.34440645569341782</v>
      </c>
      <c r="IH221" s="21"/>
      <c r="II221" s="19">
        <f t="shared" si="738"/>
        <v>1200</v>
      </c>
      <c r="IJ221" s="19">
        <f t="shared" si="739"/>
        <v>2226.7968732767699</v>
      </c>
      <c r="IK221" s="19">
        <f t="shared" si="740"/>
        <v>1786</v>
      </c>
      <c r="IL221" s="19">
        <f t="shared" si="762"/>
        <v>400</v>
      </c>
      <c r="IM221" s="19">
        <f t="shared" si="741"/>
        <v>743.13821248584327</v>
      </c>
      <c r="IN221" s="19">
        <f t="shared" si="742"/>
        <v>325</v>
      </c>
      <c r="IO221" s="39">
        <f t="shared" si="743"/>
        <v>0</v>
      </c>
      <c r="IP221" s="39">
        <f t="shared" si="744"/>
        <v>0</v>
      </c>
      <c r="IQ221" s="39">
        <f t="shared" si="745"/>
        <v>0</v>
      </c>
      <c r="IR221" s="39">
        <v>0</v>
      </c>
      <c r="IS221" s="39">
        <v>0</v>
      </c>
      <c r="IT221" s="39">
        <v>0</v>
      </c>
      <c r="IU221" s="39">
        <v>0</v>
      </c>
      <c r="IV221" s="39">
        <v>0</v>
      </c>
      <c r="IW221" s="39">
        <v>0</v>
      </c>
      <c r="IX221" s="39">
        <f>INDEX(Input!$1:$1048576,IX$93,$C221*2+6)+INDEX(Input!$1:$1048576,IX$94,$C221*2+6)</f>
        <v>1600</v>
      </c>
      <c r="IY221" s="39">
        <f>INDEX(Input!$1:$1048576,IY$93,$C221*2+6)+INDEX(Input!$1:$1048576,IY$94,$C221*2+6)</f>
        <v>2503.5492916397525</v>
      </c>
      <c r="IZ221" s="39">
        <f>INDEX(Input!$1:$1048576,IZ$93,$C221*2+6)+INDEX(Input!$1:$1048576,IZ$94,$C221*2+6)</f>
        <v>5773.7109265464023</v>
      </c>
      <c r="JA221" s="19">
        <f t="shared" si="763"/>
        <v>2000</v>
      </c>
      <c r="JB221" s="19">
        <f t="shared" si="764"/>
        <v>3246.6875041255958</v>
      </c>
      <c r="JC221" s="19">
        <f t="shared" si="765"/>
        <v>6098.7109265464023</v>
      </c>
      <c r="JD221" s="19">
        <f t="shared" si="766"/>
        <v>3813.1868878077726</v>
      </c>
      <c r="JE221" s="21"/>
      <c r="JF221" s="1">
        <f t="shared" si="746"/>
        <v>8.5237567437015646E-2</v>
      </c>
      <c r="JG221" s="15">
        <f>INDEX(Input!$1:$1048576,JG$93,$C221*2+6)/(1+VLOOKUP(C221*1000+INDEX(Input!$1:$1048576,JG$93+1,$C221*2+6),$A:$KK,$JK$92,FALSE))</f>
        <v>1601</v>
      </c>
      <c r="JH221" s="1">
        <f t="shared" si="767"/>
        <v>5.2231372954514722E-2</v>
      </c>
      <c r="JI221" s="1">
        <f t="shared" si="768"/>
        <v>5.2667556329385481E-2</v>
      </c>
      <c r="JJ221" s="1">
        <f t="shared" ref="JJ221:JJ261" si="828">SUM(HV221:HX221)/SUM(HY221:IA221)</f>
        <v>0</v>
      </c>
      <c r="JK221" s="1">
        <f t="shared" ref="JK221:JK261" si="829">SUM(JH221:JJ221)</f>
        <v>0.10489892928390021</v>
      </c>
      <c r="JL221" s="15">
        <f t="shared" si="771"/>
        <v>167.94318578352423</v>
      </c>
      <c r="JM221" s="15">
        <f t="shared" si="795"/>
        <v>1768.9431857835243</v>
      </c>
      <c r="JN221" s="21"/>
      <c r="JO221" s="19">
        <f>INDEX(Input!$1:$1048576,JO$93,$C221*2+6)</f>
        <v>5908.5</v>
      </c>
      <c r="JP221" s="19">
        <f>INDEX(Input!$1:$1048576,JP$93,$C221*2+6)</f>
        <v>3346.4235130620518</v>
      </c>
      <c r="JQ221" s="39">
        <f t="shared" si="781"/>
        <v>2095.3131121922274</v>
      </c>
      <c r="JR221" s="39">
        <f t="shared" si="798"/>
        <v>466.76337474572074</v>
      </c>
      <c r="JS221" s="39">
        <f t="shared" si="783"/>
        <v>6.745310961306644</v>
      </c>
      <c r="JT221" s="39">
        <f t="shared" si="773"/>
        <v>1.3876869168942989</v>
      </c>
      <c r="JU221" s="385">
        <f>(JQ221*JM221-INDEX(Input!$1:$1048576,Input!A$18,$C221*2+6)*JL221*INDEX(Input!$1:$1048576,Input!A$19,$C221*2+6))/1000000</f>
        <v>3.7064898518953098</v>
      </c>
      <c r="JV221" s="39">
        <f t="shared" si="805"/>
        <v>-0.39539460369234503</v>
      </c>
      <c r="JW221" s="1">
        <f t="shared" si="796"/>
        <v>-9.6393403562046218E-2</v>
      </c>
      <c r="JX221" s="19">
        <f t="shared" si="787"/>
        <v>8262.835496541089</v>
      </c>
      <c r="JZ221" s="341"/>
      <c r="KA221" s="342"/>
      <c r="KB221" s="469">
        <f t="shared" si="784"/>
        <v>2.4482969984810516</v>
      </c>
      <c r="KI221" s="473">
        <f t="shared" si="812"/>
        <v>34.922137345136321</v>
      </c>
      <c r="KJ221" s="473">
        <f t="shared" si="813"/>
        <v>89.785595499661326</v>
      </c>
      <c r="KK221" s="473">
        <f t="shared" si="775"/>
        <v>43.23545293872678</v>
      </c>
      <c r="KN221" s="544">
        <f t="shared" si="788"/>
        <v>2002</v>
      </c>
      <c r="KO221" s="541">
        <f t="shared" si="750"/>
        <v>2.3836840613892463E-2</v>
      </c>
      <c r="KP221" s="546">
        <f t="shared" si="751"/>
        <v>110.52245713434431</v>
      </c>
      <c r="KQ221" s="546">
        <f t="shared" si="752"/>
        <v>87.583312851234041</v>
      </c>
      <c r="KR221" s="548">
        <f t="shared" si="753"/>
        <v>3.4441865223926231</v>
      </c>
      <c r="KS221" s="548">
        <f t="shared" si="754"/>
        <v>4.3462612327807335</v>
      </c>
      <c r="KT221" s="473">
        <f t="shared" si="786"/>
        <v>528.59039248727379</v>
      </c>
      <c r="KU221" s="663">
        <f t="shared" si="776"/>
        <v>12.119776481791776</v>
      </c>
      <c r="KV221" s="117"/>
    </row>
    <row r="222" spans="1:308" s="26" customFormat="1" ht="15">
      <c r="A222" s="561">
        <f t="shared" si="755"/>
        <v>2022</v>
      </c>
      <c r="B222" s="561">
        <f t="shared" si="777"/>
        <v>22</v>
      </c>
      <c r="C222" s="561">
        <f t="shared" si="105"/>
        <v>2</v>
      </c>
      <c r="D222" s="561" t="str">
        <f t="shared" si="824"/>
        <v xml:space="preserve">0/1.9/2.9/3.9, </v>
      </c>
      <c r="E222" s="475">
        <f>INDEX(Input!$1:$1048576,E$93,$C222*2+MIN($B222,2)+5)
+INDEX(Scenarios!E$121:E$200,MATCH($B222,Scenarios!$B$121:$B$200,0))</f>
        <v>1250</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2.8999999999999998E-2</v>
      </c>
      <c r="W222" s="863">
        <f>IFERROR(MAX(0,INDEX(Input!$1:$1048576,W$93,$C222*2+MIN($B222,2)+5)-0%,),"Market")</f>
        <v>3.9E-2</v>
      </c>
      <c r="X222" s="476" t="str">
        <f>INDEX(Input!$1:$1048576,X$93,$C222*2+MIN($B222,2)+5)</f>
        <v>Y</v>
      </c>
      <c r="Y222" s="475">
        <f>INDEX(Input!$1:$1048576,Y$93,$C222*2+MIN($B222,2)+5)
++INDEX(Scenarios!Y$121:Y$200,MATCH($B222,Scenarios!$B$121:$B$200,0))</f>
        <v>1358</v>
      </c>
      <c r="Z222" s="477">
        <f>INDEX(Input!$1:$1048576,Z$93,$C222*2+MIN($B222,2)+5)
+INDEX(Scenarios!Z$121:Z$200,MATCH($B222,Scenarios!$B$121:$B$200,0))</f>
        <v>0</v>
      </c>
      <c r="AA222" s="475">
        <f>INDEX(Input!$1:$1048576,AA$93,$C222*2+MIN($B222,2)+5)</f>
        <v>0</v>
      </c>
      <c r="AB222" s="476">
        <f>INDEX(Input!$1:$1048576,AB$93,$C222*2+MIN($B222,2)+5)</f>
        <v>1</v>
      </c>
      <c r="AC222" s="475">
        <f>INDEX(Input!$1:$1048576,AC$93,$C222*2+MIN($B222,2)+5)
+INDEX(Scenarios!AC$121:AC$200,MATCH($B222,Scenarios!$B$121:$B$200,0))</f>
        <v>0</v>
      </c>
      <c r="AD222" s="476">
        <f>INDEX(Input!$1:$1048576,AD$93,$C222*2+MIN($B222,2)+5)</f>
        <v>0.35</v>
      </c>
      <c r="AE222" s="475">
        <f>INDEX(Input!$1:$1048576,AE$93,$C222*2+MIN($B222,2)+5)
+INDEX(Scenarios!AE$121:AE$200,MATCH($B222,Scenarios!$B$121:$B$200,0))</f>
        <v>0</v>
      </c>
      <c r="AF222" s="476">
        <f>INDEX(Input!$1:$1048576,AF$93,$C222*2+MIN($B222,2)+5)</f>
        <v>1</v>
      </c>
      <c r="AG222" s="475">
        <f>INDEX(Input!$1:$1048576,AG$93,$C222*2+MIN($B222,2)+5)
+INDEX(Scenarios!AG$121:AG$200,MATCH($B222,Scenarios!$B$121:$B$200,0))</f>
        <v>0</v>
      </c>
      <c r="AH222" s="476">
        <f>INDEX(Input!$1:$1048576,AH$93,$C222*2+MIN($B222,2)+5)</f>
        <v>1</v>
      </c>
      <c r="AI222" s="475">
        <f>INDEX(Input!$1:$1048576,AI$93,$C222*2+MIN($B222,2)+5)
+INDEX(Scenarios!AI$121:AI$200,MATCH($B222,Scenarios!$B$121:$B$200,0))</f>
        <v>0</v>
      </c>
      <c r="AJ222" s="476">
        <f>INDEX(Input!$1:$1048576,AJ$93,$C222*2+MIN($B222,2)+5)</f>
        <v>0.35</v>
      </c>
      <c r="AK222" s="150">
        <f>ROUND(INDEX(Input!$1:$1048576,AK$93,$C221*2+MIN($B222,1)+5)+(Y222-VLOOKUP($C222*1000+1,$A:$HH,Y$92,FALSE)),0)</f>
        <v>4982</v>
      </c>
      <c r="AL222" s="150">
        <f>ROUND(INDEX(Input!$1:$1048576,AL$93,$C221*2+MIN($B222,1)+5)-(Y222-VLOOKUP($C222*1000+1,$A:$HH,Y$92,FALSE))/36,0)</f>
        <v>5102</v>
      </c>
      <c r="AM222" s="32" t="str">
        <f t="shared" si="756"/>
        <v>std/std/std/std</v>
      </c>
      <c r="AN222" s="32" t="str">
        <f t="shared" si="757"/>
        <v>$0 + 0/0/0/2.9/3.9</v>
      </c>
      <c r="AO222" s="32" t="str">
        <f t="shared" si="758"/>
        <v>0/0/0/2.9/3.9</v>
      </c>
      <c r="AP222" s="32" t="str">
        <f t="shared" si="493"/>
        <v>0/1.9/2.9/3.9</v>
      </c>
      <c r="AQ222" s="536">
        <f t="shared" si="492"/>
        <v>0.35585309665144044</v>
      </c>
      <c r="AR222" s="32"/>
      <c r="AS222" s="302"/>
      <c r="AT222" s="3">
        <f t="shared" si="810"/>
        <v>22</v>
      </c>
      <c r="AU222" s="41" t="s">
        <v>121</v>
      </c>
      <c r="AV222" s="41" t="s">
        <v>116</v>
      </c>
      <c r="AW222" s="41" t="str">
        <f>INDEX(Input!$1:$1048576,AW$93,$C222*2+6)</f>
        <v>Kia</v>
      </c>
      <c r="AX222" s="41" t="str">
        <f>INDEX(Input!$1:$1048576,AX$93,$C222*2+6)</f>
        <v>Kia-LR - L2</v>
      </c>
      <c r="AY222" s="41" t="str">
        <f>IF(LEN(D222)=0,"",INDEX(Input!$1:$1048576,AY$93,$C222*2+6))</f>
        <v>Compact Conventional/Sporty Car (43)</v>
      </c>
      <c r="AZ222" s="41" t="str">
        <f>INDEX(Input!$1:$1048576,AZ$93,$C222*2+6)</f>
        <v>Kia Forte</v>
      </c>
      <c r="BA222" s="3">
        <f>INDEX(Input!$1:$1048576,BA$93,$C222*2+6)</f>
        <v>2020</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19695</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94"/>
        <v>1250</v>
      </c>
      <c r="CJ222" s="16" t="str">
        <f>INDEX(Input!$1:$1048576,CJ$93,$C222*2+6)</f>
        <v>N</v>
      </c>
      <c r="CK222" s="1" t="str">
        <f t="shared" si="495"/>
        <v>Market</v>
      </c>
      <c r="CL222" s="1" t="str">
        <f t="shared" si="496"/>
        <v>Market</v>
      </c>
      <c r="CM222" s="1" t="str">
        <f t="shared" si="497"/>
        <v>Market</v>
      </c>
      <c r="CN222" s="1" t="str">
        <f t="shared" si="498"/>
        <v>Market</v>
      </c>
      <c r="CO222" s="1" t="str">
        <f t="shared" si="499"/>
        <v>Market</v>
      </c>
      <c r="CP222" s="304">
        <f t="shared" si="500"/>
        <v>0</v>
      </c>
      <c r="CQ222" s="1">
        <f t="shared" si="501"/>
        <v>0</v>
      </c>
      <c r="CR222" s="1">
        <f t="shared" si="502"/>
        <v>0</v>
      </c>
      <c r="CS222" s="1">
        <f t="shared" si="503"/>
        <v>0</v>
      </c>
      <c r="CT222" s="1">
        <f t="shared" si="504"/>
        <v>2.8999999999999998E-2</v>
      </c>
      <c r="CU222" s="1">
        <f t="shared" si="505"/>
        <v>3.9E-2</v>
      </c>
      <c r="CV222" s="304">
        <f t="shared" si="506"/>
        <v>1358</v>
      </c>
      <c r="CW222" s="20" t="s">
        <v>122</v>
      </c>
      <c r="CX222" s="20" t="s">
        <v>122</v>
      </c>
      <c r="CY222" s="20" t="s">
        <v>122</v>
      </c>
      <c r="CZ222" s="20" t="s">
        <v>122</v>
      </c>
      <c r="DA222" s="20" t="s">
        <v>122</v>
      </c>
      <c r="DB222" s="503">
        <f t="shared" si="507"/>
        <v>0</v>
      </c>
      <c r="DC222" s="127">
        <v>0</v>
      </c>
      <c r="DD222" s="127">
        <v>0</v>
      </c>
      <c r="DE222" s="127">
        <v>0</v>
      </c>
      <c r="DF222" s="127">
        <v>0</v>
      </c>
      <c r="DG222" s="127">
        <v>0</v>
      </c>
      <c r="DH222" s="127">
        <v>0</v>
      </c>
      <c r="DI222" s="127">
        <v>0</v>
      </c>
      <c r="DJ222" s="127">
        <v>0</v>
      </c>
      <c r="DK222" s="127">
        <v>0</v>
      </c>
      <c r="DL222" s="127">
        <v>0</v>
      </c>
      <c r="DM222" s="304">
        <f>INDEX(Input!$1:$1048576,DM$93,$C222*2+6)</f>
        <v>20731.578947368424</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2.8444250208948658E-2</v>
      </c>
      <c r="DZ222" s="7">
        <v>0</v>
      </c>
      <c r="EA222" s="7">
        <v>0.58013568830607742</v>
      </c>
      <c r="EB222" s="7">
        <v>0</v>
      </c>
      <c r="EC222" s="7">
        <v>0</v>
      </c>
      <c r="ED222" s="7">
        <v>0</v>
      </c>
      <c r="EE222" s="7">
        <v>0</v>
      </c>
      <c r="EF222" s="7">
        <v>0</v>
      </c>
      <c r="EG222" s="7">
        <v>0</v>
      </c>
      <c r="EH222" s="7">
        <v>2.1665149662122407E-2</v>
      </c>
      <c r="EI222" s="7">
        <v>3.5373413918661778E-2</v>
      </c>
      <c r="EJ222" s="7">
        <v>0.35556609274616696</v>
      </c>
      <c r="EK222" s="7">
        <v>0.52322015921489162</v>
      </c>
      <c r="EL222" s="7">
        <v>6.4175184458157022E-2</v>
      </c>
      <c r="EM222" s="7">
        <v>2.7794410714305051E-2</v>
      </c>
      <c r="EN222" s="7">
        <v>4.9734898539824698E-2</v>
      </c>
      <c r="EO222" s="7">
        <v>0.56167429763902788</v>
      </c>
      <c r="EP222" s="7">
        <v>0.28599618356990669</v>
      </c>
      <c r="EQ222" s="7">
        <v>6.3880865888915103E-2</v>
      </c>
      <c r="ER222" s="7">
        <v>3.8713754362325083E-2</v>
      </c>
      <c r="ES222" s="7">
        <v>0.36362565077066883</v>
      </c>
      <c r="ET222" s="7">
        <v>0.39142006148497388</v>
      </c>
      <c r="EU222" s="6">
        <v>1600</v>
      </c>
      <c r="EV222" s="6">
        <v>0</v>
      </c>
      <c r="EW222" s="6">
        <v>1600</v>
      </c>
      <c r="EX222" s="6">
        <v>0</v>
      </c>
      <c r="EY222" s="6">
        <v>2385.4012182725037</v>
      </c>
      <c r="EZ222" s="6">
        <v>2111</v>
      </c>
      <c r="FA222" s="6">
        <v>0</v>
      </c>
      <c r="FB222" s="6">
        <v>0</v>
      </c>
      <c r="FC222" s="6">
        <v>0</v>
      </c>
      <c r="FD222" s="6">
        <v>0</v>
      </c>
      <c r="FE222" s="6">
        <v>0</v>
      </c>
      <c r="FF222" s="6">
        <v>0</v>
      </c>
      <c r="FG222" s="6">
        <v>0</v>
      </c>
      <c r="FH222" s="6">
        <v>1154.7851782539108</v>
      </c>
      <c r="FI222" s="6">
        <v>1531.4299904380628</v>
      </c>
      <c r="FJ222" s="6">
        <v>2070.7205842538219</v>
      </c>
      <c r="FK222" s="6">
        <v>1266.3227157028186</v>
      </c>
      <c r="FL222" s="6">
        <v>893.91433563489363</v>
      </c>
      <c r="FM222" s="6">
        <v>1535.4012182725039</v>
      </c>
      <c r="FN222" s="6">
        <v>0</v>
      </c>
      <c r="FO222" s="6">
        <v>0</v>
      </c>
      <c r="FP222" s="6">
        <v>0</v>
      </c>
      <c r="FQ222" s="6">
        <v>0</v>
      </c>
      <c r="FR222" s="6">
        <v>0</v>
      </c>
      <c r="FS222" s="6">
        <v>0</v>
      </c>
      <c r="FT222" s="7">
        <v>0.60857993851502612</v>
      </c>
      <c r="FU222" s="7">
        <v>2.7794410714305051E-2</v>
      </c>
      <c r="FV222" s="7">
        <v>0.36362565077066883</v>
      </c>
      <c r="FW222" s="6">
        <v>1600</v>
      </c>
      <c r="FX222" s="6">
        <v>2385.4012182725037</v>
      </c>
      <c r="FY222" s="6">
        <v>2111</v>
      </c>
      <c r="FZ222" s="6">
        <v>2594.6978186474794</v>
      </c>
      <c r="GA222" s="6">
        <v>1807.6424715799933</v>
      </c>
      <c r="GB222" s="6">
        <v>17887.357528420005</v>
      </c>
      <c r="GC222" s="7">
        <v>9.6947029492584935E-2</v>
      </c>
      <c r="GD222" s="7">
        <v>8.8800891993252404E-2</v>
      </c>
      <c r="GE222" s="7"/>
      <c r="GF222" s="7"/>
      <c r="GG222" s="7">
        <v>-8.4026684901733831E-2</v>
      </c>
      <c r="GH222" s="42">
        <v>2.1026546167378339</v>
      </c>
      <c r="GI222" s="6">
        <v>11174.373385549987</v>
      </c>
      <c r="GJ222" s="14">
        <v>0.51074630601039561</v>
      </c>
      <c r="GK222" s="14">
        <v>0.5082951978616097</v>
      </c>
      <c r="GL222" s="14">
        <v>0.48925369398960422</v>
      </c>
      <c r="GM222" s="14">
        <v>0.49170480213839024</v>
      </c>
      <c r="GO222" s="5">
        <v>338.16872463277008</v>
      </c>
      <c r="GP222" s="5">
        <v>307.64377699166363</v>
      </c>
      <c r="GQ222" s="5">
        <v>527.27910984145694</v>
      </c>
      <c r="GR222" s="5">
        <v>404.20319246551543</v>
      </c>
      <c r="GS222" s="5">
        <v>334.50205195691484</v>
      </c>
      <c r="GT222" s="5">
        <v>289.18266033348181</v>
      </c>
      <c r="GU222" s="5">
        <v>254.29573314828914</v>
      </c>
      <c r="GV222" s="39" t="s">
        <v>392</v>
      </c>
      <c r="GW222" s="5">
        <v>468.76388888888891</v>
      </c>
      <c r="GX222" s="5">
        <v>351.57291666666669</v>
      </c>
      <c r="GY222" s="5">
        <v>281.25833333333333</v>
      </c>
      <c r="GZ222" s="5">
        <v>255.64660634518972</v>
      </c>
      <c r="HA222" s="5">
        <v>229.89195052129486</v>
      </c>
      <c r="HB222" s="39">
        <v>271.11091715327632</v>
      </c>
      <c r="HC222" s="5">
        <v>190.75937499999998</v>
      </c>
      <c r="HD222" s="5">
        <v>173.28879751461983</v>
      </c>
      <c r="HE222" s="5">
        <v>178.94016109986501</v>
      </c>
      <c r="HF222" s="5">
        <v>168.88629934210525</v>
      </c>
      <c r="HG222" s="5">
        <v>167.11410087719298</v>
      </c>
      <c r="HH222" s="39">
        <v>175.25368224641551</v>
      </c>
      <c r="HI222" s="16"/>
      <c r="HJ222" s="19" t="str">
        <f t="shared" si="825"/>
        <v>On</v>
      </c>
      <c r="HK222" s="1" t="str">
        <f t="shared" si="825"/>
        <v>On</v>
      </c>
      <c r="HL222" s="16"/>
      <c r="HM222" s="639">
        <f t="shared" si="727"/>
        <v>5.0961701597560354E-2</v>
      </c>
      <c r="HN222" s="639">
        <f t="shared" si="728"/>
        <v>3.112551654761847E-3</v>
      </c>
      <c r="HO222" s="639">
        <f t="shared" si="729"/>
        <v>3.1163314184693442E-2</v>
      </c>
      <c r="HP222" s="644">
        <f>(FT222*$GD222-HM222)/$JF222*INDEX(Input!$1:$1048576,$JG$93,$C222*2+6)</f>
        <v>57.864912795319086</v>
      </c>
      <c r="HQ222" s="644">
        <f>(FU222*$GD222-HN222)/$JF222*INDEX(Input!$1:$1048576,$JG$93,$C222*2+6)</f>
        <v>-12.103319224833811</v>
      </c>
      <c r="HR222" s="644">
        <f>(FV222*$GD222-HO222)/$JF222*INDEX(Input!$1:$1048576,$JG$93,$C222*2+6)</f>
        <v>21.167611310338419</v>
      </c>
      <c r="HS222" s="644">
        <f t="shared" si="826"/>
        <v>-8.160764751684793</v>
      </c>
      <c r="HT222" s="644">
        <f t="shared" si="731"/>
        <v>9.7042790253905817</v>
      </c>
      <c r="HU222" s="644">
        <f t="shared" si="732"/>
        <v>29.835657627546663</v>
      </c>
      <c r="HV222" s="648">
        <f t="shared" si="733"/>
        <v>0</v>
      </c>
      <c r="HW222" s="648">
        <f t="shared" si="734"/>
        <v>0</v>
      </c>
      <c r="HX222" s="648">
        <f t="shared" si="735"/>
        <v>0</v>
      </c>
      <c r="HY222" s="644">
        <f>INDEX(Input!$1:$1048576,HY$93,$C222*2+6)*INDEX(Input!$1:$1048576,$JG$93,$C222*2+6)</f>
        <v>555</v>
      </c>
      <c r="HZ222" s="644">
        <f>INDEX(Input!$1:$1048576,HZ$93,$C222*2+6)*INDEX(Input!$1:$1048576,$JG$93,$C222*2+6)</f>
        <v>480</v>
      </c>
      <c r="IA222" s="644">
        <f>INDEX(Input!$1:$1048576,IA$93,$C222*2+6)*INDEX(Input!$1:$1048576,$JG$93,$C222*2+6)</f>
        <v>566</v>
      </c>
      <c r="IB222" s="644">
        <f t="shared" si="759"/>
        <v>604.70414804363452</v>
      </c>
      <c r="IC222" s="644">
        <f t="shared" si="760"/>
        <v>477.60095980055678</v>
      </c>
      <c r="ID222" s="644">
        <f>IF(AND(INDEX(Input!$1:$1048576,IA$93,$C222*2+7)="TOS",Y222&lt;=INDEX(Y:Y,MATCH(C222*1000+2,A:A))),0,1)*MAX(IA222+HR222+HU222+HX222,0%)</f>
        <v>617.00326893788508</v>
      </c>
      <c r="IE222" s="128">
        <f t="shared" si="827"/>
        <v>0.35585309665144044</v>
      </c>
      <c r="IF222" s="128">
        <f t="shared" si="736"/>
        <v>0.28105608512621694</v>
      </c>
      <c r="IG222" s="128">
        <f t="shared" si="737"/>
        <v>0.36309081822234268</v>
      </c>
      <c r="IH222" s="21"/>
      <c r="II222" s="19">
        <f t="shared" si="738"/>
        <v>1200</v>
      </c>
      <c r="IJ222" s="19">
        <f t="shared" si="739"/>
        <v>2226.7968732767699</v>
      </c>
      <c r="IK222" s="19">
        <f t="shared" si="740"/>
        <v>1786</v>
      </c>
      <c r="IL222" s="19">
        <f t="shared" si="762"/>
        <v>400</v>
      </c>
      <c r="IM222" s="19">
        <f t="shared" si="741"/>
        <v>158.60434499573375</v>
      </c>
      <c r="IN222" s="19">
        <f t="shared" si="742"/>
        <v>325</v>
      </c>
      <c r="IO222" s="39">
        <f t="shared" si="743"/>
        <v>0</v>
      </c>
      <c r="IP222" s="39">
        <f t="shared" si="744"/>
        <v>0</v>
      </c>
      <c r="IQ222" s="39">
        <f t="shared" si="745"/>
        <v>0</v>
      </c>
      <c r="IR222" s="39">
        <v>0</v>
      </c>
      <c r="IS222" s="39">
        <v>0</v>
      </c>
      <c r="IT222" s="39">
        <v>0</v>
      </c>
      <c r="IU222" s="39">
        <v>0</v>
      </c>
      <c r="IV222" s="39">
        <v>0</v>
      </c>
      <c r="IW222" s="39">
        <v>0</v>
      </c>
      <c r="IX222" s="39">
        <f>INDEX(Input!$1:$1048576,IX$93,$C222*2+6)+INDEX(Input!$1:$1048576,IX$94,$C222*2+6)</f>
        <v>1600</v>
      </c>
      <c r="IY222" s="39">
        <f>INDEX(Input!$1:$1048576,IY$93,$C222*2+6)+INDEX(Input!$1:$1048576,IY$94,$C222*2+6)</f>
        <v>2503.5492916397525</v>
      </c>
      <c r="IZ222" s="39">
        <f>INDEX(Input!$1:$1048576,IZ$93,$C222*2+6)+INDEX(Input!$1:$1048576,IZ$94,$C222*2+6)</f>
        <v>5773.7109265464023</v>
      </c>
      <c r="JA222" s="19">
        <f t="shared" si="763"/>
        <v>2000</v>
      </c>
      <c r="JB222" s="19">
        <f t="shared" si="764"/>
        <v>2662.1536366354862</v>
      </c>
      <c r="JC222" s="19">
        <f t="shared" si="765"/>
        <v>6098.7109265464023</v>
      </c>
      <c r="JD222" s="19">
        <f t="shared" si="766"/>
        <v>3674.3066128414471</v>
      </c>
      <c r="JE222" s="21"/>
      <c r="JF222" s="1">
        <f t="shared" si="746"/>
        <v>8.5237567437015646E-2</v>
      </c>
      <c r="JG222" s="15">
        <f>INDEX(Input!$1:$1048576,JG$93,$C222*2+6)/(1+VLOOKUP(C222*1000+INDEX(Input!$1:$1048576,JG$93+1,$C222*2+6),$A:$KK,$JK$92,FALSE))</f>
        <v>1601</v>
      </c>
      <c r="JH222" s="1">
        <f t="shared" si="767"/>
        <v>4.1804625159789936E-2</v>
      </c>
      <c r="JI222" s="1">
        <f t="shared" si="768"/>
        <v>1.9599732605404405E-2</v>
      </c>
      <c r="JJ222" s="1">
        <f t="shared" si="828"/>
        <v>0</v>
      </c>
      <c r="JK222" s="1">
        <f t="shared" si="829"/>
        <v>6.1404357765194345E-2</v>
      </c>
      <c r="JL222" s="15">
        <f t="shared" si="771"/>
        <v>98.308376782076152</v>
      </c>
      <c r="JM222" s="15">
        <f t="shared" si="795"/>
        <v>1699.3083767820763</v>
      </c>
      <c r="JN222" s="21"/>
      <c r="JO222" s="19">
        <f>INDEX(Input!$1:$1048576,JO$93,$C222*2+6)</f>
        <v>5908.5</v>
      </c>
      <c r="JP222" s="19">
        <f>INDEX(Input!$1:$1048576,JP$93,$C222*2+6)</f>
        <v>3346.4235130620518</v>
      </c>
      <c r="JQ222" s="39">
        <f t="shared" si="781"/>
        <v>2234.1933871585529</v>
      </c>
      <c r="JR222" s="39">
        <f t="shared" si="798"/>
        <v>327.88309977939525</v>
      </c>
      <c r="JS222" s="39">
        <f t="shared" si="783"/>
        <v>6.2437800060672481</v>
      </c>
      <c r="JT222" s="39">
        <f t="shared" si="773"/>
        <v>0.8861559616549034</v>
      </c>
      <c r="JU222" s="385">
        <f>(JQ222*JM222-INDEX(Input!$1:$1048576,Input!A$18,$C222*2+6)*JL222*INDEX(Input!$1:$1048576,Input!A$19,$C222*2+6))/1000000</f>
        <v>3.7965835381496493</v>
      </c>
      <c r="JV222" s="39">
        <f t="shared" si="805"/>
        <v>-0.30530091743800547</v>
      </c>
      <c r="JW222" s="1">
        <f t="shared" si="796"/>
        <v>-7.4429428898739339E-2</v>
      </c>
      <c r="JX222" s="19">
        <f t="shared" si="787"/>
        <v>9014.0432652985255</v>
      </c>
      <c r="JZ222" s="341"/>
      <c r="KA222" s="342"/>
      <c r="KB222" s="469">
        <f t="shared" si="784"/>
        <v>2.4482969984810516</v>
      </c>
      <c r="KI222" s="473">
        <f t="shared" si="812"/>
        <v>49.704148043634518</v>
      </c>
      <c r="KJ222" s="473">
        <f t="shared" si="813"/>
        <v>-2.3990401994432204</v>
      </c>
      <c r="KK222" s="473">
        <f t="shared" si="775"/>
        <v>51.003268937885082</v>
      </c>
      <c r="KN222" s="544">
        <f t="shared" si="788"/>
        <v>2002</v>
      </c>
      <c r="KO222" s="541">
        <f t="shared" si="750"/>
        <v>-1.6466705264668757E-2</v>
      </c>
      <c r="KP222" s="546">
        <f t="shared" si="751"/>
        <v>-67.849300511700193</v>
      </c>
      <c r="KQ222" s="546">
        <f t="shared" si="752"/>
        <v>-51.296962115091446</v>
      </c>
      <c r="KR222" s="548">
        <f t="shared" si="753"/>
        <v>3.875697202515731</v>
      </c>
      <c r="KS222" s="548">
        <f t="shared" si="754"/>
        <v>5.126294683803164</v>
      </c>
      <c r="KT222" s="473">
        <f t="shared" si="786"/>
        <v>528.59039248727379</v>
      </c>
      <c r="KU222" s="663">
        <f t="shared" si="776"/>
        <v>11.871741190979865</v>
      </c>
      <c r="KV222" s="117"/>
    </row>
    <row r="223" spans="1:308" s="26" customFormat="1" ht="15">
      <c r="A223" s="561">
        <f t="shared" si="755"/>
        <v>2023</v>
      </c>
      <c r="B223" s="561">
        <f t="shared" si="777"/>
        <v>23</v>
      </c>
      <c r="C223" s="561">
        <f t="shared" si="105"/>
        <v>2</v>
      </c>
      <c r="D223" s="561" t="str">
        <f t="shared" si="824"/>
        <v xml:space="preserve">0/0/0.9/3.9, </v>
      </c>
      <c r="E223" s="475">
        <f>INDEX(Input!$1:$1048576,E$93,$C223*2+MIN($B223,2)+5)
+INDEX(Scenarios!E$121:E$200,MATCH($B223,Scenarios!$B$121:$B$200,0))</f>
        <v>1250</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8.9999999999999993E-3</v>
      </c>
      <c r="W223" s="863">
        <f>IFERROR(MAX(0,INDEX(Input!$1:$1048576,W$93,$C223*2+MIN($B223,2)+5)-0%,),"Market")</f>
        <v>3.9E-2</v>
      </c>
      <c r="X223" s="476" t="str">
        <f>INDEX(Input!$1:$1048576,X$93,$C223*2+MIN($B223,2)+5)</f>
        <v>Y</v>
      </c>
      <c r="Y223" s="475">
        <f>INDEX(Input!$1:$1048576,Y$93,$C223*2+MIN($B223,2)+5)
++INDEX(Scenarios!Y$121:Y$200,MATCH($B223,Scenarios!$B$121:$B$200,0))</f>
        <v>1358</v>
      </c>
      <c r="Z223" s="477">
        <f>INDEX(Input!$1:$1048576,Z$93,$C223*2+MIN($B223,2)+5)
+INDEX(Scenarios!Z$121:Z$200,MATCH($B223,Scenarios!$B$121:$B$200,0))</f>
        <v>0</v>
      </c>
      <c r="AA223" s="475">
        <f>INDEX(Input!$1:$1048576,AA$93,$C223*2+MIN($B223,2)+5)</f>
        <v>0</v>
      </c>
      <c r="AB223" s="476">
        <f>INDEX(Input!$1:$1048576,AB$93,$C223*2+MIN($B223,2)+5)</f>
        <v>1</v>
      </c>
      <c r="AC223" s="475">
        <f>INDEX(Input!$1:$1048576,AC$93,$C223*2+MIN($B223,2)+5)
+INDEX(Scenarios!AC$121:AC$200,MATCH($B223,Scenarios!$B$121:$B$200,0))</f>
        <v>0</v>
      </c>
      <c r="AD223" s="476">
        <f>INDEX(Input!$1:$1048576,AD$93,$C223*2+MIN($B223,2)+5)</f>
        <v>0.35</v>
      </c>
      <c r="AE223" s="475">
        <f>INDEX(Input!$1:$1048576,AE$93,$C223*2+MIN($B223,2)+5)
+INDEX(Scenarios!AE$121:AE$200,MATCH($B223,Scenarios!$B$121:$B$200,0))</f>
        <v>0</v>
      </c>
      <c r="AF223" s="476">
        <f>INDEX(Input!$1:$1048576,AF$93,$C223*2+MIN($B223,2)+5)</f>
        <v>1</v>
      </c>
      <c r="AG223" s="475">
        <f>INDEX(Input!$1:$1048576,AG$93,$C223*2+MIN($B223,2)+5)
+INDEX(Scenarios!AG$121:AG$200,MATCH($B223,Scenarios!$B$121:$B$200,0))</f>
        <v>0</v>
      </c>
      <c r="AH223" s="476">
        <f>INDEX(Input!$1:$1048576,AH$93,$C223*2+MIN($B223,2)+5)</f>
        <v>1</v>
      </c>
      <c r="AI223" s="475">
        <f>INDEX(Input!$1:$1048576,AI$93,$C223*2+MIN($B223,2)+5)
+INDEX(Scenarios!AI$121:AI$200,MATCH($B223,Scenarios!$B$121:$B$200,0))</f>
        <v>0</v>
      </c>
      <c r="AJ223" s="476">
        <f>INDEX(Input!$1:$1048576,AJ$93,$C223*2+MIN($B223,2)+5)</f>
        <v>0.35</v>
      </c>
      <c r="AK223" s="150">
        <f>ROUND(INDEX(Input!$1:$1048576,AK$93,$C222*2+MIN($B223,1)+5)+(Y223-VLOOKUP($C223*1000+1,$A:$HH,Y$92,FALSE)),0)</f>
        <v>4982</v>
      </c>
      <c r="AL223" s="150">
        <f>ROUND(INDEX(Input!$1:$1048576,AL$93,$C222*2+MIN($B223,1)+5)-(Y223-VLOOKUP($C223*1000+1,$A:$HH,Y$92,FALSE))/36,0)</f>
        <v>5102</v>
      </c>
      <c r="AM223" s="32" t="str">
        <f t="shared" si="756"/>
        <v>std/std/std/std</v>
      </c>
      <c r="AN223" s="32" t="str">
        <f t="shared" si="757"/>
        <v>$0 + 0/0/0/0.9/3.9</v>
      </c>
      <c r="AO223" s="32" t="str">
        <f t="shared" si="758"/>
        <v>0/0/0/0.9/3.9</v>
      </c>
      <c r="AP223" s="32" t="str">
        <f t="shared" si="493"/>
        <v>0/0/0.9/3.9</v>
      </c>
      <c r="AQ223" s="536">
        <f t="shared" si="492"/>
        <v>0.33348845914677583</v>
      </c>
      <c r="AR223" s="32"/>
      <c r="AS223" s="302"/>
      <c r="AT223" s="3">
        <f t="shared" si="810"/>
        <v>23</v>
      </c>
      <c r="AU223" s="41" t="s">
        <v>121</v>
      </c>
      <c r="AV223" s="41" t="s">
        <v>116</v>
      </c>
      <c r="AW223" s="41" t="str">
        <f>INDEX(Input!$1:$1048576,AW$93,$C223*2+6)</f>
        <v>Kia</v>
      </c>
      <c r="AX223" s="41" t="str">
        <f>INDEX(Input!$1:$1048576,AX$93,$C223*2+6)</f>
        <v>Kia-LR - L2</v>
      </c>
      <c r="AY223" s="41" t="str">
        <f>IF(LEN(D223)=0,"",INDEX(Input!$1:$1048576,AY$93,$C223*2+6))</f>
        <v>Compact Conventional/Sporty Car (43)</v>
      </c>
      <c r="AZ223" s="41" t="str">
        <f>INDEX(Input!$1:$1048576,AZ$93,$C223*2+6)</f>
        <v>Kia Forte</v>
      </c>
      <c r="BA223" s="3">
        <f>INDEX(Input!$1:$1048576,BA$93,$C223*2+6)</f>
        <v>2020</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19695</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94"/>
        <v>1250</v>
      </c>
      <c r="CJ223" s="16" t="str">
        <f>INDEX(Input!$1:$1048576,CJ$93,$C223*2+6)</f>
        <v>N</v>
      </c>
      <c r="CK223" s="1" t="str">
        <f t="shared" si="495"/>
        <v>Market</v>
      </c>
      <c r="CL223" s="1" t="str">
        <f t="shared" si="496"/>
        <v>Market</v>
      </c>
      <c r="CM223" s="1" t="str">
        <f t="shared" si="497"/>
        <v>Market</v>
      </c>
      <c r="CN223" s="1" t="str">
        <f t="shared" si="498"/>
        <v>Market</v>
      </c>
      <c r="CO223" s="1" t="str">
        <f t="shared" si="499"/>
        <v>Market</v>
      </c>
      <c r="CP223" s="304">
        <f t="shared" si="500"/>
        <v>0</v>
      </c>
      <c r="CQ223" s="1">
        <f t="shared" si="501"/>
        <v>0</v>
      </c>
      <c r="CR223" s="1">
        <f t="shared" si="502"/>
        <v>0</v>
      </c>
      <c r="CS223" s="1">
        <f t="shared" si="503"/>
        <v>0</v>
      </c>
      <c r="CT223" s="1">
        <f t="shared" si="504"/>
        <v>8.9999999999999993E-3</v>
      </c>
      <c r="CU223" s="1">
        <f t="shared" si="505"/>
        <v>3.9E-2</v>
      </c>
      <c r="CV223" s="304">
        <f t="shared" si="506"/>
        <v>1358</v>
      </c>
      <c r="CW223" s="20" t="s">
        <v>122</v>
      </c>
      <c r="CX223" s="20" t="s">
        <v>122</v>
      </c>
      <c r="CY223" s="20" t="s">
        <v>122</v>
      </c>
      <c r="CZ223" s="20" t="s">
        <v>122</v>
      </c>
      <c r="DA223" s="20" t="s">
        <v>122</v>
      </c>
      <c r="DB223" s="503">
        <f t="shared" si="507"/>
        <v>0</v>
      </c>
      <c r="DC223" s="127">
        <v>0</v>
      </c>
      <c r="DD223" s="127">
        <v>0</v>
      </c>
      <c r="DE223" s="127">
        <v>0</v>
      </c>
      <c r="DF223" s="127">
        <v>0</v>
      </c>
      <c r="DG223" s="127">
        <v>0</v>
      </c>
      <c r="DH223" s="127">
        <v>0</v>
      </c>
      <c r="DI223" s="127">
        <v>0</v>
      </c>
      <c r="DJ223" s="127">
        <v>0</v>
      </c>
      <c r="DK223" s="127">
        <v>0</v>
      </c>
      <c r="DL223" s="127">
        <v>0</v>
      </c>
      <c r="DM223" s="304">
        <f>INDEX(Input!$1:$1048576,DM$93,$C223*2+6)</f>
        <v>20731.578947368424</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2.776166668115948E-2</v>
      </c>
      <c r="DZ223" s="7">
        <v>0</v>
      </c>
      <c r="EA223" s="7">
        <v>0.56624925374313928</v>
      </c>
      <c r="EB223" s="7">
        <v>0</v>
      </c>
      <c r="EC223" s="7">
        <v>0</v>
      </c>
      <c r="ED223" s="7">
        <v>0</v>
      </c>
      <c r="EE223" s="7">
        <v>0</v>
      </c>
      <c r="EF223" s="7">
        <v>0</v>
      </c>
      <c r="EG223" s="7">
        <v>0</v>
      </c>
      <c r="EH223" s="7">
        <v>1.1562783079939999E-2</v>
      </c>
      <c r="EI223" s="7">
        <v>1.8884725987221497E-2</v>
      </c>
      <c r="EJ223" s="7">
        <v>0.18972130209570573</v>
      </c>
      <c r="EK223" s="7">
        <v>0.74558857567949699</v>
      </c>
      <c r="EL223" s="7">
        <v>3.4242613157635639E-2</v>
      </c>
      <c r="EM223" s="7">
        <v>5.0813854696443769E-2</v>
      </c>
      <c r="EN223" s="7">
        <v>4.9729701940271522E-2</v>
      </c>
      <c r="EO223" s="7">
        <v>0.56165423141121629</v>
      </c>
      <c r="EP223" s="7">
        <v>0.28602086896996864</v>
      </c>
      <c r="EQ223" s="7">
        <v>6.3876437110191378E-2</v>
      </c>
      <c r="ER223" s="7">
        <v>3.8718760568352446E-2</v>
      </c>
      <c r="ES223" s="7">
        <v>0.35517522487925729</v>
      </c>
      <c r="ET223" s="7">
        <v>0.40598907957570124</v>
      </c>
      <c r="EU223" s="6">
        <v>1600</v>
      </c>
      <c r="EV223" s="6">
        <v>0</v>
      </c>
      <c r="EW223" s="6">
        <v>1600</v>
      </c>
      <c r="EX223" s="6">
        <v>0</v>
      </c>
      <c r="EY223" s="6">
        <v>2969.9350857626137</v>
      </c>
      <c r="EZ223" s="6">
        <v>2111</v>
      </c>
      <c r="FA223" s="6">
        <v>0</v>
      </c>
      <c r="FB223" s="6">
        <v>0</v>
      </c>
      <c r="FC223" s="6">
        <v>0</v>
      </c>
      <c r="FD223" s="6">
        <v>0</v>
      </c>
      <c r="FE223" s="6">
        <v>0</v>
      </c>
      <c r="FF223" s="6">
        <v>0</v>
      </c>
      <c r="FG223" s="6">
        <v>0</v>
      </c>
      <c r="FH223" s="6">
        <v>1154.7837494697146</v>
      </c>
      <c r="FI223" s="6">
        <v>1531.4299904380625</v>
      </c>
      <c r="FJ223" s="6">
        <v>2070.7205842538228</v>
      </c>
      <c r="FK223" s="6">
        <v>2218.639369850101</v>
      </c>
      <c r="FL223" s="6">
        <v>893.91433563489363</v>
      </c>
      <c r="FM223" s="6">
        <v>2119.9350857626137</v>
      </c>
      <c r="FN223" s="6">
        <v>0</v>
      </c>
      <c r="FO223" s="6">
        <v>0</v>
      </c>
      <c r="FP223" s="6">
        <v>0</v>
      </c>
      <c r="FQ223" s="6">
        <v>0</v>
      </c>
      <c r="FR223" s="6">
        <v>0</v>
      </c>
      <c r="FS223" s="6">
        <v>0</v>
      </c>
      <c r="FT223" s="7">
        <v>0.59401092042429871</v>
      </c>
      <c r="FU223" s="7">
        <v>5.0813854696443769E-2</v>
      </c>
      <c r="FV223" s="7">
        <v>0.35517522487925729</v>
      </c>
      <c r="FW223" s="6">
        <v>1600</v>
      </c>
      <c r="FX223" s="6">
        <v>2969.9350857626132</v>
      </c>
      <c r="FY223" s="6">
        <v>2111</v>
      </c>
      <c r="FZ223" s="6">
        <v>2594.6978186474794</v>
      </c>
      <c r="GA223" s="6">
        <v>1851.1062223048016</v>
      </c>
      <c r="GB223" s="6">
        <v>17843.893777695197</v>
      </c>
      <c r="GC223" s="7">
        <v>9.6947029492584935E-2</v>
      </c>
      <c r="GD223" s="7">
        <v>8.968964261155403E-2</v>
      </c>
      <c r="GE223" s="7"/>
      <c r="GF223" s="7"/>
      <c r="GG223" s="7">
        <v>-7.4859301197939154E-2</v>
      </c>
      <c r="GH223" s="42">
        <v>1.9827469061578371</v>
      </c>
      <c r="GI223" s="6">
        <v>11784.295344342028</v>
      </c>
      <c r="GJ223" s="14">
        <v>0.51074630601039539</v>
      </c>
      <c r="GK223" s="14">
        <v>0.50829519786160993</v>
      </c>
      <c r="GL223" s="14">
        <v>0.48925369398960422</v>
      </c>
      <c r="GM223" s="14">
        <v>0.49170480213839024</v>
      </c>
      <c r="GO223" s="5">
        <v>338.16872463277008</v>
      </c>
      <c r="GP223" s="5">
        <v>307.64377699166363</v>
      </c>
      <c r="GQ223" s="5">
        <v>527.27910984145694</v>
      </c>
      <c r="GR223" s="5">
        <v>404.20319246551543</v>
      </c>
      <c r="GS223" s="5">
        <v>334.50205195691484</v>
      </c>
      <c r="GT223" s="5">
        <v>289.18266033348181</v>
      </c>
      <c r="GU223" s="5">
        <v>254.29573314828914</v>
      </c>
      <c r="GV223" s="39" t="s">
        <v>392</v>
      </c>
      <c r="GW223" s="5">
        <v>468.76388888888891</v>
      </c>
      <c r="GX223" s="5">
        <v>351.57291666666669</v>
      </c>
      <c r="GY223" s="5">
        <v>281.25833333333333</v>
      </c>
      <c r="GZ223" s="5">
        <v>240.8550698915011</v>
      </c>
      <c r="HA223" s="5">
        <v>229.89195052129486</v>
      </c>
      <c r="HB223" s="39">
        <v>252.87116021932263</v>
      </c>
      <c r="HC223" s="5">
        <v>190.75937499999998</v>
      </c>
      <c r="HD223" s="5">
        <v>173.28879751461983</v>
      </c>
      <c r="HE223" s="5">
        <v>178.94016109986501</v>
      </c>
      <c r="HF223" s="5">
        <v>168.88629934210525</v>
      </c>
      <c r="HG223" s="5">
        <v>167.11410087719298</v>
      </c>
      <c r="HH223" s="39">
        <v>175.25371955087823</v>
      </c>
      <c r="HI223" s="16"/>
      <c r="HJ223" s="19" t="str">
        <f t="shared" si="825"/>
        <v>On</v>
      </c>
      <c r="HK223" s="1" t="str">
        <f t="shared" si="825"/>
        <v>On</v>
      </c>
      <c r="HL223" s="16"/>
      <c r="HM223" s="639">
        <f t="shared" si="727"/>
        <v>5.0961701597560354E-2</v>
      </c>
      <c r="HN223" s="639">
        <f t="shared" si="728"/>
        <v>3.112551654761847E-3</v>
      </c>
      <c r="HO223" s="639">
        <f t="shared" si="729"/>
        <v>3.1163314184693442E-2</v>
      </c>
      <c r="HP223" s="644">
        <f>(FT223*$GD223-HM223)/$JF223*INDEX(Input!$1:$1048576,$JG$93,$C223*2+6)</f>
        <v>43.480778924735006</v>
      </c>
      <c r="HQ223" s="644">
        <f>(FU223*$GD223-HN223)/$JF223*INDEX(Input!$1:$1048576,$JG$93,$C223*2+6)</f>
        <v>27.139730692177082</v>
      </c>
      <c r="HR223" s="644">
        <f>(FV223*$GD223-HO223)/$JF223*INDEX(Input!$1:$1048576,$JG$93,$C223*2+6)</f>
        <v>13.001918483265982</v>
      </c>
      <c r="HS223" s="644">
        <f t="shared" si="826"/>
        <v>-8.5586415795989392</v>
      </c>
      <c r="HT223" s="644">
        <f t="shared" si="731"/>
        <v>62.645864807484287</v>
      </c>
      <c r="HU223" s="644">
        <f t="shared" si="732"/>
        <v>30.233534455460809</v>
      </c>
      <c r="HV223" s="648">
        <f t="shared" si="733"/>
        <v>0</v>
      </c>
      <c r="HW223" s="648">
        <f t="shared" si="734"/>
        <v>0</v>
      </c>
      <c r="HX223" s="648">
        <f t="shared" si="735"/>
        <v>0</v>
      </c>
      <c r="HY223" s="644">
        <f>INDEX(Input!$1:$1048576,HY$93,$C223*2+6)*INDEX(Input!$1:$1048576,$JG$93,$C223*2+6)</f>
        <v>555</v>
      </c>
      <c r="HZ223" s="644">
        <f>INDEX(Input!$1:$1048576,HZ$93,$C223*2+6)*INDEX(Input!$1:$1048576,$JG$93,$C223*2+6)</f>
        <v>480</v>
      </c>
      <c r="IA223" s="644">
        <f>INDEX(Input!$1:$1048576,IA$93,$C223*2+6)*INDEX(Input!$1:$1048576,$JG$93,$C223*2+6)</f>
        <v>566</v>
      </c>
      <c r="IB223" s="644">
        <f t="shared" si="759"/>
        <v>589.92213734513632</v>
      </c>
      <c r="IC223" s="644">
        <f t="shared" si="760"/>
        <v>569.78559549966133</v>
      </c>
      <c r="ID223" s="644">
        <f>IF(AND(INDEX(Input!$1:$1048576,IA$93,$C223*2+7)="TOS",Y223&lt;=INDEX(Y:Y,MATCH(C223*1000+2,A:A))),0,1)*MAX(IA223+HR223+HU223+HX223,0%)</f>
        <v>609.23545293872678</v>
      </c>
      <c r="IE223" s="128">
        <f t="shared" si="827"/>
        <v>0.33348845914677583</v>
      </c>
      <c r="IF223" s="128">
        <f t="shared" si="736"/>
        <v>0.3221050851598064</v>
      </c>
      <c r="IG223" s="128">
        <f t="shared" si="737"/>
        <v>0.34440645569341782</v>
      </c>
      <c r="IH223" s="21"/>
      <c r="II223" s="19">
        <f t="shared" si="738"/>
        <v>1200</v>
      </c>
      <c r="IJ223" s="19">
        <f t="shared" si="739"/>
        <v>2226.7968732767699</v>
      </c>
      <c r="IK223" s="19">
        <f t="shared" si="740"/>
        <v>1786</v>
      </c>
      <c r="IL223" s="19">
        <f t="shared" si="762"/>
        <v>400</v>
      </c>
      <c r="IM223" s="19">
        <f t="shared" si="741"/>
        <v>743.13821248584327</v>
      </c>
      <c r="IN223" s="19">
        <f t="shared" si="742"/>
        <v>325</v>
      </c>
      <c r="IO223" s="39">
        <f t="shared" si="743"/>
        <v>0</v>
      </c>
      <c r="IP223" s="39">
        <f t="shared" si="744"/>
        <v>0</v>
      </c>
      <c r="IQ223" s="39">
        <f t="shared" si="745"/>
        <v>0</v>
      </c>
      <c r="IR223" s="39">
        <v>0</v>
      </c>
      <c r="IS223" s="39">
        <v>0</v>
      </c>
      <c r="IT223" s="39">
        <v>0</v>
      </c>
      <c r="IU223" s="39">
        <v>0</v>
      </c>
      <c r="IV223" s="39">
        <v>0</v>
      </c>
      <c r="IW223" s="39">
        <v>0</v>
      </c>
      <c r="IX223" s="39">
        <f>INDEX(Input!$1:$1048576,IX$93,$C223*2+6)+INDEX(Input!$1:$1048576,IX$94,$C223*2+6)</f>
        <v>1600</v>
      </c>
      <c r="IY223" s="39">
        <f>INDEX(Input!$1:$1048576,IY$93,$C223*2+6)+INDEX(Input!$1:$1048576,IY$94,$C223*2+6)</f>
        <v>2503.5492916397525</v>
      </c>
      <c r="IZ223" s="39">
        <f>INDEX(Input!$1:$1048576,IZ$93,$C223*2+6)+INDEX(Input!$1:$1048576,IZ$94,$C223*2+6)</f>
        <v>5773.7109265464023</v>
      </c>
      <c r="JA223" s="19">
        <f t="shared" si="763"/>
        <v>2000</v>
      </c>
      <c r="JB223" s="19">
        <f t="shared" si="764"/>
        <v>3246.6875041255958</v>
      </c>
      <c r="JC223" s="19">
        <f t="shared" si="765"/>
        <v>6098.7109265464023</v>
      </c>
      <c r="JD223" s="19">
        <f t="shared" si="766"/>
        <v>3813.1868878077726</v>
      </c>
      <c r="JE223" s="21"/>
      <c r="JF223" s="1">
        <f t="shared" si="746"/>
        <v>8.5237567437015646E-2</v>
      </c>
      <c r="JG223" s="15">
        <f>INDEX(Input!$1:$1048576,JG$93,$C223*2+6)/(1+VLOOKUP(C223*1000+INDEX(Input!$1:$1048576,JG$93+1,$C223*2+6),$A:$KK,$JK$92,FALSE))</f>
        <v>1601</v>
      </c>
      <c r="JH223" s="1">
        <f t="shared" si="767"/>
        <v>5.2231372954514722E-2</v>
      </c>
      <c r="JI223" s="1">
        <f t="shared" si="768"/>
        <v>5.2667556329385481E-2</v>
      </c>
      <c r="JJ223" s="1">
        <f t="shared" si="828"/>
        <v>0</v>
      </c>
      <c r="JK223" s="1">
        <f t="shared" si="829"/>
        <v>0.10489892928390021</v>
      </c>
      <c r="JL223" s="15">
        <f t="shared" si="771"/>
        <v>167.94318578352423</v>
      </c>
      <c r="JM223" s="15">
        <f t="shared" si="795"/>
        <v>1768.9431857835243</v>
      </c>
      <c r="JN223" s="21"/>
      <c r="JO223" s="19">
        <f>INDEX(Input!$1:$1048576,JO$93,$C223*2+6)</f>
        <v>5908.5</v>
      </c>
      <c r="JP223" s="19">
        <f>INDEX(Input!$1:$1048576,JP$93,$C223*2+6)</f>
        <v>3346.4235130620518</v>
      </c>
      <c r="JQ223" s="39">
        <f t="shared" si="781"/>
        <v>2095.3131121922274</v>
      </c>
      <c r="JR223" s="39">
        <f t="shared" si="798"/>
        <v>466.76337474572074</v>
      </c>
      <c r="JS223" s="39">
        <f t="shared" si="783"/>
        <v>6.745310961306644</v>
      </c>
      <c r="JT223" s="39">
        <f t="shared" si="773"/>
        <v>1.3876869168942989</v>
      </c>
      <c r="JU223" s="385">
        <f>(JQ223*JM223-INDEX(Input!$1:$1048576,Input!A$18,$C223*2+6)*JL223*INDEX(Input!$1:$1048576,Input!A$19,$C223*2+6))/1000000</f>
        <v>3.7064898518953098</v>
      </c>
      <c r="JV223" s="39">
        <f t="shared" si="805"/>
        <v>-0.39539460369234503</v>
      </c>
      <c r="JW223" s="1">
        <f t="shared" si="796"/>
        <v>-9.6393403562046218E-2</v>
      </c>
      <c r="JX223" s="19">
        <f t="shared" si="787"/>
        <v>8262.835496541089</v>
      </c>
      <c r="JZ223" s="341"/>
      <c r="KA223" s="342"/>
      <c r="KB223" s="469">
        <f t="shared" si="784"/>
        <v>2.4482969984810516</v>
      </c>
      <c r="KI223" s="473">
        <f t="shared" si="812"/>
        <v>34.922137345136321</v>
      </c>
      <c r="KJ223" s="473">
        <f t="shared" si="813"/>
        <v>89.785595499661326</v>
      </c>
      <c r="KK223" s="473">
        <f t="shared" si="775"/>
        <v>43.23545293872678</v>
      </c>
      <c r="KN223" s="544">
        <f t="shared" si="788"/>
        <v>2002</v>
      </c>
      <c r="KO223" s="541">
        <f t="shared" si="750"/>
        <v>2.3836840613892463E-2</v>
      </c>
      <c r="KP223" s="546">
        <f t="shared" si="751"/>
        <v>110.52245713434431</v>
      </c>
      <c r="KQ223" s="546">
        <f t="shared" si="752"/>
        <v>87.583312851234041</v>
      </c>
      <c r="KR223" s="548">
        <f t="shared" si="753"/>
        <v>3.4441865223926231</v>
      </c>
      <c r="KS223" s="548">
        <f t="shared" si="754"/>
        <v>4.3462612327807335</v>
      </c>
      <c r="KT223" s="473">
        <f t="shared" si="786"/>
        <v>528.59039248727379</v>
      </c>
      <c r="KU223" s="663">
        <f t="shared" si="776"/>
        <v>12.119778481791776</v>
      </c>
      <c r="KV223" s="117"/>
    </row>
    <row r="224" spans="1:308" s="26" customFormat="1" ht="15">
      <c r="A224" s="561">
        <f t="shared" si="755"/>
        <v>2024</v>
      </c>
      <c r="B224" s="561">
        <f t="shared" si="777"/>
        <v>24</v>
      </c>
      <c r="C224" s="561">
        <f t="shared" si="105"/>
        <v>2</v>
      </c>
      <c r="D224" s="561" t="str">
        <f t="shared" si="824"/>
        <v xml:space="preserve">0/0/0/3.9, </v>
      </c>
      <c r="E224" s="475">
        <f>INDEX(Input!$1:$1048576,E$93,$C224*2+MIN($B224,2)+5)
+INDEX(Scenarios!E$121:E$200,MATCH($B224,Scenarios!$B$121:$B$200,0))</f>
        <v>1250</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63">
        <f>IFERROR(MAX(0,INDEX(Input!$1:$1048576,W$93,$C224*2+MIN($B224,2)+5)-0%,),"Market")</f>
        <v>3.9E-2</v>
      </c>
      <c r="X224" s="476" t="str">
        <f>INDEX(Input!$1:$1048576,X$93,$C224*2+MIN($B224,2)+5)</f>
        <v>Y</v>
      </c>
      <c r="Y224" s="475">
        <f>INDEX(Input!$1:$1048576,Y$93,$C224*2+MIN($B224,2)+5)
++INDEX(Scenarios!Y$121:Y$200,MATCH($B224,Scenarios!$B$121:$B$200,0))</f>
        <v>1358</v>
      </c>
      <c r="Z224" s="477">
        <f>INDEX(Input!$1:$1048576,Z$93,$C224*2+MIN($B224,2)+5)
+INDEX(Scenarios!Z$121:Z$200,MATCH($B224,Scenarios!$B$121:$B$200,0))</f>
        <v>0</v>
      </c>
      <c r="AA224" s="475">
        <f>INDEX(Input!$1:$1048576,AA$93,$C224*2+MIN($B224,2)+5)</f>
        <v>0</v>
      </c>
      <c r="AB224" s="476">
        <f>INDEX(Input!$1:$1048576,AB$93,$C224*2+MIN($B224,2)+5)</f>
        <v>1</v>
      </c>
      <c r="AC224" s="475">
        <f>INDEX(Input!$1:$1048576,AC$93,$C224*2+MIN($B224,2)+5)
+INDEX(Scenarios!AC$121:AC$200,MATCH($B224,Scenarios!$B$121:$B$200,0))</f>
        <v>0</v>
      </c>
      <c r="AD224" s="476">
        <f>INDEX(Input!$1:$1048576,AD$93,$C224*2+MIN($B224,2)+5)</f>
        <v>0.35</v>
      </c>
      <c r="AE224" s="475">
        <f>INDEX(Input!$1:$1048576,AE$93,$C224*2+MIN($B224,2)+5)
+INDEX(Scenarios!AE$121:AE$200,MATCH($B224,Scenarios!$B$121:$B$200,0))</f>
        <v>0</v>
      </c>
      <c r="AF224" s="476">
        <f>INDEX(Input!$1:$1048576,AF$93,$C224*2+MIN($B224,2)+5)</f>
        <v>1</v>
      </c>
      <c r="AG224" s="475">
        <f>INDEX(Input!$1:$1048576,AG$93,$C224*2+MIN($B224,2)+5)
+INDEX(Scenarios!AG$121:AG$200,MATCH($B224,Scenarios!$B$121:$B$200,0))</f>
        <v>0</v>
      </c>
      <c r="AH224" s="476">
        <f>INDEX(Input!$1:$1048576,AH$93,$C224*2+MIN($B224,2)+5)</f>
        <v>1</v>
      </c>
      <c r="AI224" s="475">
        <f>INDEX(Input!$1:$1048576,AI$93,$C224*2+MIN($B224,2)+5)
+INDEX(Scenarios!AI$121:AI$200,MATCH($B224,Scenarios!$B$121:$B$200,0))</f>
        <v>0</v>
      </c>
      <c r="AJ224" s="476">
        <f>INDEX(Input!$1:$1048576,AJ$93,$C224*2+MIN($B224,2)+5)</f>
        <v>0.35</v>
      </c>
      <c r="AK224" s="150">
        <f>ROUND(INDEX(Input!$1:$1048576,AK$93,$C223*2+MIN($B224,1)+5)+(Y224-VLOOKUP($C224*1000+1,$A:$HH,Y$92,FALSE)),0)</f>
        <v>4982</v>
      </c>
      <c r="AL224" s="150">
        <f>ROUND(INDEX(Input!$1:$1048576,AL$93,$C223*2+MIN($B224,1)+5)-(Y224-VLOOKUP($C224*1000+1,$A:$HH,Y$92,FALSE))/36,0)</f>
        <v>5102</v>
      </c>
      <c r="AM224" s="32" t="str">
        <f t="shared" si="756"/>
        <v>std/std/std/std</v>
      </c>
      <c r="AN224" s="32" t="str">
        <f t="shared" si="757"/>
        <v>$0 + 0/0/0/0/3.9</v>
      </c>
      <c r="AO224" s="32" t="str">
        <f t="shared" si="758"/>
        <v>0/0/0/0/3.9</v>
      </c>
      <c r="AP224" s="32" t="str">
        <f t="shared" si="493"/>
        <v>0/0/0/3.9</v>
      </c>
      <c r="AQ224" s="536">
        <f t="shared" si="492"/>
        <v>0.31779301433040857</v>
      </c>
      <c r="AR224" s="32"/>
      <c r="AS224" s="302"/>
      <c r="AT224" s="3">
        <f t="shared" si="810"/>
        <v>24</v>
      </c>
      <c r="AU224" s="41" t="s">
        <v>121</v>
      </c>
      <c r="AV224" s="41" t="s">
        <v>116</v>
      </c>
      <c r="AW224" s="41" t="str">
        <f>INDEX(Input!$1:$1048576,AW$93,$C224*2+6)</f>
        <v>Kia</v>
      </c>
      <c r="AX224" s="41" t="str">
        <f>INDEX(Input!$1:$1048576,AX$93,$C224*2+6)</f>
        <v>Kia-LR - L2</v>
      </c>
      <c r="AY224" s="41" t="str">
        <f>IF(LEN(D224)=0,"",INDEX(Input!$1:$1048576,AY$93,$C224*2+6))</f>
        <v>Compact Conventional/Sporty Car (43)</v>
      </c>
      <c r="AZ224" s="41" t="str">
        <f>INDEX(Input!$1:$1048576,AZ$93,$C224*2+6)</f>
        <v>Kia Forte</v>
      </c>
      <c r="BA224" s="3">
        <f>INDEX(Input!$1:$1048576,BA$93,$C224*2+6)</f>
        <v>2020</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19695</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94"/>
        <v>1250</v>
      </c>
      <c r="CJ224" s="16" t="str">
        <f>INDEX(Input!$1:$1048576,CJ$93,$C224*2+6)</f>
        <v>N</v>
      </c>
      <c r="CK224" s="1" t="str">
        <f t="shared" si="495"/>
        <v>Market</v>
      </c>
      <c r="CL224" s="1" t="str">
        <f t="shared" si="496"/>
        <v>Market</v>
      </c>
      <c r="CM224" s="1" t="str">
        <f t="shared" si="497"/>
        <v>Market</v>
      </c>
      <c r="CN224" s="1" t="str">
        <f t="shared" si="498"/>
        <v>Market</v>
      </c>
      <c r="CO224" s="1" t="str">
        <f t="shared" si="499"/>
        <v>Market</v>
      </c>
      <c r="CP224" s="304">
        <f t="shared" si="500"/>
        <v>0</v>
      </c>
      <c r="CQ224" s="1">
        <f t="shared" si="501"/>
        <v>0</v>
      </c>
      <c r="CR224" s="1">
        <f t="shared" si="502"/>
        <v>0</v>
      </c>
      <c r="CS224" s="1">
        <f t="shared" si="503"/>
        <v>0</v>
      </c>
      <c r="CT224" s="1">
        <f t="shared" si="504"/>
        <v>0</v>
      </c>
      <c r="CU224" s="1">
        <f t="shared" si="505"/>
        <v>3.9E-2</v>
      </c>
      <c r="CV224" s="304">
        <f t="shared" si="506"/>
        <v>1358</v>
      </c>
      <c r="CW224" s="20" t="s">
        <v>122</v>
      </c>
      <c r="CX224" s="20" t="s">
        <v>122</v>
      </c>
      <c r="CY224" s="20" t="s">
        <v>122</v>
      </c>
      <c r="CZ224" s="20" t="s">
        <v>122</v>
      </c>
      <c r="DA224" s="20" t="s">
        <v>122</v>
      </c>
      <c r="DB224" s="503">
        <f t="shared" si="507"/>
        <v>0</v>
      </c>
      <c r="DC224" s="127">
        <v>0</v>
      </c>
      <c r="DD224" s="127">
        <v>0</v>
      </c>
      <c r="DE224" s="127">
        <v>0</v>
      </c>
      <c r="DF224" s="127">
        <v>0</v>
      </c>
      <c r="DG224" s="127">
        <v>0</v>
      </c>
      <c r="DH224" s="127">
        <v>0</v>
      </c>
      <c r="DI224" s="127">
        <v>0</v>
      </c>
      <c r="DJ224" s="127">
        <v>0</v>
      </c>
      <c r="DK224" s="127">
        <v>0</v>
      </c>
      <c r="DL224" s="127">
        <v>0</v>
      </c>
      <c r="DM224" s="304">
        <f>INDEX(Input!$1:$1048576,DM$93,$C224*2+6)</f>
        <v>20731.578947368424</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2.7205198417362894E-2</v>
      </c>
      <c r="DZ224" s="7">
        <v>0</v>
      </c>
      <c r="EA224" s="7">
        <v>0.55459077721640848</v>
      </c>
      <c r="EB224" s="7">
        <v>0</v>
      </c>
      <c r="EC224" s="7">
        <v>0</v>
      </c>
      <c r="ED224" s="7">
        <v>0</v>
      </c>
      <c r="EE224" s="7">
        <v>0</v>
      </c>
      <c r="EF224" s="7">
        <v>0</v>
      </c>
      <c r="EG224" s="7">
        <v>0</v>
      </c>
      <c r="EH224" s="7">
        <v>8.2326512237684783E-3</v>
      </c>
      <c r="EI224" s="7">
        <v>1.3448978531071035E-2</v>
      </c>
      <c r="EJ224" s="7">
        <v>0.13505495693721134</v>
      </c>
      <c r="EK224" s="7">
        <v>0.81888766819424219</v>
      </c>
      <c r="EL224" s="7">
        <v>2.4375745113707274E-2</v>
      </c>
      <c r="EM224" s="7">
        <v>6.9922779300577401E-2</v>
      </c>
      <c r="EN224" s="7">
        <v>4.9725449378190491E-2</v>
      </c>
      <c r="EO224" s="7">
        <v>0.56163742237485237</v>
      </c>
      <c r="EP224" s="7">
        <v>0.2860412038129394</v>
      </c>
      <c r="EQ224" s="7">
        <v>6.3872532179881925E-2</v>
      </c>
      <c r="ER224" s="7">
        <v>3.8723392254135791E-2</v>
      </c>
      <c r="ES224" s="7">
        <v>0.34828124506565122</v>
      </c>
      <c r="ET224" s="7">
        <v>0.41820402436622861</v>
      </c>
      <c r="EU224" s="6">
        <v>1600</v>
      </c>
      <c r="EV224" s="6">
        <v>0</v>
      </c>
      <c r="EW224" s="6">
        <v>1600</v>
      </c>
      <c r="EX224" s="6">
        <v>0</v>
      </c>
      <c r="EY224" s="6">
        <v>3339.6469658476244</v>
      </c>
      <c r="EZ224" s="6">
        <v>2111</v>
      </c>
      <c r="FA224" s="6">
        <v>0</v>
      </c>
      <c r="FB224" s="6">
        <v>0</v>
      </c>
      <c r="FC224" s="6">
        <v>0</v>
      </c>
      <c r="FD224" s="6">
        <v>0</v>
      </c>
      <c r="FE224" s="6">
        <v>0</v>
      </c>
      <c r="FF224" s="6">
        <v>0</v>
      </c>
      <c r="FG224" s="6">
        <v>0</v>
      </c>
      <c r="FH224" s="6">
        <v>1154.7824182600464</v>
      </c>
      <c r="FI224" s="6">
        <v>1531.4299904380623</v>
      </c>
      <c r="FJ224" s="6">
        <v>2070.7205842538224</v>
      </c>
      <c r="FK224" s="6">
        <v>2635.395613320291</v>
      </c>
      <c r="FL224" s="6">
        <v>893.91433563489386</v>
      </c>
      <c r="FM224" s="6">
        <v>2489.6469658476244</v>
      </c>
      <c r="FN224" s="6">
        <v>0</v>
      </c>
      <c r="FO224" s="6">
        <v>0</v>
      </c>
      <c r="FP224" s="6">
        <v>0</v>
      </c>
      <c r="FQ224" s="6">
        <v>0</v>
      </c>
      <c r="FR224" s="6">
        <v>0</v>
      </c>
      <c r="FS224" s="6">
        <v>0</v>
      </c>
      <c r="FT224" s="7">
        <v>0.58179597563377139</v>
      </c>
      <c r="FU224" s="7">
        <v>6.9922779300577401E-2</v>
      </c>
      <c r="FV224" s="7">
        <v>0.34828124506565122</v>
      </c>
      <c r="FW224" s="6">
        <v>1600</v>
      </c>
      <c r="FX224" s="6">
        <v>3339.6469658476244</v>
      </c>
      <c r="FY224" s="6">
        <v>2111</v>
      </c>
      <c r="FZ224" s="6">
        <v>2594.6978186474794</v>
      </c>
      <c r="GA224" s="6">
        <v>1899.6126670824303</v>
      </c>
      <c r="GB224" s="6">
        <v>17795.387332917569</v>
      </c>
      <c r="GC224" s="7">
        <v>9.6947029492584935E-2</v>
      </c>
      <c r="GD224" s="7">
        <v>9.0437050285746112E-2</v>
      </c>
      <c r="GE224" s="7"/>
      <c r="GF224" s="7"/>
      <c r="GG224" s="7">
        <v>-6.7149857410914726E-2</v>
      </c>
      <c r="GH224" s="42">
        <v>1.902668239610926</v>
      </c>
      <c r="GI224" s="6">
        <v>12250.865497175082</v>
      </c>
      <c r="GJ224" s="14">
        <v>0.5107463060103955</v>
      </c>
      <c r="GK224" s="14">
        <v>0.5082951978616097</v>
      </c>
      <c r="GL224" s="14">
        <v>0.48925369398960444</v>
      </c>
      <c r="GM224" s="14">
        <v>0.49170480213838991</v>
      </c>
      <c r="GO224" s="5">
        <v>338.16872463277008</v>
      </c>
      <c r="GP224" s="5">
        <v>307.64377699166363</v>
      </c>
      <c r="GQ224" s="5">
        <v>527.27910984145694</v>
      </c>
      <c r="GR224" s="5">
        <v>404.20319246551543</v>
      </c>
      <c r="GS224" s="5">
        <v>334.50205195691484</v>
      </c>
      <c r="GT224" s="5">
        <v>289.18266033348181</v>
      </c>
      <c r="GU224" s="5">
        <v>254.29573314828914</v>
      </c>
      <c r="GV224" s="39" t="s">
        <v>392</v>
      </c>
      <c r="GW224" s="5">
        <v>468.76388888888891</v>
      </c>
      <c r="GX224" s="5">
        <v>351.57291666666669</v>
      </c>
      <c r="GY224" s="5">
        <v>281.25833333333333</v>
      </c>
      <c r="GZ224" s="5">
        <v>234.38194444444446</v>
      </c>
      <c r="HA224" s="5">
        <v>229.89195052129486</v>
      </c>
      <c r="HB224" s="39">
        <v>244.10906985098438</v>
      </c>
      <c r="HC224" s="5">
        <v>190.75937499999998</v>
      </c>
      <c r="HD224" s="5">
        <v>173.28879751461983</v>
      </c>
      <c r="HE224" s="5">
        <v>178.94016109986501</v>
      </c>
      <c r="HF224" s="5">
        <v>168.88629934210525</v>
      </c>
      <c r="HG224" s="5">
        <v>167.11410087719298</v>
      </c>
      <c r="HH224" s="39">
        <v>175.25374876794777</v>
      </c>
      <c r="HI224" s="16"/>
      <c r="HJ224" s="19" t="str">
        <f t="shared" si="825"/>
        <v>On</v>
      </c>
      <c r="HK224" s="1" t="str">
        <f t="shared" si="825"/>
        <v>On</v>
      </c>
      <c r="HL224" s="16"/>
      <c r="HM224" s="639">
        <f t="shared" si="727"/>
        <v>5.0961701597560354E-2</v>
      </c>
      <c r="HN224" s="639">
        <f t="shared" si="728"/>
        <v>3.112551654761847E-3</v>
      </c>
      <c r="HO224" s="639">
        <f t="shared" si="729"/>
        <v>3.1163314184693442E-2</v>
      </c>
      <c r="HP224" s="644">
        <f>(FT224*$GD224-HM224)/$JF224*INDEX(Input!$1:$1048576,$JG$93,$C224*2+6)</f>
        <v>31.070697826577984</v>
      </c>
      <c r="HQ224" s="644">
        <f>(FU224*$GD224-HN224)/$JF224*INDEX(Input!$1:$1048576,$JG$93,$C224*2+6)</f>
        <v>60.312658110444978</v>
      </c>
      <c r="HR224" s="644">
        <f>(FV224*$GD224-HO224)/$JF224*INDEX(Input!$1:$1048576,$JG$93,$C224*2+6)</f>
        <v>6.2774794331157979</v>
      </c>
      <c r="HS224" s="644">
        <f t="shared" si="826"/>
        <v>-8.8102947314035056</v>
      </c>
      <c r="HT224" s="644">
        <f t="shared" si="731"/>
        <v>96.130893311005423</v>
      </c>
      <c r="HU224" s="644">
        <f t="shared" si="732"/>
        <v>30.485187607265374</v>
      </c>
      <c r="HV224" s="648">
        <f t="shared" si="733"/>
        <v>0</v>
      </c>
      <c r="HW224" s="648">
        <f t="shared" si="734"/>
        <v>0</v>
      </c>
      <c r="HX224" s="648">
        <f t="shared" si="735"/>
        <v>0</v>
      </c>
      <c r="HY224" s="644">
        <f>INDEX(Input!$1:$1048576,HY$93,$C224*2+6)*INDEX(Input!$1:$1048576,$JG$93,$C224*2+6)</f>
        <v>555</v>
      </c>
      <c r="HZ224" s="644">
        <f>INDEX(Input!$1:$1048576,HZ$93,$C224*2+6)*INDEX(Input!$1:$1048576,$JG$93,$C224*2+6)</f>
        <v>480</v>
      </c>
      <c r="IA224" s="644">
        <f>INDEX(Input!$1:$1048576,IA$93,$C224*2+6)*INDEX(Input!$1:$1048576,$JG$93,$C224*2+6)</f>
        <v>566</v>
      </c>
      <c r="IB224" s="644">
        <f t="shared" si="759"/>
        <v>577.26040309517441</v>
      </c>
      <c r="IC224" s="644">
        <f t="shared" si="760"/>
        <v>636.44355142145037</v>
      </c>
      <c r="ID224" s="644">
        <f>IF(AND(INDEX(Input!$1:$1048576,IA$93,$C224*2+7)="TOS",Y224&lt;=INDEX(Y:Y,MATCH(C224*1000+2,A:A))),0,1)*MAX(IA224+HR224+HU224+HX224,0%)</f>
        <v>602.76266704038119</v>
      </c>
      <c r="IE224" s="128">
        <f t="shared" si="827"/>
        <v>0.31779301433040857</v>
      </c>
      <c r="IF224" s="128">
        <f t="shared" si="736"/>
        <v>0.35037448190262654</v>
      </c>
      <c r="IG224" s="128">
        <f t="shared" si="737"/>
        <v>0.33183250376696488</v>
      </c>
      <c r="IH224" s="21"/>
      <c r="II224" s="19">
        <f t="shared" si="738"/>
        <v>1200</v>
      </c>
      <c r="IJ224" s="19">
        <f t="shared" si="739"/>
        <v>2226.7968732767699</v>
      </c>
      <c r="IK224" s="19">
        <f t="shared" si="740"/>
        <v>1786</v>
      </c>
      <c r="IL224" s="19">
        <f t="shared" si="762"/>
        <v>400</v>
      </c>
      <c r="IM224" s="19">
        <f t="shared" si="741"/>
        <v>1112.8500925708545</v>
      </c>
      <c r="IN224" s="19">
        <f t="shared" si="742"/>
        <v>325</v>
      </c>
      <c r="IO224" s="39">
        <f t="shared" si="743"/>
        <v>0</v>
      </c>
      <c r="IP224" s="39">
        <f t="shared" si="744"/>
        <v>0</v>
      </c>
      <c r="IQ224" s="39">
        <f t="shared" si="745"/>
        <v>0</v>
      </c>
      <c r="IR224" s="39">
        <v>0</v>
      </c>
      <c r="IS224" s="39">
        <v>0</v>
      </c>
      <c r="IT224" s="39">
        <v>0</v>
      </c>
      <c r="IU224" s="39">
        <v>0</v>
      </c>
      <c r="IV224" s="39">
        <v>0</v>
      </c>
      <c r="IW224" s="39">
        <v>0</v>
      </c>
      <c r="IX224" s="39">
        <f>INDEX(Input!$1:$1048576,IX$93,$C224*2+6)+INDEX(Input!$1:$1048576,IX$94,$C224*2+6)</f>
        <v>1600</v>
      </c>
      <c r="IY224" s="39">
        <f>INDEX(Input!$1:$1048576,IY$93,$C224*2+6)+INDEX(Input!$1:$1048576,IY$94,$C224*2+6)</f>
        <v>2503.5492916397525</v>
      </c>
      <c r="IZ224" s="39">
        <f>INDEX(Input!$1:$1048576,IZ$93,$C224*2+6)+INDEX(Input!$1:$1048576,IZ$94,$C224*2+6)</f>
        <v>5773.7109265464023</v>
      </c>
      <c r="JA224" s="19">
        <f t="shared" si="763"/>
        <v>2000</v>
      </c>
      <c r="JB224" s="19">
        <f t="shared" si="764"/>
        <v>3616.399384210607</v>
      </c>
      <c r="JC224" s="19">
        <f t="shared" si="765"/>
        <v>6098.7109265464023</v>
      </c>
      <c r="JD224" s="19">
        <f t="shared" si="766"/>
        <v>3926.4306057634253</v>
      </c>
      <c r="JE224" s="21"/>
      <c r="JF224" s="1">
        <f t="shared" si="746"/>
        <v>8.5237567437015646E-2</v>
      </c>
      <c r="JG224" s="15">
        <f>INDEX(Input!$1:$1048576,JG$93,$C224*2+6)/(1+VLOOKUP(C224*1000+INDEX(Input!$1:$1048576,JG$93+1,$C224*2+6),$A:$KK,$JK$92,FALSE))</f>
        <v>1601</v>
      </c>
      <c r="JH224" s="1">
        <f t="shared" si="767"/>
        <v>6.0999897170605104E-2</v>
      </c>
      <c r="JI224" s="1">
        <f t="shared" si="768"/>
        <v>7.358262722477657E-2</v>
      </c>
      <c r="JJ224" s="1">
        <f t="shared" si="828"/>
        <v>0</v>
      </c>
      <c r="JK224" s="1">
        <f t="shared" si="829"/>
        <v>0.13458252439538168</v>
      </c>
      <c r="JL224" s="15">
        <f t="shared" si="771"/>
        <v>215.46662155700608</v>
      </c>
      <c r="JM224" s="15">
        <f t="shared" si="795"/>
        <v>1816.466621557006</v>
      </c>
      <c r="JN224" s="21"/>
      <c r="JO224" s="19">
        <f>INDEX(Input!$1:$1048576,JO$93,$C224*2+6)</f>
        <v>5908.5</v>
      </c>
      <c r="JP224" s="19">
        <f>INDEX(Input!$1:$1048576,JP$93,$C224*2+6)</f>
        <v>3346.4235130620518</v>
      </c>
      <c r="JQ224" s="39">
        <f t="shared" si="781"/>
        <v>1982.0693942365747</v>
      </c>
      <c r="JR224" s="39">
        <f t="shared" si="798"/>
        <v>580.00709270137349</v>
      </c>
      <c r="JS224" s="39">
        <f t="shared" si="783"/>
        <v>7.1322301372291177</v>
      </c>
      <c r="JT224" s="39">
        <f t="shared" si="773"/>
        <v>1.7746060928167728</v>
      </c>
      <c r="JU224" s="385">
        <f>(JQ224*JM224-INDEX(Input!$1:$1048576,Input!A$18,$C224*2+6)*JL224*INDEX(Input!$1:$1048576,Input!A$19,$C224*2+6))/1000000</f>
        <v>3.6003628962404521</v>
      </c>
      <c r="JV224" s="39">
        <f t="shared" si="805"/>
        <v>-0.50152155934720266</v>
      </c>
      <c r="JW224" s="1">
        <f t="shared" si="796"/>
        <v>-0.12226613518184835</v>
      </c>
      <c r="JX224" s="19">
        <f t="shared" si="787"/>
        <v>8236.1067342732931</v>
      </c>
      <c r="JZ224" s="341"/>
      <c r="KA224" s="342"/>
      <c r="KB224" s="469">
        <f t="shared" si="784"/>
        <v>2.4482969984810516</v>
      </c>
      <c r="KI224" s="473">
        <f t="shared" si="812"/>
        <v>22.260403095174411</v>
      </c>
      <c r="KJ224" s="473">
        <f t="shared" si="813"/>
        <v>156.44355142145037</v>
      </c>
      <c r="KK224" s="473">
        <f t="shared" si="775"/>
        <v>36.762667040381189</v>
      </c>
      <c r="KN224" s="544">
        <f t="shared" si="788"/>
        <v>2002</v>
      </c>
      <c r="KO224" s="541">
        <f t="shared" si="750"/>
        <v>5.1342667103106088E-2</v>
      </c>
      <c r="KP224" s="546">
        <f t="shared" si="751"/>
        <v>249.76001547590525</v>
      </c>
      <c r="KQ224" s="546">
        <f t="shared" si="752"/>
        <v>200.8270308068868</v>
      </c>
      <c r="KR224" s="548">
        <f t="shared" si="753"/>
        <v>3.2827968997609114</v>
      </c>
      <c r="KS224" s="548">
        <f t="shared" si="754"/>
        <v>4.0826745343706108</v>
      </c>
      <c r="KT224" s="473">
        <f t="shared" si="786"/>
        <v>528.59039248727379</v>
      </c>
      <c r="KU224" s="663">
        <f t="shared" si="776"/>
        <v>12.221197815491008</v>
      </c>
      <c r="KV224" s="117"/>
    </row>
    <row r="225" spans="1:308" s="26" customFormat="1" ht="15">
      <c r="A225" s="561">
        <f t="shared" si="755"/>
        <v>2025</v>
      </c>
      <c r="B225" s="561">
        <f t="shared" si="777"/>
        <v>25</v>
      </c>
      <c r="C225" s="561">
        <f t="shared" si="105"/>
        <v>2</v>
      </c>
      <c r="D225" s="561" t="str">
        <f t="shared" si="824"/>
        <v xml:space="preserve">0.9/1.9/2.9/3.9, </v>
      </c>
      <c r="E225" s="475">
        <f>INDEX(Input!$1:$1048576,E$93,$C225*2+MIN($B225,2)+5)
+INDEX(Scenarios!E$121:E$200,MATCH($B225,Scenarios!$B$121:$B$200,0))</f>
        <v>1250</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2.8999999999999998E-2</v>
      </c>
      <c r="W225" s="863">
        <f>IFERROR(MAX(0,INDEX(Input!$1:$1048576,W$93,$C225*2+MIN($B225,2)+5)-0%,),"Market")</f>
        <v>3.9E-2</v>
      </c>
      <c r="X225" s="476" t="str">
        <f>INDEX(Input!$1:$1048576,X$93,$C225*2+MIN($B225,2)+5)</f>
        <v>Y</v>
      </c>
      <c r="Y225" s="475">
        <f>INDEX(Input!$1:$1048576,Y$93,$C225*2+MIN($B225,2)+5)
++INDEX(Scenarios!Y$121:Y$200,MATCH($B225,Scenarios!$B$121:$B$200,0))</f>
        <v>1358</v>
      </c>
      <c r="Z225" s="477">
        <f>INDEX(Input!$1:$1048576,Z$93,$C225*2+MIN($B225,2)+5)
+INDEX(Scenarios!Z$121:Z$200,MATCH($B225,Scenarios!$B$121:$B$200,0))</f>
        <v>0</v>
      </c>
      <c r="AA225" s="475">
        <f>INDEX(Input!$1:$1048576,AA$93,$C225*2+MIN($B225,2)+5)</f>
        <v>0</v>
      </c>
      <c r="AB225" s="476">
        <f>INDEX(Input!$1:$1048576,AB$93,$C225*2+MIN($B225,2)+5)</f>
        <v>1</v>
      </c>
      <c r="AC225" s="475">
        <f>INDEX(Input!$1:$1048576,AC$93,$C225*2+MIN($B225,2)+5)
+INDEX(Scenarios!AC$121:AC$200,MATCH($B225,Scenarios!$B$121:$B$200,0))</f>
        <v>0</v>
      </c>
      <c r="AD225" s="476">
        <f>INDEX(Input!$1:$1048576,AD$93,$C225*2+MIN($B225,2)+5)</f>
        <v>0.35</v>
      </c>
      <c r="AE225" s="475">
        <f>INDEX(Input!$1:$1048576,AE$93,$C225*2+MIN($B225,2)+5)
+INDEX(Scenarios!AE$121:AE$200,MATCH($B225,Scenarios!$B$121:$B$200,0))</f>
        <v>0</v>
      </c>
      <c r="AF225" s="476">
        <f>INDEX(Input!$1:$1048576,AF$93,$C225*2+MIN($B225,2)+5)</f>
        <v>1</v>
      </c>
      <c r="AG225" s="475">
        <f>INDEX(Input!$1:$1048576,AG$93,$C225*2+MIN($B225,2)+5)
+INDEX(Scenarios!AG$121:AG$200,MATCH($B225,Scenarios!$B$121:$B$200,0))</f>
        <v>0</v>
      </c>
      <c r="AH225" s="476">
        <f>INDEX(Input!$1:$1048576,AH$93,$C225*2+MIN($B225,2)+5)</f>
        <v>1</v>
      </c>
      <c r="AI225" s="475">
        <f>INDEX(Input!$1:$1048576,AI$93,$C225*2+MIN($B225,2)+5)
+INDEX(Scenarios!AI$121:AI$200,MATCH($B225,Scenarios!$B$121:$B$200,0))</f>
        <v>0</v>
      </c>
      <c r="AJ225" s="476">
        <f>INDEX(Input!$1:$1048576,AJ$93,$C225*2+MIN($B225,2)+5)</f>
        <v>0.35</v>
      </c>
      <c r="AK225" s="150">
        <f>ROUND(INDEX(Input!$1:$1048576,AK$93,$C224*2+MIN($B225,1)+5)+(Y225-VLOOKUP($C225*1000+1,$A:$HH,Y$92,FALSE)),0)</f>
        <v>4982</v>
      </c>
      <c r="AL225" s="150">
        <f>ROUND(INDEX(Input!$1:$1048576,AL$93,$C224*2+MIN($B225,1)+5)-(Y225-VLOOKUP($C225*1000+1,$A:$HH,Y$92,FALSE))/36,0)</f>
        <v>5102</v>
      </c>
      <c r="AM225" s="32" t="str">
        <f t="shared" si="756"/>
        <v>std/std/std/std</v>
      </c>
      <c r="AN225" s="32" t="str">
        <f t="shared" si="757"/>
        <v>$0 + 0.9/0.9/0.9/2.9/3.9</v>
      </c>
      <c r="AO225" s="32" t="str">
        <f t="shared" si="758"/>
        <v>0.9/0.9/0.9/2.9/3.9</v>
      </c>
      <c r="AP225" s="32" t="str">
        <f t="shared" si="493"/>
        <v>0.9/1.9/2.9/3.9</v>
      </c>
      <c r="AQ225" s="536">
        <f t="shared" si="492"/>
        <v>0.36084500748432874</v>
      </c>
      <c r="AR225" s="32"/>
      <c r="AS225" s="302"/>
      <c r="AT225" s="3">
        <f t="shared" si="810"/>
        <v>25</v>
      </c>
      <c r="AU225" s="41" t="s">
        <v>121</v>
      </c>
      <c r="AV225" s="41" t="s">
        <v>116</v>
      </c>
      <c r="AW225" s="41" t="str">
        <f>INDEX(Input!$1:$1048576,AW$93,$C225*2+6)</f>
        <v>Kia</v>
      </c>
      <c r="AX225" s="41" t="str">
        <f>INDEX(Input!$1:$1048576,AX$93,$C225*2+6)</f>
        <v>Kia-LR - L2</v>
      </c>
      <c r="AY225" s="41" t="str">
        <f>IF(LEN(D225)=0,"",INDEX(Input!$1:$1048576,AY$93,$C225*2+6))</f>
        <v>Compact Conventional/Sporty Car (43)</v>
      </c>
      <c r="AZ225" s="41" t="str">
        <f>INDEX(Input!$1:$1048576,AZ$93,$C225*2+6)</f>
        <v>Kia Forte</v>
      </c>
      <c r="BA225" s="3">
        <f>INDEX(Input!$1:$1048576,BA$93,$C225*2+6)</f>
        <v>2020</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19695</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94"/>
        <v>1250</v>
      </c>
      <c r="CJ225" s="16" t="str">
        <f>INDEX(Input!$1:$1048576,CJ$93,$C225*2+6)</f>
        <v>N</v>
      </c>
      <c r="CK225" s="1" t="str">
        <f t="shared" si="495"/>
        <v>Market</v>
      </c>
      <c r="CL225" s="1" t="str">
        <f t="shared" si="496"/>
        <v>Market</v>
      </c>
      <c r="CM225" s="1" t="str">
        <f t="shared" si="497"/>
        <v>Market</v>
      </c>
      <c r="CN225" s="1" t="str">
        <f t="shared" si="498"/>
        <v>Market</v>
      </c>
      <c r="CO225" s="1" t="str">
        <f t="shared" si="499"/>
        <v>Market</v>
      </c>
      <c r="CP225" s="304">
        <f t="shared" si="500"/>
        <v>0</v>
      </c>
      <c r="CQ225" s="1">
        <f t="shared" si="501"/>
        <v>9.0000000000000011E-3</v>
      </c>
      <c r="CR225" s="1">
        <f t="shared" si="502"/>
        <v>9.0000000000000011E-3</v>
      </c>
      <c r="CS225" s="1">
        <f t="shared" si="503"/>
        <v>9.0000000000000011E-3</v>
      </c>
      <c r="CT225" s="1">
        <f t="shared" si="504"/>
        <v>2.8999999999999998E-2</v>
      </c>
      <c r="CU225" s="1">
        <f t="shared" si="505"/>
        <v>3.9E-2</v>
      </c>
      <c r="CV225" s="304">
        <f t="shared" si="506"/>
        <v>1358</v>
      </c>
      <c r="CW225" s="20" t="s">
        <v>122</v>
      </c>
      <c r="CX225" s="20" t="s">
        <v>122</v>
      </c>
      <c r="CY225" s="20" t="s">
        <v>122</v>
      </c>
      <c r="CZ225" s="20" t="s">
        <v>122</v>
      </c>
      <c r="DA225" s="20" t="s">
        <v>122</v>
      </c>
      <c r="DB225" s="503">
        <f t="shared" si="507"/>
        <v>0</v>
      </c>
      <c r="DC225" s="127">
        <v>0</v>
      </c>
      <c r="DD225" s="127">
        <v>0</v>
      </c>
      <c r="DE225" s="127">
        <v>0</v>
      </c>
      <c r="DF225" s="127">
        <v>0</v>
      </c>
      <c r="DG225" s="127">
        <v>0</v>
      </c>
      <c r="DH225" s="127">
        <v>0</v>
      </c>
      <c r="DI225" s="127">
        <v>0</v>
      </c>
      <c r="DJ225" s="127">
        <v>0</v>
      </c>
      <c r="DK225" s="127">
        <v>0</v>
      </c>
      <c r="DL225" s="127">
        <v>0</v>
      </c>
      <c r="DM225" s="304">
        <f>INDEX(Input!$1:$1048576,DM$93,$C225*2+6)</f>
        <v>20731.578947368424</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2.8534316952110807E-2</v>
      </c>
      <c r="DZ225" s="7">
        <v>0</v>
      </c>
      <c r="EA225" s="7">
        <v>0.58193700588988295</v>
      </c>
      <c r="EB225" s="7">
        <v>0</v>
      </c>
      <c r="EC225" s="7">
        <v>0</v>
      </c>
      <c r="ED225" s="7">
        <v>0</v>
      </c>
      <c r="EE225" s="7">
        <v>0</v>
      </c>
      <c r="EF225" s="7">
        <v>0</v>
      </c>
      <c r="EG225" s="7">
        <v>0</v>
      </c>
      <c r="EH225" s="7">
        <v>2.0006991819213397E-2</v>
      </c>
      <c r="EI225" s="7">
        <v>3.0495582059668073E-2</v>
      </c>
      <c r="EJ225" s="7">
        <v>0.28800238876998879</v>
      </c>
      <c r="EK225" s="7">
        <v>0.58922407727267256</v>
      </c>
      <c r="EL225" s="7">
        <v>7.2270960078457264E-2</v>
      </c>
      <c r="EM225" s="7">
        <v>2.4761543193336941E-2</v>
      </c>
      <c r="EN225" s="7">
        <v>4.9735437626962191E-2</v>
      </c>
      <c r="EO225" s="7">
        <v>0.56167631982953758</v>
      </c>
      <c r="EP225" s="7">
        <v>0.28599357683442767</v>
      </c>
      <c r="EQ225" s="7">
        <v>6.3881307457636038E-2</v>
      </c>
      <c r="ER225" s="7">
        <v>3.8713358251436868E-2</v>
      </c>
      <c r="ES225" s="7">
        <v>0.36476713396466931</v>
      </c>
      <c r="ET225" s="7">
        <v>0.38952867715800621</v>
      </c>
      <c r="EU225" s="6">
        <v>1600</v>
      </c>
      <c r="EV225" s="6">
        <v>0</v>
      </c>
      <c r="EW225" s="6">
        <v>1600</v>
      </c>
      <c r="EX225" s="6">
        <v>0</v>
      </c>
      <c r="EY225" s="6">
        <v>2209.344159081299</v>
      </c>
      <c r="EZ225" s="6">
        <v>2111</v>
      </c>
      <c r="FA225" s="6">
        <v>0</v>
      </c>
      <c r="FB225" s="6">
        <v>0</v>
      </c>
      <c r="FC225" s="6">
        <v>0</v>
      </c>
      <c r="FD225" s="6">
        <v>0</v>
      </c>
      <c r="FE225" s="6">
        <v>0</v>
      </c>
      <c r="FF225" s="6">
        <v>0</v>
      </c>
      <c r="FG225" s="6">
        <v>0</v>
      </c>
      <c r="FH225" s="6">
        <v>926.70322861993475</v>
      </c>
      <c r="FI225" s="6">
        <v>1232.1164465304241</v>
      </c>
      <c r="FJ225" s="6">
        <v>1709.9775738488468</v>
      </c>
      <c r="FK225" s="6">
        <v>1266.3227157028186</v>
      </c>
      <c r="FL225" s="6">
        <v>893.91433563489431</v>
      </c>
      <c r="FM225" s="6">
        <v>1359.3441590812988</v>
      </c>
      <c r="FN225" s="6">
        <v>0</v>
      </c>
      <c r="FO225" s="6">
        <v>0</v>
      </c>
      <c r="FP225" s="6">
        <v>0</v>
      </c>
      <c r="FQ225" s="6">
        <v>0</v>
      </c>
      <c r="FR225" s="6">
        <v>0</v>
      </c>
      <c r="FS225" s="6">
        <v>0</v>
      </c>
      <c r="FT225" s="7">
        <v>0.61047132284199379</v>
      </c>
      <c r="FU225" s="7">
        <v>2.4761543193336941E-2</v>
      </c>
      <c r="FV225" s="7">
        <v>0.36476713396466931</v>
      </c>
      <c r="FW225" s="6">
        <v>1599.9999999999998</v>
      </c>
      <c r="FX225" s="6">
        <v>2209.344159081299</v>
      </c>
      <c r="FY225" s="6">
        <v>2111</v>
      </c>
      <c r="FZ225" s="6">
        <v>2594.6978186474794</v>
      </c>
      <c r="GA225" s="6">
        <v>1801.484307170645</v>
      </c>
      <c r="GB225" s="6">
        <v>17893.515692829355</v>
      </c>
      <c r="GC225" s="7">
        <v>9.6947029492584935E-2</v>
      </c>
      <c r="GD225" s="7">
        <v>8.868452135358923E-2</v>
      </c>
      <c r="GE225" s="7"/>
      <c r="GF225" s="7"/>
      <c r="GG225" s="7">
        <v>-8.5227037715762802E-2</v>
      </c>
      <c r="GH225" s="42">
        <v>2.116134538211242</v>
      </c>
      <c r="GI225" s="6">
        <v>11108.548505767434</v>
      </c>
      <c r="GJ225" s="14">
        <v>0.5107463060103955</v>
      </c>
      <c r="GK225" s="14">
        <v>0.50829519786160993</v>
      </c>
      <c r="GL225" s="14">
        <v>0.48925369398960439</v>
      </c>
      <c r="GM225" s="14">
        <v>0.49170480213839068</v>
      </c>
      <c r="GO225" s="5">
        <v>338.16872463277008</v>
      </c>
      <c r="GP225" s="5">
        <v>307.64377699166363</v>
      </c>
      <c r="GQ225" s="5">
        <v>527.27910984145694</v>
      </c>
      <c r="GR225" s="5">
        <v>404.20319246551543</v>
      </c>
      <c r="GS225" s="5">
        <v>334.50205195691484</v>
      </c>
      <c r="GT225" s="5">
        <v>289.18266033348181</v>
      </c>
      <c r="GU225" s="5">
        <v>254.29573314828914</v>
      </c>
      <c r="GV225" s="39" t="s">
        <v>392</v>
      </c>
      <c r="GW225" s="5">
        <v>475.29643226912253</v>
      </c>
      <c r="GX225" s="5">
        <v>358.07100736083845</v>
      </c>
      <c r="GY225" s="5">
        <v>287.73954748358943</v>
      </c>
      <c r="GZ225" s="5">
        <v>255.64660634518972</v>
      </c>
      <c r="HA225" s="5">
        <v>229.89195052129486</v>
      </c>
      <c r="HB225" s="39">
        <v>270.54616034925721</v>
      </c>
      <c r="HC225" s="5">
        <v>190.75937499999998</v>
      </c>
      <c r="HD225" s="5">
        <v>173.28879751461983</v>
      </c>
      <c r="HE225" s="5">
        <v>178.94016109986501</v>
      </c>
      <c r="HF225" s="5">
        <v>168.88629934210525</v>
      </c>
      <c r="HG225" s="5">
        <v>167.11410087719298</v>
      </c>
      <c r="HH225" s="39">
        <v>175.25367743482838</v>
      </c>
      <c r="HI225" s="16"/>
      <c r="HJ225" s="19" t="str">
        <f t="shared" si="825"/>
        <v>On</v>
      </c>
      <c r="HK225" s="1" t="str">
        <f t="shared" si="825"/>
        <v>On</v>
      </c>
      <c r="HL225" s="16"/>
      <c r="HM225" s="639">
        <f t="shared" si="727"/>
        <v>5.0961701597560354E-2</v>
      </c>
      <c r="HN225" s="639">
        <f t="shared" si="728"/>
        <v>3.112551654761847E-3</v>
      </c>
      <c r="HO225" s="639">
        <f t="shared" si="729"/>
        <v>3.1163314184693442E-2</v>
      </c>
      <c r="HP225" s="644">
        <f>(FT225*$GD225-HM225)/$JF225*INDEX(Input!$1:$1048576,$JG$93,$C225*2+6)</f>
        <v>59.685260366761547</v>
      </c>
      <c r="HQ225" s="644">
        <f>(FU225*$GD225-HN225)/$JF225*INDEX(Input!$1:$1048576,$JG$93,$C225*2+6)</f>
        <v>-17.216050481828717</v>
      </c>
      <c r="HR225" s="644">
        <f>(FV225*$GD225-HO225)/$JF225*INDEX(Input!$1:$1048576,$JG$93,$C225*2+6)</f>
        <v>22.274228793231508</v>
      </c>
      <c r="HS225" s="644">
        <f t="shared" si="826"/>
        <v>-8.0409273425306047</v>
      </c>
      <c r="HT225" s="644">
        <f t="shared" si="731"/>
        <v>-6.2413152679495187</v>
      </c>
      <c r="HU225" s="644">
        <f t="shared" si="732"/>
        <v>29.715820218392476</v>
      </c>
      <c r="HV225" s="648">
        <f t="shared" si="733"/>
        <v>0</v>
      </c>
      <c r="HW225" s="648">
        <f t="shared" si="734"/>
        <v>0</v>
      </c>
      <c r="HX225" s="648">
        <f t="shared" si="735"/>
        <v>0</v>
      </c>
      <c r="HY225" s="644">
        <f>INDEX(Input!$1:$1048576,HY$93,$C225*2+6)*INDEX(Input!$1:$1048576,$JG$93,$C225*2+6)</f>
        <v>555</v>
      </c>
      <c r="HZ225" s="644">
        <f>INDEX(Input!$1:$1048576,HZ$93,$C225*2+6)*INDEX(Input!$1:$1048576,$JG$93,$C225*2+6)</f>
        <v>480</v>
      </c>
      <c r="IA225" s="644">
        <f>INDEX(Input!$1:$1048576,IA$93,$C225*2+6)*INDEX(Input!$1:$1048576,$JG$93,$C225*2+6)</f>
        <v>566</v>
      </c>
      <c r="IB225" s="644">
        <f t="shared" si="759"/>
        <v>606.64433302423083</v>
      </c>
      <c r="IC225" s="644">
        <f t="shared" si="760"/>
        <v>456.54263425022179</v>
      </c>
      <c r="ID225" s="644">
        <f>IF(AND(INDEX(Input!$1:$1048576,IA$93,$C225*2+7)="TOS",Y225&lt;=INDEX(Y:Y,MATCH(C225*1000+2,A:A))),0,1)*MAX(IA225+HR225+HU225+HX225,0%)</f>
        <v>617.99004901162391</v>
      </c>
      <c r="IE225" s="128">
        <f t="shared" si="827"/>
        <v>0.36084500748432874</v>
      </c>
      <c r="IF225" s="128">
        <f t="shared" si="736"/>
        <v>0.2715613108123377</v>
      </c>
      <c r="IG225" s="128">
        <f t="shared" si="737"/>
        <v>0.36759368170333345</v>
      </c>
      <c r="IH225" s="21"/>
      <c r="II225" s="19">
        <f t="shared" si="738"/>
        <v>1200</v>
      </c>
      <c r="IJ225" s="19">
        <f t="shared" si="739"/>
        <v>2226.7968732767699</v>
      </c>
      <c r="IK225" s="19">
        <f t="shared" si="740"/>
        <v>1786</v>
      </c>
      <c r="IL225" s="19">
        <f t="shared" si="762"/>
        <v>399.99999999999977</v>
      </c>
      <c r="IM225" s="19">
        <f t="shared" si="741"/>
        <v>-17.45271419547089</v>
      </c>
      <c r="IN225" s="19">
        <f t="shared" si="742"/>
        <v>325</v>
      </c>
      <c r="IO225" s="39">
        <f t="shared" si="743"/>
        <v>0</v>
      </c>
      <c r="IP225" s="39">
        <f t="shared" si="744"/>
        <v>0</v>
      </c>
      <c r="IQ225" s="39">
        <f t="shared" si="745"/>
        <v>0</v>
      </c>
      <c r="IR225" s="39">
        <v>0</v>
      </c>
      <c r="IS225" s="39">
        <v>0</v>
      </c>
      <c r="IT225" s="39">
        <v>0</v>
      </c>
      <c r="IU225" s="39">
        <v>0</v>
      </c>
      <c r="IV225" s="39">
        <v>0</v>
      </c>
      <c r="IW225" s="39">
        <v>0</v>
      </c>
      <c r="IX225" s="39">
        <f>INDEX(Input!$1:$1048576,IX$93,$C225*2+6)+INDEX(Input!$1:$1048576,IX$94,$C225*2+6)</f>
        <v>1600</v>
      </c>
      <c r="IY225" s="39">
        <f>INDEX(Input!$1:$1048576,IY$93,$C225*2+6)+INDEX(Input!$1:$1048576,IY$94,$C225*2+6)</f>
        <v>2503.5492916397525</v>
      </c>
      <c r="IZ225" s="39">
        <f>INDEX(Input!$1:$1048576,IZ$93,$C225*2+6)+INDEX(Input!$1:$1048576,IZ$94,$C225*2+6)</f>
        <v>5773.7109265464023</v>
      </c>
      <c r="JA225" s="19">
        <f t="shared" si="763"/>
        <v>1999.9999999999998</v>
      </c>
      <c r="JB225" s="19">
        <f t="shared" si="764"/>
        <v>2486.0965774442816</v>
      </c>
      <c r="JC225" s="19">
        <f t="shared" si="765"/>
        <v>6098.7109265464023</v>
      </c>
      <c r="JD225" s="19">
        <f t="shared" si="766"/>
        <v>3638.6652634790325</v>
      </c>
      <c r="JE225" s="21"/>
      <c r="JF225" s="1">
        <f t="shared" si="746"/>
        <v>8.5237567437015646E-2</v>
      </c>
      <c r="JG225" s="15">
        <f>INDEX(Input!$1:$1048576,JG$93,$C225*2+6)/(1+VLOOKUP(C225*1000+INDEX(Input!$1:$1048576,JG$93+1,$C225*2+6),$A:$KK,$JK$92,FALSE))</f>
        <v>1601</v>
      </c>
      <c r="JH225" s="1">
        <f t="shared" si="767"/>
        <v>4.043937456474974E-2</v>
      </c>
      <c r="JI225" s="1">
        <f t="shared" si="768"/>
        <v>9.6399610293019071E-3</v>
      </c>
      <c r="JJ225" s="1">
        <f t="shared" si="828"/>
        <v>0</v>
      </c>
      <c r="JK225" s="1">
        <f t="shared" si="829"/>
        <v>5.0079335594051644E-2</v>
      </c>
      <c r="JL225" s="15">
        <f t="shared" si="771"/>
        <v>80.177016286076679</v>
      </c>
      <c r="JM225" s="15">
        <f t="shared" si="795"/>
        <v>1681.1770162860767</v>
      </c>
      <c r="JN225" s="21"/>
      <c r="JO225" s="19">
        <f>INDEX(Input!$1:$1048576,JO$93,$C225*2+6)</f>
        <v>5908.5</v>
      </c>
      <c r="JP225" s="19">
        <f>INDEX(Input!$1:$1048576,JP$93,$C225*2+6)</f>
        <v>3346.4235130620518</v>
      </c>
      <c r="JQ225" s="39">
        <f t="shared" si="781"/>
        <v>2269.8347365209675</v>
      </c>
      <c r="JR225" s="39">
        <f t="shared" si="798"/>
        <v>292.24175041698072</v>
      </c>
      <c r="JS225" s="39">
        <f t="shared" si="783"/>
        <v>6.1172404109194707</v>
      </c>
      <c r="JT225" s="39">
        <f t="shared" si="773"/>
        <v>0.75961636650712605</v>
      </c>
      <c r="JU225" s="385">
        <f>(JQ225*JM225-INDEX(Input!$1:$1048576,Input!A$18,$C225*2+6)*JL225*INDEX(Input!$1:$1048576,Input!A$19,$C225*2+6))/1000000</f>
        <v>3.8159939898068131</v>
      </c>
      <c r="JV225" s="39">
        <f t="shared" si="805"/>
        <v>-0.28589046578084165</v>
      </c>
      <c r="JW225" s="1">
        <f t="shared" si="796"/>
        <v>-6.969734737198581E-2</v>
      </c>
      <c r="JX225" s="19">
        <f t="shared" si="787"/>
        <v>9474.240894632032</v>
      </c>
      <c r="JZ225" s="341"/>
      <c r="KA225" s="342"/>
      <c r="KB225" s="469">
        <f t="shared" si="784"/>
        <v>2.4482969984810516</v>
      </c>
      <c r="KI225" s="473">
        <f t="shared" si="812"/>
        <v>51.644333024230832</v>
      </c>
      <c r="KJ225" s="473">
        <f t="shared" si="813"/>
        <v>-23.457365749778205</v>
      </c>
      <c r="KK225" s="473">
        <f t="shared" si="775"/>
        <v>51.99004901162391</v>
      </c>
      <c r="KN225" s="544">
        <f t="shared" si="788"/>
        <v>2002</v>
      </c>
      <c r="KO225" s="541">
        <f t="shared" si="750"/>
        <v>-2.6960855102518666E-2</v>
      </c>
      <c r="KP225" s="546">
        <f t="shared" si="751"/>
        <v>-113.36746798460682</v>
      </c>
      <c r="KQ225" s="546">
        <f t="shared" si="752"/>
        <v>-86.938311477505977</v>
      </c>
      <c r="KR225" s="548">
        <f t="shared" si="753"/>
        <v>3.7978142296407009</v>
      </c>
      <c r="KS225" s="548">
        <f t="shared" si="754"/>
        <v>4.9523458159372531</v>
      </c>
      <c r="KT225" s="473">
        <f t="shared" si="786"/>
        <v>528.59039248727379</v>
      </c>
      <c r="KU225" s="663">
        <f t="shared" si="776"/>
        <v>11.80236686550912</v>
      </c>
      <c r="KV225" s="117"/>
    </row>
    <row r="226" spans="1:308" s="26" customFormat="1" ht="15">
      <c r="A226" s="561">
        <f t="shared" si="755"/>
        <v>2026</v>
      </c>
      <c r="B226" s="561">
        <f t="shared" si="777"/>
        <v>26</v>
      </c>
      <c r="C226" s="561">
        <f t="shared" si="105"/>
        <v>2</v>
      </c>
      <c r="D226" s="561" t="str">
        <f t="shared" si="824"/>
        <v xml:space="preserve">1.9/2.9/3.9/3.9, </v>
      </c>
      <c r="E226" s="475">
        <f>INDEX(Input!$1:$1048576,E$93,$C226*2+MIN($B226,2)+5)
+INDEX(Scenarios!E$121:E$200,MATCH($B226,Scenarios!$B$121:$B$200,0))</f>
        <v>1250</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3.9E-2</v>
      </c>
      <c r="W226" s="863">
        <f>IFERROR(MAX(0,INDEX(Input!$1:$1048576,W$93,$C226*2+MIN($B226,2)+5)-0%,),"Market")</f>
        <v>3.9E-2</v>
      </c>
      <c r="X226" s="476" t="str">
        <f>INDEX(Input!$1:$1048576,X$93,$C226*2+MIN($B226,2)+5)</f>
        <v>Y</v>
      </c>
      <c r="Y226" s="475">
        <f>INDEX(Input!$1:$1048576,Y$93,$C226*2+MIN($B226,2)+5)
++INDEX(Scenarios!Y$121:Y$200,MATCH($B226,Scenarios!$B$121:$B$200,0))</f>
        <v>1358</v>
      </c>
      <c r="Z226" s="477">
        <f>INDEX(Input!$1:$1048576,Z$93,$C226*2+MIN($B226,2)+5)
+INDEX(Scenarios!Z$121:Z$200,MATCH($B226,Scenarios!$B$121:$B$200,0))</f>
        <v>0</v>
      </c>
      <c r="AA226" s="475">
        <f>INDEX(Input!$1:$1048576,AA$93,$C226*2+MIN($B226,2)+5)</f>
        <v>0</v>
      </c>
      <c r="AB226" s="476">
        <f>INDEX(Input!$1:$1048576,AB$93,$C226*2+MIN($B226,2)+5)</f>
        <v>1</v>
      </c>
      <c r="AC226" s="475">
        <f>INDEX(Input!$1:$1048576,AC$93,$C226*2+MIN($B226,2)+5)
+INDEX(Scenarios!AC$121:AC$200,MATCH($B226,Scenarios!$B$121:$B$200,0))</f>
        <v>0</v>
      </c>
      <c r="AD226" s="476">
        <f>INDEX(Input!$1:$1048576,AD$93,$C226*2+MIN($B226,2)+5)</f>
        <v>0.35</v>
      </c>
      <c r="AE226" s="475">
        <f>INDEX(Input!$1:$1048576,AE$93,$C226*2+MIN($B226,2)+5)
+INDEX(Scenarios!AE$121:AE$200,MATCH($B226,Scenarios!$B$121:$B$200,0))</f>
        <v>0</v>
      </c>
      <c r="AF226" s="476">
        <f>INDEX(Input!$1:$1048576,AF$93,$C226*2+MIN($B226,2)+5)</f>
        <v>1</v>
      </c>
      <c r="AG226" s="475">
        <f>INDEX(Input!$1:$1048576,AG$93,$C226*2+MIN($B226,2)+5)
+INDEX(Scenarios!AG$121:AG$200,MATCH($B226,Scenarios!$B$121:$B$200,0))</f>
        <v>0</v>
      </c>
      <c r="AH226" s="476">
        <f>INDEX(Input!$1:$1048576,AH$93,$C226*2+MIN($B226,2)+5)</f>
        <v>1</v>
      </c>
      <c r="AI226" s="475">
        <f>INDEX(Input!$1:$1048576,AI$93,$C226*2+MIN($B226,2)+5)
+INDEX(Scenarios!AI$121:AI$200,MATCH($B226,Scenarios!$B$121:$B$200,0))</f>
        <v>0</v>
      </c>
      <c r="AJ226" s="476">
        <f>INDEX(Input!$1:$1048576,AJ$93,$C226*2+MIN($B226,2)+5)</f>
        <v>0.35</v>
      </c>
      <c r="AK226" s="150">
        <f>ROUND(INDEX(Input!$1:$1048576,AK$93,$C225*2+MIN($B226,1)+5)+(Y226-VLOOKUP($C226*1000+1,$A:$HH,Y$92,FALSE)),0)</f>
        <v>4982</v>
      </c>
      <c r="AL226" s="150">
        <f>ROUND(INDEX(Input!$1:$1048576,AL$93,$C225*2+MIN($B226,1)+5)-(Y226-VLOOKUP($C226*1000+1,$A:$HH,Y$92,FALSE))/36,0)</f>
        <v>5102</v>
      </c>
      <c r="AM226" s="32" t="str">
        <f t="shared" si="756"/>
        <v>std/std/std/std</v>
      </c>
      <c r="AN226" s="32" t="str">
        <f t="shared" si="757"/>
        <v>$0 + 1.9/1.9/1.9/3.9/3.9</v>
      </c>
      <c r="AO226" s="32" t="str">
        <f t="shared" si="758"/>
        <v>1.9/1.9/1.9/3.9/3.9</v>
      </c>
      <c r="AP226" s="32" t="str">
        <f t="shared" si="493"/>
        <v>1.9/2.9/3.9/3.9</v>
      </c>
      <c r="AQ226" s="536">
        <f t="shared" si="492"/>
        <v>0.37350689159203804</v>
      </c>
      <c r="AR226" s="32"/>
      <c r="AS226" s="302"/>
      <c r="AT226" s="3">
        <f t="shared" si="810"/>
        <v>26</v>
      </c>
      <c r="AU226" s="41" t="s">
        <v>121</v>
      </c>
      <c r="AV226" s="41" t="s">
        <v>116</v>
      </c>
      <c r="AW226" s="41" t="str">
        <f>INDEX(Input!$1:$1048576,AW$93,$C226*2+6)</f>
        <v>Kia</v>
      </c>
      <c r="AX226" s="41" t="str">
        <f>INDEX(Input!$1:$1048576,AX$93,$C226*2+6)</f>
        <v>Kia-LR - L2</v>
      </c>
      <c r="AY226" s="41" t="str">
        <f>IF(LEN(D226)=0,"",INDEX(Input!$1:$1048576,AY$93,$C226*2+6))</f>
        <v>Compact Conventional/Sporty Car (43)</v>
      </c>
      <c r="AZ226" s="41" t="str">
        <f>INDEX(Input!$1:$1048576,AZ$93,$C226*2+6)</f>
        <v>Kia Forte</v>
      </c>
      <c r="BA226" s="3">
        <f>INDEX(Input!$1:$1048576,BA$93,$C226*2+6)</f>
        <v>2020</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19695</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94"/>
        <v>1250</v>
      </c>
      <c r="CJ226" s="16" t="str">
        <f>INDEX(Input!$1:$1048576,CJ$93,$C226*2+6)</f>
        <v>N</v>
      </c>
      <c r="CK226" s="1" t="str">
        <f t="shared" si="495"/>
        <v>Market</v>
      </c>
      <c r="CL226" s="1" t="str">
        <f t="shared" si="496"/>
        <v>Market</v>
      </c>
      <c r="CM226" s="1" t="str">
        <f t="shared" si="497"/>
        <v>Market</v>
      </c>
      <c r="CN226" s="1" t="str">
        <f t="shared" si="498"/>
        <v>Market</v>
      </c>
      <c r="CO226" s="1" t="str">
        <f t="shared" si="499"/>
        <v>Market</v>
      </c>
      <c r="CP226" s="304">
        <f t="shared" si="500"/>
        <v>0</v>
      </c>
      <c r="CQ226" s="1">
        <f t="shared" si="501"/>
        <v>1.9E-2</v>
      </c>
      <c r="CR226" s="1">
        <f t="shared" si="502"/>
        <v>1.9E-2</v>
      </c>
      <c r="CS226" s="1">
        <f t="shared" si="503"/>
        <v>1.9E-2</v>
      </c>
      <c r="CT226" s="1">
        <f t="shared" si="504"/>
        <v>3.9E-2</v>
      </c>
      <c r="CU226" s="1">
        <f t="shared" si="505"/>
        <v>3.9E-2</v>
      </c>
      <c r="CV226" s="304">
        <f t="shared" si="506"/>
        <v>1358</v>
      </c>
      <c r="CW226" s="20" t="s">
        <v>122</v>
      </c>
      <c r="CX226" s="20" t="s">
        <v>122</v>
      </c>
      <c r="CY226" s="20" t="s">
        <v>122</v>
      </c>
      <c r="CZ226" s="20" t="s">
        <v>122</v>
      </c>
      <c r="DA226" s="20" t="s">
        <v>122</v>
      </c>
      <c r="DB226" s="503">
        <f t="shared" si="507"/>
        <v>0</v>
      </c>
      <c r="DC226" s="127">
        <v>0</v>
      </c>
      <c r="DD226" s="127">
        <v>0</v>
      </c>
      <c r="DE226" s="127">
        <v>0</v>
      </c>
      <c r="DF226" s="127">
        <v>0</v>
      </c>
      <c r="DG226" s="127">
        <v>0</v>
      </c>
      <c r="DH226" s="127">
        <v>0</v>
      </c>
      <c r="DI226" s="127">
        <v>0</v>
      </c>
      <c r="DJ226" s="127">
        <v>0</v>
      </c>
      <c r="DK226" s="127">
        <v>0</v>
      </c>
      <c r="DL226" s="127">
        <v>0</v>
      </c>
      <c r="DM226" s="304">
        <f>INDEX(Input!$1:$1048576,DM$93,$C226*2+6)</f>
        <v>20731.578947368424</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2.8808008327779345E-2</v>
      </c>
      <c r="DZ226" s="7">
        <v>0</v>
      </c>
      <c r="EA226" s="7">
        <v>0.58700175960624745</v>
      </c>
      <c r="EB226" s="7">
        <v>0</v>
      </c>
      <c r="EC226" s="7">
        <v>0</v>
      </c>
      <c r="ED226" s="7">
        <v>0</v>
      </c>
      <c r="EE226" s="7">
        <v>0</v>
      </c>
      <c r="EF226" s="7">
        <v>0</v>
      </c>
      <c r="EG226" s="7">
        <v>0</v>
      </c>
      <c r="EH226" s="7">
        <v>2.4640829629698002E-2</v>
      </c>
      <c r="EI226" s="7">
        <v>3.4813714589771332E-2</v>
      </c>
      <c r="EJ226" s="7">
        <v>0.30951855022375052</v>
      </c>
      <c r="EK226" s="7">
        <v>0.51817067568647335</v>
      </c>
      <c r="EL226" s="7">
        <v>0.11285622987030713</v>
      </c>
      <c r="EM226" s="7">
        <v>1.6012829633413529E-2</v>
      </c>
      <c r="EN226" s="7">
        <v>4.973739240042778E-2</v>
      </c>
      <c r="EO226" s="7">
        <v>0.56168359872336537</v>
      </c>
      <c r="EP226" s="7">
        <v>0.28598432773010701</v>
      </c>
      <c r="EQ226" s="7">
        <v>6.3882799924766462E-2</v>
      </c>
      <c r="ER226" s="7">
        <v>3.8711881221333143E-2</v>
      </c>
      <c r="ES226" s="7">
        <v>0.36817740243255959</v>
      </c>
      <c r="ET226" s="7">
        <v>0.38419023206597319</v>
      </c>
      <c r="EU226" s="6">
        <v>1600</v>
      </c>
      <c r="EV226" s="6">
        <v>0</v>
      </c>
      <c r="EW226" s="6">
        <v>1600</v>
      </c>
      <c r="EX226" s="6">
        <v>0</v>
      </c>
      <c r="EY226" s="6">
        <v>1804.3409769416585</v>
      </c>
      <c r="EZ226" s="6">
        <v>2111</v>
      </c>
      <c r="FA226" s="6">
        <v>0</v>
      </c>
      <c r="FB226" s="6">
        <v>0</v>
      </c>
      <c r="FC226" s="6">
        <v>0</v>
      </c>
      <c r="FD226" s="6">
        <v>0</v>
      </c>
      <c r="FE226" s="6">
        <v>0</v>
      </c>
      <c r="FF226" s="6">
        <v>0</v>
      </c>
      <c r="FG226" s="6">
        <v>0</v>
      </c>
      <c r="FH226" s="6">
        <v>671.52865202199587</v>
      </c>
      <c r="FI226" s="6">
        <v>895.4505722393626</v>
      </c>
      <c r="FJ226" s="6">
        <v>1302.9658415685935</v>
      </c>
      <c r="FK226" s="6">
        <v>776.66319621661717</v>
      </c>
      <c r="FL226" s="6">
        <v>893.91433563489386</v>
      </c>
      <c r="FM226" s="6">
        <v>954.34097694165848</v>
      </c>
      <c r="FN226" s="6">
        <v>0</v>
      </c>
      <c r="FO226" s="6">
        <v>0</v>
      </c>
      <c r="FP226" s="6">
        <v>0</v>
      </c>
      <c r="FQ226" s="6">
        <v>0</v>
      </c>
      <c r="FR226" s="6">
        <v>0</v>
      </c>
      <c r="FS226" s="6">
        <v>0</v>
      </c>
      <c r="FT226" s="7">
        <v>0.61580976793402675</v>
      </c>
      <c r="FU226" s="7">
        <v>1.6012829633413529E-2</v>
      </c>
      <c r="FV226" s="7">
        <v>0.36817740243255959</v>
      </c>
      <c r="FW226" s="6">
        <v>1600.0000000000002</v>
      </c>
      <c r="FX226" s="6">
        <v>1804.3409769416585</v>
      </c>
      <c r="FY226" s="6">
        <v>2111</v>
      </c>
      <c r="FZ226" s="6">
        <v>2594.6978186474794</v>
      </c>
      <c r="GA226" s="6">
        <v>1791.4107298939298</v>
      </c>
      <c r="GB226" s="6">
        <v>17903.589270106069</v>
      </c>
      <c r="GC226" s="7">
        <v>9.6947029492584935E-2</v>
      </c>
      <c r="GD226" s="7">
        <v>8.8336907216067892E-2</v>
      </c>
      <c r="GE226" s="7"/>
      <c r="GF226" s="7"/>
      <c r="GG226" s="7">
        <v>-8.8812646675013332E-2</v>
      </c>
      <c r="GH226" s="42">
        <v>2.1775092625708012</v>
      </c>
      <c r="GI226" s="6">
        <v>10836.148375118812</v>
      </c>
      <c r="GJ226" s="14">
        <v>0.5107463060103955</v>
      </c>
      <c r="GK226" s="14">
        <v>0.50829519786160993</v>
      </c>
      <c r="GL226" s="14">
        <v>0.48925369398960439</v>
      </c>
      <c r="GM226" s="14">
        <v>0.49170480213839041</v>
      </c>
      <c r="GO226" s="5">
        <v>338.16872463277008</v>
      </c>
      <c r="GP226" s="5">
        <v>307.64377699166363</v>
      </c>
      <c r="GQ226" s="5">
        <v>527.27910984145694</v>
      </c>
      <c r="GR226" s="5">
        <v>404.20319246551543</v>
      </c>
      <c r="GS226" s="5">
        <v>334.50205195691484</v>
      </c>
      <c r="GT226" s="5">
        <v>289.18266033348181</v>
      </c>
      <c r="GU226" s="5">
        <v>254.29573314828914</v>
      </c>
      <c r="GV226" s="39" t="s">
        <v>392</v>
      </c>
      <c r="GW226" s="5">
        <v>482.62147721109295</v>
      </c>
      <c r="GX226" s="5">
        <v>365.38001635587005</v>
      </c>
      <c r="GY226" s="5">
        <v>295.0520389871549</v>
      </c>
      <c r="GZ226" s="5">
        <v>263.25207727846526</v>
      </c>
      <c r="HA226" s="5">
        <v>229.89195052129486</v>
      </c>
      <c r="HB226" s="39">
        <v>278.29075412229122</v>
      </c>
      <c r="HC226" s="5">
        <v>190.75937499999998</v>
      </c>
      <c r="HD226" s="5">
        <v>173.28879751461983</v>
      </c>
      <c r="HE226" s="5">
        <v>178.94016109986501</v>
      </c>
      <c r="HF226" s="5">
        <v>168.88629934210525</v>
      </c>
      <c r="HG226" s="5">
        <v>167.11410087719298</v>
      </c>
      <c r="HH226" s="39">
        <v>175.25366186542726</v>
      </c>
      <c r="HI226" s="16"/>
      <c r="HJ226" s="19" t="str">
        <f t="shared" si="825"/>
        <v>On</v>
      </c>
      <c r="HK226" s="1" t="str">
        <f t="shared" si="825"/>
        <v>On</v>
      </c>
      <c r="HL226" s="16"/>
      <c r="HM226" s="639">
        <f t="shared" si="727"/>
        <v>5.0961701597560354E-2</v>
      </c>
      <c r="HN226" s="639">
        <f t="shared" si="728"/>
        <v>3.112551654761847E-3</v>
      </c>
      <c r="HO226" s="639">
        <f t="shared" si="729"/>
        <v>3.1163314184693442E-2</v>
      </c>
      <c r="HP226" s="644">
        <f>(FT226*$GD226-HM226)/$JF226*INDEX(Input!$1:$1048576,$JG$93,$C226*2+6)</f>
        <v>64.557016002163195</v>
      </c>
      <c r="HQ226" s="644">
        <f>(FU226*$GD226-HN226)/$JF226*INDEX(Input!$1:$1048576,$JG$93,$C226*2+6)</f>
        <v>-31.893713115255704</v>
      </c>
      <c r="HR226" s="644">
        <f>(FV226*$GD226-HO226)/$JF226*INDEX(Input!$1:$1048576,$JG$93,$C226*2+6)</f>
        <v>25.550969709846456</v>
      </c>
      <c r="HS226" s="644">
        <f t="shared" si="826"/>
        <v>-7.765252329726362</v>
      </c>
      <c r="HT226" s="644">
        <f t="shared" si="731"/>
        <v>-42.922698335337827</v>
      </c>
      <c r="HU226" s="644">
        <f t="shared" si="732"/>
        <v>29.44014520558823</v>
      </c>
      <c r="HV226" s="648">
        <f t="shared" si="733"/>
        <v>0</v>
      </c>
      <c r="HW226" s="648">
        <f t="shared" si="734"/>
        <v>0</v>
      </c>
      <c r="HX226" s="648">
        <f t="shared" si="735"/>
        <v>0</v>
      </c>
      <c r="HY226" s="644">
        <f>INDEX(Input!$1:$1048576,HY$93,$C226*2+6)*INDEX(Input!$1:$1048576,$JG$93,$C226*2+6)</f>
        <v>555</v>
      </c>
      <c r="HZ226" s="644">
        <f>INDEX(Input!$1:$1048576,HZ$93,$C226*2+6)*INDEX(Input!$1:$1048576,$JG$93,$C226*2+6)</f>
        <v>480</v>
      </c>
      <c r="IA226" s="644">
        <f>INDEX(Input!$1:$1048576,IA$93,$C226*2+6)*INDEX(Input!$1:$1048576,$JG$93,$C226*2+6)</f>
        <v>566</v>
      </c>
      <c r="IB226" s="644">
        <f t="shared" si="759"/>
        <v>611.79176367243679</v>
      </c>
      <c r="IC226" s="644">
        <f t="shared" si="760"/>
        <v>405.18358854940647</v>
      </c>
      <c r="ID226" s="644">
        <f>IF(AND(INDEX(Input!$1:$1048576,IA$93,$C226*2+7)="TOS",Y226&lt;=INDEX(Y:Y,MATCH(C226*1000+2,A:A))),0,1)*MAX(IA226+HR226+HU226+HX226,0%)</f>
        <v>620.99111491543465</v>
      </c>
      <c r="IE226" s="128">
        <f t="shared" si="827"/>
        <v>0.37350689159203804</v>
      </c>
      <c r="IF226" s="128">
        <f t="shared" si="736"/>
        <v>0.24736989228940548</v>
      </c>
      <c r="IG226" s="128">
        <f t="shared" si="737"/>
        <v>0.37912321611855648</v>
      </c>
      <c r="IH226" s="21"/>
      <c r="II226" s="19">
        <f t="shared" si="738"/>
        <v>1200</v>
      </c>
      <c r="IJ226" s="19">
        <f t="shared" si="739"/>
        <v>2226.7968732767699</v>
      </c>
      <c r="IK226" s="19">
        <f t="shared" si="740"/>
        <v>1786</v>
      </c>
      <c r="IL226" s="19">
        <f t="shared" si="762"/>
        <v>400.00000000000023</v>
      </c>
      <c r="IM226" s="19">
        <f t="shared" si="741"/>
        <v>-422.45589633511145</v>
      </c>
      <c r="IN226" s="19">
        <f t="shared" si="742"/>
        <v>325</v>
      </c>
      <c r="IO226" s="39">
        <f t="shared" si="743"/>
        <v>0</v>
      </c>
      <c r="IP226" s="39">
        <f t="shared" si="744"/>
        <v>0</v>
      </c>
      <c r="IQ226" s="39">
        <f t="shared" si="745"/>
        <v>0</v>
      </c>
      <c r="IR226" s="39">
        <v>0</v>
      </c>
      <c r="IS226" s="39">
        <v>0</v>
      </c>
      <c r="IT226" s="39">
        <v>0</v>
      </c>
      <c r="IU226" s="39">
        <v>0</v>
      </c>
      <c r="IV226" s="39">
        <v>0</v>
      </c>
      <c r="IW226" s="39">
        <v>0</v>
      </c>
      <c r="IX226" s="39">
        <f>INDEX(Input!$1:$1048576,IX$93,$C226*2+6)+INDEX(Input!$1:$1048576,IX$94,$C226*2+6)</f>
        <v>1600</v>
      </c>
      <c r="IY226" s="39">
        <f>INDEX(Input!$1:$1048576,IY$93,$C226*2+6)+INDEX(Input!$1:$1048576,IY$94,$C226*2+6)</f>
        <v>2503.5492916397525</v>
      </c>
      <c r="IZ226" s="39">
        <f>INDEX(Input!$1:$1048576,IZ$93,$C226*2+6)+INDEX(Input!$1:$1048576,IZ$94,$C226*2+6)</f>
        <v>5773.7109265464023</v>
      </c>
      <c r="JA226" s="19">
        <f t="shared" si="763"/>
        <v>2000.0000000000002</v>
      </c>
      <c r="JB226" s="19">
        <f t="shared" si="764"/>
        <v>2081.093395304641</v>
      </c>
      <c r="JC226" s="19">
        <f t="shared" si="765"/>
        <v>6098.7109265464023</v>
      </c>
      <c r="JD226" s="19">
        <f t="shared" si="766"/>
        <v>3573.976532874432</v>
      </c>
      <c r="JE226" s="21"/>
      <c r="JF226" s="1">
        <f t="shared" si="746"/>
        <v>8.5237567437015646E-2</v>
      </c>
      <c r="JG226" s="15">
        <f>INDEX(Input!$1:$1048576,JG$93,$C226*2+6)/(1+VLOOKUP(C226*1000+INDEX(Input!$1:$1048576,JG$93+1,$C226*2+6),$A:$KK,$JK$92,FALSE))</f>
        <v>1601</v>
      </c>
      <c r="JH226" s="1">
        <f t="shared" si="767"/>
        <v>3.6361194626329758E-2</v>
      </c>
      <c r="JI226" s="1">
        <f t="shared" si="768"/>
        <v>-1.3271583672377241E-2</v>
      </c>
      <c r="JJ226" s="1">
        <f t="shared" si="828"/>
        <v>0</v>
      </c>
      <c r="JK226" s="1">
        <f t="shared" si="829"/>
        <v>2.3089610953952518E-2</v>
      </c>
      <c r="JL226" s="15">
        <f t="shared" si="771"/>
        <v>36.966467137277981</v>
      </c>
      <c r="JM226" s="15">
        <f t="shared" si="795"/>
        <v>1637.966467137278</v>
      </c>
      <c r="JN226" s="21"/>
      <c r="JO226" s="19">
        <f>INDEX(Input!$1:$1048576,JO$93,$C226*2+6)</f>
        <v>5908.5</v>
      </c>
      <c r="JP226" s="19">
        <f>INDEX(Input!$1:$1048576,JP$93,$C226*2+6)</f>
        <v>3346.4235130620518</v>
      </c>
      <c r="JQ226" s="39">
        <f t="shared" si="781"/>
        <v>2334.523467125568</v>
      </c>
      <c r="JR226" s="39">
        <f t="shared" si="798"/>
        <v>227.55301981238017</v>
      </c>
      <c r="JS226" s="39">
        <f t="shared" si="783"/>
        <v>5.8540537151838707</v>
      </c>
      <c r="JT226" s="39">
        <f t="shared" si="773"/>
        <v>0.49642967077152617</v>
      </c>
      <c r="JU226" s="385">
        <f>(JQ226*JM226-INDEX(Input!$1:$1048576,Input!A$18,$C226*2+6)*JL226*INDEX(Input!$1:$1048576,Input!A$19,$C226*2+6))/1000000</f>
        <v>3.823871155896736</v>
      </c>
      <c r="JV226" s="39">
        <f t="shared" si="805"/>
        <v>-0.27801329969091881</v>
      </c>
      <c r="JW226" s="1">
        <f t="shared" si="796"/>
        <v>-6.7776970000265238E-2</v>
      </c>
      <c r="JX226" s="19">
        <f t="shared" si="787"/>
        <v>13429.188916755129</v>
      </c>
      <c r="JZ226" s="341"/>
      <c r="KA226" s="342"/>
      <c r="KB226" s="469">
        <f t="shared" si="784"/>
        <v>2.4482969984810516</v>
      </c>
      <c r="KI226" s="473">
        <f t="shared" si="812"/>
        <v>56.791763672436787</v>
      </c>
      <c r="KJ226" s="473">
        <f t="shared" si="813"/>
        <v>-74.816411450593534</v>
      </c>
      <c r="KK226" s="473">
        <f t="shared" si="775"/>
        <v>54.99111491543465</v>
      </c>
      <c r="KN226" s="544">
        <f t="shared" si="788"/>
        <v>2002</v>
      </c>
      <c r="KO226" s="541">
        <f t="shared" si="750"/>
        <v>-5.1970449801345464E-2</v>
      </c>
      <c r="KP226" s="546">
        <f t="shared" si="751"/>
        <v>-203.45397982570682</v>
      </c>
      <c r="KQ226" s="546">
        <f t="shared" si="752"/>
        <v>-151.62704208210653</v>
      </c>
      <c r="KR226" s="548">
        <f t="shared" si="753"/>
        <v>4.0792355891808549</v>
      </c>
      <c r="KS226" s="548">
        <f t="shared" si="754"/>
        <v>5.4735402331207759</v>
      </c>
      <c r="KT226" s="473">
        <f t="shared" si="786"/>
        <v>528.59039248727379</v>
      </c>
      <c r="KU226" s="663">
        <f t="shared" si="776"/>
        <v>11.565510177023913</v>
      </c>
      <c r="KV226" s="117"/>
    </row>
    <row r="227" spans="1:308" s="26" customFormat="1" ht="15">
      <c r="A227" s="561">
        <f t="shared" si="755"/>
        <v>2027</v>
      </c>
      <c r="B227" s="561">
        <f t="shared" si="777"/>
        <v>27</v>
      </c>
      <c r="C227" s="561">
        <f t="shared" si="105"/>
        <v>2</v>
      </c>
      <c r="D227" s="561" t="str">
        <f t="shared" si="824"/>
        <v xml:space="preserve">750 Combo, </v>
      </c>
      <c r="E227" s="475">
        <f>INDEX(Input!$1:$1048576,E$93,$C227*2+MIN($B227,2)+5)
+INDEX(Scenarios!E$121:E$200,MATCH($B227,Scenarios!$B$121:$B$200,0))</f>
        <v>1250</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1.9E-2</v>
      </c>
      <c r="W227" s="863">
        <f>IFERROR(MAX(0,INDEX(Input!$1:$1048576,W$93,$C227*2+MIN($B227,2)+5)-0%,),"Market")</f>
        <v>3.9E-2</v>
      </c>
      <c r="X227" s="476" t="str">
        <f>INDEX(Input!$1:$1048576,X$93,$C227*2+MIN($B227,2)+5)</f>
        <v>Y</v>
      </c>
      <c r="Y227" s="475">
        <f>INDEX(Input!$1:$1048576,Y$93,$C227*2+MIN($B227,2)+5)
++INDEX(Scenarios!Y$121:Y$200,MATCH($B227,Scenarios!$B$121:$B$200,0))</f>
        <v>1358</v>
      </c>
      <c r="Z227" s="477">
        <f>INDEX(Input!$1:$1048576,Z$93,$C227*2+MIN($B227,2)+5)
+INDEX(Scenarios!Z$121:Z$200,MATCH($B227,Scenarios!$B$121:$B$200,0))</f>
        <v>0</v>
      </c>
      <c r="AA227" s="475">
        <f>INDEX(Input!$1:$1048576,AA$93,$C227*2+MIN($B227,2)+5)</f>
        <v>0</v>
      </c>
      <c r="AB227" s="476">
        <f>INDEX(Input!$1:$1048576,AB$93,$C227*2+MIN($B227,2)+5)</f>
        <v>1</v>
      </c>
      <c r="AC227" s="475">
        <f>INDEX(Input!$1:$1048576,AC$93,$C227*2+MIN($B227,2)+5)
+INDEX(Scenarios!AC$121:AC$200,MATCH($B227,Scenarios!$B$121:$B$200,0))</f>
        <v>0</v>
      </c>
      <c r="AD227" s="476">
        <f>INDEX(Input!$1:$1048576,AD$93,$C227*2+MIN($B227,2)+5)</f>
        <v>0.35</v>
      </c>
      <c r="AE227" s="475">
        <f>INDEX(Input!$1:$1048576,AE$93,$C227*2+MIN($B227,2)+5)
+INDEX(Scenarios!AE$121:AE$200,MATCH($B227,Scenarios!$B$121:$B$200,0))</f>
        <v>0</v>
      </c>
      <c r="AF227" s="476">
        <f>INDEX(Input!$1:$1048576,AF$93,$C227*2+MIN($B227,2)+5)</f>
        <v>1</v>
      </c>
      <c r="AG227" s="475">
        <f>INDEX(Input!$1:$1048576,AG$93,$C227*2+MIN($B227,2)+5)
+INDEX(Scenarios!AG$121:AG$200,MATCH($B227,Scenarios!$B$121:$B$200,0))</f>
        <v>0</v>
      </c>
      <c r="AH227" s="476">
        <f>INDEX(Input!$1:$1048576,AH$93,$C227*2+MIN($B227,2)+5)</f>
        <v>1</v>
      </c>
      <c r="AI227" s="475">
        <f>INDEX(Input!$1:$1048576,AI$93,$C227*2+MIN($B227,2)+5)
+INDEX(Scenarios!AI$121:AI$200,MATCH($B227,Scenarios!$B$121:$B$200,0))</f>
        <v>0</v>
      </c>
      <c r="AJ227" s="476">
        <f>INDEX(Input!$1:$1048576,AJ$93,$C227*2+MIN($B227,2)+5)</f>
        <v>0.35</v>
      </c>
      <c r="AK227" s="150">
        <f>ROUND(INDEX(Input!$1:$1048576,AK$93,$C226*2+MIN($B227,1)+5)+(Y227-VLOOKUP($C227*1000+1,$A:$HH,Y$92,FALSE)),0)</f>
        <v>4982</v>
      </c>
      <c r="AL227" s="150">
        <f>ROUND(INDEX(Input!$1:$1048576,AL$93,$C226*2+MIN($B227,1)+5)-(Y227-VLOOKUP($C227*1000+1,$A:$HH,Y$92,FALSE))/36,0)</f>
        <v>5102</v>
      </c>
      <c r="AM227" s="32" t="str">
        <f t="shared" si="756"/>
        <v>std/std/std/std</v>
      </c>
      <c r="AN227" s="32" t="str">
        <f t="shared" si="757"/>
        <v>$750 + 0/0/0/1.9/3.9</v>
      </c>
      <c r="AO227" s="32" t="str">
        <f t="shared" si="758"/>
        <v>0/0/0/1.9/3.9</v>
      </c>
      <c r="AP227" s="32" t="str">
        <f t="shared" si="493"/>
        <v>0/0.9/1.9/3.9</v>
      </c>
      <c r="AQ227" s="536">
        <f t="shared" si="492"/>
        <v>0.32872749893627934</v>
      </c>
      <c r="AR227" s="32"/>
      <c r="AS227" s="302"/>
      <c r="AT227" s="3">
        <f t="shared" si="810"/>
        <v>27</v>
      </c>
      <c r="AU227" s="41" t="s">
        <v>121</v>
      </c>
      <c r="AV227" s="41" t="s">
        <v>116</v>
      </c>
      <c r="AW227" s="41" t="str">
        <f>INDEX(Input!$1:$1048576,AW$93,$C227*2+6)</f>
        <v>Kia</v>
      </c>
      <c r="AX227" s="41" t="str">
        <f>INDEX(Input!$1:$1048576,AX$93,$C227*2+6)</f>
        <v>Kia-LR - L2</v>
      </c>
      <c r="AY227" s="41" t="str">
        <f>IF(LEN(D227)=0,"",INDEX(Input!$1:$1048576,AY$93,$C227*2+6))</f>
        <v>Compact Conventional/Sporty Car (43)</v>
      </c>
      <c r="AZ227" s="41" t="str">
        <f>INDEX(Input!$1:$1048576,AZ$93,$C227*2+6)</f>
        <v>Kia Forte</v>
      </c>
      <c r="BA227" s="3">
        <f>INDEX(Input!$1:$1048576,BA$93,$C227*2+6)</f>
        <v>2020</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19695</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94"/>
        <v>1250</v>
      </c>
      <c r="CJ227" s="16" t="str">
        <f>INDEX(Input!$1:$1048576,CJ$93,$C227*2+6)</f>
        <v>N</v>
      </c>
      <c r="CK227" s="1" t="str">
        <f t="shared" si="495"/>
        <v>Market</v>
      </c>
      <c r="CL227" s="1" t="str">
        <f t="shared" si="496"/>
        <v>Market</v>
      </c>
      <c r="CM227" s="1" t="str">
        <f t="shared" si="497"/>
        <v>Market</v>
      </c>
      <c r="CN227" s="1" t="str">
        <f t="shared" si="498"/>
        <v>Market</v>
      </c>
      <c r="CO227" s="1" t="str">
        <f t="shared" si="499"/>
        <v>Market</v>
      </c>
      <c r="CP227" s="304">
        <f t="shared" si="500"/>
        <v>750</v>
      </c>
      <c r="CQ227" s="1">
        <f t="shared" si="501"/>
        <v>0</v>
      </c>
      <c r="CR227" s="1">
        <f t="shared" si="502"/>
        <v>0</v>
      </c>
      <c r="CS227" s="1">
        <f t="shared" si="503"/>
        <v>0</v>
      </c>
      <c r="CT227" s="1">
        <f t="shared" si="504"/>
        <v>1.9E-2</v>
      </c>
      <c r="CU227" s="1">
        <f t="shared" si="505"/>
        <v>3.9E-2</v>
      </c>
      <c r="CV227" s="304">
        <f t="shared" si="506"/>
        <v>1358</v>
      </c>
      <c r="CW227" s="20" t="s">
        <v>122</v>
      </c>
      <c r="CX227" s="20" t="s">
        <v>122</v>
      </c>
      <c r="CY227" s="20" t="s">
        <v>122</v>
      </c>
      <c r="CZ227" s="20" t="s">
        <v>122</v>
      </c>
      <c r="DA227" s="20" t="s">
        <v>122</v>
      </c>
      <c r="DB227" s="503">
        <f t="shared" si="507"/>
        <v>0</v>
      </c>
      <c r="DC227" s="127">
        <v>0</v>
      </c>
      <c r="DD227" s="127">
        <v>0</v>
      </c>
      <c r="DE227" s="127">
        <v>0</v>
      </c>
      <c r="DF227" s="127">
        <v>0</v>
      </c>
      <c r="DG227" s="127">
        <v>0</v>
      </c>
      <c r="DH227" s="127">
        <v>0</v>
      </c>
      <c r="DI227" s="127">
        <v>0</v>
      </c>
      <c r="DJ227" s="127">
        <v>0</v>
      </c>
      <c r="DK227" s="127">
        <v>0</v>
      </c>
      <c r="DL227" s="127">
        <v>0</v>
      </c>
      <c r="DM227" s="304">
        <f>INDEX(Input!$1:$1048576,DM$93,$C227*2+6)</f>
        <v>20731.578947368424</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2.7945546802685694E-2</v>
      </c>
      <c r="DZ227" s="7">
        <v>0</v>
      </c>
      <c r="EA227" s="7">
        <v>0.5691428792926555</v>
      </c>
      <c r="EB227" s="7">
        <v>0</v>
      </c>
      <c r="EC227" s="7">
        <v>0</v>
      </c>
      <c r="ED227" s="7">
        <v>0</v>
      </c>
      <c r="EE227" s="7">
        <v>0</v>
      </c>
      <c r="EF227" s="7">
        <v>0</v>
      </c>
      <c r="EG227" s="7">
        <v>0</v>
      </c>
      <c r="EH227" s="7">
        <v>1.6198218678877715E-2</v>
      </c>
      <c r="EI227" s="7">
        <v>2.6457849743126722E-2</v>
      </c>
      <c r="EJ227" s="7">
        <v>0.2657322130020654</v>
      </c>
      <c r="EK227" s="7">
        <v>0.64365959892608138</v>
      </c>
      <c r="EL227" s="7">
        <v>4.7952119649849252E-2</v>
      </c>
      <c r="EM227" s="7">
        <v>4.5491769566031438E-2</v>
      </c>
      <c r="EN227" s="7">
        <v>4.9731368820839172E-2</v>
      </c>
      <c r="EO227" s="7">
        <v>0.56166104908325321</v>
      </c>
      <c r="EP227" s="7">
        <v>0.28601287266595893</v>
      </c>
      <c r="EQ227" s="7">
        <v>6.3878113168037209E-2</v>
      </c>
      <c r="ER227" s="7">
        <v>3.8716596261911852E-2</v>
      </c>
      <c r="ES227" s="7">
        <v>0.35741980433862736</v>
      </c>
      <c r="ET227" s="7">
        <v>0.40291157390465882</v>
      </c>
      <c r="EU227" s="6">
        <v>1600</v>
      </c>
      <c r="EV227" s="6">
        <v>0</v>
      </c>
      <c r="EW227" s="6">
        <v>1600</v>
      </c>
      <c r="EX227" s="6">
        <v>0</v>
      </c>
      <c r="EY227" s="6">
        <v>3376.813073285236</v>
      </c>
      <c r="EZ227" s="6">
        <v>2111</v>
      </c>
      <c r="FA227" s="6">
        <v>0</v>
      </c>
      <c r="FB227" s="6">
        <v>0</v>
      </c>
      <c r="FC227" s="6">
        <v>0</v>
      </c>
      <c r="FD227" s="6">
        <v>0</v>
      </c>
      <c r="FE227" s="6">
        <v>0</v>
      </c>
      <c r="FF227" s="6">
        <v>0</v>
      </c>
      <c r="FG227" s="6">
        <v>0</v>
      </c>
      <c r="FH227" s="6">
        <v>1154.7793702957365</v>
      </c>
      <c r="FI227" s="6">
        <v>1531.4299904380607</v>
      </c>
      <c r="FJ227" s="6">
        <v>2070.7205842538219</v>
      </c>
      <c r="FK227" s="6">
        <v>1746.9903521590429</v>
      </c>
      <c r="FL227" s="6">
        <v>893.91433563489409</v>
      </c>
      <c r="FM227" s="6">
        <v>1776.8130732852362</v>
      </c>
      <c r="FN227" s="6">
        <v>0</v>
      </c>
      <c r="FO227" s="6">
        <v>0</v>
      </c>
      <c r="FP227" s="6">
        <v>0</v>
      </c>
      <c r="FQ227" s="6">
        <v>0</v>
      </c>
      <c r="FR227" s="6">
        <v>0</v>
      </c>
      <c r="FS227" s="6">
        <v>0</v>
      </c>
      <c r="FT227" s="7">
        <v>0.59708842609534118</v>
      </c>
      <c r="FU227" s="7">
        <v>4.5491769566031438E-2</v>
      </c>
      <c r="FV227" s="7">
        <v>0.35741980433862736</v>
      </c>
      <c r="FW227" s="6">
        <v>1600</v>
      </c>
      <c r="FX227" s="6">
        <v>3376.813073285236</v>
      </c>
      <c r="FY227" s="6">
        <v>2111</v>
      </c>
      <c r="FZ227" s="6">
        <v>2594.6978186474794</v>
      </c>
      <c r="GA227" s="6">
        <v>1863.4718909088426</v>
      </c>
      <c r="GB227" s="6">
        <v>17831.528109091156</v>
      </c>
      <c r="GC227" s="7">
        <v>9.6947029492584935E-2</v>
      </c>
      <c r="GD227" s="7">
        <v>8.9448528154453422E-2</v>
      </c>
      <c r="GE227" s="7"/>
      <c r="GF227" s="7"/>
      <c r="GG227" s="7">
        <v>-7.7346375411172771E-2</v>
      </c>
      <c r="GH227" s="42">
        <v>2.0832642907426231</v>
      </c>
      <c r="GI227" s="6">
        <v>11317.385197789028</v>
      </c>
      <c r="GJ227" s="14">
        <v>0.51074630601039528</v>
      </c>
      <c r="GK227" s="14">
        <v>0.50829519786160948</v>
      </c>
      <c r="GL227" s="14">
        <v>0.48925369398960417</v>
      </c>
      <c r="GM227" s="14">
        <v>0.49170480213838991</v>
      </c>
      <c r="GO227" s="5">
        <v>338.16872463277008</v>
      </c>
      <c r="GP227" s="5">
        <v>307.64377699166363</v>
      </c>
      <c r="GQ227" s="5">
        <v>527.27910984145694</v>
      </c>
      <c r="GR227" s="5">
        <v>404.20319246551543</v>
      </c>
      <c r="GS227" s="5">
        <v>334.50205195691484</v>
      </c>
      <c r="GT227" s="5">
        <v>289.18266033348181</v>
      </c>
      <c r="GU227" s="5">
        <v>254.29573314828914</v>
      </c>
      <c r="GV227" s="39" t="s">
        <v>392</v>
      </c>
      <c r="GW227" s="5">
        <v>447.93055555555554</v>
      </c>
      <c r="GX227" s="5">
        <v>335.94791666666669</v>
      </c>
      <c r="GY227" s="5">
        <v>268.75833333333333</v>
      </c>
      <c r="GZ227" s="5">
        <v>237.15086788348813</v>
      </c>
      <c r="HA227" s="5">
        <v>219.6748332275275</v>
      </c>
      <c r="HB227" s="39">
        <v>250.74018966578177</v>
      </c>
      <c r="HC227" s="5">
        <v>190.75937499999998</v>
      </c>
      <c r="HD227" s="5">
        <v>173.28879751461983</v>
      </c>
      <c r="HE227" s="5">
        <v>178.94016109986501</v>
      </c>
      <c r="HF227" s="5">
        <v>168.88629934210525</v>
      </c>
      <c r="HG227" s="5">
        <v>167.11410087719298</v>
      </c>
      <c r="HH227" s="39">
        <v>175.25370946731715</v>
      </c>
      <c r="HI227" s="16"/>
      <c r="HJ227" s="19" t="str">
        <f t="shared" si="825"/>
        <v>On</v>
      </c>
      <c r="HK227" s="1" t="str">
        <f t="shared" si="825"/>
        <v>On</v>
      </c>
      <c r="HL227" s="16"/>
      <c r="HM227" s="639">
        <f t="shared" si="727"/>
        <v>5.0961701597560354E-2</v>
      </c>
      <c r="HN227" s="639">
        <f t="shared" si="728"/>
        <v>3.112551654761847E-3</v>
      </c>
      <c r="HO227" s="639">
        <f t="shared" si="729"/>
        <v>3.1163314184693442E-2</v>
      </c>
      <c r="HP227" s="644">
        <f>(FT227*$GD227-HM227)/$JF227*INDEX(Input!$1:$1048576,$JG$93,$C227*2+6)</f>
        <v>45.961117482063749</v>
      </c>
      <c r="HQ227" s="644">
        <f>(FU227*$GD227-HN227)/$JF227*INDEX(Input!$1:$1048576,$JG$93,$C227*2+6)</f>
        <v>17.968003404199944</v>
      </c>
      <c r="HR227" s="644">
        <f>(FV227*$GD227-HO227)/$JF227*INDEX(Input!$1:$1048576,$JG$93,$C227*2+6)</f>
        <v>15.164503102942017</v>
      </c>
      <c r="HS227" s="644">
        <f t="shared" si="826"/>
        <v>-8.8355927231121605</v>
      </c>
      <c r="HT227" s="644">
        <f t="shared" si="731"/>
        <v>99.497050131898476</v>
      </c>
      <c r="HU227" s="644">
        <f t="shared" si="732"/>
        <v>30.510485598974032</v>
      </c>
      <c r="HV227" s="648">
        <f t="shared" si="733"/>
        <v>0</v>
      </c>
      <c r="HW227" s="648">
        <f t="shared" si="734"/>
        <v>0</v>
      </c>
      <c r="HX227" s="648">
        <f t="shared" si="735"/>
        <v>0</v>
      </c>
      <c r="HY227" s="644">
        <f>INDEX(Input!$1:$1048576,HY$93,$C227*2+6)*INDEX(Input!$1:$1048576,$JG$93,$C227*2+6)</f>
        <v>555</v>
      </c>
      <c r="HZ227" s="644">
        <f>INDEX(Input!$1:$1048576,HZ$93,$C227*2+6)*INDEX(Input!$1:$1048576,$JG$93,$C227*2+6)</f>
        <v>480</v>
      </c>
      <c r="IA227" s="644">
        <f>INDEX(Input!$1:$1048576,IA$93,$C227*2+6)*INDEX(Input!$1:$1048576,$JG$93,$C227*2+6)</f>
        <v>566</v>
      </c>
      <c r="IB227" s="644">
        <f t="shared" si="759"/>
        <v>592.12552475895166</v>
      </c>
      <c r="IC227" s="644">
        <f t="shared" si="760"/>
        <v>597.46505353609837</v>
      </c>
      <c r="ID227" s="644">
        <f>IF(AND(INDEX(Input!$1:$1048576,IA$93,$C227*2+7)="TOS",Y227&lt;=INDEX(Y:Y,MATCH(C227*1000+2,A:A))),0,1)*MAX(IA227+HR227+HU227+HX227,0%)</f>
        <v>611.67498870191605</v>
      </c>
      <c r="IE227" s="128">
        <f t="shared" si="827"/>
        <v>0.32872749893627934</v>
      </c>
      <c r="IF227" s="128">
        <f t="shared" si="736"/>
        <v>0.33169181962001321</v>
      </c>
      <c r="IG227" s="128">
        <f t="shared" si="737"/>
        <v>0.33958068144370762</v>
      </c>
      <c r="IH227" s="21"/>
      <c r="II227" s="19">
        <f t="shared" si="738"/>
        <v>1200</v>
      </c>
      <c r="IJ227" s="19">
        <f t="shared" si="739"/>
        <v>2226.7968732767699</v>
      </c>
      <c r="IK227" s="19">
        <f t="shared" si="740"/>
        <v>1786</v>
      </c>
      <c r="IL227" s="19">
        <f t="shared" si="762"/>
        <v>400</v>
      </c>
      <c r="IM227" s="19">
        <f t="shared" si="741"/>
        <v>1150.0162000084661</v>
      </c>
      <c r="IN227" s="19">
        <f t="shared" si="742"/>
        <v>325</v>
      </c>
      <c r="IO227" s="39">
        <f t="shared" si="743"/>
        <v>0</v>
      </c>
      <c r="IP227" s="39">
        <f t="shared" si="744"/>
        <v>0</v>
      </c>
      <c r="IQ227" s="39">
        <f t="shared" si="745"/>
        <v>0</v>
      </c>
      <c r="IR227" s="39">
        <v>0</v>
      </c>
      <c r="IS227" s="39">
        <v>0</v>
      </c>
      <c r="IT227" s="39">
        <v>0</v>
      </c>
      <c r="IU227" s="39">
        <v>0</v>
      </c>
      <c r="IV227" s="39">
        <v>0</v>
      </c>
      <c r="IW227" s="39">
        <v>0</v>
      </c>
      <c r="IX227" s="39">
        <f>INDEX(Input!$1:$1048576,IX$93,$C227*2+6)+INDEX(Input!$1:$1048576,IX$94,$C227*2+6)</f>
        <v>1600</v>
      </c>
      <c r="IY227" s="39">
        <f>INDEX(Input!$1:$1048576,IY$93,$C227*2+6)+INDEX(Input!$1:$1048576,IY$94,$C227*2+6)</f>
        <v>2503.5492916397525</v>
      </c>
      <c r="IZ227" s="39">
        <f>INDEX(Input!$1:$1048576,IZ$93,$C227*2+6)+INDEX(Input!$1:$1048576,IZ$94,$C227*2+6)</f>
        <v>5773.7109265464023</v>
      </c>
      <c r="JA227" s="19">
        <f t="shared" si="763"/>
        <v>2000</v>
      </c>
      <c r="JB227" s="19">
        <f t="shared" si="764"/>
        <v>3653.5654916482185</v>
      </c>
      <c r="JC227" s="19">
        <f t="shared" si="765"/>
        <v>6098.7109265464023</v>
      </c>
      <c r="JD227" s="19">
        <f t="shared" si="766"/>
        <v>3940.3171962630572</v>
      </c>
      <c r="JE227" s="21"/>
      <c r="JF227" s="1">
        <f t="shared" si="746"/>
        <v>8.5237567437015646E-2</v>
      </c>
      <c r="JG227" s="15">
        <f>INDEX(Input!$1:$1048576,JG$93,$C227*2+6)/(1+VLOOKUP(C227*1000+INDEX(Input!$1:$1048576,JG$93+1,$C227*2+6),$A:$KK,$JK$92,FALSE))</f>
        <v>1601</v>
      </c>
      <c r="JH227" s="1">
        <f t="shared" si="767"/>
        <v>4.9402638344288388E-2</v>
      </c>
      <c r="JI227" s="1">
        <f t="shared" si="768"/>
        <v>7.5685161154128891E-2</v>
      </c>
      <c r="JJ227" s="1">
        <f t="shared" si="828"/>
        <v>0</v>
      </c>
      <c r="JK227" s="1">
        <f t="shared" si="829"/>
        <v>0.12508779949841728</v>
      </c>
      <c r="JL227" s="15">
        <f t="shared" si="771"/>
        <v>200.26556699696607</v>
      </c>
      <c r="JM227" s="15">
        <f t="shared" si="795"/>
        <v>1801.2655669969661</v>
      </c>
      <c r="JN227" s="21"/>
      <c r="JO227" s="19">
        <f>INDEX(Input!$1:$1048576,JO$93,$C227*2+6)</f>
        <v>5908.5</v>
      </c>
      <c r="JP227" s="19">
        <f>INDEX(Input!$1:$1048576,JP$93,$C227*2+6)</f>
        <v>3346.4235130620518</v>
      </c>
      <c r="JQ227" s="39">
        <f t="shared" si="781"/>
        <v>1968.1828037369428</v>
      </c>
      <c r="JR227" s="39">
        <f t="shared" si="798"/>
        <v>593.89368320100539</v>
      </c>
      <c r="JS227" s="39">
        <f t="shared" si="783"/>
        <v>7.0975576886746712</v>
      </c>
      <c r="JT227" s="39">
        <f t="shared" si="773"/>
        <v>1.7399336442623268</v>
      </c>
      <c r="JU227" s="385">
        <f>(JQ227*JM227-INDEX(Input!$1:$1048576,Input!A$18,$C227*2+6)*JL227*INDEX(Input!$1:$1048576,Input!A$19,$C227*2+6))/1000000</f>
        <v>3.5452199139269025</v>
      </c>
      <c r="JV227" s="39">
        <f t="shared" si="805"/>
        <v>-0.5566645416607523</v>
      </c>
      <c r="JW227" s="1">
        <f t="shared" si="796"/>
        <v>-0.13570946419576851</v>
      </c>
      <c r="JX227" s="19">
        <f t="shared" si="787"/>
        <v>8688.1318159336188</v>
      </c>
      <c r="JZ227" s="341"/>
      <c r="KA227" s="342"/>
      <c r="KB227" s="469">
        <f t="shared" si="784"/>
        <v>2.4482969984810516</v>
      </c>
      <c r="KI227" s="473">
        <f t="shared" si="812"/>
        <v>37.125524758951769</v>
      </c>
      <c r="KJ227" s="473">
        <f t="shared" si="813"/>
        <v>117.46505353609848</v>
      </c>
      <c r="KK227" s="473">
        <f t="shared" si="775"/>
        <v>45.674988701916163</v>
      </c>
      <c r="KN227" s="544">
        <f t="shared" si="788"/>
        <v>2002</v>
      </c>
      <c r="KO227" s="541">
        <f t="shared" si="750"/>
        <v>4.254453282732551E-2</v>
      </c>
      <c r="KP227" s="546">
        <f t="shared" si="751"/>
        <v>248.77000989884033</v>
      </c>
      <c r="KQ227" s="546">
        <f t="shared" si="752"/>
        <v>214.71362130651869</v>
      </c>
      <c r="KR227" s="548">
        <f t="shared" si="753"/>
        <v>2.7310788415135376</v>
      </c>
      <c r="KS227" s="548">
        <f t="shared" si="754"/>
        <v>3.1642636657314362</v>
      </c>
      <c r="KT227" s="473">
        <f t="shared" si="786"/>
        <v>528.59039248727379</v>
      </c>
      <c r="KU227" s="663">
        <f t="shared" si="776"/>
        <v>12.03439003425056</v>
      </c>
      <c r="KV227" s="117"/>
    </row>
    <row r="228" spans="1:308" s="26" customFormat="1" ht="15">
      <c r="A228" s="561">
        <f t="shared" si="755"/>
        <v>2028</v>
      </c>
      <c r="B228" s="561">
        <f t="shared" si="777"/>
        <v>28</v>
      </c>
      <c r="C228" s="561">
        <f t="shared" si="105"/>
        <v>2</v>
      </c>
      <c r="D228" s="561" t="str">
        <f t="shared" si="824"/>
        <v xml:space="preserve">1000 Combo, </v>
      </c>
      <c r="E228" s="475">
        <f>INDEX(Input!$1:$1048576,E$93,$C228*2+MIN($B228,2)+5)
+INDEX(Scenarios!E$121:E$200,MATCH($B228,Scenarios!$B$121:$B$200,0))</f>
        <v>1250</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1.9E-2</v>
      </c>
      <c r="W228" s="863">
        <f>IFERROR(MAX(0,INDEX(Input!$1:$1048576,W$93,$C228*2+MIN($B228,2)+5)-0%,),"Market")</f>
        <v>3.9E-2</v>
      </c>
      <c r="X228" s="476" t="str">
        <f>INDEX(Input!$1:$1048576,X$93,$C228*2+MIN($B228,2)+5)</f>
        <v>Y</v>
      </c>
      <c r="Y228" s="475">
        <f>INDEX(Input!$1:$1048576,Y$93,$C228*2+MIN($B228,2)+5)
++INDEX(Scenarios!Y$121:Y$200,MATCH($B228,Scenarios!$B$121:$B$200,0))</f>
        <v>1358</v>
      </c>
      <c r="Z228" s="477">
        <f>INDEX(Input!$1:$1048576,Z$93,$C228*2+MIN($B228,2)+5)
+INDEX(Scenarios!Z$121:Z$200,MATCH($B228,Scenarios!$B$121:$B$200,0))</f>
        <v>0</v>
      </c>
      <c r="AA228" s="475">
        <f>INDEX(Input!$1:$1048576,AA$93,$C228*2+MIN($B228,2)+5)</f>
        <v>0</v>
      </c>
      <c r="AB228" s="476">
        <f>INDEX(Input!$1:$1048576,AB$93,$C228*2+MIN($B228,2)+5)</f>
        <v>1</v>
      </c>
      <c r="AC228" s="475">
        <f>INDEX(Input!$1:$1048576,AC$93,$C228*2+MIN($B228,2)+5)
+INDEX(Scenarios!AC$121:AC$200,MATCH($B228,Scenarios!$B$121:$B$200,0))</f>
        <v>0</v>
      </c>
      <c r="AD228" s="476">
        <f>INDEX(Input!$1:$1048576,AD$93,$C228*2+MIN($B228,2)+5)</f>
        <v>0.35</v>
      </c>
      <c r="AE228" s="475">
        <f>INDEX(Input!$1:$1048576,AE$93,$C228*2+MIN($B228,2)+5)
+INDEX(Scenarios!AE$121:AE$200,MATCH($B228,Scenarios!$B$121:$B$200,0))</f>
        <v>0</v>
      </c>
      <c r="AF228" s="476">
        <f>INDEX(Input!$1:$1048576,AF$93,$C228*2+MIN($B228,2)+5)</f>
        <v>1</v>
      </c>
      <c r="AG228" s="475">
        <f>INDEX(Input!$1:$1048576,AG$93,$C228*2+MIN($B228,2)+5)
+INDEX(Scenarios!AG$121:AG$200,MATCH($B228,Scenarios!$B$121:$B$200,0))</f>
        <v>0</v>
      </c>
      <c r="AH228" s="476">
        <f>INDEX(Input!$1:$1048576,AH$93,$C228*2+MIN($B228,2)+5)</f>
        <v>1</v>
      </c>
      <c r="AI228" s="475">
        <f>INDEX(Input!$1:$1048576,AI$93,$C228*2+MIN($B228,2)+5)
+INDEX(Scenarios!AI$121:AI$200,MATCH($B228,Scenarios!$B$121:$B$200,0))</f>
        <v>0</v>
      </c>
      <c r="AJ228" s="476">
        <f>INDEX(Input!$1:$1048576,AJ$93,$C228*2+MIN($B228,2)+5)</f>
        <v>0.35</v>
      </c>
      <c r="AK228" s="150">
        <f>ROUND(INDEX(Input!$1:$1048576,AK$93,$C227*2+MIN($B228,1)+5)+(Y228-VLOOKUP($C228*1000+1,$A:$HH,Y$92,FALSE)),0)</f>
        <v>4982</v>
      </c>
      <c r="AL228" s="150">
        <f>ROUND(INDEX(Input!$1:$1048576,AL$93,$C227*2+MIN($B228,1)+5)-(Y228-VLOOKUP($C228*1000+1,$A:$HH,Y$92,FALSE))/36,0)</f>
        <v>5102</v>
      </c>
      <c r="AM228" s="32" t="str">
        <f t="shared" si="756"/>
        <v>std/std/std/std</v>
      </c>
      <c r="AN228" s="32" t="str">
        <f t="shared" si="757"/>
        <v>$1000 + 0/0/0/1.9/3.9</v>
      </c>
      <c r="AO228" s="32" t="str">
        <f t="shared" si="758"/>
        <v>0/0/0/1.9/3.9</v>
      </c>
      <c r="AP228" s="32" t="str">
        <f t="shared" si="493"/>
        <v>0/0.9/1.9/3.9</v>
      </c>
      <c r="AQ228" s="536">
        <f t="shared" si="492"/>
        <v>0.29587814963137282</v>
      </c>
      <c r="AR228" s="32"/>
      <c r="AS228" s="302"/>
      <c r="AT228" s="3">
        <f t="shared" si="810"/>
        <v>28</v>
      </c>
      <c r="AU228" s="41" t="s">
        <v>121</v>
      </c>
      <c r="AV228" s="41" t="s">
        <v>116</v>
      </c>
      <c r="AW228" s="41" t="str">
        <f>INDEX(Input!$1:$1048576,AW$93,$C228*2+6)</f>
        <v>Kia</v>
      </c>
      <c r="AX228" s="41" t="str">
        <f>INDEX(Input!$1:$1048576,AX$93,$C228*2+6)</f>
        <v>Kia-LR - L2</v>
      </c>
      <c r="AY228" s="41" t="str">
        <f>IF(LEN(D228)=0,"",INDEX(Input!$1:$1048576,AY$93,$C228*2+6))</f>
        <v>Compact Conventional/Sporty Car (43)</v>
      </c>
      <c r="AZ228" s="41" t="str">
        <f>INDEX(Input!$1:$1048576,AZ$93,$C228*2+6)</f>
        <v>Kia Forte</v>
      </c>
      <c r="BA228" s="3">
        <f>INDEX(Input!$1:$1048576,BA$93,$C228*2+6)</f>
        <v>2020</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19695</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94"/>
        <v>1250</v>
      </c>
      <c r="CJ228" s="16" t="str">
        <f>INDEX(Input!$1:$1048576,CJ$93,$C228*2+6)</f>
        <v>N</v>
      </c>
      <c r="CK228" s="1" t="str">
        <f t="shared" si="495"/>
        <v>Market</v>
      </c>
      <c r="CL228" s="1" t="str">
        <f t="shared" si="496"/>
        <v>Market</v>
      </c>
      <c r="CM228" s="1" t="str">
        <f t="shared" si="497"/>
        <v>Market</v>
      </c>
      <c r="CN228" s="1" t="str">
        <f t="shared" si="498"/>
        <v>Market</v>
      </c>
      <c r="CO228" s="1" t="str">
        <f t="shared" si="499"/>
        <v>Market</v>
      </c>
      <c r="CP228" s="304">
        <f t="shared" si="500"/>
        <v>1000</v>
      </c>
      <c r="CQ228" s="1">
        <f t="shared" si="501"/>
        <v>0</v>
      </c>
      <c r="CR228" s="1">
        <f t="shared" si="502"/>
        <v>0</v>
      </c>
      <c r="CS228" s="1">
        <f t="shared" si="503"/>
        <v>0</v>
      </c>
      <c r="CT228" s="1">
        <f t="shared" si="504"/>
        <v>1.9E-2</v>
      </c>
      <c r="CU228" s="1">
        <f t="shared" si="505"/>
        <v>3.9E-2</v>
      </c>
      <c r="CV228" s="304">
        <f t="shared" si="506"/>
        <v>1358</v>
      </c>
      <c r="CW228" s="20" t="s">
        <v>122</v>
      </c>
      <c r="CX228" s="20" t="s">
        <v>122</v>
      </c>
      <c r="CY228" s="20" t="s">
        <v>122</v>
      </c>
      <c r="CZ228" s="20" t="s">
        <v>122</v>
      </c>
      <c r="DA228" s="20" t="s">
        <v>122</v>
      </c>
      <c r="DB228" s="503">
        <f t="shared" si="507"/>
        <v>0</v>
      </c>
      <c r="DC228" s="127">
        <v>0</v>
      </c>
      <c r="DD228" s="127">
        <v>0</v>
      </c>
      <c r="DE228" s="127">
        <v>0</v>
      </c>
      <c r="DF228" s="127">
        <v>0</v>
      </c>
      <c r="DG228" s="127">
        <v>0</v>
      </c>
      <c r="DH228" s="127">
        <v>0</v>
      </c>
      <c r="DI228" s="127">
        <v>0</v>
      </c>
      <c r="DJ228" s="127">
        <v>0</v>
      </c>
      <c r="DK228" s="127">
        <v>0</v>
      </c>
      <c r="DL228" s="127">
        <v>0</v>
      </c>
      <c r="DM228" s="304">
        <f>INDEX(Input!$1:$1048576,DM$93,$C228*2+6)</f>
        <v>20731.578947368424</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2.7254287084612718E-2</v>
      </c>
      <c r="DZ228" s="7">
        <v>0</v>
      </c>
      <c r="EA228" s="7">
        <v>0.53400124812266492</v>
      </c>
      <c r="EB228" s="7">
        <v>0</v>
      </c>
      <c r="EC228" s="7">
        <v>0</v>
      </c>
      <c r="ED228" s="7">
        <v>0</v>
      </c>
      <c r="EE228" s="7">
        <v>0</v>
      </c>
      <c r="EF228" s="7">
        <v>0</v>
      </c>
      <c r="EG228" s="7">
        <v>0</v>
      </c>
      <c r="EH228" s="7">
        <v>1.9769700705454998E-2</v>
      </c>
      <c r="EI228" s="7">
        <v>2.7162430973113331E-2</v>
      </c>
      <c r="EJ228" s="7">
        <v>0.21949301172542127</v>
      </c>
      <c r="EK228" s="7">
        <v>0.56331530665594853</v>
      </c>
      <c r="EL228" s="7">
        <v>0.17025954994006232</v>
      </c>
      <c r="EM228" s="7">
        <v>8.9848806636511791E-2</v>
      </c>
      <c r="EN228" s="7">
        <v>4.972820676303457E-2</v>
      </c>
      <c r="EO228" s="7">
        <v>0.56164743180231147</v>
      </c>
      <c r="EP228" s="7">
        <v>0.2860278657522688</v>
      </c>
      <c r="EQ228" s="7">
        <v>6.3874594688559119E-2</v>
      </c>
      <c r="ER228" s="7">
        <v>3.8721900993826164E-2</v>
      </c>
      <c r="ES228" s="7">
        <v>0.34889565815621049</v>
      </c>
      <c r="ET228" s="7">
        <v>0.43874446479272239</v>
      </c>
      <c r="EU228" s="6">
        <v>1600</v>
      </c>
      <c r="EV228" s="6">
        <v>0</v>
      </c>
      <c r="EW228" s="6">
        <v>1600</v>
      </c>
      <c r="EX228" s="6">
        <v>0</v>
      </c>
      <c r="EY228" s="6">
        <v>3505.1588828690137</v>
      </c>
      <c r="EZ228" s="6">
        <v>2111</v>
      </c>
      <c r="FA228" s="6">
        <v>0</v>
      </c>
      <c r="FB228" s="6">
        <v>0</v>
      </c>
      <c r="FC228" s="6">
        <v>0</v>
      </c>
      <c r="FD228" s="6">
        <v>0</v>
      </c>
      <c r="FE228" s="6">
        <v>0</v>
      </c>
      <c r="FF228" s="6">
        <v>0</v>
      </c>
      <c r="FG228" s="6">
        <v>0</v>
      </c>
      <c r="FH228" s="6">
        <v>1150.6985311107912</v>
      </c>
      <c r="FI228" s="6">
        <v>1531.4299904380612</v>
      </c>
      <c r="FJ228" s="6">
        <v>2070.7205842538215</v>
      </c>
      <c r="FK228" s="6">
        <v>1746.9903521590431</v>
      </c>
      <c r="FL228" s="6">
        <v>893.91433563489443</v>
      </c>
      <c r="FM228" s="6">
        <v>1655.1588828690137</v>
      </c>
      <c r="FN228" s="6">
        <v>0</v>
      </c>
      <c r="FO228" s="6">
        <v>0</v>
      </c>
      <c r="FP228" s="6">
        <v>0</v>
      </c>
      <c r="FQ228" s="6">
        <v>0</v>
      </c>
      <c r="FR228" s="6">
        <v>0</v>
      </c>
      <c r="FS228" s="6">
        <v>0</v>
      </c>
      <c r="FT228" s="7">
        <v>0.56125553520727767</v>
      </c>
      <c r="FU228" s="7">
        <v>8.9848806636511791E-2</v>
      </c>
      <c r="FV228" s="7">
        <v>0.34889565815621049</v>
      </c>
      <c r="FW228" s="6">
        <v>1600</v>
      </c>
      <c r="FX228" s="6">
        <v>3505.1588828690137</v>
      </c>
      <c r="FY228" s="6">
        <v>2111</v>
      </c>
      <c r="FZ228" s="6">
        <v>2594.6978186474794</v>
      </c>
      <c r="GA228" s="6">
        <v>1949.4619333965543</v>
      </c>
      <c r="GB228" s="6">
        <v>17745.538066603447</v>
      </c>
      <c r="GC228" s="7">
        <v>9.6947029492584935E-2</v>
      </c>
      <c r="GD228" s="7">
        <v>9.0363150982320617E-2</v>
      </c>
      <c r="GE228" s="7"/>
      <c r="GF228" s="7"/>
      <c r="GG228" s="7">
        <v>-6.7912122163246796E-2</v>
      </c>
      <c r="GH228" s="42">
        <v>2.0729306546318256</v>
      </c>
      <c r="GI228" s="6">
        <v>11450.503348357943</v>
      </c>
      <c r="GJ228" s="14">
        <v>0.51074630601039517</v>
      </c>
      <c r="GK228" s="14">
        <v>0.50829519786160937</v>
      </c>
      <c r="GL228" s="14">
        <v>0.48925369398960405</v>
      </c>
      <c r="GM228" s="14">
        <v>0.4917048021383903</v>
      </c>
      <c r="GO228" s="5">
        <v>338.16872463277008</v>
      </c>
      <c r="GP228" s="5">
        <v>307.64377699166363</v>
      </c>
      <c r="GQ228" s="5">
        <v>527.27910984145694</v>
      </c>
      <c r="GR228" s="5">
        <v>404.20319246551543</v>
      </c>
      <c r="GS228" s="5">
        <v>334.50205195691484</v>
      </c>
      <c r="GT228" s="5">
        <v>289.18266033348181</v>
      </c>
      <c r="GU228" s="5">
        <v>254.29573314828914</v>
      </c>
      <c r="GV228" s="39" t="s">
        <v>392</v>
      </c>
      <c r="GW228" s="5">
        <v>440.98611111111109</v>
      </c>
      <c r="GX228" s="5">
        <v>330.73958333333331</v>
      </c>
      <c r="GY228" s="5">
        <v>264.59166666666664</v>
      </c>
      <c r="GZ228" s="5">
        <v>233.47422424633754</v>
      </c>
      <c r="HA228" s="5">
        <v>216.26912746293837</v>
      </c>
      <c r="HB228" s="39">
        <v>244.11936486376771</v>
      </c>
      <c r="HC228" s="5">
        <v>190.75937499999998</v>
      </c>
      <c r="HD228" s="5">
        <v>173.28879751461983</v>
      </c>
      <c r="HE228" s="5">
        <v>178.94016109986501</v>
      </c>
      <c r="HF228" s="5">
        <v>168.88629934210525</v>
      </c>
      <c r="HG228" s="5">
        <v>167.11410087719298</v>
      </c>
      <c r="HH228" s="39">
        <v>175.25372169071235</v>
      </c>
      <c r="HI228" s="16"/>
      <c r="HJ228" s="19" t="str">
        <f t="shared" si="825"/>
        <v>On</v>
      </c>
      <c r="HK228" s="1" t="str">
        <f t="shared" si="825"/>
        <v>On</v>
      </c>
      <c r="HL228" s="16"/>
      <c r="HM228" s="639">
        <f t="shared" si="727"/>
        <v>5.0961701597560354E-2</v>
      </c>
      <c r="HN228" s="639">
        <f t="shared" si="728"/>
        <v>3.112551654761847E-3</v>
      </c>
      <c r="HO228" s="639">
        <f t="shared" si="729"/>
        <v>3.1163314184693442E-2</v>
      </c>
      <c r="HP228" s="644">
        <f>(FT228*$GD228-HM228)/$JF228*INDEX(Input!$1:$1048576,$JG$93,$C228*2+6)</f>
        <v>-4.5995865750016192</v>
      </c>
      <c r="HQ228" s="644">
        <f>(FU228*$GD228-HN228)/$JF228*INDEX(Input!$1:$1048576,$JG$93,$C228*2+6)</f>
        <v>94.035507001194489</v>
      </c>
      <c r="HR228" s="644">
        <f>(FV228*$GD228-HO228)/$JF228*INDEX(Input!$1:$1048576,$JG$93,$C228*2+6)</f>
        <v>6.8368792650574983</v>
      </c>
      <c r="HS228" s="644">
        <f t="shared" si="826"/>
        <v>-8.922954339664054</v>
      </c>
      <c r="HT228" s="644">
        <f t="shared" si="731"/>
        <v>111.12140770253454</v>
      </c>
      <c r="HU228" s="644">
        <f t="shared" si="732"/>
        <v>30.597847215525924</v>
      </c>
      <c r="HV228" s="648">
        <f t="shared" si="733"/>
        <v>0</v>
      </c>
      <c r="HW228" s="648">
        <f t="shared" si="734"/>
        <v>0</v>
      </c>
      <c r="HX228" s="648">
        <f t="shared" si="735"/>
        <v>0</v>
      </c>
      <c r="HY228" s="644">
        <f>INDEX(Input!$1:$1048576,HY$93,$C228*2+6)*INDEX(Input!$1:$1048576,$JG$93,$C228*2+6)</f>
        <v>555</v>
      </c>
      <c r="HZ228" s="644">
        <f>INDEX(Input!$1:$1048576,HZ$93,$C228*2+6)*INDEX(Input!$1:$1048576,$JG$93,$C228*2+6)</f>
        <v>480</v>
      </c>
      <c r="IA228" s="644">
        <f>INDEX(Input!$1:$1048576,IA$93,$C228*2+6)*INDEX(Input!$1:$1048576,$JG$93,$C228*2+6)</f>
        <v>566</v>
      </c>
      <c r="IB228" s="644">
        <f t="shared" si="759"/>
        <v>541.47745908533432</v>
      </c>
      <c r="IC228" s="644">
        <f t="shared" si="760"/>
        <v>685.15691470372894</v>
      </c>
      <c r="ID228" s="644">
        <f>IF(AND(INDEX(Input!$1:$1048576,IA$93,$C228*2+7)="TOS",Y228&lt;=INDEX(Y:Y,MATCH(C228*1000+2,A:A))),0,1)*MAX(IA228+HR228+HU228+HX228,0%)</f>
        <v>603.43472648058344</v>
      </c>
      <c r="IE228" s="128">
        <f t="shared" si="827"/>
        <v>0.29587814963137282</v>
      </c>
      <c r="IF228" s="128">
        <f t="shared" si="736"/>
        <v>0.37438854882735101</v>
      </c>
      <c r="IG228" s="128">
        <f t="shared" si="737"/>
        <v>0.32973330154127617</v>
      </c>
      <c r="IH228" s="21"/>
      <c r="II228" s="19">
        <f t="shared" si="738"/>
        <v>1200</v>
      </c>
      <c r="IJ228" s="19">
        <f t="shared" si="739"/>
        <v>2226.7968732767699</v>
      </c>
      <c r="IK228" s="19">
        <f t="shared" si="740"/>
        <v>1786</v>
      </c>
      <c r="IL228" s="19">
        <f t="shared" si="762"/>
        <v>400</v>
      </c>
      <c r="IM228" s="19">
        <f t="shared" si="741"/>
        <v>1278.3620095922438</v>
      </c>
      <c r="IN228" s="19">
        <f t="shared" si="742"/>
        <v>325</v>
      </c>
      <c r="IO228" s="39">
        <f t="shared" si="743"/>
        <v>0</v>
      </c>
      <c r="IP228" s="39">
        <f t="shared" si="744"/>
        <v>0</v>
      </c>
      <c r="IQ228" s="39">
        <f t="shared" si="745"/>
        <v>0</v>
      </c>
      <c r="IR228" s="39">
        <v>0</v>
      </c>
      <c r="IS228" s="39">
        <v>0</v>
      </c>
      <c r="IT228" s="39">
        <v>0</v>
      </c>
      <c r="IU228" s="39">
        <v>0</v>
      </c>
      <c r="IV228" s="39">
        <v>0</v>
      </c>
      <c r="IW228" s="39">
        <v>0</v>
      </c>
      <c r="IX228" s="39">
        <f>INDEX(Input!$1:$1048576,IX$93,$C228*2+6)+INDEX(Input!$1:$1048576,IX$94,$C228*2+6)</f>
        <v>1600</v>
      </c>
      <c r="IY228" s="39">
        <f>INDEX(Input!$1:$1048576,IY$93,$C228*2+6)+INDEX(Input!$1:$1048576,IY$94,$C228*2+6)</f>
        <v>2503.5492916397525</v>
      </c>
      <c r="IZ228" s="39">
        <f>INDEX(Input!$1:$1048576,IZ$93,$C228*2+6)+INDEX(Input!$1:$1048576,IZ$94,$C228*2+6)</f>
        <v>5773.7109265464023</v>
      </c>
      <c r="JA228" s="19">
        <f t="shared" si="763"/>
        <v>2000</v>
      </c>
      <c r="JB228" s="19">
        <f t="shared" si="764"/>
        <v>3781.9113012319963</v>
      </c>
      <c r="JC228" s="19">
        <f t="shared" si="765"/>
        <v>6098.7109265464023</v>
      </c>
      <c r="JD228" s="19">
        <f t="shared" si="766"/>
        <v>4018.6086720807521</v>
      </c>
      <c r="JE228" s="21"/>
      <c r="JF228" s="1">
        <f t="shared" si="746"/>
        <v>8.5237567437015646E-2</v>
      </c>
      <c r="JG228" s="15">
        <f>INDEX(Input!$1:$1048576,JG$93,$C228*2+6)/(1+VLOOKUP(C228*1000+INDEX(Input!$1:$1048576,JG$93+1,$C228*2+6),$A:$KK,$JK$92,FALSE))</f>
        <v>1601</v>
      </c>
      <c r="JH228" s="1">
        <f t="shared" si="767"/>
        <v>6.0132916734072686E-2</v>
      </c>
      <c r="JI228" s="1">
        <f t="shared" si="768"/>
        <v>8.2945846707305676E-2</v>
      </c>
      <c r="JJ228" s="1">
        <f t="shared" si="828"/>
        <v>0</v>
      </c>
      <c r="JK228" s="1">
        <f t="shared" si="829"/>
        <v>0.14307876344137838</v>
      </c>
      <c r="JL228" s="15">
        <f t="shared" si="771"/>
        <v>229.06910026964678</v>
      </c>
      <c r="JM228" s="15">
        <f t="shared" si="795"/>
        <v>1830.0691002696467</v>
      </c>
      <c r="JN228" s="21"/>
      <c r="JO228" s="19">
        <f>INDEX(Input!$1:$1048576,JO$93,$C228*2+6)</f>
        <v>5908.5</v>
      </c>
      <c r="JP228" s="19">
        <f>INDEX(Input!$1:$1048576,JP$93,$C228*2+6)</f>
        <v>3346.4235130620518</v>
      </c>
      <c r="JQ228" s="39">
        <f t="shared" si="781"/>
        <v>1889.8913279192479</v>
      </c>
      <c r="JR228" s="39">
        <f t="shared" si="798"/>
        <v>672.18515901870023</v>
      </c>
      <c r="JS228" s="39">
        <f t="shared" si="783"/>
        <v>7.3543315568506218</v>
      </c>
      <c r="JT228" s="39">
        <f t="shared" si="773"/>
        <v>1.9967075124382767</v>
      </c>
      <c r="JU228" s="385">
        <f>(JQ228*JM228-INDEX(Input!$1:$1048576,Input!A$18,$C228*2+6)*JL228*INDEX(Input!$1:$1048576,Input!A$19,$C228*2+6))/1000000</f>
        <v>3.4586317220925862</v>
      </c>
      <c r="JV228" s="39">
        <f t="shared" si="805"/>
        <v>-0.64325273349506862</v>
      </c>
      <c r="JW228" s="1">
        <f t="shared" si="796"/>
        <v>-0.15681883301681476</v>
      </c>
      <c r="JX228" s="19">
        <f t="shared" si="787"/>
        <v>8716.6165584440205</v>
      </c>
      <c r="JZ228" s="341"/>
      <c r="KA228" s="342"/>
      <c r="KB228" s="469">
        <f t="shared" si="784"/>
        <v>2.4482969984810516</v>
      </c>
      <c r="KI228" s="473">
        <f t="shared" si="812"/>
        <v>-13.522540914665683</v>
      </c>
      <c r="KJ228" s="473">
        <f t="shared" si="813"/>
        <v>205.15691470372894</v>
      </c>
      <c r="KK228" s="473">
        <f t="shared" si="775"/>
        <v>37.434726480583436</v>
      </c>
      <c r="KN228" s="544">
        <f t="shared" si="788"/>
        <v>2002</v>
      </c>
      <c r="KO228" s="541">
        <f t="shared" si="750"/>
        <v>5.9215570507575421E-2</v>
      </c>
      <c r="KP228" s="546">
        <f t="shared" si="751"/>
        <v>328.84390561523759</v>
      </c>
      <c r="KQ228" s="546">
        <f t="shared" si="752"/>
        <v>293.00509712421353</v>
      </c>
      <c r="KR228" s="548">
        <f t="shared" si="753"/>
        <v>2.8756407031517943</v>
      </c>
      <c r="KS228" s="548">
        <f t="shared" si="754"/>
        <v>3.227373616540536</v>
      </c>
      <c r="KT228" s="473">
        <f t="shared" si="786"/>
        <v>528.59039248727379</v>
      </c>
      <c r="KU228" s="663">
        <f t="shared" si="776"/>
        <v>12.066993476559251</v>
      </c>
      <c r="KV228" s="117"/>
    </row>
    <row r="229" spans="1:308" s="26" customFormat="1" ht="15">
      <c r="A229" s="561">
        <f t="shared" si="755"/>
        <v>2029</v>
      </c>
      <c r="B229" s="561">
        <f t="shared" si="777"/>
        <v>29</v>
      </c>
      <c r="C229" s="561">
        <f t="shared" si="105"/>
        <v>2</v>
      </c>
      <c r="D229" s="561" t="str">
        <f t="shared" si="824"/>
        <v xml:space="preserve">-720 Lease, </v>
      </c>
      <c r="E229" s="475">
        <f>INDEX(Input!$1:$1048576,E$93,$C229*2+MIN($B229,2)+5)
+INDEX(Scenarios!E$121:E$200,MATCH($B229,Scenarios!$B$121:$B$200,0))</f>
        <v>1250</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1.9E-2</v>
      </c>
      <c r="W229" s="863">
        <f>IFERROR(MAX(0,INDEX(Input!$1:$1048576,W$93,$C229*2+MIN($B229,2)+5)-0%,),"Market")</f>
        <v>3.9E-2</v>
      </c>
      <c r="X229" s="476" t="str">
        <f>INDEX(Input!$1:$1048576,X$93,$C229*2+MIN($B229,2)+5)</f>
        <v>Y</v>
      </c>
      <c r="Y229" s="475">
        <f>INDEX(Input!$1:$1048576,Y$93,$C229*2+MIN($B229,2)+5)
++INDEX(Scenarios!Y$121:Y$200,MATCH($B229,Scenarios!$B$121:$B$200,0))</f>
        <v>638</v>
      </c>
      <c r="Z229" s="477">
        <f>INDEX(Input!$1:$1048576,Z$93,$C229*2+MIN($B229,2)+5)
+INDEX(Scenarios!Z$121:Z$200,MATCH($B229,Scenarios!$B$121:$B$200,0))</f>
        <v>0</v>
      </c>
      <c r="AA229" s="475">
        <f>INDEX(Input!$1:$1048576,AA$93,$C229*2+MIN($B229,2)+5)</f>
        <v>0</v>
      </c>
      <c r="AB229" s="476">
        <f>INDEX(Input!$1:$1048576,AB$93,$C229*2+MIN($B229,2)+5)</f>
        <v>1</v>
      </c>
      <c r="AC229" s="475">
        <f>INDEX(Input!$1:$1048576,AC$93,$C229*2+MIN($B229,2)+5)
+INDEX(Scenarios!AC$121:AC$200,MATCH($B229,Scenarios!$B$121:$B$200,0))</f>
        <v>0</v>
      </c>
      <c r="AD229" s="476">
        <f>INDEX(Input!$1:$1048576,AD$93,$C229*2+MIN($B229,2)+5)</f>
        <v>0.35</v>
      </c>
      <c r="AE229" s="475">
        <f>INDEX(Input!$1:$1048576,AE$93,$C229*2+MIN($B229,2)+5)
+INDEX(Scenarios!AE$121:AE$200,MATCH($B229,Scenarios!$B$121:$B$200,0))</f>
        <v>0</v>
      </c>
      <c r="AF229" s="476">
        <f>INDEX(Input!$1:$1048576,AF$93,$C229*2+MIN($B229,2)+5)</f>
        <v>1</v>
      </c>
      <c r="AG229" s="475">
        <f>INDEX(Input!$1:$1048576,AG$93,$C229*2+MIN($B229,2)+5)
+INDEX(Scenarios!AG$121:AG$200,MATCH($B229,Scenarios!$B$121:$B$200,0))</f>
        <v>0</v>
      </c>
      <c r="AH229" s="476">
        <f>INDEX(Input!$1:$1048576,AH$93,$C229*2+MIN($B229,2)+5)</f>
        <v>1</v>
      </c>
      <c r="AI229" s="475">
        <f>INDEX(Input!$1:$1048576,AI$93,$C229*2+MIN($B229,2)+5)
+INDEX(Scenarios!AI$121:AI$200,MATCH($B229,Scenarios!$B$121:$B$200,0))</f>
        <v>0</v>
      </c>
      <c r="AJ229" s="476">
        <f>INDEX(Input!$1:$1048576,AJ$93,$C229*2+MIN($B229,2)+5)</f>
        <v>0.35</v>
      </c>
      <c r="AK229" s="150">
        <f>ROUND(INDEX(Input!$1:$1048576,AK$93,$C228*2+MIN($B229,1)+5)+(Y229-VLOOKUP($C229*1000+1,$A:$HH,Y$92,FALSE)),0)</f>
        <v>4262</v>
      </c>
      <c r="AL229" s="150">
        <f>ROUND(INDEX(Input!$1:$1048576,AL$93,$C228*2+MIN($B229,1)+5)-(Y229-VLOOKUP($C229*1000+1,$A:$HH,Y$92,FALSE))/36,0)</f>
        <v>5122</v>
      </c>
      <c r="AM229" s="32" t="str">
        <f t="shared" si="756"/>
        <v>std/std/std/std</v>
      </c>
      <c r="AN229" s="32" t="str">
        <f t="shared" si="757"/>
        <v>$0 + 0/0/0/1.9/3.9</v>
      </c>
      <c r="AO229" s="32" t="str">
        <f t="shared" si="758"/>
        <v>0/0/0/1.9/3.9</v>
      </c>
      <c r="AP229" s="32" t="str">
        <f t="shared" si="493"/>
        <v>0/0.9/1.9/3.9</v>
      </c>
      <c r="AQ229" s="536">
        <f t="shared" ref="AQ229:AQ292" si="830">SUM(IE229,G229*IF229,H229*IG229,AC229*AD229,AE229*AF229,AI229)</f>
        <v>0.3931003785753549</v>
      </c>
      <c r="AR229" s="32"/>
      <c r="AS229" s="302"/>
      <c r="AT229" s="3">
        <f t="shared" si="810"/>
        <v>29</v>
      </c>
      <c r="AU229" s="41" t="s">
        <v>121</v>
      </c>
      <c r="AV229" s="41" t="s">
        <v>116</v>
      </c>
      <c r="AW229" s="41" t="str">
        <f>INDEX(Input!$1:$1048576,AW$93,$C229*2+6)</f>
        <v>Kia</v>
      </c>
      <c r="AX229" s="41" t="str">
        <f>INDEX(Input!$1:$1048576,AX$93,$C229*2+6)</f>
        <v>Kia-LR - L2</v>
      </c>
      <c r="AY229" s="41" t="str">
        <f>IF(LEN(D229)=0,"",INDEX(Input!$1:$1048576,AY$93,$C229*2+6))</f>
        <v>Compact Conventional/Sporty Car (43)</v>
      </c>
      <c r="AZ229" s="41" t="str">
        <f>INDEX(Input!$1:$1048576,AZ$93,$C229*2+6)</f>
        <v>Kia Forte</v>
      </c>
      <c r="BA229" s="3">
        <f>INDEX(Input!$1:$1048576,BA$93,$C229*2+6)</f>
        <v>2020</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19695</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94"/>
        <v>1250</v>
      </c>
      <c r="CJ229" s="16" t="str">
        <f>INDEX(Input!$1:$1048576,CJ$93,$C229*2+6)</f>
        <v>N</v>
      </c>
      <c r="CK229" s="1" t="str">
        <f t="shared" si="495"/>
        <v>Market</v>
      </c>
      <c r="CL229" s="1" t="str">
        <f t="shared" si="496"/>
        <v>Market</v>
      </c>
      <c r="CM229" s="1" t="str">
        <f t="shared" si="497"/>
        <v>Market</v>
      </c>
      <c r="CN229" s="1" t="str">
        <f t="shared" si="498"/>
        <v>Market</v>
      </c>
      <c r="CO229" s="1" t="str">
        <f t="shared" si="499"/>
        <v>Market</v>
      </c>
      <c r="CP229" s="304">
        <f t="shared" si="500"/>
        <v>0</v>
      </c>
      <c r="CQ229" s="1">
        <f t="shared" si="501"/>
        <v>0</v>
      </c>
      <c r="CR229" s="1">
        <f t="shared" si="502"/>
        <v>0</v>
      </c>
      <c r="CS229" s="1">
        <f t="shared" si="503"/>
        <v>0</v>
      </c>
      <c r="CT229" s="1">
        <f t="shared" si="504"/>
        <v>1.9E-2</v>
      </c>
      <c r="CU229" s="1">
        <f t="shared" si="505"/>
        <v>3.9E-2</v>
      </c>
      <c r="CV229" s="304">
        <f t="shared" si="506"/>
        <v>638</v>
      </c>
      <c r="CW229" s="20" t="s">
        <v>122</v>
      </c>
      <c r="CX229" s="20" t="s">
        <v>122</v>
      </c>
      <c r="CY229" s="20" t="s">
        <v>122</v>
      </c>
      <c r="CZ229" s="20" t="s">
        <v>122</v>
      </c>
      <c r="DA229" s="20" t="s">
        <v>122</v>
      </c>
      <c r="DB229" s="503">
        <f t="shared" si="507"/>
        <v>0</v>
      </c>
      <c r="DC229" s="127">
        <v>0</v>
      </c>
      <c r="DD229" s="127">
        <v>0</v>
      </c>
      <c r="DE229" s="127">
        <v>0</v>
      </c>
      <c r="DF229" s="127">
        <v>0</v>
      </c>
      <c r="DG229" s="127">
        <v>0</v>
      </c>
      <c r="DH229" s="127">
        <v>0</v>
      </c>
      <c r="DI229" s="127">
        <v>0</v>
      </c>
      <c r="DJ229" s="127">
        <v>0</v>
      </c>
      <c r="DK229" s="127">
        <v>0</v>
      </c>
      <c r="DL229" s="127">
        <v>0</v>
      </c>
      <c r="DM229" s="304">
        <f>INDEX(Input!$1:$1048576,DM$93,$C229*2+6)</f>
        <v>20731.578947368424</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3.0150192434864886E-2</v>
      </c>
      <c r="DZ229" s="7">
        <v>0</v>
      </c>
      <c r="EA229" s="7">
        <v>0.61466776483391694</v>
      </c>
      <c r="EB229" s="7">
        <v>0</v>
      </c>
      <c r="EC229" s="7">
        <v>0</v>
      </c>
      <c r="ED229" s="7">
        <v>0</v>
      </c>
      <c r="EE229" s="7">
        <v>0</v>
      </c>
      <c r="EF229" s="7">
        <v>0</v>
      </c>
      <c r="EG229" s="7">
        <v>0</v>
      </c>
      <c r="EH229" s="7">
        <v>1.6212108060977812E-2</v>
      </c>
      <c r="EI229" s="7">
        <v>2.6491938655757358E-2</v>
      </c>
      <c r="EJ229" s="7">
        <v>0.2658588422762333</v>
      </c>
      <c r="EK229" s="7">
        <v>0.64348992281682904</v>
      </c>
      <c r="EL229" s="7">
        <v>4.7947188190202578E-2</v>
      </c>
      <c r="EM229" s="7">
        <v>3.9407574954797263E-2</v>
      </c>
      <c r="EN229" s="7">
        <v>4.8136696332523501E-2</v>
      </c>
      <c r="EO229" s="7">
        <v>0.56362167906735505</v>
      </c>
      <c r="EP229" s="7">
        <v>0.28265202875245921</v>
      </c>
      <c r="EQ229" s="7">
        <v>6.5819218275256983E-2</v>
      </c>
      <c r="ER229" s="7">
        <v>3.9770377572405299E-2</v>
      </c>
      <c r="ES229" s="7">
        <v>0.31577446777642099</v>
      </c>
      <c r="ET229" s="7">
        <v>0.35518204273121817</v>
      </c>
      <c r="EU229" s="6">
        <v>1600</v>
      </c>
      <c r="EV229" s="6">
        <v>0</v>
      </c>
      <c r="EW229" s="6">
        <v>1600</v>
      </c>
      <c r="EX229" s="6">
        <v>0</v>
      </c>
      <c r="EY229" s="6">
        <v>2626.8426608186674</v>
      </c>
      <c r="EZ229" s="6">
        <v>1391</v>
      </c>
      <c r="FA229" s="6">
        <v>0</v>
      </c>
      <c r="FB229" s="6">
        <v>0</v>
      </c>
      <c r="FC229" s="6">
        <v>0</v>
      </c>
      <c r="FD229" s="6">
        <v>0</v>
      </c>
      <c r="FE229" s="6">
        <v>0</v>
      </c>
      <c r="FF229" s="6">
        <v>0</v>
      </c>
      <c r="FG229" s="6">
        <v>0</v>
      </c>
      <c r="FH229" s="6">
        <v>1154.7769376764165</v>
      </c>
      <c r="FI229" s="6">
        <v>1531.4299904380612</v>
      </c>
      <c r="FJ229" s="6">
        <v>2070.7205842538219</v>
      </c>
      <c r="FK229" s="6">
        <v>1746.9903521590431</v>
      </c>
      <c r="FL229" s="6">
        <v>893.91433563489375</v>
      </c>
      <c r="FM229" s="6">
        <v>1776.8426608186676</v>
      </c>
      <c r="FN229" s="6">
        <v>0</v>
      </c>
      <c r="FO229" s="6">
        <v>0</v>
      </c>
      <c r="FP229" s="6">
        <v>0</v>
      </c>
      <c r="FQ229" s="6">
        <v>0</v>
      </c>
      <c r="FR229" s="6">
        <v>0</v>
      </c>
      <c r="FS229" s="6">
        <v>0</v>
      </c>
      <c r="FT229" s="7">
        <v>0.64481795726878177</v>
      </c>
      <c r="FU229" s="7">
        <v>3.9407574954797263E-2</v>
      </c>
      <c r="FV229" s="7">
        <v>0.31577446777642099</v>
      </c>
      <c r="FW229" s="6">
        <v>1600.0000000000002</v>
      </c>
      <c r="FX229" s="6">
        <v>2626.8426608186674</v>
      </c>
      <c r="FY229" s="6">
        <v>1391</v>
      </c>
      <c r="FZ229" s="6">
        <v>2594.6978186474794</v>
      </c>
      <c r="GA229" s="6">
        <v>1574.4685153577234</v>
      </c>
      <c r="GB229" s="6">
        <v>18120.531484642277</v>
      </c>
      <c r="GC229" s="7">
        <v>9.6947029492584935E-2</v>
      </c>
      <c r="GD229" s="7">
        <v>8.6639811102829312E-2</v>
      </c>
      <c r="GE229" s="7"/>
      <c r="GF229" s="7"/>
      <c r="GG229" s="7">
        <v>-0.10631804237533631</v>
      </c>
      <c r="GH229" s="42">
        <v>2.0524149206754836</v>
      </c>
      <c r="GI229" s="6">
        <v>11170.481388582231</v>
      </c>
      <c r="GJ229" s="14">
        <v>0.51074630601039517</v>
      </c>
      <c r="GK229" s="14">
        <v>0.50829519786160948</v>
      </c>
      <c r="GL229" s="14">
        <v>0.48925369398960394</v>
      </c>
      <c r="GM229" s="14">
        <v>0.49170480213838985</v>
      </c>
      <c r="GO229" s="5">
        <v>338.16872463277008</v>
      </c>
      <c r="GP229" s="5">
        <v>307.64377699166363</v>
      </c>
      <c r="GQ229" s="5">
        <v>527.27910984145694</v>
      </c>
      <c r="GR229" s="5">
        <v>404.20319246551543</v>
      </c>
      <c r="GS229" s="5">
        <v>334.50205195691484</v>
      </c>
      <c r="GT229" s="5">
        <v>289.18266033348181</v>
      </c>
      <c r="GU229" s="5">
        <v>254.29573314828914</v>
      </c>
      <c r="GV229" s="39" t="s">
        <v>392</v>
      </c>
      <c r="GW229" s="5">
        <v>468.76388888888891</v>
      </c>
      <c r="GX229" s="5">
        <v>351.57291666666669</v>
      </c>
      <c r="GY229" s="5">
        <v>281.25833333333333</v>
      </c>
      <c r="GZ229" s="5">
        <v>248.18079879493993</v>
      </c>
      <c r="HA229" s="5">
        <v>229.89195052129486</v>
      </c>
      <c r="HB229" s="39">
        <v>262.41302951988496</v>
      </c>
      <c r="HC229" s="5">
        <v>222.25937499999998</v>
      </c>
      <c r="HD229" s="5">
        <v>194.78879751461983</v>
      </c>
      <c r="HE229" s="5">
        <v>198.90169956140349</v>
      </c>
      <c r="HF229" s="5">
        <v>185.53629934210525</v>
      </c>
      <c r="HG229" s="5">
        <v>180.91410087719296</v>
      </c>
      <c r="HH229" s="39">
        <v>196.112866347915</v>
      </c>
      <c r="HI229" s="16"/>
      <c r="HJ229" s="19" t="str">
        <f t="shared" si="825"/>
        <v>On</v>
      </c>
      <c r="HK229" s="1" t="str">
        <f t="shared" si="825"/>
        <v>On</v>
      </c>
      <c r="HL229" s="16"/>
      <c r="HM229" s="639">
        <f t="shared" si="727"/>
        <v>5.0961701597560354E-2</v>
      </c>
      <c r="HN229" s="639">
        <f t="shared" si="728"/>
        <v>3.112551654761847E-3</v>
      </c>
      <c r="HO229" s="639">
        <f t="shared" si="729"/>
        <v>3.1163314184693442E-2</v>
      </c>
      <c r="HP229" s="644">
        <f>(FT229*$GD229-HM229)/$JF229*INDEX(Input!$1:$1048576,$JG$93,$C229*2+6)</f>
        <v>92.133463049488682</v>
      </c>
      <c r="HQ229" s="644">
        <f>(FU229*$GD229-HN229)/$JF229*INDEX(Input!$1:$1048576,$JG$93,$C229*2+6)</f>
        <v>5.6670179624738335</v>
      </c>
      <c r="HR229" s="644">
        <f>(FV229*$GD229-HO229)/$JF229*INDEX(Input!$1:$1048576,$JG$93,$C229*2+6)</f>
        <v>-71.462421674140927</v>
      </c>
      <c r="HS229" s="644">
        <f t="shared" si="826"/>
        <v>-8.3251075907058549</v>
      </c>
      <c r="HT229" s="644">
        <f t="shared" si="731"/>
        <v>31.571776449954186</v>
      </c>
      <c r="HU229" s="644">
        <f t="shared" si="732"/>
        <v>-25.533239379113386</v>
      </c>
      <c r="HV229" s="648">
        <f t="shared" si="733"/>
        <v>0</v>
      </c>
      <c r="HW229" s="648">
        <f t="shared" si="734"/>
        <v>0</v>
      </c>
      <c r="HX229" s="648">
        <f t="shared" si="735"/>
        <v>0</v>
      </c>
      <c r="HY229" s="644">
        <f>INDEX(Input!$1:$1048576,HY$93,$C229*2+6)*INDEX(Input!$1:$1048576,$JG$93,$C229*2+6)</f>
        <v>555</v>
      </c>
      <c r="HZ229" s="644">
        <f>INDEX(Input!$1:$1048576,HZ$93,$C229*2+6)*INDEX(Input!$1:$1048576,$JG$93,$C229*2+6)</f>
        <v>480</v>
      </c>
      <c r="IA229" s="644">
        <f>INDEX(Input!$1:$1048576,IA$93,$C229*2+6)*INDEX(Input!$1:$1048576,$JG$93,$C229*2+6)</f>
        <v>566</v>
      </c>
      <c r="IB229" s="644">
        <f t="shared" si="759"/>
        <v>638.80835545878278</v>
      </c>
      <c r="IC229" s="644">
        <f t="shared" si="760"/>
        <v>517.23879441242798</v>
      </c>
      <c r="ID229" s="644">
        <f>IF(AND(INDEX(Input!$1:$1048576,IA$93,$C229*2+7)="TOS",Y229&lt;=INDEX(Y:Y,MATCH(C229*1000+2,A:A))),0,1)*MAX(IA229+HR229+HU229+HX229,0%)</f>
        <v>469.00433894674563</v>
      </c>
      <c r="IE229" s="128">
        <f t="shared" si="827"/>
        <v>0.3931003785753549</v>
      </c>
      <c r="IF229" s="128">
        <f t="shared" si="736"/>
        <v>0.31829071138457371</v>
      </c>
      <c r="IG229" s="128">
        <f t="shared" si="737"/>
        <v>0.28860891004007139</v>
      </c>
      <c r="IH229" s="21"/>
      <c r="II229" s="19">
        <f t="shared" si="738"/>
        <v>1200</v>
      </c>
      <c r="IJ229" s="19">
        <f t="shared" si="739"/>
        <v>2226.7968732767699</v>
      </c>
      <c r="IK229" s="19">
        <f t="shared" si="740"/>
        <v>1786</v>
      </c>
      <c r="IL229" s="19">
        <f t="shared" si="762"/>
        <v>400.00000000000023</v>
      </c>
      <c r="IM229" s="19">
        <f t="shared" si="741"/>
        <v>400.04578754189743</v>
      </c>
      <c r="IN229" s="19">
        <f t="shared" si="742"/>
        <v>-395</v>
      </c>
      <c r="IO229" s="39">
        <f t="shared" si="743"/>
        <v>0</v>
      </c>
      <c r="IP229" s="39">
        <f t="shared" si="744"/>
        <v>0</v>
      </c>
      <c r="IQ229" s="39">
        <f t="shared" si="745"/>
        <v>0</v>
      </c>
      <c r="IR229" s="39">
        <v>0</v>
      </c>
      <c r="IS229" s="39">
        <v>0</v>
      </c>
      <c r="IT229" s="39">
        <v>0</v>
      </c>
      <c r="IU229" s="39">
        <v>0</v>
      </c>
      <c r="IV229" s="39">
        <v>0</v>
      </c>
      <c r="IW229" s="39">
        <v>0</v>
      </c>
      <c r="IX229" s="39">
        <f>INDEX(Input!$1:$1048576,IX$93,$C229*2+6)+INDEX(Input!$1:$1048576,IX$94,$C229*2+6)</f>
        <v>1600</v>
      </c>
      <c r="IY229" s="39">
        <f>INDEX(Input!$1:$1048576,IY$93,$C229*2+6)+INDEX(Input!$1:$1048576,IY$94,$C229*2+6)</f>
        <v>2503.5492916397525</v>
      </c>
      <c r="IZ229" s="39">
        <f>INDEX(Input!$1:$1048576,IZ$93,$C229*2+6)+INDEX(Input!$1:$1048576,IZ$94,$C229*2+6)</f>
        <v>5773.7109265464023</v>
      </c>
      <c r="JA229" s="19">
        <f t="shared" si="763"/>
        <v>2000.0000000000002</v>
      </c>
      <c r="JB229" s="19">
        <f t="shared" si="764"/>
        <v>2903.5950791816499</v>
      </c>
      <c r="JC229" s="19">
        <f t="shared" si="765"/>
        <v>5378.7109265464023</v>
      </c>
      <c r="JD229" s="19">
        <f t="shared" si="766"/>
        <v>3262.7319984073647</v>
      </c>
      <c r="JE229" s="21"/>
      <c r="JF229" s="1">
        <f t="shared" si="746"/>
        <v>8.5237567437015646E-2</v>
      </c>
      <c r="JG229" s="15">
        <f>INDEX(Input!$1:$1048576,JG$93,$C229*2+6)/(1+VLOOKUP(C229*1000+INDEX(Input!$1:$1048576,JG$93+1,$C229*2+6),$A:$KK,$JK$92,FALSE))</f>
        <v>1601</v>
      </c>
      <c r="JH229" s="1">
        <f t="shared" si="767"/>
        <v>1.6451005207883566E-2</v>
      </c>
      <c r="JI229" s="1">
        <f t="shared" si="768"/>
        <v>-1.4282139412024079E-3</v>
      </c>
      <c r="JJ229" s="1">
        <f t="shared" si="828"/>
        <v>0</v>
      </c>
      <c r="JK229" s="1">
        <f t="shared" si="829"/>
        <v>1.5022791266681157E-2</v>
      </c>
      <c r="JL229" s="15">
        <f t="shared" si="771"/>
        <v>24.051488817956532</v>
      </c>
      <c r="JM229" s="15">
        <f t="shared" si="795"/>
        <v>1625.0514888179566</v>
      </c>
      <c r="JN229" s="21"/>
      <c r="JO229" s="19">
        <f>INDEX(Input!$1:$1048576,JO$93,$C229*2+6)</f>
        <v>5908.5</v>
      </c>
      <c r="JP229" s="19">
        <f>INDEX(Input!$1:$1048576,JP$93,$C229*2+6)</f>
        <v>3346.4235130620518</v>
      </c>
      <c r="JQ229" s="39">
        <f t="shared" si="781"/>
        <v>2645.7680015926353</v>
      </c>
      <c r="JR229" s="39">
        <f t="shared" si="798"/>
        <v>-83.691514654687126</v>
      </c>
      <c r="JS229" s="39">
        <f t="shared" si="783"/>
        <v>5.3021074916258755</v>
      </c>
      <c r="JT229" s="39">
        <f t="shared" si="773"/>
        <v>-5.5516552786469463E-2</v>
      </c>
      <c r="JU229" s="385">
        <f>(JQ229*JM229-INDEX(Input!$1:$1048576,Input!A$18,$C229*2+6)*JL229*INDEX(Input!$1:$1048576,Input!A$19,$C229*2+6))/1000000</f>
        <v>4.2995092300550217</v>
      </c>
      <c r="JV229" s="39">
        <f t="shared" si="805"/>
        <v>0.19762477446736693</v>
      </c>
      <c r="JW229" s="1">
        <f t="shared" si="796"/>
        <v>4.8179020303255785E-2</v>
      </c>
      <c r="JX229" s="19">
        <f t="shared" si="787"/>
        <v>-2308.2376815285347</v>
      </c>
      <c r="JZ229" s="341"/>
      <c r="KA229" s="342"/>
      <c r="KB229" s="469">
        <f t="shared" si="784"/>
        <v>2.4482969984810516</v>
      </c>
      <c r="KI229" s="473">
        <f t="shared" si="812"/>
        <v>83.808355458782898</v>
      </c>
      <c r="KJ229" s="473">
        <f t="shared" si="813"/>
        <v>37.238794412428092</v>
      </c>
      <c r="KK229" s="473">
        <f t="shared" si="775"/>
        <v>-96.99566105325431</v>
      </c>
      <c r="KN229" s="544">
        <f t="shared" si="788"/>
        <v>2002</v>
      </c>
      <c r="KO229" s="541">
        <f t="shared" si="750"/>
        <v>-5.9445438656453242E-2</v>
      </c>
      <c r="KP229" s="546">
        <f t="shared" si="751"/>
        <v>-207.78789887600317</v>
      </c>
      <c r="KQ229" s="546">
        <f t="shared" si="752"/>
        <v>-462.87157654917382</v>
      </c>
      <c r="KR229" s="548">
        <f t="shared" si="753"/>
        <v>4.5686384082068301</v>
      </c>
      <c r="KS229" s="548">
        <f t="shared" si="754"/>
        <v>2.0509096338186015</v>
      </c>
      <c r="KT229" s="473">
        <f t="shared" si="786"/>
        <v>528.59039248727379</v>
      </c>
      <c r="KU229" s="663">
        <f t="shared" si="776"/>
        <v>12.521303735621247</v>
      </c>
      <c r="KV229" s="117"/>
    </row>
    <row r="230" spans="1:308" s="26" customFormat="1" ht="15">
      <c r="A230" s="561">
        <f t="shared" si="755"/>
        <v>2030</v>
      </c>
      <c r="B230" s="561">
        <f t="shared" si="777"/>
        <v>30</v>
      </c>
      <c r="C230" s="561">
        <f t="shared" si="105"/>
        <v>2</v>
      </c>
      <c r="D230" s="561" t="str">
        <f t="shared" si="824"/>
        <v xml:space="preserve">1080 Lease, </v>
      </c>
      <c r="E230" s="475">
        <f>INDEX(Input!$1:$1048576,E$93,$C230*2+MIN($B230,2)+5)
+INDEX(Scenarios!E$121:E$200,MATCH($B230,Scenarios!$B$121:$B$200,0))</f>
        <v>1250</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1.9E-2</v>
      </c>
      <c r="W230" s="863">
        <f>IFERROR(MAX(0,INDEX(Input!$1:$1048576,W$93,$C230*2+MIN($B230,2)+5)-0%,),"Market")</f>
        <v>3.9E-2</v>
      </c>
      <c r="X230" s="476" t="str">
        <f>INDEX(Input!$1:$1048576,X$93,$C230*2+MIN($B230,2)+5)</f>
        <v>Y</v>
      </c>
      <c r="Y230" s="475">
        <f>INDEX(Input!$1:$1048576,Y$93,$C230*2+MIN($B230,2)+5)
++INDEX(Scenarios!Y$121:Y$200,MATCH($B230,Scenarios!$B$121:$B$200,0))</f>
        <v>2438</v>
      </c>
      <c r="Z230" s="477">
        <f>INDEX(Input!$1:$1048576,Z$93,$C230*2+MIN($B230,2)+5)
+INDEX(Scenarios!Z$121:Z$200,MATCH($B230,Scenarios!$B$121:$B$200,0))</f>
        <v>0</v>
      </c>
      <c r="AA230" s="475">
        <f>INDEX(Input!$1:$1048576,AA$93,$C230*2+MIN($B230,2)+5)</f>
        <v>0</v>
      </c>
      <c r="AB230" s="476">
        <f>INDEX(Input!$1:$1048576,AB$93,$C230*2+MIN($B230,2)+5)</f>
        <v>1</v>
      </c>
      <c r="AC230" s="475">
        <f>INDEX(Input!$1:$1048576,AC$93,$C230*2+MIN($B230,2)+5)
+INDEX(Scenarios!AC$121:AC$200,MATCH($B230,Scenarios!$B$121:$B$200,0))</f>
        <v>0</v>
      </c>
      <c r="AD230" s="476">
        <f>INDEX(Input!$1:$1048576,AD$93,$C230*2+MIN($B230,2)+5)</f>
        <v>0.35</v>
      </c>
      <c r="AE230" s="475">
        <f>INDEX(Input!$1:$1048576,AE$93,$C230*2+MIN($B230,2)+5)
+INDEX(Scenarios!AE$121:AE$200,MATCH($B230,Scenarios!$B$121:$B$200,0))</f>
        <v>0</v>
      </c>
      <c r="AF230" s="476">
        <f>INDEX(Input!$1:$1048576,AF$93,$C230*2+MIN($B230,2)+5)</f>
        <v>1</v>
      </c>
      <c r="AG230" s="475">
        <f>INDEX(Input!$1:$1048576,AG$93,$C230*2+MIN($B230,2)+5)
+INDEX(Scenarios!AG$121:AG$200,MATCH($B230,Scenarios!$B$121:$B$200,0))</f>
        <v>0</v>
      </c>
      <c r="AH230" s="476">
        <f>INDEX(Input!$1:$1048576,AH$93,$C230*2+MIN($B230,2)+5)</f>
        <v>1</v>
      </c>
      <c r="AI230" s="475">
        <f>INDEX(Input!$1:$1048576,AI$93,$C230*2+MIN($B230,2)+5)
+INDEX(Scenarios!AI$121:AI$200,MATCH($B230,Scenarios!$B$121:$B$200,0))</f>
        <v>0</v>
      </c>
      <c r="AJ230" s="476">
        <f>INDEX(Input!$1:$1048576,AJ$93,$C230*2+MIN($B230,2)+5)</f>
        <v>0.35</v>
      </c>
      <c r="AK230" s="150">
        <f>ROUND(INDEX(Input!$1:$1048576,AK$93,$C229*2+MIN($B230,1)+5)+(Y230-VLOOKUP($C230*1000+1,$A:$HH,Y$92,FALSE)),0)</f>
        <v>6062</v>
      </c>
      <c r="AL230" s="150">
        <f>ROUND(INDEX(Input!$1:$1048576,AL$93,$C229*2+MIN($B230,1)+5)-(Y230-VLOOKUP($C230*1000+1,$A:$HH,Y$92,FALSE))/36,0)</f>
        <v>5072</v>
      </c>
      <c r="AM230" s="32" t="str">
        <f t="shared" si="756"/>
        <v>std/std/std/std</v>
      </c>
      <c r="AN230" s="32" t="str">
        <f t="shared" si="757"/>
        <v>$0 + 0/0/0/1.9/3.9</v>
      </c>
      <c r="AO230" s="32" t="str">
        <f t="shared" si="758"/>
        <v>0/0/0/1.9/3.9</v>
      </c>
      <c r="AP230" s="32" t="str">
        <f t="shared" ref="AP230:AP293" si="831">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0/0.9/1.9/3.9</v>
      </c>
      <c r="AQ230" s="536">
        <f t="shared" si="830"/>
        <v>0.27685391060121001</v>
      </c>
      <c r="AR230" s="32"/>
      <c r="AS230" s="302"/>
      <c r="AT230" s="3">
        <f t="shared" si="810"/>
        <v>30</v>
      </c>
      <c r="AU230" s="41" t="s">
        <v>121</v>
      </c>
      <c r="AV230" s="41" t="s">
        <v>116</v>
      </c>
      <c r="AW230" s="41" t="str">
        <f>INDEX(Input!$1:$1048576,AW$93,$C230*2+6)</f>
        <v>Kia</v>
      </c>
      <c r="AX230" s="41" t="str">
        <f>INDEX(Input!$1:$1048576,AX$93,$C230*2+6)</f>
        <v>Kia-LR - L2</v>
      </c>
      <c r="AY230" s="41" t="str">
        <f>IF(LEN(D230)=0,"",INDEX(Input!$1:$1048576,AY$93,$C230*2+6))</f>
        <v>Compact Conventional/Sporty Car (43)</v>
      </c>
      <c r="AZ230" s="41" t="str">
        <f>INDEX(Input!$1:$1048576,AZ$93,$C230*2+6)</f>
        <v>Kia Forte</v>
      </c>
      <c r="BA230" s="3">
        <f>INDEX(Input!$1:$1048576,BA$93,$C230*2+6)</f>
        <v>2020</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19695</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832">E230+F230*I230+AA146*AB146+AC230*AD230</f>
        <v>1250</v>
      </c>
      <c r="CJ230" s="16" t="str">
        <f>INDEX(Input!$1:$1048576,CJ$93,$C230*2+6)</f>
        <v>N</v>
      </c>
      <c r="CK230" s="1" t="str">
        <f t="shared" ref="CK230:CK293" si="833">K230</f>
        <v>Market</v>
      </c>
      <c r="CL230" s="1" t="str">
        <f t="shared" ref="CL230:CL293" si="834">L230</f>
        <v>Market</v>
      </c>
      <c r="CM230" s="1" t="str">
        <f t="shared" ref="CM230:CM293" si="835">M230</f>
        <v>Market</v>
      </c>
      <c r="CN230" s="1" t="str">
        <f t="shared" ref="CN230:CN293" si="836">N230</f>
        <v>Market</v>
      </c>
      <c r="CO230" s="1" t="str">
        <f t="shared" ref="CO230:CO293" si="837">O230</f>
        <v>Market</v>
      </c>
      <c r="CP230" s="304">
        <f t="shared" ref="CP230:CP293" si="838">Q230+G230*I230+AA230*AB230+AC230*AD230</f>
        <v>0</v>
      </c>
      <c r="CQ230" s="1">
        <f t="shared" ref="CQ230:CQ293" si="839">S230</f>
        <v>0</v>
      </c>
      <c r="CR230" s="1">
        <f t="shared" ref="CR230:CR293" si="840">T230</f>
        <v>0</v>
      </c>
      <c r="CS230" s="1">
        <f t="shared" ref="CS230:CS293" si="841">U230</f>
        <v>0</v>
      </c>
      <c r="CT230" s="1">
        <f t="shared" ref="CT230:CT293" si="842">V230</f>
        <v>1.9E-2</v>
      </c>
      <c r="CU230" s="1">
        <f t="shared" ref="CU230:CU293" si="843">W230</f>
        <v>3.9E-2</v>
      </c>
      <c r="CV230" s="304">
        <f t="shared" ref="CV230:CV293" si="844">Y230+H230*I230+AE230*AF230+AI230*AJ230</f>
        <v>2438</v>
      </c>
      <c r="CW230" s="20" t="s">
        <v>122</v>
      </c>
      <c r="CX230" s="20" t="s">
        <v>122</v>
      </c>
      <c r="CY230" s="20" t="s">
        <v>122</v>
      </c>
      <c r="CZ230" s="20" t="s">
        <v>122</v>
      </c>
      <c r="DA230" s="20" t="s">
        <v>122</v>
      </c>
      <c r="DB230" s="503">
        <f t="shared" ref="DB230:DB293" si="845">Z230+AG230*AH230</f>
        <v>0</v>
      </c>
      <c r="DC230" s="127">
        <v>0</v>
      </c>
      <c r="DD230" s="127">
        <v>0</v>
      </c>
      <c r="DE230" s="127">
        <v>0</v>
      </c>
      <c r="DF230" s="127">
        <v>0</v>
      </c>
      <c r="DG230" s="127">
        <v>0</v>
      </c>
      <c r="DH230" s="127">
        <v>0</v>
      </c>
      <c r="DI230" s="127">
        <v>0</v>
      </c>
      <c r="DJ230" s="127">
        <v>0</v>
      </c>
      <c r="DK230" s="127">
        <v>0</v>
      </c>
      <c r="DL230" s="127">
        <v>0</v>
      </c>
      <c r="DM230" s="304">
        <f>INDEX(Input!$1:$1048576,DM$93,$C230*2+6)</f>
        <v>20731.578947368424</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2.475901460527246E-2</v>
      </c>
      <c r="DZ230" s="7">
        <v>0</v>
      </c>
      <c r="EA230" s="7">
        <v>0.50565168360219592</v>
      </c>
      <c r="EB230" s="7">
        <v>0</v>
      </c>
      <c r="EC230" s="7">
        <v>0</v>
      </c>
      <c r="ED230" s="7">
        <v>0</v>
      </c>
      <c r="EE230" s="7">
        <v>0</v>
      </c>
      <c r="EF230" s="7">
        <v>0</v>
      </c>
      <c r="EG230" s="7">
        <v>0</v>
      </c>
      <c r="EH230" s="7">
        <v>1.6156309100845815E-2</v>
      </c>
      <c r="EI230" s="7">
        <v>2.6349443210823532E-2</v>
      </c>
      <c r="EJ230" s="7">
        <v>0.26545008822313004</v>
      </c>
      <c r="EK230" s="7">
        <v>0.64406727938660524</v>
      </c>
      <c r="EL230" s="7">
        <v>4.7976880078595359E-2</v>
      </c>
      <c r="EM230" s="7">
        <v>3.2369009985033066E-2</v>
      </c>
      <c r="EN230" s="7">
        <v>5.2679090095445788E-2</v>
      </c>
      <c r="EO230" s="7">
        <v>0.5584611512188431</v>
      </c>
      <c r="EP230" s="7">
        <v>0.29124695030188691</v>
      </c>
      <c r="EQ230" s="7">
        <v>6.0694927014227691E-2</v>
      </c>
      <c r="ER230" s="7">
        <v>3.6917881369596436E-2</v>
      </c>
      <c r="ES230" s="7">
        <v>0.43722029180749855</v>
      </c>
      <c r="ET230" s="7">
        <v>0.46958930179253161</v>
      </c>
      <c r="EU230" s="6">
        <v>1600</v>
      </c>
      <c r="EV230" s="6">
        <v>0</v>
      </c>
      <c r="EW230" s="6">
        <v>1600</v>
      </c>
      <c r="EX230" s="6">
        <v>0</v>
      </c>
      <c r="EY230" s="6">
        <v>2626.7490869082221</v>
      </c>
      <c r="EZ230" s="6">
        <v>3191</v>
      </c>
      <c r="FA230" s="6">
        <v>0</v>
      </c>
      <c r="FB230" s="6">
        <v>0</v>
      </c>
      <c r="FC230" s="6">
        <v>0</v>
      </c>
      <c r="FD230" s="6">
        <v>0</v>
      </c>
      <c r="FE230" s="6">
        <v>0</v>
      </c>
      <c r="FF230" s="6">
        <v>0</v>
      </c>
      <c r="FG230" s="6">
        <v>0</v>
      </c>
      <c r="FH230" s="6">
        <v>1154.7967633400824</v>
      </c>
      <c r="FI230" s="6">
        <v>1531.4299904380616</v>
      </c>
      <c r="FJ230" s="6">
        <v>2070.7205842538219</v>
      </c>
      <c r="FK230" s="6">
        <v>1746.9903521590436</v>
      </c>
      <c r="FL230" s="6">
        <v>893.91433563489386</v>
      </c>
      <c r="FM230" s="6">
        <v>1776.7490869082219</v>
      </c>
      <c r="FN230" s="6">
        <v>0</v>
      </c>
      <c r="FO230" s="6">
        <v>0</v>
      </c>
      <c r="FP230" s="6">
        <v>0</v>
      </c>
      <c r="FQ230" s="6">
        <v>0</v>
      </c>
      <c r="FR230" s="6">
        <v>0</v>
      </c>
      <c r="FS230" s="6">
        <v>0</v>
      </c>
      <c r="FT230" s="7">
        <v>0.53041069820746833</v>
      </c>
      <c r="FU230" s="7">
        <v>3.2369009985033066E-2</v>
      </c>
      <c r="FV230" s="7">
        <v>0.43722029180749855</v>
      </c>
      <c r="FW230" s="6">
        <v>1600.0000000000002</v>
      </c>
      <c r="FX230" s="6">
        <v>2626.7490869082221</v>
      </c>
      <c r="FY230" s="6">
        <v>3191</v>
      </c>
      <c r="FZ230" s="6">
        <v>2594.6978186474794</v>
      </c>
      <c r="GA230" s="6">
        <v>2328.8523357119861</v>
      </c>
      <c r="GB230" s="6">
        <v>17366.147664288015</v>
      </c>
      <c r="GC230" s="7">
        <v>9.6947029492584935E-2</v>
      </c>
      <c r="GD230" s="7">
        <v>9.4137306836310428E-2</v>
      </c>
      <c r="GE230" s="7"/>
      <c r="GF230" s="7"/>
      <c r="GG230" s="7">
        <v>-2.8982039686831367E-2</v>
      </c>
      <c r="GH230" s="42">
        <v>2.1471166834557325</v>
      </c>
      <c r="GI230" s="6">
        <v>11501.618842421512</v>
      </c>
      <c r="GJ230" s="14">
        <v>0.51074630601039583</v>
      </c>
      <c r="GK230" s="14">
        <v>0.5082951978616097</v>
      </c>
      <c r="GL230" s="14">
        <v>0.48925369398960439</v>
      </c>
      <c r="GM230" s="14">
        <v>0.49170480213839024</v>
      </c>
      <c r="GO230" s="5">
        <v>338.16872463277008</v>
      </c>
      <c r="GP230" s="5">
        <v>307.64377699166363</v>
      </c>
      <c r="GQ230" s="5">
        <v>527.27910984145694</v>
      </c>
      <c r="GR230" s="5">
        <v>404.20319246551543</v>
      </c>
      <c r="GS230" s="5">
        <v>334.50205195691484</v>
      </c>
      <c r="GT230" s="5">
        <v>289.18266033348181</v>
      </c>
      <c r="GU230" s="5">
        <v>254.29573314828914</v>
      </c>
      <c r="GV230" s="39" t="s">
        <v>392</v>
      </c>
      <c r="GW230" s="5">
        <v>468.76388888888891</v>
      </c>
      <c r="GX230" s="5">
        <v>351.57291666666669</v>
      </c>
      <c r="GY230" s="5">
        <v>281.25833333333333</v>
      </c>
      <c r="GZ230" s="5">
        <v>248.18079879493993</v>
      </c>
      <c r="HA230" s="5">
        <v>229.89195052129486</v>
      </c>
      <c r="HB230" s="39">
        <v>262.37192470024519</v>
      </c>
      <c r="HC230" s="5">
        <v>143.50937499999998</v>
      </c>
      <c r="HD230" s="5">
        <v>141.03879751461983</v>
      </c>
      <c r="HE230" s="5">
        <v>148.99785340755733</v>
      </c>
      <c r="HF230" s="5">
        <v>143.91129934210525</v>
      </c>
      <c r="HG230" s="5">
        <v>146.41410087719296</v>
      </c>
      <c r="HH230" s="39">
        <v>143.85978714529276</v>
      </c>
      <c r="HI230" s="16"/>
      <c r="HJ230" s="19" t="str">
        <f t="shared" si="825"/>
        <v>On</v>
      </c>
      <c r="HK230" s="1" t="str">
        <f t="shared" si="825"/>
        <v>On</v>
      </c>
      <c r="HL230" s="16"/>
      <c r="HM230" s="639">
        <f t="shared" si="727"/>
        <v>5.0961701597560354E-2</v>
      </c>
      <c r="HN230" s="639">
        <f t="shared" si="728"/>
        <v>3.112551654761847E-3</v>
      </c>
      <c r="HO230" s="639">
        <f t="shared" si="729"/>
        <v>3.1163314184693442E-2</v>
      </c>
      <c r="HP230" s="644">
        <f>(FT230*$GD230-HM230)/$JF230*INDEX(Input!$1:$1048576,$JG$93,$C230*2+6)</f>
        <v>-19.351295894237978</v>
      </c>
      <c r="HQ230" s="644">
        <f>(FU230*$GD230-HN230)/$JF230*INDEX(Input!$1:$1048576,$JG$93,$C230*2+6)</f>
        <v>-1.2287749531134382</v>
      </c>
      <c r="HR230" s="644">
        <f>(FV230*$GD230-HO230)/$JF230*INDEX(Input!$1:$1048576,$JG$93,$C230*2+6)</f>
        <v>187.74207706954365</v>
      </c>
      <c r="HS230" s="644">
        <f t="shared" si="826"/>
        <v>-8.3250438974063989</v>
      </c>
      <c r="HT230" s="644">
        <f t="shared" si="731"/>
        <v>31.563301404311275</v>
      </c>
      <c r="HU230" s="644">
        <f t="shared" si="732"/>
        <v>113.29979654178995</v>
      </c>
      <c r="HV230" s="648">
        <f t="shared" si="733"/>
        <v>0</v>
      </c>
      <c r="HW230" s="648">
        <f t="shared" si="734"/>
        <v>0</v>
      </c>
      <c r="HX230" s="648">
        <f t="shared" si="735"/>
        <v>0</v>
      </c>
      <c r="HY230" s="644">
        <f>INDEX(Input!$1:$1048576,HY$93,$C230*2+6)*INDEX(Input!$1:$1048576,$JG$93,$C230*2+6)</f>
        <v>555</v>
      </c>
      <c r="HZ230" s="644">
        <f>INDEX(Input!$1:$1048576,HZ$93,$C230*2+6)*INDEX(Input!$1:$1048576,$JG$93,$C230*2+6)</f>
        <v>480</v>
      </c>
      <c r="IA230" s="644">
        <f>INDEX(Input!$1:$1048576,IA$93,$C230*2+6)*INDEX(Input!$1:$1048576,$JG$93,$C230*2+6)</f>
        <v>566</v>
      </c>
      <c r="IB230" s="644">
        <f t="shared" si="759"/>
        <v>527.32366020835536</v>
      </c>
      <c r="IC230" s="644">
        <f t="shared" si="760"/>
        <v>510.33452645119786</v>
      </c>
      <c r="ID230" s="644">
        <f>IF(AND(INDEX(Input!$1:$1048576,IA$93,$C230*2+7)="TOS",Y230&lt;=INDEX(Y:Y,MATCH(C230*1000+2,A:A))),0,1)*MAX(IA230+HR230+HU230+HX230,0%)</f>
        <v>867.0418736113337</v>
      </c>
      <c r="IE230" s="128">
        <f t="shared" si="827"/>
        <v>0.27685391060121001</v>
      </c>
      <c r="IF230" s="128">
        <f t="shared" si="736"/>
        <v>0.26793432577443088</v>
      </c>
      <c r="IG230" s="128">
        <f t="shared" si="737"/>
        <v>0.45521176362435922</v>
      </c>
      <c r="IH230" s="21"/>
      <c r="II230" s="19">
        <f t="shared" si="738"/>
        <v>1200</v>
      </c>
      <c r="IJ230" s="19">
        <f t="shared" si="739"/>
        <v>2226.7968732767699</v>
      </c>
      <c r="IK230" s="19">
        <f t="shared" si="740"/>
        <v>1786</v>
      </c>
      <c r="IL230" s="19">
        <f t="shared" si="762"/>
        <v>400.00000000000023</v>
      </c>
      <c r="IM230" s="19">
        <f t="shared" si="741"/>
        <v>399.9522136314522</v>
      </c>
      <c r="IN230" s="19">
        <f t="shared" si="742"/>
        <v>1405</v>
      </c>
      <c r="IO230" s="39">
        <f t="shared" si="743"/>
        <v>0</v>
      </c>
      <c r="IP230" s="39">
        <f t="shared" si="744"/>
        <v>0</v>
      </c>
      <c r="IQ230" s="39">
        <f t="shared" si="745"/>
        <v>0</v>
      </c>
      <c r="IR230" s="39">
        <v>0</v>
      </c>
      <c r="IS230" s="39">
        <v>0</v>
      </c>
      <c r="IT230" s="39">
        <v>0</v>
      </c>
      <c r="IU230" s="39">
        <v>0</v>
      </c>
      <c r="IV230" s="39">
        <v>0</v>
      </c>
      <c r="IW230" s="39">
        <v>0</v>
      </c>
      <c r="IX230" s="39">
        <f>INDEX(Input!$1:$1048576,IX$93,$C230*2+6)+INDEX(Input!$1:$1048576,IX$94,$C230*2+6)</f>
        <v>1600</v>
      </c>
      <c r="IY230" s="39">
        <f>INDEX(Input!$1:$1048576,IY$93,$C230*2+6)+INDEX(Input!$1:$1048576,IY$94,$C230*2+6)</f>
        <v>2503.5492916397525</v>
      </c>
      <c r="IZ230" s="39">
        <f>INDEX(Input!$1:$1048576,IZ$93,$C230*2+6)+INDEX(Input!$1:$1048576,IZ$94,$C230*2+6)</f>
        <v>5773.7109265464023</v>
      </c>
      <c r="JA230" s="19">
        <f t="shared" si="763"/>
        <v>2000.0000000000002</v>
      </c>
      <c r="JB230" s="19">
        <f t="shared" si="764"/>
        <v>2903.5015052712047</v>
      </c>
      <c r="JC230" s="19">
        <f t="shared" si="765"/>
        <v>7178.7109265464023</v>
      </c>
      <c r="JD230" s="19">
        <f t="shared" si="766"/>
        <v>4599.4892008249508</v>
      </c>
      <c r="JE230" s="21"/>
      <c r="JF230" s="1">
        <f t="shared" si="746"/>
        <v>8.5237567437015646E-2</v>
      </c>
      <c r="JG230" s="15">
        <f>INDEX(Input!$1:$1048576,JG$93,$C230*2+6)/(1+VLOOKUP(C230*1000+INDEX(Input!$1:$1048576,JG$93+1,$C230*2+6),$A:$KK,$JK$92,FALSE))</f>
        <v>1601</v>
      </c>
      <c r="JH230" s="1">
        <f t="shared" si="767"/>
        <v>0.10441099701573532</v>
      </c>
      <c r="JI230" s="1">
        <f t="shared" si="768"/>
        <v>8.5282981916736306E-2</v>
      </c>
      <c r="JJ230" s="1">
        <f t="shared" si="828"/>
        <v>0</v>
      </c>
      <c r="JK230" s="1">
        <f t="shared" si="829"/>
        <v>0.18969397893247164</v>
      </c>
      <c r="JL230" s="15">
        <f t="shared" si="771"/>
        <v>303.70006027088709</v>
      </c>
      <c r="JM230" s="15">
        <f t="shared" si="795"/>
        <v>1904.7000602708872</v>
      </c>
      <c r="JN230" s="21"/>
      <c r="JO230" s="19">
        <f>INDEX(Input!$1:$1048576,JO$93,$C230*2+6)</f>
        <v>5908.5</v>
      </c>
      <c r="JP230" s="19">
        <f>INDEX(Input!$1:$1048576,JP$93,$C230*2+6)</f>
        <v>3346.4235130620518</v>
      </c>
      <c r="JQ230" s="39">
        <f t="shared" si="781"/>
        <v>1309.0107991750492</v>
      </c>
      <c r="JR230" s="39">
        <f t="shared" si="798"/>
        <v>1253.065687762899</v>
      </c>
      <c r="JS230" s="39">
        <f t="shared" si="783"/>
        <v>8.7606473580265796</v>
      </c>
      <c r="JT230" s="39">
        <f t="shared" si="773"/>
        <v>3.4030233136142343</v>
      </c>
      <c r="JU230" s="385">
        <f>(JQ230*JM230-INDEX(Input!$1:$1048576,Input!A$18,$C230*2+6)*JL230*INDEX(Input!$1:$1048576,Input!A$19,$C230*2+6))/1000000</f>
        <v>2.4932729480839586</v>
      </c>
      <c r="JV230" s="39">
        <f t="shared" si="805"/>
        <v>-1.6086115075036962</v>
      </c>
      <c r="JW230" s="1">
        <f t="shared" si="796"/>
        <v>-0.39216402239522352</v>
      </c>
      <c r="JX230" s="19">
        <f t="shared" si="787"/>
        <v>11205.211189549609</v>
      </c>
      <c r="JZ230" s="341"/>
      <c r="KA230" s="342"/>
      <c r="KB230" s="469">
        <f t="shared" si="784"/>
        <v>2.4482969984810516</v>
      </c>
      <c r="KI230" s="473">
        <f t="shared" si="812"/>
        <v>-27.676339791644523</v>
      </c>
      <c r="KJ230" s="473">
        <f t="shared" si="813"/>
        <v>30.33452645119803</v>
      </c>
      <c r="KK230" s="473">
        <f t="shared" si="775"/>
        <v>301.04187361133393</v>
      </c>
      <c r="KN230" s="544">
        <f t="shared" si="788"/>
        <v>2002</v>
      </c>
      <c r="KO230" s="541">
        <f t="shared" si="750"/>
        <v>0.10241081098433913</v>
      </c>
      <c r="KP230" s="546">
        <f t="shared" si="751"/>
        <v>491.61248562518102</v>
      </c>
      <c r="KQ230" s="546">
        <f t="shared" si="752"/>
        <v>873.88562586841226</v>
      </c>
      <c r="KR230" s="548">
        <f t="shared" si="753"/>
        <v>3.3266828785671057</v>
      </c>
      <c r="KS230" s="548">
        <f t="shared" si="754"/>
        <v>1.8714563901813939</v>
      </c>
      <c r="KT230" s="473">
        <f t="shared" si="786"/>
        <v>528.59039248727379</v>
      </c>
      <c r="KU230" s="663">
        <f t="shared" si="776"/>
        <v>11.147598824905208</v>
      </c>
      <c r="KV230" s="117"/>
    </row>
    <row r="231" spans="1:308" s="26" customFormat="1" ht="15">
      <c r="A231" s="561">
        <f t="shared" si="755"/>
        <v>2031</v>
      </c>
      <c r="B231" s="561">
        <f t="shared" si="777"/>
        <v>31</v>
      </c>
      <c r="C231" s="561">
        <f t="shared" si="105"/>
        <v>2</v>
      </c>
      <c r="D231" s="561" t="str">
        <f t="shared" si="824"/>
        <v xml:space="preserve">250 CC, 250 Combo, </v>
      </c>
      <c r="E231" s="475">
        <f>INDEX(Input!$1:$1048576,E$93,$C231*2+MIN($B231,2)+5)
+INDEX(Scenarios!E$121:E$200,MATCH($B231,Scenarios!$B$121:$B$200,0))</f>
        <v>1500</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1.9E-2</v>
      </c>
      <c r="W231" s="863">
        <f>IFERROR(MAX(0,INDEX(Input!$1:$1048576,W$93,$C231*2+MIN($B231,2)+5)-0%,),"Market")</f>
        <v>3.9E-2</v>
      </c>
      <c r="X231" s="476" t="str">
        <f>INDEX(Input!$1:$1048576,X$93,$C231*2+MIN($B231,2)+5)</f>
        <v>Y</v>
      </c>
      <c r="Y231" s="475">
        <f>INDEX(Input!$1:$1048576,Y$93,$C231*2+MIN($B231,2)+5)
++INDEX(Scenarios!Y$121:Y$200,MATCH($B231,Scenarios!$B$121:$B$200,0))</f>
        <v>1358</v>
      </c>
      <c r="Z231" s="477">
        <f>INDEX(Input!$1:$1048576,Z$93,$C231*2+MIN($B231,2)+5)
+INDEX(Scenarios!Z$121:Z$200,MATCH($B231,Scenarios!$B$121:$B$200,0))</f>
        <v>0</v>
      </c>
      <c r="AA231" s="475">
        <f>INDEX(Input!$1:$1048576,AA$93,$C231*2+MIN($B231,2)+5)</f>
        <v>0</v>
      </c>
      <c r="AB231" s="476">
        <f>INDEX(Input!$1:$1048576,AB$93,$C231*2+MIN($B231,2)+5)</f>
        <v>1</v>
      </c>
      <c r="AC231" s="475">
        <f>INDEX(Input!$1:$1048576,AC$93,$C231*2+MIN($B231,2)+5)
+INDEX(Scenarios!AC$121:AC$200,MATCH($B231,Scenarios!$B$121:$B$200,0))</f>
        <v>0</v>
      </c>
      <c r="AD231" s="476">
        <f>INDEX(Input!$1:$1048576,AD$93,$C231*2+MIN($B231,2)+5)</f>
        <v>0.35</v>
      </c>
      <c r="AE231" s="475">
        <f>INDEX(Input!$1:$1048576,AE$93,$C231*2+MIN($B231,2)+5)
+INDEX(Scenarios!AE$121:AE$200,MATCH($B231,Scenarios!$B$121:$B$200,0))</f>
        <v>0</v>
      </c>
      <c r="AF231" s="476">
        <f>INDEX(Input!$1:$1048576,AF$93,$C231*2+MIN($B231,2)+5)</f>
        <v>1</v>
      </c>
      <c r="AG231" s="475">
        <f>INDEX(Input!$1:$1048576,AG$93,$C231*2+MIN($B231,2)+5)
+INDEX(Scenarios!AG$121:AG$200,MATCH($B231,Scenarios!$B$121:$B$200,0))</f>
        <v>0</v>
      </c>
      <c r="AH231" s="476">
        <f>INDEX(Input!$1:$1048576,AH$93,$C231*2+MIN($B231,2)+5)</f>
        <v>1</v>
      </c>
      <c r="AI231" s="475">
        <f>INDEX(Input!$1:$1048576,AI$93,$C231*2+MIN($B231,2)+5)
+INDEX(Scenarios!AI$121:AI$200,MATCH($B231,Scenarios!$B$121:$B$200,0))</f>
        <v>0</v>
      </c>
      <c r="AJ231" s="476">
        <f>INDEX(Input!$1:$1048576,AJ$93,$C231*2+MIN($B231,2)+5)</f>
        <v>0.35</v>
      </c>
      <c r="AK231" s="150">
        <f>ROUND(INDEX(Input!$1:$1048576,AK$93,$C230*2+MIN($B231,1)+5)+(Y231-VLOOKUP($C231*1000+1,$A:$HH,Y$92,FALSE)),0)</f>
        <v>4982</v>
      </c>
      <c r="AL231" s="150">
        <f>ROUND(INDEX(Input!$1:$1048576,AL$93,$C230*2+MIN($B231,1)+5)-(Y231-VLOOKUP($C231*1000+1,$A:$HH,Y$92,FALSE))/36,0)</f>
        <v>5102</v>
      </c>
      <c r="AM231" s="32" t="str">
        <f t="shared" si="756"/>
        <v>std/std/std/std</v>
      </c>
      <c r="AN231" s="32" t="str">
        <f t="shared" si="757"/>
        <v>$250 + 0/0/0/1.9/3.9</v>
      </c>
      <c r="AO231" s="32" t="str">
        <f t="shared" si="758"/>
        <v>0/0/0/1.9/3.9</v>
      </c>
      <c r="AP231" s="32" t="str">
        <f t="shared" si="831"/>
        <v>0/0.9/1.9/3.9</v>
      </c>
      <c r="AQ231" s="536">
        <f t="shared" si="830"/>
        <v>0.35986447836315616</v>
      </c>
      <c r="AR231" s="32"/>
      <c r="AS231" s="302"/>
      <c r="AT231" s="3">
        <f t="shared" si="810"/>
        <v>31</v>
      </c>
      <c r="AU231" s="41" t="s">
        <v>121</v>
      </c>
      <c r="AV231" s="41" t="s">
        <v>116</v>
      </c>
      <c r="AW231" s="41" t="str">
        <f>INDEX(Input!$1:$1048576,AW$93,$C231*2+6)</f>
        <v>Kia</v>
      </c>
      <c r="AX231" s="41" t="str">
        <f>INDEX(Input!$1:$1048576,AX$93,$C231*2+6)</f>
        <v>Kia-LR - L2</v>
      </c>
      <c r="AY231" s="41" t="str">
        <f>IF(LEN(D231)=0,"",INDEX(Input!$1:$1048576,AY$93,$C231*2+6))</f>
        <v>Compact Conventional/Sporty Car (43)</v>
      </c>
      <c r="AZ231" s="41" t="str">
        <f>INDEX(Input!$1:$1048576,AZ$93,$C231*2+6)</f>
        <v>Kia Forte</v>
      </c>
      <c r="BA231" s="3">
        <f>INDEX(Input!$1:$1048576,BA$93,$C231*2+6)</f>
        <v>2020</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19695</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832"/>
        <v>1500</v>
      </c>
      <c r="CJ231" s="16" t="str">
        <f>INDEX(Input!$1:$1048576,CJ$93,$C231*2+6)</f>
        <v>N</v>
      </c>
      <c r="CK231" s="1" t="str">
        <f t="shared" si="833"/>
        <v>Market</v>
      </c>
      <c r="CL231" s="1" t="str">
        <f t="shared" si="834"/>
        <v>Market</v>
      </c>
      <c r="CM231" s="1" t="str">
        <f t="shared" si="835"/>
        <v>Market</v>
      </c>
      <c r="CN231" s="1" t="str">
        <f t="shared" si="836"/>
        <v>Market</v>
      </c>
      <c r="CO231" s="1" t="str">
        <f t="shared" si="837"/>
        <v>Market</v>
      </c>
      <c r="CP231" s="304">
        <f t="shared" si="838"/>
        <v>250</v>
      </c>
      <c r="CQ231" s="1">
        <f t="shared" si="839"/>
        <v>0</v>
      </c>
      <c r="CR231" s="1">
        <f t="shared" si="840"/>
        <v>0</v>
      </c>
      <c r="CS231" s="1">
        <f t="shared" si="841"/>
        <v>0</v>
      </c>
      <c r="CT231" s="1">
        <f t="shared" si="842"/>
        <v>1.9E-2</v>
      </c>
      <c r="CU231" s="1">
        <f t="shared" si="843"/>
        <v>3.9E-2</v>
      </c>
      <c r="CV231" s="304">
        <f t="shared" si="844"/>
        <v>1358</v>
      </c>
      <c r="CW231" s="20" t="s">
        <v>122</v>
      </c>
      <c r="CX231" s="20" t="s">
        <v>122</v>
      </c>
      <c r="CY231" s="20" t="s">
        <v>122</v>
      </c>
      <c r="CZ231" s="20" t="s">
        <v>122</v>
      </c>
      <c r="DA231" s="20" t="s">
        <v>122</v>
      </c>
      <c r="DB231" s="503">
        <f t="shared" si="845"/>
        <v>0</v>
      </c>
      <c r="DC231" s="127">
        <v>0</v>
      </c>
      <c r="DD231" s="127">
        <v>0</v>
      </c>
      <c r="DE231" s="127">
        <v>0</v>
      </c>
      <c r="DF231" s="127">
        <v>0</v>
      </c>
      <c r="DG231" s="127">
        <v>0</v>
      </c>
      <c r="DH231" s="127">
        <v>0</v>
      </c>
      <c r="DI231" s="127">
        <v>0</v>
      </c>
      <c r="DJ231" s="127">
        <v>0</v>
      </c>
      <c r="DK231" s="127">
        <v>0</v>
      </c>
      <c r="DL231" s="127">
        <v>0</v>
      </c>
      <c r="DM231" s="304">
        <f>INDEX(Input!$1:$1048576,DM$93,$C231*2+6)</f>
        <v>20731.578947368424</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2.9005864359132456E-2</v>
      </c>
      <c r="DZ231" s="7">
        <v>0</v>
      </c>
      <c r="EA231" s="7">
        <v>0.5892640476628962</v>
      </c>
      <c r="EB231" s="7">
        <v>0</v>
      </c>
      <c r="EC231" s="7">
        <v>0</v>
      </c>
      <c r="ED231" s="7">
        <v>0</v>
      </c>
      <c r="EE231" s="7">
        <v>0</v>
      </c>
      <c r="EF231" s="7">
        <v>0</v>
      </c>
      <c r="EG231" s="7">
        <v>0</v>
      </c>
      <c r="EH231" s="7">
        <v>1.6200167082718372E-2</v>
      </c>
      <c r="EI231" s="7">
        <v>2.6459402273315537E-2</v>
      </c>
      <c r="EJ231" s="7">
        <v>0.26578660467803628</v>
      </c>
      <c r="EK231" s="7">
        <v>0.64359951292873341</v>
      </c>
      <c r="EL231" s="7">
        <v>4.7954313037196716E-2</v>
      </c>
      <c r="EM231" s="7">
        <v>3.7776119357471959E-2</v>
      </c>
      <c r="EN231" s="7">
        <v>4.9727070746588303E-2</v>
      </c>
      <c r="EO231" s="7">
        <v>0.56164146450488972</v>
      </c>
      <c r="EP231" s="7">
        <v>0.2860331739290779</v>
      </c>
      <c r="EQ231" s="7">
        <v>6.3872723047600638E-2</v>
      </c>
      <c r="ER231" s="7">
        <v>3.8725567771843432E-2</v>
      </c>
      <c r="ES231" s="7">
        <v>0.34395396862049937</v>
      </c>
      <c r="ET231" s="7">
        <v>0.38173008797797142</v>
      </c>
      <c r="EU231" s="6">
        <v>1850</v>
      </c>
      <c r="EV231" s="6">
        <v>0</v>
      </c>
      <c r="EW231" s="6">
        <v>1850</v>
      </c>
      <c r="EX231" s="6">
        <v>0</v>
      </c>
      <c r="EY231" s="6">
        <v>2876.8273599174127</v>
      </c>
      <c r="EZ231" s="6">
        <v>2111</v>
      </c>
      <c r="FA231" s="6">
        <v>0</v>
      </c>
      <c r="FB231" s="6">
        <v>0</v>
      </c>
      <c r="FC231" s="6">
        <v>0</v>
      </c>
      <c r="FD231" s="6">
        <v>0</v>
      </c>
      <c r="FE231" s="6">
        <v>0</v>
      </c>
      <c r="FF231" s="6">
        <v>0</v>
      </c>
      <c r="FG231" s="6">
        <v>0</v>
      </c>
      <c r="FH231" s="6">
        <v>1154.7817195648938</v>
      </c>
      <c r="FI231" s="6">
        <v>1531.4299904380616</v>
      </c>
      <c r="FJ231" s="6">
        <v>2070.7205842538206</v>
      </c>
      <c r="FK231" s="6">
        <v>1746.9903521590429</v>
      </c>
      <c r="FL231" s="6">
        <v>893.91433563489375</v>
      </c>
      <c r="FM231" s="6">
        <v>1776.8273599174129</v>
      </c>
      <c r="FN231" s="6">
        <v>0</v>
      </c>
      <c r="FO231" s="6">
        <v>0</v>
      </c>
      <c r="FP231" s="6">
        <v>0</v>
      </c>
      <c r="FQ231" s="6">
        <v>0</v>
      </c>
      <c r="FR231" s="6">
        <v>0</v>
      </c>
      <c r="FS231" s="6">
        <v>0</v>
      </c>
      <c r="FT231" s="7">
        <v>0.61826991202202863</v>
      </c>
      <c r="FU231" s="7">
        <v>3.7776119357471959E-2</v>
      </c>
      <c r="FV231" s="7">
        <v>0.34395396862049937</v>
      </c>
      <c r="FW231" s="6">
        <v>1850</v>
      </c>
      <c r="FX231" s="6">
        <v>2876.8273599174127</v>
      </c>
      <c r="FY231" s="6">
        <v>2111</v>
      </c>
      <c r="FZ231" s="6">
        <v>2594.6978186474794</v>
      </c>
      <c r="GA231" s="6">
        <v>1978.5615387177081</v>
      </c>
      <c r="GB231" s="6">
        <v>17716.438461282291</v>
      </c>
      <c r="GC231" s="7">
        <v>9.6947029492584935E-2</v>
      </c>
      <c r="GD231" s="7">
        <v>9.0908165263827889E-2</v>
      </c>
      <c r="GE231" s="7"/>
      <c r="GF231" s="7"/>
      <c r="GG231" s="7">
        <v>-6.2290348248565296E-2</v>
      </c>
      <c r="GH231" s="42">
        <v>1.9911315868225259</v>
      </c>
      <c r="GI231" s="6">
        <v>11869.92187388749</v>
      </c>
      <c r="GJ231" s="14">
        <v>0.5107463060103955</v>
      </c>
      <c r="GK231" s="14">
        <v>0.50829519786160982</v>
      </c>
      <c r="GL231" s="14">
        <v>0.48925369398960433</v>
      </c>
      <c r="GM231" s="14">
        <v>0.4917048021383903</v>
      </c>
      <c r="GO231" s="5">
        <v>338.16872463277008</v>
      </c>
      <c r="GP231" s="5">
        <v>302.87425392274076</v>
      </c>
      <c r="GQ231" s="5">
        <v>527.27910984145694</v>
      </c>
      <c r="GR231" s="5">
        <v>404.20319246551543</v>
      </c>
      <c r="GS231" s="5">
        <v>334.50205195691484</v>
      </c>
      <c r="GT231" s="5">
        <v>289.18266033348181</v>
      </c>
      <c r="GU231" s="5">
        <v>254.29573314828914</v>
      </c>
      <c r="GV231" s="39" t="s">
        <v>392</v>
      </c>
      <c r="GW231" s="5">
        <v>461.81944444444446</v>
      </c>
      <c r="GX231" s="5">
        <v>346.36458333333331</v>
      </c>
      <c r="GY231" s="5">
        <v>277.09166666666664</v>
      </c>
      <c r="GZ231" s="5">
        <v>244.50415515778934</v>
      </c>
      <c r="HA231" s="5">
        <v>226.48624475670573</v>
      </c>
      <c r="HB231" s="39">
        <v>258.51715272189256</v>
      </c>
      <c r="HC231" s="5">
        <v>190.75937499999998</v>
      </c>
      <c r="HD231" s="5">
        <v>173.28879751461983</v>
      </c>
      <c r="HE231" s="5">
        <v>178.94016109986501</v>
      </c>
      <c r="HF231" s="5">
        <v>168.88629934210525</v>
      </c>
      <c r="HG231" s="5">
        <v>167.11410087719298</v>
      </c>
      <c r="HH231" s="39">
        <v>175.25371744094014</v>
      </c>
      <c r="HI231" s="16"/>
      <c r="HJ231" s="19" t="str">
        <f t="shared" si="825"/>
        <v>On</v>
      </c>
      <c r="HK231" s="1" t="str">
        <f t="shared" si="825"/>
        <v>On</v>
      </c>
      <c r="HL231" s="16"/>
      <c r="HM231" s="639">
        <f t="shared" si="727"/>
        <v>5.0961701597560354E-2</v>
      </c>
      <c r="HN231" s="639">
        <f t="shared" si="728"/>
        <v>3.112551654761847E-3</v>
      </c>
      <c r="HO231" s="639">
        <f t="shared" si="729"/>
        <v>3.1163314184693442E-2</v>
      </c>
      <c r="HP231" s="644">
        <f>(FT231*$GD231-HM231)/$JF231*INDEX(Input!$1:$1048576,$JG$93,$C231*2+6)</f>
        <v>98.498527371172898</v>
      </c>
      <c r="HQ231" s="644">
        <f>(FU231*$GD231-HN231)/$JF231*INDEX(Input!$1:$1048576,$JG$93,$C231*2+6)</f>
        <v>6.0406613706868475</v>
      </c>
      <c r="HR231" s="644">
        <f>(FV231*$GD231-HO231)/$JF231*INDEX(Input!$1:$1048576,$JG$93,$C231*2+6)</f>
        <v>1.9705040345659173</v>
      </c>
      <c r="HS231" s="644">
        <f t="shared" si="826"/>
        <v>-13.528269940991395</v>
      </c>
      <c r="HT231" s="644">
        <f t="shared" si="731"/>
        <v>51.300159040952913</v>
      </c>
      <c r="HU231" s="644">
        <f t="shared" si="732"/>
        <v>33.08304122030308</v>
      </c>
      <c r="HV231" s="648">
        <f t="shared" si="733"/>
        <v>0</v>
      </c>
      <c r="HW231" s="648">
        <f t="shared" si="734"/>
        <v>0</v>
      </c>
      <c r="HX231" s="648">
        <f t="shared" si="735"/>
        <v>0</v>
      </c>
      <c r="HY231" s="644">
        <f>INDEX(Input!$1:$1048576,HY$93,$C231*2+6)*INDEX(Input!$1:$1048576,$JG$93,$C231*2+6)</f>
        <v>555</v>
      </c>
      <c r="HZ231" s="644">
        <f>INDEX(Input!$1:$1048576,HZ$93,$C231*2+6)*INDEX(Input!$1:$1048576,$JG$93,$C231*2+6)</f>
        <v>480</v>
      </c>
      <c r="IA231" s="644">
        <f>INDEX(Input!$1:$1048576,IA$93,$C231*2+6)*INDEX(Input!$1:$1048576,$JG$93,$C231*2+6)</f>
        <v>566</v>
      </c>
      <c r="IB231" s="644">
        <f t="shared" si="759"/>
        <v>639.97025743018116</v>
      </c>
      <c r="IC231" s="644">
        <f t="shared" si="760"/>
        <v>537.34082041163981</v>
      </c>
      <c r="ID231" s="644">
        <f>IF(AND(INDEX(Input!$1:$1048576,IA$93,$C231*2+7)="TOS",Y231&lt;=INDEX(Y:Y,MATCH(C231*1000+2,A:A))),0,1)*MAX(IA231+HR231+HU231+HX231,0%)</f>
        <v>601.05354525486905</v>
      </c>
      <c r="IE231" s="128">
        <f t="shared" si="827"/>
        <v>0.35986447836315616</v>
      </c>
      <c r="IF231" s="128">
        <f t="shared" si="736"/>
        <v>0.30215447014232721</v>
      </c>
      <c r="IG231" s="128">
        <f t="shared" si="737"/>
        <v>0.33798105149451663</v>
      </c>
      <c r="IH231" s="21"/>
      <c r="II231" s="19">
        <f t="shared" si="738"/>
        <v>1200</v>
      </c>
      <c r="IJ231" s="19">
        <f t="shared" si="739"/>
        <v>2226.7968732767699</v>
      </c>
      <c r="IK231" s="19">
        <f t="shared" si="740"/>
        <v>1786</v>
      </c>
      <c r="IL231" s="19">
        <f t="shared" si="762"/>
        <v>650</v>
      </c>
      <c r="IM231" s="19">
        <f t="shared" si="741"/>
        <v>650.03048664064272</v>
      </c>
      <c r="IN231" s="19">
        <f t="shared" si="742"/>
        <v>325</v>
      </c>
      <c r="IO231" s="39">
        <f t="shared" si="743"/>
        <v>0</v>
      </c>
      <c r="IP231" s="39">
        <f t="shared" si="744"/>
        <v>0</v>
      </c>
      <c r="IQ231" s="39">
        <f t="shared" si="745"/>
        <v>0</v>
      </c>
      <c r="IR231" s="39">
        <v>0</v>
      </c>
      <c r="IS231" s="39">
        <v>0</v>
      </c>
      <c r="IT231" s="39">
        <v>0</v>
      </c>
      <c r="IU231" s="39">
        <v>0</v>
      </c>
      <c r="IV231" s="39">
        <v>0</v>
      </c>
      <c r="IW231" s="39">
        <v>0</v>
      </c>
      <c r="IX231" s="39">
        <f>INDEX(Input!$1:$1048576,IX$93,$C231*2+6)+INDEX(Input!$1:$1048576,IX$94,$C231*2+6)</f>
        <v>1600</v>
      </c>
      <c r="IY231" s="39">
        <f>INDEX(Input!$1:$1048576,IY$93,$C231*2+6)+INDEX(Input!$1:$1048576,IY$94,$C231*2+6)</f>
        <v>2503.5492916397525</v>
      </c>
      <c r="IZ231" s="39">
        <f>INDEX(Input!$1:$1048576,IZ$93,$C231*2+6)+INDEX(Input!$1:$1048576,IZ$94,$C231*2+6)</f>
        <v>5773.7109265464023</v>
      </c>
      <c r="JA231" s="19">
        <f t="shared" si="763"/>
        <v>2250</v>
      </c>
      <c r="JB231" s="19">
        <f t="shared" si="764"/>
        <v>3153.5797782803952</v>
      </c>
      <c r="JC231" s="19">
        <f t="shared" si="765"/>
        <v>6098.7109265464023</v>
      </c>
      <c r="JD231" s="19">
        <f t="shared" si="766"/>
        <v>3823.8120349902229</v>
      </c>
      <c r="JE231" s="21"/>
      <c r="JF231" s="1">
        <f t="shared" si="746"/>
        <v>8.5237567437015646E-2</v>
      </c>
      <c r="JG231" s="15">
        <f>INDEX(Input!$1:$1048576,JG$93,$C231*2+6)/(1+VLOOKUP(C231*1000+INDEX(Input!$1:$1048576,JG$93+1,$C231*2+6),$A:$KK,$JK$92,FALSE))</f>
        <v>1601</v>
      </c>
      <c r="JH231" s="1">
        <f t="shared" si="767"/>
        <v>6.6526978623626276E-2</v>
      </c>
      <c r="JI231" s="1">
        <f t="shared" si="768"/>
        <v>4.425667103077114E-2</v>
      </c>
      <c r="JJ231" s="1">
        <f t="shared" si="828"/>
        <v>0</v>
      </c>
      <c r="JK231" s="1">
        <f t="shared" si="829"/>
        <v>0.11078364965439741</v>
      </c>
      <c r="JL231" s="15">
        <f t="shared" si="771"/>
        <v>177.36462309669025</v>
      </c>
      <c r="JM231" s="15">
        <f t="shared" si="795"/>
        <v>1778.3646230966901</v>
      </c>
      <c r="JN231" s="21"/>
      <c r="JO231" s="19">
        <f>INDEX(Input!$1:$1048576,JO$93,$C231*2+6)</f>
        <v>5908.5</v>
      </c>
      <c r="JP231" s="19">
        <f>INDEX(Input!$1:$1048576,JP$93,$C231*2+6)</f>
        <v>3346.4235130620518</v>
      </c>
      <c r="JQ231" s="39">
        <f t="shared" si="781"/>
        <v>2084.6879650097771</v>
      </c>
      <c r="JR231" s="39">
        <f t="shared" si="798"/>
        <v>477.38852192817103</v>
      </c>
      <c r="JS231" s="39">
        <f t="shared" si="783"/>
        <v>6.800132048397975</v>
      </c>
      <c r="JT231" s="39">
        <f t="shared" si="773"/>
        <v>1.4425080039856304</v>
      </c>
      <c r="JU231" s="385">
        <f>(JQ231*JM231-INDEX(Input!$1:$1048576,Input!A$18,$C231*2+6)*JL231*INDEX(Input!$1:$1048576,Input!A$19,$C231*2+6))/1000000</f>
        <v>3.7073353271688183</v>
      </c>
      <c r="JV231" s="39">
        <f t="shared" si="805"/>
        <v>-0.39454912841883649</v>
      </c>
      <c r="JW231" s="1">
        <f t="shared" si="796"/>
        <v>-9.6187284817683044E-2</v>
      </c>
      <c r="JX231" s="19">
        <f t="shared" si="787"/>
        <v>8133.0085943872118</v>
      </c>
      <c r="JZ231" s="341"/>
      <c r="KA231" s="342"/>
      <c r="KB231" s="469">
        <f t="shared" si="784"/>
        <v>2.4482969984810516</v>
      </c>
      <c r="KI231" s="473">
        <f t="shared" si="812"/>
        <v>84.970257430181164</v>
      </c>
      <c r="KJ231" s="473">
        <f t="shared" si="813"/>
        <v>57.340820411639811</v>
      </c>
      <c r="KK231" s="473">
        <f t="shared" si="775"/>
        <v>35.05354525486905</v>
      </c>
      <c r="KN231" s="544">
        <f t="shared" si="788"/>
        <v>2002</v>
      </c>
      <c r="KO231" s="541">
        <f t="shared" si="750"/>
        <v>2.9289822196498116E-2</v>
      </c>
      <c r="KP231" s="546">
        <f t="shared" si="751"/>
        <v>165.5100971006905</v>
      </c>
      <c r="KQ231" s="546">
        <f t="shared" si="752"/>
        <v>98.208460033684332</v>
      </c>
      <c r="KR231" s="548">
        <f t="shared" si="753"/>
        <v>2.8260558725330132</v>
      </c>
      <c r="KS231" s="548">
        <f t="shared" si="754"/>
        <v>4.7627341037064035</v>
      </c>
      <c r="KT231" s="473">
        <f t="shared" si="786"/>
        <v>528.59039248727379</v>
      </c>
      <c r="KU231" s="663">
        <f t="shared" si="776"/>
        <v>12.17791266870349</v>
      </c>
      <c r="KV231" s="117"/>
    </row>
    <row r="232" spans="1:308" s="26" customFormat="1" ht="15">
      <c r="A232" s="561">
        <f t="shared" si="755"/>
        <v>2032</v>
      </c>
      <c r="B232" s="561">
        <f t="shared" si="777"/>
        <v>32</v>
      </c>
      <c r="C232" s="561">
        <f t="shared" si="105"/>
        <v>2</v>
      </c>
      <c r="D232" s="561" t="str">
        <f t="shared" si="824"/>
        <v xml:space="preserve">500 CC, 500 Combo, </v>
      </c>
      <c r="E232" s="475">
        <f>INDEX(Input!$1:$1048576,E$93,$C232*2+MIN($B232,2)+5)
+INDEX(Scenarios!E$121:E$200,MATCH($B232,Scenarios!$B$121:$B$200,0))</f>
        <v>1750</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1.9E-2</v>
      </c>
      <c r="W232" s="863">
        <f>IFERROR(MAX(0,INDEX(Input!$1:$1048576,W$93,$C232*2+MIN($B232,2)+5)-0%,),"Market")</f>
        <v>3.9E-2</v>
      </c>
      <c r="X232" s="476" t="str">
        <f>INDEX(Input!$1:$1048576,X$93,$C232*2+MIN($B232,2)+5)</f>
        <v>Y</v>
      </c>
      <c r="Y232" s="475">
        <f>INDEX(Input!$1:$1048576,Y$93,$C232*2+MIN($B232,2)+5)
++INDEX(Scenarios!Y$121:Y$200,MATCH($B232,Scenarios!$B$121:$B$200,0))</f>
        <v>1358</v>
      </c>
      <c r="Z232" s="477">
        <f>INDEX(Input!$1:$1048576,Z$93,$C232*2+MIN($B232,2)+5)
+INDEX(Scenarios!Z$121:Z$200,MATCH($B232,Scenarios!$B$121:$B$200,0))</f>
        <v>0</v>
      </c>
      <c r="AA232" s="475">
        <f>INDEX(Input!$1:$1048576,AA$93,$C232*2+MIN($B232,2)+5)</f>
        <v>0</v>
      </c>
      <c r="AB232" s="476">
        <f>INDEX(Input!$1:$1048576,AB$93,$C232*2+MIN($B232,2)+5)</f>
        <v>1</v>
      </c>
      <c r="AC232" s="475">
        <f>INDEX(Input!$1:$1048576,AC$93,$C232*2+MIN($B232,2)+5)
+INDEX(Scenarios!AC$121:AC$200,MATCH($B232,Scenarios!$B$121:$B$200,0))</f>
        <v>0</v>
      </c>
      <c r="AD232" s="476">
        <f>INDEX(Input!$1:$1048576,AD$93,$C232*2+MIN($B232,2)+5)</f>
        <v>0.35</v>
      </c>
      <c r="AE232" s="475">
        <f>INDEX(Input!$1:$1048576,AE$93,$C232*2+MIN($B232,2)+5)
+INDEX(Scenarios!AE$121:AE$200,MATCH($B232,Scenarios!$B$121:$B$200,0))</f>
        <v>0</v>
      </c>
      <c r="AF232" s="476">
        <f>INDEX(Input!$1:$1048576,AF$93,$C232*2+MIN($B232,2)+5)</f>
        <v>1</v>
      </c>
      <c r="AG232" s="475">
        <f>INDEX(Input!$1:$1048576,AG$93,$C232*2+MIN($B232,2)+5)
+INDEX(Scenarios!AG$121:AG$200,MATCH($B232,Scenarios!$B$121:$B$200,0))</f>
        <v>0</v>
      </c>
      <c r="AH232" s="476">
        <f>INDEX(Input!$1:$1048576,AH$93,$C232*2+MIN($B232,2)+5)</f>
        <v>1</v>
      </c>
      <c r="AI232" s="475">
        <f>INDEX(Input!$1:$1048576,AI$93,$C232*2+MIN($B232,2)+5)
+INDEX(Scenarios!AI$121:AI$200,MATCH($B232,Scenarios!$B$121:$B$200,0))</f>
        <v>0</v>
      </c>
      <c r="AJ232" s="476">
        <f>INDEX(Input!$1:$1048576,AJ$93,$C232*2+MIN($B232,2)+5)</f>
        <v>0.35</v>
      </c>
      <c r="AK232" s="150">
        <f>ROUND(INDEX(Input!$1:$1048576,AK$93,$C231*2+MIN($B232,1)+5)+(Y232-VLOOKUP($C232*1000+1,$A:$HH,Y$92,FALSE)),0)</f>
        <v>4982</v>
      </c>
      <c r="AL232" s="150">
        <f>ROUND(INDEX(Input!$1:$1048576,AL$93,$C231*2+MIN($B232,1)+5)-(Y232-VLOOKUP($C232*1000+1,$A:$HH,Y$92,FALSE))/36,0)</f>
        <v>5102</v>
      </c>
      <c r="AM232" s="32" t="str">
        <f t="shared" si="756"/>
        <v>std/std/std/std</v>
      </c>
      <c r="AN232" s="32" t="str">
        <f t="shared" si="757"/>
        <v>$500 + 0/0/0/1.9/3.9</v>
      </c>
      <c r="AO232" s="32" t="str">
        <f t="shared" si="758"/>
        <v>0/0/0/1.9/3.9</v>
      </c>
      <c r="AP232" s="32" t="str">
        <f t="shared" si="831"/>
        <v>0/0.9/1.9/3.9</v>
      </c>
      <c r="AQ232" s="536">
        <f t="shared" si="830"/>
        <v>0.3727236679852679</v>
      </c>
      <c r="AR232" s="32"/>
      <c r="AS232" s="302"/>
      <c r="AT232" s="3">
        <f t="shared" si="810"/>
        <v>32</v>
      </c>
      <c r="AU232" s="41" t="s">
        <v>121</v>
      </c>
      <c r="AV232" s="41" t="s">
        <v>116</v>
      </c>
      <c r="AW232" s="41" t="str">
        <f>INDEX(Input!$1:$1048576,AW$93,$C232*2+6)</f>
        <v>Kia</v>
      </c>
      <c r="AX232" s="41" t="str">
        <f>INDEX(Input!$1:$1048576,AX$93,$C232*2+6)</f>
        <v>Kia-LR - L2</v>
      </c>
      <c r="AY232" s="41" t="str">
        <f>IF(LEN(D232)=0,"",INDEX(Input!$1:$1048576,AY$93,$C232*2+6))</f>
        <v>Compact Conventional/Sporty Car (43)</v>
      </c>
      <c r="AZ232" s="41" t="str">
        <f>INDEX(Input!$1:$1048576,AZ$93,$C232*2+6)</f>
        <v>Kia Forte</v>
      </c>
      <c r="BA232" s="3">
        <f>INDEX(Input!$1:$1048576,BA$93,$C232*2+6)</f>
        <v>2020</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19695</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832"/>
        <v>1750</v>
      </c>
      <c r="CJ232" s="16" t="str">
        <f>INDEX(Input!$1:$1048576,CJ$93,$C232*2+6)</f>
        <v>N</v>
      </c>
      <c r="CK232" s="1" t="str">
        <f t="shared" si="833"/>
        <v>Market</v>
      </c>
      <c r="CL232" s="1" t="str">
        <f t="shared" si="834"/>
        <v>Market</v>
      </c>
      <c r="CM232" s="1" t="str">
        <f t="shared" si="835"/>
        <v>Market</v>
      </c>
      <c r="CN232" s="1" t="str">
        <f t="shared" si="836"/>
        <v>Market</v>
      </c>
      <c r="CO232" s="1" t="str">
        <f t="shared" si="837"/>
        <v>Market</v>
      </c>
      <c r="CP232" s="304">
        <f t="shared" si="838"/>
        <v>500</v>
      </c>
      <c r="CQ232" s="1">
        <f t="shared" si="839"/>
        <v>0</v>
      </c>
      <c r="CR232" s="1">
        <f t="shared" si="840"/>
        <v>0</v>
      </c>
      <c r="CS232" s="1">
        <f t="shared" si="841"/>
        <v>0</v>
      </c>
      <c r="CT232" s="1">
        <f t="shared" si="842"/>
        <v>1.9E-2</v>
      </c>
      <c r="CU232" s="1">
        <f t="shared" si="843"/>
        <v>3.9E-2</v>
      </c>
      <c r="CV232" s="304">
        <f t="shared" si="844"/>
        <v>1358</v>
      </c>
      <c r="CW232" s="20" t="s">
        <v>122</v>
      </c>
      <c r="CX232" s="20" t="s">
        <v>122</v>
      </c>
      <c r="CY232" s="20" t="s">
        <v>122</v>
      </c>
      <c r="CZ232" s="20" t="s">
        <v>122</v>
      </c>
      <c r="DA232" s="20" t="s">
        <v>122</v>
      </c>
      <c r="DB232" s="503">
        <f t="shared" si="845"/>
        <v>0</v>
      </c>
      <c r="DC232" s="127">
        <v>0</v>
      </c>
      <c r="DD232" s="127">
        <v>0</v>
      </c>
      <c r="DE232" s="127">
        <v>0</v>
      </c>
      <c r="DF232" s="127">
        <v>0</v>
      </c>
      <c r="DG232" s="127">
        <v>0</v>
      </c>
      <c r="DH232" s="127">
        <v>0</v>
      </c>
      <c r="DI232" s="127">
        <v>0</v>
      </c>
      <c r="DJ232" s="127">
        <v>0</v>
      </c>
      <c r="DK232" s="127">
        <v>0</v>
      </c>
      <c r="DL232" s="127">
        <v>0</v>
      </c>
      <c r="DM232" s="304">
        <f>INDEX(Input!$1:$1048576,DM$93,$C232*2+6)</f>
        <v>20731.578947368424</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2.9830655433721636E-2</v>
      </c>
      <c r="DZ232" s="7">
        <v>0</v>
      </c>
      <c r="EA232" s="7">
        <v>0.60347085450078497</v>
      </c>
      <c r="EB232" s="7">
        <v>0</v>
      </c>
      <c r="EC232" s="7">
        <v>0</v>
      </c>
      <c r="ED232" s="7">
        <v>0</v>
      </c>
      <c r="EE232" s="7">
        <v>0</v>
      </c>
      <c r="EF232" s="7">
        <v>0</v>
      </c>
      <c r="EG232" s="7">
        <v>0</v>
      </c>
      <c r="EH232" s="7">
        <v>1.6208151958151375E-2</v>
      </c>
      <c r="EI232" s="7">
        <v>2.6477823192147327E-2</v>
      </c>
      <c r="EJ232" s="7">
        <v>0.26585563686520614</v>
      </c>
      <c r="EK232" s="7">
        <v>0.6435084776846518</v>
      </c>
      <c r="EL232" s="7">
        <v>4.794991029984326E-2</v>
      </c>
      <c r="EM232" s="7">
        <v>3.8703108420666113E-2</v>
      </c>
      <c r="EN232" s="7">
        <v>4.972147301868482E-2</v>
      </c>
      <c r="EO232" s="7">
        <v>0.56161716425378627</v>
      </c>
      <c r="EP232" s="7">
        <v>0.28605964402931822</v>
      </c>
      <c r="EQ232" s="7">
        <v>6.3866406646053198E-2</v>
      </c>
      <c r="ER232" s="7">
        <v>3.8735312052157765E-2</v>
      </c>
      <c r="ES232" s="7">
        <v>0.32799538164482722</v>
      </c>
      <c r="ET232" s="7">
        <v>0.36669849006549338</v>
      </c>
      <c r="EU232" s="6">
        <v>2100</v>
      </c>
      <c r="EV232" s="6">
        <v>0</v>
      </c>
      <c r="EW232" s="6">
        <v>2100</v>
      </c>
      <c r="EX232" s="6">
        <v>0</v>
      </c>
      <c r="EY232" s="6">
        <v>3126.8447160148753</v>
      </c>
      <c r="EZ232" s="6">
        <v>2111</v>
      </c>
      <c r="FA232" s="6">
        <v>0</v>
      </c>
      <c r="FB232" s="6">
        <v>0</v>
      </c>
      <c r="FC232" s="6">
        <v>0</v>
      </c>
      <c r="FD232" s="6">
        <v>0</v>
      </c>
      <c r="FE232" s="6">
        <v>0</v>
      </c>
      <c r="FF232" s="6">
        <v>0</v>
      </c>
      <c r="FG232" s="6">
        <v>0</v>
      </c>
      <c r="FH232" s="6">
        <v>1154.7787552498942</v>
      </c>
      <c r="FI232" s="6">
        <v>1531.4299904380623</v>
      </c>
      <c r="FJ232" s="6">
        <v>2070.7205842538219</v>
      </c>
      <c r="FK232" s="6">
        <v>1746.9903521590445</v>
      </c>
      <c r="FL232" s="6">
        <v>893.9143356348934</v>
      </c>
      <c r="FM232" s="6">
        <v>1776.8447160148753</v>
      </c>
      <c r="FN232" s="6">
        <v>0</v>
      </c>
      <c r="FO232" s="6">
        <v>0</v>
      </c>
      <c r="FP232" s="6">
        <v>0</v>
      </c>
      <c r="FQ232" s="6">
        <v>0</v>
      </c>
      <c r="FR232" s="6">
        <v>0</v>
      </c>
      <c r="FS232" s="6">
        <v>0</v>
      </c>
      <c r="FT232" s="7">
        <v>0.63330150993450662</v>
      </c>
      <c r="FU232" s="7">
        <v>3.8703108420666113E-2</v>
      </c>
      <c r="FV232" s="7">
        <v>0.32799538164482722</v>
      </c>
      <c r="FW232" s="6">
        <v>2100.0000000000005</v>
      </c>
      <c r="FX232" s="6">
        <v>3126.8447160148753</v>
      </c>
      <c r="FY232" s="6">
        <v>2111</v>
      </c>
      <c r="FZ232" s="6">
        <v>2594.6978186474794</v>
      </c>
      <c r="GA232" s="6">
        <v>2143.3500315732049</v>
      </c>
      <c r="GB232" s="6">
        <v>17551.649968426795</v>
      </c>
      <c r="GC232" s="7">
        <v>9.6947029492584935E-2</v>
      </c>
      <c r="GD232" s="7">
        <v>9.2740681270402123E-2</v>
      </c>
      <c r="GE232" s="7"/>
      <c r="GF232" s="7"/>
      <c r="GG232" s="7">
        <v>-4.3388108374218297E-2</v>
      </c>
      <c r="GH232" s="42">
        <v>1.8932823399211809</v>
      </c>
      <c r="GI232" s="6">
        <v>12545.91893781458</v>
      </c>
      <c r="GJ232" s="14">
        <v>0.51074630601039528</v>
      </c>
      <c r="GK232" s="14">
        <v>0.50829519786160948</v>
      </c>
      <c r="GL232" s="14">
        <v>0.48925369398960405</v>
      </c>
      <c r="GM232" s="14">
        <v>0.49170480213839013</v>
      </c>
      <c r="GO232" s="5">
        <v>338.16872463277008</v>
      </c>
      <c r="GP232" s="5">
        <v>298.1047308538179</v>
      </c>
      <c r="GQ232" s="5">
        <v>527.27910984145694</v>
      </c>
      <c r="GR232" s="5">
        <v>404.20319246551543</v>
      </c>
      <c r="GS232" s="5">
        <v>334.50205195691484</v>
      </c>
      <c r="GT232" s="5">
        <v>289.18266033348181</v>
      </c>
      <c r="GU232" s="5">
        <v>254.29573314828914</v>
      </c>
      <c r="GV232" s="39" t="s">
        <v>392</v>
      </c>
      <c r="GW232" s="5">
        <v>454.875</v>
      </c>
      <c r="GX232" s="5">
        <v>341.15625</v>
      </c>
      <c r="GY232" s="5">
        <v>272.92500000000001</v>
      </c>
      <c r="GZ232" s="5">
        <v>240.82751152063875</v>
      </c>
      <c r="HA232" s="5">
        <v>223.08053899211663</v>
      </c>
      <c r="HB232" s="39">
        <v>254.63564483933837</v>
      </c>
      <c r="HC232" s="5">
        <v>190.75937499999998</v>
      </c>
      <c r="HD232" s="5">
        <v>173.28879751461983</v>
      </c>
      <c r="HE232" s="5">
        <v>178.94016109986501</v>
      </c>
      <c r="HF232" s="5">
        <v>168.88629934210525</v>
      </c>
      <c r="HG232" s="5">
        <v>167.11410087719298</v>
      </c>
      <c r="HH232" s="39">
        <v>175.25373687753307</v>
      </c>
      <c r="HI232" s="16"/>
      <c r="HJ232" s="19" t="str">
        <f t="shared" si="825"/>
        <v>On</v>
      </c>
      <c r="HK232" s="1" t="str">
        <f t="shared" si="825"/>
        <v>On</v>
      </c>
      <c r="HL232" s="16"/>
      <c r="HM232" s="639">
        <f t="shared" si="727"/>
        <v>5.0961701597560354E-2</v>
      </c>
      <c r="HN232" s="639">
        <f t="shared" si="728"/>
        <v>3.112551654761847E-3</v>
      </c>
      <c r="HO232" s="639">
        <f t="shared" si="729"/>
        <v>3.1163314184693442E-2</v>
      </c>
      <c r="HP232" s="644">
        <f>(FT232*$GD232-HM232)/$JF232*INDEX(Input!$1:$1048576,$JG$93,$C232*2+6)</f>
        <v>145.96322372081937</v>
      </c>
      <c r="HQ232" s="644">
        <f>(FU232*$GD232-HN232)/$JF232*INDEX(Input!$1:$1048576,$JG$93,$C232*2+6)</f>
        <v>8.9556565709863101</v>
      </c>
      <c r="HR232" s="644">
        <f>(FV232*$GD232-HO232)/$JF232*INDEX(Input!$1:$1048576,$JG$93,$C232*2+6)</f>
        <v>-13.989409772505622</v>
      </c>
      <c r="HS232" s="644">
        <f t="shared" si="826"/>
        <v>-18.731454520036962</v>
      </c>
      <c r="HT232" s="644">
        <f t="shared" si="731"/>
        <v>71.031499396069577</v>
      </c>
      <c r="HU232" s="644">
        <f t="shared" si="732"/>
        <v>36.166104202798465</v>
      </c>
      <c r="HV232" s="648">
        <f t="shared" si="733"/>
        <v>0</v>
      </c>
      <c r="HW232" s="648">
        <f t="shared" si="734"/>
        <v>0</v>
      </c>
      <c r="HX232" s="648">
        <f t="shared" si="735"/>
        <v>0</v>
      </c>
      <c r="HY232" s="644">
        <f>INDEX(Input!$1:$1048576,HY$93,$C232*2+6)*INDEX(Input!$1:$1048576,$JG$93,$C232*2+6)</f>
        <v>555</v>
      </c>
      <c r="HZ232" s="644">
        <f>INDEX(Input!$1:$1048576,HZ$93,$C232*2+6)*INDEX(Input!$1:$1048576,$JG$93,$C232*2+6)</f>
        <v>480</v>
      </c>
      <c r="IA232" s="644">
        <f>INDEX(Input!$1:$1048576,IA$93,$C232*2+6)*INDEX(Input!$1:$1048576,$JG$93,$C232*2+6)</f>
        <v>566</v>
      </c>
      <c r="IB232" s="644">
        <f t="shared" si="759"/>
        <v>682.23176920078254</v>
      </c>
      <c r="IC232" s="644">
        <f t="shared" si="760"/>
        <v>559.98715596705586</v>
      </c>
      <c r="ID232" s="644">
        <f>IF(AND(INDEX(Input!$1:$1048576,IA$93,$C232*2+7)="TOS",Y232&lt;=INDEX(Y:Y,MATCH(C232*1000+2,A:A))),0,1)*MAX(IA232+HR232+HU232+HX232,0%)</f>
        <v>588.17669443029286</v>
      </c>
      <c r="IE232" s="128">
        <f t="shared" si="827"/>
        <v>0.3727236679852679</v>
      </c>
      <c r="IF232" s="128">
        <f t="shared" si="736"/>
        <v>0.30593777103225517</v>
      </c>
      <c r="IG232" s="128">
        <f t="shared" si="737"/>
        <v>0.32133856098247698</v>
      </c>
      <c r="IH232" s="21"/>
      <c r="II232" s="19">
        <f t="shared" si="738"/>
        <v>1200</v>
      </c>
      <c r="IJ232" s="19">
        <f t="shared" si="739"/>
        <v>2226.7968732767699</v>
      </c>
      <c r="IK232" s="19">
        <f t="shared" si="740"/>
        <v>1786</v>
      </c>
      <c r="IL232" s="19">
        <f t="shared" si="762"/>
        <v>900.00000000000045</v>
      </c>
      <c r="IM232" s="19">
        <f t="shared" si="741"/>
        <v>900.04784273810537</v>
      </c>
      <c r="IN232" s="19">
        <f t="shared" si="742"/>
        <v>325</v>
      </c>
      <c r="IO232" s="39">
        <f t="shared" si="743"/>
        <v>0</v>
      </c>
      <c r="IP232" s="39">
        <f t="shared" si="744"/>
        <v>0</v>
      </c>
      <c r="IQ232" s="39">
        <f t="shared" si="745"/>
        <v>0</v>
      </c>
      <c r="IR232" s="39">
        <v>0</v>
      </c>
      <c r="IS232" s="39">
        <v>0</v>
      </c>
      <c r="IT232" s="39">
        <v>0</v>
      </c>
      <c r="IU232" s="39">
        <v>0</v>
      </c>
      <c r="IV232" s="39">
        <v>0</v>
      </c>
      <c r="IW232" s="39">
        <v>0</v>
      </c>
      <c r="IX232" s="39">
        <f>INDEX(Input!$1:$1048576,IX$93,$C232*2+6)+INDEX(Input!$1:$1048576,IX$94,$C232*2+6)</f>
        <v>1600</v>
      </c>
      <c r="IY232" s="39">
        <f>INDEX(Input!$1:$1048576,IY$93,$C232*2+6)+INDEX(Input!$1:$1048576,IY$94,$C232*2+6)</f>
        <v>2503.5492916397525</v>
      </c>
      <c r="IZ232" s="39">
        <f>INDEX(Input!$1:$1048576,IZ$93,$C232*2+6)+INDEX(Input!$1:$1048576,IZ$94,$C232*2+6)</f>
        <v>5773.7109265464023</v>
      </c>
      <c r="JA232" s="19">
        <f t="shared" si="763"/>
        <v>2500.0000000000005</v>
      </c>
      <c r="JB232" s="19">
        <f t="shared" si="764"/>
        <v>3403.5971343778579</v>
      </c>
      <c r="JC232" s="19">
        <f t="shared" si="765"/>
        <v>6098.7109265464023</v>
      </c>
      <c r="JD232" s="19">
        <f t="shared" si="766"/>
        <v>3932.8490837310328</v>
      </c>
      <c r="JE232" s="21"/>
      <c r="JF232" s="1">
        <f t="shared" si="746"/>
        <v>8.5237567437015646E-2</v>
      </c>
      <c r="JG232" s="15">
        <f>INDEX(Input!$1:$1048576,JG$93,$C232*2+6)/(1+VLOOKUP(C232*1000+INDEX(Input!$1:$1048576,JG$93+1,$C232*2+6),$A:$KK,$JK$92,FALSE))</f>
        <v>1601</v>
      </c>
      <c r="JH232" s="1">
        <f t="shared" si="767"/>
        <v>8.8025902885259258E-2</v>
      </c>
      <c r="JI232" s="1">
        <f t="shared" si="768"/>
        <v>5.5256807669476E-2</v>
      </c>
      <c r="JJ232" s="1">
        <f t="shared" si="828"/>
        <v>0</v>
      </c>
      <c r="JK232" s="1">
        <f t="shared" si="829"/>
        <v>0.14328271055473527</v>
      </c>
      <c r="JL232" s="15">
        <f t="shared" si="771"/>
        <v>229.39561959813116</v>
      </c>
      <c r="JM232" s="15">
        <f t="shared" si="795"/>
        <v>1830.3956195981311</v>
      </c>
      <c r="JN232" s="21"/>
      <c r="JO232" s="19">
        <f>INDEX(Input!$1:$1048576,JO$93,$C232*2+6)</f>
        <v>5908.5</v>
      </c>
      <c r="JP232" s="19">
        <f>INDEX(Input!$1:$1048576,JP$93,$C232*2+6)</f>
        <v>3346.4235130620518</v>
      </c>
      <c r="JQ232" s="39">
        <f t="shared" si="781"/>
        <v>1975.6509162689672</v>
      </c>
      <c r="JR232" s="39">
        <f t="shared" si="798"/>
        <v>586.42557066898098</v>
      </c>
      <c r="JS232" s="39">
        <f t="shared" si="783"/>
        <v>7.1986697354018068</v>
      </c>
      <c r="JT232" s="39">
        <f t="shared" si="773"/>
        <v>1.8410456909894617</v>
      </c>
      <c r="JU232" s="385">
        <f>(JQ232*JM232-INDEX(Input!$1:$1048576,Input!A$18,$C232*2+6)*JL232*INDEX(Input!$1:$1048576,Input!A$19,$C232*2+6))/1000000</f>
        <v>3.6162227829937517</v>
      </c>
      <c r="JV232" s="39">
        <f t="shared" si="805"/>
        <v>-0.48566167259390314</v>
      </c>
      <c r="JW232" s="1">
        <f t="shared" si="796"/>
        <v>-0.1183996472480659</v>
      </c>
      <c r="JX232" s="19">
        <f t="shared" si="787"/>
        <v>8025.6357737550288</v>
      </c>
      <c r="JZ232" s="341"/>
      <c r="KA232" s="342"/>
      <c r="KB232" s="469">
        <f t="shared" si="784"/>
        <v>2.4482969984810516</v>
      </c>
      <c r="KI232" s="473">
        <f t="shared" si="812"/>
        <v>127.23176920078254</v>
      </c>
      <c r="KJ232" s="473">
        <f t="shared" si="813"/>
        <v>79.987155967055855</v>
      </c>
      <c r="KK232" s="473">
        <f t="shared" si="775"/>
        <v>22.176694430292855</v>
      </c>
      <c r="KN232" s="544">
        <f t="shared" si="788"/>
        <v>2002</v>
      </c>
      <c r="KO232" s="541">
        <f t="shared" si="750"/>
        <v>5.9404554823387024E-2</v>
      </c>
      <c r="KP232" s="546">
        <f t="shared" si="751"/>
        <v>339.34145648153077</v>
      </c>
      <c r="KQ232" s="546">
        <f t="shared" si="752"/>
        <v>207.24550877449428</v>
      </c>
      <c r="KR232" s="548">
        <f t="shared" si="753"/>
        <v>2.7955761587872101</v>
      </c>
      <c r="KS232" s="548">
        <f t="shared" si="754"/>
        <v>4.57744484325658</v>
      </c>
      <c r="KT232" s="473">
        <f t="shared" si="786"/>
        <v>528.59039248727379</v>
      </c>
      <c r="KU232" s="663">
        <f t="shared" si="776"/>
        <v>12.33322277736479</v>
      </c>
      <c r="KV232" s="117"/>
    </row>
    <row r="233" spans="1:308" s="26" customFormat="1" ht="15">
      <c r="A233" s="561">
        <f t="shared" si="755"/>
        <v>2033</v>
      </c>
      <c r="B233" s="561">
        <f t="shared" si="777"/>
        <v>33</v>
      </c>
      <c r="C233" s="561">
        <f t="shared" si="105"/>
        <v>2</v>
      </c>
      <c r="D233" s="561" t="str">
        <f t="shared" si="824"/>
        <v xml:space="preserve">750 CC, 750 Combo, </v>
      </c>
      <c r="E233" s="475">
        <f>INDEX(Input!$1:$1048576,E$93,$C233*2+MIN($B233,2)+5)
+INDEX(Scenarios!E$121:E$200,MATCH($B233,Scenarios!$B$121:$B$200,0))</f>
        <v>2000</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1.9E-2</v>
      </c>
      <c r="W233" s="863">
        <f>IFERROR(MAX(0,INDEX(Input!$1:$1048576,W$93,$C233*2+MIN($B233,2)+5)-0%,),"Market")</f>
        <v>3.9E-2</v>
      </c>
      <c r="X233" s="476" t="str">
        <f>INDEX(Input!$1:$1048576,X$93,$C233*2+MIN($B233,2)+5)</f>
        <v>Y</v>
      </c>
      <c r="Y233" s="475">
        <f>INDEX(Input!$1:$1048576,Y$93,$C233*2+MIN($B233,2)+5)
++INDEX(Scenarios!Y$121:Y$200,MATCH($B233,Scenarios!$B$121:$B$200,0))</f>
        <v>1358</v>
      </c>
      <c r="Z233" s="477">
        <f>INDEX(Input!$1:$1048576,Z$93,$C233*2+MIN($B233,2)+5)
+INDEX(Scenarios!Z$121:Z$200,MATCH($B233,Scenarios!$B$121:$B$200,0))</f>
        <v>0</v>
      </c>
      <c r="AA233" s="475">
        <f>INDEX(Input!$1:$1048576,AA$93,$C233*2+MIN($B233,2)+5)</f>
        <v>0</v>
      </c>
      <c r="AB233" s="476">
        <f>INDEX(Input!$1:$1048576,AB$93,$C233*2+MIN($B233,2)+5)</f>
        <v>1</v>
      </c>
      <c r="AC233" s="475">
        <f>INDEX(Input!$1:$1048576,AC$93,$C233*2+MIN($B233,2)+5)
+INDEX(Scenarios!AC$121:AC$200,MATCH($B233,Scenarios!$B$121:$B$200,0))</f>
        <v>0</v>
      </c>
      <c r="AD233" s="476">
        <f>INDEX(Input!$1:$1048576,AD$93,$C233*2+MIN($B233,2)+5)</f>
        <v>0.35</v>
      </c>
      <c r="AE233" s="475">
        <f>INDEX(Input!$1:$1048576,AE$93,$C233*2+MIN($B233,2)+5)
+INDEX(Scenarios!AE$121:AE$200,MATCH($B233,Scenarios!$B$121:$B$200,0))</f>
        <v>0</v>
      </c>
      <c r="AF233" s="476">
        <f>INDEX(Input!$1:$1048576,AF$93,$C233*2+MIN($B233,2)+5)</f>
        <v>1</v>
      </c>
      <c r="AG233" s="475">
        <f>INDEX(Input!$1:$1048576,AG$93,$C233*2+MIN($B233,2)+5)
+INDEX(Scenarios!AG$121:AG$200,MATCH($B233,Scenarios!$B$121:$B$200,0))</f>
        <v>0</v>
      </c>
      <c r="AH233" s="476">
        <f>INDEX(Input!$1:$1048576,AH$93,$C233*2+MIN($B233,2)+5)</f>
        <v>1</v>
      </c>
      <c r="AI233" s="475">
        <f>INDEX(Input!$1:$1048576,AI$93,$C233*2+MIN($B233,2)+5)
+INDEX(Scenarios!AI$121:AI$200,MATCH($B233,Scenarios!$B$121:$B$200,0))</f>
        <v>0</v>
      </c>
      <c r="AJ233" s="476">
        <f>INDEX(Input!$1:$1048576,AJ$93,$C233*2+MIN($B233,2)+5)</f>
        <v>0.35</v>
      </c>
      <c r="AK233" s="150">
        <f>ROUND(INDEX(Input!$1:$1048576,AK$93,$C232*2+MIN($B233,1)+5)+(Y233-VLOOKUP($C233*1000+1,$A:$HH,Y$92,FALSE)),0)</f>
        <v>4982</v>
      </c>
      <c r="AL233" s="150">
        <f>ROUND(INDEX(Input!$1:$1048576,AL$93,$C232*2+MIN($B233,1)+5)-(Y233-VLOOKUP($C233*1000+1,$A:$HH,Y$92,FALSE))/36,0)</f>
        <v>5102</v>
      </c>
      <c r="AM233" s="32" t="str">
        <f t="shared" si="756"/>
        <v>std/std/std/std</v>
      </c>
      <c r="AN233" s="32" t="str">
        <f t="shared" si="757"/>
        <v>$750 + 0/0/0/1.9/3.9</v>
      </c>
      <c r="AO233" s="32" t="str">
        <f t="shared" si="758"/>
        <v>0/0/0/1.9/3.9</v>
      </c>
      <c r="AP233" s="32" t="str">
        <f t="shared" si="831"/>
        <v>0/0.9/1.9/3.9</v>
      </c>
      <c r="AQ233" s="536">
        <f t="shared" si="830"/>
        <v>0.3852930911071466</v>
      </c>
      <c r="AR233" s="32"/>
      <c r="AS233" s="302"/>
      <c r="AT233" s="3">
        <f t="shared" si="810"/>
        <v>33</v>
      </c>
      <c r="AU233" s="41" t="s">
        <v>121</v>
      </c>
      <c r="AV233" s="41" t="s">
        <v>116</v>
      </c>
      <c r="AW233" s="41" t="str">
        <f>INDEX(Input!$1:$1048576,AW$93,$C233*2+6)</f>
        <v>Kia</v>
      </c>
      <c r="AX233" s="41" t="str">
        <f>INDEX(Input!$1:$1048576,AX$93,$C233*2+6)</f>
        <v>Kia-LR - L2</v>
      </c>
      <c r="AY233" s="41" t="str">
        <f>IF(LEN(D233)=0,"",INDEX(Input!$1:$1048576,AY$93,$C233*2+6))</f>
        <v>Compact Conventional/Sporty Car (43)</v>
      </c>
      <c r="AZ233" s="41" t="str">
        <f>INDEX(Input!$1:$1048576,AZ$93,$C233*2+6)</f>
        <v>Kia Forte</v>
      </c>
      <c r="BA233" s="3">
        <f>INDEX(Input!$1:$1048576,BA$93,$C233*2+6)</f>
        <v>2020</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19695</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832"/>
        <v>2000</v>
      </c>
      <c r="CJ233" s="16" t="str">
        <f>INDEX(Input!$1:$1048576,CJ$93,$C233*2+6)</f>
        <v>N</v>
      </c>
      <c r="CK233" s="1" t="str">
        <f t="shared" si="833"/>
        <v>Market</v>
      </c>
      <c r="CL233" s="1" t="str">
        <f t="shared" si="834"/>
        <v>Market</v>
      </c>
      <c r="CM233" s="1" t="str">
        <f t="shared" si="835"/>
        <v>Market</v>
      </c>
      <c r="CN233" s="1" t="str">
        <f t="shared" si="836"/>
        <v>Market</v>
      </c>
      <c r="CO233" s="1" t="str">
        <f t="shared" si="837"/>
        <v>Market</v>
      </c>
      <c r="CP233" s="304">
        <f t="shared" si="838"/>
        <v>750</v>
      </c>
      <c r="CQ233" s="1">
        <f t="shared" si="839"/>
        <v>0</v>
      </c>
      <c r="CR233" s="1">
        <f t="shared" si="840"/>
        <v>0</v>
      </c>
      <c r="CS233" s="1">
        <f t="shared" si="841"/>
        <v>0</v>
      </c>
      <c r="CT233" s="1">
        <f t="shared" si="842"/>
        <v>1.9E-2</v>
      </c>
      <c r="CU233" s="1">
        <f t="shared" si="843"/>
        <v>3.9E-2</v>
      </c>
      <c r="CV233" s="304">
        <f t="shared" si="844"/>
        <v>1358</v>
      </c>
      <c r="CW233" s="20" t="s">
        <v>122</v>
      </c>
      <c r="CX233" s="20" t="s">
        <v>122</v>
      </c>
      <c r="CY233" s="20" t="s">
        <v>122</v>
      </c>
      <c r="CZ233" s="20" t="s">
        <v>122</v>
      </c>
      <c r="DA233" s="20" t="s">
        <v>122</v>
      </c>
      <c r="DB233" s="503">
        <f t="shared" si="845"/>
        <v>0</v>
      </c>
      <c r="DC233" s="127">
        <v>0</v>
      </c>
      <c r="DD233" s="127">
        <v>0</v>
      </c>
      <c r="DE233" s="127">
        <v>0</v>
      </c>
      <c r="DF233" s="127">
        <v>0</v>
      </c>
      <c r="DG233" s="127">
        <v>0</v>
      </c>
      <c r="DH233" s="127">
        <v>0</v>
      </c>
      <c r="DI233" s="127">
        <v>0</v>
      </c>
      <c r="DJ233" s="127">
        <v>0</v>
      </c>
      <c r="DK233" s="127">
        <v>0</v>
      </c>
      <c r="DL233" s="127">
        <v>0</v>
      </c>
      <c r="DM233" s="304">
        <f>INDEX(Input!$1:$1048576,DM$93,$C233*2+6)</f>
        <v>20731.578947368424</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3.0645130529928601E-2</v>
      </c>
      <c r="DZ233" s="7">
        <v>0</v>
      </c>
      <c r="EA233" s="7">
        <v>0.61733594306377626</v>
      </c>
      <c r="EB233" s="7">
        <v>0</v>
      </c>
      <c r="EC233" s="7">
        <v>0</v>
      </c>
      <c r="ED233" s="7">
        <v>0</v>
      </c>
      <c r="EE233" s="7">
        <v>0</v>
      </c>
      <c r="EF233" s="7">
        <v>0</v>
      </c>
      <c r="EG233" s="7">
        <v>0</v>
      </c>
      <c r="EH233" s="7">
        <v>1.6215963772824402E-2</v>
      </c>
      <c r="EI233" s="7">
        <v>2.6495814152117807E-2</v>
      </c>
      <c r="EJ233" s="7">
        <v>0.26592277674708253</v>
      </c>
      <c r="EK233" s="7">
        <v>0.64341997857008604</v>
      </c>
      <c r="EL233" s="7">
        <v>4.7945466757889021E-2</v>
      </c>
      <c r="EM233" s="7">
        <v>3.9608484061795665E-2</v>
      </c>
      <c r="EN233" s="7">
        <v>4.9716048943579005E-2</v>
      </c>
      <c r="EO233" s="7">
        <v>0.56159355360515706</v>
      </c>
      <c r="EP233" s="7">
        <v>0.28608532667348036</v>
      </c>
      <c r="EQ233" s="7">
        <v>6.3860235367217022E-2</v>
      </c>
      <c r="ER233" s="7">
        <v>3.8744835410566177E-2</v>
      </c>
      <c r="ES233" s="7">
        <v>0.31241044234449949</v>
      </c>
      <c r="ET233" s="7">
        <v>0.35201892640629517</v>
      </c>
      <c r="EU233" s="6">
        <v>2350</v>
      </c>
      <c r="EV233" s="6">
        <v>0</v>
      </c>
      <c r="EW233" s="6">
        <v>2350</v>
      </c>
      <c r="EX233" s="6">
        <v>0</v>
      </c>
      <c r="EY233" s="6">
        <v>3376.8616890134062</v>
      </c>
      <c r="EZ233" s="6">
        <v>2111</v>
      </c>
      <c r="FA233" s="6">
        <v>0</v>
      </c>
      <c r="FB233" s="6">
        <v>0</v>
      </c>
      <c r="FC233" s="6">
        <v>0</v>
      </c>
      <c r="FD233" s="6">
        <v>0</v>
      </c>
      <c r="FE233" s="6">
        <v>0</v>
      </c>
      <c r="FF233" s="6">
        <v>0</v>
      </c>
      <c r="FG233" s="6">
        <v>0</v>
      </c>
      <c r="FH233" s="6">
        <v>1154.7757640617197</v>
      </c>
      <c r="FI233" s="6">
        <v>1531.4299904380616</v>
      </c>
      <c r="FJ233" s="6">
        <v>2070.7205842538224</v>
      </c>
      <c r="FK233" s="6">
        <v>1746.9903521590434</v>
      </c>
      <c r="FL233" s="6">
        <v>893.91433563489272</v>
      </c>
      <c r="FM233" s="6">
        <v>1776.8616890134062</v>
      </c>
      <c r="FN233" s="6">
        <v>0</v>
      </c>
      <c r="FO233" s="6">
        <v>0</v>
      </c>
      <c r="FP233" s="6">
        <v>0</v>
      </c>
      <c r="FQ233" s="6">
        <v>0</v>
      </c>
      <c r="FR233" s="6">
        <v>0</v>
      </c>
      <c r="FS233" s="6">
        <v>0</v>
      </c>
      <c r="FT233" s="7">
        <v>0.64798107359370483</v>
      </c>
      <c r="FU233" s="7">
        <v>3.9608484061795665E-2</v>
      </c>
      <c r="FV233" s="7">
        <v>0.31241044234449949</v>
      </c>
      <c r="FW233" s="6">
        <v>2350</v>
      </c>
      <c r="FX233" s="6">
        <v>3376.8616890134062</v>
      </c>
      <c r="FY233" s="6">
        <v>2111</v>
      </c>
      <c r="FZ233" s="6">
        <v>2594.6978186474794</v>
      </c>
      <c r="GA233" s="6">
        <v>2316.0063391226208</v>
      </c>
      <c r="GB233" s="6">
        <v>17378.993660877379</v>
      </c>
      <c r="GC233" s="7">
        <v>9.6947029492584935E-2</v>
      </c>
      <c r="GD233" s="7">
        <v>9.4650870802409665E-2</v>
      </c>
      <c r="GE233" s="7"/>
      <c r="GF233" s="7"/>
      <c r="GG233" s="7">
        <v>-2.3684672982691998E-2</v>
      </c>
      <c r="GH233" s="42">
        <v>1.673785058622544</v>
      </c>
      <c r="GI233" s="6">
        <v>14082.750162375631</v>
      </c>
      <c r="GJ233" s="14">
        <v>0.51074630601039583</v>
      </c>
      <c r="GK233" s="14">
        <v>0.50829519786160982</v>
      </c>
      <c r="GL233" s="14">
        <v>0.48925369398960444</v>
      </c>
      <c r="GM233" s="14">
        <v>0.49170480213839074</v>
      </c>
      <c r="GO233" s="5">
        <v>338.16872463277008</v>
      </c>
      <c r="GP233" s="5">
        <v>293.33520778489498</v>
      </c>
      <c r="GQ233" s="5">
        <v>527.27910984145694</v>
      </c>
      <c r="GR233" s="5">
        <v>404.20319246551543</v>
      </c>
      <c r="GS233" s="5">
        <v>334.50205195691484</v>
      </c>
      <c r="GT233" s="5">
        <v>289.18266033348181</v>
      </c>
      <c r="GU233" s="5">
        <v>254.29573314828914</v>
      </c>
      <c r="GV233" s="39" t="s">
        <v>392</v>
      </c>
      <c r="GW233" s="5">
        <v>447.93055555555554</v>
      </c>
      <c r="GX233" s="5">
        <v>335.94791666666669</v>
      </c>
      <c r="GY233" s="5">
        <v>268.75833333333333</v>
      </c>
      <c r="GZ233" s="5">
        <v>237.15086788348813</v>
      </c>
      <c r="HA233" s="5">
        <v>219.6748332275275</v>
      </c>
      <c r="HB233" s="39">
        <v>250.75382024586563</v>
      </c>
      <c r="HC233" s="5">
        <v>190.75937499999998</v>
      </c>
      <c r="HD233" s="5">
        <v>173.28879751461983</v>
      </c>
      <c r="HE233" s="5">
        <v>178.94016109986501</v>
      </c>
      <c r="HF233" s="5">
        <v>168.88629934210525</v>
      </c>
      <c r="HG233" s="5">
        <v>167.11410087719298</v>
      </c>
      <c r="HH233" s="39">
        <v>175.25375562296318</v>
      </c>
      <c r="HI233" s="16"/>
      <c r="HJ233" s="19" t="str">
        <f t="shared" si="825"/>
        <v>On</v>
      </c>
      <c r="HK233" s="1" t="str">
        <f t="shared" si="825"/>
        <v>On</v>
      </c>
      <c r="HL233" s="16"/>
      <c r="HM233" s="639">
        <f t="shared" si="727"/>
        <v>5.0961701597560354E-2</v>
      </c>
      <c r="HN233" s="639">
        <f t="shared" si="728"/>
        <v>3.112551654761847E-3</v>
      </c>
      <c r="HO233" s="639">
        <f t="shared" si="729"/>
        <v>3.1163314184693442E-2</v>
      </c>
      <c r="HP233" s="644">
        <f>(FT233*$GD233-HM233)/$JF233*INDEX(Input!$1:$1048576,$JG$93,$C233*2+6)</f>
        <v>194.78270932652327</v>
      </c>
      <c r="HQ233" s="644">
        <f>(FU233*$GD233-HN233)/$JF233*INDEX(Input!$1:$1048576,$JG$93,$C233*2+6)</f>
        <v>11.953858152586527</v>
      </c>
      <c r="HR233" s="644">
        <f>(FV233*$GD233-HO233)/$JF233*INDEX(Input!$1:$1048576,$JG$93,$C233*2+6)</f>
        <v>-29.928393088962213</v>
      </c>
      <c r="HS233" s="644">
        <f t="shared" ref="HS233:HS236" si="846">IF(AND(HJ233="On",HK233="On"),IL233/1000*INDEX(KG:KG,MATCH(C233*1000+3,$KF:$KF,0))*SUM(HY233:IA233)*1.1
+INDEX(HR:HR,MATCH(C233*1000+4,$KF:$KF,0))/INDEX(IM:IM,MATCH(C233*1000+4,$KF:$KF,0))*IM233*20%,0)</f>
        <v>-23.934638838317142</v>
      </c>
      <c r="HT233" s="644">
        <f t="shared" si="731"/>
        <v>90.762805053684374</v>
      </c>
      <c r="HU233" s="644">
        <f t="shared" si="732"/>
        <v>39.249166924528467</v>
      </c>
      <c r="HV233" s="648">
        <f t="shared" si="733"/>
        <v>0</v>
      </c>
      <c r="HW233" s="648">
        <f t="shared" si="734"/>
        <v>0</v>
      </c>
      <c r="HX233" s="648">
        <f t="shared" si="735"/>
        <v>0</v>
      </c>
      <c r="HY233" s="644">
        <f>INDEX(Input!$1:$1048576,HY$93,$C233*2+6)*INDEX(Input!$1:$1048576,$JG$93,$C233*2+6)</f>
        <v>555</v>
      </c>
      <c r="HZ233" s="644">
        <f>INDEX(Input!$1:$1048576,HZ$93,$C233*2+6)*INDEX(Input!$1:$1048576,$JG$93,$C233*2+6)</f>
        <v>480</v>
      </c>
      <c r="IA233" s="644">
        <f>INDEX(Input!$1:$1048576,IA$93,$C233*2+6)*INDEX(Input!$1:$1048576,$JG$93,$C233*2+6)</f>
        <v>566</v>
      </c>
      <c r="IB233" s="644">
        <f t="shared" si="759"/>
        <v>725.84807048820596</v>
      </c>
      <c r="IC233" s="644">
        <f t="shared" si="760"/>
        <v>582.71666320627094</v>
      </c>
      <c r="ID233" s="644">
        <f>IF(AND(INDEX(Input!$1:$1048576,IA$93,$C233*2+7)="TOS",Y233&lt;=INDEX(Y:Y,MATCH(C233*1000+2,A:A))),0,1)*MAX(IA233+HR233+HU233+HX233,0%)</f>
        <v>575.32077383556623</v>
      </c>
      <c r="IE233" s="128">
        <f t="shared" ref="IE233:IE236" si="847">IB233/SUM($IB233:$ID233)</f>
        <v>0.3852930911071466</v>
      </c>
      <c r="IF233" s="128">
        <f t="shared" si="736"/>
        <v>0.30931638938624734</v>
      </c>
      <c r="IG233" s="128">
        <f t="shared" si="737"/>
        <v>0.30539051950660617</v>
      </c>
      <c r="IH233" s="21"/>
      <c r="II233" s="19">
        <f t="shared" si="738"/>
        <v>1200</v>
      </c>
      <c r="IJ233" s="19">
        <f t="shared" si="739"/>
        <v>2226.7968732767699</v>
      </c>
      <c r="IK233" s="19">
        <f t="shared" si="740"/>
        <v>1786</v>
      </c>
      <c r="IL233" s="19">
        <f t="shared" si="762"/>
        <v>1150</v>
      </c>
      <c r="IM233" s="19">
        <f t="shared" si="741"/>
        <v>1150.0648157366363</v>
      </c>
      <c r="IN233" s="19">
        <f t="shared" si="742"/>
        <v>325</v>
      </c>
      <c r="IO233" s="39">
        <f t="shared" si="743"/>
        <v>0</v>
      </c>
      <c r="IP233" s="39">
        <f t="shared" si="744"/>
        <v>0</v>
      </c>
      <c r="IQ233" s="39">
        <f t="shared" si="745"/>
        <v>0</v>
      </c>
      <c r="IR233" s="39">
        <v>0</v>
      </c>
      <c r="IS233" s="39">
        <v>0</v>
      </c>
      <c r="IT233" s="39">
        <v>0</v>
      </c>
      <c r="IU233" s="39">
        <v>0</v>
      </c>
      <c r="IV233" s="39">
        <v>0</v>
      </c>
      <c r="IW233" s="39">
        <v>0</v>
      </c>
      <c r="IX233" s="39">
        <f>INDEX(Input!$1:$1048576,IX$93,$C233*2+6)+INDEX(Input!$1:$1048576,IX$94,$C233*2+6)</f>
        <v>1600</v>
      </c>
      <c r="IY233" s="39">
        <f>INDEX(Input!$1:$1048576,IY$93,$C233*2+6)+INDEX(Input!$1:$1048576,IY$94,$C233*2+6)</f>
        <v>2503.5492916397525</v>
      </c>
      <c r="IZ233" s="39">
        <f>INDEX(Input!$1:$1048576,IZ$93,$C233*2+6)+INDEX(Input!$1:$1048576,IZ$94,$C233*2+6)</f>
        <v>5773.7109265464023</v>
      </c>
      <c r="JA233" s="19">
        <f t="shared" si="763"/>
        <v>2750</v>
      </c>
      <c r="JB233" s="19">
        <f t="shared" si="764"/>
        <v>3653.6141073763888</v>
      </c>
      <c r="JC233" s="19">
        <f t="shared" si="765"/>
        <v>6098.7109265464023</v>
      </c>
      <c r="JD233" s="19">
        <f t="shared" si="766"/>
        <v>4052.1672226275964</v>
      </c>
      <c r="JE233" s="21"/>
      <c r="JF233" s="1">
        <f t="shared" si="746"/>
        <v>8.5237567437015646E-2</v>
      </c>
      <c r="JG233" s="15">
        <f>INDEX(Input!$1:$1048576,JG$93,$C233*2+6)/(1+VLOOKUP(C233*1000+INDEX(Input!$1:$1048576,JG$93+1,$C233*2+6),$A:$KK,$JK$92,FALSE))</f>
        <v>1601</v>
      </c>
      <c r="JH233" s="1">
        <f t="shared" si="767"/>
        <v>0.11043608643981735</v>
      </c>
      <c r="JI233" s="1">
        <f t="shared" si="768"/>
        <v>6.6256922635787446E-2</v>
      </c>
      <c r="JJ233" s="1">
        <f t="shared" si="828"/>
        <v>0</v>
      </c>
      <c r="JK233" s="1">
        <f t="shared" si="829"/>
        <v>0.17669300907560481</v>
      </c>
      <c r="JL233" s="15">
        <f t="shared" si="771"/>
        <v>282.8855075300433</v>
      </c>
      <c r="JM233" s="15">
        <f t="shared" si="795"/>
        <v>1883.8855075300432</v>
      </c>
      <c r="JN233" s="21"/>
      <c r="JO233" s="19">
        <f>INDEX(Input!$1:$1048576,JO$93,$C233*2+6)</f>
        <v>5908.5</v>
      </c>
      <c r="JP233" s="19">
        <f>INDEX(Input!$1:$1048576,JP$93,$C233*2+6)</f>
        <v>3346.4235130620518</v>
      </c>
      <c r="JQ233" s="39">
        <f t="shared" si="781"/>
        <v>1856.3327773724036</v>
      </c>
      <c r="JR233" s="39">
        <f t="shared" si="798"/>
        <v>705.74370956554458</v>
      </c>
      <c r="JS233" s="39">
        <f t="shared" si="783"/>
        <v>7.6338191047963946</v>
      </c>
      <c r="JT233" s="39">
        <f t="shared" si="773"/>
        <v>2.2761950603840502</v>
      </c>
      <c r="JU233" s="385">
        <f>(JQ233*JM233-INDEX(Input!$1:$1048576,Input!A$18,$C233*2+6)*JL233*INDEX(Input!$1:$1048576,Input!A$19,$C233*2+6))/1000000</f>
        <v>3.4971184164448657</v>
      </c>
      <c r="JV233" s="39">
        <f t="shared" si="805"/>
        <v>-0.60476603914278915</v>
      </c>
      <c r="JW233" s="1">
        <f t="shared" si="796"/>
        <v>-0.14743614689559742</v>
      </c>
      <c r="JX233" s="19">
        <f t="shared" si="787"/>
        <v>8046.3473730350479</v>
      </c>
      <c r="JZ233" s="341"/>
      <c r="KA233" s="342"/>
      <c r="KB233" s="469">
        <f t="shared" si="784"/>
        <v>2.4482969984810516</v>
      </c>
      <c r="KI233" s="473">
        <f t="shared" ref="KI233:KI236" si="848">$JM233*IE233-$JG233*HY233/SUM($HY233:$IA233)</f>
        <v>170.84807048820608</v>
      </c>
      <c r="KJ233" s="473">
        <f t="shared" ref="KJ233:KJ236" si="849">$JM233*IF233-$JG233*HZ233/SUM($HY233:$IA233)</f>
        <v>102.71666320627105</v>
      </c>
      <c r="KK233" s="473">
        <f t="shared" si="775"/>
        <v>9.3207738355663423</v>
      </c>
      <c r="KN233" s="544">
        <f t="shared" si="788"/>
        <v>2002</v>
      </c>
      <c r="KO233" s="541">
        <f t="shared" si="750"/>
        <v>9.0363671150655023E-2</v>
      </c>
      <c r="KP233" s="546">
        <f t="shared" si="751"/>
        <v>520.9732159430057</v>
      </c>
      <c r="KQ233" s="546">
        <f t="shared" si="752"/>
        <v>326.56364767105788</v>
      </c>
      <c r="KR233" s="548">
        <f t="shared" si="753"/>
        <v>2.7699183813413986</v>
      </c>
      <c r="KS233" s="548">
        <f t="shared" si="754"/>
        <v>4.4189036266542345</v>
      </c>
      <c r="KT233" s="473">
        <f t="shared" si="786"/>
        <v>528.59039248727379</v>
      </c>
      <c r="KU233" s="663">
        <f t="shared" si="776"/>
        <v>12.461903491519525</v>
      </c>
      <c r="KV233" s="117"/>
    </row>
    <row r="234" spans="1:308" s="26" customFormat="1" ht="15">
      <c r="A234" s="561">
        <f t="shared" si="755"/>
        <v>2034</v>
      </c>
      <c r="B234" s="561">
        <f t="shared" si="777"/>
        <v>34</v>
      </c>
      <c r="C234" s="561">
        <f t="shared" si="105"/>
        <v>2</v>
      </c>
      <c r="D234" s="561" t="str">
        <f t="shared" si="824"/>
        <v xml:space="preserve">1000 CC, 1000 Combo, </v>
      </c>
      <c r="E234" s="475">
        <f>INDEX(Input!$1:$1048576,E$93,$C234*2+MIN($B234,2)+5)
+INDEX(Scenarios!E$121:E$200,MATCH($B234,Scenarios!$B$121:$B$200,0))</f>
        <v>2250</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1.9E-2</v>
      </c>
      <c r="W234" s="863">
        <f>IFERROR(MAX(0,INDEX(Input!$1:$1048576,W$93,$C234*2+MIN($B234,2)+5)-0%,),"Market")</f>
        <v>3.9E-2</v>
      </c>
      <c r="X234" s="476" t="str">
        <f>INDEX(Input!$1:$1048576,X$93,$C234*2+MIN($B234,2)+5)</f>
        <v>Y</v>
      </c>
      <c r="Y234" s="475">
        <f>INDEX(Input!$1:$1048576,Y$93,$C234*2+MIN($B234,2)+5)
++INDEX(Scenarios!Y$121:Y$200,MATCH($B234,Scenarios!$B$121:$B$200,0))</f>
        <v>1358</v>
      </c>
      <c r="Z234" s="477">
        <f>INDEX(Input!$1:$1048576,Z$93,$C234*2+MIN($B234,2)+5)
+INDEX(Scenarios!Z$121:Z$200,MATCH($B234,Scenarios!$B$121:$B$200,0))</f>
        <v>0</v>
      </c>
      <c r="AA234" s="475">
        <f>INDEX(Input!$1:$1048576,AA$93,$C234*2+MIN($B234,2)+5)</f>
        <v>0</v>
      </c>
      <c r="AB234" s="476">
        <f>INDEX(Input!$1:$1048576,AB$93,$C234*2+MIN($B234,2)+5)</f>
        <v>1</v>
      </c>
      <c r="AC234" s="475">
        <f>INDEX(Input!$1:$1048576,AC$93,$C234*2+MIN($B234,2)+5)
+INDEX(Scenarios!AC$121:AC$200,MATCH($B234,Scenarios!$B$121:$B$200,0))</f>
        <v>0</v>
      </c>
      <c r="AD234" s="476">
        <f>INDEX(Input!$1:$1048576,AD$93,$C234*2+MIN($B234,2)+5)</f>
        <v>0.35</v>
      </c>
      <c r="AE234" s="475">
        <f>INDEX(Input!$1:$1048576,AE$93,$C234*2+MIN($B234,2)+5)
+INDEX(Scenarios!AE$121:AE$200,MATCH($B234,Scenarios!$B$121:$B$200,0))</f>
        <v>0</v>
      </c>
      <c r="AF234" s="476">
        <f>INDEX(Input!$1:$1048576,AF$93,$C234*2+MIN($B234,2)+5)</f>
        <v>1</v>
      </c>
      <c r="AG234" s="475">
        <f>INDEX(Input!$1:$1048576,AG$93,$C234*2+MIN($B234,2)+5)
+INDEX(Scenarios!AG$121:AG$200,MATCH($B234,Scenarios!$B$121:$B$200,0))</f>
        <v>0</v>
      </c>
      <c r="AH234" s="476">
        <f>INDEX(Input!$1:$1048576,AH$93,$C234*2+MIN($B234,2)+5)</f>
        <v>1</v>
      </c>
      <c r="AI234" s="475">
        <f>INDEX(Input!$1:$1048576,AI$93,$C234*2+MIN($B234,2)+5)
+INDEX(Scenarios!AI$121:AI$200,MATCH($B234,Scenarios!$B$121:$B$200,0))</f>
        <v>0</v>
      </c>
      <c r="AJ234" s="476">
        <f>INDEX(Input!$1:$1048576,AJ$93,$C234*2+MIN($B234,2)+5)</f>
        <v>0.35</v>
      </c>
      <c r="AK234" s="150">
        <f>ROUND(INDEX(Input!$1:$1048576,AK$93,$C233*2+MIN($B234,1)+5)+(Y234-VLOOKUP($C234*1000+1,$A:$HH,Y$92,FALSE)),0)</f>
        <v>4982</v>
      </c>
      <c r="AL234" s="150">
        <f>ROUND(INDEX(Input!$1:$1048576,AL$93,$C233*2+MIN($B234,1)+5)-(Y234-VLOOKUP($C234*1000+1,$A:$HH,Y$92,FALSE))/36,0)</f>
        <v>5102</v>
      </c>
      <c r="AM234" s="32" t="str">
        <f t="shared" si="756"/>
        <v>std/std/std/std</v>
      </c>
      <c r="AN234" s="32" t="str">
        <f t="shared" si="757"/>
        <v>$1000 + 0/0/0/1.9/3.9</v>
      </c>
      <c r="AO234" s="32" t="str">
        <f t="shared" si="758"/>
        <v>0/0/0/1.9/3.9</v>
      </c>
      <c r="AP234" s="32" t="str">
        <f t="shared" si="831"/>
        <v>0/0.9/1.9/3.9</v>
      </c>
      <c r="AQ234" s="536">
        <f t="shared" si="830"/>
        <v>0.39756422134013475</v>
      </c>
      <c r="AR234" s="32"/>
      <c r="AS234" s="302"/>
      <c r="AT234" s="3">
        <f t="shared" si="810"/>
        <v>34</v>
      </c>
      <c r="AU234" s="41" t="s">
        <v>121</v>
      </c>
      <c r="AV234" s="41" t="s">
        <v>116</v>
      </c>
      <c r="AW234" s="41" t="str">
        <f>INDEX(Input!$1:$1048576,AW$93,$C234*2+6)</f>
        <v>Kia</v>
      </c>
      <c r="AX234" s="41" t="str">
        <f>INDEX(Input!$1:$1048576,AX$93,$C234*2+6)</f>
        <v>Kia-LR - L2</v>
      </c>
      <c r="AY234" s="41" t="str">
        <f>IF(LEN(D234)=0,"",INDEX(Input!$1:$1048576,AY$93,$C234*2+6))</f>
        <v>Compact Conventional/Sporty Car (43)</v>
      </c>
      <c r="AZ234" s="41" t="str">
        <f>INDEX(Input!$1:$1048576,AZ$93,$C234*2+6)</f>
        <v>Kia Forte</v>
      </c>
      <c r="BA234" s="3">
        <f>INDEX(Input!$1:$1048576,BA$93,$C234*2+6)</f>
        <v>2020</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19695</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832"/>
        <v>2250</v>
      </c>
      <c r="CJ234" s="16" t="str">
        <f>INDEX(Input!$1:$1048576,CJ$93,$C234*2+6)</f>
        <v>N</v>
      </c>
      <c r="CK234" s="1" t="str">
        <f t="shared" si="833"/>
        <v>Market</v>
      </c>
      <c r="CL234" s="1" t="str">
        <f t="shared" si="834"/>
        <v>Market</v>
      </c>
      <c r="CM234" s="1" t="str">
        <f t="shared" si="835"/>
        <v>Market</v>
      </c>
      <c r="CN234" s="1" t="str">
        <f t="shared" si="836"/>
        <v>Market</v>
      </c>
      <c r="CO234" s="1" t="str">
        <f t="shared" si="837"/>
        <v>Market</v>
      </c>
      <c r="CP234" s="304">
        <f t="shared" si="838"/>
        <v>1000</v>
      </c>
      <c r="CQ234" s="1">
        <f t="shared" si="839"/>
        <v>0</v>
      </c>
      <c r="CR234" s="1">
        <f t="shared" si="840"/>
        <v>0</v>
      </c>
      <c r="CS234" s="1">
        <f t="shared" si="841"/>
        <v>0</v>
      </c>
      <c r="CT234" s="1">
        <f t="shared" si="842"/>
        <v>1.9E-2</v>
      </c>
      <c r="CU234" s="1">
        <f t="shared" si="843"/>
        <v>3.9E-2</v>
      </c>
      <c r="CV234" s="304">
        <f t="shared" si="844"/>
        <v>1358</v>
      </c>
      <c r="CW234" s="20" t="s">
        <v>122</v>
      </c>
      <c r="CX234" s="20" t="s">
        <v>122</v>
      </c>
      <c r="CY234" s="20" t="s">
        <v>122</v>
      </c>
      <c r="CZ234" s="20" t="s">
        <v>122</v>
      </c>
      <c r="DA234" s="20" t="s">
        <v>122</v>
      </c>
      <c r="DB234" s="503">
        <f t="shared" si="845"/>
        <v>0</v>
      </c>
      <c r="DC234" s="127">
        <v>0</v>
      </c>
      <c r="DD234" s="127">
        <v>0</v>
      </c>
      <c r="DE234" s="127">
        <v>0</v>
      </c>
      <c r="DF234" s="127">
        <v>0</v>
      </c>
      <c r="DG234" s="127">
        <v>0</v>
      </c>
      <c r="DH234" s="127">
        <v>0</v>
      </c>
      <c r="DI234" s="127">
        <v>0</v>
      </c>
      <c r="DJ234" s="127">
        <v>0</v>
      </c>
      <c r="DK234" s="127">
        <v>0</v>
      </c>
      <c r="DL234" s="127">
        <v>0</v>
      </c>
      <c r="DM234" s="304">
        <f>INDEX(Input!$1:$1048576,DM$93,$C234*2+6)</f>
        <v>20731.578947368424</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3.1447975351114592E-2</v>
      </c>
      <c r="DZ234" s="7">
        <v>0</v>
      </c>
      <c r="EA234" s="7">
        <v>0.63083687311021652</v>
      </c>
      <c r="EB234" s="7">
        <v>0</v>
      </c>
      <c r="EC234" s="7">
        <v>0</v>
      </c>
      <c r="ED234" s="7">
        <v>0</v>
      </c>
      <c r="EE234" s="7">
        <v>0</v>
      </c>
      <c r="EF234" s="7">
        <v>0</v>
      </c>
      <c r="EG234" s="7">
        <v>0</v>
      </c>
      <c r="EH234" s="7">
        <v>1.62235955711151E-2</v>
      </c>
      <c r="EI234" s="7">
        <v>2.6513354942816363E-2</v>
      </c>
      <c r="EJ234" s="7">
        <v>0.2659880438937206</v>
      </c>
      <c r="EK234" s="7">
        <v>0.64333400703587318</v>
      </c>
      <c r="EL234" s="7">
        <v>4.7940998556474601E-2</v>
      </c>
      <c r="EM234" s="7">
        <v>4.0490773777512E-2</v>
      </c>
      <c r="EN234" s="7">
        <v>4.9710809757081573E-2</v>
      </c>
      <c r="EO234" s="7">
        <v>0.5615706868918422</v>
      </c>
      <c r="EP234" s="7">
        <v>0.28611016256931665</v>
      </c>
      <c r="EQ234" s="7">
        <v>6.3854227514124368E-2</v>
      </c>
      <c r="ER234" s="7">
        <v>3.8754113267634706E-2</v>
      </c>
      <c r="ES234" s="7">
        <v>0.29722437776115695</v>
      </c>
      <c r="ET234" s="7">
        <v>0.33771515153866893</v>
      </c>
      <c r="EU234" s="6">
        <v>2600</v>
      </c>
      <c r="EV234" s="6">
        <v>0</v>
      </c>
      <c r="EW234" s="6">
        <v>2600</v>
      </c>
      <c r="EX234" s="6">
        <v>0</v>
      </c>
      <c r="EY234" s="6">
        <v>3626.8782801379311</v>
      </c>
      <c r="EZ234" s="6">
        <v>2111</v>
      </c>
      <c r="FA234" s="6">
        <v>0</v>
      </c>
      <c r="FB234" s="6">
        <v>0</v>
      </c>
      <c r="FC234" s="6">
        <v>0</v>
      </c>
      <c r="FD234" s="6">
        <v>0</v>
      </c>
      <c r="FE234" s="6">
        <v>0</v>
      </c>
      <c r="FF234" s="6">
        <v>0</v>
      </c>
      <c r="FG234" s="6">
        <v>0</v>
      </c>
      <c r="FH234" s="6">
        <v>1154.7727574532937</v>
      </c>
      <c r="FI234" s="6">
        <v>1531.4299904380621</v>
      </c>
      <c r="FJ234" s="6">
        <v>2070.7205842538215</v>
      </c>
      <c r="FK234" s="6">
        <v>1746.9903521590431</v>
      </c>
      <c r="FL234" s="6">
        <v>893.9143356348942</v>
      </c>
      <c r="FM234" s="6">
        <v>1776.8782801379311</v>
      </c>
      <c r="FN234" s="6">
        <v>0</v>
      </c>
      <c r="FO234" s="6">
        <v>0</v>
      </c>
      <c r="FP234" s="6">
        <v>0</v>
      </c>
      <c r="FQ234" s="6">
        <v>0</v>
      </c>
      <c r="FR234" s="6">
        <v>0</v>
      </c>
      <c r="FS234" s="6">
        <v>0</v>
      </c>
      <c r="FT234" s="7">
        <v>0.66228484846133107</v>
      </c>
      <c r="FU234" s="7">
        <v>4.0490773777512E-2</v>
      </c>
      <c r="FV234" s="7">
        <v>0.29722437776115695</v>
      </c>
      <c r="FW234" s="6">
        <v>2600.0000000000005</v>
      </c>
      <c r="FX234" s="6">
        <v>3626.8782801379311</v>
      </c>
      <c r="FY234" s="6">
        <v>2111</v>
      </c>
      <c r="FZ234" s="6">
        <v>2594.6978186474794</v>
      </c>
      <c r="GA234" s="6">
        <v>2496.2363754129001</v>
      </c>
      <c r="GB234" s="6">
        <v>17198.7636245871</v>
      </c>
      <c r="GC234" s="7">
        <v>9.6947029492584935E-2</v>
      </c>
      <c r="GD234" s="7">
        <v>9.664049217422066E-2</v>
      </c>
      <c r="GE234" s="7"/>
      <c r="GF234" s="7"/>
      <c r="GG234" s="7">
        <v>-3.1619052174024654E-3</v>
      </c>
      <c r="GH234" s="42">
        <v>0.632468113517061</v>
      </c>
      <c r="GI234" s="6">
        <v>33636.146165455946</v>
      </c>
      <c r="GJ234" s="14">
        <v>0.51074630601039539</v>
      </c>
      <c r="GK234" s="14">
        <v>0.50829519786160948</v>
      </c>
      <c r="GL234" s="14">
        <v>0.48925369398960444</v>
      </c>
      <c r="GM234" s="14">
        <v>0.49170480213838996</v>
      </c>
      <c r="GO234" s="5">
        <v>338.16872463277008</v>
      </c>
      <c r="GP234" s="5">
        <v>288.56568471597211</v>
      </c>
      <c r="GQ234" s="5">
        <v>527.27910984145694</v>
      </c>
      <c r="GR234" s="5">
        <v>404.20319246551543</v>
      </c>
      <c r="GS234" s="5">
        <v>334.50205195691484</v>
      </c>
      <c r="GT234" s="5">
        <v>289.18266033348181</v>
      </c>
      <c r="GU234" s="5">
        <v>254.29573314828914</v>
      </c>
      <c r="GV234" s="39" t="s">
        <v>392</v>
      </c>
      <c r="GW234" s="5">
        <v>440.98611111111109</v>
      </c>
      <c r="GX234" s="5">
        <v>330.73958333333331</v>
      </c>
      <c r="GY234" s="5">
        <v>264.59166666666664</v>
      </c>
      <c r="GZ234" s="5">
        <v>233.47422424633754</v>
      </c>
      <c r="HA234" s="5">
        <v>216.26912746293837</v>
      </c>
      <c r="HB234" s="39">
        <v>246.87168228444645</v>
      </c>
      <c r="HC234" s="5">
        <v>190.75937499999998</v>
      </c>
      <c r="HD234" s="5">
        <v>173.28879751461983</v>
      </c>
      <c r="HE234" s="5">
        <v>178.94016109986501</v>
      </c>
      <c r="HF234" s="5">
        <v>168.88629934210525</v>
      </c>
      <c r="HG234" s="5">
        <v>167.11410087719298</v>
      </c>
      <c r="HH234" s="39">
        <v>175.25377360963623</v>
      </c>
      <c r="HI234" s="16"/>
      <c r="HJ234" s="19" t="str">
        <f t="shared" si="825"/>
        <v>On</v>
      </c>
      <c r="HK234" s="1" t="str">
        <f t="shared" si="825"/>
        <v>On</v>
      </c>
      <c r="HL234" s="16"/>
      <c r="HM234" s="639">
        <f t="shared" si="727"/>
        <v>5.0961701597560354E-2</v>
      </c>
      <c r="HN234" s="639">
        <f t="shared" si="728"/>
        <v>3.112551654761847E-3</v>
      </c>
      <c r="HO234" s="639">
        <f t="shared" si="729"/>
        <v>3.1163314184693442E-2</v>
      </c>
      <c r="HP234" s="644">
        <f>(FT234*$GD234-HM234)/$JF234*INDEX(Input!$1:$1048576,$JG$93,$C234*2+6)</f>
        <v>244.96209649789662</v>
      </c>
      <c r="HQ234" s="644">
        <f>(FU234*$GD234-HN234)/$JF234*INDEX(Input!$1:$1048576,$JG$93,$C234*2+6)</f>
        <v>15.035566801900131</v>
      </c>
      <c r="HR234" s="644">
        <f>(FV234*$GD234-HO234)/$JF234*INDEX(Input!$1:$1048576,$JG$93,$C234*2+6)</f>
        <v>-45.818832847424311</v>
      </c>
      <c r="HS234" s="644">
        <f t="shared" si="846"/>
        <v>-29.13782289666575</v>
      </c>
      <c r="HT234" s="644">
        <f t="shared" si="731"/>
        <v>110.49407612473956</v>
      </c>
      <c r="HU234" s="644">
        <f t="shared" si="732"/>
        <v>42.332229386326887</v>
      </c>
      <c r="HV234" s="648">
        <f t="shared" si="733"/>
        <v>0</v>
      </c>
      <c r="HW234" s="648">
        <f t="shared" si="734"/>
        <v>0</v>
      </c>
      <c r="HX234" s="648">
        <f t="shared" si="735"/>
        <v>0</v>
      </c>
      <c r="HY234" s="644">
        <f>INDEX(Input!$1:$1048576,HY$93,$C234*2+6)*INDEX(Input!$1:$1048576,$JG$93,$C234*2+6)</f>
        <v>555</v>
      </c>
      <c r="HZ234" s="644">
        <f>INDEX(Input!$1:$1048576,HZ$93,$C234*2+6)*INDEX(Input!$1:$1048576,$JG$93,$C234*2+6)</f>
        <v>480</v>
      </c>
      <c r="IA234" s="644">
        <f>INDEX(Input!$1:$1048576,IA$93,$C234*2+6)*INDEX(Input!$1:$1048576,$JG$93,$C234*2+6)</f>
        <v>566</v>
      </c>
      <c r="IB234" s="644">
        <f t="shared" si="759"/>
        <v>770.82427360123097</v>
      </c>
      <c r="IC234" s="644">
        <f t="shared" si="760"/>
        <v>605.52964292663967</v>
      </c>
      <c r="ID234" s="644">
        <f>IF(AND(INDEX(Input!$1:$1048576,IA$93,$C234*2+7)="TOS",Y234&lt;=INDEX(Y:Y,MATCH(C234*1000+2,A:A))),0,1)*MAX(IA234+HR234+HU234+HX234,0%)</f>
        <v>562.5133965389025</v>
      </c>
      <c r="IE234" s="128">
        <f t="shared" si="847"/>
        <v>0.39756422134013475</v>
      </c>
      <c r="IF234" s="128">
        <f t="shared" si="736"/>
        <v>0.31231102760139506</v>
      </c>
      <c r="IG234" s="128">
        <f t="shared" si="737"/>
        <v>0.29012475105847013</v>
      </c>
      <c r="IH234" s="21"/>
      <c r="II234" s="19">
        <f t="shared" si="738"/>
        <v>1200</v>
      </c>
      <c r="IJ234" s="19">
        <f t="shared" si="739"/>
        <v>2226.7968732767699</v>
      </c>
      <c r="IK234" s="19">
        <f t="shared" si="740"/>
        <v>1786</v>
      </c>
      <c r="IL234" s="19">
        <f t="shared" si="762"/>
        <v>1400.0000000000005</v>
      </c>
      <c r="IM234" s="19">
        <f t="shared" si="741"/>
        <v>1400.0814068611612</v>
      </c>
      <c r="IN234" s="19">
        <f t="shared" si="742"/>
        <v>325</v>
      </c>
      <c r="IO234" s="39">
        <f t="shared" si="743"/>
        <v>0</v>
      </c>
      <c r="IP234" s="39">
        <f t="shared" si="744"/>
        <v>0</v>
      </c>
      <c r="IQ234" s="39">
        <f t="shared" si="745"/>
        <v>0</v>
      </c>
      <c r="IR234" s="39">
        <v>0</v>
      </c>
      <c r="IS234" s="39">
        <v>0</v>
      </c>
      <c r="IT234" s="39">
        <v>0</v>
      </c>
      <c r="IU234" s="39">
        <v>0</v>
      </c>
      <c r="IV234" s="39">
        <v>0</v>
      </c>
      <c r="IW234" s="39">
        <v>0</v>
      </c>
      <c r="IX234" s="39">
        <f>INDEX(Input!$1:$1048576,IX$93,$C234*2+6)+INDEX(Input!$1:$1048576,IX$94,$C234*2+6)</f>
        <v>1600</v>
      </c>
      <c r="IY234" s="39">
        <f>INDEX(Input!$1:$1048576,IY$93,$C234*2+6)+INDEX(Input!$1:$1048576,IY$94,$C234*2+6)</f>
        <v>2503.5492916397525</v>
      </c>
      <c r="IZ234" s="39">
        <f>INDEX(Input!$1:$1048576,IZ$93,$C234*2+6)+INDEX(Input!$1:$1048576,IZ$94,$C234*2+6)</f>
        <v>5773.7109265464023</v>
      </c>
      <c r="JA234" s="19">
        <f t="shared" si="763"/>
        <v>3000.0000000000005</v>
      </c>
      <c r="JB234" s="19">
        <f t="shared" si="764"/>
        <v>3903.6306985009137</v>
      </c>
      <c r="JC234" s="19">
        <f t="shared" si="765"/>
        <v>6098.7109265464023</v>
      </c>
      <c r="JD234" s="19">
        <f t="shared" si="766"/>
        <v>4181.2265681874233</v>
      </c>
      <c r="JE234" s="21"/>
      <c r="JF234" s="1">
        <f t="shared" si="746"/>
        <v>8.5237567437015646E-2</v>
      </c>
      <c r="JG234" s="15">
        <f>INDEX(Input!$1:$1048576,JG$93,$C234*2+6)/(1+VLOOKUP(C234*1000+INDEX(Input!$1:$1048576,JG$93+1,$C234*2+6),$A:$KK,$JK$92,FALSE))</f>
        <v>1601</v>
      </c>
      <c r="JH234" s="1">
        <f t="shared" si="767"/>
        <v>0.13377815768418014</v>
      </c>
      <c r="JI234" s="1">
        <f t="shared" si="768"/>
        <v>7.7257015999001061E-2</v>
      </c>
      <c r="JJ234" s="1">
        <f t="shared" si="828"/>
        <v>0</v>
      </c>
      <c r="JK234" s="1">
        <f t="shared" si="829"/>
        <v>0.2110351736831812</v>
      </c>
      <c r="JL234" s="15">
        <f t="shared" si="771"/>
        <v>337.86731306677308</v>
      </c>
      <c r="JM234" s="15">
        <f t="shared" si="795"/>
        <v>1938.867313066773</v>
      </c>
      <c r="JN234" s="21"/>
      <c r="JO234" s="19">
        <f>INDEX(Input!$1:$1048576,JO$93,$C234*2+6)</f>
        <v>5908.5</v>
      </c>
      <c r="JP234" s="19">
        <f>INDEX(Input!$1:$1048576,JP$93,$C234*2+6)</f>
        <v>3346.4235130620518</v>
      </c>
      <c r="JQ234" s="39">
        <f t="shared" si="781"/>
        <v>1727.2734318125767</v>
      </c>
      <c r="JR234" s="39">
        <f t="shared" si="798"/>
        <v>834.80305512537143</v>
      </c>
      <c r="JS234" s="39">
        <f t="shared" si="783"/>
        <v>8.1068435215849544</v>
      </c>
      <c r="JT234" s="39">
        <f t="shared" si="773"/>
        <v>2.7492194771726095</v>
      </c>
      <c r="JU234" s="385">
        <f>(JQ234*JM234-INDEX(Input!$1:$1048576,Input!A$18,$C234*2+6)*JL234*INDEX(Input!$1:$1048576,Input!A$19,$C234*2+6))/1000000</f>
        <v>3.3489539976700744</v>
      </c>
      <c r="JV234" s="39">
        <f t="shared" si="805"/>
        <v>-0.7529304579175804</v>
      </c>
      <c r="JW234" s="1">
        <f t="shared" si="796"/>
        <v>-0.18355720792962027</v>
      </c>
      <c r="JX234" s="19">
        <f t="shared" si="787"/>
        <v>8136.9797279835666</v>
      </c>
      <c r="JZ234" s="341"/>
      <c r="KA234" s="342"/>
      <c r="KB234" s="469">
        <f t="shared" si="784"/>
        <v>2.4482969984810516</v>
      </c>
      <c r="KI234" s="473">
        <f t="shared" si="848"/>
        <v>215.82427360123086</v>
      </c>
      <c r="KJ234" s="473">
        <f t="shared" si="849"/>
        <v>125.52964292663967</v>
      </c>
      <c r="KK234" s="473">
        <f t="shared" si="775"/>
        <v>-3.4866034610976158</v>
      </c>
      <c r="KN234" s="544">
        <f t="shared" si="788"/>
        <v>2002</v>
      </c>
      <c r="KO234" s="541">
        <f t="shared" si="750"/>
        <v>0.12218628621504957</v>
      </c>
      <c r="KP234" s="546">
        <f t="shared" si="751"/>
        <v>709.89669203130643</v>
      </c>
      <c r="KQ234" s="546">
        <f t="shared" si="752"/>
        <v>455.62299323088473</v>
      </c>
      <c r="KR234" s="548">
        <f t="shared" si="753"/>
        <v>2.7486270385183036</v>
      </c>
      <c r="KS234" s="548">
        <f t="shared" si="754"/>
        <v>4.2825785161443068</v>
      </c>
      <c r="KT234" s="473">
        <f t="shared" si="786"/>
        <v>528.59039248727379</v>
      </c>
      <c r="KU234" s="663">
        <f t="shared" si="776"/>
        <v>12.567201896026846</v>
      </c>
      <c r="KV234" s="117"/>
    </row>
    <row r="235" spans="1:308" s="26" customFormat="1" ht="15">
      <c r="A235" s="561">
        <f t="shared" si="755"/>
        <v>2035</v>
      </c>
      <c r="B235" s="561">
        <f t="shared" si="777"/>
        <v>35</v>
      </c>
      <c r="C235" s="561">
        <f t="shared" si="105"/>
        <v>2</v>
      </c>
      <c r="D235" s="561" t="str">
        <f t="shared" si="824"/>
        <v xml:space="preserve">250 CC, 0/0/0.9/3.9, </v>
      </c>
      <c r="E235" s="475">
        <f>INDEX(Input!$1:$1048576,E$93,$C235*2+MIN($B235,2)+5)
+INDEX(Scenarios!E$121:E$200,MATCH($B235,Scenarios!$B$121:$B$200,0))</f>
        <v>1500</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8.9999999999999993E-3</v>
      </c>
      <c r="W235" s="863">
        <f>IFERROR(MAX(0,INDEX(Input!$1:$1048576,W$93,$C235*2+MIN($B235,2)+5)-0%,),"Market")</f>
        <v>3.9E-2</v>
      </c>
      <c r="X235" s="476" t="str">
        <f>INDEX(Input!$1:$1048576,X$93,$C235*2+MIN($B235,2)+5)</f>
        <v>Y</v>
      </c>
      <c r="Y235" s="475">
        <f>INDEX(Input!$1:$1048576,Y$93,$C235*2+MIN($B235,2)+5)
++INDEX(Scenarios!Y$121:Y$200,MATCH($B235,Scenarios!$B$121:$B$200,0))</f>
        <v>1358</v>
      </c>
      <c r="Z235" s="477">
        <f>INDEX(Input!$1:$1048576,Z$93,$C235*2+MIN($B235,2)+5)
+INDEX(Scenarios!Z$121:Z$200,MATCH($B235,Scenarios!$B$121:$B$200,0))</f>
        <v>0</v>
      </c>
      <c r="AA235" s="475">
        <f>INDEX(Input!$1:$1048576,AA$93,$C235*2+MIN($B235,2)+5)</f>
        <v>0</v>
      </c>
      <c r="AB235" s="476">
        <f>INDEX(Input!$1:$1048576,AB$93,$C235*2+MIN($B235,2)+5)</f>
        <v>1</v>
      </c>
      <c r="AC235" s="475">
        <f>INDEX(Input!$1:$1048576,AC$93,$C235*2+MIN($B235,2)+5)
+INDEX(Scenarios!AC$121:AC$200,MATCH($B235,Scenarios!$B$121:$B$200,0))</f>
        <v>0</v>
      </c>
      <c r="AD235" s="476">
        <f>INDEX(Input!$1:$1048576,AD$93,$C235*2+MIN($B235,2)+5)</f>
        <v>0.35</v>
      </c>
      <c r="AE235" s="475">
        <f>INDEX(Input!$1:$1048576,AE$93,$C235*2+MIN($B235,2)+5)
+INDEX(Scenarios!AE$121:AE$200,MATCH($B235,Scenarios!$B$121:$B$200,0))</f>
        <v>0</v>
      </c>
      <c r="AF235" s="476">
        <f>INDEX(Input!$1:$1048576,AF$93,$C235*2+MIN($B235,2)+5)</f>
        <v>1</v>
      </c>
      <c r="AG235" s="475">
        <f>INDEX(Input!$1:$1048576,AG$93,$C235*2+MIN($B235,2)+5)
+INDEX(Scenarios!AG$121:AG$200,MATCH($B235,Scenarios!$B$121:$B$200,0))</f>
        <v>0</v>
      </c>
      <c r="AH235" s="476">
        <f>INDEX(Input!$1:$1048576,AH$93,$C235*2+MIN($B235,2)+5)</f>
        <v>1</v>
      </c>
      <c r="AI235" s="475">
        <f>INDEX(Input!$1:$1048576,AI$93,$C235*2+MIN($B235,2)+5)
+INDEX(Scenarios!AI$121:AI$200,MATCH($B235,Scenarios!$B$121:$B$200,0))</f>
        <v>0</v>
      </c>
      <c r="AJ235" s="476">
        <f>INDEX(Input!$1:$1048576,AJ$93,$C235*2+MIN($B235,2)+5)</f>
        <v>0.35</v>
      </c>
      <c r="AK235" s="150">
        <f>ROUND(INDEX(Input!$1:$1048576,AK$93,$C234*2+MIN($B235,1)+5)+(Y235-VLOOKUP($C235*1000+1,$A:$HH,Y$92,FALSE)),0)</f>
        <v>4982</v>
      </c>
      <c r="AL235" s="150">
        <f>ROUND(INDEX(Input!$1:$1048576,AL$93,$C234*2+MIN($B235,1)+5)-(Y235-VLOOKUP($C235*1000+1,$A:$HH,Y$92,FALSE))/36,0)</f>
        <v>5102</v>
      </c>
      <c r="AM235" s="32" t="str">
        <f t="shared" si="756"/>
        <v>std/std/std/std</v>
      </c>
      <c r="AN235" s="32" t="str">
        <f t="shared" si="757"/>
        <v>$0 + 0/0/0/0.9/3.9</v>
      </c>
      <c r="AO235" s="32" t="str">
        <f t="shared" si="758"/>
        <v>0/0/0/0.9/3.9</v>
      </c>
      <c r="AP235" s="32" t="str">
        <f t="shared" si="831"/>
        <v>0/0/0.9/3.9</v>
      </c>
      <c r="AQ235" s="536">
        <f t="shared" si="830"/>
        <v>0.35264797464510655</v>
      </c>
      <c r="AR235" s="32"/>
      <c r="AS235" s="302"/>
      <c r="AT235" s="3">
        <f t="shared" si="810"/>
        <v>35</v>
      </c>
      <c r="AU235" s="41" t="s">
        <v>121</v>
      </c>
      <c r="AV235" s="41" t="s">
        <v>116</v>
      </c>
      <c r="AW235" s="41" t="str">
        <f>INDEX(Input!$1:$1048576,AW$93,$C235*2+6)</f>
        <v>Kia</v>
      </c>
      <c r="AX235" s="41" t="str">
        <f>INDEX(Input!$1:$1048576,AX$93,$C235*2+6)</f>
        <v>Kia-LR - L2</v>
      </c>
      <c r="AY235" s="41" t="str">
        <f>IF(LEN(D235)=0,"",INDEX(Input!$1:$1048576,AY$93,$C235*2+6))</f>
        <v>Compact Conventional/Sporty Car (43)</v>
      </c>
      <c r="AZ235" s="41" t="str">
        <f>INDEX(Input!$1:$1048576,AZ$93,$C235*2+6)</f>
        <v>Kia Forte</v>
      </c>
      <c r="BA235" s="3">
        <f>INDEX(Input!$1:$1048576,BA$93,$C235*2+6)</f>
        <v>2020</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19695</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832"/>
        <v>1500</v>
      </c>
      <c r="CJ235" s="16" t="str">
        <f>INDEX(Input!$1:$1048576,CJ$93,$C235*2+6)</f>
        <v>N</v>
      </c>
      <c r="CK235" s="1" t="str">
        <f t="shared" si="833"/>
        <v>Market</v>
      </c>
      <c r="CL235" s="1" t="str">
        <f t="shared" si="834"/>
        <v>Market</v>
      </c>
      <c r="CM235" s="1" t="str">
        <f t="shared" si="835"/>
        <v>Market</v>
      </c>
      <c r="CN235" s="1" t="str">
        <f t="shared" si="836"/>
        <v>Market</v>
      </c>
      <c r="CO235" s="1" t="str">
        <f t="shared" si="837"/>
        <v>Market</v>
      </c>
      <c r="CP235" s="304">
        <f t="shared" si="838"/>
        <v>0</v>
      </c>
      <c r="CQ235" s="1">
        <f t="shared" si="839"/>
        <v>0</v>
      </c>
      <c r="CR235" s="1">
        <f t="shared" si="840"/>
        <v>0</v>
      </c>
      <c r="CS235" s="1">
        <f t="shared" si="841"/>
        <v>0</v>
      </c>
      <c r="CT235" s="1">
        <f t="shared" si="842"/>
        <v>8.9999999999999993E-3</v>
      </c>
      <c r="CU235" s="1">
        <f t="shared" si="843"/>
        <v>3.9E-2</v>
      </c>
      <c r="CV235" s="304">
        <f t="shared" si="844"/>
        <v>1358</v>
      </c>
      <c r="CW235" s="20" t="s">
        <v>122</v>
      </c>
      <c r="CX235" s="20" t="s">
        <v>122</v>
      </c>
      <c r="CY235" s="20" t="s">
        <v>122</v>
      </c>
      <c r="CZ235" s="20" t="s">
        <v>122</v>
      </c>
      <c r="DA235" s="20" t="s">
        <v>122</v>
      </c>
      <c r="DB235" s="503">
        <f t="shared" si="845"/>
        <v>0</v>
      </c>
      <c r="DC235" s="127">
        <v>0</v>
      </c>
      <c r="DD235" s="127">
        <v>0</v>
      </c>
      <c r="DE235" s="127">
        <v>0</v>
      </c>
      <c r="DF235" s="127">
        <v>0</v>
      </c>
      <c r="DG235" s="127">
        <v>0</v>
      </c>
      <c r="DH235" s="127">
        <v>0</v>
      </c>
      <c r="DI235" s="127">
        <v>0</v>
      </c>
      <c r="DJ235" s="127">
        <v>0</v>
      </c>
      <c r="DK235" s="127">
        <v>0</v>
      </c>
      <c r="DL235" s="127">
        <v>0</v>
      </c>
      <c r="DM235" s="304">
        <f>INDEX(Input!$1:$1048576,DM$93,$C235*2+6)</f>
        <v>20731.578947368424</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2.8670674821542723E-2</v>
      </c>
      <c r="DZ235" s="7">
        <v>0</v>
      </c>
      <c r="EA235" s="7">
        <v>0.58262827525818739</v>
      </c>
      <c r="EB235" s="7">
        <v>0</v>
      </c>
      <c r="EC235" s="7">
        <v>0</v>
      </c>
      <c r="ED235" s="7">
        <v>0</v>
      </c>
      <c r="EE235" s="7">
        <v>0</v>
      </c>
      <c r="EF235" s="7">
        <v>0</v>
      </c>
      <c r="EG235" s="7">
        <v>0</v>
      </c>
      <c r="EH235" s="7">
        <v>1.1567614464498886E-2</v>
      </c>
      <c r="EI235" s="7">
        <v>1.8894751574702388E-2</v>
      </c>
      <c r="EJ235" s="7">
        <v>0.18977689480831378</v>
      </c>
      <c r="EK235" s="7">
        <v>0.74551797139383413</v>
      </c>
      <c r="EL235" s="7">
        <v>3.4242767758650892E-2</v>
      </c>
      <c r="EM235" s="7">
        <v>4.8591821000568268E-2</v>
      </c>
      <c r="EN235" s="7">
        <v>4.9724556429572797E-2</v>
      </c>
      <c r="EO235" s="7">
        <v>0.56163159333198809</v>
      </c>
      <c r="EP235" s="7">
        <v>0.28604517017050196</v>
      </c>
      <c r="EQ235" s="7">
        <v>6.3870464150177303E-2</v>
      </c>
      <c r="ER235" s="7">
        <v>3.8728215917760142E-2</v>
      </c>
      <c r="ES235" s="7">
        <v>0.34010922891970152</v>
      </c>
      <c r="ET235" s="7">
        <v>0.38870104992026983</v>
      </c>
      <c r="EU235" s="6">
        <v>1850</v>
      </c>
      <c r="EV235" s="6">
        <v>0</v>
      </c>
      <c r="EW235" s="6">
        <v>1850</v>
      </c>
      <c r="EX235" s="6">
        <v>0</v>
      </c>
      <c r="EY235" s="6">
        <v>2969.9146149933426</v>
      </c>
      <c r="EZ235" s="6">
        <v>2111</v>
      </c>
      <c r="FA235" s="6">
        <v>0</v>
      </c>
      <c r="FB235" s="6">
        <v>0</v>
      </c>
      <c r="FC235" s="6">
        <v>0</v>
      </c>
      <c r="FD235" s="6">
        <v>0</v>
      </c>
      <c r="FE235" s="6">
        <v>0</v>
      </c>
      <c r="FF235" s="6">
        <v>0</v>
      </c>
      <c r="FG235" s="6">
        <v>0</v>
      </c>
      <c r="FH235" s="6">
        <v>1154.7826096036595</v>
      </c>
      <c r="FI235" s="6">
        <v>1531.4299904380607</v>
      </c>
      <c r="FJ235" s="6">
        <v>2070.720584253821</v>
      </c>
      <c r="FK235" s="6">
        <v>2218.639369850101</v>
      </c>
      <c r="FL235" s="6">
        <v>893.91433563489363</v>
      </c>
      <c r="FM235" s="6">
        <v>2119.9146149933426</v>
      </c>
      <c r="FN235" s="6">
        <v>0</v>
      </c>
      <c r="FO235" s="6">
        <v>0</v>
      </c>
      <c r="FP235" s="6">
        <v>0</v>
      </c>
      <c r="FQ235" s="6">
        <v>0</v>
      </c>
      <c r="FR235" s="6">
        <v>0</v>
      </c>
      <c r="FS235" s="6">
        <v>0</v>
      </c>
      <c r="FT235" s="7">
        <v>0.61129895007973012</v>
      </c>
      <c r="FU235" s="7">
        <v>4.8591821000568268E-2</v>
      </c>
      <c r="FV235" s="7">
        <v>0.34010922891970152</v>
      </c>
      <c r="FW235" s="6">
        <v>1849.9999999999998</v>
      </c>
      <c r="FX235" s="6">
        <v>2969.9146149933426</v>
      </c>
      <c r="FY235" s="6">
        <v>2111</v>
      </c>
      <c r="FZ235" s="6">
        <v>2594.6978186474794</v>
      </c>
      <c r="GA235" s="6">
        <v>1993.1871992557185</v>
      </c>
      <c r="GB235" s="6">
        <v>17701.812800744283</v>
      </c>
      <c r="GC235" s="7">
        <v>9.6947029492584935E-2</v>
      </c>
      <c r="GD235" s="7">
        <v>9.1341647030853387E-2</v>
      </c>
      <c r="GE235" s="7"/>
      <c r="GF235" s="7"/>
      <c r="GG235" s="7">
        <v>-5.7819022316308102E-2</v>
      </c>
      <c r="GH235" s="42">
        <v>1.893143043212058</v>
      </c>
      <c r="GI235" s="6">
        <v>12396.521522363115</v>
      </c>
      <c r="GJ235" s="14">
        <v>0.5107463060103955</v>
      </c>
      <c r="GK235" s="14">
        <v>0.5082951978616097</v>
      </c>
      <c r="GL235" s="14">
        <v>0.48925369398960433</v>
      </c>
      <c r="GM235" s="14">
        <v>0.49170480213839035</v>
      </c>
      <c r="GO235" s="5">
        <v>338.16872463277008</v>
      </c>
      <c r="GP235" s="5">
        <v>302.87425392274076</v>
      </c>
      <c r="GQ235" s="5">
        <v>527.27910984145694</v>
      </c>
      <c r="GR235" s="5">
        <v>404.20319246551543</v>
      </c>
      <c r="GS235" s="5">
        <v>334.50205195691484</v>
      </c>
      <c r="GT235" s="5">
        <v>289.18266033348181</v>
      </c>
      <c r="GU235" s="5">
        <v>254.29573314828914</v>
      </c>
      <c r="GV235" s="39" t="s">
        <v>392</v>
      </c>
      <c r="GW235" s="5">
        <v>468.76388888888891</v>
      </c>
      <c r="GX235" s="5">
        <v>351.57291666666669</v>
      </c>
      <c r="GY235" s="5">
        <v>281.25833333333333</v>
      </c>
      <c r="GZ235" s="5">
        <v>240.8550698915011</v>
      </c>
      <c r="HA235" s="5">
        <v>229.89195052129486</v>
      </c>
      <c r="HB235" s="39">
        <v>252.8756157780337</v>
      </c>
      <c r="HC235" s="5">
        <v>190.75937499999998</v>
      </c>
      <c r="HD235" s="5">
        <v>173.28879751461983</v>
      </c>
      <c r="HE235" s="5">
        <v>178.94016109986501</v>
      </c>
      <c r="HF235" s="5">
        <v>168.88629934210525</v>
      </c>
      <c r="HG235" s="5">
        <v>167.11410087719298</v>
      </c>
      <c r="HH235" s="39">
        <v>175.25373490278594</v>
      </c>
      <c r="HI235" s="16"/>
      <c r="HJ235" s="19" t="str">
        <f t="shared" ref="HJ235:HK250" si="850">HJ234</f>
        <v>On</v>
      </c>
      <c r="HK235" s="1" t="str">
        <f t="shared" si="850"/>
        <v>On</v>
      </c>
      <c r="HL235" s="16"/>
      <c r="HM235" s="639">
        <f t="shared" si="727"/>
        <v>5.0961701597560354E-2</v>
      </c>
      <c r="HN235" s="639">
        <f t="shared" si="728"/>
        <v>3.112551654761847E-3</v>
      </c>
      <c r="HO235" s="639">
        <f t="shared" si="729"/>
        <v>3.1163314184693442E-2</v>
      </c>
      <c r="HP235" s="644">
        <f>(FT235*$GD235-HM235)/$JF235*INDEX(Input!$1:$1048576,$JG$93,$C235*2+6)</f>
        <v>91.572738588819931</v>
      </c>
      <c r="HQ235" s="644">
        <f>(FU235*$GD235-HN235)/$JF235*INDEX(Input!$1:$1048576,$JG$93,$C235*2+6)</f>
        <v>24.90421138695428</v>
      </c>
      <c r="HR235" s="644">
        <f>(FV235*$GD235-HO235)/$JF235*INDEX(Input!$1:$1048576,$JG$93,$C235*2+6)</f>
        <v>-1.8252567894866192</v>
      </c>
      <c r="HS235" s="644">
        <f t="shared" si="846"/>
        <v>-13.591631986937296</v>
      </c>
      <c r="HT235" s="644">
        <f t="shared" si="731"/>
        <v>59.731128012832677</v>
      </c>
      <c r="HU235" s="644">
        <f t="shared" si="732"/>
        <v>33.146403266248981</v>
      </c>
      <c r="HV235" s="648">
        <f t="shared" si="733"/>
        <v>0</v>
      </c>
      <c r="HW235" s="648">
        <f t="shared" si="734"/>
        <v>0</v>
      </c>
      <c r="HX235" s="648">
        <f t="shared" si="735"/>
        <v>0</v>
      </c>
      <c r="HY235" s="644">
        <f>INDEX(Input!$1:$1048576,HY$93,$C235*2+6)*INDEX(Input!$1:$1048576,$JG$93,$C235*2+6)</f>
        <v>555</v>
      </c>
      <c r="HZ235" s="644">
        <f>INDEX(Input!$1:$1048576,HZ$93,$C235*2+6)*INDEX(Input!$1:$1048576,$JG$93,$C235*2+6)</f>
        <v>480</v>
      </c>
      <c r="IA235" s="644">
        <f>INDEX(Input!$1:$1048576,IA$93,$C235*2+6)*INDEX(Input!$1:$1048576,$JG$93,$C235*2+6)</f>
        <v>566</v>
      </c>
      <c r="IB235" s="644">
        <f t="shared" si="759"/>
        <v>632.98110660188263</v>
      </c>
      <c r="IC235" s="644">
        <f t="shared" si="760"/>
        <v>564.63533939978697</v>
      </c>
      <c r="ID235" s="644">
        <f>IF(AND(INDEX(Input!$1:$1048576,IA$93,$C235*2+7)="TOS",Y235&lt;=INDEX(Y:Y,MATCH(C235*1000+2,A:A))),0,1)*MAX(IA235+HR235+HU235+HX235,0%)</f>
        <v>597.32114647676235</v>
      </c>
      <c r="IE235" s="128">
        <f t="shared" si="847"/>
        <v>0.35264797464510655</v>
      </c>
      <c r="IF235" s="128">
        <f t="shared" si="736"/>
        <v>0.31457101448309638</v>
      </c>
      <c r="IG235" s="128">
        <f t="shared" si="737"/>
        <v>0.33278101087179707</v>
      </c>
      <c r="IH235" s="21"/>
      <c r="II235" s="19">
        <f t="shared" si="738"/>
        <v>1200</v>
      </c>
      <c r="IJ235" s="19">
        <f t="shared" si="739"/>
        <v>2226.7968732767699</v>
      </c>
      <c r="IK235" s="19">
        <f t="shared" si="740"/>
        <v>1786</v>
      </c>
      <c r="IL235" s="19">
        <f t="shared" si="762"/>
        <v>649.99999999999977</v>
      </c>
      <c r="IM235" s="19">
        <f t="shared" si="741"/>
        <v>743.11774171657271</v>
      </c>
      <c r="IN235" s="19">
        <f t="shared" si="742"/>
        <v>325</v>
      </c>
      <c r="IO235" s="39">
        <f t="shared" si="743"/>
        <v>0</v>
      </c>
      <c r="IP235" s="39">
        <f t="shared" si="744"/>
        <v>0</v>
      </c>
      <c r="IQ235" s="39">
        <f t="shared" si="745"/>
        <v>0</v>
      </c>
      <c r="IR235" s="39">
        <v>0</v>
      </c>
      <c r="IS235" s="39">
        <v>0</v>
      </c>
      <c r="IT235" s="39">
        <v>0</v>
      </c>
      <c r="IU235" s="39">
        <v>0</v>
      </c>
      <c r="IV235" s="39">
        <v>0</v>
      </c>
      <c r="IW235" s="39">
        <v>0</v>
      </c>
      <c r="IX235" s="39">
        <f>INDEX(Input!$1:$1048576,IX$93,$C235*2+6)+INDEX(Input!$1:$1048576,IX$94,$C235*2+6)</f>
        <v>1600</v>
      </c>
      <c r="IY235" s="39">
        <f>INDEX(Input!$1:$1048576,IY$93,$C235*2+6)+INDEX(Input!$1:$1048576,IY$94,$C235*2+6)</f>
        <v>2503.5492916397525</v>
      </c>
      <c r="IZ235" s="39">
        <f>INDEX(Input!$1:$1048576,IZ$93,$C235*2+6)+INDEX(Input!$1:$1048576,IZ$94,$C235*2+6)</f>
        <v>5773.7109265464023</v>
      </c>
      <c r="JA235" s="19">
        <f t="shared" si="763"/>
        <v>2250</v>
      </c>
      <c r="JB235" s="19">
        <f t="shared" si="764"/>
        <v>3246.6670333563252</v>
      </c>
      <c r="JC235" s="19">
        <f t="shared" si="765"/>
        <v>6098.7109265464023</v>
      </c>
      <c r="JD235" s="19">
        <f t="shared" si="766"/>
        <v>3844.3004724741995</v>
      </c>
      <c r="JE235" s="21"/>
      <c r="JF235" s="1">
        <f t="shared" si="746"/>
        <v>8.5237567437015646E-2</v>
      </c>
      <c r="JG235" s="15">
        <f>INDEX(Input!$1:$1048576,JG$93,$C235*2+6)/(1+VLOOKUP(C235*1000+INDEX(Input!$1:$1048576,JG$93+1,$C235*2+6),$A:$KK,$JK$92,FALSE))</f>
        <v>1601</v>
      </c>
      <c r="JH235" s="1">
        <f t="shared" si="767"/>
        <v>7.1612550397431349E-2</v>
      </c>
      <c r="JI235" s="1">
        <f t="shared" si="768"/>
        <v>4.9522735347997726E-2</v>
      </c>
      <c r="JJ235" s="1">
        <f t="shared" si="828"/>
        <v>0</v>
      </c>
      <c r="JK235" s="1">
        <f t="shared" si="829"/>
        <v>0.12113528574542907</v>
      </c>
      <c r="JL235" s="15">
        <f t="shared" si="771"/>
        <v>193.93759247843195</v>
      </c>
      <c r="JM235" s="15">
        <f t="shared" si="795"/>
        <v>1794.937592478432</v>
      </c>
      <c r="JN235" s="21"/>
      <c r="JO235" s="19">
        <f>INDEX(Input!$1:$1048576,JO$93,$C235*2+6)</f>
        <v>5908.5</v>
      </c>
      <c r="JP235" s="19">
        <f>INDEX(Input!$1:$1048576,JP$93,$C235*2+6)</f>
        <v>3346.4235130620518</v>
      </c>
      <c r="JQ235" s="39">
        <f t="shared" si="781"/>
        <v>2064.1995275258005</v>
      </c>
      <c r="JR235" s="39">
        <f t="shared" si="798"/>
        <v>497.8769594121477</v>
      </c>
      <c r="JS235" s="39">
        <f t="shared" si="783"/>
        <v>6.9002794348265377</v>
      </c>
      <c r="JT235" s="39">
        <f t="shared" si="773"/>
        <v>1.5426553904141933</v>
      </c>
      <c r="JU235" s="385">
        <f>(JQ235*JM235-INDEX(Input!$1:$1048576,Input!A$18,$C235*2+6)*JL235*INDEX(Input!$1:$1048576,Input!A$19,$C235*2+6))/1000000</f>
        <v>3.7051093303322769</v>
      </c>
      <c r="JV235" s="39">
        <f t="shared" si="805"/>
        <v>-0.39677512525537795</v>
      </c>
      <c r="JW235" s="1">
        <f t="shared" si="796"/>
        <v>-9.6729961448544538E-2</v>
      </c>
      <c r="JX235" s="19">
        <f t="shared" si="787"/>
        <v>7954.390743433376</v>
      </c>
      <c r="JZ235" s="341"/>
      <c r="KA235" s="342"/>
      <c r="KB235" s="469">
        <f t="shared" si="784"/>
        <v>2.4482969984810516</v>
      </c>
      <c r="KI235" s="473">
        <f t="shared" si="848"/>
        <v>77.98110660188263</v>
      </c>
      <c r="KJ235" s="473">
        <f t="shared" si="849"/>
        <v>84.635339399786972</v>
      </c>
      <c r="KK235" s="473">
        <f t="shared" si="775"/>
        <v>31.321146476762351</v>
      </c>
      <c r="KN235" s="544">
        <f t="shared" si="788"/>
        <v>2002</v>
      </c>
      <c r="KO235" s="541">
        <f t="shared" si="750"/>
        <v>3.888199946242743E-2</v>
      </c>
      <c r="KP235" s="546">
        <f t="shared" si="751"/>
        <v>196.0928797804408</v>
      </c>
      <c r="KQ235" s="546">
        <f t="shared" si="752"/>
        <v>118.696897517661</v>
      </c>
      <c r="KR235" s="548">
        <f t="shared" si="753"/>
        <v>3.1664691951541428</v>
      </c>
      <c r="KS235" s="548">
        <f t="shared" si="754"/>
        <v>5.2311566367726074</v>
      </c>
      <c r="KT235" s="473">
        <f t="shared" si="786"/>
        <v>528.59039248727379</v>
      </c>
      <c r="KU235" s="663">
        <f t="shared" si="776"/>
        <v>12.273641328524933</v>
      </c>
      <c r="KV235" s="117"/>
    </row>
    <row r="236" spans="1:308" s="26" customFormat="1" ht="15">
      <c r="A236" s="561">
        <f t="shared" si="755"/>
        <v>2036</v>
      </c>
      <c r="B236" s="561">
        <f t="shared" si="777"/>
        <v>36</v>
      </c>
      <c r="C236" s="561">
        <f t="shared" si="105"/>
        <v>2</v>
      </c>
      <c r="D236" s="561" t="str">
        <f t="shared" si="824"/>
        <v xml:space="preserve">500 CC, 0/0/0.9/3.9, </v>
      </c>
      <c r="E236" s="475">
        <f>INDEX(Input!$1:$1048576,E$93,$C236*2+MIN($B236,2)+5)
+INDEX(Scenarios!E$121:E$200,MATCH($B236,Scenarios!$B$121:$B$200,0))</f>
        <v>1750</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8.9999999999999993E-3</v>
      </c>
      <c r="W236" s="863">
        <f>IFERROR(MAX(0,INDEX(Input!$1:$1048576,W$93,$C236*2+MIN($B236,2)+5)-0%,),"Market")</f>
        <v>3.9E-2</v>
      </c>
      <c r="X236" s="476" t="str">
        <f>INDEX(Input!$1:$1048576,X$93,$C236*2+MIN($B236,2)+5)</f>
        <v>Y</v>
      </c>
      <c r="Y236" s="475">
        <f>INDEX(Input!$1:$1048576,Y$93,$C236*2+MIN($B236,2)+5)
++INDEX(Scenarios!Y$121:Y$200,MATCH($B236,Scenarios!$B$121:$B$200,0))</f>
        <v>1358</v>
      </c>
      <c r="Z236" s="477">
        <f>INDEX(Input!$1:$1048576,Z$93,$C236*2+MIN($B236,2)+5)
+INDEX(Scenarios!Z$121:Z$200,MATCH($B236,Scenarios!$B$121:$B$200,0))</f>
        <v>0</v>
      </c>
      <c r="AA236" s="475">
        <f>INDEX(Input!$1:$1048576,AA$93,$C236*2+MIN($B236,2)+5)</f>
        <v>0</v>
      </c>
      <c r="AB236" s="476">
        <f>INDEX(Input!$1:$1048576,AB$93,$C236*2+MIN($B236,2)+5)</f>
        <v>1</v>
      </c>
      <c r="AC236" s="475">
        <f>INDEX(Input!$1:$1048576,AC$93,$C236*2+MIN($B236,2)+5)
+INDEX(Scenarios!AC$121:AC$200,MATCH($B236,Scenarios!$B$121:$B$200,0))</f>
        <v>0</v>
      </c>
      <c r="AD236" s="476">
        <f>INDEX(Input!$1:$1048576,AD$93,$C236*2+MIN($B236,2)+5)</f>
        <v>0.35</v>
      </c>
      <c r="AE236" s="475">
        <f>INDEX(Input!$1:$1048576,AE$93,$C236*2+MIN($B236,2)+5)
+INDEX(Scenarios!AE$121:AE$200,MATCH($B236,Scenarios!$B$121:$B$200,0))</f>
        <v>0</v>
      </c>
      <c r="AF236" s="476">
        <f>INDEX(Input!$1:$1048576,AF$93,$C236*2+MIN($B236,2)+5)</f>
        <v>1</v>
      </c>
      <c r="AG236" s="475">
        <f>INDEX(Input!$1:$1048576,AG$93,$C236*2+MIN($B236,2)+5)
+INDEX(Scenarios!AG$121:AG$200,MATCH($B236,Scenarios!$B$121:$B$200,0))</f>
        <v>0</v>
      </c>
      <c r="AH236" s="476">
        <f>INDEX(Input!$1:$1048576,AH$93,$C236*2+MIN($B236,2)+5)</f>
        <v>1</v>
      </c>
      <c r="AI236" s="475">
        <f>INDEX(Input!$1:$1048576,AI$93,$C236*2+MIN($B236,2)+5)
+INDEX(Scenarios!AI$121:AI$200,MATCH($B236,Scenarios!$B$121:$B$200,0))</f>
        <v>0</v>
      </c>
      <c r="AJ236" s="476">
        <f>INDEX(Input!$1:$1048576,AJ$93,$C236*2+MIN($B236,2)+5)</f>
        <v>0.35</v>
      </c>
      <c r="AK236" s="150">
        <f>ROUND(INDEX(Input!$1:$1048576,AK$93,$C235*2+MIN($B236,1)+5)+(Y236-VLOOKUP($C236*1000+1,$A:$HH,Y$92,FALSE)),0)</f>
        <v>4982</v>
      </c>
      <c r="AL236" s="150">
        <f>ROUND(INDEX(Input!$1:$1048576,AL$93,$C235*2+MIN($B236,1)+5)-(Y236-VLOOKUP($C236*1000+1,$A:$HH,Y$92,FALSE))/36,0)</f>
        <v>5102</v>
      </c>
      <c r="AM236" s="32" t="str">
        <f t="shared" si="756"/>
        <v>std/std/std/std</v>
      </c>
      <c r="AN236" s="32" t="str">
        <f t="shared" si="757"/>
        <v>$0 + 0/0/0/0.9/3.9</v>
      </c>
      <c r="AO236" s="32" t="str">
        <f t="shared" si="758"/>
        <v>0/0/0/0.9/3.9</v>
      </c>
      <c r="AP236" s="32" t="str">
        <f t="shared" si="831"/>
        <v>0/0/0.9/3.9</v>
      </c>
      <c r="AQ236" s="536">
        <f t="shared" si="830"/>
        <v>0.37178665526411531</v>
      </c>
      <c r="AR236" s="32"/>
      <c r="AS236" s="302"/>
      <c r="AT236" s="3">
        <f t="shared" si="810"/>
        <v>36</v>
      </c>
      <c r="AU236" s="41" t="s">
        <v>121</v>
      </c>
      <c r="AV236" s="41" t="s">
        <v>116</v>
      </c>
      <c r="AW236" s="41" t="str">
        <f>INDEX(Input!$1:$1048576,AW$93,$C236*2+6)</f>
        <v>Kia</v>
      </c>
      <c r="AX236" s="41" t="str">
        <f>INDEX(Input!$1:$1048576,AX$93,$C236*2+6)</f>
        <v>Kia-LR - L2</v>
      </c>
      <c r="AY236" s="41" t="str">
        <f>IF(LEN(D236)=0,"",INDEX(Input!$1:$1048576,AY$93,$C236*2+6))</f>
        <v>Compact Conventional/Sporty Car (43)</v>
      </c>
      <c r="AZ236" s="41" t="str">
        <f>INDEX(Input!$1:$1048576,AZ$93,$C236*2+6)</f>
        <v>Kia Forte</v>
      </c>
      <c r="BA236" s="3">
        <f>INDEX(Input!$1:$1048576,BA$93,$C236*2+6)</f>
        <v>2020</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19695</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832"/>
        <v>1750</v>
      </c>
      <c r="CJ236" s="16" t="str">
        <f>INDEX(Input!$1:$1048576,CJ$93,$C236*2+6)</f>
        <v>N</v>
      </c>
      <c r="CK236" s="1" t="str">
        <f t="shared" si="833"/>
        <v>Market</v>
      </c>
      <c r="CL236" s="1" t="str">
        <f t="shared" si="834"/>
        <v>Market</v>
      </c>
      <c r="CM236" s="1" t="str">
        <f t="shared" si="835"/>
        <v>Market</v>
      </c>
      <c r="CN236" s="1" t="str">
        <f t="shared" si="836"/>
        <v>Market</v>
      </c>
      <c r="CO236" s="1" t="str">
        <f t="shared" si="837"/>
        <v>Market</v>
      </c>
      <c r="CP236" s="304">
        <f t="shared" si="838"/>
        <v>0</v>
      </c>
      <c r="CQ236" s="1">
        <f t="shared" si="839"/>
        <v>0</v>
      </c>
      <c r="CR236" s="1">
        <f t="shared" si="840"/>
        <v>0</v>
      </c>
      <c r="CS236" s="1">
        <f t="shared" si="841"/>
        <v>0</v>
      </c>
      <c r="CT236" s="1">
        <f t="shared" si="842"/>
        <v>8.9999999999999993E-3</v>
      </c>
      <c r="CU236" s="1">
        <f t="shared" si="843"/>
        <v>3.9E-2</v>
      </c>
      <c r="CV236" s="304">
        <f t="shared" si="844"/>
        <v>1358</v>
      </c>
      <c r="CW236" s="20" t="s">
        <v>122</v>
      </c>
      <c r="CX236" s="20" t="s">
        <v>122</v>
      </c>
      <c r="CY236" s="20" t="s">
        <v>122</v>
      </c>
      <c r="CZ236" s="20" t="s">
        <v>122</v>
      </c>
      <c r="DA236" s="20" t="s">
        <v>122</v>
      </c>
      <c r="DB236" s="503">
        <f t="shared" si="845"/>
        <v>0</v>
      </c>
      <c r="DC236" s="127">
        <v>0</v>
      </c>
      <c r="DD236" s="127">
        <v>0</v>
      </c>
      <c r="DE236" s="127">
        <v>0</v>
      </c>
      <c r="DF236" s="127">
        <v>0</v>
      </c>
      <c r="DG236" s="127">
        <v>0</v>
      </c>
      <c r="DH236" s="127">
        <v>0</v>
      </c>
      <c r="DI236" s="127">
        <v>0</v>
      </c>
      <c r="DJ236" s="127">
        <v>0</v>
      </c>
      <c r="DK236" s="127">
        <v>0</v>
      </c>
      <c r="DL236" s="127">
        <v>0</v>
      </c>
      <c r="DM236" s="304">
        <f>INDEX(Input!$1:$1048576,DM$93,$C236*2+6)</f>
        <v>20731.578947368424</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2.9574154501934558E-2</v>
      </c>
      <c r="DZ236" s="7">
        <v>0</v>
      </c>
      <c r="EA236" s="7">
        <v>0.598741245669972</v>
      </c>
      <c r="EB236" s="7">
        <v>0</v>
      </c>
      <c r="EC236" s="7">
        <v>0</v>
      </c>
      <c r="ED236" s="7">
        <v>0</v>
      </c>
      <c r="EE236" s="7">
        <v>0</v>
      </c>
      <c r="EF236" s="7">
        <v>0</v>
      </c>
      <c r="EG236" s="7">
        <v>0</v>
      </c>
      <c r="EH236" s="7">
        <v>1.1572322531048541E-2</v>
      </c>
      <c r="EI236" s="7">
        <v>1.8904491672361429E-2</v>
      </c>
      <c r="EJ236" s="7">
        <v>0.18983102612286148</v>
      </c>
      <c r="EK236" s="7">
        <v>0.74544929003656646</v>
      </c>
      <c r="EL236" s="7">
        <v>3.4242869637162082E-2</v>
      </c>
      <c r="EM236" s="7">
        <v>4.6410338864147679E-2</v>
      </c>
      <c r="EN236" s="7">
        <v>4.9719533635039163E-2</v>
      </c>
      <c r="EO236" s="7">
        <v>0.56160943189724477</v>
      </c>
      <c r="EP236" s="7">
        <v>0.28606892846931109</v>
      </c>
      <c r="EQ236" s="7">
        <v>6.3864582278911133E-2</v>
      </c>
      <c r="ER236" s="7">
        <v>3.8737523719493704E-2</v>
      </c>
      <c r="ES236" s="7">
        <v>0.32527426096394568</v>
      </c>
      <c r="ET236" s="7">
        <v>0.37168459982809349</v>
      </c>
      <c r="EU236" s="6">
        <v>2100</v>
      </c>
      <c r="EV236" s="6">
        <v>0</v>
      </c>
      <c r="EW236" s="6">
        <v>2100</v>
      </c>
      <c r="EX236" s="6">
        <v>0</v>
      </c>
      <c r="EY236" s="6">
        <v>2969.8947573752725</v>
      </c>
      <c r="EZ236" s="6">
        <v>2111</v>
      </c>
      <c r="FA236" s="6">
        <v>0</v>
      </c>
      <c r="FB236" s="6">
        <v>0</v>
      </c>
      <c r="FC236" s="6">
        <v>0</v>
      </c>
      <c r="FD236" s="6">
        <v>0</v>
      </c>
      <c r="FE236" s="6">
        <v>0</v>
      </c>
      <c r="FF236" s="6">
        <v>0</v>
      </c>
      <c r="FG236" s="6">
        <v>0</v>
      </c>
      <c r="FH236" s="6">
        <v>1154.781449607251</v>
      </c>
      <c r="FI236" s="6">
        <v>1531.4299904380616</v>
      </c>
      <c r="FJ236" s="6">
        <v>2070.7205842538237</v>
      </c>
      <c r="FK236" s="6">
        <v>2218.6393698501024</v>
      </c>
      <c r="FL236" s="6">
        <v>893.91433563489443</v>
      </c>
      <c r="FM236" s="6">
        <v>2119.8947573752725</v>
      </c>
      <c r="FN236" s="6">
        <v>0</v>
      </c>
      <c r="FO236" s="6">
        <v>0</v>
      </c>
      <c r="FP236" s="6">
        <v>0</v>
      </c>
      <c r="FQ236" s="6">
        <v>0</v>
      </c>
      <c r="FR236" s="6">
        <v>0</v>
      </c>
      <c r="FS236" s="6">
        <v>0</v>
      </c>
      <c r="FT236" s="7">
        <v>0.62831540017190657</v>
      </c>
      <c r="FU236" s="7">
        <v>4.6410338864147679E-2</v>
      </c>
      <c r="FV236" s="7">
        <v>0.32527426096394568</v>
      </c>
      <c r="FW236" s="6">
        <v>2100</v>
      </c>
      <c r="FX236" s="6">
        <v>2969.8947573752725</v>
      </c>
      <c r="FY236" s="6">
        <v>2111</v>
      </c>
      <c r="FZ236" s="6">
        <v>2594.6978186474794</v>
      </c>
      <c r="GA236" s="6">
        <v>2143.9501273365349</v>
      </c>
      <c r="GB236" s="6">
        <v>17551.049872663465</v>
      </c>
      <c r="GC236" s="7">
        <v>9.6947029492584935E-2</v>
      </c>
      <c r="GD236" s="7">
        <v>9.3068294732178786E-2</v>
      </c>
      <c r="GE236" s="7"/>
      <c r="GF236" s="7"/>
      <c r="GG236" s="7">
        <v>-4.0008804609148109E-2</v>
      </c>
      <c r="GH236" s="42">
        <v>1.7481474047830348</v>
      </c>
      <c r="GI236" s="6">
        <v>13410.162545187173</v>
      </c>
      <c r="GJ236" s="14">
        <v>0.51074630601039572</v>
      </c>
      <c r="GK236" s="14">
        <v>0.50829519786160982</v>
      </c>
      <c r="GL236" s="14">
        <v>0.48925369398960417</v>
      </c>
      <c r="GM236" s="14">
        <v>0.49170480213839046</v>
      </c>
      <c r="GO236" s="5">
        <v>338.16872463277008</v>
      </c>
      <c r="GP236" s="5">
        <v>298.1047308538179</v>
      </c>
      <c r="GQ236" s="5">
        <v>527.27910984145694</v>
      </c>
      <c r="GR236" s="5">
        <v>404.20319246551543</v>
      </c>
      <c r="GS236" s="5">
        <v>334.50205195691484</v>
      </c>
      <c r="GT236" s="5">
        <v>289.18266033348181</v>
      </c>
      <c r="GU236" s="5">
        <v>254.29573314828914</v>
      </c>
      <c r="GV236" s="39" t="s">
        <v>392</v>
      </c>
      <c r="GW236" s="5">
        <v>468.76388888888891</v>
      </c>
      <c r="GX236" s="5">
        <v>351.57291666666669</v>
      </c>
      <c r="GY236" s="5">
        <v>281.25833333333333</v>
      </c>
      <c r="GZ236" s="5">
        <v>240.8550698915011</v>
      </c>
      <c r="HA236" s="5">
        <v>229.89195052129486</v>
      </c>
      <c r="HB236" s="39">
        <v>252.87995315541684</v>
      </c>
      <c r="HC236" s="5">
        <v>190.75937499999998</v>
      </c>
      <c r="HD236" s="5">
        <v>173.28879751461983</v>
      </c>
      <c r="HE236" s="5">
        <v>178.94016109986501</v>
      </c>
      <c r="HF236" s="5">
        <v>168.88629934210525</v>
      </c>
      <c r="HG236" s="5">
        <v>167.11410087719298</v>
      </c>
      <c r="HH236" s="39">
        <v>175.25374984052499</v>
      </c>
      <c r="HI236" s="16"/>
      <c r="HJ236" s="19" t="str">
        <f t="shared" si="850"/>
        <v>On</v>
      </c>
      <c r="HK236" s="1" t="str">
        <f t="shared" si="850"/>
        <v>On</v>
      </c>
      <c r="HL236" s="16"/>
      <c r="HM236" s="639">
        <f t="shared" si="727"/>
        <v>5.0961701597560354E-2</v>
      </c>
      <c r="HN236" s="639">
        <f t="shared" si="728"/>
        <v>3.112551654761847E-3</v>
      </c>
      <c r="HO236" s="639">
        <f t="shared" si="729"/>
        <v>3.1163314184693442E-2</v>
      </c>
      <c r="HP236" s="644">
        <f>(FT236*$GD236-HM236)/$JF236*INDEX(Input!$1:$1048576,$JG$93,$C236*2+6)</f>
        <v>141.14410938333123</v>
      </c>
      <c r="HQ236" s="644">
        <f>(FU236*$GD236-HN236)/$JF236*INDEX(Input!$1:$1048576,$JG$93,$C236*2+6)</f>
        <v>22.666694317573292</v>
      </c>
      <c r="HR236" s="644">
        <f>(FV236*$GD236-HO236)/$JF236*INDEX(Input!$1:$1048576,$JG$93,$C236*2+6)</f>
        <v>-16.727835749946728</v>
      </c>
      <c r="HS236" s="644">
        <f t="shared" si="846"/>
        <v>-18.624622811631557</v>
      </c>
      <c r="HT236" s="644">
        <f t="shared" si="731"/>
        <v>56.816446751655988</v>
      </c>
      <c r="HU236" s="644">
        <f t="shared" si="732"/>
        <v>36.059272494393063</v>
      </c>
      <c r="HV236" s="648">
        <f t="shared" si="733"/>
        <v>0</v>
      </c>
      <c r="HW236" s="648">
        <f t="shared" si="734"/>
        <v>0</v>
      </c>
      <c r="HX236" s="648">
        <f t="shared" si="735"/>
        <v>0</v>
      </c>
      <c r="HY236" s="644">
        <f>INDEX(Input!$1:$1048576,HY$93,$C236*2+6)*INDEX(Input!$1:$1048576,$JG$93,$C236*2+6)</f>
        <v>555</v>
      </c>
      <c r="HZ236" s="644">
        <f>INDEX(Input!$1:$1048576,HZ$93,$C236*2+6)*INDEX(Input!$1:$1048576,$JG$93,$C236*2+6)</f>
        <v>480</v>
      </c>
      <c r="IA236" s="644">
        <f>INDEX(Input!$1:$1048576,IA$93,$C236*2+6)*INDEX(Input!$1:$1048576,$JG$93,$C236*2+6)</f>
        <v>566</v>
      </c>
      <c r="IB236" s="644">
        <f t="shared" si="759"/>
        <v>677.51948657169964</v>
      </c>
      <c r="IC236" s="644">
        <f t="shared" si="760"/>
        <v>559.4831410692293</v>
      </c>
      <c r="ID236" s="644">
        <f>IF(AND(INDEX(Input!$1:$1048576,IA$93,$C236*2+7)="TOS",Y236&lt;=INDEX(Y:Y,MATCH(C236*1000+2,A:A))),0,1)*MAX(IA236+HR236+HU236+HX236,0%)</f>
        <v>585.33143674444636</v>
      </c>
      <c r="IE236" s="128">
        <f t="shared" si="847"/>
        <v>0.37178665526411531</v>
      </c>
      <c r="IF236" s="128">
        <f t="shared" si="736"/>
        <v>0.30701458750260924</v>
      </c>
      <c r="IG236" s="128">
        <f t="shared" si="737"/>
        <v>0.32119875723327546</v>
      </c>
      <c r="IH236" s="21"/>
      <c r="II236" s="19">
        <f t="shared" si="738"/>
        <v>1200</v>
      </c>
      <c r="IJ236" s="19">
        <f t="shared" si="739"/>
        <v>2226.7968732767699</v>
      </c>
      <c r="IK236" s="19">
        <f t="shared" si="740"/>
        <v>1786</v>
      </c>
      <c r="IL236" s="19">
        <f t="shared" si="762"/>
        <v>900</v>
      </c>
      <c r="IM236" s="19">
        <f t="shared" si="741"/>
        <v>743.09788409850262</v>
      </c>
      <c r="IN236" s="19">
        <f t="shared" si="742"/>
        <v>325</v>
      </c>
      <c r="IO236" s="39">
        <f t="shared" si="743"/>
        <v>0</v>
      </c>
      <c r="IP236" s="39">
        <f t="shared" si="744"/>
        <v>0</v>
      </c>
      <c r="IQ236" s="39">
        <f t="shared" si="745"/>
        <v>0</v>
      </c>
      <c r="IR236" s="39">
        <v>0</v>
      </c>
      <c r="IS236" s="39">
        <v>0</v>
      </c>
      <c r="IT236" s="39">
        <v>0</v>
      </c>
      <c r="IU236" s="39">
        <v>0</v>
      </c>
      <c r="IV236" s="39">
        <v>0</v>
      </c>
      <c r="IW236" s="39">
        <v>0</v>
      </c>
      <c r="IX236" s="39">
        <f>INDEX(Input!$1:$1048576,IX$93,$C236*2+6)+INDEX(Input!$1:$1048576,IX$94,$C236*2+6)</f>
        <v>1600</v>
      </c>
      <c r="IY236" s="39">
        <f>INDEX(Input!$1:$1048576,IY$93,$C236*2+6)+INDEX(Input!$1:$1048576,IY$94,$C236*2+6)</f>
        <v>2503.5492916397525</v>
      </c>
      <c r="IZ236" s="39">
        <f>INDEX(Input!$1:$1048576,IZ$93,$C236*2+6)+INDEX(Input!$1:$1048576,IZ$94,$C236*2+6)</f>
        <v>5773.7109265464023</v>
      </c>
      <c r="JA236" s="19">
        <f t="shared" si="763"/>
        <v>2500</v>
      </c>
      <c r="JB236" s="19">
        <f t="shared" si="764"/>
        <v>3246.6471757382551</v>
      </c>
      <c r="JC236" s="19">
        <f t="shared" si="765"/>
        <v>6098.7109265464023</v>
      </c>
      <c r="JD236" s="19">
        <f t="shared" si="766"/>
        <v>3885.1330519177827</v>
      </c>
      <c r="JE236" s="21"/>
      <c r="JF236" s="1">
        <f t="shared" si="746"/>
        <v>8.5237567437015646E-2</v>
      </c>
      <c r="JG236" s="15">
        <f>INDEX(Input!$1:$1048576,JG$93,$C236*2+6)/(1+VLOOKUP(C236*1000+INDEX(Input!$1:$1048576,JG$93+1,$C236*2+6),$A:$KK,$JK$92,FALSE))</f>
        <v>1601</v>
      </c>
      <c r="JH236" s="1">
        <f t="shared" si="767"/>
        <v>9.1869436571491436E-2</v>
      </c>
      <c r="JI236" s="1">
        <f t="shared" si="768"/>
        <v>4.6377949053352588E-2</v>
      </c>
      <c r="JJ236" s="1">
        <f t="shared" si="828"/>
        <v>0</v>
      </c>
      <c r="JK236" s="1">
        <f t="shared" si="829"/>
        <v>0.13824738562484401</v>
      </c>
      <c r="JL236" s="15">
        <f t="shared" si="771"/>
        <v>221.33406438537526</v>
      </c>
      <c r="JM236" s="15">
        <f t="shared" si="795"/>
        <v>1822.3340643853753</v>
      </c>
      <c r="JN236" s="21"/>
      <c r="JO236" s="19">
        <f>INDEX(Input!$1:$1048576,JO$93,$C236*2+6)</f>
        <v>5908.5</v>
      </c>
      <c r="JP236" s="19">
        <f>INDEX(Input!$1:$1048576,JP$93,$C236*2+6)</f>
        <v>3346.4235130620518</v>
      </c>
      <c r="JQ236" s="39">
        <f t="shared" si="781"/>
        <v>2023.3669480822173</v>
      </c>
      <c r="JR236" s="39">
        <f t="shared" si="798"/>
        <v>538.7095388557309</v>
      </c>
      <c r="JS236" s="39">
        <f t="shared" si="783"/>
        <v>7.0800103051792904</v>
      </c>
      <c r="JT236" s="39">
        <f t="shared" si="773"/>
        <v>1.7223862607669458</v>
      </c>
      <c r="JU236" s="385">
        <f>(JQ236*JM236-INDEX(Input!$1:$1048576,Input!A$18,$C236*2+6)*JL236*INDEX(Input!$1:$1048576,Input!A$19,$C236*2+6))/1000000</f>
        <v>3.6872505142416996</v>
      </c>
      <c r="JV236" s="39">
        <f t="shared" si="805"/>
        <v>-0.41463394134595521</v>
      </c>
      <c r="JW236" s="1">
        <f t="shared" si="796"/>
        <v>-0.10108376913960461</v>
      </c>
      <c r="JX236" s="19">
        <f t="shared" si="787"/>
        <v>7781.8399329983713</v>
      </c>
      <c r="JZ236" s="341"/>
      <c r="KA236" s="342"/>
      <c r="KB236" s="469">
        <f t="shared" si="784"/>
        <v>2.4482969984810516</v>
      </c>
      <c r="KI236" s="473">
        <f t="shared" si="848"/>
        <v>122.51948657169964</v>
      </c>
      <c r="KJ236" s="473">
        <f t="shared" si="849"/>
        <v>79.483141069229305</v>
      </c>
      <c r="KK236" s="473">
        <f t="shared" si="775"/>
        <v>19.331436744446364</v>
      </c>
      <c r="KN236" s="544">
        <f t="shared" si="788"/>
        <v>2002</v>
      </c>
      <c r="KO236" s="541">
        <f t="shared" si="750"/>
        <v>5.4738651878738942E-2</v>
      </c>
      <c r="KP236" s="546">
        <f t="shared" si="751"/>
        <v>291.22546933702131</v>
      </c>
      <c r="KQ236" s="546">
        <f t="shared" si="752"/>
        <v>159.5294769612442</v>
      </c>
      <c r="KR236" s="548">
        <f t="shared" si="753"/>
        <v>3.0016029628659573</v>
      </c>
      <c r="KS236" s="548">
        <f t="shared" si="754"/>
        <v>5.4795091683049586</v>
      </c>
      <c r="KT236" s="473">
        <f t="shared" si="786"/>
        <v>528.59039248727379</v>
      </c>
      <c r="KU236" s="663">
        <f t="shared" si="776"/>
        <v>12.407386815791138</v>
      </c>
      <c r="KV236" s="117"/>
    </row>
    <row r="237" spans="1:308" s="26" customFormat="1" ht="15">
      <c r="A237" s="561">
        <f t="shared" si="755"/>
        <v>2037</v>
      </c>
      <c r="B237" s="561">
        <f t="shared" si="777"/>
        <v>37</v>
      </c>
      <c r="C237" s="561">
        <f t="shared" si="105"/>
        <v>2</v>
      </c>
      <c r="D237" s="561" t="str">
        <f t="shared" si="824"/>
        <v xml:space="preserve">750 CC, 0/0/0.9/3.9, </v>
      </c>
      <c r="E237" s="475">
        <f>INDEX(Input!$1:$1048576,E$93,$C237*2+MIN($B237,2)+5)
+INDEX(Scenarios!E$121:E$200,MATCH($B237,Scenarios!$B$121:$B$200,0))</f>
        <v>2000</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8.9999999999999993E-3</v>
      </c>
      <c r="W237" s="863">
        <f>IFERROR(MAX(0,INDEX(Input!$1:$1048576,W$93,$C237*2+MIN($B237,2)+5)-0%,),"Market")</f>
        <v>3.9E-2</v>
      </c>
      <c r="X237" s="476" t="str">
        <f>INDEX(Input!$1:$1048576,X$93,$C237*2+MIN($B237,2)+5)</f>
        <v>Y</v>
      </c>
      <c r="Y237" s="475">
        <f>INDEX(Input!$1:$1048576,Y$93,$C237*2+MIN($B237,2)+5)
++INDEX(Scenarios!Y$121:Y$200,MATCH($B237,Scenarios!$B$121:$B$200,0))</f>
        <v>1358</v>
      </c>
      <c r="Z237" s="477">
        <f>INDEX(Input!$1:$1048576,Z$93,$C237*2+MIN($B237,2)+5)
+INDEX(Scenarios!Z$121:Z$200,MATCH($B237,Scenarios!$B$121:$B$200,0))</f>
        <v>0</v>
      </c>
      <c r="AA237" s="475">
        <f>INDEX(Input!$1:$1048576,AA$93,$C237*2+MIN($B237,2)+5)</f>
        <v>0</v>
      </c>
      <c r="AB237" s="476">
        <f>INDEX(Input!$1:$1048576,AB$93,$C237*2+MIN($B237,2)+5)</f>
        <v>1</v>
      </c>
      <c r="AC237" s="475">
        <f>INDEX(Input!$1:$1048576,AC$93,$C237*2+MIN($B237,2)+5)
+INDEX(Scenarios!AC$121:AC$200,MATCH($B237,Scenarios!$B$121:$B$200,0))</f>
        <v>0</v>
      </c>
      <c r="AD237" s="476">
        <f>INDEX(Input!$1:$1048576,AD$93,$C237*2+MIN($B237,2)+5)</f>
        <v>0.35</v>
      </c>
      <c r="AE237" s="475">
        <f>INDEX(Input!$1:$1048576,AE$93,$C237*2+MIN($B237,2)+5)
+INDEX(Scenarios!AE$121:AE$200,MATCH($B237,Scenarios!$B$121:$B$200,0))</f>
        <v>0</v>
      </c>
      <c r="AF237" s="476">
        <f>INDEX(Input!$1:$1048576,AF$93,$C237*2+MIN($B237,2)+5)</f>
        <v>1</v>
      </c>
      <c r="AG237" s="475">
        <f>INDEX(Input!$1:$1048576,AG$93,$C237*2+MIN($B237,2)+5)
+INDEX(Scenarios!AG$121:AG$200,MATCH($B237,Scenarios!$B$121:$B$200,0))</f>
        <v>0</v>
      </c>
      <c r="AH237" s="476">
        <f>INDEX(Input!$1:$1048576,AH$93,$C237*2+MIN($B237,2)+5)</f>
        <v>1</v>
      </c>
      <c r="AI237" s="475">
        <f>INDEX(Input!$1:$1048576,AI$93,$C237*2+MIN($B237,2)+5)
+INDEX(Scenarios!AI$121:AI$200,MATCH($B237,Scenarios!$B$121:$B$200,0))</f>
        <v>0</v>
      </c>
      <c r="AJ237" s="476">
        <f>INDEX(Input!$1:$1048576,AJ$93,$C237*2+MIN($B237,2)+5)</f>
        <v>0.35</v>
      </c>
      <c r="AK237" s="150">
        <f>ROUND(INDEX(Input!$1:$1048576,AK$93,$C236*2+MIN($B237,1)+5)+(Y237-VLOOKUP($C237*1000+1,$A:$HH,Y$92,FALSE)),0)</f>
        <v>4982</v>
      </c>
      <c r="AL237" s="150">
        <f>ROUND(INDEX(Input!$1:$1048576,AL$93,$C236*2+MIN($B237,1)+5)-(Y237-VLOOKUP($C237*1000+1,$A:$HH,Y$92,FALSE))/36,0)</f>
        <v>5102</v>
      </c>
      <c r="AM237" s="32" t="str">
        <f t="shared" si="756"/>
        <v>std/std/std/std</v>
      </c>
      <c r="AN237" s="32" t="str">
        <f t="shared" si="757"/>
        <v>$0 + 0/0/0/0.9/3.9</v>
      </c>
      <c r="AO237" s="32" t="str">
        <f t="shared" si="758"/>
        <v>0/0/0/0.9/3.9</v>
      </c>
      <c r="AP237" s="32" t="str">
        <f t="shared" si="831"/>
        <v>0/0/0.9/3.9</v>
      </c>
      <c r="AQ237" s="536">
        <f t="shared" si="830"/>
        <v>0.39085666448157802</v>
      </c>
      <c r="AR237" s="32"/>
      <c r="AS237" s="302"/>
      <c r="AT237" s="3">
        <f t="shared" si="810"/>
        <v>37</v>
      </c>
      <c r="AU237" s="41" t="s">
        <v>121</v>
      </c>
      <c r="AV237" s="41" t="s">
        <v>116</v>
      </c>
      <c r="AW237" s="41" t="str">
        <f>INDEX(Input!$1:$1048576,AW$93,$C237*2+6)</f>
        <v>Kia</v>
      </c>
      <c r="AX237" s="41" t="str">
        <f>INDEX(Input!$1:$1048576,AX$93,$C237*2+6)</f>
        <v>Kia-LR - L2</v>
      </c>
      <c r="AY237" s="41" t="str">
        <f>IF(LEN(D237)=0,"",INDEX(Input!$1:$1048576,AY$93,$C237*2+6))</f>
        <v>Compact Conventional/Sporty Car (43)</v>
      </c>
      <c r="AZ237" s="41" t="str">
        <f>INDEX(Input!$1:$1048576,AZ$93,$C237*2+6)</f>
        <v>Kia Forte</v>
      </c>
      <c r="BA237" s="3">
        <f>INDEX(Input!$1:$1048576,BA$93,$C237*2+6)</f>
        <v>2020</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19695</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832"/>
        <v>2000</v>
      </c>
      <c r="CJ237" s="16" t="str">
        <f>INDEX(Input!$1:$1048576,CJ$93,$C237*2+6)</f>
        <v>N</v>
      </c>
      <c r="CK237" s="1" t="str">
        <f t="shared" si="833"/>
        <v>Market</v>
      </c>
      <c r="CL237" s="1" t="str">
        <f t="shared" si="834"/>
        <v>Market</v>
      </c>
      <c r="CM237" s="1" t="str">
        <f t="shared" si="835"/>
        <v>Market</v>
      </c>
      <c r="CN237" s="1" t="str">
        <f t="shared" si="836"/>
        <v>Market</v>
      </c>
      <c r="CO237" s="1" t="str">
        <f t="shared" si="837"/>
        <v>Market</v>
      </c>
      <c r="CP237" s="304">
        <f t="shared" si="838"/>
        <v>0</v>
      </c>
      <c r="CQ237" s="1">
        <f t="shared" si="839"/>
        <v>0</v>
      </c>
      <c r="CR237" s="1">
        <f t="shared" si="840"/>
        <v>0</v>
      </c>
      <c r="CS237" s="1">
        <f t="shared" si="841"/>
        <v>0</v>
      </c>
      <c r="CT237" s="1">
        <f t="shared" si="842"/>
        <v>8.9999999999999993E-3</v>
      </c>
      <c r="CU237" s="1">
        <f t="shared" si="843"/>
        <v>3.9E-2</v>
      </c>
      <c r="CV237" s="304">
        <f t="shared" si="844"/>
        <v>1358</v>
      </c>
      <c r="CW237" s="20" t="s">
        <v>122</v>
      </c>
      <c r="CX237" s="20" t="s">
        <v>122</v>
      </c>
      <c r="CY237" s="20" t="s">
        <v>122</v>
      </c>
      <c r="CZ237" s="20" t="s">
        <v>122</v>
      </c>
      <c r="DA237" s="20" t="s">
        <v>122</v>
      </c>
      <c r="DB237" s="503">
        <f t="shared" si="845"/>
        <v>0</v>
      </c>
      <c r="DC237" s="127">
        <v>0</v>
      </c>
      <c r="DD237" s="127">
        <v>0</v>
      </c>
      <c r="DE237" s="127">
        <v>0</v>
      </c>
      <c r="DF237" s="127">
        <v>0</v>
      </c>
      <c r="DG237" s="127">
        <v>0</v>
      </c>
      <c r="DH237" s="127">
        <v>0</v>
      </c>
      <c r="DI237" s="127">
        <v>0</v>
      </c>
      <c r="DJ237" s="127">
        <v>0</v>
      </c>
      <c r="DK237" s="127">
        <v>0</v>
      </c>
      <c r="DL237" s="127">
        <v>0</v>
      </c>
      <c r="DM237" s="304">
        <f>INDEX(Input!$1:$1048576,DM$93,$C237*2+6)</f>
        <v>20731.578947368424</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3.0470312435529945E-2</v>
      </c>
      <c r="DZ237" s="7">
        <v>0</v>
      </c>
      <c r="EA237" s="7">
        <v>0.61455404685739834</v>
      </c>
      <c r="EB237" s="7">
        <v>0</v>
      </c>
      <c r="EC237" s="7">
        <v>0</v>
      </c>
      <c r="ED237" s="7">
        <v>0</v>
      </c>
      <c r="EE237" s="7">
        <v>0</v>
      </c>
      <c r="EF237" s="7">
        <v>0</v>
      </c>
      <c r="EG237" s="7">
        <v>0</v>
      </c>
      <c r="EH237" s="7">
        <v>1.15769006924481E-2</v>
      </c>
      <c r="EI237" s="7">
        <v>1.8913929334900399E-2</v>
      </c>
      <c r="EJ237" s="7">
        <v>0.18988367627746303</v>
      </c>
      <c r="EK237" s="7">
        <v>0.74538256646852585</v>
      </c>
      <c r="EL237" s="7">
        <v>3.4242927226662799E-2</v>
      </c>
      <c r="EM237" s="7">
        <v>4.4273674812407252E-2</v>
      </c>
      <c r="EN237" s="7">
        <v>4.97146462417195E-2</v>
      </c>
      <c r="EO237" s="7">
        <v>0.56158780700612154</v>
      </c>
      <c r="EP237" s="7">
        <v>0.2860920786315399</v>
      </c>
      <c r="EQ237" s="7">
        <v>6.3858810660586018E-2</v>
      </c>
      <c r="ER237" s="7">
        <v>3.8746657460032641E-2</v>
      </c>
      <c r="ES237" s="7">
        <v>0.31070196589466437</v>
      </c>
      <c r="ET237" s="7">
        <v>0.35497564070707166</v>
      </c>
      <c r="EU237" s="6">
        <v>2350</v>
      </c>
      <c r="EV237" s="6">
        <v>0</v>
      </c>
      <c r="EW237" s="6">
        <v>2350</v>
      </c>
      <c r="EX237" s="6">
        <v>0</v>
      </c>
      <c r="EY237" s="6">
        <v>2969.8755234243849</v>
      </c>
      <c r="EZ237" s="6">
        <v>2111</v>
      </c>
      <c r="FA237" s="6">
        <v>0</v>
      </c>
      <c r="FB237" s="6">
        <v>0</v>
      </c>
      <c r="FC237" s="6">
        <v>0</v>
      </c>
      <c r="FD237" s="6">
        <v>0</v>
      </c>
      <c r="FE237" s="6">
        <v>0</v>
      </c>
      <c r="FF237" s="6">
        <v>0</v>
      </c>
      <c r="FG237" s="6">
        <v>0</v>
      </c>
      <c r="FH237" s="6">
        <v>1154.78027915398</v>
      </c>
      <c r="FI237" s="6">
        <v>1531.4299904380616</v>
      </c>
      <c r="FJ237" s="6">
        <v>2070.7205842538219</v>
      </c>
      <c r="FK237" s="6">
        <v>2218.6393698501006</v>
      </c>
      <c r="FL237" s="6">
        <v>893.9143356348934</v>
      </c>
      <c r="FM237" s="6">
        <v>2119.8755234243849</v>
      </c>
      <c r="FN237" s="6">
        <v>0</v>
      </c>
      <c r="FO237" s="6">
        <v>0</v>
      </c>
      <c r="FP237" s="6">
        <v>0</v>
      </c>
      <c r="FQ237" s="6">
        <v>0</v>
      </c>
      <c r="FR237" s="6">
        <v>0</v>
      </c>
      <c r="FS237" s="6">
        <v>0</v>
      </c>
      <c r="FT237" s="7">
        <v>0.64502435929292834</v>
      </c>
      <c r="FU237" s="7">
        <v>4.4273674812407252E-2</v>
      </c>
      <c r="FV237" s="7">
        <v>0.31070196589466437</v>
      </c>
      <c r="FW237" s="6">
        <v>2350</v>
      </c>
      <c r="FX237" s="6">
        <v>2969.8755234243854</v>
      </c>
      <c r="FY237" s="6">
        <v>2111</v>
      </c>
      <c r="FZ237" s="6">
        <v>2594.6978186474794</v>
      </c>
      <c r="GA237" s="6">
        <v>2303.1863974994371</v>
      </c>
      <c r="GB237" s="6">
        <v>17391.813602500562</v>
      </c>
      <c r="GC237" s="7">
        <v>9.6947029492584935E-2</v>
      </c>
      <c r="GD237" s="7">
        <v>9.4871487632510604E-2</v>
      </c>
      <c r="GE237" s="7"/>
      <c r="GF237" s="7"/>
      <c r="GG237" s="7">
        <v>-2.1409029971703061E-2</v>
      </c>
      <c r="GH237" s="42">
        <v>1.4464299327694576</v>
      </c>
      <c r="GI237" s="6">
        <v>15919.469878504471</v>
      </c>
      <c r="GJ237" s="14">
        <v>0.51074630601039561</v>
      </c>
      <c r="GK237" s="14">
        <v>0.50829519786160937</v>
      </c>
      <c r="GL237" s="14">
        <v>0.48925369398960394</v>
      </c>
      <c r="GM237" s="14">
        <v>0.49170480213839041</v>
      </c>
      <c r="GO237" s="5">
        <v>338.16872463277008</v>
      </c>
      <c r="GP237" s="5">
        <v>293.33520778489498</v>
      </c>
      <c r="GQ237" s="5">
        <v>527.27910984145694</v>
      </c>
      <c r="GR237" s="5">
        <v>404.20319246551543</v>
      </c>
      <c r="GS237" s="5">
        <v>334.50205195691484</v>
      </c>
      <c r="GT237" s="5">
        <v>289.18266033348181</v>
      </c>
      <c r="GU237" s="5">
        <v>254.29573314828914</v>
      </c>
      <c r="GV237" s="39" t="s">
        <v>392</v>
      </c>
      <c r="GW237" s="5">
        <v>468.76388888888891</v>
      </c>
      <c r="GX237" s="5">
        <v>351.57291666666669</v>
      </c>
      <c r="GY237" s="5">
        <v>281.25833333333333</v>
      </c>
      <c r="GZ237" s="5">
        <v>240.8550698915011</v>
      </c>
      <c r="HA237" s="5">
        <v>229.89195052129486</v>
      </c>
      <c r="HB237" s="39">
        <v>252.8841680831556</v>
      </c>
      <c r="HC237" s="5">
        <v>190.75937499999998</v>
      </c>
      <c r="HD237" s="5">
        <v>173.28879751461983</v>
      </c>
      <c r="HE237" s="5">
        <v>178.94016109986501</v>
      </c>
      <c r="HF237" s="5">
        <v>168.88629934210525</v>
      </c>
      <c r="HG237" s="5">
        <v>167.11410087719298</v>
      </c>
      <c r="HH237" s="39">
        <v>175.25376429638717</v>
      </c>
      <c r="HI237" s="16"/>
      <c r="HJ237" s="19" t="str">
        <f t="shared" si="850"/>
        <v>On</v>
      </c>
      <c r="HK237" s="1" t="str">
        <f t="shared" si="850"/>
        <v>On</v>
      </c>
      <c r="HL237" s="16"/>
      <c r="HM237" s="639">
        <f t="shared" si="727"/>
        <v>5.0961701597560354E-2</v>
      </c>
      <c r="HN237" s="639">
        <f t="shared" si="728"/>
        <v>3.112551654761847E-3</v>
      </c>
      <c r="HO237" s="639">
        <f t="shared" si="729"/>
        <v>3.1163314184693442E-2</v>
      </c>
      <c r="HP237" s="644">
        <f>(FT237*$GD237-HM237)/$JF237*INDEX(Input!$1:$1048576,$JG$93,$C237*2+6)</f>
        <v>192.19909126876647</v>
      </c>
      <c r="HQ237" s="644">
        <f>(FU237*$GD237-HN237)/$JF237*INDEX(Input!$1:$1048576,$JG$93,$C237*2+6)</f>
        <v>20.431133716518609</v>
      </c>
      <c r="HR237" s="644">
        <f>(FV237*$GD237-HO237)/$JF237*INDEX(Input!$1:$1048576,$JG$93,$C237*2+6)</f>
        <v>-31.678249268890148</v>
      </c>
      <c r="HS237" s="644">
        <f t="shared" ref="HS237:HS261" si="851">IF(AND(HJ237="On",HK237="On"),IL237/1000*INDEX(KG:KG,MATCH(C237*1000+3,$KF:$KF,0))*SUM(HY237:IA237)*1.1
+INDEX(HR:HR,MATCH(C237*1000+4,$KF:$KF,0))/INDEX(IM:IM,MATCH(C237*1000+4,$KF:$KF,0))*IM237*20%,0)</f>
        <v>-23.657614060839659</v>
      </c>
      <c r="HT237" s="644">
        <f t="shared" si="731"/>
        <v>53.901821976393109</v>
      </c>
      <c r="HU237" s="644">
        <f t="shared" si="732"/>
        <v>38.972142147050981</v>
      </c>
      <c r="HV237" s="648">
        <f t="shared" si="733"/>
        <v>0</v>
      </c>
      <c r="HW237" s="648">
        <f t="shared" si="734"/>
        <v>0</v>
      </c>
      <c r="HX237" s="648">
        <f t="shared" si="735"/>
        <v>0</v>
      </c>
      <c r="HY237" s="644">
        <f>INDEX(Input!$1:$1048576,HY$93,$C237*2+6)*INDEX(Input!$1:$1048576,$JG$93,$C237*2+6)</f>
        <v>555</v>
      </c>
      <c r="HZ237" s="644">
        <f>INDEX(Input!$1:$1048576,HZ$93,$C237*2+6)*INDEX(Input!$1:$1048576,$JG$93,$C237*2+6)</f>
        <v>480</v>
      </c>
      <c r="IA237" s="644">
        <f>INDEX(Input!$1:$1048576,IA$93,$C237*2+6)*INDEX(Input!$1:$1048576,$JG$93,$C237*2+6)</f>
        <v>566</v>
      </c>
      <c r="IB237" s="644">
        <f t="shared" si="759"/>
        <v>723.54147720792673</v>
      </c>
      <c r="IC237" s="644">
        <f t="shared" si="760"/>
        <v>554.3329556929117</v>
      </c>
      <c r="ID237" s="644">
        <f>IF(AND(INDEX(Input!$1:$1048576,IA$93,$C237*2+7)="TOS",Y237&lt;=INDEX(Y:Y,MATCH(C237*1000+2,A:A))),0,1)*MAX(IA237+HR237+HU237+HX237,0%)</f>
        <v>573.29389287816082</v>
      </c>
      <c r="IE237" s="128">
        <f t="shared" ref="IE237:IE240" si="852">IB237/SUM($IB237:$ID237)</f>
        <v>0.39085666448157802</v>
      </c>
      <c r="IF237" s="128">
        <f t="shared" si="736"/>
        <v>0.29945032441047204</v>
      </c>
      <c r="IG237" s="128">
        <f t="shared" si="737"/>
        <v>0.30969301110795</v>
      </c>
      <c r="IH237" s="21"/>
      <c r="II237" s="19">
        <f t="shared" si="738"/>
        <v>1200</v>
      </c>
      <c r="IJ237" s="19">
        <f t="shared" si="739"/>
        <v>2226.7968732767699</v>
      </c>
      <c r="IK237" s="19">
        <f t="shared" si="740"/>
        <v>1786</v>
      </c>
      <c r="IL237" s="19">
        <f t="shared" si="762"/>
        <v>1150</v>
      </c>
      <c r="IM237" s="19">
        <f t="shared" si="741"/>
        <v>743.07865014761546</v>
      </c>
      <c r="IN237" s="19">
        <f t="shared" si="742"/>
        <v>325</v>
      </c>
      <c r="IO237" s="39">
        <f t="shared" si="743"/>
        <v>0</v>
      </c>
      <c r="IP237" s="39">
        <f t="shared" si="744"/>
        <v>0</v>
      </c>
      <c r="IQ237" s="39">
        <f t="shared" si="745"/>
        <v>0</v>
      </c>
      <c r="IR237" s="39">
        <v>0</v>
      </c>
      <c r="IS237" s="39">
        <v>0</v>
      </c>
      <c r="IT237" s="39">
        <v>0</v>
      </c>
      <c r="IU237" s="39">
        <v>0</v>
      </c>
      <c r="IV237" s="39">
        <v>0</v>
      </c>
      <c r="IW237" s="39">
        <v>0</v>
      </c>
      <c r="IX237" s="39">
        <f>INDEX(Input!$1:$1048576,IX$93,$C237*2+6)+INDEX(Input!$1:$1048576,IX$94,$C237*2+6)</f>
        <v>1600</v>
      </c>
      <c r="IY237" s="39">
        <f>INDEX(Input!$1:$1048576,IY$93,$C237*2+6)+INDEX(Input!$1:$1048576,IY$94,$C237*2+6)</f>
        <v>2503.5492916397525</v>
      </c>
      <c r="IZ237" s="39">
        <f>INDEX(Input!$1:$1048576,IZ$93,$C237*2+6)+INDEX(Input!$1:$1048576,IZ$94,$C237*2+6)</f>
        <v>5773.7109265464023</v>
      </c>
      <c r="JA237" s="19">
        <f t="shared" si="763"/>
        <v>2750</v>
      </c>
      <c r="JB237" s="19">
        <f t="shared" si="764"/>
        <v>3246.6279417873679</v>
      </c>
      <c r="JC237" s="19">
        <f t="shared" si="765"/>
        <v>6098.7109265464023</v>
      </c>
      <c r="JD237" s="19">
        <f t="shared" si="766"/>
        <v>3935.7877684517807</v>
      </c>
      <c r="JE237" s="21"/>
      <c r="JF237" s="1">
        <f t="shared" si="746"/>
        <v>8.5237567437015646E-2</v>
      </c>
      <c r="JG237" s="15">
        <f>INDEX(Input!$1:$1048576,JG$93,$C237*2+6)/(1+VLOOKUP(C237*1000+INDEX(Input!$1:$1048576,JG$93+1,$C237*2+6),$A:$KK,$JK$92,FALSE))</f>
        <v>1601</v>
      </c>
      <c r="JH237" s="1">
        <f t="shared" si="767"/>
        <v>0.11302434460736724</v>
      </c>
      <c r="JI237" s="1">
        <f t="shared" si="768"/>
        <v>4.3233198040352548E-2</v>
      </c>
      <c r="JJ237" s="1">
        <f t="shared" si="828"/>
        <v>0</v>
      </c>
      <c r="JK237" s="1">
        <f t="shared" si="829"/>
        <v>0.15625754264771979</v>
      </c>
      <c r="JL237" s="15">
        <f t="shared" si="771"/>
        <v>250.16832577899939</v>
      </c>
      <c r="JM237" s="15">
        <f t="shared" si="795"/>
        <v>1851.1683257789994</v>
      </c>
      <c r="JN237" s="21"/>
      <c r="JO237" s="19">
        <f>INDEX(Input!$1:$1048576,JO$93,$C237*2+6)</f>
        <v>5908.5</v>
      </c>
      <c r="JP237" s="19">
        <f>INDEX(Input!$1:$1048576,JP$93,$C237*2+6)</f>
        <v>3346.4235130620518</v>
      </c>
      <c r="JQ237" s="39">
        <f t="shared" si="781"/>
        <v>1972.7122315482193</v>
      </c>
      <c r="JR237" s="39">
        <f t="shared" si="798"/>
        <v>589.3642553897289</v>
      </c>
      <c r="JS237" s="39">
        <f t="shared" si="783"/>
        <v>7.2858056539463467</v>
      </c>
      <c r="JT237" s="39">
        <f t="shared" si="773"/>
        <v>1.9281816095340019</v>
      </c>
      <c r="JU237" s="385">
        <f>(JQ237*JM237-INDEX(Input!$1:$1048576,Input!A$18,$C237*2+6)*JL237*INDEX(Input!$1:$1048576,Input!A$19,$C237*2+6))/1000000</f>
        <v>3.6518223989188709</v>
      </c>
      <c r="JV237" s="39">
        <f t="shared" si="805"/>
        <v>-0.45006205666878385</v>
      </c>
      <c r="JW237" s="1">
        <f t="shared" si="796"/>
        <v>-0.10972080309470977</v>
      </c>
      <c r="JX237" s="19">
        <f t="shared" si="787"/>
        <v>7707.5369295047058</v>
      </c>
      <c r="JZ237" s="341"/>
      <c r="KA237" s="342"/>
      <c r="KB237" s="469">
        <f t="shared" si="784"/>
        <v>2.4482969984810516</v>
      </c>
      <c r="KI237" s="473">
        <f t="shared" ref="KI237:KI261" si="853">$JM237*IE237-$JG237*HY237/SUM($HY237:$IA237)</f>
        <v>168.54147720792685</v>
      </c>
      <c r="KJ237" s="473">
        <f t="shared" ref="KJ237:KJ261" si="854">$JM237*IF237-$JG237*HZ237/SUM($HY237:$IA237)</f>
        <v>74.332955692911696</v>
      </c>
      <c r="KK237" s="473">
        <f t="shared" si="775"/>
        <v>7.2938928781608183</v>
      </c>
      <c r="KN237" s="544">
        <f t="shared" si="788"/>
        <v>2002</v>
      </c>
      <c r="KO237" s="541">
        <f t="shared" si="750"/>
        <v>7.142747451812026E-2</v>
      </c>
      <c r="KP237" s="546">
        <f t="shared" si="751"/>
        <v>395.87369421673895</v>
      </c>
      <c r="KQ237" s="546">
        <f t="shared" si="752"/>
        <v>210.1841934952422</v>
      </c>
      <c r="KR237" s="548">
        <f t="shared" si="753"/>
        <v>2.8813575463164023</v>
      </c>
      <c r="KS237" s="548">
        <f t="shared" si="754"/>
        <v>5.4269240576617044</v>
      </c>
      <c r="KT237" s="473">
        <f t="shared" si="786"/>
        <v>528.59039248727379</v>
      </c>
      <c r="KU237" s="663">
        <f t="shared" si="776"/>
        <v>12.520671001067646</v>
      </c>
      <c r="KV237" s="117"/>
    </row>
    <row r="238" spans="1:308" s="26" customFormat="1" ht="15">
      <c r="A238" s="561">
        <f t="shared" si="755"/>
        <v>2038</v>
      </c>
      <c r="B238" s="561">
        <f t="shared" si="777"/>
        <v>38</v>
      </c>
      <c r="C238" s="561">
        <f t="shared" si="105"/>
        <v>2</v>
      </c>
      <c r="D238" s="561" t="str">
        <f t="shared" si="824"/>
        <v xml:space="preserve">1000 CC, 0/0/0.9/3.9, </v>
      </c>
      <c r="E238" s="475">
        <f>INDEX(Input!$1:$1048576,E$93,$C238*2+MIN($B238,2)+5)
+INDEX(Scenarios!E$121:E$200,MATCH($B238,Scenarios!$B$121:$B$200,0))</f>
        <v>2250</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8.9999999999999993E-3</v>
      </c>
      <c r="W238" s="863">
        <f>IFERROR(MAX(0,INDEX(Input!$1:$1048576,W$93,$C238*2+MIN($B238,2)+5)-0%,),"Market")</f>
        <v>3.9E-2</v>
      </c>
      <c r="X238" s="476" t="str">
        <f>INDEX(Input!$1:$1048576,X$93,$C238*2+MIN($B238,2)+5)</f>
        <v>Y</v>
      </c>
      <c r="Y238" s="475">
        <f>INDEX(Input!$1:$1048576,Y$93,$C238*2+MIN($B238,2)+5)
++INDEX(Scenarios!Y$121:Y$200,MATCH($B238,Scenarios!$B$121:$B$200,0))</f>
        <v>1358</v>
      </c>
      <c r="Z238" s="477">
        <f>INDEX(Input!$1:$1048576,Z$93,$C238*2+MIN($B238,2)+5)
+INDEX(Scenarios!Z$121:Z$200,MATCH($B238,Scenarios!$B$121:$B$200,0))</f>
        <v>0</v>
      </c>
      <c r="AA238" s="475">
        <f>INDEX(Input!$1:$1048576,AA$93,$C238*2+MIN($B238,2)+5)</f>
        <v>0</v>
      </c>
      <c r="AB238" s="476">
        <f>INDEX(Input!$1:$1048576,AB$93,$C238*2+MIN($B238,2)+5)</f>
        <v>1</v>
      </c>
      <c r="AC238" s="475">
        <f>INDEX(Input!$1:$1048576,AC$93,$C238*2+MIN($B238,2)+5)
+INDEX(Scenarios!AC$121:AC$200,MATCH($B238,Scenarios!$B$121:$B$200,0))</f>
        <v>0</v>
      </c>
      <c r="AD238" s="476">
        <f>INDEX(Input!$1:$1048576,AD$93,$C238*2+MIN($B238,2)+5)</f>
        <v>0.35</v>
      </c>
      <c r="AE238" s="475">
        <f>INDEX(Input!$1:$1048576,AE$93,$C238*2+MIN($B238,2)+5)
+INDEX(Scenarios!AE$121:AE$200,MATCH($B238,Scenarios!$B$121:$B$200,0))</f>
        <v>0</v>
      </c>
      <c r="AF238" s="476">
        <f>INDEX(Input!$1:$1048576,AF$93,$C238*2+MIN($B238,2)+5)</f>
        <v>1</v>
      </c>
      <c r="AG238" s="475">
        <f>INDEX(Input!$1:$1048576,AG$93,$C238*2+MIN($B238,2)+5)
+INDEX(Scenarios!AG$121:AG$200,MATCH($B238,Scenarios!$B$121:$B$200,0))</f>
        <v>0</v>
      </c>
      <c r="AH238" s="476">
        <f>INDEX(Input!$1:$1048576,AH$93,$C238*2+MIN($B238,2)+5)</f>
        <v>1</v>
      </c>
      <c r="AI238" s="475">
        <f>INDEX(Input!$1:$1048576,AI$93,$C238*2+MIN($B238,2)+5)
+INDEX(Scenarios!AI$121:AI$200,MATCH($B238,Scenarios!$B$121:$B$200,0))</f>
        <v>0</v>
      </c>
      <c r="AJ238" s="476">
        <f>INDEX(Input!$1:$1048576,AJ$93,$C238*2+MIN($B238,2)+5)</f>
        <v>0.35</v>
      </c>
      <c r="AK238" s="150">
        <f>ROUND(INDEX(Input!$1:$1048576,AK$93,$C237*2+MIN($B238,1)+5)+(Y238-VLOOKUP($C238*1000+1,$A:$HH,Y$92,FALSE)),0)</f>
        <v>4982</v>
      </c>
      <c r="AL238" s="150">
        <f>ROUND(INDEX(Input!$1:$1048576,AL$93,$C237*2+MIN($B238,1)+5)-(Y238-VLOOKUP($C238*1000+1,$A:$HH,Y$92,FALSE))/36,0)</f>
        <v>5102</v>
      </c>
      <c r="AM238" s="32" t="str">
        <f t="shared" si="756"/>
        <v>std/std/std/std</v>
      </c>
      <c r="AN238" s="32" t="str">
        <f t="shared" si="757"/>
        <v>$0 + 0/0/0/0.9/3.9</v>
      </c>
      <c r="AO238" s="32" t="str">
        <f t="shared" si="758"/>
        <v>0/0/0/0.9/3.9</v>
      </c>
      <c r="AP238" s="32" t="str">
        <f t="shared" si="831"/>
        <v>0/0/0.9/3.9</v>
      </c>
      <c r="AQ238" s="536">
        <f t="shared" si="830"/>
        <v>0.40981175363623312</v>
      </c>
      <c r="AR238" s="32"/>
      <c r="AS238" s="302"/>
      <c r="AT238" s="3">
        <f t="shared" si="810"/>
        <v>38</v>
      </c>
      <c r="AU238" s="41" t="s">
        <v>121</v>
      </c>
      <c r="AV238" s="41" t="s">
        <v>116</v>
      </c>
      <c r="AW238" s="41" t="str">
        <f>INDEX(Input!$1:$1048576,AW$93,$C238*2+6)</f>
        <v>Kia</v>
      </c>
      <c r="AX238" s="41" t="str">
        <f>INDEX(Input!$1:$1048576,AX$93,$C238*2+6)</f>
        <v>Kia-LR - L2</v>
      </c>
      <c r="AY238" s="41" t="str">
        <f>IF(LEN(D238)=0,"",INDEX(Input!$1:$1048576,AY$93,$C238*2+6))</f>
        <v>Compact Conventional/Sporty Car (43)</v>
      </c>
      <c r="AZ238" s="41" t="str">
        <f>INDEX(Input!$1:$1048576,AZ$93,$C238*2+6)</f>
        <v>Kia Forte</v>
      </c>
      <c r="BA238" s="3">
        <f>INDEX(Input!$1:$1048576,BA$93,$C238*2+6)</f>
        <v>2020</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19695</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832"/>
        <v>2250</v>
      </c>
      <c r="CJ238" s="16" t="str">
        <f>INDEX(Input!$1:$1048576,CJ$93,$C238*2+6)</f>
        <v>N</v>
      </c>
      <c r="CK238" s="1" t="str">
        <f t="shared" si="833"/>
        <v>Market</v>
      </c>
      <c r="CL238" s="1" t="str">
        <f t="shared" si="834"/>
        <v>Market</v>
      </c>
      <c r="CM238" s="1" t="str">
        <f t="shared" si="835"/>
        <v>Market</v>
      </c>
      <c r="CN238" s="1" t="str">
        <f t="shared" si="836"/>
        <v>Market</v>
      </c>
      <c r="CO238" s="1" t="str">
        <f t="shared" si="837"/>
        <v>Market</v>
      </c>
      <c r="CP238" s="304">
        <f t="shared" si="838"/>
        <v>0</v>
      </c>
      <c r="CQ238" s="1">
        <f t="shared" si="839"/>
        <v>0</v>
      </c>
      <c r="CR238" s="1">
        <f t="shared" si="840"/>
        <v>0</v>
      </c>
      <c r="CS238" s="1">
        <f t="shared" si="841"/>
        <v>0</v>
      </c>
      <c r="CT238" s="1">
        <f t="shared" si="842"/>
        <v>8.9999999999999993E-3</v>
      </c>
      <c r="CU238" s="1">
        <f t="shared" si="843"/>
        <v>3.9E-2</v>
      </c>
      <c r="CV238" s="304">
        <f t="shared" si="844"/>
        <v>1358</v>
      </c>
      <c r="CW238" s="20" t="s">
        <v>122</v>
      </c>
      <c r="CX238" s="20" t="s">
        <v>122</v>
      </c>
      <c r="CY238" s="20" t="s">
        <v>122</v>
      </c>
      <c r="CZ238" s="20" t="s">
        <v>122</v>
      </c>
      <c r="DA238" s="20" t="s">
        <v>122</v>
      </c>
      <c r="DB238" s="503">
        <f t="shared" si="845"/>
        <v>0</v>
      </c>
      <c r="DC238" s="127">
        <v>0</v>
      </c>
      <c r="DD238" s="127">
        <v>0</v>
      </c>
      <c r="DE238" s="127">
        <v>0</v>
      </c>
      <c r="DF238" s="127">
        <v>0</v>
      </c>
      <c r="DG238" s="127">
        <v>0</v>
      </c>
      <c r="DH238" s="127">
        <v>0</v>
      </c>
      <c r="DI238" s="127">
        <v>0</v>
      </c>
      <c r="DJ238" s="127">
        <v>0</v>
      </c>
      <c r="DK238" s="127">
        <v>0</v>
      </c>
      <c r="DL238" s="127">
        <v>0</v>
      </c>
      <c r="DM238" s="304">
        <f>INDEX(Input!$1:$1048576,DM$93,$C238*2+6)</f>
        <v>20731.578947368424</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3.1357449222256854E-2</v>
      </c>
      <c r="DZ238" s="7">
        <v>0</v>
      </c>
      <c r="EA238" s="7">
        <v>0.63003516765934864</v>
      </c>
      <c r="EB238" s="7">
        <v>0</v>
      </c>
      <c r="EC238" s="7">
        <v>0</v>
      </c>
      <c r="ED238" s="7">
        <v>0</v>
      </c>
      <c r="EE238" s="7">
        <v>0</v>
      </c>
      <c r="EF238" s="7">
        <v>0</v>
      </c>
      <c r="EG238" s="7">
        <v>0</v>
      </c>
      <c r="EH238" s="7">
        <v>1.1581342997392432E-2</v>
      </c>
      <c r="EI238" s="7">
        <v>1.8923049029201361E-2</v>
      </c>
      <c r="EJ238" s="7">
        <v>0.18993483267044961</v>
      </c>
      <c r="EK238" s="7">
        <v>0.74531782625179421</v>
      </c>
      <c r="EL238" s="7">
        <v>3.4242949051162208E-2</v>
      </c>
      <c r="EM238" s="7">
        <v>4.2185718387923558E-2</v>
      </c>
      <c r="EN238" s="7">
        <v>4.9709906190758026E-2</v>
      </c>
      <c r="EO238" s="7">
        <v>0.56156677539623856</v>
      </c>
      <c r="EP238" s="7">
        <v>0.28611455890234683</v>
      </c>
      <c r="EQ238" s="7">
        <v>6.3853167674457326E-2</v>
      </c>
      <c r="ER238" s="7">
        <v>3.8755591836199338E-2</v>
      </c>
      <c r="ES238" s="7">
        <v>0.29642166473047094</v>
      </c>
      <c r="ET238" s="7">
        <v>0.3386073831183945</v>
      </c>
      <c r="EU238" s="6">
        <v>2600</v>
      </c>
      <c r="EV238" s="6">
        <v>0</v>
      </c>
      <c r="EW238" s="6">
        <v>2600</v>
      </c>
      <c r="EX238" s="6">
        <v>0</v>
      </c>
      <c r="EY238" s="6">
        <v>2969.856920830016</v>
      </c>
      <c r="EZ238" s="6">
        <v>2111</v>
      </c>
      <c r="FA238" s="6">
        <v>0</v>
      </c>
      <c r="FB238" s="6">
        <v>0</v>
      </c>
      <c r="FC238" s="6">
        <v>0</v>
      </c>
      <c r="FD238" s="6">
        <v>0</v>
      </c>
      <c r="FE238" s="6">
        <v>0</v>
      </c>
      <c r="FF238" s="6">
        <v>0</v>
      </c>
      <c r="FG238" s="6">
        <v>0</v>
      </c>
      <c r="FH238" s="6">
        <v>1154.7791078370183</v>
      </c>
      <c r="FI238" s="6">
        <v>1531.4299904380618</v>
      </c>
      <c r="FJ238" s="6">
        <v>2070.7205842538219</v>
      </c>
      <c r="FK238" s="6">
        <v>2218.6393698501029</v>
      </c>
      <c r="FL238" s="6">
        <v>893.91433563489363</v>
      </c>
      <c r="FM238" s="6">
        <v>2119.856920830016</v>
      </c>
      <c r="FN238" s="6">
        <v>0</v>
      </c>
      <c r="FO238" s="6">
        <v>0</v>
      </c>
      <c r="FP238" s="6">
        <v>0</v>
      </c>
      <c r="FQ238" s="6">
        <v>0</v>
      </c>
      <c r="FR238" s="6">
        <v>0</v>
      </c>
      <c r="FS238" s="6">
        <v>0</v>
      </c>
      <c r="FT238" s="7">
        <v>0.66139261688160544</v>
      </c>
      <c r="FU238" s="7">
        <v>4.2185718387923558E-2</v>
      </c>
      <c r="FV238" s="7">
        <v>0.29642166473047094</v>
      </c>
      <c r="FW238" s="6">
        <v>2600.0000000000005</v>
      </c>
      <c r="FX238" s="6">
        <v>2969.856920830016</v>
      </c>
      <c r="FY238" s="6">
        <v>2111</v>
      </c>
      <c r="FZ238" s="6">
        <v>2594.6978186474794</v>
      </c>
      <c r="GA238" s="6">
        <v>2470.6524858527591</v>
      </c>
      <c r="GB238" s="6">
        <v>17224.347514147241</v>
      </c>
      <c r="GC238" s="7">
        <v>9.6947029492584935E-2</v>
      </c>
      <c r="GD238" s="7">
        <v>9.6753093991278322E-2</v>
      </c>
      <c r="GE238" s="7"/>
      <c r="GF238" s="7"/>
      <c r="GG238" s="7">
        <v>-2.0004274738654763E-3</v>
      </c>
      <c r="GH238" s="42">
        <v>0.31761307104540631</v>
      </c>
      <c r="GI238" s="6">
        <v>64480.065181542355</v>
      </c>
      <c r="GJ238" s="14">
        <v>0.5107463060103955</v>
      </c>
      <c r="GK238" s="14">
        <v>0.50829519786160959</v>
      </c>
      <c r="GL238" s="14">
        <v>0.48925369398960455</v>
      </c>
      <c r="GM238" s="14">
        <v>0.49170480213839024</v>
      </c>
      <c r="GO238" s="5">
        <v>338.16872463277008</v>
      </c>
      <c r="GP238" s="5">
        <v>288.56568471597211</v>
      </c>
      <c r="GQ238" s="5">
        <v>527.27910984145694</v>
      </c>
      <c r="GR238" s="5">
        <v>404.20319246551543</v>
      </c>
      <c r="GS238" s="5">
        <v>334.50205195691484</v>
      </c>
      <c r="GT238" s="5">
        <v>289.18266033348181</v>
      </c>
      <c r="GU238" s="5">
        <v>254.29573314828914</v>
      </c>
      <c r="GV238" s="39" t="s">
        <v>392</v>
      </c>
      <c r="GW238" s="5">
        <v>468.76388888888891</v>
      </c>
      <c r="GX238" s="5">
        <v>351.57291666666669</v>
      </c>
      <c r="GY238" s="5">
        <v>281.25833333333333</v>
      </c>
      <c r="GZ238" s="5">
        <v>240.8550698915011</v>
      </c>
      <c r="HA238" s="5">
        <v>229.89195052129486</v>
      </c>
      <c r="HB238" s="39">
        <v>252.88825688250321</v>
      </c>
      <c r="HC238" s="5">
        <v>190.75937499999998</v>
      </c>
      <c r="HD238" s="5">
        <v>173.28879751461983</v>
      </c>
      <c r="HE238" s="5">
        <v>178.94016109986501</v>
      </c>
      <c r="HF238" s="5">
        <v>168.88629934210525</v>
      </c>
      <c r="HG238" s="5">
        <v>167.11410087719298</v>
      </c>
      <c r="HH238" s="39">
        <v>175.25377820531713</v>
      </c>
      <c r="HI238" s="16"/>
      <c r="HJ238" s="19" t="str">
        <f t="shared" si="850"/>
        <v>On</v>
      </c>
      <c r="HK238" s="1" t="str">
        <f t="shared" si="850"/>
        <v>On</v>
      </c>
      <c r="HL238" s="16"/>
      <c r="HM238" s="639">
        <f t="shared" si="727"/>
        <v>5.0961701597560354E-2</v>
      </c>
      <c r="HN238" s="639">
        <f t="shared" si="728"/>
        <v>3.112551654761847E-3</v>
      </c>
      <c r="HO238" s="639">
        <f t="shared" si="729"/>
        <v>3.1163314184693442E-2</v>
      </c>
      <c r="HP238" s="644">
        <f>(FT238*$GD238-HM238)/$JF238*INDEX(Input!$1:$1048576,$JG$93,$C238*2+6)</f>
        <v>244.74136690726931</v>
      </c>
      <c r="HQ238" s="644">
        <f>(FU238*$GD238-HN238)/$JF238*INDEX(Input!$1:$1048576,$JG$93,$C238*2+6)</f>
        <v>18.201416208776141</v>
      </c>
      <c r="HR238" s="644">
        <f>(FV238*$GD238-HO238)/$JF238*INDEX(Input!$1:$1048576,$JG$93,$C238*2+6)</f>
        <v>-46.648975494216494</v>
      </c>
      <c r="HS238" s="644">
        <f t="shared" si="851"/>
        <v>-28.690605739795544</v>
      </c>
      <c r="HT238" s="644">
        <f t="shared" si="731"/>
        <v>50.987254383471779</v>
      </c>
      <c r="HU238" s="644">
        <f t="shared" si="732"/>
        <v>41.885012229456677</v>
      </c>
      <c r="HV238" s="648">
        <f t="shared" si="733"/>
        <v>0</v>
      </c>
      <c r="HW238" s="648">
        <f t="shared" si="734"/>
        <v>0</v>
      </c>
      <c r="HX238" s="648">
        <f t="shared" si="735"/>
        <v>0</v>
      </c>
      <c r="HY238" s="644">
        <f>INDEX(Input!$1:$1048576,HY$93,$C238*2+6)*INDEX(Input!$1:$1048576,$JG$93,$C238*2+6)</f>
        <v>555</v>
      </c>
      <c r="HZ238" s="644">
        <f>INDEX(Input!$1:$1048576,HZ$93,$C238*2+6)*INDEX(Input!$1:$1048576,$JG$93,$C238*2+6)</f>
        <v>480</v>
      </c>
      <c r="IA238" s="644">
        <f>INDEX(Input!$1:$1048576,IA$93,$C238*2+6)*INDEX(Input!$1:$1048576,$JG$93,$C238*2+6)</f>
        <v>566</v>
      </c>
      <c r="IB238" s="644">
        <f t="shared" si="759"/>
        <v>771.05076116747375</v>
      </c>
      <c r="IC238" s="644">
        <f t="shared" si="760"/>
        <v>549.18867059224795</v>
      </c>
      <c r="ID238" s="644">
        <f>IF(AND(INDEX(Input!$1:$1048576,IA$93,$C238*2+7)="TOS",Y238&lt;=INDEX(Y:Y,MATCH(C238*1000+2,A:A))),0,1)*MAX(IA238+HR238+HU238+HX238,0%)</f>
        <v>561.23603673524019</v>
      </c>
      <c r="IE238" s="128">
        <f t="shared" si="852"/>
        <v>0.40981175363623312</v>
      </c>
      <c r="IF238" s="128">
        <f t="shared" si="736"/>
        <v>0.29189254911282864</v>
      </c>
      <c r="IG238" s="128">
        <f t="shared" si="737"/>
        <v>0.29829569725093813</v>
      </c>
      <c r="IH238" s="21"/>
      <c r="II238" s="19">
        <f t="shared" si="738"/>
        <v>1200</v>
      </c>
      <c r="IJ238" s="19">
        <f t="shared" si="739"/>
        <v>2226.7968732767699</v>
      </c>
      <c r="IK238" s="19">
        <f t="shared" si="740"/>
        <v>1786</v>
      </c>
      <c r="IL238" s="19">
        <f t="shared" si="762"/>
        <v>1400.0000000000005</v>
      </c>
      <c r="IM238" s="19">
        <f t="shared" si="741"/>
        <v>743.06004755324602</v>
      </c>
      <c r="IN238" s="19">
        <f t="shared" si="742"/>
        <v>325</v>
      </c>
      <c r="IO238" s="39">
        <f t="shared" si="743"/>
        <v>0</v>
      </c>
      <c r="IP238" s="39">
        <f t="shared" si="744"/>
        <v>0</v>
      </c>
      <c r="IQ238" s="39">
        <f t="shared" si="745"/>
        <v>0</v>
      </c>
      <c r="IR238" s="39">
        <v>0</v>
      </c>
      <c r="IS238" s="39">
        <v>0</v>
      </c>
      <c r="IT238" s="39">
        <v>0</v>
      </c>
      <c r="IU238" s="39">
        <v>0</v>
      </c>
      <c r="IV238" s="39">
        <v>0</v>
      </c>
      <c r="IW238" s="39">
        <v>0</v>
      </c>
      <c r="IX238" s="39">
        <f>INDEX(Input!$1:$1048576,IX$93,$C238*2+6)+INDEX(Input!$1:$1048576,IX$94,$C238*2+6)</f>
        <v>1600</v>
      </c>
      <c r="IY238" s="39">
        <f>INDEX(Input!$1:$1048576,IY$93,$C238*2+6)+INDEX(Input!$1:$1048576,IY$94,$C238*2+6)</f>
        <v>2503.5492916397525</v>
      </c>
      <c r="IZ238" s="39">
        <f>INDEX(Input!$1:$1048576,IZ$93,$C238*2+6)+INDEX(Input!$1:$1048576,IZ$94,$C238*2+6)</f>
        <v>5773.7109265464023</v>
      </c>
      <c r="JA238" s="19">
        <f t="shared" si="763"/>
        <v>3000.0000000000005</v>
      </c>
      <c r="JB238" s="19">
        <f t="shared" si="764"/>
        <v>3246.6093391929985</v>
      </c>
      <c r="JC238" s="19">
        <f t="shared" si="765"/>
        <v>6098.7109265464023</v>
      </c>
      <c r="JD238" s="19">
        <f t="shared" si="766"/>
        <v>3996.3155650653334</v>
      </c>
      <c r="JE238" s="21"/>
      <c r="JF238" s="1">
        <f t="shared" si="746"/>
        <v>8.5237567437015646E-2</v>
      </c>
      <c r="JG238" s="15">
        <f>INDEX(Input!$1:$1048576,JG$93,$C238*2+6)/(1+VLOOKUP(C238*1000+INDEX(Input!$1:$1048576,JG$93+1,$C238*2+6),$A:$KK,$JK$92,FALSE))</f>
        <v>1601</v>
      </c>
      <c r="JH238" s="1">
        <f t="shared" si="767"/>
        <v>0.13509919276816301</v>
      </c>
      <c r="JI238" s="1">
        <f t="shared" si="768"/>
        <v>4.0088482743993077E-2</v>
      </c>
      <c r="JJ238" s="1">
        <f t="shared" si="828"/>
        <v>0</v>
      </c>
      <c r="JK238" s="1">
        <f t="shared" si="829"/>
        <v>0.17518767551215608</v>
      </c>
      <c r="JL238" s="15">
        <f t="shared" si="771"/>
        <v>280.47546849496189</v>
      </c>
      <c r="JM238" s="15">
        <f t="shared" si="795"/>
        <v>1881.4754684949619</v>
      </c>
      <c r="JN238" s="21"/>
      <c r="JO238" s="19">
        <f>INDEX(Input!$1:$1048576,JO$93,$C238*2+6)</f>
        <v>5908.5</v>
      </c>
      <c r="JP238" s="19">
        <f>INDEX(Input!$1:$1048576,JP$93,$C238*2+6)</f>
        <v>3346.4235130620518</v>
      </c>
      <c r="JQ238" s="39">
        <f t="shared" si="781"/>
        <v>1912.1844349346666</v>
      </c>
      <c r="JR238" s="39">
        <f t="shared" si="798"/>
        <v>649.89205200328161</v>
      </c>
      <c r="JS238" s="39">
        <f t="shared" si="783"/>
        <v>7.5189697000350071</v>
      </c>
      <c r="JT238" s="39">
        <f t="shared" si="773"/>
        <v>2.1613456556226622</v>
      </c>
      <c r="JU238" s="385">
        <f>(JQ238*JM238-INDEX(Input!$1:$1048576,Input!A$18,$C238*2+6)*JL238*INDEX(Input!$1:$1048576,Input!A$19,$C238*2+6))/1000000</f>
        <v>3.5977281055674757</v>
      </c>
      <c r="JV238" s="39">
        <f t="shared" si="805"/>
        <v>-0.50415635002017911</v>
      </c>
      <c r="JW238" s="1">
        <f t="shared" si="796"/>
        <v>-0.12290847182041147</v>
      </c>
      <c r="JX238" s="19">
        <f t="shared" si="787"/>
        <v>7706.0060447371561</v>
      </c>
      <c r="JZ238" s="341"/>
      <c r="KA238" s="342"/>
      <c r="KB238" s="469">
        <f t="shared" si="784"/>
        <v>2.4482969984810516</v>
      </c>
      <c r="KI238" s="473">
        <f t="shared" si="853"/>
        <v>216.05076116747364</v>
      </c>
      <c r="KJ238" s="473">
        <f t="shared" si="854"/>
        <v>69.188670592247945</v>
      </c>
      <c r="KK238" s="473">
        <f t="shared" si="775"/>
        <v>-4.7639632647599228</v>
      </c>
      <c r="KN238" s="544">
        <f t="shared" si="788"/>
        <v>2002</v>
      </c>
      <c r="KO238" s="541">
        <f t="shared" si="750"/>
        <v>8.8968777990001469E-2</v>
      </c>
      <c r="KP238" s="546">
        <f t="shared" si="751"/>
        <v>509.94470452826215</v>
      </c>
      <c r="KQ238" s="546">
        <f t="shared" si="752"/>
        <v>270.71199010879491</v>
      </c>
      <c r="KR238" s="548">
        <f t="shared" si="753"/>
        <v>2.7861406787003364</v>
      </c>
      <c r="KS238" s="548">
        <f t="shared" si="754"/>
        <v>5.2482998060153401</v>
      </c>
      <c r="KT238" s="473">
        <f t="shared" si="786"/>
        <v>528.59039248727379</v>
      </c>
      <c r="KU238" s="663">
        <f t="shared" si="776"/>
        <v>12.613603052816046</v>
      </c>
      <c r="KV238" s="117"/>
    </row>
    <row r="239" spans="1:308" s="26" customFormat="1" ht="15">
      <c r="A239" s="561">
        <f t="shared" si="755"/>
        <v>2039</v>
      </c>
      <c r="B239" s="561">
        <f t="shared" si="777"/>
        <v>39</v>
      </c>
      <c r="C239" s="561">
        <f t="shared" si="105"/>
        <v>2</v>
      </c>
      <c r="D239" s="561" t="str">
        <f t="shared" si="824"/>
        <v xml:space="preserve">250 CC, 360 Lease, </v>
      </c>
      <c r="E239" s="475">
        <f>INDEX(Input!$1:$1048576,E$93,$C239*2+MIN($B239,2)+5)
+INDEX(Scenarios!E$121:E$200,MATCH($B239,Scenarios!$B$121:$B$200,0))</f>
        <v>1500</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1.9E-2</v>
      </c>
      <c r="W239" s="863">
        <f>IFERROR(MAX(0,INDEX(Input!$1:$1048576,W$93,$C239*2+MIN($B239,2)+5)-0%,),"Market")</f>
        <v>3.9E-2</v>
      </c>
      <c r="X239" s="476" t="str">
        <f>INDEX(Input!$1:$1048576,X$93,$C239*2+MIN($B239,2)+5)</f>
        <v>Y</v>
      </c>
      <c r="Y239" s="475">
        <f>INDEX(Input!$1:$1048576,Y$93,$C239*2+MIN($B239,2)+5)
++INDEX(Scenarios!Y$121:Y$200,MATCH($B239,Scenarios!$B$121:$B$200,0))</f>
        <v>1718</v>
      </c>
      <c r="Z239" s="477">
        <f>INDEX(Input!$1:$1048576,Z$93,$C239*2+MIN($B239,2)+5)
+INDEX(Scenarios!Z$121:Z$200,MATCH($B239,Scenarios!$B$121:$B$200,0))</f>
        <v>0</v>
      </c>
      <c r="AA239" s="475">
        <f>INDEX(Input!$1:$1048576,AA$93,$C239*2+MIN($B239,2)+5)</f>
        <v>0</v>
      </c>
      <c r="AB239" s="476">
        <f>INDEX(Input!$1:$1048576,AB$93,$C239*2+MIN($B239,2)+5)</f>
        <v>1</v>
      </c>
      <c r="AC239" s="475">
        <f>INDEX(Input!$1:$1048576,AC$93,$C239*2+MIN($B239,2)+5)
+INDEX(Scenarios!AC$121:AC$200,MATCH($B239,Scenarios!$B$121:$B$200,0))</f>
        <v>0</v>
      </c>
      <c r="AD239" s="476">
        <f>INDEX(Input!$1:$1048576,AD$93,$C239*2+MIN($B239,2)+5)</f>
        <v>0.35</v>
      </c>
      <c r="AE239" s="475">
        <f>INDEX(Input!$1:$1048576,AE$93,$C239*2+MIN($B239,2)+5)
+INDEX(Scenarios!AE$121:AE$200,MATCH($B239,Scenarios!$B$121:$B$200,0))</f>
        <v>0</v>
      </c>
      <c r="AF239" s="476">
        <f>INDEX(Input!$1:$1048576,AF$93,$C239*2+MIN($B239,2)+5)</f>
        <v>1</v>
      </c>
      <c r="AG239" s="475">
        <f>INDEX(Input!$1:$1048576,AG$93,$C239*2+MIN($B239,2)+5)
+INDEX(Scenarios!AG$121:AG$200,MATCH($B239,Scenarios!$B$121:$B$200,0))</f>
        <v>0</v>
      </c>
      <c r="AH239" s="476">
        <f>INDEX(Input!$1:$1048576,AH$93,$C239*2+MIN($B239,2)+5)</f>
        <v>1</v>
      </c>
      <c r="AI239" s="475">
        <f>INDEX(Input!$1:$1048576,AI$93,$C239*2+MIN($B239,2)+5)
+INDEX(Scenarios!AI$121:AI$200,MATCH($B239,Scenarios!$B$121:$B$200,0))</f>
        <v>0</v>
      </c>
      <c r="AJ239" s="476">
        <f>INDEX(Input!$1:$1048576,AJ$93,$C239*2+MIN($B239,2)+5)</f>
        <v>0.35</v>
      </c>
      <c r="AK239" s="150">
        <f>ROUND(INDEX(Input!$1:$1048576,AK$93,$C238*2+MIN($B239,1)+5)+(Y239-VLOOKUP($C239*1000+1,$A:$HH,Y$92,FALSE)),0)</f>
        <v>5342</v>
      </c>
      <c r="AL239" s="150">
        <f>ROUND(INDEX(Input!$1:$1048576,AL$93,$C238*2+MIN($B239,1)+5)-(Y239-VLOOKUP($C239*1000+1,$A:$HH,Y$92,FALSE))/36,0)</f>
        <v>5092</v>
      </c>
      <c r="AM239" s="32" t="str">
        <f t="shared" si="756"/>
        <v>std/std/std/std</v>
      </c>
      <c r="AN239" s="32" t="str">
        <f t="shared" si="757"/>
        <v>$0 + 0/0/0/1.9/3.9</v>
      </c>
      <c r="AO239" s="32" t="str">
        <f t="shared" si="758"/>
        <v>0/0/0/1.9/3.9</v>
      </c>
      <c r="AP239" s="32" t="str">
        <f t="shared" si="831"/>
        <v>0/0.9/1.9/3.9</v>
      </c>
      <c r="AQ239" s="536">
        <f t="shared" si="830"/>
        <v>0.34262859337064122</v>
      </c>
      <c r="AR239" s="32"/>
      <c r="AS239" s="302"/>
      <c r="AT239" s="3">
        <f t="shared" si="810"/>
        <v>39</v>
      </c>
      <c r="AU239" s="41" t="s">
        <v>121</v>
      </c>
      <c r="AV239" s="41" t="s">
        <v>116</v>
      </c>
      <c r="AW239" s="41" t="str">
        <f>INDEX(Input!$1:$1048576,AW$93,$C239*2+6)</f>
        <v>Kia</v>
      </c>
      <c r="AX239" s="41" t="str">
        <f>INDEX(Input!$1:$1048576,AX$93,$C239*2+6)</f>
        <v>Kia-LR - L2</v>
      </c>
      <c r="AY239" s="41" t="str">
        <f>IF(LEN(D239)=0,"",INDEX(Input!$1:$1048576,AY$93,$C239*2+6))</f>
        <v>Compact Conventional/Sporty Car (43)</v>
      </c>
      <c r="AZ239" s="41" t="str">
        <f>INDEX(Input!$1:$1048576,AZ$93,$C239*2+6)</f>
        <v>Kia Forte</v>
      </c>
      <c r="BA239" s="3">
        <f>INDEX(Input!$1:$1048576,BA$93,$C239*2+6)</f>
        <v>2020</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19695</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832"/>
        <v>1500</v>
      </c>
      <c r="CJ239" s="16" t="str">
        <f>INDEX(Input!$1:$1048576,CJ$93,$C239*2+6)</f>
        <v>N</v>
      </c>
      <c r="CK239" s="1" t="str">
        <f t="shared" si="833"/>
        <v>Market</v>
      </c>
      <c r="CL239" s="1" t="str">
        <f t="shared" si="834"/>
        <v>Market</v>
      </c>
      <c r="CM239" s="1" t="str">
        <f t="shared" si="835"/>
        <v>Market</v>
      </c>
      <c r="CN239" s="1" t="str">
        <f t="shared" si="836"/>
        <v>Market</v>
      </c>
      <c r="CO239" s="1" t="str">
        <f t="shared" si="837"/>
        <v>Market</v>
      </c>
      <c r="CP239" s="304">
        <f t="shared" si="838"/>
        <v>0</v>
      </c>
      <c r="CQ239" s="1">
        <f t="shared" si="839"/>
        <v>0</v>
      </c>
      <c r="CR239" s="1">
        <f t="shared" si="840"/>
        <v>0</v>
      </c>
      <c r="CS239" s="1">
        <f t="shared" si="841"/>
        <v>0</v>
      </c>
      <c r="CT239" s="1">
        <f t="shared" si="842"/>
        <v>1.9E-2</v>
      </c>
      <c r="CU239" s="1">
        <f t="shared" si="843"/>
        <v>3.9E-2</v>
      </c>
      <c r="CV239" s="304">
        <f t="shared" si="844"/>
        <v>1718</v>
      </c>
      <c r="CW239" s="20" t="s">
        <v>122</v>
      </c>
      <c r="CX239" s="20" t="s">
        <v>122</v>
      </c>
      <c r="CY239" s="20" t="s">
        <v>122</v>
      </c>
      <c r="CZ239" s="20" t="s">
        <v>122</v>
      </c>
      <c r="DA239" s="20" t="s">
        <v>122</v>
      </c>
      <c r="DB239" s="503">
        <f t="shared" si="845"/>
        <v>0</v>
      </c>
      <c r="DC239" s="127">
        <v>0</v>
      </c>
      <c r="DD239" s="127">
        <v>0</v>
      </c>
      <c r="DE239" s="127">
        <v>0</v>
      </c>
      <c r="DF239" s="127">
        <v>0</v>
      </c>
      <c r="DG239" s="127">
        <v>0</v>
      </c>
      <c r="DH239" s="127">
        <v>0</v>
      </c>
      <c r="DI239" s="127">
        <v>0</v>
      </c>
      <c r="DJ239" s="127">
        <v>0</v>
      </c>
      <c r="DK239" s="127">
        <v>0</v>
      </c>
      <c r="DL239" s="127">
        <v>0</v>
      </c>
      <c r="DM239" s="304">
        <f>INDEX(Input!$1:$1048576,DM$93,$C239*2+6)</f>
        <v>20731.578947368424</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2.8006785381622504E-2</v>
      </c>
      <c r="DZ239" s="7">
        <v>0</v>
      </c>
      <c r="EA239" s="7">
        <v>0.56945565456276337</v>
      </c>
      <c r="EB239" s="7">
        <v>0</v>
      </c>
      <c r="EC239" s="7">
        <v>0</v>
      </c>
      <c r="ED239" s="7">
        <v>0</v>
      </c>
      <c r="EE239" s="7">
        <v>0</v>
      </c>
      <c r="EF239" s="7">
        <v>0</v>
      </c>
      <c r="EG239" s="7">
        <v>0</v>
      </c>
      <c r="EH239" s="7">
        <v>1.6187270635443264E-2</v>
      </c>
      <c r="EI239" s="7">
        <v>2.6426029511824337E-2</v>
      </c>
      <c r="EJ239" s="7">
        <v>0.2657026239857983</v>
      </c>
      <c r="EK239" s="7">
        <v>0.64372154478029375</v>
      </c>
      <c r="EL239" s="7">
        <v>4.7962531086640316E-2</v>
      </c>
      <c r="EM239" s="7">
        <v>3.3906353657231547E-2</v>
      </c>
      <c r="EN239" s="7">
        <v>5.0626555376933759E-2</v>
      </c>
      <c r="EO239" s="7">
        <v>0.56061418844434985</v>
      </c>
      <c r="EP239" s="7">
        <v>0.28775216487253302</v>
      </c>
      <c r="EQ239" s="7">
        <v>6.2850467365732771E-2</v>
      </c>
      <c r="ER239" s="7">
        <v>3.8156623940450884E-2</v>
      </c>
      <c r="ES239" s="7">
        <v>0.36863120639838243</v>
      </c>
      <c r="ET239" s="7">
        <v>0.40253756005561414</v>
      </c>
      <c r="EU239" s="6">
        <v>1850</v>
      </c>
      <c r="EV239" s="6">
        <v>0</v>
      </c>
      <c r="EW239" s="6">
        <v>1850</v>
      </c>
      <c r="EX239" s="6">
        <v>0</v>
      </c>
      <c r="EY239" s="6">
        <v>2626.8080870930999</v>
      </c>
      <c r="EZ239" s="6">
        <v>2471</v>
      </c>
      <c r="FA239" s="6">
        <v>0</v>
      </c>
      <c r="FB239" s="6">
        <v>0</v>
      </c>
      <c r="FC239" s="6">
        <v>0</v>
      </c>
      <c r="FD239" s="6">
        <v>0</v>
      </c>
      <c r="FE239" s="6">
        <v>0</v>
      </c>
      <c r="FF239" s="6">
        <v>0</v>
      </c>
      <c r="FG239" s="6">
        <v>0</v>
      </c>
      <c r="FH239" s="6">
        <v>1154.7875051983322</v>
      </c>
      <c r="FI239" s="6">
        <v>1531.4299904380607</v>
      </c>
      <c r="FJ239" s="6">
        <v>2070.7205842538219</v>
      </c>
      <c r="FK239" s="6">
        <v>1746.9903521590438</v>
      </c>
      <c r="FL239" s="6">
        <v>893.91433563489352</v>
      </c>
      <c r="FM239" s="6">
        <v>1776.8080870930996</v>
      </c>
      <c r="FN239" s="6">
        <v>0</v>
      </c>
      <c r="FO239" s="6">
        <v>0</v>
      </c>
      <c r="FP239" s="6">
        <v>0</v>
      </c>
      <c r="FQ239" s="6">
        <v>0</v>
      </c>
      <c r="FR239" s="6">
        <v>0</v>
      </c>
      <c r="FS239" s="6">
        <v>0</v>
      </c>
      <c r="FT239" s="7">
        <v>0.59746243994438586</v>
      </c>
      <c r="FU239" s="7">
        <v>3.3906353657231547E-2</v>
      </c>
      <c r="FV239" s="7">
        <v>0.36863120639838243</v>
      </c>
      <c r="FW239" s="6">
        <v>1849.9999999999998</v>
      </c>
      <c r="FX239" s="6">
        <v>2626.8080870930999</v>
      </c>
      <c r="FY239" s="6">
        <v>2471</v>
      </c>
      <c r="FZ239" s="6">
        <v>2594.6978186474794</v>
      </c>
      <c r="GA239" s="6">
        <v>2105.2587088981713</v>
      </c>
      <c r="GB239" s="6">
        <v>17589.741291101829</v>
      </c>
      <c r="GC239" s="7">
        <v>9.6947029492584935E-2</v>
      </c>
      <c r="GD239" s="7">
        <v>9.2258237483939617E-2</v>
      </c>
      <c r="GE239" s="7"/>
      <c r="GF239" s="7"/>
      <c r="GG239" s="7">
        <v>-4.8364473188979386E-2</v>
      </c>
      <c r="GH239" s="42">
        <v>1.9461834587449327</v>
      </c>
      <c r="GI239" s="6">
        <v>12225.065200677232</v>
      </c>
      <c r="GJ239" s="14">
        <v>0.5107463060103955</v>
      </c>
      <c r="GK239" s="14">
        <v>0.5082951978616097</v>
      </c>
      <c r="GL239" s="14">
        <v>0.48925369398960417</v>
      </c>
      <c r="GM239" s="14">
        <v>0.49170480213839013</v>
      </c>
      <c r="GO239" s="5">
        <v>338.16872463277008</v>
      </c>
      <c r="GP239" s="5">
        <v>302.87425392274076</v>
      </c>
      <c r="GQ239" s="5">
        <v>527.27910984145694</v>
      </c>
      <c r="GR239" s="5">
        <v>404.20319246551543</v>
      </c>
      <c r="GS239" s="5">
        <v>334.50205195691484</v>
      </c>
      <c r="GT239" s="5">
        <v>289.18266033348181</v>
      </c>
      <c r="GU239" s="5">
        <v>254.29573314828914</v>
      </c>
      <c r="GV239" s="39" t="s">
        <v>392</v>
      </c>
      <c r="GW239" s="5">
        <v>468.76388888888891</v>
      </c>
      <c r="GX239" s="5">
        <v>351.57291666666669</v>
      </c>
      <c r="GY239" s="5">
        <v>281.25833333333333</v>
      </c>
      <c r="GZ239" s="5">
        <v>248.18079879493993</v>
      </c>
      <c r="HA239" s="5">
        <v>229.89195052129486</v>
      </c>
      <c r="HB239" s="39">
        <v>262.39528839802978</v>
      </c>
      <c r="HC239" s="5">
        <v>175.00937499999998</v>
      </c>
      <c r="HD239" s="5">
        <v>162.53879751461983</v>
      </c>
      <c r="HE239" s="5">
        <v>168.95939186909578</v>
      </c>
      <c r="HF239" s="5">
        <v>160.56129934210526</v>
      </c>
      <c r="HG239" s="5">
        <v>160.21410087719298</v>
      </c>
      <c r="HH239" s="39">
        <v>164.80469056180729</v>
      </c>
      <c r="HI239" s="16"/>
      <c r="HJ239" s="19" t="str">
        <f t="shared" si="850"/>
        <v>On</v>
      </c>
      <c r="HK239" s="1" t="str">
        <f t="shared" si="850"/>
        <v>On</v>
      </c>
      <c r="HL239" s="16"/>
      <c r="HM239" s="639">
        <f t="shared" si="727"/>
        <v>5.0961701597560354E-2</v>
      </c>
      <c r="HN239" s="639">
        <f t="shared" si="728"/>
        <v>3.112551654761847E-3</v>
      </c>
      <c r="HO239" s="639">
        <f t="shared" si="729"/>
        <v>3.1163314184693442E-2</v>
      </c>
      <c r="HP239" s="644">
        <f>(FT239*$GD239-HM239)/$JF239*INDEX(Input!$1:$1048576,$JG$93,$C239*2+6)</f>
        <v>78.120099500673874</v>
      </c>
      <c r="HQ239" s="644">
        <f>(FU239*$GD239-HN239)/$JF239*INDEX(Input!$1:$1048576,$JG$93,$C239*2+6)</f>
        <v>0.29280077531481213</v>
      </c>
      <c r="HR239" s="644">
        <f>(FV239*$GD239-HO239)/$JF239*INDEX(Input!$1:$1048576,$JG$93,$C239*2+6)</f>
        <v>53.454926119114369</v>
      </c>
      <c r="HS239" s="644">
        <f t="shared" si="851"/>
        <v>-13.358088398532823</v>
      </c>
      <c r="HT239" s="644">
        <f t="shared" si="731"/>
        <v>28.655762342024243</v>
      </c>
      <c r="HU239" s="644">
        <f t="shared" si="732"/>
        <v>60.679479600685077</v>
      </c>
      <c r="HV239" s="648">
        <f t="shared" si="733"/>
        <v>0</v>
      </c>
      <c r="HW239" s="648">
        <f t="shared" si="734"/>
        <v>0</v>
      </c>
      <c r="HX239" s="648">
        <f t="shared" si="735"/>
        <v>0</v>
      </c>
      <c r="HY239" s="644">
        <f>INDEX(Input!$1:$1048576,HY$93,$C239*2+6)*INDEX(Input!$1:$1048576,$JG$93,$C239*2+6)</f>
        <v>555</v>
      </c>
      <c r="HZ239" s="644">
        <f>INDEX(Input!$1:$1048576,HZ$93,$C239*2+6)*INDEX(Input!$1:$1048576,$JG$93,$C239*2+6)</f>
        <v>480</v>
      </c>
      <c r="IA239" s="644">
        <f>INDEX(Input!$1:$1048576,IA$93,$C239*2+6)*INDEX(Input!$1:$1048576,$JG$93,$C239*2+6)</f>
        <v>566</v>
      </c>
      <c r="IB239" s="644">
        <f t="shared" si="759"/>
        <v>619.76201110214117</v>
      </c>
      <c r="IC239" s="644">
        <f t="shared" si="760"/>
        <v>508.94856311733901</v>
      </c>
      <c r="ID239" s="644">
        <f>IF(AND(INDEX(Input!$1:$1048576,IA$93,$C239*2+7)="TOS",Y239&lt;=INDEX(Y:Y,MATCH(C239*1000+2,A:A))),0,1)*MAX(IA239+HR239+HU239+HX239,0%)</f>
        <v>680.13440571979947</v>
      </c>
      <c r="IE239" s="128">
        <f t="shared" si="852"/>
        <v>0.34262859337064122</v>
      </c>
      <c r="IF239" s="128">
        <f t="shared" si="736"/>
        <v>0.28136660065497909</v>
      </c>
      <c r="IG239" s="128">
        <f t="shared" si="737"/>
        <v>0.37600480597437963</v>
      </c>
      <c r="IH239" s="21"/>
      <c r="II239" s="19">
        <f t="shared" si="738"/>
        <v>1200</v>
      </c>
      <c r="IJ239" s="19">
        <f t="shared" si="739"/>
        <v>2226.7968732767699</v>
      </c>
      <c r="IK239" s="19">
        <f t="shared" si="740"/>
        <v>1786</v>
      </c>
      <c r="IL239" s="19">
        <f t="shared" si="762"/>
        <v>649.99999999999977</v>
      </c>
      <c r="IM239" s="19">
        <f t="shared" si="741"/>
        <v>400.01121381632993</v>
      </c>
      <c r="IN239" s="19">
        <f t="shared" si="742"/>
        <v>685</v>
      </c>
      <c r="IO239" s="39">
        <f t="shared" si="743"/>
        <v>0</v>
      </c>
      <c r="IP239" s="39">
        <f t="shared" si="744"/>
        <v>0</v>
      </c>
      <c r="IQ239" s="39">
        <f t="shared" si="745"/>
        <v>0</v>
      </c>
      <c r="IR239" s="39">
        <v>0</v>
      </c>
      <c r="IS239" s="39">
        <v>0</v>
      </c>
      <c r="IT239" s="39">
        <v>0</v>
      </c>
      <c r="IU239" s="39">
        <v>0</v>
      </c>
      <c r="IV239" s="39">
        <v>0</v>
      </c>
      <c r="IW239" s="39">
        <v>0</v>
      </c>
      <c r="IX239" s="39">
        <f>INDEX(Input!$1:$1048576,IX$93,$C239*2+6)+INDEX(Input!$1:$1048576,IX$94,$C239*2+6)</f>
        <v>1600</v>
      </c>
      <c r="IY239" s="39">
        <f>INDEX(Input!$1:$1048576,IY$93,$C239*2+6)+INDEX(Input!$1:$1048576,IY$94,$C239*2+6)</f>
        <v>2503.5492916397525</v>
      </c>
      <c r="IZ239" s="39">
        <f>INDEX(Input!$1:$1048576,IZ$93,$C239*2+6)+INDEX(Input!$1:$1048576,IZ$94,$C239*2+6)</f>
        <v>5773.7109265464023</v>
      </c>
      <c r="JA239" s="19">
        <f t="shared" si="763"/>
        <v>2250</v>
      </c>
      <c r="JB239" s="19">
        <f t="shared" si="764"/>
        <v>2903.5605054560824</v>
      </c>
      <c r="JC239" s="19">
        <f t="shared" si="765"/>
        <v>6458.7109265464023</v>
      </c>
      <c r="JD239" s="19">
        <f t="shared" si="766"/>
        <v>4016.3856330808594</v>
      </c>
      <c r="JE239" s="21"/>
      <c r="JF239" s="1">
        <f t="shared" si="746"/>
        <v>8.5237567437015646E-2</v>
      </c>
      <c r="JG239" s="15">
        <f>INDEX(Input!$1:$1048576,JG$93,$C239*2+6)/(1+VLOOKUP(C239*1000+INDEX(Input!$1:$1048576,JG$93+1,$C239*2+6),$A:$KK,$JK$92,FALSE))</f>
        <v>1601</v>
      </c>
      <c r="JH239" s="1">
        <f t="shared" si="767"/>
        <v>8.2365912801438512E-2</v>
      </c>
      <c r="JI239" s="1">
        <f t="shared" si="768"/>
        <v>4.7456060927030919E-2</v>
      </c>
      <c r="JJ239" s="1">
        <f t="shared" si="828"/>
        <v>0</v>
      </c>
      <c r="JK239" s="1">
        <f t="shared" si="829"/>
        <v>0.12982197372846943</v>
      </c>
      <c r="JL239" s="15">
        <f t="shared" si="771"/>
        <v>207.84497993927957</v>
      </c>
      <c r="JM239" s="15">
        <f t="shared" si="795"/>
        <v>1808.8449799392795</v>
      </c>
      <c r="JN239" s="21"/>
      <c r="JO239" s="19">
        <f>INDEX(Input!$1:$1048576,JO$93,$C239*2+6)</f>
        <v>5908.5</v>
      </c>
      <c r="JP239" s="19">
        <f>INDEX(Input!$1:$1048576,JP$93,$C239*2+6)</f>
        <v>3346.4235130620518</v>
      </c>
      <c r="JQ239" s="39">
        <f t="shared" si="781"/>
        <v>1892.1143669191406</v>
      </c>
      <c r="JR239" s="39">
        <f t="shared" si="798"/>
        <v>669.96212001880758</v>
      </c>
      <c r="JS239" s="39">
        <f t="shared" si="783"/>
        <v>7.2650189898985582</v>
      </c>
      <c r="JT239" s="39">
        <f t="shared" si="773"/>
        <v>1.9073949454862131</v>
      </c>
      <c r="JU239" s="385">
        <f>(JQ239*JM239-INDEX(Input!$1:$1048576,Input!A$18,$C239*2+6)*JL239*INDEX(Input!$1:$1048576,Input!A$19,$C239*2+6))/1000000</f>
        <v>3.4225415740726755</v>
      </c>
      <c r="JV239" s="39">
        <f t="shared" si="805"/>
        <v>-0.67934288151497935</v>
      </c>
      <c r="JW239" s="1">
        <f t="shared" si="796"/>
        <v>-0.16561726417953271</v>
      </c>
      <c r="JX239" s="19">
        <f t="shared" si="787"/>
        <v>9177.0075276460611</v>
      </c>
      <c r="JZ239" s="341"/>
      <c r="KA239" s="342"/>
      <c r="KB239" s="469">
        <f t="shared" si="784"/>
        <v>2.4482969984810516</v>
      </c>
      <c r="KI239" s="473">
        <f t="shared" si="853"/>
        <v>64.762011102141059</v>
      </c>
      <c r="KJ239" s="473">
        <f t="shared" si="854"/>
        <v>28.948563117338892</v>
      </c>
      <c r="KK239" s="473">
        <f t="shared" si="775"/>
        <v>114.13440571979936</v>
      </c>
      <c r="KN239" s="544">
        <f t="shared" si="788"/>
        <v>2002</v>
      </c>
      <c r="KO239" s="541">
        <f t="shared" si="750"/>
        <v>4.693137931450031E-2</v>
      </c>
      <c r="KP239" s="546">
        <f t="shared" si="751"/>
        <v>221.01844697881313</v>
      </c>
      <c r="KQ239" s="546">
        <f t="shared" si="752"/>
        <v>290.78205812432088</v>
      </c>
      <c r="KR239" s="548">
        <f t="shared" si="753"/>
        <v>3.390964923028275</v>
      </c>
      <c r="KS239" s="548">
        <f t="shared" si="754"/>
        <v>2.577414183948425</v>
      </c>
      <c r="KT239" s="473">
        <f t="shared" si="786"/>
        <v>528.59039248727379</v>
      </c>
      <c r="KU239" s="663">
        <f t="shared" si="776"/>
        <v>11.876790115904731</v>
      </c>
      <c r="KV239" s="117"/>
    </row>
    <row r="240" spans="1:308" s="26" customFormat="1" ht="15">
      <c r="A240" s="561">
        <f t="shared" si="755"/>
        <v>2040</v>
      </c>
      <c r="B240" s="561">
        <f t="shared" si="777"/>
        <v>40</v>
      </c>
      <c r="C240" s="561">
        <f t="shared" si="105"/>
        <v>2</v>
      </c>
      <c r="D240" s="561" t="str">
        <f t="shared" si="824"/>
        <v xml:space="preserve">500 CC, 360 Lease, </v>
      </c>
      <c r="E240" s="475">
        <f>INDEX(Input!$1:$1048576,E$93,$C240*2+MIN($B240,2)+5)
+INDEX(Scenarios!E$121:E$200,MATCH($B240,Scenarios!$B$121:$B$200,0))</f>
        <v>1750</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1.9E-2</v>
      </c>
      <c r="W240" s="863">
        <f>IFERROR(MAX(0,INDEX(Input!$1:$1048576,W$93,$C240*2+MIN($B240,2)+5)-0%,),"Market")</f>
        <v>3.9E-2</v>
      </c>
      <c r="X240" s="476" t="str">
        <f>INDEX(Input!$1:$1048576,X$93,$C240*2+MIN($B240,2)+5)</f>
        <v>Y</v>
      </c>
      <c r="Y240" s="475">
        <f>INDEX(Input!$1:$1048576,Y$93,$C240*2+MIN($B240,2)+5)
++INDEX(Scenarios!Y$121:Y$200,MATCH($B240,Scenarios!$B$121:$B$200,0))</f>
        <v>1718</v>
      </c>
      <c r="Z240" s="477">
        <f>INDEX(Input!$1:$1048576,Z$93,$C240*2+MIN($B240,2)+5)
+INDEX(Scenarios!Z$121:Z$200,MATCH($B240,Scenarios!$B$121:$B$200,0))</f>
        <v>0</v>
      </c>
      <c r="AA240" s="475">
        <f>INDEX(Input!$1:$1048576,AA$93,$C240*2+MIN($B240,2)+5)</f>
        <v>0</v>
      </c>
      <c r="AB240" s="476">
        <f>INDEX(Input!$1:$1048576,AB$93,$C240*2+MIN($B240,2)+5)</f>
        <v>1</v>
      </c>
      <c r="AC240" s="475">
        <f>INDEX(Input!$1:$1048576,AC$93,$C240*2+MIN($B240,2)+5)
+INDEX(Scenarios!AC$121:AC$200,MATCH($B240,Scenarios!$B$121:$B$200,0))</f>
        <v>0</v>
      </c>
      <c r="AD240" s="476">
        <f>INDEX(Input!$1:$1048576,AD$93,$C240*2+MIN($B240,2)+5)</f>
        <v>0.35</v>
      </c>
      <c r="AE240" s="475">
        <f>INDEX(Input!$1:$1048576,AE$93,$C240*2+MIN($B240,2)+5)
+INDEX(Scenarios!AE$121:AE$200,MATCH($B240,Scenarios!$B$121:$B$200,0))</f>
        <v>0</v>
      </c>
      <c r="AF240" s="476">
        <f>INDEX(Input!$1:$1048576,AF$93,$C240*2+MIN($B240,2)+5)</f>
        <v>1</v>
      </c>
      <c r="AG240" s="475">
        <f>INDEX(Input!$1:$1048576,AG$93,$C240*2+MIN($B240,2)+5)
+INDEX(Scenarios!AG$121:AG$200,MATCH($B240,Scenarios!$B$121:$B$200,0))</f>
        <v>0</v>
      </c>
      <c r="AH240" s="476">
        <f>INDEX(Input!$1:$1048576,AH$93,$C240*2+MIN($B240,2)+5)</f>
        <v>1</v>
      </c>
      <c r="AI240" s="475">
        <f>INDEX(Input!$1:$1048576,AI$93,$C240*2+MIN($B240,2)+5)
+INDEX(Scenarios!AI$121:AI$200,MATCH($B240,Scenarios!$B$121:$B$200,0))</f>
        <v>0</v>
      </c>
      <c r="AJ240" s="476">
        <f>INDEX(Input!$1:$1048576,AJ$93,$C240*2+MIN($B240,2)+5)</f>
        <v>0.35</v>
      </c>
      <c r="AK240" s="150">
        <f>ROUND(INDEX(Input!$1:$1048576,AK$93,$C239*2+MIN($B240,1)+5)+(Y240-VLOOKUP($C240*1000+1,$A:$HH,Y$92,FALSE)),0)</f>
        <v>5342</v>
      </c>
      <c r="AL240" s="150">
        <f>ROUND(INDEX(Input!$1:$1048576,AL$93,$C239*2+MIN($B240,1)+5)-(Y240-VLOOKUP($C240*1000+1,$A:$HH,Y$92,FALSE))/36,0)</f>
        <v>5092</v>
      </c>
      <c r="AM240" s="32" t="str">
        <f t="shared" si="756"/>
        <v>std/std/std/std</v>
      </c>
      <c r="AN240" s="32" t="str">
        <f t="shared" si="757"/>
        <v>$0 + 0/0/0/1.9/3.9</v>
      </c>
      <c r="AO240" s="32" t="str">
        <f t="shared" si="758"/>
        <v>0/0/0/1.9/3.9</v>
      </c>
      <c r="AP240" s="32" t="str">
        <f t="shared" si="831"/>
        <v>0/0.9/1.9/3.9</v>
      </c>
      <c r="AQ240" s="536">
        <f t="shared" si="830"/>
        <v>0.36179541211296989</v>
      </c>
      <c r="AR240" s="32"/>
      <c r="AS240" s="302"/>
      <c r="AT240" s="3">
        <f t="shared" si="810"/>
        <v>40</v>
      </c>
      <c r="AU240" s="41" t="s">
        <v>121</v>
      </c>
      <c r="AV240" s="41" t="s">
        <v>116</v>
      </c>
      <c r="AW240" s="41" t="str">
        <f>INDEX(Input!$1:$1048576,AW$93,$C240*2+6)</f>
        <v>Kia</v>
      </c>
      <c r="AX240" s="41" t="str">
        <f>INDEX(Input!$1:$1048576,AX$93,$C240*2+6)</f>
        <v>Kia-LR - L2</v>
      </c>
      <c r="AY240" s="41" t="str">
        <f>IF(LEN(D240)=0,"",INDEX(Input!$1:$1048576,AY$93,$C240*2+6))</f>
        <v>Compact Conventional/Sporty Car (43)</v>
      </c>
      <c r="AZ240" s="41" t="str">
        <f>INDEX(Input!$1:$1048576,AZ$93,$C240*2+6)</f>
        <v>Kia Forte</v>
      </c>
      <c r="BA240" s="3">
        <f>INDEX(Input!$1:$1048576,BA$93,$C240*2+6)</f>
        <v>2020</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19695</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832"/>
        <v>1750</v>
      </c>
      <c r="CJ240" s="16" t="str">
        <f>INDEX(Input!$1:$1048576,CJ$93,$C240*2+6)</f>
        <v>N</v>
      </c>
      <c r="CK240" s="1" t="str">
        <f t="shared" si="833"/>
        <v>Market</v>
      </c>
      <c r="CL240" s="1" t="str">
        <f t="shared" si="834"/>
        <v>Market</v>
      </c>
      <c r="CM240" s="1" t="str">
        <f t="shared" si="835"/>
        <v>Market</v>
      </c>
      <c r="CN240" s="1" t="str">
        <f t="shared" si="836"/>
        <v>Market</v>
      </c>
      <c r="CO240" s="1" t="str">
        <f t="shared" si="837"/>
        <v>Market</v>
      </c>
      <c r="CP240" s="304">
        <f t="shared" si="838"/>
        <v>0</v>
      </c>
      <c r="CQ240" s="1">
        <f t="shared" si="839"/>
        <v>0</v>
      </c>
      <c r="CR240" s="1">
        <f t="shared" si="840"/>
        <v>0</v>
      </c>
      <c r="CS240" s="1">
        <f t="shared" si="841"/>
        <v>0</v>
      </c>
      <c r="CT240" s="1">
        <f t="shared" si="842"/>
        <v>1.9E-2</v>
      </c>
      <c r="CU240" s="1">
        <f t="shared" si="843"/>
        <v>3.9E-2</v>
      </c>
      <c r="CV240" s="304">
        <f t="shared" si="844"/>
        <v>1718</v>
      </c>
      <c r="CW240" s="20" t="s">
        <v>122</v>
      </c>
      <c r="CX240" s="20" t="s">
        <v>122</v>
      </c>
      <c r="CY240" s="20" t="s">
        <v>122</v>
      </c>
      <c r="CZ240" s="20" t="s">
        <v>122</v>
      </c>
      <c r="DA240" s="20" t="s">
        <v>122</v>
      </c>
      <c r="DB240" s="503">
        <f t="shared" si="845"/>
        <v>0</v>
      </c>
      <c r="DC240" s="127">
        <v>0</v>
      </c>
      <c r="DD240" s="127">
        <v>0</v>
      </c>
      <c r="DE240" s="127">
        <v>0</v>
      </c>
      <c r="DF240" s="127">
        <v>0</v>
      </c>
      <c r="DG240" s="127">
        <v>0</v>
      </c>
      <c r="DH240" s="127">
        <v>0</v>
      </c>
      <c r="DI240" s="127">
        <v>0</v>
      </c>
      <c r="DJ240" s="127">
        <v>0</v>
      </c>
      <c r="DK240" s="127">
        <v>0</v>
      </c>
      <c r="DL240" s="127">
        <v>0</v>
      </c>
      <c r="DM240" s="304">
        <f>INDEX(Input!$1:$1048576,DM$93,$C240*2+6)</f>
        <v>20731.578947368424</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2.8915948756723119E-2</v>
      </c>
      <c r="DZ240" s="7">
        <v>0</v>
      </c>
      <c r="EA240" s="7">
        <v>0.58574079582707883</v>
      </c>
      <c r="EB240" s="7">
        <v>0</v>
      </c>
      <c r="EC240" s="7">
        <v>0</v>
      </c>
      <c r="ED240" s="7">
        <v>0</v>
      </c>
      <c r="EE240" s="7">
        <v>0</v>
      </c>
      <c r="EF240" s="7">
        <v>0</v>
      </c>
      <c r="EG240" s="7">
        <v>0</v>
      </c>
      <c r="EH240" s="7">
        <v>1.6193499720976008E-2</v>
      </c>
      <c r="EI240" s="7">
        <v>2.6439544725125386E-2</v>
      </c>
      <c r="EJ240" s="7">
        <v>0.26576894966361952</v>
      </c>
      <c r="EK240" s="7">
        <v>0.64363762572656513</v>
      </c>
      <c r="EL240" s="7">
        <v>4.7960380163713935E-2</v>
      </c>
      <c r="EM240" s="7">
        <v>3.2416320818099094E-2</v>
      </c>
      <c r="EN240" s="7">
        <v>5.0621102691854242E-2</v>
      </c>
      <c r="EO240" s="7">
        <v>0.56059054128233987</v>
      </c>
      <c r="EP240" s="7">
        <v>0.28777786838166947</v>
      </c>
      <c r="EQ240" s="7">
        <v>6.2844289515370244E-2</v>
      </c>
      <c r="ER240" s="7">
        <v>3.8166198128766003E-2</v>
      </c>
      <c r="ES240" s="7">
        <v>0.35292693459809893</v>
      </c>
      <c r="ET240" s="7">
        <v>0.38534325541619802</v>
      </c>
      <c r="EU240" s="6">
        <v>2100</v>
      </c>
      <c r="EV240" s="6">
        <v>0</v>
      </c>
      <c r="EW240" s="6">
        <v>2100</v>
      </c>
      <c r="EX240" s="6">
        <v>0</v>
      </c>
      <c r="EY240" s="6">
        <v>2626.824772380563</v>
      </c>
      <c r="EZ240" s="6">
        <v>2471</v>
      </c>
      <c r="FA240" s="6">
        <v>0</v>
      </c>
      <c r="FB240" s="6">
        <v>0</v>
      </c>
      <c r="FC240" s="6">
        <v>0</v>
      </c>
      <c r="FD240" s="6">
        <v>0</v>
      </c>
      <c r="FE240" s="6">
        <v>0</v>
      </c>
      <c r="FF240" s="6">
        <v>0</v>
      </c>
      <c r="FG240" s="6">
        <v>0</v>
      </c>
      <c r="FH240" s="6">
        <v>1154.7863310284861</v>
      </c>
      <c r="FI240" s="6">
        <v>1531.4299904380623</v>
      </c>
      <c r="FJ240" s="6">
        <v>2070.7205842538224</v>
      </c>
      <c r="FK240" s="6">
        <v>1746.9903521590436</v>
      </c>
      <c r="FL240" s="6">
        <v>893.91433563489397</v>
      </c>
      <c r="FM240" s="6">
        <v>1776.824772380563</v>
      </c>
      <c r="FN240" s="6">
        <v>0</v>
      </c>
      <c r="FO240" s="6">
        <v>0</v>
      </c>
      <c r="FP240" s="6">
        <v>0</v>
      </c>
      <c r="FQ240" s="6">
        <v>0</v>
      </c>
      <c r="FR240" s="6">
        <v>0</v>
      </c>
      <c r="FS240" s="6">
        <v>0</v>
      </c>
      <c r="FT240" s="7">
        <v>0.61465674458380193</v>
      </c>
      <c r="FU240" s="7">
        <v>3.2416320818099094E-2</v>
      </c>
      <c r="FV240" s="7">
        <v>0.35292693459809893</v>
      </c>
      <c r="FW240" s="6">
        <v>2100</v>
      </c>
      <c r="FX240" s="6">
        <v>2626.824772380563</v>
      </c>
      <c r="FY240" s="6">
        <v>2471</v>
      </c>
      <c r="FZ240" s="6">
        <v>2594.6978186474794</v>
      </c>
      <c r="GA240" s="6">
        <v>2248.0136135723051</v>
      </c>
      <c r="GB240" s="6">
        <v>17446.986386427696</v>
      </c>
      <c r="GC240" s="7">
        <v>9.6947029492584935E-2</v>
      </c>
      <c r="GD240" s="7">
        <v>9.396096149055555E-2</v>
      </c>
      <c r="GE240" s="7"/>
      <c r="GF240" s="7"/>
      <c r="GG240" s="7">
        <v>-3.0801026268244523E-2</v>
      </c>
      <c r="GH240" s="42">
        <v>1.749794780011787</v>
      </c>
      <c r="GI240" s="6">
        <v>13503.619256576525</v>
      </c>
      <c r="GJ240" s="14">
        <v>0.51074630601039539</v>
      </c>
      <c r="GK240" s="14">
        <v>0.5082951978616097</v>
      </c>
      <c r="GL240" s="14">
        <v>0.48925369398960433</v>
      </c>
      <c r="GM240" s="14">
        <v>0.49170480213839013</v>
      </c>
      <c r="GO240" s="5">
        <v>338.16872463277008</v>
      </c>
      <c r="GP240" s="5">
        <v>298.1047308538179</v>
      </c>
      <c r="GQ240" s="5">
        <v>527.27910984145694</v>
      </c>
      <c r="GR240" s="5">
        <v>404.20319246551543</v>
      </c>
      <c r="GS240" s="5">
        <v>334.50205195691484</v>
      </c>
      <c r="GT240" s="5">
        <v>289.18266033348181</v>
      </c>
      <c r="GU240" s="5">
        <v>254.29573314828914</v>
      </c>
      <c r="GV240" s="39" t="s">
        <v>392</v>
      </c>
      <c r="GW240" s="5">
        <v>468.76388888888891</v>
      </c>
      <c r="GX240" s="5">
        <v>351.57291666666669</v>
      </c>
      <c r="GY240" s="5">
        <v>281.25833333333333</v>
      </c>
      <c r="GZ240" s="5">
        <v>248.18079879493993</v>
      </c>
      <c r="HA240" s="5">
        <v>229.89195052129486</v>
      </c>
      <c r="HB240" s="39">
        <v>262.40029302329373</v>
      </c>
      <c r="HC240" s="5">
        <v>175.00937499999998</v>
      </c>
      <c r="HD240" s="5">
        <v>162.53879751461983</v>
      </c>
      <c r="HE240" s="5">
        <v>168.95939186909578</v>
      </c>
      <c r="HF240" s="5">
        <v>160.56129934210526</v>
      </c>
      <c r="HG240" s="5">
        <v>160.21410087719298</v>
      </c>
      <c r="HH240" s="39">
        <v>164.80477755508551</v>
      </c>
      <c r="HI240" s="16"/>
      <c r="HJ240" s="19" t="str">
        <f t="shared" si="850"/>
        <v>On</v>
      </c>
      <c r="HK240" s="1" t="str">
        <f t="shared" si="850"/>
        <v>On</v>
      </c>
      <c r="HL240" s="16"/>
      <c r="HM240" s="639">
        <f t="shared" si="727"/>
        <v>5.0961701597560354E-2</v>
      </c>
      <c r="HN240" s="639">
        <f t="shared" si="728"/>
        <v>3.112551654761847E-3</v>
      </c>
      <c r="HO240" s="639">
        <f t="shared" si="729"/>
        <v>3.1163314184693442E-2</v>
      </c>
      <c r="HP240" s="644">
        <f>(FT240*$GD240-HM240)/$JF240*INDEX(Input!$1:$1048576,$JG$93,$C240*2+6)</f>
        <v>127.57346015824439</v>
      </c>
      <c r="HQ240" s="644">
        <f>(FU240*$GD240-HN240)/$JF240*INDEX(Input!$1:$1048576,$JG$93,$C240*2+6)</f>
        <v>-1.2524929854750311</v>
      </c>
      <c r="HR240" s="644">
        <f>(FV240*$GD240-HO240)/$JF240*INDEX(Input!$1:$1048576,$JG$93,$C240*2+6)</f>
        <v>37.528780065000646</v>
      </c>
      <c r="HS240" s="644">
        <f t="shared" si="851"/>
        <v>-18.39110409702165</v>
      </c>
      <c r="HT240" s="644">
        <f t="shared" si="731"/>
        <v>25.744390793895189</v>
      </c>
      <c r="HU240" s="644">
        <f t="shared" si="732"/>
        <v>63.592373702623718</v>
      </c>
      <c r="HV240" s="648">
        <f t="shared" si="733"/>
        <v>0</v>
      </c>
      <c r="HW240" s="648">
        <f t="shared" si="734"/>
        <v>0</v>
      </c>
      <c r="HX240" s="648">
        <f t="shared" si="735"/>
        <v>0</v>
      </c>
      <c r="HY240" s="644">
        <f>INDEX(Input!$1:$1048576,HY$93,$C240*2+6)*INDEX(Input!$1:$1048576,$JG$93,$C240*2+6)</f>
        <v>555</v>
      </c>
      <c r="HZ240" s="644">
        <f>INDEX(Input!$1:$1048576,HZ$93,$C240*2+6)*INDEX(Input!$1:$1048576,$JG$93,$C240*2+6)</f>
        <v>480</v>
      </c>
      <c r="IA240" s="644">
        <f>INDEX(Input!$1:$1048576,IA$93,$C240*2+6)*INDEX(Input!$1:$1048576,$JG$93,$C240*2+6)</f>
        <v>566</v>
      </c>
      <c r="IB240" s="644">
        <f t="shared" si="759"/>
        <v>664.18235606122278</v>
      </c>
      <c r="IC240" s="644">
        <f t="shared" si="760"/>
        <v>504.49189780842016</v>
      </c>
      <c r="ID240" s="644">
        <f>IF(AND(INDEX(Input!$1:$1048576,IA$93,$C240*2+7)="TOS",Y240&lt;=INDEX(Y:Y,MATCH(C240*1000+2,A:A))),0,1)*MAX(IA240+HR240+HU240+HX240,0%)</f>
        <v>667.12115376762438</v>
      </c>
      <c r="IE240" s="128">
        <f t="shared" si="852"/>
        <v>0.36179541211296989</v>
      </c>
      <c r="IF240" s="128">
        <f t="shared" si="736"/>
        <v>0.27480834504195584</v>
      </c>
      <c r="IG240" s="128">
        <f t="shared" si="737"/>
        <v>0.36339624284507416</v>
      </c>
      <c r="IH240" s="21"/>
      <c r="II240" s="19">
        <f t="shared" si="738"/>
        <v>1200</v>
      </c>
      <c r="IJ240" s="19">
        <f t="shared" si="739"/>
        <v>2226.7968732767699</v>
      </c>
      <c r="IK240" s="19">
        <f t="shared" si="740"/>
        <v>1786</v>
      </c>
      <c r="IL240" s="19">
        <f t="shared" si="762"/>
        <v>900</v>
      </c>
      <c r="IM240" s="19">
        <f t="shared" si="741"/>
        <v>400.02789910379306</v>
      </c>
      <c r="IN240" s="19">
        <f t="shared" si="742"/>
        <v>685</v>
      </c>
      <c r="IO240" s="39">
        <f t="shared" si="743"/>
        <v>0</v>
      </c>
      <c r="IP240" s="39">
        <f t="shared" si="744"/>
        <v>0</v>
      </c>
      <c r="IQ240" s="39">
        <f t="shared" si="745"/>
        <v>0</v>
      </c>
      <c r="IR240" s="39">
        <v>0</v>
      </c>
      <c r="IS240" s="39">
        <v>0</v>
      </c>
      <c r="IT240" s="39">
        <v>0</v>
      </c>
      <c r="IU240" s="39">
        <v>0</v>
      </c>
      <c r="IV240" s="39">
        <v>0</v>
      </c>
      <c r="IW240" s="39">
        <v>0</v>
      </c>
      <c r="IX240" s="39">
        <f>INDEX(Input!$1:$1048576,IX$93,$C240*2+6)+INDEX(Input!$1:$1048576,IX$94,$C240*2+6)</f>
        <v>1600</v>
      </c>
      <c r="IY240" s="39">
        <f>INDEX(Input!$1:$1048576,IY$93,$C240*2+6)+INDEX(Input!$1:$1048576,IY$94,$C240*2+6)</f>
        <v>2503.5492916397525</v>
      </c>
      <c r="IZ240" s="39">
        <f>INDEX(Input!$1:$1048576,IZ$93,$C240*2+6)+INDEX(Input!$1:$1048576,IZ$94,$C240*2+6)</f>
        <v>5773.7109265464023</v>
      </c>
      <c r="JA240" s="19">
        <f t="shared" si="763"/>
        <v>2500</v>
      </c>
      <c r="JB240" s="19">
        <f t="shared" si="764"/>
        <v>2903.5771907435455</v>
      </c>
      <c r="JC240" s="19">
        <f t="shared" si="765"/>
        <v>6458.7109265464023</v>
      </c>
      <c r="JD240" s="19">
        <f t="shared" si="766"/>
        <v>4049.4870571016204</v>
      </c>
      <c r="JE240" s="21"/>
      <c r="JF240" s="1">
        <f t="shared" si="746"/>
        <v>8.5237567437015646E-2</v>
      </c>
      <c r="JG240" s="15">
        <f>INDEX(Input!$1:$1048576,JG$93,$C240*2+6)/(1+VLOOKUP(C240*1000+INDEX(Input!$1:$1048576,JG$93+1,$C240*2+6),$A:$KK,$JK$92,FALSE))</f>
        <v>1601</v>
      </c>
      <c r="JH240" s="1">
        <f t="shared" si="767"/>
        <v>0.10234212819348533</v>
      </c>
      <c r="JI240" s="1">
        <f t="shared" si="768"/>
        <v>4.4313341910991413E-2</v>
      </c>
      <c r="JJ240" s="1">
        <f t="shared" si="828"/>
        <v>0</v>
      </c>
      <c r="JK240" s="1">
        <f t="shared" si="829"/>
        <v>0.14665547010447674</v>
      </c>
      <c r="JL240" s="15">
        <f t="shared" si="771"/>
        <v>234.79540763726726</v>
      </c>
      <c r="JM240" s="15">
        <f t="shared" si="795"/>
        <v>1835.7954076372673</v>
      </c>
      <c r="JN240" s="21"/>
      <c r="JO240" s="19">
        <f>INDEX(Input!$1:$1048576,JO$93,$C240*2+6)</f>
        <v>5908.5</v>
      </c>
      <c r="JP240" s="19">
        <f>INDEX(Input!$1:$1048576,JP$93,$C240*2+6)</f>
        <v>3346.4235130620518</v>
      </c>
      <c r="JQ240" s="39">
        <f t="shared" si="781"/>
        <v>1859.0129428983796</v>
      </c>
      <c r="JR240" s="39">
        <f t="shared" si="798"/>
        <v>703.06354403956857</v>
      </c>
      <c r="JS240" s="39">
        <f t="shared" si="783"/>
        <v>7.4340297427137072</v>
      </c>
      <c r="JT240" s="39">
        <f t="shared" si="773"/>
        <v>2.0764056983013628</v>
      </c>
      <c r="JU240" s="385">
        <f>(JQ240*JM240-INDEX(Input!$1:$1048576,Input!A$18,$C240*2+6)*JL240*INDEX(Input!$1:$1048576,Input!A$19,$C240*2+6))/1000000</f>
        <v>3.4127674233110867</v>
      </c>
      <c r="JV240" s="39">
        <f t="shared" si="805"/>
        <v>-0.68911703227656806</v>
      </c>
      <c r="JW240" s="1">
        <f t="shared" si="796"/>
        <v>-0.16800010817902036</v>
      </c>
      <c r="JX240" s="19">
        <f t="shared" si="787"/>
        <v>8843.468103554982</v>
      </c>
      <c r="JZ240" s="341"/>
      <c r="KA240" s="342"/>
      <c r="KB240" s="469">
        <f t="shared" si="784"/>
        <v>2.4482969984810516</v>
      </c>
      <c r="KI240" s="473">
        <f t="shared" si="853"/>
        <v>109.18235606122266</v>
      </c>
      <c r="KJ240" s="473">
        <f t="shared" si="854"/>
        <v>24.491897808420106</v>
      </c>
      <c r="KK240" s="473">
        <f t="shared" si="775"/>
        <v>101.12115376762426</v>
      </c>
      <c r="KN240" s="544">
        <f t="shared" si="788"/>
        <v>2002</v>
      </c>
      <c r="KO240" s="541">
        <f t="shared" si="750"/>
        <v>6.2529868270650324E-2</v>
      </c>
      <c r="KP240" s="546">
        <f t="shared" si="751"/>
        <v>311.72451728031479</v>
      </c>
      <c r="KQ240" s="546">
        <f t="shared" si="752"/>
        <v>323.88348214508187</v>
      </c>
      <c r="KR240" s="548">
        <f t="shared" si="753"/>
        <v>3.2033548837668553</v>
      </c>
      <c r="KS240" s="548">
        <f t="shared" si="754"/>
        <v>3.0830971934915175</v>
      </c>
      <c r="KT240" s="473">
        <f t="shared" si="786"/>
        <v>528.59039248727379</v>
      </c>
      <c r="KU240" s="663">
        <f t="shared" si="776"/>
        <v>12.027679704396867</v>
      </c>
      <c r="KV240" s="117"/>
    </row>
    <row r="241" spans="1:308" s="26" customFormat="1" ht="15">
      <c r="A241" s="561">
        <f t="shared" si="755"/>
        <v>2041</v>
      </c>
      <c r="B241" s="561">
        <f t="shared" si="777"/>
        <v>41</v>
      </c>
      <c r="C241" s="561">
        <f t="shared" si="105"/>
        <v>2</v>
      </c>
      <c r="D241" s="561" t="str">
        <f t="shared" si="824"/>
        <v xml:space="preserve">750 CC, 360 Lease, </v>
      </c>
      <c r="E241" s="475">
        <f>INDEX(Input!$1:$1048576,E$93,$C241*2+MIN($B241,2)+5)
+INDEX(Scenarios!E$121:E$200,MATCH($B241,Scenarios!$B$121:$B$200,0))</f>
        <v>2000</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1.9E-2</v>
      </c>
      <c r="W241" s="863">
        <f>IFERROR(MAX(0,INDEX(Input!$1:$1048576,W$93,$C241*2+MIN($B241,2)+5)-0%,),"Market")</f>
        <v>3.9E-2</v>
      </c>
      <c r="X241" s="476" t="str">
        <f>INDEX(Input!$1:$1048576,X$93,$C241*2+MIN($B241,2)+5)</f>
        <v>Y</v>
      </c>
      <c r="Y241" s="475">
        <f>INDEX(Input!$1:$1048576,Y$93,$C241*2+MIN($B241,2)+5)
++INDEX(Scenarios!Y$121:Y$200,MATCH($B241,Scenarios!$B$121:$B$200,0))</f>
        <v>1718</v>
      </c>
      <c r="Z241" s="477">
        <f>INDEX(Input!$1:$1048576,Z$93,$C241*2+MIN($B241,2)+5)
+INDEX(Scenarios!Z$121:Z$200,MATCH($B241,Scenarios!$B$121:$B$200,0))</f>
        <v>0</v>
      </c>
      <c r="AA241" s="475">
        <f>INDEX(Input!$1:$1048576,AA$93,$C241*2+MIN($B241,2)+5)</f>
        <v>0</v>
      </c>
      <c r="AB241" s="476">
        <f>INDEX(Input!$1:$1048576,AB$93,$C241*2+MIN($B241,2)+5)</f>
        <v>1</v>
      </c>
      <c r="AC241" s="475">
        <f>INDEX(Input!$1:$1048576,AC$93,$C241*2+MIN($B241,2)+5)
+INDEX(Scenarios!AC$121:AC$200,MATCH($B241,Scenarios!$B$121:$B$200,0))</f>
        <v>0</v>
      </c>
      <c r="AD241" s="476">
        <f>INDEX(Input!$1:$1048576,AD$93,$C241*2+MIN($B241,2)+5)</f>
        <v>0.35</v>
      </c>
      <c r="AE241" s="475">
        <f>INDEX(Input!$1:$1048576,AE$93,$C241*2+MIN($B241,2)+5)
+INDEX(Scenarios!AE$121:AE$200,MATCH($B241,Scenarios!$B$121:$B$200,0))</f>
        <v>0</v>
      </c>
      <c r="AF241" s="476">
        <f>INDEX(Input!$1:$1048576,AF$93,$C241*2+MIN($B241,2)+5)</f>
        <v>1</v>
      </c>
      <c r="AG241" s="475">
        <f>INDEX(Input!$1:$1048576,AG$93,$C241*2+MIN($B241,2)+5)
+INDEX(Scenarios!AG$121:AG$200,MATCH($B241,Scenarios!$B$121:$B$200,0))</f>
        <v>0</v>
      </c>
      <c r="AH241" s="476">
        <f>INDEX(Input!$1:$1048576,AH$93,$C241*2+MIN($B241,2)+5)</f>
        <v>1</v>
      </c>
      <c r="AI241" s="475">
        <f>INDEX(Input!$1:$1048576,AI$93,$C241*2+MIN($B241,2)+5)
+INDEX(Scenarios!AI$121:AI$200,MATCH($B241,Scenarios!$B$121:$B$200,0))</f>
        <v>0</v>
      </c>
      <c r="AJ241" s="476">
        <f>INDEX(Input!$1:$1048576,AJ$93,$C241*2+MIN($B241,2)+5)</f>
        <v>0.35</v>
      </c>
      <c r="AK241" s="150">
        <f>ROUND(INDEX(Input!$1:$1048576,AK$93,$C240*2+MIN($B241,1)+5)+(Y241-VLOOKUP($C241*1000+1,$A:$HH,Y$92,FALSE)),0)</f>
        <v>5342</v>
      </c>
      <c r="AL241" s="150">
        <f>ROUND(INDEX(Input!$1:$1048576,AL$93,$C240*2+MIN($B241,1)+5)-(Y241-VLOOKUP($C241*1000+1,$A:$HH,Y$92,FALSE))/36,0)</f>
        <v>5092</v>
      </c>
      <c r="AM241" s="32" t="str">
        <f t="shared" si="756"/>
        <v>std/std/std/std</v>
      </c>
      <c r="AN241" s="32" t="str">
        <f t="shared" si="757"/>
        <v>$0 + 0/0/0/1.9/3.9</v>
      </c>
      <c r="AO241" s="32" t="str">
        <f t="shared" si="758"/>
        <v>0/0/0/1.9/3.9</v>
      </c>
      <c r="AP241" s="32" t="str">
        <f t="shared" si="831"/>
        <v>0/0.9/1.9/3.9</v>
      </c>
      <c r="AQ241" s="536">
        <f t="shared" si="830"/>
        <v>0.38092485662192377</v>
      </c>
      <c r="AR241" s="32"/>
      <c r="AS241" s="302"/>
      <c r="AT241" s="3">
        <f t="shared" si="810"/>
        <v>41</v>
      </c>
      <c r="AU241" s="41" t="s">
        <v>121</v>
      </c>
      <c r="AV241" s="41" t="s">
        <v>116</v>
      </c>
      <c r="AW241" s="41" t="str">
        <f>INDEX(Input!$1:$1048576,AW$93,$C241*2+6)</f>
        <v>Kia</v>
      </c>
      <c r="AX241" s="41" t="str">
        <f>INDEX(Input!$1:$1048576,AX$93,$C241*2+6)</f>
        <v>Kia-LR - L2</v>
      </c>
      <c r="AY241" s="41" t="str">
        <f>IF(LEN(D241)=0,"",INDEX(Input!$1:$1048576,AY$93,$C241*2+6))</f>
        <v>Compact Conventional/Sporty Car (43)</v>
      </c>
      <c r="AZ241" s="41" t="str">
        <f>INDEX(Input!$1:$1048576,AZ$93,$C241*2+6)</f>
        <v>Kia Forte</v>
      </c>
      <c r="BA241" s="3">
        <f>INDEX(Input!$1:$1048576,BA$93,$C241*2+6)</f>
        <v>2020</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19695</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832"/>
        <v>2000</v>
      </c>
      <c r="CJ241" s="16" t="str">
        <f>INDEX(Input!$1:$1048576,CJ$93,$C241*2+6)</f>
        <v>N</v>
      </c>
      <c r="CK241" s="1" t="str">
        <f t="shared" si="833"/>
        <v>Market</v>
      </c>
      <c r="CL241" s="1" t="str">
        <f t="shared" si="834"/>
        <v>Market</v>
      </c>
      <c r="CM241" s="1" t="str">
        <f t="shared" si="835"/>
        <v>Market</v>
      </c>
      <c r="CN241" s="1" t="str">
        <f t="shared" si="836"/>
        <v>Market</v>
      </c>
      <c r="CO241" s="1" t="str">
        <f t="shared" si="837"/>
        <v>Market</v>
      </c>
      <c r="CP241" s="304">
        <f t="shared" si="838"/>
        <v>0</v>
      </c>
      <c r="CQ241" s="1">
        <f t="shared" si="839"/>
        <v>0</v>
      </c>
      <c r="CR241" s="1">
        <f t="shared" si="840"/>
        <v>0</v>
      </c>
      <c r="CS241" s="1">
        <f t="shared" si="841"/>
        <v>0</v>
      </c>
      <c r="CT241" s="1">
        <f t="shared" si="842"/>
        <v>1.9E-2</v>
      </c>
      <c r="CU241" s="1">
        <f t="shared" si="843"/>
        <v>3.9E-2</v>
      </c>
      <c r="CV241" s="304">
        <f t="shared" si="844"/>
        <v>1718</v>
      </c>
      <c r="CW241" s="20" t="s">
        <v>122</v>
      </c>
      <c r="CX241" s="20" t="s">
        <v>122</v>
      </c>
      <c r="CY241" s="20" t="s">
        <v>122</v>
      </c>
      <c r="CZ241" s="20" t="s">
        <v>122</v>
      </c>
      <c r="DA241" s="20" t="s">
        <v>122</v>
      </c>
      <c r="DB241" s="503">
        <f t="shared" si="845"/>
        <v>0</v>
      </c>
      <c r="DC241" s="127">
        <v>0</v>
      </c>
      <c r="DD241" s="127">
        <v>0</v>
      </c>
      <c r="DE241" s="127">
        <v>0</v>
      </c>
      <c r="DF241" s="127">
        <v>0</v>
      </c>
      <c r="DG241" s="127">
        <v>0</v>
      </c>
      <c r="DH241" s="127">
        <v>0</v>
      </c>
      <c r="DI241" s="127">
        <v>0</v>
      </c>
      <c r="DJ241" s="127">
        <v>0</v>
      </c>
      <c r="DK241" s="127">
        <v>0</v>
      </c>
      <c r="DL241" s="127">
        <v>0</v>
      </c>
      <c r="DM241" s="304">
        <f>INDEX(Input!$1:$1048576,DM$93,$C241*2+6)</f>
        <v>20731.578947368424</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2.9819345287694608E-2</v>
      </c>
      <c r="DZ241" s="7">
        <v>0</v>
      </c>
      <c r="EA241" s="7">
        <v>0.60175566757792665</v>
      </c>
      <c r="EB241" s="7">
        <v>0</v>
      </c>
      <c r="EC241" s="7">
        <v>0</v>
      </c>
      <c r="ED241" s="7">
        <v>0</v>
      </c>
      <c r="EE241" s="7">
        <v>0</v>
      </c>
      <c r="EF241" s="7">
        <v>0</v>
      </c>
      <c r="EG241" s="7">
        <v>0</v>
      </c>
      <c r="EH241" s="7">
        <v>1.6199567038534261E-2</v>
      </c>
      <c r="EI241" s="7">
        <v>2.6452671461480164E-2</v>
      </c>
      <c r="EJ241" s="7">
        <v>0.26583342237470053</v>
      </c>
      <c r="EK241" s="7">
        <v>0.64355613898373365</v>
      </c>
      <c r="EL241" s="7">
        <v>4.7958200141551409E-2</v>
      </c>
      <c r="EM241" s="7">
        <v>3.095423720898598E-2</v>
      </c>
      <c r="EN241" s="7">
        <v>5.0615777169536899E-2</v>
      </c>
      <c r="EO241" s="7">
        <v>0.56056737708691828</v>
      </c>
      <c r="EP241" s="7">
        <v>0.28780301539509817</v>
      </c>
      <c r="EQ241" s="7">
        <v>6.2838200339130235E-2</v>
      </c>
      <c r="ER241" s="7">
        <v>3.817563000931623E-2</v>
      </c>
      <c r="ES241" s="7">
        <v>0.33747074992539278</v>
      </c>
      <c r="ET241" s="7">
        <v>0.36842498713437877</v>
      </c>
      <c r="EU241" s="6">
        <v>2350</v>
      </c>
      <c r="EV241" s="6">
        <v>0</v>
      </c>
      <c r="EW241" s="6">
        <v>2350</v>
      </c>
      <c r="EX241" s="6">
        <v>0</v>
      </c>
      <c r="EY241" s="6">
        <v>2626.8410617341824</v>
      </c>
      <c r="EZ241" s="6">
        <v>2471</v>
      </c>
      <c r="FA241" s="6">
        <v>0</v>
      </c>
      <c r="FB241" s="6">
        <v>0</v>
      </c>
      <c r="FC241" s="6">
        <v>0</v>
      </c>
      <c r="FD241" s="6">
        <v>0</v>
      </c>
      <c r="FE241" s="6">
        <v>0</v>
      </c>
      <c r="FF241" s="6">
        <v>0</v>
      </c>
      <c r="FG241" s="6">
        <v>0</v>
      </c>
      <c r="FH241" s="6">
        <v>1154.7851308216211</v>
      </c>
      <c r="FI241" s="6">
        <v>1531.4299904380616</v>
      </c>
      <c r="FJ241" s="6">
        <v>2070.7205842538215</v>
      </c>
      <c r="FK241" s="6">
        <v>1746.990352159042</v>
      </c>
      <c r="FL241" s="6">
        <v>893.91433563489409</v>
      </c>
      <c r="FM241" s="6">
        <v>1776.8410617341824</v>
      </c>
      <c r="FN241" s="6">
        <v>0</v>
      </c>
      <c r="FO241" s="6">
        <v>0</v>
      </c>
      <c r="FP241" s="6">
        <v>0</v>
      </c>
      <c r="FQ241" s="6">
        <v>0</v>
      </c>
      <c r="FR241" s="6">
        <v>0</v>
      </c>
      <c r="FS241" s="6">
        <v>0</v>
      </c>
      <c r="FT241" s="7">
        <v>0.63157501286562123</v>
      </c>
      <c r="FU241" s="7">
        <v>3.095423720898598E-2</v>
      </c>
      <c r="FV241" s="7">
        <v>0.33747074992539278</v>
      </c>
      <c r="FW241" s="6">
        <v>2350</v>
      </c>
      <c r="FX241" s="6">
        <v>2626.8410617341824</v>
      </c>
      <c r="FY241" s="6">
        <v>2471</v>
      </c>
      <c r="FZ241" s="6">
        <v>2594.6978186474794</v>
      </c>
      <c r="GA241" s="6">
        <v>2399.4033646350799</v>
      </c>
      <c r="GB241" s="6">
        <v>17295.59663536492</v>
      </c>
      <c r="GC241" s="7">
        <v>9.6947029492584935E-2</v>
      </c>
      <c r="GD241" s="7">
        <v>9.5740078693769465E-2</v>
      </c>
      <c r="GE241" s="7"/>
      <c r="GF241" s="7"/>
      <c r="GG241" s="7">
        <v>-1.244959030856933E-2</v>
      </c>
      <c r="GH241" s="42">
        <v>1.2555127710472787</v>
      </c>
      <c r="GI241" s="6">
        <v>18086.221096940193</v>
      </c>
      <c r="GJ241" s="14">
        <v>0.5107463060103955</v>
      </c>
      <c r="GK241" s="14">
        <v>0.5082951978616097</v>
      </c>
      <c r="GL241" s="14">
        <v>0.48925369398960433</v>
      </c>
      <c r="GM241" s="14">
        <v>0.49170480213839035</v>
      </c>
      <c r="GO241" s="5">
        <v>338.16872463277008</v>
      </c>
      <c r="GP241" s="5">
        <v>293.33520778489498</v>
      </c>
      <c r="GQ241" s="5">
        <v>527.27910984145694</v>
      </c>
      <c r="GR241" s="5">
        <v>404.20319246551543</v>
      </c>
      <c r="GS241" s="5">
        <v>334.50205195691484</v>
      </c>
      <c r="GT241" s="5">
        <v>289.18266033348181</v>
      </c>
      <c r="GU241" s="5">
        <v>254.29573314828914</v>
      </c>
      <c r="GV241" s="39" t="s">
        <v>392</v>
      </c>
      <c r="GW241" s="5">
        <v>468.76388888888891</v>
      </c>
      <c r="GX241" s="5">
        <v>351.57291666666669</v>
      </c>
      <c r="GY241" s="5">
        <v>281.25833333333333</v>
      </c>
      <c r="GZ241" s="5">
        <v>248.18079879493993</v>
      </c>
      <c r="HA241" s="5">
        <v>229.89195052129486</v>
      </c>
      <c r="HB241" s="39">
        <v>262.40516104044389</v>
      </c>
      <c r="HC241" s="5">
        <v>175.00937499999998</v>
      </c>
      <c r="HD241" s="5">
        <v>162.53879751461983</v>
      </c>
      <c r="HE241" s="5">
        <v>168.95939186909578</v>
      </c>
      <c r="HF241" s="5">
        <v>160.56129934210526</v>
      </c>
      <c r="HG241" s="5">
        <v>160.21410087719298</v>
      </c>
      <c r="HH241" s="39">
        <v>164.80486271659311</v>
      </c>
      <c r="HI241" s="16"/>
      <c r="HJ241" s="19" t="str">
        <f t="shared" si="850"/>
        <v>On</v>
      </c>
      <c r="HK241" s="1" t="str">
        <f t="shared" si="850"/>
        <v>On</v>
      </c>
      <c r="HL241" s="16"/>
      <c r="HM241" s="639">
        <f t="shared" si="727"/>
        <v>5.0961701597560354E-2</v>
      </c>
      <c r="HN241" s="639">
        <f t="shared" si="728"/>
        <v>3.112551654761847E-3</v>
      </c>
      <c r="HO241" s="639">
        <f t="shared" si="729"/>
        <v>3.1163314184693442E-2</v>
      </c>
      <c r="HP241" s="644">
        <f>(FT241*$GD241-HM241)/$JF241*INDEX(Input!$1:$1048576,$JG$93,$C241*2+6)</f>
        <v>178.53687679931198</v>
      </c>
      <c r="HQ241" s="644">
        <f>(FU241*$GD241-HN241)/$JF241*INDEX(Input!$1:$1048576,$JG$93,$C241*2+6)</f>
        <v>-2.7984593562387028</v>
      </c>
      <c r="HR241" s="644">
        <f>(FV241*$GD241-HO241)/$JF241*INDEX(Input!$1:$1048576,$JG$93,$C241*2+6)</f>
        <v>21.528128607616978</v>
      </c>
      <c r="HS241" s="644">
        <f t="shared" si="851"/>
        <v>-23.424119526008717</v>
      </c>
      <c r="HT241" s="644">
        <f t="shared" si="731"/>
        <v>22.832983385798528</v>
      </c>
      <c r="HU241" s="644">
        <f t="shared" si="732"/>
        <v>66.505267535060597</v>
      </c>
      <c r="HV241" s="648">
        <f t="shared" si="733"/>
        <v>0</v>
      </c>
      <c r="HW241" s="648">
        <f t="shared" si="734"/>
        <v>0</v>
      </c>
      <c r="HX241" s="648">
        <f t="shared" si="735"/>
        <v>0</v>
      </c>
      <c r="HY241" s="644">
        <f>INDEX(Input!$1:$1048576,HY$93,$C241*2+6)*INDEX(Input!$1:$1048576,$JG$93,$C241*2+6)</f>
        <v>555</v>
      </c>
      <c r="HZ241" s="644">
        <f>INDEX(Input!$1:$1048576,HZ$93,$C241*2+6)*INDEX(Input!$1:$1048576,$JG$93,$C241*2+6)</f>
        <v>480</v>
      </c>
      <c r="IA241" s="644">
        <f>INDEX(Input!$1:$1048576,IA$93,$C241*2+6)*INDEX(Input!$1:$1048576,$JG$93,$C241*2+6)</f>
        <v>566</v>
      </c>
      <c r="IB241" s="644">
        <f t="shared" si="759"/>
        <v>710.11275727330315</v>
      </c>
      <c r="IC241" s="644">
        <f t="shared" si="760"/>
        <v>500.0345240295598</v>
      </c>
      <c r="ID241" s="644">
        <f>IF(AND(INDEX(Input!$1:$1048576,IA$93,$C241*2+7)="TOS",Y241&lt;=INDEX(Y:Y,MATCH(C241*1000+2,A:A))),0,1)*MAX(IA241+HR241+HU241+HX241,0%)</f>
        <v>654.03339614267759</v>
      </c>
      <c r="IE241" s="128">
        <f t="shared" ref="IE241:IE242" si="855">IB241/SUM($IB241:$ID241)</f>
        <v>0.38092485662192377</v>
      </c>
      <c r="IF241" s="128">
        <f t="shared" si="736"/>
        <v>0.26823286502183352</v>
      </c>
      <c r="IG241" s="128">
        <f t="shared" si="737"/>
        <v>0.35084227835624282</v>
      </c>
      <c r="IH241" s="21"/>
      <c r="II241" s="19">
        <f t="shared" si="738"/>
        <v>1200</v>
      </c>
      <c r="IJ241" s="19">
        <f t="shared" si="739"/>
        <v>2226.7968732767699</v>
      </c>
      <c r="IK241" s="19">
        <f t="shared" si="740"/>
        <v>1786</v>
      </c>
      <c r="IL241" s="19">
        <f t="shared" si="762"/>
        <v>1150</v>
      </c>
      <c r="IM241" s="19">
        <f t="shared" si="741"/>
        <v>400.04418845741247</v>
      </c>
      <c r="IN241" s="19">
        <f t="shared" si="742"/>
        <v>685</v>
      </c>
      <c r="IO241" s="39">
        <f t="shared" si="743"/>
        <v>0</v>
      </c>
      <c r="IP241" s="39">
        <f t="shared" si="744"/>
        <v>0</v>
      </c>
      <c r="IQ241" s="39">
        <f t="shared" si="745"/>
        <v>0</v>
      </c>
      <c r="IR241" s="39">
        <v>0</v>
      </c>
      <c r="IS241" s="39">
        <v>0</v>
      </c>
      <c r="IT241" s="39">
        <v>0</v>
      </c>
      <c r="IU241" s="39">
        <v>0</v>
      </c>
      <c r="IV241" s="39">
        <v>0</v>
      </c>
      <c r="IW241" s="39">
        <v>0</v>
      </c>
      <c r="IX241" s="39">
        <f>INDEX(Input!$1:$1048576,IX$93,$C241*2+6)+INDEX(Input!$1:$1048576,IX$94,$C241*2+6)</f>
        <v>1600</v>
      </c>
      <c r="IY241" s="39">
        <f>INDEX(Input!$1:$1048576,IY$93,$C241*2+6)+INDEX(Input!$1:$1048576,IY$94,$C241*2+6)</f>
        <v>2503.5492916397525</v>
      </c>
      <c r="IZ241" s="39">
        <f>INDEX(Input!$1:$1048576,IZ$93,$C241*2+6)+INDEX(Input!$1:$1048576,IZ$94,$C241*2+6)</f>
        <v>5773.7109265464023</v>
      </c>
      <c r="JA241" s="19">
        <f t="shared" si="763"/>
        <v>2750</v>
      </c>
      <c r="JB241" s="19">
        <f t="shared" si="764"/>
        <v>2903.593480097165</v>
      </c>
      <c r="JC241" s="19">
        <f t="shared" si="765"/>
        <v>6458.7109265464023</v>
      </c>
      <c r="JD241" s="19">
        <f t="shared" si="766"/>
        <v>4092.3714104493693</v>
      </c>
      <c r="JE241" s="21"/>
      <c r="JF241" s="1">
        <f t="shared" si="746"/>
        <v>8.5237567437015646E-2</v>
      </c>
      <c r="JG241" s="15">
        <f>INDEX(Input!$1:$1048576,JG$93,$C241*2+6)/(1+VLOOKUP(C241*1000+INDEX(Input!$1:$1048576,JG$93+1,$C241*2+6),$A:$KK,$JK$92,FALSE))</f>
        <v>1601</v>
      </c>
      <c r="JH241" s="1">
        <f t="shared" si="767"/>
        <v>0.12321458216782651</v>
      </c>
      <c r="JI241" s="1">
        <f t="shared" si="768"/>
        <v>4.1170600496471213E-2</v>
      </c>
      <c r="JJ241" s="1">
        <f t="shared" si="828"/>
        <v>0</v>
      </c>
      <c r="JK241" s="1">
        <f t="shared" si="829"/>
        <v>0.16438518266429772</v>
      </c>
      <c r="JL241" s="15">
        <f t="shared" si="771"/>
        <v>263.18067744554065</v>
      </c>
      <c r="JM241" s="15">
        <f t="shared" si="795"/>
        <v>1864.1806774455406</v>
      </c>
      <c r="JN241" s="21"/>
      <c r="JO241" s="19">
        <f>INDEX(Input!$1:$1048576,JO$93,$C241*2+6)</f>
        <v>5908.5</v>
      </c>
      <c r="JP241" s="19">
        <f>INDEX(Input!$1:$1048576,JP$93,$C241*2+6)</f>
        <v>3346.4235130620518</v>
      </c>
      <c r="JQ241" s="39">
        <f t="shared" si="781"/>
        <v>1816.1285895506307</v>
      </c>
      <c r="JR241" s="39">
        <f t="shared" si="798"/>
        <v>745.94789738731743</v>
      </c>
      <c r="JS241" s="39">
        <f t="shared" si="783"/>
        <v>7.628919708290268</v>
      </c>
      <c r="JT241" s="39">
        <f t="shared" si="773"/>
        <v>2.2712956638779231</v>
      </c>
      <c r="JU241" s="385">
        <f>(JQ241*JM241-INDEX(Input!$1:$1048576,Input!A$18,$C241*2+6)*JL241*INDEX(Input!$1:$1048576,Input!A$19,$C241*2+6))/1000000</f>
        <v>3.3855918243967089</v>
      </c>
      <c r="JV241" s="39">
        <f t="shared" si="805"/>
        <v>-0.71629263119094588</v>
      </c>
      <c r="JW241" s="1">
        <f t="shared" si="796"/>
        <v>-0.17462525796288586</v>
      </c>
      <c r="JX241" s="19">
        <f t="shared" si="787"/>
        <v>8630.1763713178261</v>
      </c>
      <c r="JZ241" s="341"/>
      <c r="KA241" s="342"/>
      <c r="KB241" s="469">
        <f t="shared" si="784"/>
        <v>2.4482969984810516</v>
      </c>
      <c r="KI241" s="473">
        <f t="shared" si="853"/>
        <v>155.11275727330326</v>
      </c>
      <c r="KJ241" s="473">
        <f t="shared" si="854"/>
        <v>20.034524029559861</v>
      </c>
      <c r="KK241" s="473">
        <f t="shared" si="775"/>
        <v>88.033396142677702</v>
      </c>
      <c r="KN241" s="544">
        <f t="shared" si="788"/>
        <v>2002</v>
      </c>
      <c r="KO241" s="541">
        <f t="shared" si="750"/>
        <v>7.8958821554190983E-2</v>
      </c>
      <c r="KP241" s="546">
        <f t="shared" si="751"/>
        <v>412.00529618491839</v>
      </c>
      <c r="KQ241" s="546">
        <f t="shared" si="752"/>
        <v>366.76783549283073</v>
      </c>
      <c r="KR241" s="548">
        <f t="shared" si="753"/>
        <v>3.0604575580193689</v>
      </c>
      <c r="KS241" s="548">
        <f t="shared" si="754"/>
        <v>3.4379370289077316</v>
      </c>
      <c r="KT241" s="473">
        <f t="shared" si="786"/>
        <v>528.59039248727379</v>
      </c>
      <c r="KU241" s="663">
        <f t="shared" si="776"/>
        <v>12.16007891995843</v>
      </c>
      <c r="KV241" s="117"/>
    </row>
    <row r="242" spans="1:308" s="26" customFormat="1" ht="15">
      <c r="A242" s="561">
        <f t="shared" si="755"/>
        <v>2042</v>
      </c>
      <c r="B242" s="561">
        <f t="shared" si="777"/>
        <v>42</v>
      </c>
      <c r="C242" s="561">
        <f t="shared" si="105"/>
        <v>2</v>
      </c>
      <c r="D242" s="561" t="str">
        <f t="shared" si="824"/>
        <v xml:space="preserve">1000 CC, 360 Lease, </v>
      </c>
      <c r="E242" s="475">
        <f>INDEX(Input!$1:$1048576,E$93,$C242*2+MIN($B242,2)+5)
+INDEX(Scenarios!E$121:E$200,MATCH($B242,Scenarios!$B$121:$B$200,0))</f>
        <v>2250</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1.9E-2</v>
      </c>
      <c r="W242" s="863">
        <f>IFERROR(MAX(0,INDEX(Input!$1:$1048576,W$93,$C242*2+MIN($B242,2)+5)-0%,),"Market")</f>
        <v>3.9E-2</v>
      </c>
      <c r="X242" s="476" t="str">
        <f>INDEX(Input!$1:$1048576,X$93,$C242*2+MIN($B242,2)+5)</f>
        <v>Y</v>
      </c>
      <c r="Y242" s="475">
        <f>INDEX(Input!$1:$1048576,Y$93,$C242*2+MIN($B242,2)+5)
++INDEX(Scenarios!Y$121:Y$200,MATCH($B242,Scenarios!$B$121:$B$200,0))</f>
        <v>1718</v>
      </c>
      <c r="Z242" s="477">
        <f>INDEX(Input!$1:$1048576,Z$93,$C242*2+MIN($B242,2)+5)
+INDEX(Scenarios!Z$121:Z$200,MATCH($B242,Scenarios!$B$121:$B$200,0))</f>
        <v>0</v>
      </c>
      <c r="AA242" s="475">
        <f>INDEX(Input!$1:$1048576,AA$93,$C242*2+MIN($B242,2)+5)</f>
        <v>0</v>
      </c>
      <c r="AB242" s="476">
        <f>INDEX(Input!$1:$1048576,AB$93,$C242*2+MIN($B242,2)+5)</f>
        <v>1</v>
      </c>
      <c r="AC242" s="475">
        <f>INDEX(Input!$1:$1048576,AC$93,$C242*2+MIN($B242,2)+5)
+INDEX(Scenarios!AC$121:AC$200,MATCH($B242,Scenarios!$B$121:$B$200,0))</f>
        <v>0</v>
      </c>
      <c r="AD242" s="476">
        <f>INDEX(Input!$1:$1048576,AD$93,$C242*2+MIN($B242,2)+5)</f>
        <v>0.35</v>
      </c>
      <c r="AE242" s="475">
        <f>INDEX(Input!$1:$1048576,AE$93,$C242*2+MIN($B242,2)+5)
+INDEX(Scenarios!AE$121:AE$200,MATCH($B242,Scenarios!$B$121:$B$200,0))</f>
        <v>0</v>
      </c>
      <c r="AF242" s="476">
        <f>INDEX(Input!$1:$1048576,AF$93,$C242*2+MIN($B242,2)+5)</f>
        <v>1</v>
      </c>
      <c r="AG242" s="475">
        <f>INDEX(Input!$1:$1048576,AG$93,$C242*2+MIN($B242,2)+5)
+INDEX(Scenarios!AG$121:AG$200,MATCH($B242,Scenarios!$B$121:$B$200,0))</f>
        <v>0</v>
      </c>
      <c r="AH242" s="476">
        <f>INDEX(Input!$1:$1048576,AH$93,$C242*2+MIN($B242,2)+5)</f>
        <v>1</v>
      </c>
      <c r="AI242" s="475">
        <f>INDEX(Input!$1:$1048576,AI$93,$C242*2+MIN($B242,2)+5)
+INDEX(Scenarios!AI$121:AI$200,MATCH($B242,Scenarios!$B$121:$B$200,0))</f>
        <v>0</v>
      </c>
      <c r="AJ242" s="476">
        <f>INDEX(Input!$1:$1048576,AJ$93,$C242*2+MIN($B242,2)+5)</f>
        <v>0.35</v>
      </c>
      <c r="AK242" s="150">
        <f>ROUND(INDEX(Input!$1:$1048576,AK$93,$C241*2+MIN($B242,1)+5)+(Y242-VLOOKUP($C242*1000+1,$A:$HH,Y$92,FALSE)),0)</f>
        <v>5342</v>
      </c>
      <c r="AL242" s="150">
        <f>ROUND(INDEX(Input!$1:$1048576,AL$93,$C241*2+MIN($B242,1)+5)-(Y242-VLOOKUP($C242*1000+1,$A:$HH,Y$92,FALSE))/36,0)</f>
        <v>5092</v>
      </c>
      <c r="AM242" s="32" t="str">
        <f t="shared" si="756"/>
        <v>std/std/std/std</v>
      </c>
      <c r="AN242" s="32" t="str">
        <f t="shared" si="757"/>
        <v>$0 + 0/0/0/1.9/3.9</v>
      </c>
      <c r="AO242" s="32" t="str">
        <f t="shared" si="758"/>
        <v>0/0/0/1.9/3.9</v>
      </c>
      <c r="AP242" s="32" t="str">
        <f t="shared" si="831"/>
        <v>0/0.9/1.9/3.9</v>
      </c>
      <c r="AQ242" s="536">
        <f t="shared" si="830"/>
        <v>0.39996959706343366</v>
      </c>
      <c r="AR242" s="32"/>
      <c r="AS242" s="302"/>
      <c r="AT242" s="3">
        <f t="shared" si="810"/>
        <v>42</v>
      </c>
      <c r="AU242" s="41" t="s">
        <v>121</v>
      </c>
      <c r="AV242" s="41" t="s">
        <v>116</v>
      </c>
      <c r="AW242" s="41" t="str">
        <f>INDEX(Input!$1:$1048576,AW$93,$C242*2+6)</f>
        <v>Kia</v>
      </c>
      <c r="AX242" s="41" t="str">
        <f>INDEX(Input!$1:$1048576,AX$93,$C242*2+6)</f>
        <v>Kia-LR - L2</v>
      </c>
      <c r="AY242" s="41" t="str">
        <f>IF(LEN(D242)=0,"",INDEX(Input!$1:$1048576,AY$93,$C242*2+6))</f>
        <v>Compact Conventional/Sporty Car (43)</v>
      </c>
      <c r="AZ242" s="41" t="str">
        <f>INDEX(Input!$1:$1048576,AZ$93,$C242*2+6)</f>
        <v>Kia Forte</v>
      </c>
      <c r="BA242" s="3">
        <f>INDEX(Input!$1:$1048576,BA$93,$C242*2+6)</f>
        <v>2020</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19695</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832"/>
        <v>2250</v>
      </c>
      <c r="CJ242" s="16" t="str">
        <f>INDEX(Input!$1:$1048576,CJ$93,$C242*2+6)</f>
        <v>N</v>
      </c>
      <c r="CK242" s="1" t="str">
        <f t="shared" si="833"/>
        <v>Market</v>
      </c>
      <c r="CL242" s="1" t="str">
        <f t="shared" si="834"/>
        <v>Market</v>
      </c>
      <c r="CM242" s="1" t="str">
        <f t="shared" si="835"/>
        <v>Market</v>
      </c>
      <c r="CN242" s="1" t="str">
        <f t="shared" si="836"/>
        <v>Market</v>
      </c>
      <c r="CO242" s="1" t="str">
        <f t="shared" si="837"/>
        <v>Market</v>
      </c>
      <c r="CP242" s="304">
        <f t="shared" si="838"/>
        <v>0</v>
      </c>
      <c r="CQ242" s="1">
        <f t="shared" si="839"/>
        <v>0</v>
      </c>
      <c r="CR242" s="1">
        <f t="shared" si="840"/>
        <v>0</v>
      </c>
      <c r="CS242" s="1">
        <f t="shared" si="841"/>
        <v>0</v>
      </c>
      <c r="CT242" s="1">
        <f t="shared" si="842"/>
        <v>1.9E-2</v>
      </c>
      <c r="CU242" s="1">
        <f t="shared" si="843"/>
        <v>3.9E-2</v>
      </c>
      <c r="CV242" s="304">
        <f t="shared" si="844"/>
        <v>1718</v>
      </c>
      <c r="CW242" s="20" t="s">
        <v>122</v>
      </c>
      <c r="CX242" s="20" t="s">
        <v>122</v>
      </c>
      <c r="CY242" s="20" t="s">
        <v>122</v>
      </c>
      <c r="CZ242" s="20" t="s">
        <v>122</v>
      </c>
      <c r="DA242" s="20" t="s">
        <v>122</v>
      </c>
      <c r="DB242" s="503">
        <f t="shared" si="845"/>
        <v>0</v>
      </c>
      <c r="DC242" s="127">
        <v>0</v>
      </c>
      <c r="DD242" s="127">
        <v>0</v>
      </c>
      <c r="DE242" s="127">
        <v>0</v>
      </c>
      <c r="DF242" s="127">
        <v>0</v>
      </c>
      <c r="DG242" s="127">
        <v>0</v>
      </c>
      <c r="DH242" s="127">
        <v>0</v>
      </c>
      <c r="DI242" s="127">
        <v>0</v>
      </c>
      <c r="DJ242" s="127">
        <v>0</v>
      </c>
      <c r="DK242" s="127">
        <v>0</v>
      </c>
      <c r="DL242" s="127">
        <v>0</v>
      </c>
      <c r="DM242" s="304">
        <f>INDEX(Input!$1:$1048576,DM$93,$C242*2+6)</f>
        <v>20731.578947368424</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3.0715203256829356E-2</v>
      </c>
      <c r="DZ242" s="7">
        <v>0</v>
      </c>
      <c r="EA242" s="7">
        <v>0.61746681925654412</v>
      </c>
      <c r="EB242" s="7">
        <v>0</v>
      </c>
      <c r="EC242" s="7">
        <v>0</v>
      </c>
      <c r="ED242" s="7">
        <v>0</v>
      </c>
      <c r="EE242" s="7">
        <v>0</v>
      </c>
      <c r="EF242" s="7">
        <v>0</v>
      </c>
      <c r="EG242" s="7">
        <v>0</v>
      </c>
      <c r="EH242" s="7">
        <v>1.6205464128785065E-2</v>
      </c>
      <c r="EI242" s="7">
        <v>2.646538673431334E-2</v>
      </c>
      <c r="EJ242" s="7">
        <v>0.26589603328794625</v>
      </c>
      <c r="EK242" s="7">
        <v>0.64347711046548717</v>
      </c>
      <c r="EL242" s="7">
        <v>4.7956005383468586E-2</v>
      </c>
      <c r="EM242" s="7">
        <v>2.9522904675567205E-2</v>
      </c>
      <c r="EN242" s="7">
        <v>5.0610591913933911E-2</v>
      </c>
      <c r="EO242" s="7">
        <v>0.56054475739497356</v>
      </c>
      <c r="EP242" s="7">
        <v>0.28782753824628338</v>
      </c>
      <c r="EQ242" s="7">
        <v>6.2832219565996217E-2</v>
      </c>
      <c r="ER242" s="7">
        <v>3.8184892878812708E-2</v>
      </c>
      <c r="ES242" s="7">
        <v>0.32229507281105929</v>
      </c>
      <c r="ET242" s="7">
        <v>0.35181797748662663</v>
      </c>
      <c r="EU242" s="6">
        <v>2600</v>
      </c>
      <c r="EV242" s="6">
        <v>0</v>
      </c>
      <c r="EW242" s="6">
        <v>2600</v>
      </c>
      <c r="EX242" s="6">
        <v>0</v>
      </c>
      <c r="EY242" s="6">
        <v>2626.8569501726424</v>
      </c>
      <c r="EZ242" s="6">
        <v>2471</v>
      </c>
      <c r="FA242" s="6">
        <v>0</v>
      </c>
      <c r="FB242" s="6">
        <v>0</v>
      </c>
      <c r="FC242" s="6">
        <v>0</v>
      </c>
      <c r="FD242" s="6">
        <v>0</v>
      </c>
      <c r="FE242" s="6">
        <v>0</v>
      </c>
      <c r="FF242" s="6">
        <v>0</v>
      </c>
      <c r="FG242" s="6">
        <v>0</v>
      </c>
      <c r="FH242" s="6">
        <v>1154.7839148087971</v>
      </c>
      <c r="FI242" s="6">
        <v>1531.4299904380609</v>
      </c>
      <c r="FJ242" s="6">
        <v>2070.7205842538219</v>
      </c>
      <c r="FK242" s="6">
        <v>1746.9903521590434</v>
      </c>
      <c r="FL242" s="6">
        <v>893.91433563489409</v>
      </c>
      <c r="FM242" s="6">
        <v>1776.8569501726427</v>
      </c>
      <c r="FN242" s="6">
        <v>0</v>
      </c>
      <c r="FO242" s="6">
        <v>0</v>
      </c>
      <c r="FP242" s="6">
        <v>0</v>
      </c>
      <c r="FQ242" s="6">
        <v>0</v>
      </c>
      <c r="FR242" s="6">
        <v>0</v>
      </c>
      <c r="FS242" s="6">
        <v>0</v>
      </c>
      <c r="FT242" s="7">
        <v>0.64818202251337342</v>
      </c>
      <c r="FU242" s="7">
        <v>2.9522904675567205E-2</v>
      </c>
      <c r="FV242" s="7">
        <v>0.32229507281105929</v>
      </c>
      <c r="FW242" s="6">
        <v>2600</v>
      </c>
      <c r="FX242" s="6">
        <v>2626.8569501726424</v>
      </c>
      <c r="FY242" s="6">
        <v>2471</v>
      </c>
      <c r="FZ242" s="6">
        <v>2594.6978186474794</v>
      </c>
      <c r="GA242" s="6">
        <v>2559.2168307871966</v>
      </c>
      <c r="GB242" s="6">
        <v>17135.783169212802</v>
      </c>
      <c r="GC242" s="7">
        <v>9.6947029492584935E-2</v>
      </c>
      <c r="GD242" s="7">
        <v>9.759750453763312E-2</v>
      </c>
      <c r="GE242" s="7"/>
      <c r="GF242" s="7"/>
      <c r="GG242" s="7">
        <v>6.7095923253423359E-3</v>
      </c>
      <c r="GH242" s="42">
        <v>-3.724400835962637</v>
      </c>
      <c r="GI242" s="6">
        <v>-2728.8820789289466</v>
      </c>
      <c r="GJ242" s="14">
        <v>0.51074630601039583</v>
      </c>
      <c r="GK242" s="14">
        <v>0.50829519786160948</v>
      </c>
      <c r="GL242" s="14">
        <v>0.48925369398960444</v>
      </c>
      <c r="GM242" s="14">
        <v>0.49170480213839013</v>
      </c>
      <c r="GO242" s="5">
        <v>338.16872463277008</v>
      </c>
      <c r="GP242" s="5">
        <v>288.56568471597211</v>
      </c>
      <c r="GQ242" s="5">
        <v>527.27910984145694</v>
      </c>
      <c r="GR242" s="5">
        <v>404.20319246551543</v>
      </c>
      <c r="GS242" s="5">
        <v>334.50205195691484</v>
      </c>
      <c r="GT242" s="5">
        <v>289.18266033348181</v>
      </c>
      <c r="GU242" s="5">
        <v>254.29573314828914</v>
      </c>
      <c r="GV242" s="39" t="s">
        <v>392</v>
      </c>
      <c r="GW242" s="5">
        <v>468.76388888888891</v>
      </c>
      <c r="GX242" s="5">
        <v>351.57291666666669</v>
      </c>
      <c r="GY242" s="5">
        <v>281.25833333333333</v>
      </c>
      <c r="GZ242" s="5">
        <v>248.18079879493993</v>
      </c>
      <c r="HA242" s="5">
        <v>229.89195052129486</v>
      </c>
      <c r="HB242" s="39">
        <v>262.40988765206453</v>
      </c>
      <c r="HC242" s="5">
        <v>175.00937499999998</v>
      </c>
      <c r="HD242" s="5">
        <v>162.53879751461983</v>
      </c>
      <c r="HE242" s="5">
        <v>168.95939186909578</v>
      </c>
      <c r="HF242" s="5">
        <v>160.56129934210526</v>
      </c>
      <c r="HG242" s="5">
        <v>160.21410087719298</v>
      </c>
      <c r="HH242" s="39">
        <v>164.8049457983476</v>
      </c>
      <c r="HI242" s="16"/>
      <c r="HJ242" s="19" t="str">
        <f t="shared" si="850"/>
        <v>On</v>
      </c>
      <c r="HK242" s="1" t="str">
        <f t="shared" si="850"/>
        <v>On</v>
      </c>
      <c r="HL242" s="16"/>
      <c r="HM242" s="639">
        <f t="shared" si="727"/>
        <v>5.0961701597560354E-2</v>
      </c>
      <c r="HN242" s="639">
        <f t="shared" si="728"/>
        <v>3.112551654761847E-3</v>
      </c>
      <c r="HO242" s="639">
        <f t="shared" si="729"/>
        <v>3.1163314184693442E-2</v>
      </c>
      <c r="HP242" s="644">
        <f>(FT242*$GD242-HM242)/$JF242*INDEX(Input!$1:$1048576,$JG$93,$C242*2+6)</f>
        <v>231.01425692699996</v>
      </c>
      <c r="HQ242" s="644">
        <f>(FU242*$GD242-HN242)/$JF242*INDEX(Input!$1:$1048576,$JG$93,$C242*2+6)</f>
        <v>-4.3423918786013358</v>
      </c>
      <c r="HR242" s="644">
        <f>(FV242*$GD242-HO242)/$JF242*INDEX(Input!$1:$1048576,$JG$93,$C242*2+6)</f>
        <v>5.4823351839185239</v>
      </c>
      <c r="HS242" s="644">
        <f t="shared" si="851"/>
        <v>-28.45713468210338</v>
      </c>
      <c r="HT242" s="644">
        <f t="shared" si="731"/>
        <v>19.921539666573498</v>
      </c>
      <c r="HU242" s="644">
        <f t="shared" si="732"/>
        <v>69.418161094605082</v>
      </c>
      <c r="HV242" s="648">
        <f t="shared" si="733"/>
        <v>0</v>
      </c>
      <c r="HW242" s="648">
        <f t="shared" si="734"/>
        <v>0</v>
      </c>
      <c r="HX242" s="648">
        <f t="shared" si="735"/>
        <v>0</v>
      </c>
      <c r="HY242" s="644">
        <f>INDEX(Input!$1:$1048576,HY$93,$C242*2+6)*INDEX(Input!$1:$1048576,$JG$93,$C242*2+6)</f>
        <v>555</v>
      </c>
      <c r="HZ242" s="644">
        <f>INDEX(Input!$1:$1048576,HZ$93,$C242*2+6)*INDEX(Input!$1:$1048576,$JG$93,$C242*2+6)</f>
        <v>480</v>
      </c>
      <c r="IA242" s="644">
        <f>INDEX(Input!$1:$1048576,IA$93,$C242*2+6)*INDEX(Input!$1:$1048576,$JG$93,$C242*2+6)</f>
        <v>566</v>
      </c>
      <c r="IB242" s="644">
        <f t="shared" si="759"/>
        <v>757.55712224489639</v>
      </c>
      <c r="IC242" s="644">
        <f t="shared" si="760"/>
        <v>495.57914778797215</v>
      </c>
      <c r="ID242" s="644">
        <f>IF(AND(INDEX(Input!$1:$1048576,IA$93,$C242*2+7)="TOS",Y242&lt;=INDEX(Y:Y,MATCH(C242*1000+2,A:A))),0,1)*MAX(IA242+HR242+HU242+HX242,0%)</f>
        <v>640.90049627852363</v>
      </c>
      <c r="IE242" s="128">
        <f t="shared" si="855"/>
        <v>0.39996959706343366</v>
      </c>
      <c r="IF242" s="128">
        <f t="shared" si="736"/>
        <v>0.2616523378018184</v>
      </c>
      <c r="IG242" s="128">
        <f t="shared" si="737"/>
        <v>0.33837806513474794</v>
      </c>
      <c r="IH242" s="21"/>
      <c r="II242" s="19">
        <f t="shared" si="738"/>
        <v>1200</v>
      </c>
      <c r="IJ242" s="19">
        <f t="shared" si="739"/>
        <v>2226.7968732767699</v>
      </c>
      <c r="IK242" s="19">
        <f t="shared" si="740"/>
        <v>1786</v>
      </c>
      <c r="IL242" s="19">
        <f t="shared" si="762"/>
        <v>1400</v>
      </c>
      <c r="IM242" s="19">
        <f t="shared" si="741"/>
        <v>400.0600768958725</v>
      </c>
      <c r="IN242" s="19">
        <f t="shared" si="742"/>
        <v>685</v>
      </c>
      <c r="IO242" s="39">
        <f t="shared" si="743"/>
        <v>0</v>
      </c>
      <c r="IP242" s="39">
        <f t="shared" si="744"/>
        <v>0</v>
      </c>
      <c r="IQ242" s="39">
        <f t="shared" si="745"/>
        <v>0</v>
      </c>
      <c r="IR242" s="39">
        <v>0</v>
      </c>
      <c r="IS242" s="39">
        <v>0</v>
      </c>
      <c r="IT242" s="39">
        <v>0</v>
      </c>
      <c r="IU242" s="39">
        <v>0</v>
      </c>
      <c r="IV242" s="39">
        <v>0</v>
      </c>
      <c r="IW242" s="39">
        <v>0</v>
      </c>
      <c r="IX242" s="39">
        <f>INDEX(Input!$1:$1048576,IX$93,$C242*2+6)+INDEX(Input!$1:$1048576,IX$94,$C242*2+6)</f>
        <v>1600</v>
      </c>
      <c r="IY242" s="39">
        <f>INDEX(Input!$1:$1048576,IY$93,$C242*2+6)+INDEX(Input!$1:$1048576,IY$94,$C242*2+6)</f>
        <v>2503.5492916397525</v>
      </c>
      <c r="IZ242" s="39">
        <f>INDEX(Input!$1:$1048576,IZ$93,$C242*2+6)+INDEX(Input!$1:$1048576,IZ$94,$C242*2+6)</f>
        <v>5773.7109265464023</v>
      </c>
      <c r="JA242" s="19">
        <f t="shared" si="763"/>
        <v>3000</v>
      </c>
      <c r="JB242" s="19">
        <f t="shared" si="764"/>
        <v>2903.609368535625</v>
      </c>
      <c r="JC242" s="19">
        <f t="shared" si="765"/>
        <v>6458.7109265464023</v>
      </c>
      <c r="JD242" s="19">
        <f t="shared" si="766"/>
        <v>4145.1310771203352</v>
      </c>
      <c r="JE242" s="21"/>
      <c r="JF242" s="1">
        <f t="shared" si="746"/>
        <v>8.5237567437015646E-2</v>
      </c>
      <c r="JG242" s="15">
        <f>INDEX(Input!$1:$1048576,JG$93,$C242*2+6)/(1+VLOOKUP(C242*1000+INDEX(Input!$1:$1048576,JG$93+1,$C242*2+6),$A:$KK,$JK$92,FALSE))</f>
        <v>1601</v>
      </c>
      <c r="JH242" s="1">
        <f t="shared" si="767"/>
        <v>0.14500574655360221</v>
      </c>
      <c r="JI242" s="1">
        <f t="shared" si="768"/>
        <v>3.8027836401670956E-2</v>
      </c>
      <c r="JJ242" s="1">
        <f t="shared" si="828"/>
        <v>0</v>
      </c>
      <c r="JK242" s="1">
        <f t="shared" si="829"/>
        <v>0.18303358295527317</v>
      </c>
      <c r="JL242" s="15">
        <f t="shared" si="771"/>
        <v>293.03676631139234</v>
      </c>
      <c r="JM242" s="15">
        <f t="shared" si="795"/>
        <v>1894.0367663113923</v>
      </c>
      <c r="JN242" s="21"/>
      <c r="JO242" s="19">
        <f>INDEX(Input!$1:$1048576,JO$93,$C242*2+6)</f>
        <v>5908.5</v>
      </c>
      <c r="JP242" s="19">
        <f>INDEX(Input!$1:$1048576,JP$93,$C242*2+6)</f>
        <v>3346.4235130620518</v>
      </c>
      <c r="JQ242" s="39">
        <f t="shared" si="781"/>
        <v>1763.3689228796648</v>
      </c>
      <c r="JR242" s="39">
        <f t="shared" si="798"/>
        <v>798.70756405828342</v>
      </c>
      <c r="JS242" s="39">
        <f t="shared" si="783"/>
        <v>7.8510306612458587</v>
      </c>
      <c r="JT242" s="39">
        <f t="shared" si="773"/>
        <v>2.4934066168335134</v>
      </c>
      <c r="JU242" s="385">
        <f>(JQ242*JM242-INDEX(Input!$1:$1048576,Input!A$18,$C242*2+6)*JL242*INDEX(Input!$1:$1048576,Input!A$19,$C242*2+6))/1000000</f>
        <v>3.3398855725050032</v>
      </c>
      <c r="JV242" s="39">
        <f t="shared" si="805"/>
        <v>-0.76199888308265162</v>
      </c>
      <c r="JW242" s="1">
        <f t="shared" si="796"/>
        <v>-0.18576800281262046</v>
      </c>
      <c r="JX242" s="19">
        <f t="shared" si="787"/>
        <v>8508.852483663848</v>
      </c>
      <c r="JZ242" s="341"/>
      <c r="KA242" s="342"/>
      <c r="KB242" s="469">
        <f t="shared" si="784"/>
        <v>2.4482969984810516</v>
      </c>
      <c r="KI242" s="473">
        <f t="shared" si="853"/>
        <v>202.55712224489639</v>
      </c>
      <c r="KJ242" s="473">
        <f t="shared" si="854"/>
        <v>15.579147787972204</v>
      </c>
      <c r="KK242" s="473">
        <f t="shared" si="775"/>
        <v>74.900496278523633</v>
      </c>
      <c r="KN242" s="544">
        <f t="shared" si="788"/>
        <v>2002</v>
      </c>
      <c r="KO242" s="541">
        <f t="shared" si="750"/>
        <v>9.6239062063420144E-2</v>
      </c>
      <c r="KP242" s="546">
        <f t="shared" si="751"/>
        <v>521.79808437086422</v>
      </c>
      <c r="KQ242" s="546">
        <f t="shared" si="752"/>
        <v>419.52750216379673</v>
      </c>
      <c r="KR242" s="548">
        <f t="shared" si="753"/>
        <v>2.9453533458601036</v>
      </c>
      <c r="KS242" s="548">
        <f t="shared" si="754"/>
        <v>3.6633587207950704</v>
      </c>
      <c r="KT242" s="473">
        <f t="shared" si="786"/>
        <v>528.59039248727379</v>
      </c>
      <c r="KU242" s="663">
        <f t="shared" si="776"/>
        <v>12.273674064879906</v>
      </c>
      <c r="KV242" s="117"/>
    </row>
    <row r="243" spans="1:308" s="26" customFormat="1" ht="15">
      <c r="A243" s="561">
        <f t="shared" si="755"/>
        <v>2043</v>
      </c>
      <c r="B243" s="561">
        <f t="shared" si="777"/>
        <v>43</v>
      </c>
      <c r="C243" s="561">
        <f t="shared" si="105"/>
        <v>2</v>
      </c>
      <c r="D243" s="561" t="str">
        <f t="shared" si="824"/>
        <v xml:space="preserve">0/0/0.9/3.9, 360 Lease, </v>
      </c>
      <c r="E243" s="475">
        <f>INDEX(Input!$1:$1048576,E$93,$C243*2+MIN($B243,2)+5)
+INDEX(Scenarios!E$121:E$200,MATCH($B243,Scenarios!$B$121:$B$200,0))</f>
        <v>1250</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8.9999999999999993E-3</v>
      </c>
      <c r="W243" s="863">
        <f>IFERROR(MAX(0,INDEX(Input!$1:$1048576,W$93,$C243*2+MIN($B243,2)+5)-0%,),"Market")</f>
        <v>3.9E-2</v>
      </c>
      <c r="X243" s="476" t="str">
        <f>INDEX(Input!$1:$1048576,X$93,$C243*2+MIN($B243,2)+5)</f>
        <v>Y</v>
      </c>
      <c r="Y243" s="475">
        <f>INDEX(Input!$1:$1048576,Y$93,$C243*2+MIN($B243,2)+5)
++INDEX(Scenarios!Y$121:Y$200,MATCH($B243,Scenarios!$B$121:$B$200,0))</f>
        <v>1718</v>
      </c>
      <c r="Z243" s="477">
        <f>INDEX(Input!$1:$1048576,Z$93,$C243*2+MIN($B243,2)+5)
+INDEX(Scenarios!Z$121:Z$200,MATCH($B243,Scenarios!$B$121:$B$200,0))</f>
        <v>0</v>
      </c>
      <c r="AA243" s="475">
        <f>INDEX(Input!$1:$1048576,AA$93,$C243*2+MIN($B243,2)+5)</f>
        <v>0</v>
      </c>
      <c r="AB243" s="476">
        <f>INDEX(Input!$1:$1048576,AB$93,$C243*2+MIN($B243,2)+5)</f>
        <v>1</v>
      </c>
      <c r="AC243" s="475">
        <f>INDEX(Input!$1:$1048576,AC$93,$C243*2+MIN($B243,2)+5)
+INDEX(Scenarios!AC$121:AC$200,MATCH($B243,Scenarios!$B$121:$B$200,0))</f>
        <v>0</v>
      </c>
      <c r="AD243" s="476">
        <f>INDEX(Input!$1:$1048576,AD$93,$C243*2+MIN($B243,2)+5)</f>
        <v>0.35</v>
      </c>
      <c r="AE243" s="475">
        <f>INDEX(Input!$1:$1048576,AE$93,$C243*2+MIN($B243,2)+5)
+INDEX(Scenarios!AE$121:AE$200,MATCH($B243,Scenarios!$B$121:$B$200,0))</f>
        <v>0</v>
      </c>
      <c r="AF243" s="476">
        <f>INDEX(Input!$1:$1048576,AF$93,$C243*2+MIN($B243,2)+5)</f>
        <v>1</v>
      </c>
      <c r="AG243" s="475">
        <f>INDEX(Input!$1:$1048576,AG$93,$C243*2+MIN($B243,2)+5)
+INDEX(Scenarios!AG$121:AG$200,MATCH($B243,Scenarios!$B$121:$B$200,0))</f>
        <v>0</v>
      </c>
      <c r="AH243" s="476">
        <f>INDEX(Input!$1:$1048576,AH$93,$C243*2+MIN($B243,2)+5)</f>
        <v>1</v>
      </c>
      <c r="AI243" s="475">
        <f>INDEX(Input!$1:$1048576,AI$93,$C243*2+MIN($B243,2)+5)
+INDEX(Scenarios!AI$121:AI$200,MATCH($B243,Scenarios!$B$121:$B$200,0))</f>
        <v>0</v>
      </c>
      <c r="AJ243" s="476">
        <f>INDEX(Input!$1:$1048576,AJ$93,$C243*2+MIN($B243,2)+5)</f>
        <v>0.35</v>
      </c>
      <c r="AK243" s="150">
        <f>ROUND(INDEX(Input!$1:$1048576,AK$93,$C242*2+MIN($B243,1)+5)+(Y243-VLOOKUP($C243*1000+1,$A:$HH,Y$92,FALSE)),0)</f>
        <v>5342</v>
      </c>
      <c r="AL243" s="150">
        <f>ROUND(INDEX(Input!$1:$1048576,AL$93,$C242*2+MIN($B243,1)+5)-(Y243-VLOOKUP($C243*1000+1,$A:$HH,Y$92,FALSE))/36,0)</f>
        <v>5092</v>
      </c>
      <c r="AM243" s="32" t="str">
        <f t="shared" si="756"/>
        <v>std/std/std/std</v>
      </c>
      <c r="AN243" s="32" t="str">
        <f t="shared" si="757"/>
        <v>$0 + 0/0/0/0.9/3.9</v>
      </c>
      <c r="AO243" s="32" t="str">
        <f t="shared" si="758"/>
        <v>0/0/0/0.9/3.9</v>
      </c>
      <c r="AP243" s="32" t="str">
        <f t="shared" si="831"/>
        <v>0/0/0.9/3.9</v>
      </c>
      <c r="AQ243" s="536">
        <f t="shared" si="830"/>
        <v>0.3114673904179977</v>
      </c>
      <c r="AR243" s="32"/>
      <c r="AS243" s="302"/>
      <c r="AT243" s="3">
        <f t="shared" si="810"/>
        <v>43</v>
      </c>
      <c r="AU243" s="41" t="s">
        <v>121</v>
      </c>
      <c r="AV243" s="41" t="s">
        <v>116</v>
      </c>
      <c r="AW243" s="41" t="str">
        <f>INDEX(Input!$1:$1048576,AW$93,$C243*2+6)</f>
        <v>Kia</v>
      </c>
      <c r="AX243" s="41" t="str">
        <f>INDEX(Input!$1:$1048576,AX$93,$C243*2+6)</f>
        <v>Kia-LR - L2</v>
      </c>
      <c r="AY243" s="41" t="str">
        <f>IF(LEN(D243)=0,"",INDEX(Input!$1:$1048576,AY$93,$C243*2+6))</f>
        <v>Compact Conventional/Sporty Car (43)</v>
      </c>
      <c r="AZ243" s="41" t="str">
        <f>INDEX(Input!$1:$1048576,AZ$93,$C243*2+6)</f>
        <v>Kia Forte</v>
      </c>
      <c r="BA243" s="3">
        <f>INDEX(Input!$1:$1048576,BA$93,$C243*2+6)</f>
        <v>2020</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19695</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832"/>
        <v>1250</v>
      </c>
      <c r="CJ243" s="16" t="str">
        <f>INDEX(Input!$1:$1048576,CJ$93,$C243*2+6)</f>
        <v>N</v>
      </c>
      <c r="CK243" s="1" t="str">
        <f t="shared" si="833"/>
        <v>Market</v>
      </c>
      <c r="CL243" s="1" t="str">
        <f t="shared" si="834"/>
        <v>Market</v>
      </c>
      <c r="CM243" s="1" t="str">
        <f t="shared" si="835"/>
        <v>Market</v>
      </c>
      <c r="CN243" s="1" t="str">
        <f t="shared" si="836"/>
        <v>Market</v>
      </c>
      <c r="CO243" s="1" t="str">
        <f t="shared" si="837"/>
        <v>Market</v>
      </c>
      <c r="CP243" s="304">
        <f t="shared" si="838"/>
        <v>0</v>
      </c>
      <c r="CQ243" s="1">
        <f t="shared" si="839"/>
        <v>0</v>
      </c>
      <c r="CR243" s="1">
        <f t="shared" si="840"/>
        <v>0</v>
      </c>
      <c r="CS243" s="1">
        <f t="shared" si="841"/>
        <v>0</v>
      </c>
      <c r="CT243" s="1">
        <f t="shared" si="842"/>
        <v>8.9999999999999993E-3</v>
      </c>
      <c r="CU243" s="1">
        <f t="shared" si="843"/>
        <v>3.9E-2</v>
      </c>
      <c r="CV243" s="304">
        <f t="shared" si="844"/>
        <v>1718</v>
      </c>
      <c r="CW243" s="20" t="s">
        <v>122</v>
      </c>
      <c r="CX243" s="20" t="s">
        <v>122</v>
      </c>
      <c r="CY243" s="20" t="s">
        <v>122</v>
      </c>
      <c r="CZ243" s="20" t="s">
        <v>122</v>
      </c>
      <c r="DA243" s="20" t="s">
        <v>122</v>
      </c>
      <c r="DB243" s="503">
        <f t="shared" si="845"/>
        <v>0</v>
      </c>
      <c r="DC243" s="127">
        <v>0</v>
      </c>
      <c r="DD243" s="127">
        <v>0</v>
      </c>
      <c r="DE243" s="127">
        <v>0</v>
      </c>
      <c r="DF243" s="127">
        <v>0</v>
      </c>
      <c r="DG243" s="127">
        <v>0</v>
      </c>
      <c r="DH243" s="127">
        <v>0</v>
      </c>
      <c r="DI243" s="127">
        <v>0</v>
      </c>
      <c r="DJ243" s="127">
        <v>0</v>
      </c>
      <c r="DK243" s="127">
        <v>0</v>
      </c>
      <c r="DL243" s="127">
        <v>0</v>
      </c>
      <c r="DM243" s="304">
        <f>INDEX(Input!$1:$1048576,DM$93,$C243*2+6)</f>
        <v>20731.578947368424</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2.6712965534925401E-2</v>
      </c>
      <c r="DZ243" s="7">
        <v>0</v>
      </c>
      <c r="EA243" s="7">
        <v>0.5450549502653883</v>
      </c>
      <c r="EB243" s="7">
        <v>0</v>
      </c>
      <c r="EC243" s="7">
        <v>0</v>
      </c>
      <c r="ED243" s="7">
        <v>0</v>
      </c>
      <c r="EE243" s="7">
        <v>0</v>
      </c>
      <c r="EF243" s="7">
        <v>0</v>
      </c>
      <c r="EG243" s="7">
        <v>0</v>
      </c>
      <c r="EH243" s="7">
        <v>1.1554104805588702E-2</v>
      </c>
      <c r="EI243" s="7">
        <v>1.8863195917953775E-2</v>
      </c>
      <c r="EJ243" s="7">
        <v>0.18965165933087189</v>
      </c>
      <c r="EK243" s="7">
        <v>0.74568637377181479</v>
      </c>
      <c r="EL243" s="7">
        <v>3.424466617377056E-2</v>
      </c>
      <c r="EM243" s="7">
        <v>4.8901045343676897E-2</v>
      </c>
      <c r="EN243" s="7">
        <v>5.0628980612726415E-2</v>
      </c>
      <c r="EO243" s="7">
        <v>0.56062614546575074</v>
      </c>
      <c r="EP243" s="7">
        <v>0.28774085628539858</v>
      </c>
      <c r="EQ243" s="7">
        <v>6.2854004353197185E-2</v>
      </c>
      <c r="ER243" s="7">
        <v>3.8150013282926547E-2</v>
      </c>
      <c r="ES243" s="7">
        <v>0.37933103885600944</v>
      </c>
      <c r="ET243" s="7">
        <v>0.42823208419968628</v>
      </c>
      <c r="EU243" s="6">
        <v>1600</v>
      </c>
      <c r="EV243" s="6">
        <v>0</v>
      </c>
      <c r="EW243" s="6">
        <v>1600</v>
      </c>
      <c r="EX243" s="6">
        <v>0</v>
      </c>
      <c r="EY243" s="6">
        <v>2969.9667422147077</v>
      </c>
      <c r="EZ243" s="6">
        <v>2471</v>
      </c>
      <c r="FA243" s="6">
        <v>0</v>
      </c>
      <c r="FB243" s="6">
        <v>0</v>
      </c>
      <c r="FC243" s="6">
        <v>0</v>
      </c>
      <c r="FD243" s="6">
        <v>0</v>
      </c>
      <c r="FE243" s="6">
        <v>0</v>
      </c>
      <c r="FF243" s="6">
        <v>0</v>
      </c>
      <c r="FG243" s="6">
        <v>0</v>
      </c>
      <c r="FH243" s="6">
        <v>1154.7877795767045</v>
      </c>
      <c r="FI243" s="6">
        <v>1531.4299904380623</v>
      </c>
      <c r="FJ243" s="6">
        <v>2070.7205842538233</v>
      </c>
      <c r="FK243" s="6">
        <v>2218.6393698501024</v>
      </c>
      <c r="FL243" s="6">
        <v>893.91433563489363</v>
      </c>
      <c r="FM243" s="6">
        <v>2119.9667422147077</v>
      </c>
      <c r="FN243" s="6">
        <v>0</v>
      </c>
      <c r="FO243" s="6">
        <v>0</v>
      </c>
      <c r="FP243" s="6">
        <v>0</v>
      </c>
      <c r="FQ243" s="6">
        <v>0</v>
      </c>
      <c r="FR243" s="6">
        <v>0</v>
      </c>
      <c r="FS243" s="6">
        <v>0</v>
      </c>
      <c r="FT243" s="7">
        <v>0.57176791580031372</v>
      </c>
      <c r="FU243" s="7">
        <v>4.8901045343676897E-2</v>
      </c>
      <c r="FV243" s="7">
        <v>0.37933103885600944</v>
      </c>
      <c r="FW243" s="6">
        <v>1600</v>
      </c>
      <c r="FX243" s="6">
        <v>2969.9667422147077</v>
      </c>
      <c r="FY243" s="6">
        <v>2471</v>
      </c>
      <c r="FZ243" s="6">
        <v>2594.6978186474794</v>
      </c>
      <c r="GA243" s="6">
        <v>1997.3901406239552</v>
      </c>
      <c r="GB243" s="6">
        <v>17697.609859376043</v>
      </c>
      <c r="GC243" s="7">
        <v>9.6947029492584935E-2</v>
      </c>
      <c r="GD243" s="7">
        <v>9.1155403271901816E-2</v>
      </c>
      <c r="GE243" s="7"/>
      <c r="GF243" s="7"/>
      <c r="GG243" s="7">
        <v>-5.9740110150833407E-2</v>
      </c>
      <c r="GH243" s="42">
        <v>1.9698080448487485</v>
      </c>
      <c r="GI243" s="6">
        <v>11995.826308810219</v>
      </c>
      <c r="GJ243" s="14">
        <v>0.5107463060103955</v>
      </c>
      <c r="GK243" s="14">
        <v>0.50829519786160959</v>
      </c>
      <c r="GL243" s="14">
        <v>0.48925369398960422</v>
      </c>
      <c r="GM243" s="14">
        <v>0.49170480213839013</v>
      </c>
      <c r="GO243" s="5">
        <v>338.16872463277008</v>
      </c>
      <c r="GP243" s="5">
        <v>307.64377699166363</v>
      </c>
      <c r="GQ243" s="5">
        <v>527.27910984145694</v>
      </c>
      <c r="GR243" s="5">
        <v>404.20319246551543</v>
      </c>
      <c r="GS243" s="5">
        <v>334.50205195691484</v>
      </c>
      <c r="GT243" s="5">
        <v>289.18266033348181</v>
      </c>
      <c r="GU243" s="5">
        <v>254.29573314828914</v>
      </c>
      <c r="GV243" s="39" t="s">
        <v>392</v>
      </c>
      <c r="GW243" s="5">
        <v>468.76388888888891</v>
      </c>
      <c r="GX243" s="5">
        <v>351.57291666666669</v>
      </c>
      <c r="GY243" s="5">
        <v>281.25833333333333</v>
      </c>
      <c r="GZ243" s="5">
        <v>240.8550698915011</v>
      </c>
      <c r="HA243" s="5">
        <v>229.89195052129486</v>
      </c>
      <c r="HB243" s="39">
        <v>252.86396229871866</v>
      </c>
      <c r="HC243" s="5">
        <v>175.00937499999998</v>
      </c>
      <c r="HD243" s="5">
        <v>162.53879751461983</v>
      </c>
      <c r="HE243" s="5">
        <v>168.95939186909578</v>
      </c>
      <c r="HF243" s="5">
        <v>160.56129934210526</v>
      </c>
      <c r="HG243" s="5">
        <v>160.21410087719298</v>
      </c>
      <c r="HH243" s="39">
        <v>164.80465657143438</v>
      </c>
      <c r="HI243" s="16"/>
      <c r="HJ243" s="19" t="str">
        <f t="shared" si="850"/>
        <v>On</v>
      </c>
      <c r="HK243" s="1" t="str">
        <f t="shared" si="850"/>
        <v>On</v>
      </c>
      <c r="HL243" s="16"/>
      <c r="HM243" s="639">
        <f t="shared" si="727"/>
        <v>5.0961701597560354E-2</v>
      </c>
      <c r="HN243" s="639">
        <f t="shared" si="728"/>
        <v>3.112551654761847E-3</v>
      </c>
      <c r="HO243" s="639">
        <f t="shared" si="729"/>
        <v>3.1163314184693442E-2</v>
      </c>
      <c r="HP243" s="644">
        <f>(FT243*$GD243-HM243)/$JF243*INDEX(Input!$1:$1048576,$JG$93,$C243*2+6)</f>
        <v>21.751106247352837</v>
      </c>
      <c r="HQ243" s="644">
        <f>(FU243*$GD243-HN243)/$JF243*INDEX(Input!$1:$1048576,$JG$93,$C243*2+6)</f>
        <v>25.263668050814537</v>
      </c>
      <c r="HR243" s="644">
        <f>(FV243*$GD243-HO243)/$JF243*INDEX(Input!$1:$1048576,$JG$93,$C243*2+6)</f>
        <v>64.138740009402596</v>
      </c>
      <c r="HS243" s="644">
        <f t="shared" si="851"/>
        <v>-8.5586631273131815</v>
      </c>
      <c r="HT243" s="644">
        <f t="shared" si="731"/>
        <v>62.648731951489651</v>
      </c>
      <c r="HU243" s="644">
        <f t="shared" si="732"/>
        <v>58.000175926015622</v>
      </c>
      <c r="HV243" s="648">
        <f t="shared" si="733"/>
        <v>0</v>
      </c>
      <c r="HW243" s="648">
        <f t="shared" si="734"/>
        <v>0</v>
      </c>
      <c r="HX243" s="648">
        <f t="shared" si="735"/>
        <v>0</v>
      </c>
      <c r="HY243" s="644">
        <f>INDEX(Input!$1:$1048576,HY$93,$C243*2+6)*INDEX(Input!$1:$1048576,$JG$93,$C243*2+6)</f>
        <v>555</v>
      </c>
      <c r="HZ243" s="644">
        <f>INDEX(Input!$1:$1048576,HZ$93,$C243*2+6)*INDEX(Input!$1:$1048576,$JG$93,$C243*2+6)</f>
        <v>480</v>
      </c>
      <c r="IA243" s="644">
        <f>INDEX(Input!$1:$1048576,IA$93,$C243*2+6)*INDEX(Input!$1:$1048576,$JG$93,$C243*2+6)</f>
        <v>566</v>
      </c>
      <c r="IB243" s="644">
        <f t="shared" si="759"/>
        <v>568.19244312003968</v>
      </c>
      <c r="IC243" s="644">
        <f t="shared" si="760"/>
        <v>567.91240000230414</v>
      </c>
      <c r="ID243" s="644">
        <f>IF(AND(INDEX(Input!$1:$1048576,IA$93,$C243*2+7)="TOS",Y243&lt;=INDEX(Y:Y,MATCH(C243*1000+2,A:A))),0,1)*MAX(IA243+HR243+HU243+HX243,0%)</f>
        <v>688.13891593541814</v>
      </c>
      <c r="IE243" s="128">
        <f t="shared" ref="IE243:IE261" si="856">IB243/SUM($IB243:$ID243)</f>
        <v>0.3114673904179977</v>
      </c>
      <c r="IF243" s="128">
        <f t="shared" si="736"/>
        <v>0.31131387852226278</v>
      </c>
      <c r="IG243" s="128">
        <f t="shared" si="737"/>
        <v>0.37721873105973952</v>
      </c>
      <c r="IH243" s="21"/>
      <c r="II243" s="19">
        <f t="shared" si="738"/>
        <v>1200</v>
      </c>
      <c r="IJ243" s="19">
        <f t="shared" si="739"/>
        <v>2226.7968732767699</v>
      </c>
      <c r="IK243" s="19">
        <f t="shared" si="740"/>
        <v>1786</v>
      </c>
      <c r="IL243" s="19">
        <f t="shared" si="762"/>
        <v>400</v>
      </c>
      <c r="IM243" s="19">
        <f t="shared" si="741"/>
        <v>743.16986893793774</v>
      </c>
      <c r="IN243" s="19">
        <f t="shared" si="742"/>
        <v>685</v>
      </c>
      <c r="IO243" s="39">
        <f t="shared" si="743"/>
        <v>0</v>
      </c>
      <c r="IP243" s="39">
        <f t="shared" si="744"/>
        <v>0</v>
      </c>
      <c r="IQ243" s="39">
        <f t="shared" si="745"/>
        <v>0</v>
      </c>
      <c r="IR243" s="39">
        <v>0</v>
      </c>
      <c r="IS243" s="39">
        <v>0</v>
      </c>
      <c r="IT243" s="39">
        <v>0</v>
      </c>
      <c r="IU243" s="39">
        <v>0</v>
      </c>
      <c r="IV243" s="39">
        <v>0</v>
      </c>
      <c r="IW243" s="39">
        <v>0</v>
      </c>
      <c r="IX243" s="39">
        <f>INDEX(Input!$1:$1048576,IX$93,$C243*2+6)+INDEX(Input!$1:$1048576,IX$94,$C243*2+6)</f>
        <v>1600</v>
      </c>
      <c r="IY243" s="39">
        <f>INDEX(Input!$1:$1048576,IY$93,$C243*2+6)+INDEX(Input!$1:$1048576,IY$94,$C243*2+6)</f>
        <v>2503.5492916397525</v>
      </c>
      <c r="IZ243" s="39">
        <f>INDEX(Input!$1:$1048576,IZ$93,$C243*2+6)+INDEX(Input!$1:$1048576,IZ$94,$C243*2+6)</f>
        <v>5773.7109265464023</v>
      </c>
      <c r="JA243" s="19">
        <f t="shared" si="763"/>
        <v>2000</v>
      </c>
      <c r="JB243" s="19">
        <f t="shared" si="764"/>
        <v>3246.7191605776902</v>
      </c>
      <c r="JC243" s="19">
        <f t="shared" si="765"/>
        <v>6458.7109265464023</v>
      </c>
      <c r="JD243" s="19">
        <f t="shared" si="766"/>
        <v>4070.0302551814898</v>
      </c>
      <c r="JE243" s="21"/>
      <c r="JF243" s="1">
        <f t="shared" si="746"/>
        <v>8.5237567437015646E-2</v>
      </c>
      <c r="JG243" s="15">
        <f>INDEX(Input!$1:$1048576,JG$93,$C243*2+6)/(1+VLOOKUP(C243*1000+INDEX(Input!$1:$1048576,JG$93+1,$C243*2+6),$A:$KK,$JK$92,FALSE))</f>
        <v>1601</v>
      </c>
      <c r="JH243" s="1">
        <f t="shared" si="767"/>
        <v>6.9427554220843193E-2</v>
      </c>
      <c r="JI243" s="1">
        <f t="shared" si="768"/>
        <v>7.0012645065703982E-2</v>
      </c>
      <c r="JJ243" s="1">
        <f t="shared" si="828"/>
        <v>0</v>
      </c>
      <c r="JK243" s="1">
        <f t="shared" si="829"/>
        <v>0.13944019928654716</v>
      </c>
      <c r="JL243" s="15">
        <f t="shared" si="771"/>
        <v>223.24375905776202</v>
      </c>
      <c r="JM243" s="15">
        <f t="shared" si="795"/>
        <v>1824.243759057762</v>
      </c>
      <c r="JN243" s="21"/>
      <c r="JO243" s="19">
        <f>INDEX(Input!$1:$1048576,JO$93,$C243*2+6)</f>
        <v>5908.5</v>
      </c>
      <c r="JP243" s="19">
        <f>INDEX(Input!$1:$1048576,JP$93,$C243*2+6)</f>
        <v>3346.4235130620518</v>
      </c>
      <c r="JQ243" s="39">
        <f t="shared" si="781"/>
        <v>1838.4697448185102</v>
      </c>
      <c r="JR243" s="39">
        <f t="shared" si="798"/>
        <v>723.60674211943797</v>
      </c>
      <c r="JS243" s="39">
        <f t="shared" si="783"/>
        <v>7.4247272921911032</v>
      </c>
      <c r="JT243" s="39">
        <f t="shared" si="773"/>
        <v>2.0671032477787583</v>
      </c>
      <c r="JU243" s="385">
        <f>(JQ243*JM243-INDEX(Input!$1:$1048576,Input!A$18,$C243*2+6)*JL243*INDEX(Input!$1:$1048576,Input!A$19,$C243*2+6))/1000000</f>
        <v>3.3538169582016835</v>
      </c>
      <c r="JV243" s="39">
        <f t="shared" si="805"/>
        <v>-0.74806749738597134</v>
      </c>
      <c r="JW243" s="1">
        <f t="shared" si="796"/>
        <v>-0.18237166489829851</v>
      </c>
      <c r="JX243" s="19">
        <f t="shared" si="787"/>
        <v>9259.3999335225162</v>
      </c>
      <c r="JZ243" s="341"/>
      <c r="KA243" s="342"/>
      <c r="KB243" s="469">
        <f t="shared" si="784"/>
        <v>2.4482969984810516</v>
      </c>
      <c r="KI243" s="473">
        <f t="shared" si="853"/>
        <v>13.192443120039684</v>
      </c>
      <c r="KJ243" s="473">
        <f t="shared" si="854"/>
        <v>87.912400002304139</v>
      </c>
      <c r="KK243" s="473">
        <f t="shared" si="775"/>
        <v>122.13891593541814</v>
      </c>
      <c r="KN243" s="544">
        <f t="shared" si="788"/>
        <v>2002</v>
      </c>
      <c r="KO243" s="541">
        <f t="shared" si="750"/>
        <v>5.5843953493639464E-2</v>
      </c>
      <c r="KP243" s="546">
        <f t="shared" si="751"/>
        <v>242.62831761297838</v>
      </c>
      <c r="KQ243" s="546">
        <f t="shared" si="752"/>
        <v>344.42668022495127</v>
      </c>
      <c r="KR243" s="548">
        <f t="shared" si="753"/>
        <v>3.6755570827645085</v>
      </c>
      <c r="KS243" s="548">
        <f t="shared" si="754"/>
        <v>2.589213561211845</v>
      </c>
      <c r="KT243" s="473">
        <f t="shared" si="786"/>
        <v>528.59039248727379</v>
      </c>
      <c r="KU243" s="663">
        <f t="shared" si="776"/>
        <v>11.861223368071379</v>
      </c>
      <c r="KV243" s="117"/>
    </row>
    <row r="244" spans="1:308" s="26" customFormat="1" ht="15">
      <c r="A244" s="561">
        <f t="shared" si="755"/>
        <v>2044</v>
      </c>
      <c r="B244" s="561">
        <f t="shared" si="777"/>
        <v>44</v>
      </c>
      <c r="C244" s="561">
        <f t="shared" si="105"/>
        <v>2</v>
      </c>
      <c r="D244" s="561" t="str">
        <f t="shared" si="824"/>
        <v xml:space="preserve">0/0/0/3.9, 360 Lease, </v>
      </c>
      <c r="E244" s="475">
        <f>INDEX(Input!$1:$1048576,E$93,$C244*2+MIN($B244,2)+5)
+INDEX(Scenarios!E$121:E$200,MATCH($B244,Scenarios!$B$121:$B$200,0))</f>
        <v>1250</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63">
        <f>IFERROR(MAX(0,INDEX(Input!$1:$1048576,W$93,$C244*2+MIN($B244,2)+5)-0%,),"Market")</f>
        <v>3.9E-2</v>
      </c>
      <c r="X244" s="476" t="str">
        <f>INDEX(Input!$1:$1048576,X$93,$C244*2+MIN($B244,2)+5)</f>
        <v>Y</v>
      </c>
      <c r="Y244" s="475">
        <f>INDEX(Input!$1:$1048576,Y$93,$C244*2+MIN($B244,2)+5)
++INDEX(Scenarios!Y$121:Y$200,MATCH($B244,Scenarios!$B$121:$B$200,0))</f>
        <v>1718</v>
      </c>
      <c r="Z244" s="477">
        <f>INDEX(Input!$1:$1048576,Z$93,$C244*2+MIN($B244,2)+5)
+INDEX(Scenarios!Z$121:Z$200,MATCH($B244,Scenarios!$B$121:$B$200,0))</f>
        <v>0</v>
      </c>
      <c r="AA244" s="475">
        <f>INDEX(Input!$1:$1048576,AA$93,$C244*2+MIN($B244,2)+5)</f>
        <v>0</v>
      </c>
      <c r="AB244" s="476">
        <f>INDEX(Input!$1:$1048576,AB$93,$C244*2+MIN($B244,2)+5)</f>
        <v>1</v>
      </c>
      <c r="AC244" s="475">
        <f>INDEX(Input!$1:$1048576,AC$93,$C244*2+MIN($B244,2)+5)
+INDEX(Scenarios!AC$121:AC$200,MATCH($B244,Scenarios!$B$121:$B$200,0))</f>
        <v>0</v>
      </c>
      <c r="AD244" s="476">
        <f>INDEX(Input!$1:$1048576,AD$93,$C244*2+MIN($B244,2)+5)</f>
        <v>0.35</v>
      </c>
      <c r="AE244" s="475">
        <f>INDEX(Input!$1:$1048576,AE$93,$C244*2+MIN($B244,2)+5)
+INDEX(Scenarios!AE$121:AE$200,MATCH($B244,Scenarios!$B$121:$B$200,0))</f>
        <v>0</v>
      </c>
      <c r="AF244" s="476">
        <f>INDEX(Input!$1:$1048576,AF$93,$C244*2+MIN($B244,2)+5)</f>
        <v>1</v>
      </c>
      <c r="AG244" s="475">
        <f>INDEX(Input!$1:$1048576,AG$93,$C244*2+MIN($B244,2)+5)
+INDEX(Scenarios!AG$121:AG$200,MATCH($B244,Scenarios!$B$121:$B$200,0))</f>
        <v>0</v>
      </c>
      <c r="AH244" s="476">
        <f>INDEX(Input!$1:$1048576,AH$93,$C244*2+MIN($B244,2)+5)</f>
        <v>1</v>
      </c>
      <c r="AI244" s="475">
        <f>INDEX(Input!$1:$1048576,AI$93,$C244*2+MIN($B244,2)+5)
+INDEX(Scenarios!AI$121:AI$200,MATCH($B244,Scenarios!$B$121:$B$200,0))</f>
        <v>0</v>
      </c>
      <c r="AJ244" s="476">
        <f>INDEX(Input!$1:$1048576,AJ$93,$C244*2+MIN($B244,2)+5)</f>
        <v>0.35</v>
      </c>
      <c r="AK244" s="150">
        <f>ROUND(INDEX(Input!$1:$1048576,AK$93,$C243*2+MIN($B244,1)+5)+(Y244-VLOOKUP($C244*1000+1,$A:$HH,Y$92,FALSE)),0)</f>
        <v>5342</v>
      </c>
      <c r="AL244" s="150">
        <f>ROUND(INDEX(Input!$1:$1048576,AL$93,$C243*2+MIN($B244,1)+5)-(Y244-VLOOKUP($C244*1000+1,$A:$HH,Y$92,FALSE))/36,0)</f>
        <v>5092</v>
      </c>
      <c r="AM244" s="32" t="str">
        <f t="shared" si="756"/>
        <v>std/std/std/std</v>
      </c>
      <c r="AN244" s="32" t="str">
        <f t="shared" si="757"/>
        <v>$0 + 0/0/0/0/3.9</v>
      </c>
      <c r="AO244" s="32" t="str">
        <f t="shared" si="758"/>
        <v>0/0/0/0/3.9</v>
      </c>
      <c r="AP244" s="32" t="str">
        <f t="shared" si="831"/>
        <v>0/0/0/3.9</v>
      </c>
      <c r="AQ244" s="536">
        <f t="shared" si="830"/>
        <v>0.29719449996148517</v>
      </c>
      <c r="AR244" s="32"/>
      <c r="AS244" s="302"/>
      <c r="AT244" s="3">
        <f t="shared" si="810"/>
        <v>44</v>
      </c>
      <c r="AU244" s="41" t="s">
        <v>121</v>
      </c>
      <c r="AV244" s="41" t="s">
        <v>116</v>
      </c>
      <c r="AW244" s="41" t="str">
        <f>INDEX(Input!$1:$1048576,AW$93,$C244*2+6)</f>
        <v>Kia</v>
      </c>
      <c r="AX244" s="41" t="str">
        <f>INDEX(Input!$1:$1048576,AX$93,$C244*2+6)</f>
        <v>Kia-LR - L2</v>
      </c>
      <c r="AY244" s="41" t="str">
        <f>IF(LEN(D244)=0,"",INDEX(Input!$1:$1048576,AY$93,$C244*2+6))</f>
        <v>Compact Conventional/Sporty Car (43)</v>
      </c>
      <c r="AZ244" s="41" t="str">
        <f>INDEX(Input!$1:$1048576,AZ$93,$C244*2+6)</f>
        <v>Kia Forte</v>
      </c>
      <c r="BA244" s="3">
        <f>INDEX(Input!$1:$1048576,BA$93,$C244*2+6)</f>
        <v>2020</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19695</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832"/>
        <v>1250</v>
      </c>
      <c r="CJ244" s="16" t="str">
        <f>INDEX(Input!$1:$1048576,CJ$93,$C244*2+6)</f>
        <v>N</v>
      </c>
      <c r="CK244" s="1" t="str">
        <f t="shared" si="833"/>
        <v>Market</v>
      </c>
      <c r="CL244" s="1" t="str">
        <f t="shared" si="834"/>
        <v>Market</v>
      </c>
      <c r="CM244" s="1" t="str">
        <f t="shared" si="835"/>
        <v>Market</v>
      </c>
      <c r="CN244" s="1" t="str">
        <f t="shared" si="836"/>
        <v>Market</v>
      </c>
      <c r="CO244" s="1" t="str">
        <f t="shared" si="837"/>
        <v>Market</v>
      </c>
      <c r="CP244" s="304">
        <f t="shared" si="838"/>
        <v>0</v>
      </c>
      <c r="CQ244" s="1">
        <f t="shared" si="839"/>
        <v>0</v>
      </c>
      <c r="CR244" s="1">
        <f t="shared" si="840"/>
        <v>0</v>
      </c>
      <c r="CS244" s="1">
        <f t="shared" si="841"/>
        <v>0</v>
      </c>
      <c r="CT244" s="1">
        <f t="shared" si="842"/>
        <v>0</v>
      </c>
      <c r="CU244" s="1">
        <f t="shared" si="843"/>
        <v>3.9E-2</v>
      </c>
      <c r="CV244" s="304">
        <f t="shared" si="844"/>
        <v>1718</v>
      </c>
      <c r="CW244" s="20" t="s">
        <v>122</v>
      </c>
      <c r="CX244" s="20" t="s">
        <v>122</v>
      </c>
      <c r="CY244" s="20" t="s">
        <v>122</v>
      </c>
      <c r="CZ244" s="20" t="s">
        <v>122</v>
      </c>
      <c r="DA244" s="20" t="s">
        <v>122</v>
      </c>
      <c r="DB244" s="503">
        <f t="shared" si="845"/>
        <v>0</v>
      </c>
      <c r="DC244" s="127">
        <v>0</v>
      </c>
      <c r="DD244" s="127">
        <v>0</v>
      </c>
      <c r="DE244" s="127">
        <v>0</v>
      </c>
      <c r="DF244" s="127">
        <v>0</v>
      </c>
      <c r="DG244" s="127">
        <v>0</v>
      </c>
      <c r="DH244" s="127">
        <v>0</v>
      </c>
      <c r="DI244" s="127">
        <v>0</v>
      </c>
      <c r="DJ244" s="127">
        <v>0</v>
      </c>
      <c r="DK244" s="127">
        <v>0</v>
      </c>
      <c r="DL244" s="127">
        <v>0</v>
      </c>
      <c r="DM244" s="304">
        <f>INDEX(Input!$1:$1048576,DM$93,$C244*2+6)</f>
        <v>20731.578947368424</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2.6196201439566379E-2</v>
      </c>
      <c r="DZ244" s="7">
        <v>0</v>
      </c>
      <c r="EA244" s="7">
        <v>0.53421591633750298</v>
      </c>
      <c r="EB244" s="7">
        <v>0</v>
      </c>
      <c r="EC244" s="7">
        <v>0</v>
      </c>
      <c r="ED244" s="7">
        <v>0</v>
      </c>
      <c r="EE244" s="7">
        <v>0</v>
      </c>
      <c r="EF244" s="7">
        <v>0</v>
      </c>
      <c r="EG244" s="7">
        <v>0</v>
      </c>
      <c r="EH244" s="7">
        <v>8.2260754115973805E-3</v>
      </c>
      <c r="EI244" s="7">
        <v>1.3432972318488621E-2</v>
      </c>
      <c r="EJ244" s="7">
        <v>0.13499916115257396</v>
      </c>
      <c r="EK244" s="7">
        <v>0.81896580593386326</v>
      </c>
      <c r="EL244" s="7">
        <v>2.4375985183476681E-2</v>
      </c>
      <c r="EM244" s="7">
        <v>6.734341969465317E-2</v>
      </c>
      <c r="EN244" s="7">
        <v>5.0624708033495454E-2</v>
      </c>
      <c r="EO244" s="7">
        <v>0.5606094102855198</v>
      </c>
      <c r="EP244" s="7">
        <v>0.28776119516582155</v>
      </c>
      <c r="EQ244" s="7">
        <v>6.2850131265717354E-2</v>
      </c>
      <c r="ER244" s="7">
        <v>3.8154555249445408E-2</v>
      </c>
      <c r="ES244" s="7">
        <v>0.37224446252827748</v>
      </c>
      <c r="ET244" s="7">
        <v>0.43958788222293066</v>
      </c>
      <c r="EU244" s="6">
        <v>1600</v>
      </c>
      <c r="EV244" s="6">
        <v>0</v>
      </c>
      <c r="EW244" s="6">
        <v>1600</v>
      </c>
      <c r="EX244" s="6">
        <v>0</v>
      </c>
      <c r="EY244" s="6">
        <v>3339.7054943397438</v>
      </c>
      <c r="EZ244" s="6">
        <v>2471</v>
      </c>
      <c r="FA244" s="6">
        <v>0</v>
      </c>
      <c r="FB244" s="6">
        <v>0</v>
      </c>
      <c r="FC244" s="6">
        <v>0</v>
      </c>
      <c r="FD244" s="6">
        <v>0</v>
      </c>
      <c r="FE244" s="6">
        <v>0</v>
      </c>
      <c r="FF244" s="6">
        <v>0</v>
      </c>
      <c r="FG244" s="6">
        <v>0</v>
      </c>
      <c r="FH244" s="6">
        <v>1154.7864955512625</v>
      </c>
      <c r="FI244" s="6">
        <v>1531.4299904380625</v>
      </c>
      <c r="FJ244" s="6">
        <v>2070.7205842538228</v>
      </c>
      <c r="FK244" s="6">
        <v>2635.3956133202905</v>
      </c>
      <c r="FL244" s="6">
        <v>893.91433563489375</v>
      </c>
      <c r="FM244" s="6">
        <v>2489.7054943397438</v>
      </c>
      <c r="FN244" s="6">
        <v>0</v>
      </c>
      <c r="FO244" s="6">
        <v>0</v>
      </c>
      <c r="FP244" s="6">
        <v>0</v>
      </c>
      <c r="FQ244" s="6">
        <v>0</v>
      </c>
      <c r="FR244" s="6">
        <v>0</v>
      </c>
      <c r="FS244" s="6">
        <v>0</v>
      </c>
      <c r="FT244" s="7">
        <v>0.56041211777706934</v>
      </c>
      <c r="FU244" s="7">
        <v>6.734341969465317E-2</v>
      </c>
      <c r="FV244" s="7">
        <v>0.37224446252827748</v>
      </c>
      <c r="FW244" s="6">
        <v>1600</v>
      </c>
      <c r="FX244" s="6">
        <v>3339.7054943397438</v>
      </c>
      <c r="FY244" s="6">
        <v>2471</v>
      </c>
      <c r="FZ244" s="6">
        <v>2594.6978186474794</v>
      </c>
      <c r="GA244" s="6">
        <v>2041.382644112545</v>
      </c>
      <c r="GB244" s="6">
        <v>17653.617355887454</v>
      </c>
      <c r="GC244" s="7">
        <v>9.6947029492584935E-2</v>
      </c>
      <c r="GD244" s="7">
        <v>9.1885505618830979E-2</v>
      </c>
      <c r="GE244" s="7"/>
      <c r="GF244" s="7"/>
      <c r="GG244" s="7">
        <v>-5.220916927775586E-2</v>
      </c>
      <c r="GH244" s="42">
        <v>1.858361447957146</v>
      </c>
      <c r="GI244" s="6">
        <v>12639.428584879479</v>
      </c>
      <c r="GJ244" s="14">
        <v>0.51074630601039583</v>
      </c>
      <c r="GK244" s="14">
        <v>0.50829519786160959</v>
      </c>
      <c r="GL244" s="14">
        <v>0.48925369398960422</v>
      </c>
      <c r="GM244" s="14">
        <v>0.49170480213839035</v>
      </c>
      <c r="GO244" s="5">
        <v>338.16872463277008</v>
      </c>
      <c r="GP244" s="5">
        <v>307.64377699166363</v>
      </c>
      <c r="GQ244" s="5">
        <v>527.27910984145694</v>
      </c>
      <c r="GR244" s="5">
        <v>404.20319246551543</v>
      </c>
      <c r="GS244" s="5">
        <v>334.50205195691484</v>
      </c>
      <c r="GT244" s="5">
        <v>289.18266033348181</v>
      </c>
      <c r="GU244" s="5">
        <v>254.29573314828914</v>
      </c>
      <c r="GV244" s="39" t="s">
        <v>392</v>
      </c>
      <c r="GW244" s="5">
        <v>468.76388888888891</v>
      </c>
      <c r="GX244" s="5">
        <v>351.57291666666669</v>
      </c>
      <c r="GY244" s="5">
        <v>281.25833333333333</v>
      </c>
      <c r="GZ244" s="5">
        <v>234.38194444444446</v>
      </c>
      <c r="HA244" s="5">
        <v>229.89195052129486</v>
      </c>
      <c r="HB244" s="39">
        <v>244.10303623291639</v>
      </c>
      <c r="HC244" s="5">
        <v>175.00937499999998</v>
      </c>
      <c r="HD244" s="5">
        <v>162.53879751461983</v>
      </c>
      <c r="HE244" s="5">
        <v>168.95939186909578</v>
      </c>
      <c r="HF244" s="5">
        <v>160.56129934210526</v>
      </c>
      <c r="HG244" s="5">
        <v>160.21410087719298</v>
      </c>
      <c r="HH244" s="39">
        <v>164.80473097793399</v>
      </c>
      <c r="HI244" s="16"/>
      <c r="HJ244" s="19" t="str">
        <f t="shared" si="850"/>
        <v>On</v>
      </c>
      <c r="HK244" s="1" t="str">
        <f t="shared" si="850"/>
        <v>On</v>
      </c>
      <c r="HL244" s="16"/>
      <c r="HM244" s="639">
        <f t="shared" si="727"/>
        <v>5.0961701597560354E-2</v>
      </c>
      <c r="HN244" s="639">
        <f t="shared" si="728"/>
        <v>3.112551654761847E-3</v>
      </c>
      <c r="HO244" s="639">
        <f t="shared" si="729"/>
        <v>3.1163314184693442E-2</v>
      </c>
      <c r="HP244" s="644">
        <f>(FT244*$GD244-HM244)/$JF244*INDEX(Input!$1:$1048576,$JG$93,$C244*2+6)</f>
        <v>9.9933725668269169</v>
      </c>
      <c r="HQ244" s="644">
        <f>(FU244*$GD244-HN244)/$JF244*INDEX(Input!$1:$1048576,$JG$93,$C244*2+6)</f>
        <v>57.76334898956577</v>
      </c>
      <c r="HR244" s="644">
        <f>(FV244*$GD244-HO244)/$JF244*INDEX(Input!$1:$1048576,$JG$93,$C244*2+6)</f>
        <v>57.110157557103939</v>
      </c>
      <c r="HS244" s="644">
        <f t="shared" si="851"/>
        <v>-8.8103345702085463</v>
      </c>
      <c r="HT244" s="644">
        <f t="shared" si="731"/>
        <v>96.136194271922434</v>
      </c>
      <c r="HU244" s="644">
        <f t="shared" si="732"/>
        <v>58.251847368910987</v>
      </c>
      <c r="HV244" s="648">
        <f t="shared" si="733"/>
        <v>0</v>
      </c>
      <c r="HW244" s="648">
        <f t="shared" si="734"/>
        <v>0</v>
      </c>
      <c r="HX244" s="648">
        <f t="shared" si="735"/>
        <v>0</v>
      </c>
      <c r="HY244" s="644">
        <f>INDEX(Input!$1:$1048576,HY$93,$C244*2+6)*INDEX(Input!$1:$1048576,$JG$93,$C244*2+6)</f>
        <v>555</v>
      </c>
      <c r="HZ244" s="644">
        <f>INDEX(Input!$1:$1048576,HZ$93,$C244*2+6)*INDEX(Input!$1:$1048576,$JG$93,$C244*2+6)</f>
        <v>480</v>
      </c>
      <c r="IA244" s="644">
        <f>INDEX(Input!$1:$1048576,IA$93,$C244*2+6)*INDEX(Input!$1:$1048576,$JG$93,$C244*2+6)</f>
        <v>566</v>
      </c>
      <c r="IB244" s="644">
        <f t="shared" si="759"/>
        <v>556.18303799661862</v>
      </c>
      <c r="IC244" s="644">
        <f t="shared" si="760"/>
        <v>633.89954326148825</v>
      </c>
      <c r="ID244" s="644">
        <f>IF(AND(INDEX(Input!$1:$1048576,IA$93,$C244*2+7)="TOS",Y244&lt;=INDEX(Y:Y,MATCH(C244*1000+2,A:A))),0,1)*MAX(IA244+HR244+HU244+HX244,0%)</f>
        <v>681.36200492601483</v>
      </c>
      <c r="IE244" s="128">
        <f t="shared" si="856"/>
        <v>0.29719449996148517</v>
      </c>
      <c r="IF244" s="128">
        <f t="shared" si="736"/>
        <v>0.33872204816601614</v>
      </c>
      <c r="IG244" s="128">
        <f t="shared" si="737"/>
        <v>0.36408345187249863</v>
      </c>
      <c r="IH244" s="21"/>
      <c r="II244" s="19">
        <f t="shared" si="738"/>
        <v>1200</v>
      </c>
      <c r="IJ244" s="19">
        <f t="shared" si="739"/>
        <v>2226.7968732767699</v>
      </c>
      <c r="IK244" s="19">
        <f t="shared" si="740"/>
        <v>1786</v>
      </c>
      <c r="IL244" s="19">
        <f t="shared" si="762"/>
        <v>400</v>
      </c>
      <c r="IM244" s="19">
        <f t="shared" si="741"/>
        <v>1112.9086210629739</v>
      </c>
      <c r="IN244" s="19">
        <f t="shared" si="742"/>
        <v>685</v>
      </c>
      <c r="IO244" s="39">
        <f t="shared" si="743"/>
        <v>0</v>
      </c>
      <c r="IP244" s="39">
        <f t="shared" si="744"/>
        <v>0</v>
      </c>
      <c r="IQ244" s="39">
        <f t="shared" si="745"/>
        <v>0</v>
      </c>
      <c r="IR244" s="39">
        <v>0</v>
      </c>
      <c r="IS244" s="39">
        <v>0</v>
      </c>
      <c r="IT244" s="39">
        <v>0</v>
      </c>
      <c r="IU244" s="39">
        <v>0</v>
      </c>
      <c r="IV244" s="39">
        <v>0</v>
      </c>
      <c r="IW244" s="39">
        <v>0</v>
      </c>
      <c r="IX244" s="39">
        <f>INDEX(Input!$1:$1048576,IX$93,$C244*2+6)+INDEX(Input!$1:$1048576,IX$94,$C244*2+6)</f>
        <v>1600</v>
      </c>
      <c r="IY244" s="39">
        <f>INDEX(Input!$1:$1048576,IY$93,$C244*2+6)+INDEX(Input!$1:$1048576,IY$94,$C244*2+6)</f>
        <v>2503.5492916397525</v>
      </c>
      <c r="IZ244" s="39">
        <f>INDEX(Input!$1:$1048576,IZ$93,$C244*2+6)+INDEX(Input!$1:$1048576,IZ$94,$C244*2+6)</f>
        <v>5773.7109265464023</v>
      </c>
      <c r="JA244" s="19">
        <f t="shared" si="763"/>
        <v>2000</v>
      </c>
      <c r="JB244" s="19">
        <f t="shared" si="764"/>
        <v>3616.4579127027264</v>
      </c>
      <c r="JC244" s="19">
        <f t="shared" si="765"/>
        <v>6458.7109265464023</v>
      </c>
      <c r="JD244" s="19">
        <f t="shared" si="766"/>
        <v>4170.8728000034716</v>
      </c>
      <c r="JE244" s="21"/>
      <c r="JF244" s="1">
        <f t="shared" si="746"/>
        <v>8.5237567437015646E-2</v>
      </c>
      <c r="JG244" s="15">
        <f>INDEX(Input!$1:$1048576,JG$93,$C244*2+6)/(1+VLOOKUP(C244*1000+INDEX(Input!$1:$1048576,JG$93+1,$C244*2+6),$A:$KK,$JK$92,FALSE))</f>
        <v>1601</v>
      </c>
      <c r="JH244" s="1">
        <f t="shared" si="767"/>
        <v>7.7993053787318314E-2</v>
      </c>
      <c r="JI244" s="1">
        <f t="shared" si="768"/>
        <v>9.0929236146548936E-2</v>
      </c>
      <c r="JJ244" s="1">
        <f t="shared" si="828"/>
        <v>0</v>
      </c>
      <c r="JK244" s="1">
        <f t="shared" si="829"/>
        <v>0.16892228993386726</v>
      </c>
      <c r="JL244" s="15">
        <f t="shared" si="771"/>
        <v>270.44458618412148</v>
      </c>
      <c r="JM244" s="15">
        <f t="shared" si="795"/>
        <v>1871.4445861841214</v>
      </c>
      <c r="JN244" s="21"/>
      <c r="JO244" s="19">
        <f>INDEX(Input!$1:$1048576,JO$93,$C244*2+6)</f>
        <v>5908.5</v>
      </c>
      <c r="JP244" s="19">
        <f>INDEX(Input!$1:$1048576,JP$93,$C244*2+6)</f>
        <v>3346.4235130620518</v>
      </c>
      <c r="JQ244" s="39">
        <f t="shared" si="781"/>
        <v>1737.6271999965284</v>
      </c>
      <c r="JR244" s="39">
        <f t="shared" si="798"/>
        <v>824.44928694141981</v>
      </c>
      <c r="JS244" s="39">
        <f t="shared" si="783"/>
        <v>7.805557321229105</v>
      </c>
      <c r="JT244" s="39">
        <f t="shared" si="773"/>
        <v>2.4479332768167601</v>
      </c>
      <c r="JU244" s="385">
        <f>(JQ244*JM244-INDEX(Input!$1:$1048576,Input!A$18,$C244*2+6)*JL244*INDEX(Input!$1:$1048576,Input!A$19,$C244*2+6))/1000000</f>
        <v>3.2518730162397764</v>
      </c>
      <c r="JV244" s="39">
        <f t="shared" si="805"/>
        <v>-0.85001143934787837</v>
      </c>
      <c r="JW244" s="1">
        <f t="shared" si="796"/>
        <v>-0.2072246179899043</v>
      </c>
      <c r="JX244" s="19">
        <f t="shared" si="787"/>
        <v>9051.5151786036549</v>
      </c>
      <c r="JZ244" s="341"/>
      <c r="KA244" s="342"/>
      <c r="KB244" s="469">
        <f t="shared" si="784"/>
        <v>2.4482969984810516</v>
      </c>
      <c r="KI244" s="473">
        <f t="shared" si="853"/>
        <v>1.1830379966185092</v>
      </c>
      <c r="KJ244" s="473">
        <f t="shared" si="854"/>
        <v>153.89954326148813</v>
      </c>
      <c r="KK244" s="473">
        <f t="shared" si="775"/>
        <v>115.36200492601472</v>
      </c>
      <c r="KN244" s="544">
        <f t="shared" si="788"/>
        <v>2002</v>
      </c>
      <c r="KO244" s="541">
        <f t="shared" si="750"/>
        <v>8.3163059108673165E-2</v>
      </c>
      <c r="KP244" s="546">
        <f t="shared" si="751"/>
        <v>372.54359311178462</v>
      </c>
      <c r="KQ244" s="546">
        <f t="shared" si="752"/>
        <v>445.26922504693312</v>
      </c>
      <c r="KR244" s="548">
        <f t="shared" si="753"/>
        <v>3.5648549146494846</v>
      </c>
      <c r="KS244" s="548">
        <f t="shared" si="754"/>
        <v>2.9826086873300985</v>
      </c>
      <c r="KT244" s="473">
        <f t="shared" si="786"/>
        <v>528.59039248727379</v>
      </c>
      <c r="KU244" s="663">
        <f t="shared" si="776"/>
        <v>11.996104141790665</v>
      </c>
      <c r="KV244" s="117"/>
    </row>
    <row r="245" spans="1:308" s="26" customFormat="1" ht="15">
      <c r="A245" s="561">
        <f t="shared" si="755"/>
        <v>2045</v>
      </c>
      <c r="B245" s="561">
        <f t="shared" si="777"/>
        <v>45</v>
      </c>
      <c r="C245" s="561">
        <f t="shared" si="105"/>
        <v>2</v>
      </c>
      <c r="D245" s="561" t="str">
        <f t="shared" si="824"/>
        <v xml:space="preserve">0/0/0/3.9, 360 Lease, </v>
      </c>
      <c r="E245" s="475">
        <f>INDEX(Input!$1:$1048576,E$93,$C245*2+MIN($B245,2)+5)
+INDEX(Scenarios!E$121:E$200,MATCH($B245,Scenarios!$B$121:$B$200,0))</f>
        <v>1250</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63">
        <f>IFERROR(MAX(0,INDEX(Input!$1:$1048576,W$93,$C245*2+MIN($B245,2)+5)-0%,),"Market")</f>
        <v>3.9E-2</v>
      </c>
      <c r="X245" s="476" t="str">
        <f>INDEX(Input!$1:$1048576,X$93,$C245*2+MIN($B245,2)+5)</f>
        <v>Y</v>
      </c>
      <c r="Y245" s="475">
        <f>INDEX(Input!$1:$1048576,Y$93,$C245*2+MIN($B245,2)+5)
++INDEX(Scenarios!Y$121:Y$200,MATCH($B245,Scenarios!$B$121:$B$200,0))</f>
        <v>1718</v>
      </c>
      <c r="Z245" s="477">
        <f>INDEX(Input!$1:$1048576,Z$93,$C245*2+MIN($B245,2)+5)
+INDEX(Scenarios!Z$121:Z$200,MATCH($B245,Scenarios!$B$121:$B$200,0))</f>
        <v>0</v>
      </c>
      <c r="AA245" s="475">
        <f>INDEX(Input!$1:$1048576,AA$93,$C245*2+MIN($B245,2)+5)</f>
        <v>0</v>
      </c>
      <c r="AB245" s="476">
        <f>INDEX(Input!$1:$1048576,AB$93,$C245*2+MIN($B245,2)+5)</f>
        <v>1</v>
      </c>
      <c r="AC245" s="475">
        <f>INDEX(Input!$1:$1048576,AC$93,$C245*2+MIN($B245,2)+5)
+INDEX(Scenarios!AC$121:AC$200,MATCH($B245,Scenarios!$B$121:$B$200,0))</f>
        <v>0</v>
      </c>
      <c r="AD245" s="476">
        <f>INDEX(Input!$1:$1048576,AD$93,$C245*2+MIN($B245,2)+5)</f>
        <v>0.35</v>
      </c>
      <c r="AE245" s="475">
        <f>INDEX(Input!$1:$1048576,AE$93,$C245*2+MIN($B245,2)+5)
+INDEX(Scenarios!AE$121:AE$200,MATCH($B245,Scenarios!$B$121:$B$200,0))</f>
        <v>0</v>
      </c>
      <c r="AF245" s="476">
        <f>INDEX(Input!$1:$1048576,AF$93,$C245*2+MIN($B245,2)+5)</f>
        <v>1</v>
      </c>
      <c r="AG245" s="475">
        <f>INDEX(Input!$1:$1048576,AG$93,$C245*2+MIN($B245,2)+5)
+INDEX(Scenarios!AG$121:AG$200,MATCH($B245,Scenarios!$B$121:$B$200,0))</f>
        <v>0</v>
      </c>
      <c r="AH245" s="476">
        <f>INDEX(Input!$1:$1048576,AH$93,$C245*2+MIN($B245,2)+5)</f>
        <v>1</v>
      </c>
      <c r="AI245" s="475">
        <f>INDEX(Input!$1:$1048576,AI$93,$C245*2+MIN($B245,2)+5)
+INDEX(Scenarios!AI$121:AI$200,MATCH($B245,Scenarios!$B$121:$B$200,0))</f>
        <v>0</v>
      </c>
      <c r="AJ245" s="476">
        <f>INDEX(Input!$1:$1048576,AJ$93,$C245*2+MIN($B245,2)+5)</f>
        <v>0.35</v>
      </c>
      <c r="AK245" s="150">
        <f>ROUND(INDEX(Input!$1:$1048576,AK$93,$C244*2+MIN($B245,1)+5)+(Y245-VLOOKUP($C245*1000+1,$A:$HH,Y$92,FALSE)),0)</f>
        <v>5342</v>
      </c>
      <c r="AL245" s="150">
        <f>ROUND(INDEX(Input!$1:$1048576,AL$93,$C244*2+MIN($B245,1)+5)-(Y245-VLOOKUP($C245*1000+1,$A:$HH,Y$92,FALSE))/36,0)</f>
        <v>5092</v>
      </c>
      <c r="AM245" s="32" t="str">
        <f t="shared" si="756"/>
        <v>std/std/std/std</v>
      </c>
      <c r="AN245" s="32" t="str">
        <f t="shared" si="757"/>
        <v>$0 + 0/0/0/0/3.9</v>
      </c>
      <c r="AO245" s="32" t="str">
        <f t="shared" si="758"/>
        <v>0/0/0/0/3.9</v>
      </c>
      <c r="AP245" s="32" t="str">
        <f t="shared" si="831"/>
        <v>0/0/0/3.9</v>
      </c>
      <c r="AQ245" s="536">
        <f t="shared" si="830"/>
        <v>0.29719449996148517</v>
      </c>
      <c r="AR245" s="32"/>
      <c r="AS245" s="302"/>
      <c r="AT245" s="3">
        <f t="shared" si="810"/>
        <v>45</v>
      </c>
      <c r="AU245" s="41" t="s">
        <v>121</v>
      </c>
      <c r="AV245" s="41" t="s">
        <v>116</v>
      </c>
      <c r="AW245" s="41" t="str">
        <f>INDEX(Input!$1:$1048576,AW$93,$C245*2+6)</f>
        <v>Kia</v>
      </c>
      <c r="AX245" s="41" t="str">
        <f>INDEX(Input!$1:$1048576,AX$93,$C245*2+6)</f>
        <v>Kia-LR - L2</v>
      </c>
      <c r="AY245" s="41" t="str">
        <f>IF(LEN(D245)=0,"",INDEX(Input!$1:$1048576,AY$93,$C245*2+6))</f>
        <v>Compact Conventional/Sporty Car (43)</v>
      </c>
      <c r="AZ245" s="41" t="str">
        <f>INDEX(Input!$1:$1048576,AZ$93,$C245*2+6)</f>
        <v>Kia Forte</v>
      </c>
      <c r="BA245" s="3">
        <f>INDEX(Input!$1:$1048576,BA$93,$C245*2+6)</f>
        <v>2020</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19695</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832"/>
        <v>1250</v>
      </c>
      <c r="CJ245" s="16" t="str">
        <f>INDEX(Input!$1:$1048576,CJ$93,$C245*2+6)</f>
        <v>N</v>
      </c>
      <c r="CK245" s="1" t="str">
        <f t="shared" si="833"/>
        <v>Market</v>
      </c>
      <c r="CL245" s="1" t="str">
        <f t="shared" si="834"/>
        <v>Market</v>
      </c>
      <c r="CM245" s="1" t="str">
        <f t="shared" si="835"/>
        <v>Market</v>
      </c>
      <c r="CN245" s="1" t="str">
        <f t="shared" si="836"/>
        <v>Market</v>
      </c>
      <c r="CO245" s="1" t="str">
        <f t="shared" si="837"/>
        <v>Market</v>
      </c>
      <c r="CP245" s="304">
        <f t="shared" si="838"/>
        <v>0</v>
      </c>
      <c r="CQ245" s="1">
        <f t="shared" si="839"/>
        <v>0</v>
      </c>
      <c r="CR245" s="1">
        <f t="shared" si="840"/>
        <v>0</v>
      </c>
      <c r="CS245" s="1">
        <f t="shared" si="841"/>
        <v>0</v>
      </c>
      <c r="CT245" s="1">
        <f t="shared" si="842"/>
        <v>0</v>
      </c>
      <c r="CU245" s="1">
        <f t="shared" si="843"/>
        <v>3.9E-2</v>
      </c>
      <c r="CV245" s="304">
        <f t="shared" si="844"/>
        <v>1718</v>
      </c>
      <c r="CW245" s="20" t="s">
        <v>122</v>
      </c>
      <c r="CX245" s="20" t="s">
        <v>122</v>
      </c>
      <c r="CY245" s="20" t="s">
        <v>122</v>
      </c>
      <c r="CZ245" s="20" t="s">
        <v>122</v>
      </c>
      <c r="DA245" s="20" t="s">
        <v>122</v>
      </c>
      <c r="DB245" s="503">
        <f t="shared" si="845"/>
        <v>0</v>
      </c>
      <c r="DC245" s="127">
        <v>0</v>
      </c>
      <c r="DD245" s="127">
        <v>0</v>
      </c>
      <c r="DE245" s="127">
        <v>0</v>
      </c>
      <c r="DF245" s="127">
        <v>0</v>
      </c>
      <c r="DG245" s="127">
        <v>0</v>
      </c>
      <c r="DH245" s="127">
        <v>0</v>
      </c>
      <c r="DI245" s="127">
        <v>0</v>
      </c>
      <c r="DJ245" s="127">
        <v>0</v>
      </c>
      <c r="DK245" s="127">
        <v>0</v>
      </c>
      <c r="DL245" s="127">
        <v>0</v>
      </c>
      <c r="DM245" s="304">
        <f>INDEX(Input!$1:$1048576,DM$93,$C245*2+6)</f>
        <v>20731.578947368424</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2.6196201439566379E-2</v>
      </c>
      <c r="DZ245" s="7">
        <v>0</v>
      </c>
      <c r="EA245" s="7">
        <v>0.53421591633750298</v>
      </c>
      <c r="EB245" s="7">
        <v>0</v>
      </c>
      <c r="EC245" s="7">
        <v>0</v>
      </c>
      <c r="ED245" s="7">
        <v>0</v>
      </c>
      <c r="EE245" s="7">
        <v>0</v>
      </c>
      <c r="EF245" s="7">
        <v>0</v>
      </c>
      <c r="EG245" s="7">
        <v>0</v>
      </c>
      <c r="EH245" s="7">
        <v>8.2260754115973805E-3</v>
      </c>
      <c r="EI245" s="7">
        <v>1.3432972318488621E-2</v>
      </c>
      <c r="EJ245" s="7">
        <v>0.13499916115257396</v>
      </c>
      <c r="EK245" s="7">
        <v>0.81896580593386326</v>
      </c>
      <c r="EL245" s="7">
        <v>2.4375985183476681E-2</v>
      </c>
      <c r="EM245" s="7">
        <v>6.734341969465317E-2</v>
      </c>
      <c r="EN245" s="7">
        <v>5.0624708033495454E-2</v>
      </c>
      <c r="EO245" s="7">
        <v>0.5606094102855198</v>
      </c>
      <c r="EP245" s="7">
        <v>0.28776119516582155</v>
      </c>
      <c r="EQ245" s="7">
        <v>6.2850131265717354E-2</v>
      </c>
      <c r="ER245" s="7">
        <v>3.8154555249445408E-2</v>
      </c>
      <c r="ES245" s="7">
        <v>0.37224446252827748</v>
      </c>
      <c r="ET245" s="7">
        <v>0.43958788222293066</v>
      </c>
      <c r="EU245" s="6">
        <v>1600</v>
      </c>
      <c r="EV245" s="6">
        <v>0</v>
      </c>
      <c r="EW245" s="6">
        <v>1600</v>
      </c>
      <c r="EX245" s="6">
        <v>0</v>
      </c>
      <c r="EY245" s="6">
        <v>3339.7054943397438</v>
      </c>
      <c r="EZ245" s="6">
        <v>2471</v>
      </c>
      <c r="FA245" s="6">
        <v>0</v>
      </c>
      <c r="FB245" s="6">
        <v>0</v>
      </c>
      <c r="FC245" s="6">
        <v>0</v>
      </c>
      <c r="FD245" s="6">
        <v>0</v>
      </c>
      <c r="FE245" s="6">
        <v>0</v>
      </c>
      <c r="FF245" s="6">
        <v>0</v>
      </c>
      <c r="FG245" s="6">
        <v>0</v>
      </c>
      <c r="FH245" s="6">
        <v>1154.7864955512625</v>
      </c>
      <c r="FI245" s="6">
        <v>1531.4299904380625</v>
      </c>
      <c r="FJ245" s="6">
        <v>2070.7205842538228</v>
      </c>
      <c r="FK245" s="6">
        <v>2635.3956133202905</v>
      </c>
      <c r="FL245" s="6">
        <v>893.91433563489375</v>
      </c>
      <c r="FM245" s="6">
        <v>2489.7054943397438</v>
      </c>
      <c r="FN245" s="6">
        <v>0</v>
      </c>
      <c r="FO245" s="6">
        <v>0</v>
      </c>
      <c r="FP245" s="6">
        <v>0</v>
      </c>
      <c r="FQ245" s="6">
        <v>0</v>
      </c>
      <c r="FR245" s="6">
        <v>0</v>
      </c>
      <c r="FS245" s="6">
        <v>0</v>
      </c>
      <c r="FT245" s="7">
        <v>0.56041211777706934</v>
      </c>
      <c r="FU245" s="7">
        <v>6.734341969465317E-2</v>
      </c>
      <c r="FV245" s="7">
        <v>0.37224446252827748</v>
      </c>
      <c r="FW245" s="6">
        <v>1600</v>
      </c>
      <c r="FX245" s="6">
        <v>3339.7054943397438</v>
      </c>
      <c r="FY245" s="6">
        <v>2471</v>
      </c>
      <c r="FZ245" s="6">
        <v>2594.6978186474794</v>
      </c>
      <c r="GA245" s="6">
        <v>2041.382644112545</v>
      </c>
      <c r="GB245" s="6">
        <v>17653.617355887454</v>
      </c>
      <c r="GC245" s="7">
        <v>9.6947029492584935E-2</v>
      </c>
      <c r="GD245" s="7">
        <v>9.1885505618830979E-2</v>
      </c>
      <c r="GE245" s="7"/>
      <c r="GF245" s="7"/>
      <c r="GG245" s="7">
        <v>-5.220916927775586E-2</v>
      </c>
      <c r="GH245" s="42">
        <v>1.858361447957146</v>
      </c>
      <c r="GI245" s="6">
        <v>12639.428584879479</v>
      </c>
      <c r="GJ245" s="14">
        <v>0.51074630601039583</v>
      </c>
      <c r="GK245" s="14">
        <v>0.50829519786160959</v>
      </c>
      <c r="GL245" s="14">
        <v>0.48925369398960422</v>
      </c>
      <c r="GM245" s="14">
        <v>0.49170480213839035</v>
      </c>
      <c r="GO245" s="5">
        <v>338.16872463277008</v>
      </c>
      <c r="GP245" s="5">
        <v>307.64377699166363</v>
      </c>
      <c r="GQ245" s="5">
        <v>527.27910984145694</v>
      </c>
      <c r="GR245" s="5">
        <v>404.20319246551543</v>
      </c>
      <c r="GS245" s="5">
        <v>334.50205195691484</v>
      </c>
      <c r="GT245" s="5">
        <v>289.18266033348181</v>
      </c>
      <c r="GU245" s="5">
        <v>254.29573314828914</v>
      </c>
      <c r="GV245" s="39" t="s">
        <v>392</v>
      </c>
      <c r="GW245" s="5">
        <v>468.76388888888891</v>
      </c>
      <c r="GX245" s="5">
        <v>351.57291666666669</v>
      </c>
      <c r="GY245" s="5">
        <v>281.25833333333333</v>
      </c>
      <c r="GZ245" s="5">
        <v>234.38194444444446</v>
      </c>
      <c r="HA245" s="5">
        <v>229.89195052129486</v>
      </c>
      <c r="HB245" s="39">
        <v>244.10303623291639</v>
      </c>
      <c r="HC245" s="5">
        <v>175.00937499999998</v>
      </c>
      <c r="HD245" s="5">
        <v>162.53879751461983</v>
      </c>
      <c r="HE245" s="5">
        <v>168.95939186909578</v>
      </c>
      <c r="HF245" s="5">
        <v>160.56129934210526</v>
      </c>
      <c r="HG245" s="5">
        <v>160.21410087719298</v>
      </c>
      <c r="HH245" s="39">
        <v>164.80473097793399</v>
      </c>
      <c r="HI245" s="16"/>
      <c r="HJ245" s="19" t="str">
        <f t="shared" si="850"/>
        <v>On</v>
      </c>
      <c r="HK245" s="1" t="str">
        <f t="shared" si="850"/>
        <v>On</v>
      </c>
      <c r="HL245" s="16"/>
      <c r="HM245" s="639">
        <f t="shared" si="727"/>
        <v>5.0961701597560354E-2</v>
      </c>
      <c r="HN245" s="639">
        <f t="shared" si="728"/>
        <v>3.112551654761847E-3</v>
      </c>
      <c r="HO245" s="639">
        <f t="shared" si="729"/>
        <v>3.1163314184693442E-2</v>
      </c>
      <c r="HP245" s="644">
        <f>(FT245*$GD245-HM245)/$JF245*INDEX(Input!$1:$1048576,$JG$93,$C245*2+6)</f>
        <v>9.9933725668269169</v>
      </c>
      <c r="HQ245" s="644">
        <f>(FU245*$GD245-HN245)/$JF245*INDEX(Input!$1:$1048576,$JG$93,$C245*2+6)</f>
        <v>57.76334898956577</v>
      </c>
      <c r="HR245" s="644">
        <f>(FV245*$GD245-HO245)/$JF245*INDEX(Input!$1:$1048576,$JG$93,$C245*2+6)</f>
        <v>57.110157557103939</v>
      </c>
      <c r="HS245" s="644">
        <f t="shared" si="851"/>
        <v>-8.8103345702085463</v>
      </c>
      <c r="HT245" s="644">
        <f t="shared" si="731"/>
        <v>96.136194271922434</v>
      </c>
      <c r="HU245" s="644">
        <f t="shared" si="732"/>
        <v>58.251847368910987</v>
      </c>
      <c r="HV245" s="648">
        <f t="shared" si="733"/>
        <v>0</v>
      </c>
      <c r="HW245" s="648">
        <f t="shared" si="734"/>
        <v>0</v>
      </c>
      <c r="HX245" s="648">
        <f t="shared" si="735"/>
        <v>0</v>
      </c>
      <c r="HY245" s="644">
        <f>INDEX(Input!$1:$1048576,HY$93,$C245*2+6)*INDEX(Input!$1:$1048576,$JG$93,$C245*2+6)</f>
        <v>555</v>
      </c>
      <c r="HZ245" s="644">
        <f>INDEX(Input!$1:$1048576,HZ$93,$C245*2+6)*INDEX(Input!$1:$1048576,$JG$93,$C245*2+6)</f>
        <v>480</v>
      </c>
      <c r="IA245" s="644">
        <f>INDEX(Input!$1:$1048576,IA$93,$C245*2+6)*INDEX(Input!$1:$1048576,$JG$93,$C245*2+6)</f>
        <v>566</v>
      </c>
      <c r="IB245" s="644">
        <f t="shared" si="759"/>
        <v>556.18303799661862</v>
      </c>
      <c r="IC245" s="644">
        <f t="shared" si="760"/>
        <v>633.89954326148825</v>
      </c>
      <c r="ID245" s="644">
        <f>IF(AND(INDEX(Input!$1:$1048576,IA$93,$C245*2+7)="TOS",Y245&lt;=INDEX(Y:Y,MATCH(C245*1000+2,A:A))),0,1)*MAX(IA245+HR245+HU245+HX245,0%)</f>
        <v>681.36200492601483</v>
      </c>
      <c r="IE245" s="128">
        <f t="shared" si="856"/>
        <v>0.29719449996148517</v>
      </c>
      <c r="IF245" s="128">
        <f t="shared" si="736"/>
        <v>0.33872204816601614</v>
      </c>
      <c r="IG245" s="128">
        <f t="shared" si="737"/>
        <v>0.36408345187249863</v>
      </c>
      <c r="IH245" s="21"/>
      <c r="II245" s="19">
        <f t="shared" si="738"/>
        <v>1200</v>
      </c>
      <c r="IJ245" s="19">
        <f t="shared" si="739"/>
        <v>2226.7968732767699</v>
      </c>
      <c r="IK245" s="19">
        <f t="shared" si="740"/>
        <v>1786</v>
      </c>
      <c r="IL245" s="19">
        <f t="shared" si="762"/>
        <v>400</v>
      </c>
      <c r="IM245" s="19">
        <f t="shared" si="741"/>
        <v>1112.9086210629739</v>
      </c>
      <c r="IN245" s="19">
        <f t="shared" si="742"/>
        <v>685</v>
      </c>
      <c r="IO245" s="39">
        <f t="shared" si="743"/>
        <v>0</v>
      </c>
      <c r="IP245" s="39">
        <f t="shared" si="744"/>
        <v>0</v>
      </c>
      <c r="IQ245" s="39">
        <f t="shared" si="745"/>
        <v>0</v>
      </c>
      <c r="IR245" s="39">
        <v>0</v>
      </c>
      <c r="IS245" s="39">
        <v>0</v>
      </c>
      <c r="IT245" s="39">
        <v>0</v>
      </c>
      <c r="IU245" s="39">
        <v>0</v>
      </c>
      <c r="IV245" s="39">
        <v>0</v>
      </c>
      <c r="IW245" s="39">
        <v>0</v>
      </c>
      <c r="IX245" s="39">
        <f>INDEX(Input!$1:$1048576,IX$93,$C245*2+6)+INDEX(Input!$1:$1048576,IX$94,$C245*2+6)</f>
        <v>1600</v>
      </c>
      <c r="IY245" s="39">
        <f>INDEX(Input!$1:$1048576,IY$93,$C245*2+6)+INDEX(Input!$1:$1048576,IY$94,$C245*2+6)</f>
        <v>2503.5492916397525</v>
      </c>
      <c r="IZ245" s="39">
        <f>INDEX(Input!$1:$1048576,IZ$93,$C245*2+6)+INDEX(Input!$1:$1048576,IZ$94,$C245*2+6)</f>
        <v>5773.7109265464023</v>
      </c>
      <c r="JA245" s="19">
        <f t="shared" si="763"/>
        <v>2000</v>
      </c>
      <c r="JB245" s="19">
        <f t="shared" si="764"/>
        <v>3616.4579127027264</v>
      </c>
      <c r="JC245" s="19">
        <f t="shared" si="765"/>
        <v>6458.7109265464023</v>
      </c>
      <c r="JD245" s="19">
        <f t="shared" si="766"/>
        <v>4170.8728000034716</v>
      </c>
      <c r="JE245" s="21"/>
      <c r="JF245" s="1">
        <f t="shared" si="746"/>
        <v>8.5237567437015646E-2</v>
      </c>
      <c r="JG245" s="15">
        <f>INDEX(Input!$1:$1048576,JG$93,$C245*2+6)/(1+VLOOKUP(C245*1000+INDEX(Input!$1:$1048576,JG$93+1,$C245*2+6),$A:$KK,$JK$92,FALSE))</f>
        <v>1601</v>
      </c>
      <c r="JH245" s="1">
        <f t="shared" si="767"/>
        <v>7.7993053787318314E-2</v>
      </c>
      <c r="JI245" s="1">
        <f t="shared" si="768"/>
        <v>9.0929236146548936E-2</v>
      </c>
      <c r="JJ245" s="1">
        <f t="shared" si="828"/>
        <v>0</v>
      </c>
      <c r="JK245" s="1">
        <f t="shared" si="829"/>
        <v>0.16892228993386726</v>
      </c>
      <c r="JL245" s="15">
        <f t="shared" si="771"/>
        <v>270.44458618412148</v>
      </c>
      <c r="JM245" s="15">
        <f t="shared" si="795"/>
        <v>1871.4445861841214</v>
      </c>
      <c r="JN245" s="21"/>
      <c r="JO245" s="19">
        <f>INDEX(Input!$1:$1048576,JO$93,$C245*2+6)</f>
        <v>5908.5</v>
      </c>
      <c r="JP245" s="19">
        <f>INDEX(Input!$1:$1048576,JP$93,$C245*2+6)</f>
        <v>3346.4235130620518</v>
      </c>
      <c r="JQ245" s="39">
        <f t="shared" si="781"/>
        <v>1737.6271999965284</v>
      </c>
      <c r="JR245" s="39">
        <f t="shared" si="798"/>
        <v>824.44928694141981</v>
      </c>
      <c r="JS245" s="39">
        <f t="shared" si="783"/>
        <v>7.805557321229105</v>
      </c>
      <c r="JT245" s="39">
        <f t="shared" si="773"/>
        <v>2.4479332768167601</v>
      </c>
      <c r="JU245" s="385">
        <f>(JQ245*JM245-INDEX(Input!$1:$1048576,Input!A$18,$C245*2+6)*JL245*INDEX(Input!$1:$1048576,Input!A$19,$C245*2+6))/1000000</f>
        <v>3.2518730162397764</v>
      </c>
      <c r="JV245" s="39">
        <f t="shared" si="805"/>
        <v>-0.85001143934787837</v>
      </c>
      <c r="JW245" s="1">
        <f t="shared" si="796"/>
        <v>-0.2072246179899043</v>
      </c>
      <c r="JX245" s="19">
        <f t="shared" si="787"/>
        <v>9051.5151786036549</v>
      </c>
      <c r="JZ245" s="341"/>
      <c r="KA245" s="342"/>
      <c r="KB245" s="469">
        <f t="shared" si="784"/>
        <v>2.4482969984810516</v>
      </c>
      <c r="KI245" s="473">
        <f t="shared" si="853"/>
        <v>1.1830379966185092</v>
      </c>
      <c r="KJ245" s="473">
        <f t="shared" si="854"/>
        <v>153.89954326148813</v>
      </c>
      <c r="KK245" s="473">
        <f t="shared" si="775"/>
        <v>115.36200492601472</v>
      </c>
      <c r="KN245" s="544">
        <f t="shared" si="788"/>
        <v>2002</v>
      </c>
      <c r="KO245" s="541">
        <f t="shared" si="750"/>
        <v>8.3163059108673165E-2</v>
      </c>
      <c r="KP245" s="546">
        <f t="shared" si="751"/>
        <v>372.54359311178462</v>
      </c>
      <c r="KQ245" s="546">
        <f t="shared" si="752"/>
        <v>445.26922504693312</v>
      </c>
      <c r="KR245" s="548">
        <f t="shared" si="753"/>
        <v>3.5648549146494846</v>
      </c>
      <c r="KS245" s="548">
        <f t="shared" si="754"/>
        <v>2.9826086873300985</v>
      </c>
      <c r="KT245" s="473">
        <f t="shared" si="786"/>
        <v>528.59039248727379</v>
      </c>
      <c r="KU245" s="663">
        <f t="shared" si="776"/>
        <v>11.996105141790665</v>
      </c>
      <c r="KV245" s="117"/>
    </row>
    <row r="246" spans="1:308" s="26" customFormat="1" ht="15">
      <c r="A246" s="561">
        <f t="shared" si="755"/>
        <v>2046</v>
      </c>
      <c r="B246" s="561">
        <f t="shared" si="777"/>
        <v>46</v>
      </c>
      <c r="C246" s="561">
        <f t="shared" si="105"/>
        <v>2</v>
      </c>
      <c r="D246" s="561" t="str">
        <f t="shared" si="824"/>
        <v xml:space="preserve">0/0/0/3.9, 360 Lease, </v>
      </c>
      <c r="E246" s="475">
        <f>INDEX(Input!$1:$1048576,E$93,$C246*2+MIN($B246,2)+5)
+INDEX(Scenarios!E$121:E$200,MATCH($B246,Scenarios!$B$121:$B$200,0))</f>
        <v>1250</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63">
        <f>IFERROR(MAX(0,INDEX(Input!$1:$1048576,W$93,$C246*2+MIN($B246,2)+5)-0%,),"Market")</f>
        <v>3.9E-2</v>
      </c>
      <c r="X246" s="476" t="str">
        <f>INDEX(Input!$1:$1048576,X$93,$C246*2+MIN($B246,2)+5)</f>
        <v>Y</v>
      </c>
      <c r="Y246" s="475">
        <f>INDEX(Input!$1:$1048576,Y$93,$C246*2+MIN($B246,2)+5)
++INDEX(Scenarios!Y$121:Y$200,MATCH($B246,Scenarios!$B$121:$B$200,0))</f>
        <v>1718</v>
      </c>
      <c r="Z246" s="477">
        <f>INDEX(Input!$1:$1048576,Z$93,$C246*2+MIN($B246,2)+5)
+INDEX(Scenarios!Z$121:Z$200,MATCH($B246,Scenarios!$B$121:$B$200,0))</f>
        <v>0</v>
      </c>
      <c r="AA246" s="475">
        <f>INDEX(Input!$1:$1048576,AA$93,$C246*2+MIN($B246,2)+5)</f>
        <v>0</v>
      </c>
      <c r="AB246" s="476">
        <f>INDEX(Input!$1:$1048576,AB$93,$C246*2+MIN($B246,2)+5)</f>
        <v>1</v>
      </c>
      <c r="AC246" s="475">
        <f>INDEX(Input!$1:$1048576,AC$93,$C246*2+MIN($B246,2)+5)
+INDEX(Scenarios!AC$121:AC$200,MATCH($B246,Scenarios!$B$121:$B$200,0))</f>
        <v>0</v>
      </c>
      <c r="AD246" s="476">
        <f>INDEX(Input!$1:$1048576,AD$93,$C246*2+MIN($B246,2)+5)</f>
        <v>0.35</v>
      </c>
      <c r="AE246" s="475">
        <f>INDEX(Input!$1:$1048576,AE$93,$C246*2+MIN($B246,2)+5)
+INDEX(Scenarios!AE$121:AE$200,MATCH($B246,Scenarios!$B$121:$B$200,0))</f>
        <v>0</v>
      </c>
      <c r="AF246" s="476">
        <f>INDEX(Input!$1:$1048576,AF$93,$C246*2+MIN($B246,2)+5)</f>
        <v>1</v>
      </c>
      <c r="AG246" s="475">
        <f>INDEX(Input!$1:$1048576,AG$93,$C246*2+MIN($B246,2)+5)
+INDEX(Scenarios!AG$121:AG$200,MATCH($B246,Scenarios!$B$121:$B$200,0))</f>
        <v>0</v>
      </c>
      <c r="AH246" s="476">
        <f>INDEX(Input!$1:$1048576,AH$93,$C246*2+MIN($B246,2)+5)</f>
        <v>1</v>
      </c>
      <c r="AI246" s="475">
        <f>INDEX(Input!$1:$1048576,AI$93,$C246*2+MIN($B246,2)+5)
+INDEX(Scenarios!AI$121:AI$200,MATCH($B246,Scenarios!$B$121:$B$200,0))</f>
        <v>0</v>
      </c>
      <c r="AJ246" s="476">
        <f>INDEX(Input!$1:$1048576,AJ$93,$C246*2+MIN($B246,2)+5)</f>
        <v>0.35</v>
      </c>
      <c r="AK246" s="150">
        <f>ROUND(INDEX(Input!$1:$1048576,AK$93,$C245*2+MIN($B246,1)+5)+(Y246-VLOOKUP($C246*1000+1,$A:$HH,Y$92,FALSE)),0)</f>
        <v>5342</v>
      </c>
      <c r="AL246" s="150">
        <f>ROUND(INDEX(Input!$1:$1048576,AL$93,$C245*2+MIN($B246,1)+5)-(Y246-VLOOKUP($C246*1000+1,$A:$HH,Y$92,FALSE))/36,0)</f>
        <v>5092</v>
      </c>
      <c r="AM246" s="32" t="str">
        <f t="shared" si="756"/>
        <v>std/std/std/std</v>
      </c>
      <c r="AN246" s="32" t="str">
        <f t="shared" si="757"/>
        <v>$0 + 0/0/0/0/3.9</v>
      </c>
      <c r="AO246" s="32" t="str">
        <f t="shared" si="758"/>
        <v>0/0/0/0/3.9</v>
      </c>
      <c r="AP246" s="32" t="str">
        <f t="shared" si="831"/>
        <v>0/0/0/3.9</v>
      </c>
      <c r="AQ246" s="536">
        <f t="shared" si="830"/>
        <v>0.29719449996148517</v>
      </c>
      <c r="AR246" s="32"/>
      <c r="AS246" s="302"/>
      <c r="AT246" s="3">
        <f t="shared" si="810"/>
        <v>46</v>
      </c>
      <c r="AU246" s="41" t="s">
        <v>121</v>
      </c>
      <c r="AV246" s="41" t="s">
        <v>116</v>
      </c>
      <c r="AW246" s="41" t="str">
        <f>INDEX(Input!$1:$1048576,AW$93,$C246*2+6)</f>
        <v>Kia</v>
      </c>
      <c r="AX246" s="41" t="str">
        <f>INDEX(Input!$1:$1048576,AX$93,$C246*2+6)</f>
        <v>Kia-LR - L2</v>
      </c>
      <c r="AY246" s="41" t="str">
        <f>IF(LEN(D246)=0,"",INDEX(Input!$1:$1048576,AY$93,$C246*2+6))</f>
        <v>Compact Conventional/Sporty Car (43)</v>
      </c>
      <c r="AZ246" s="41" t="str">
        <f>INDEX(Input!$1:$1048576,AZ$93,$C246*2+6)</f>
        <v>Kia Forte</v>
      </c>
      <c r="BA246" s="3">
        <f>INDEX(Input!$1:$1048576,BA$93,$C246*2+6)</f>
        <v>2020</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19695</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832"/>
        <v>1250</v>
      </c>
      <c r="CJ246" s="16" t="str">
        <f>INDEX(Input!$1:$1048576,CJ$93,$C246*2+6)</f>
        <v>N</v>
      </c>
      <c r="CK246" s="1" t="str">
        <f t="shared" si="833"/>
        <v>Market</v>
      </c>
      <c r="CL246" s="1" t="str">
        <f t="shared" si="834"/>
        <v>Market</v>
      </c>
      <c r="CM246" s="1" t="str">
        <f t="shared" si="835"/>
        <v>Market</v>
      </c>
      <c r="CN246" s="1" t="str">
        <f t="shared" si="836"/>
        <v>Market</v>
      </c>
      <c r="CO246" s="1" t="str">
        <f t="shared" si="837"/>
        <v>Market</v>
      </c>
      <c r="CP246" s="304">
        <f t="shared" si="838"/>
        <v>0</v>
      </c>
      <c r="CQ246" s="1">
        <f t="shared" si="839"/>
        <v>0</v>
      </c>
      <c r="CR246" s="1">
        <f t="shared" si="840"/>
        <v>0</v>
      </c>
      <c r="CS246" s="1">
        <f t="shared" si="841"/>
        <v>0</v>
      </c>
      <c r="CT246" s="1">
        <f t="shared" si="842"/>
        <v>0</v>
      </c>
      <c r="CU246" s="1">
        <f t="shared" si="843"/>
        <v>3.9E-2</v>
      </c>
      <c r="CV246" s="304">
        <f t="shared" si="844"/>
        <v>1718</v>
      </c>
      <c r="CW246" s="20" t="s">
        <v>122</v>
      </c>
      <c r="CX246" s="20" t="s">
        <v>122</v>
      </c>
      <c r="CY246" s="20" t="s">
        <v>122</v>
      </c>
      <c r="CZ246" s="20" t="s">
        <v>122</v>
      </c>
      <c r="DA246" s="20" t="s">
        <v>122</v>
      </c>
      <c r="DB246" s="503">
        <f t="shared" si="845"/>
        <v>0</v>
      </c>
      <c r="DC246" s="127">
        <v>0</v>
      </c>
      <c r="DD246" s="127">
        <v>0</v>
      </c>
      <c r="DE246" s="127">
        <v>0</v>
      </c>
      <c r="DF246" s="127">
        <v>0</v>
      </c>
      <c r="DG246" s="127">
        <v>0</v>
      </c>
      <c r="DH246" s="127">
        <v>0</v>
      </c>
      <c r="DI246" s="127">
        <v>0</v>
      </c>
      <c r="DJ246" s="127">
        <v>0</v>
      </c>
      <c r="DK246" s="127">
        <v>0</v>
      </c>
      <c r="DL246" s="127">
        <v>0</v>
      </c>
      <c r="DM246" s="304">
        <f>INDEX(Input!$1:$1048576,DM$93,$C246*2+6)</f>
        <v>20731.578947368424</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2.6196201439566379E-2</v>
      </c>
      <c r="DZ246" s="7">
        <v>0</v>
      </c>
      <c r="EA246" s="7">
        <v>0.53421591633750298</v>
      </c>
      <c r="EB246" s="7">
        <v>0</v>
      </c>
      <c r="EC246" s="7">
        <v>0</v>
      </c>
      <c r="ED246" s="7">
        <v>0</v>
      </c>
      <c r="EE246" s="7">
        <v>0</v>
      </c>
      <c r="EF246" s="7">
        <v>0</v>
      </c>
      <c r="EG246" s="7">
        <v>0</v>
      </c>
      <c r="EH246" s="7">
        <v>8.2260754115973805E-3</v>
      </c>
      <c r="EI246" s="7">
        <v>1.3432972318488621E-2</v>
      </c>
      <c r="EJ246" s="7">
        <v>0.13499916115257396</v>
      </c>
      <c r="EK246" s="7">
        <v>0.81896580593386326</v>
      </c>
      <c r="EL246" s="7">
        <v>2.4375985183476681E-2</v>
      </c>
      <c r="EM246" s="7">
        <v>6.734341969465317E-2</v>
      </c>
      <c r="EN246" s="7">
        <v>5.0624708033495454E-2</v>
      </c>
      <c r="EO246" s="7">
        <v>0.5606094102855198</v>
      </c>
      <c r="EP246" s="7">
        <v>0.28776119516582155</v>
      </c>
      <c r="EQ246" s="7">
        <v>6.2850131265717354E-2</v>
      </c>
      <c r="ER246" s="7">
        <v>3.8154555249445408E-2</v>
      </c>
      <c r="ES246" s="7">
        <v>0.37224446252827748</v>
      </c>
      <c r="ET246" s="7">
        <v>0.43958788222293066</v>
      </c>
      <c r="EU246" s="6">
        <v>1600</v>
      </c>
      <c r="EV246" s="6">
        <v>0</v>
      </c>
      <c r="EW246" s="6">
        <v>1600</v>
      </c>
      <c r="EX246" s="6">
        <v>0</v>
      </c>
      <c r="EY246" s="6">
        <v>3339.7054943397438</v>
      </c>
      <c r="EZ246" s="6">
        <v>2471</v>
      </c>
      <c r="FA246" s="6">
        <v>0</v>
      </c>
      <c r="FB246" s="6">
        <v>0</v>
      </c>
      <c r="FC246" s="6">
        <v>0</v>
      </c>
      <c r="FD246" s="6">
        <v>0</v>
      </c>
      <c r="FE246" s="6">
        <v>0</v>
      </c>
      <c r="FF246" s="6">
        <v>0</v>
      </c>
      <c r="FG246" s="6">
        <v>0</v>
      </c>
      <c r="FH246" s="6">
        <v>1154.7864955512625</v>
      </c>
      <c r="FI246" s="6">
        <v>1531.4299904380625</v>
      </c>
      <c r="FJ246" s="6">
        <v>2070.7205842538228</v>
      </c>
      <c r="FK246" s="6">
        <v>2635.3956133202905</v>
      </c>
      <c r="FL246" s="6">
        <v>893.91433563489375</v>
      </c>
      <c r="FM246" s="6">
        <v>2489.7054943397438</v>
      </c>
      <c r="FN246" s="6">
        <v>0</v>
      </c>
      <c r="FO246" s="6">
        <v>0</v>
      </c>
      <c r="FP246" s="6">
        <v>0</v>
      </c>
      <c r="FQ246" s="6">
        <v>0</v>
      </c>
      <c r="FR246" s="6">
        <v>0</v>
      </c>
      <c r="FS246" s="6">
        <v>0</v>
      </c>
      <c r="FT246" s="7">
        <v>0.56041211777706934</v>
      </c>
      <c r="FU246" s="7">
        <v>6.734341969465317E-2</v>
      </c>
      <c r="FV246" s="7">
        <v>0.37224446252827748</v>
      </c>
      <c r="FW246" s="6">
        <v>1600</v>
      </c>
      <c r="FX246" s="6">
        <v>3339.7054943397438</v>
      </c>
      <c r="FY246" s="6">
        <v>2471</v>
      </c>
      <c r="FZ246" s="6">
        <v>2594.6978186474794</v>
      </c>
      <c r="GA246" s="6">
        <v>2041.382644112545</v>
      </c>
      <c r="GB246" s="6">
        <v>17653.617355887454</v>
      </c>
      <c r="GC246" s="7">
        <v>9.6947029492584935E-2</v>
      </c>
      <c r="GD246" s="7">
        <v>9.1885505618830979E-2</v>
      </c>
      <c r="GE246" s="7"/>
      <c r="GF246" s="7"/>
      <c r="GG246" s="7">
        <v>-5.220916927775586E-2</v>
      </c>
      <c r="GH246" s="42">
        <v>1.858361447957146</v>
      </c>
      <c r="GI246" s="6">
        <v>12639.428584879479</v>
      </c>
      <c r="GJ246" s="14">
        <v>0.51074630601039583</v>
      </c>
      <c r="GK246" s="14">
        <v>0.50829519786160959</v>
      </c>
      <c r="GL246" s="14">
        <v>0.48925369398960422</v>
      </c>
      <c r="GM246" s="14">
        <v>0.49170480213839035</v>
      </c>
      <c r="GO246" s="5">
        <v>338.16872463277008</v>
      </c>
      <c r="GP246" s="5">
        <v>307.64377699166363</v>
      </c>
      <c r="GQ246" s="5">
        <v>527.27910984145694</v>
      </c>
      <c r="GR246" s="5">
        <v>404.20319246551543</v>
      </c>
      <c r="GS246" s="5">
        <v>334.50205195691484</v>
      </c>
      <c r="GT246" s="5">
        <v>289.18266033348181</v>
      </c>
      <c r="GU246" s="5">
        <v>254.29573314828914</v>
      </c>
      <c r="GV246" s="39" t="s">
        <v>392</v>
      </c>
      <c r="GW246" s="5">
        <v>468.76388888888891</v>
      </c>
      <c r="GX246" s="5">
        <v>351.57291666666669</v>
      </c>
      <c r="GY246" s="5">
        <v>281.25833333333333</v>
      </c>
      <c r="GZ246" s="5">
        <v>234.38194444444446</v>
      </c>
      <c r="HA246" s="5">
        <v>229.89195052129486</v>
      </c>
      <c r="HB246" s="39">
        <v>244.10303623291639</v>
      </c>
      <c r="HC246" s="5">
        <v>175.00937499999998</v>
      </c>
      <c r="HD246" s="5">
        <v>162.53879751461983</v>
      </c>
      <c r="HE246" s="5">
        <v>168.95939186909578</v>
      </c>
      <c r="HF246" s="5">
        <v>160.56129934210526</v>
      </c>
      <c r="HG246" s="5">
        <v>160.21410087719298</v>
      </c>
      <c r="HH246" s="39">
        <v>164.80473097793399</v>
      </c>
      <c r="HI246" s="16"/>
      <c r="HJ246" s="19" t="str">
        <f t="shared" si="850"/>
        <v>On</v>
      </c>
      <c r="HK246" s="1" t="str">
        <f t="shared" si="850"/>
        <v>On</v>
      </c>
      <c r="HL246" s="16"/>
      <c r="HM246" s="639">
        <f t="shared" si="727"/>
        <v>5.0961701597560354E-2</v>
      </c>
      <c r="HN246" s="639">
        <f t="shared" si="728"/>
        <v>3.112551654761847E-3</v>
      </c>
      <c r="HO246" s="639">
        <f t="shared" si="729"/>
        <v>3.1163314184693442E-2</v>
      </c>
      <c r="HP246" s="644">
        <f>(FT246*$GD246-HM246)/$JF246*INDEX(Input!$1:$1048576,$JG$93,$C246*2+6)</f>
        <v>9.9933725668269169</v>
      </c>
      <c r="HQ246" s="644">
        <f>(FU246*$GD246-HN246)/$JF246*INDEX(Input!$1:$1048576,$JG$93,$C246*2+6)</f>
        <v>57.76334898956577</v>
      </c>
      <c r="HR246" s="644">
        <f>(FV246*$GD246-HO246)/$JF246*INDEX(Input!$1:$1048576,$JG$93,$C246*2+6)</f>
        <v>57.110157557103939</v>
      </c>
      <c r="HS246" s="644">
        <f t="shared" si="851"/>
        <v>-8.8103345702085463</v>
      </c>
      <c r="HT246" s="644">
        <f t="shared" si="731"/>
        <v>96.136194271922434</v>
      </c>
      <c r="HU246" s="644">
        <f t="shared" si="732"/>
        <v>58.251847368910987</v>
      </c>
      <c r="HV246" s="648">
        <f t="shared" si="733"/>
        <v>0</v>
      </c>
      <c r="HW246" s="648">
        <f t="shared" si="734"/>
        <v>0</v>
      </c>
      <c r="HX246" s="648">
        <f t="shared" si="735"/>
        <v>0</v>
      </c>
      <c r="HY246" s="644">
        <f>INDEX(Input!$1:$1048576,HY$93,$C246*2+6)*INDEX(Input!$1:$1048576,$JG$93,$C246*2+6)</f>
        <v>555</v>
      </c>
      <c r="HZ246" s="644">
        <f>INDEX(Input!$1:$1048576,HZ$93,$C246*2+6)*INDEX(Input!$1:$1048576,$JG$93,$C246*2+6)</f>
        <v>480</v>
      </c>
      <c r="IA246" s="644">
        <f>INDEX(Input!$1:$1048576,IA$93,$C246*2+6)*INDEX(Input!$1:$1048576,$JG$93,$C246*2+6)</f>
        <v>566</v>
      </c>
      <c r="IB246" s="644">
        <f t="shared" si="759"/>
        <v>556.18303799661862</v>
      </c>
      <c r="IC246" s="644">
        <f t="shared" si="760"/>
        <v>633.89954326148825</v>
      </c>
      <c r="ID246" s="644">
        <f>IF(AND(INDEX(Input!$1:$1048576,IA$93,$C246*2+7)="TOS",Y246&lt;=INDEX(Y:Y,MATCH(C246*1000+2,A:A))),0,1)*MAX(IA246+HR246+HU246+HX246,0%)</f>
        <v>681.36200492601483</v>
      </c>
      <c r="IE246" s="128">
        <f t="shared" si="856"/>
        <v>0.29719449996148517</v>
      </c>
      <c r="IF246" s="128">
        <f t="shared" si="736"/>
        <v>0.33872204816601614</v>
      </c>
      <c r="IG246" s="128">
        <f t="shared" si="737"/>
        <v>0.36408345187249863</v>
      </c>
      <c r="IH246" s="21"/>
      <c r="II246" s="19">
        <f t="shared" si="738"/>
        <v>1200</v>
      </c>
      <c r="IJ246" s="19">
        <f t="shared" si="739"/>
        <v>2226.7968732767699</v>
      </c>
      <c r="IK246" s="19">
        <f t="shared" si="740"/>
        <v>1786</v>
      </c>
      <c r="IL246" s="19">
        <f t="shared" si="762"/>
        <v>400</v>
      </c>
      <c r="IM246" s="19">
        <f t="shared" si="741"/>
        <v>1112.9086210629739</v>
      </c>
      <c r="IN246" s="19">
        <f t="shared" si="742"/>
        <v>685</v>
      </c>
      <c r="IO246" s="39">
        <f t="shared" si="743"/>
        <v>0</v>
      </c>
      <c r="IP246" s="39">
        <f t="shared" si="744"/>
        <v>0</v>
      </c>
      <c r="IQ246" s="39">
        <f t="shared" si="745"/>
        <v>0</v>
      </c>
      <c r="IR246" s="39">
        <v>0</v>
      </c>
      <c r="IS246" s="39">
        <v>0</v>
      </c>
      <c r="IT246" s="39">
        <v>0</v>
      </c>
      <c r="IU246" s="39">
        <v>0</v>
      </c>
      <c r="IV246" s="39">
        <v>0</v>
      </c>
      <c r="IW246" s="39">
        <v>0</v>
      </c>
      <c r="IX246" s="39">
        <f>INDEX(Input!$1:$1048576,IX$93,$C246*2+6)+INDEX(Input!$1:$1048576,IX$94,$C246*2+6)</f>
        <v>1600</v>
      </c>
      <c r="IY246" s="39">
        <f>INDEX(Input!$1:$1048576,IY$93,$C246*2+6)+INDEX(Input!$1:$1048576,IY$94,$C246*2+6)</f>
        <v>2503.5492916397525</v>
      </c>
      <c r="IZ246" s="39">
        <f>INDEX(Input!$1:$1048576,IZ$93,$C246*2+6)+INDEX(Input!$1:$1048576,IZ$94,$C246*2+6)</f>
        <v>5773.7109265464023</v>
      </c>
      <c r="JA246" s="19">
        <f t="shared" si="763"/>
        <v>2000</v>
      </c>
      <c r="JB246" s="19">
        <f t="shared" si="764"/>
        <v>3616.4579127027264</v>
      </c>
      <c r="JC246" s="19">
        <f t="shared" si="765"/>
        <v>6458.7109265464023</v>
      </c>
      <c r="JD246" s="19">
        <f t="shared" si="766"/>
        <v>4170.8728000034716</v>
      </c>
      <c r="JE246" s="21"/>
      <c r="JF246" s="1">
        <f t="shared" si="746"/>
        <v>8.5237567437015646E-2</v>
      </c>
      <c r="JG246" s="15">
        <f>INDEX(Input!$1:$1048576,JG$93,$C246*2+6)/(1+VLOOKUP(C246*1000+INDEX(Input!$1:$1048576,JG$93+1,$C246*2+6),$A:$KK,$JK$92,FALSE))</f>
        <v>1601</v>
      </c>
      <c r="JH246" s="1">
        <f t="shared" si="767"/>
        <v>7.7993053787318314E-2</v>
      </c>
      <c r="JI246" s="1">
        <f t="shared" si="768"/>
        <v>9.0929236146548936E-2</v>
      </c>
      <c r="JJ246" s="1">
        <f t="shared" si="828"/>
        <v>0</v>
      </c>
      <c r="JK246" s="1">
        <f t="shared" si="829"/>
        <v>0.16892228993386726</v>
      </c>
      <c r="JL246" s="15">
        <f t="shared" si="771"/>
        <v>270.44458618412148</v>
      </c>
      <c r="JM246" s="15">
        <f t="shared" si="795"/>
        <v>1871.4445861841214</v>
      </c>
      <c r="JN246" s="21"/>
      <c r="JO246" s="19">
        <f>INDEX(Input!$1:$1048576,JO$93,$C246*2+6)</f>
        <v>5908.5</v>
      </c>
      <c r="JP246" s="19">
        <f>INDEX(Input!$1:$1048576,JP$93,$C246*2+6)</f>
        <v>3346.4235130620518</v>
      </c>
      <c r="JQ246" s="39">
        <f t="shared" si="781"/>
        <v>1737.6271999965284</v>
      </c>
      <c r="JR246" s="39">
        <f t="shared" si="798"/>
        <v>824.44928694141981</v>
      </c>
      <c r="JS246" s="39">
        <f t="shared" si="783"/>
        <v>7.805557321229105</v>
      </c>
      <c r="JT246" s="39">
        <f t="shared" si="773"/>
        <v>2.4479332768167601</v>
      </c>
      <c r="JU246" s="385">
        <f>(JQ246*JM246-INDEX(Input!$1:$1048576,Input!A$18,$C246*2+6)*JL246*INDEX(Input!$1:$1048576,Input!A$19,$C246*2+6))/1000000</f>
        <v>3.2518730162397764</v>
      </c>
      <c r="JV246" s="39">
        <f t="shared" si="805"/>
        <v>-0.85001143934787837</v>
      </c>
      <c r="JW246" s="1">
        <f t="shared" si="796"/>
        <v>-0.2072246179899043</v>
      </c>
      <c r="JX246" s="19">
        <f t="shared" si="787"/>
        <v>9051.5151786036549</v>
      </c>
      <c r="JZ246" s="341"/>
      <c r="KA246" s="342"/>
      <c r="KB246" s="469">
        <f t="shared" si="784"/>
        <v>2.4482969984810516</v>
      </c>
      <c r="KI246" s="473">
        <f t="shared" si="853"/>
        <v>1.1830379966185092</v>
      </c>
      <c r="KJ246" s="473">
        <f t="shared" si="854"/>
        <v>153.89954326148813</v>
      </c>
      <c r="KK246" s="473">
        <f t="shared" si="775"/>
        <v>115.36200492601472</v>
      </c>
      <c r="KN246" s="544">
        <f t="shared" si="788"/>
        <v>2002</v>
      </c>
      <c r="KO246" s="541">
        <f t="shared" si="750"/>
        <v>8.3163059108673165E-2</v>
      </c>
      <c r="KP246" s="546">
        <f t="shared" si="751"/>
        <v>372.54359311178462</v>
      </c>
      <c r="KQ246" s="546">
        <f t="shared" si="752"/>
        <v>445.26922504693312</v>
      </c>
      <c r="KR246" s="548">
        <f t="shared" si="753"/>
        <v>3.5648549146494846</v>
      </c>
      <c r="KS246" s="548">
        <f t="shared" si="754"/>
        <v>2.9826086873300985</v>
      </c>
      <c r="KT246" s="473">
        <f t="shared" si="786"/>
        <v>528.59039248727379</v>
      </c>
      <c r="KU246" s="663">
        <f t="shared" si="776"/>
        <v>11.996106141790664</v>
      </c>
      <c r="KV246" s="117"/>
    </row>
    <row r="247" spans="1:308" s="26" customFormat="1" ht="15">
      <c r="A247" s="561">
        <f t="shared" si="755"/>
        <v>2047</v>
      </c>
      <c r="B247" s="561">
        <f t="shared" si="777"/>
        <v>47</v>
      </c>
      <c r="C247" s="561">
        <f t="shared" si="105"/>
        <v>2</v>
      </c>
      <c r="D247" s="561" t="str">
        <f t="shared" si="824"/>
        <v xml:space="preserve">250 CC, -360 Lease, </v>
      </c>
      <c r="E247" s="475">
        <f>INDEX(Input!$1:$1048576,E$93,$C247*2+MIN($B247,2)+5)
+INDEX(Scenarios!E$121:E$200,MATCH($B247,Scenarios!$B$121:$B$200,0))</f>
        <v>1500</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1.9E-2</v>
      </c>
      <c r="W247" s="863">
        <f>IFERROR(MAX(0,INDEX(Input!$1:$1048576,W$93,$C247*2+MIN($B247,2)+5)-0%,),"Market")</f>
        <v>3.9E-2</v>
      </c>
      <c r="X247" s="476" t="str">
        <f>INDEX(Input!$1:$1048576,X$93,$C247*2+MIN($B247,2)+5)</f>
        <v>Y</v>
      </c>
      <c r="Y247" s="475">
        <f>INDEX(Input!$1:$1048576,Y$93,$C247*2+MIN($B247,2)+5)
++INDEX(Scenarios!Y$121:Y$200,MATCH($B247,Scenarios!$B$121:$B$200,0))</f>
        <v>998</v>
      </c>
      <c r="Z247" s="477">
        <f>INDEX(Input!$1:$1048576,Z$93,$C247*2+MIN($B247,2)+5)
+INDEX(Scenarios!Z$121:Z$200,MATCH($B247,Scenarios!$B$121:$B$200,0))</f>
        <v>0</v>
      </c>
      <c r="AA247" s="475">
        <f>INDEX(Input!$1:$1048576,AA$93,$C247*2+MIN($B247,2)+5)</f>
        <v>0</v>
      </c>
      <c r="AB247" s="476">
        <f>INDEX(Input!$1:$1048576,AB$93,$C247*2+MIN($B247,2)+5)</f>
        <v>1</v>
      </c>
      <c r="AC247" s="475">
        <f>INDEX(Input!$1:$1048576,AC$93,$C247*2+MIN($B247,2)+5)
+INDEX(Scenarios!AC$121:AC$200,MATCH($B247,Scenarios!$B$121:$B$200,0))</f>
        <v>0</v>
      </c>
      <c r="AD247" s="476">
        <f>INDEX(Input!$1:$1048576,AD$93,$C247*2+MIN($B247,2)+5)</f>
        <v>0.35</v>
      </c>
      <c r="AE247" s="475">
        <f>INDEX(Input!$1:$1048576,AE$93,$C247*2+MIN($B247,2)+5)
+INDEX(Scenarios!AE$121:AE$200,MATCH($B247,Scenarios!$B$121:$B$200,0))</f>
        <v>0</v>
      </c>
      <c r="AF247" s="476">
        <f>INDEX(Input!$1:$1048576,AF$93,$C247*2+MIN($B247,2)+5)</f>
        <v>1</v>
      </c>
      <c r="AG247" s="475">
        <f>INDEX(Input!$1:$1048576,AG$93,$C247*2+MIN($B247,2)+5)
+INDEX(Scenarios!AG$121:AG$200,MATCH($B247,Scenarios!$B$121:$B$200,0))</f>
        <v>0</v>
      </c>
      <c r="AH247" s="476">
        <f>INDEX(Input!$1:$1048576,AH$93,$C247*2+MIN($B247,2)+5)</f>
        <v>1</v>
      </c>
      <c r="AI247" s="475">
        <f>INDEX(Input!$1:$1048576,AI$93,$C247*2+MIN($B247,2)+5)
+INDEX(Scenarios!AI$121:AI$200,MATCH($B247,Scenarios!$B$121:$B$200,0))</f>
        <v>0</v>
      </c>
      <c r="AJ247" s="476">
        <f>INDEX(Input!$1:$1048576,AJ$93,$C247*2+MIN($B247,2)+5)</f>
        <v>0.35</v>
      </c>
      <c r="AK247" s="150">
        <f>ROUND(INDEX(Input!$1:$1048576,AK$93,$C246*2+MIN($B247,1)+5)+(Y247-VLOOKUP($C247*1000+1,$A:$HH,Y$92,FALSE)),0)</f>
        <v>4622</v>
      </c>
      <c r="AL247" s="150">
        <f>ROUND(INDEX(Input!$1:$1048576,AL$93,$C246*2+MIN($B247,1)+5)-(Y247-VLOOKUP($C247*1000+1,$A:$HH,Y$92,FALSE))/36,0)</f>
        <v>5112</v>
      </c>
      <c r="AM247" s="32" t="str">
        <f t="shared" si="756"/>
        <v>std/std/std/std</v>
      </c>
      <c r="AN247" s="32" t="str">
        <f t="shared" si="757"/>
        <v>$0 + 0/0/0/1.9/3.9</v>
      </c>
      <c r="AO247" s="32" t="str">
        <f t="shared" si="758"/>
        <v>0/0/0/1.9/3.9</v>
      </c>
      <c r="AP247" s="32" t="str">
        <f t="shared" si="831"/>
        <v>0/0.9/1.9/3.9</v>
      </c>
      <c r="AQ247" s="536">
        <f t="shared" si="830"/>
        <v>0.38942680892131776</v>
      </c>
      <c r="AR247" s="32"/>
      <c r="AS247" s="302"/>
      <c r="AT247" s="3">
        <f t="shared" si="810"/>
        <v>47</v>
      </c>
      <c r="AU247" s="41" t="s">
        <v>121</v>
      </c>
      <c r="AV247" s="41" t="s">
        <v>116</v>
      </c>
      <c r="AW247" s="41" t="str">
        <f>INDEX(Input!$1:$1048576,AW$93,$C247*2+6)</f>
        <v>Kia</v>
      </c>
      <c r="AX247" s="41" t="str">
        <f>INDEX(Input!$1:$1048576,AX$93,$C247*2+6)</f>
        <v>Kia-LR - L2</v>
      </c>
      <c r="AY247" s="41" t="str">
        <f>IF(LEN(D247)=0,"",INDEX(Input!$1:$1048576,AY$93,$C247*2+6))</f>
        <v>Compact Conventional/Sporty Car (43)</v>
      </c>
      <c r="AZ247" s="41" t="str">
        <f>INDEX(Input!$1:$1048576,AZ$93,$C247*2+6)</f>
        <v>Kia Forte</v>
      </c>
      <c r="BA247" s="3">
        <f>INDEX(Input!$1:$1048576,BA$93,$C247*2+6)</f>
        <v>2020</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19695</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832"/>
        <v>1500</v>
      </c>
      <c r="CJ247" s="16" t="str">
        <f>INDEX(Input!$1:$1048576,CJ$93,$C247*2+6)</f>
        <v>N</v>
      </c>
      <c r="CK247" s="1" t="str">
        <f t="shared" si="833"/>
        <v>Market</v>
      </c>
      <c r="CL247" s="1" t="str">
        <f t="shared" si="834"/>
        <v>Market</v>
      </c>
      <c r="CM247" s="1" t="str">
        <f t="shared" si="835"/>
        <v>Market</v>
      </c>
      <c r="CN247" s="1" t="str">
        <f t="shared" si="836"/>
        <v>Market</v>
      </c>
      <c r="CO247" s="1" t="str">
        <f t="shared" si="837"/>
        <v>Market</v>
      </c>
      <c r="CP247" s="304">
        <f t="shared" si="838"/>
        <v>0</v>
      </c>
      <c r="CQ247" s="1">
        <f t="shared" si="839"/>
        <v>0</v>
      </c>
      <c r="CR247" s="1">
        <f t="shared" si="840"/>
        <v>0</v>
      </c>
      <c r="CS247" s="1">
        <f t="shared" si="841"/>
        <v>0</v>
      </c>
      <c r="CT247" s="1">
        <f t="shared" si="842"/>
        <v>1.9E-2</v>
      </c>
      <c r="CU247" s="1">
        <f t="shared" si="843"/>
        <v>3.9E-2</v>
      </c>
      <c r="CV247" s="304">
        <f t="shared" si="844"/>
        <v>998</v>
      </c>
      <c r="CW247" s="20" t="s">
        <v>122</v>
      </c>
      <c r="CX247" s="20" t="s">
        <v>122</v>
      </c>
      <c r="CY247" s="20" t="s">
        <v>122</v>
      </c>
      <c r="CZ247" s="20" t="s">
        <v>122</v>
      </c>
      <c r="DA247" s="20" t="s">
        <v>122</v>
      </c>
      <c r="DB247" s="503">
        <f t="shared" si="845"/>
        <v>0</v>
      </c>
      <c r="DC247" s="127">
        <v>0</v>
      </c>
      <c r="DD247" s="127">
        <v>0</v>
      </c>
      <c r="DE247" s="127">
        <v>0</v>
      </c>
      <c r="DF247" s="127">
        <v>0</v>
      </c>
      <c r="DG247" s="127">
        <v>0</v>
      </c>
      <c r="DH247" s="127">
        <v>0</v>
      </c>
      <c r="DI247" s="127">
        <v>0</v>
      </c>
      <c r="DJ247" s="127">
        <v>0</v>
      </c>
      <c r="DK247" s="127">
        <v>0</v>
      </c>
      <c r="DL247" s="127">
        <v>0</v>
      </c>
      <c r="DM247" s="304">
        <f>INDEX(Input!$1:$1048576,DM$93,$C247*2+6)</f>
        <v>20731.578947368424</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3.0081417469214382E-2</v>
      </c>
      <c r="DZ247" s="7">
        <v>0</v>
      </c>
      <c r="EA247" s="7">
        <v>0.61119694330620178</v>
      </c>
      <c r="EB247" s="7">
        <v>0</v>
      </c>
      <c r="EC247" s="7">
        <v>0</v>
      </c>
      <c r="ED247" s="7">
        <v>0</v>
      </c>
      <c r="EE247" s="7">
        <v>0</v>
      </c>
      <c r="EF247" s="7">
        <v>0</v>
      </c>
      <c r="EG247" s="7">
        <v>0</v>
      </c>
      <c r="EH247" s="7">
        <v>1.6208263757384767E-2</v>
      </c>
      <c r="EI247" s="7">
        <v>2.6479699297262082E-2</v>
      </c>
      <c r="EJ247" s="7">
        <v>0.26585286275879771</v>
      </c>
      <c r="EK247" s="7">
        <v>0.64350851035174617</v>
      </c>
      <c r="EL247" s="7">
        <v>4.7950663834809601E-2</v>
      </c>
      <c r="EM247" s="7">
        <v>3.6410629926878393E-2</v>
      </c>
      <c r="EN247" s="7">
        <v>4.8898540261114683E-2</v>
      </c>
      <c r="EO247" s="7">
        <v>0.56263720964427089</v>
      </c>
      <c r="EP247" s="7">
        <v>0.28433851565580043</v>
      </c>
      <c r="EQ247" s="7">
        <v>6.4859950629167704E-2</v>
      </c>
      <c r="ER247" s="7">
        <v>3.92657838096468E-2</v>
      </c>
      <c r="ES247" s="7">
        <v>0.32231100929770534</v>
      </c>
      <c r="ET247" s="7">
        <v>0.35872163922458383</v>
      </c>
      <c r="EU247" s="6">
        <v>1850</v>
      </c>
      <c r="EV247" s="6">
        <v>0</v>
      </c>
      <c r="EW247" s="6">
        <v>1850</v>
      </c>
      <c r="EX247" s="6">
        <v>0</v>
      </c>
      <c r="EY247" s="6">
        <v>2626.8427172807478</v>
      </c>
      <c r="EZ247" s="6">
        <v>1751</v>
      </c>
      <c r="FA247" s="6">
        <v>0</v>
      </c>
      <c r="FB247" s="6">
        <v>0</v>
      </c>
      <c r="FC247" s="6">
        <v>0</v>
      </c>
      <c r="FD247" s="6">
        <v>0</v>
      </c>
      <c r="FE247" s="6">
        <v>0</v>
      </c>
      <c r="FF247" s="6">
        <v>0</v>
      </c>
      <c r="FG247" s="6">
        <v>0</v>
      </c>
      <c r="FH247" s="6">
        <v>1154.7795433226413</v>
      </c>
      <c r="FI247" s="6">
        <v>1531.4299904380614</v>
      </c>
      <c r="FJ247" s="6">
        <v>2070.7205842538206</v>
      </c>
      <c r="FK247" s="6">
        <v>1746.9903521590438</v>
      </c>
      <c r="FL247" s="6">
        <v>893.91433563489329</v>
      </c>
      <c r="FM247" s="6">
        <v>1776.8427172807476</v>
      </c>
      <c r="FN247" s="6">
        <v>0</v>
      </c>
      <c r="FO247" s="6">
        <v>0</v>
      </c>
      <c r="FP247" s="6">
        <v>0</v>
      </c>
      <c r="FQ247" s="6">
        <v>0</v>
      </c>
      <c r="FR247" s="6">
        <v>0</v>
      </c>
      <c r="FS247" s="6">
        <v>0</v>
      </c>
      <c r="FT247" s="7">
        <v>0.64127836077541611</v>
      </c>
      <c r="FU247" s="7">
        <v>3.6410629926878393E-2</v>
      </c>
      <c r="FV247" s="7">
        <v>0.32231100929770534</v>
      </c>
      <c r="FW247" s="6">
        <v>1850.0000000000002</v>
      </c>
      <c r="FX247" s="6">
        <v>2626.8427172807478</v>
      </c>
      <c r="FY247" s="6">
        <v>1751</v>
      </c>
      <c r="FZ247" s="6">
        <v>2594.6978186474794</v>
      </c>
      <c r="GA247" s="6">
        <v>1846.3765427698268</v>
      </c>
      <c r="GB247" s="6">
        <v>17848.623457230173</v>
      </c>
      <c r="GC247" s="7">
        <v>9.6947029492584935E-2</v>
      </c>
      <c r="GD247" s="7">
        <v>8.9530950114417085E-2</v>
      </c>
      <c r="GE247" s="7"/>
      <c r="GF247" s="7"/>
      <c r="GG247" s="7">
        <v>-7.6496200213489518E-2</v>
      </c>
      <c r="GH247" s="42">
        <v>2.0132965769785192</v>
      </c>
      <c r="GI247" s="6">
        <v>11628.839904207376</v>
      </c>
      <c r="GJ247" s="14">
        <v>0.5107463060103955</v>
      </c>
      <c r="GK247" s="14">
        <v>0.50829519786160948</v>
      </c>
      <c r="GL247" s="14">
        <v>0.48925369398960383</v>
      </c>
      <c r="GM247" s="14">
        <v>0.4917048021383903</v>
      </c>
      <c r="GO247" s="5">
        <v>338.16872463277008</v>
      </c>
      <c r="GP247" s="5">
        <v>302.87425392274076</v>
      </c>
      <c r="GQ247" s="5">
        <v>527.27910984145694</v>
      </c>
      <c r="GR247" s="5">
        <v>404.20319246551543</v>
      </c>
      <c r="GS247" s="5">
        <v>334.50205195691484</v>
      </c>
      <c r="GT247" s="5">
        <v>289.18266033348181</v>
      </c>
      <c r="GU247" s="5">
        <v>254.29573314828914</v>
      </c>
      <c r="GV247" s="39" t="s">
        <v>392</v>
      </c>
      <c r="GW247" s="5">
        <v>468.76388888888891</v>
      </c>
      <c r="GX247" s="5">
        <v>351.57291666666669</v>
      </c>
      <c r="GY247" s="5">
        <v>281.25833333333333</v>
      </c>
      <c r="GZ247" s="5">
        <v>248.18079879493993</v>
      </c>
      <c r="HA247" s="5">
        <v>229.89195052129486</v>
      </c>
      <c r="HB247" s="39">
        <v>262.4106547250916</v>
      </c>
      <c r="HC247" s="5">
        <v>206.50937499999998</v>
      </c>
      <c r="HD247" s="5">
        <v>184.03879751461983</v>
      </c>
      <c r="HE247" s="5">
        <v>188.92093033063426</v>
      </c>
      <c r="HF247" s="5">
        <v>177.21129934210524</v>
      </c>
      <c r="HG247" s="5">
        <v>174.01410087719296</v>
      </c>
      <c r="HH247" s="39">
        <v>185.68929558530678</v>
      </c>
      <c r="HI247" s="16"/>
      <c r="HJ247" s="19" t="str">
        <f t="shared" si="850"/>
        <v>On</v>
      </c>
      <c r="HK247" s="1" t="str">
        <f t="shared" si="850"/>
        <v>On</v>
      </c>
      <c r="HL247" s="16"/>
      <c r="HM247" s="639">
        <f t="shared" si="727"/>
        <v>5.0961701597560354E-2</v>
      </c>
      <c r="HN247" s="639">
        <f t="shared" si="728"/>
        <v>3.112551654761847E-3</v>
      </c>
      <c r="HO247" s="639">
        <f t="shared" si="729"/>
        <v>3.1163314184693442E-2</v>
      </c>
      <c r="HP247" s="644">
        <f>(FT247*$GD247-HM247)/$JF247*INDEX(Input!$1:$1048576,$JG$93,$C247*2+6)</f>
        <v>121.19711764099483</v>
      </c>
      <c r="HQ247" s="644">
        <f>(FU247*$GD247-HN247)/$JF247*INDEX(Input!$1:$1048576,$JG$93,$C247*2+6)</f>
        <v>2.7672064407604493</v>
      </c>
      <c r="HR247" s="644">
        <f>(FV247*$GD247-HO247)/$JF247*INDEX(Input!$1:$1048576,$JG$93,$C247*2+6)</f>
        <v>-43.322585078599737</v>
      </c>
      <c r="HS247" s="644">
        <f t="shared" si="851"/>
        <v>-13.358111970390647</v>
      </c>
      <c r="HT247" s="644">
        <f t="shared" si="731"/>
        <v>28.658898819056592</v>
      </c>
      <c r="HU247" s="644">
        <f t="shared" si="732"/>
        <v>5.1462633268617779</v>
      </c>
      <c r="HV247" s="648">
        <f t="shared" si="733"/>
        <v>0</v>
      </c>
      <c r="HW247" s="648">
        <f t="shared" si="734"/>
        <v>0</v>
      </c>
      <c r="HX247" s="648">
        <f t="shared" si="735"/>
        <v>0</v>
      </c>
      <c r="HY247" s="644">
        <f>INDEX(Input!$1:$1048576,HY$93,$C247*2+6)*INDEX(Input!$1:$1048576,$JG$93,$C247*2+6)</f>
        <v>555</v>
      </c>
      <c r="HZ247" s="644">
        <f>INDEX(Input!$1:$1048576,HZ$93,$C247*2+6)*INDEX(Input!$1:$1048576,$JG$93,$C247*2+6)</f>
        <v>480</v>
      </c>
      <c r="IA247" s="644">
        <f>INDEX(Input!$1:$1048576,IA$93,$C247*2+6)*INDEX(Input!$1:$1048576,$JG$93,$C247*2+6)</f>
        <v>566</v>
      </c>
      <c r="IB247" s="644">
        <f t="shared" si="759"/>
        <v>662.83900567060414</v>
      </c>
      <c r="IC247" s="644">
        <f t="shared" si="760"/>
        <v>511.42610525981706</v>
      </c>
      <c r="ID247" s="644">
        <f>IF(AND(INDEX(Input!$1:$1048576,IA$93,$C247*2+7)="TOS",Y247&lt;=INDEX(Y:Y,MATCH(C247*1000+2,A:A))),0,1)*MAX(IA247+HR247+HU247+HX247,0%)</f>
        <v>527.82367824826201</v>
      </c>
      <c r="IE247" s="128">
        <f t="shared" si="856"/>
        <v>0.38942680892131776</v>
      </c>
      <c r="IF247" s="128">
        <f t="shared" si="736"/>
        <v>0.30046969847360189</v>
      </c>
      <c r="IG247" s="128">
        <f t="shared" si="737"/>
        <v>0.31010349260508041</v>
      </c>
      <c r="IH247" s="21"/>
      <c r="II247" s="19">
        <f t="shared" si="738"/>
        <v>1200</v>
      </c>
      <c r="IJ247" s="19">
        <f t="shared" si="739"/>
        <v>2226.7968732767699</v>
      </c>
      <c r="IK247" s="19">
        <f t="shared" si="740"/>
        <v>1786</v>
      </c>
      <c r="IL247" s="19">
        <f t="shared" si="762"/>
        <v>650.00000000000023</v>
      </c>
      <c r="IM247" s="19">
        <f t="shared" si="741"/>
        <v>400.04584400397789</v>
      </c>
      <c r="IN247" s="19">
        <f t="shared" si="742"/>
        <v>-35</v>
      </c>
      <c r="IO247" s="39">
        <f t="shared" si="743"/>
        <v>0</v>
      </c>
      <c r="IP247" s="39">
        <f t="shared" si="744"/>
        <v>0</v>
      </c>
      <c r="IQ247" s="39">
        <f t="shared" si="745"/>
        <v>0</v>
      </c>
      <c r="IR247" s="39">
        <v>0</v>
      </c>
      <c r="IS247" s="39">
        <v>0</v>
      </c>
      <c r="IT247" s="39">
        <v>0</v>
      </c>
      <c r="IU247" s="39">
        <v>0</v>
      </c>
      <c r="IV247" s="39">
        <v>0</v>
      </c>
      <c r="IW247" s="39">
        <v>0</v>
      </c>
      <c r="IX247" s="39">
        <f>INDEX(Input!$1:$1048576,IX$93,$C247*2+6)+INDEX(Input!$1:$1048576,IX$94,$C247*2+6)</f>
        <v>1600</v>
      </c>
      <c r="IY247" s="39">
        <f>INDEX(Input!$1:$1048576,IY$93,$C247*2+6)+INDEX(Input!$1:$1048576,IY$94,$C247*2+6)</f>
        <v>2503.5492916397525</v>
      </c>
      <c r="IZ247" s="39">
        <f>INDEX(Input!$1:$1048576,IZ$93,$C247*2+6)+INDEX(Input!$1:$1048576,IZ$94,$C247*2+6)</f>
        <v>5773.7109265464023</v>
      </c>
      <c r="JA247" s="19">
        <f t="shared" si="763"/>
        <v>2250</v>
      </c>
      <c r="JB247" s="19">
        <f t="shared" si="764"/>
        <v>2903.5951356437304</v>
      </c>
      <c r="JC247" s="19">
        <f t="shared" si="765"/>
        <v>5738.7109265464023</v>
      </c>
      <c r="JD247" s="19">
        <f t="shared" si="766"/>
        <v>3528.2469763422305</v>
      </c>
      <c r="JE247" s="21"/>
      <c r="JF247" s="1">
        <f t="shared" si="746"/>
        <v>8.5237567437015646E-2</v>
      </c>
      <c r="JG247" s="15">
        <f>INDEX(Input!$1:$1048576,JG$93,$C247*2+6)/(1+VLOOKUP(C247*1000+INDEX(Input!$1:$1048576,JG$93+1,$C247*2+6),$A:$KK,$JK$92,FALSE))</f>
        <v>1601</v>
      </c>
      <c r="JH247" s="1">
        <f t="shared" si="767"/>
        <v>5.0369605873301408E-2</v>
      </c>
      <c r="JI247" s="1">
        <f t="shared" si="768"/>
        <v>1.2771424219567597E-2</v>
      </c>
      <c r="JJ247" s="1">
        <f t="shared" si="828"/>
        <v>0</v>
      </c>
      <c r="JK247" s="1">
        <f t="shared" si="829"/>
        <v>6.3141030092869005E-2</v>
      </c>
      <c r="JL247" s="15">
        <f t="shared" si="771"/>
        <v>101.08878917868327</v>
      </c>
      <c r="JM247" s="15">
        <f t="shared" si="795"/>
        <v>1702.0887891786833</v>
      </c>
      <c r="JN247" s="21"/>
      <c r="JO247" s="19">
        <f>INDEX(Input!$1:$1048576,JO$93,$C247*2+6)</f>
        <v>5908.5</v>
      </c>
      <c r="JP247" s="19">
        <f>INDEX(Input!$1:$1048576,JP$93,$C247*2+6)</f>
        <v>3346.4235130620518</v>
      </c>
      <c r="JQ247" s="39">
        <f t="shared" si="781"/>
        <v>2380.2530236577695</v>
      </c>
      <c r="JR247" s="39">
        <f t="shared" si="798"/>
        <v>181.82346328017866</v>
      </c>
      <c r="JS247" s="39">
        <f t="shared" si="783"/>
        <v>6.0053896238856979</v>
      </c>
      <c r="JT247" s="39">
        <f t="shared" si="773"/>
        <v>0.647765579473353</v>
      </c>
      <c r="JU247" s="385">
        <f>(JQ247*JM247-INDEX(Input!$1:$1048576,Input!A$18,$C247*2+6)*JL247*INDEX(Input!$1:$1048576,Input!A$19,$C247*2+6))/1000000</f>
        <v>4.0514019869765532</v>
      </c>
      <c r="JV247" s="39">
        <f t="shared" si="805"/>
        <v>-5.0482468611101616E-2</v>
      </c>
      <c r="JW247" s="1">
        <f t="shared" si="796"/>
        <v>-1.2307140573482894E-2</v>
      </c>
      <c r="JX247" s="19">
        <f t="shared" si="787"/>
        <v>6407.8874100309058</v>
      </c>
      <c r="JZ247" s="341"/>
      <c r="KA247" s="342"/>
      <c r="KB247" s="469">
        <f t="shared" si="784"/>
        <v>2.4482969984810516</v>
      </c>
      <c r="KI247" s="473">
        <f t="shared" si="853"/>
        <v>107.83900567060425</v>
      </c>
      <c r="KJ247" s="473">
        <f t="shared" si="854"/>
        <v>31.42610525981712</v>
      </c>
      <c r="KK247" s="473">
        <f t="shared" si="775"/>
        <v>-38.176321751737873</v>
      </c>
      <c r="KN247" s="544">
        <f t="shared" si="788"/>
        <v>2002</v>
      </c>
      <c r="KO247" s="541">
        <f t="shared" si="750"/>
        <v>-1.485744575502268E-2</v>
      </c>
      <c r="KP247" s="546">
        <f t="shared" si="751"/>
        <v>-14.270610597326922</v>
      </c>
      <c r="KQ247" s="546">
        <f t="shared" si="752"/>
        <v>-197.35659861430804</v>
      </c>
      <c r="KR247" s="548">
        <f t="shared" si="753"/>
        <v>16.626088947446942</v>
      </c>
      <c r="KS247" s="548">
        <f t="shared" si="754"/>
        <v>1.2022118479515336</v>
      </c>
      <c r="KT247" s="473">
        <f t="shared" si="786"/>
        <v>528.59039248727379</v>
      </c>
      <c r="KU247" s="663">
        <f t="shared" si="776"/>
        <v>12.392584519587095</v>
      </c>
      <c r="KV247" s="117"/>
    </row>
    <row r="248" spans="1:308" s="26" customFormat="1" ht="15">
      <c r="A248" s="561">
        <f t="shared" si="755"/>
        <v>2048</v>
      </c>
      <c r="B248" s="561">
        <f t="shared" si="777"/>
        <v>48</v>
      </c>
      <c r="C248" s="561">
        <f t="shared" ref="C248:C300" si="857">C247</f>
        <v>2</v>
      </c>
      <c r="D248" s="561" t="str">
        <f t="shared" si="824"/>
        <v xml:space="preserve">500 CC, -360 Lease, </v>
      </c>
      <c r="E248" s="475">
        <f>INDEX(Input!$1:$1048576,E$93,$C248*2+MIN($B248,2)+5)
+INDEX(Scenarios!E$121:E$200,MATCH($B248,Scenarios!$B$121:$B$200,0))</f>
        <v>1750</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1.9E-2</v>
      </c>
      <c r="W248" s="863">
        <f>IFERROR(MAX(0,INDEX(Input!$1:$1048576,W$93,$C248*2+MIN($B248,2)+5)-0%,),"Market")</f>
        <v>3.9E-2</v>
      </c>
      <c r="X248" s="476" t="str">
        <f>INDEX(Input!$1:$1048576,X$93,$C248*2+MIN($B248,2)+5)</f>
        <v>Y</v>
      </c>
      <c r="Y248" s="475">
        <f>INDEX(Input!$1:$1048576,Y$93,$C248*2+MIN($B248,2)+5)
++INDEX(Scenarios!Y$121:Y$200,MATCH($B248,Scenarios!$B$121:$B$200,0))</f>
        <v>998</v>
      </c>
      <c r="Z248" s="477">
        <f>INDEX(Input!$1:$1048576,Z$93,$C248*2+MIN($B248,2)+5)
+INDEX(Scenarios!Z$121:Z$200,MATCH($B248,Scenarios!$B$121:$B$200,0))</f>
        <v>0</v>
      </c>
      <c r="AA248" s="475">
        <f>INDEX(Input!$1:$1048576,AA$93,$C248*2+MIN($B248,2)+5)</f>
        <v>0</v>
      </c>
      <c r="AB248" s="476">
        <f>INDEX(Input!$1:$1048576,AB$93,$C248*2+MIN($B248,2)+5)</f>
        <v>1</v>
      </c>
      <c r="AC248" s="475">
        <f>INDEX(Input!$1:$1048576,AC$93,$C248*2+MIN($B248,2)+5)
+INDEX(Scenarios!AC$121:AC$200,MATCH($B248,Scenarios!$B$121:$B$200,0))</f>
        <v>0</v>
      </c>
      <c r="AD248" s="476">
        <f>INDEX(Input!$1:$1048576,AD$93,$C248*2+MIN($B248,2)+5)</f>
        <v>0.35</v>
      </c>
      <c r="AE248" s="475">
        <f>INDEX(Input!$1:$1048576,AE$93,$C248*2+MIN($B248,2)+5)
+INDEX(Scenarios!AE$121:AE$200,MATCH($B248,Scenarios!$B$121:$B$200,0))</f>
        <v>0</v>
      </c>
      <c r="AF248" s="476">
        <f>INDEX(Input!$1:$1048576,AF$93,$C248*2+MIN($B248,2)+5)</f>
        <v>1</v>
      </c>
      <c r="AG248" s="475">
        <f>INDEX(Input!$1:$1048576,AG$93,$C248*2+MIN($B248,2)+5)
+INDEX(Scenarios!AG$121:AG$200,MATCH($B248,Scenarios!$B$121:$B$200,0))</f>
        <v>0</v>
      </c>
      <c r="AH248" s="476">
        <f>INDEX(Input!$1:$1048576,AH$93,$C248*2+MIN($B248,2)+5)</f>
        <v>1</v>
      </c>
      <c r="AI248" s="475">
        <f>INDEX(Input!$1:$1048576,AI$93,$C248*2+MIN($B248,2)+5)
+INDEX(Scenarios!AI$121:AI$200,MATCH($B248,Scenarios!$B$121:$B$200,0))</f>
        <v>0</v>
      </c>
      <c r="AJ248" s="476">
        <f>INDEX(Input!$1:$1048576,AJ$93,$C248*2+MIN($B248,2)+5)</f>
        <v>0.35</v>
      </c>
      <c r="AK248" s="150">
        <f>ROUND(INDEX(Input!$1:$1048576,AK$93,$C247*2+MIN($B248,1)+5)+(Y248-VLOOKUP($C248*1000+1,$A:$HH,Y$92,FALSE)),0)</f>
        <v>4622</v>
      </c>
      <c r="AL248" s="150">
        <f>ROUND(INDEX(Input!$1:$1048576,AL$93,$C247*2+MIN($B248,1)+5)-(Y248-VLOOKUP($C248*1000+1,$A:$HH,Y$92,FALSE))/36,0)</f>
        <v>5112</v>
      </c>
      <c r="AM248" s="32" t="str">
        <f t="shared" si="756"/>
        <v>std/std/std/std</v>
      </c>
      <c r="AN248" s="32" t="str">
        <f t="shared" si="757"/>
        <v>$0 + 0/0/0/1.9/3.9</v>
      </c>
      <c r="AO248" s="32" t="str">
        <f t="shared" si="758"/>
        <v>0/0/0/1.9/3.9</v>
      </c>
      <c r="AP248" s="32" t="str">
        <f t="shared" si="831"/>
        <v>0/0.9/1.9/3.9</v>
      </c>
      <c r="AQ248" s="536">
        <f t="shared" si="830"/>
        <v>0.40880630912344479</v>
      </c>
      <c r="AR248" s="32"/>
      <c r="AS248" s="302"/>
      <c r="AT248" s="3">
        <f t="shared" si="810"/>
        <v>48</v>
      </c>
      <c r="AU248" s="41" t="s">
        <v>121</v>
      </c>
      <c r="AV248" s="41" t="s">
        <v>116</v>
      </c>
      <c r="AW248" s="41" t="str">
        <f>INDEX(Input!$1:$1048576,AW$93,$C248*2+6)</f>
        <v>Kia</v>
      </c>
      <c r="AX248" s="41" t="str">
        <f>INDEX(Input!$1:$1048576,AX$93,$C248*2+6)</f>
        <v>Kia-LR - L2</v>
      </c>
      <c r="AY248" s="41" t="str">
        <f>IF(LEN(D248)=0,"",INDEX(Input!$1:$1048576,AY$93,$C248*2+6))</f>
        <v>Compact Conventional/Sporty Car (43)</v>
      </c>
      <c r="AZ248" s="41" t="str">
        <f>INDEX(Input!$1:$1048576,AZ$93,$C248*2+6)</f>
        <v>Kia Forte</v>
      </c>
      <c r="BA248" s="3">
        <f>INDEX(Input!$1:$1048576,BA$93,$C248*2+6)</f>
        <v>2020</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19695</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832"/>
        <v>1750</v>
      </c>
      <c r="CJ248" s="16" t="str">
        <f>INDEX(Input!$1:$1048576,CJ$93,$C248*2+6)</f>
        <v>N</v>
      </c>
      <c r="CK248" s="1" t="str">
        <f t="shared" si="833"/>
        <v>Market</v>
      </c>
      <c r="CL248" s="1" t="str">
        <f t="shared" si="834"/>
        <v>Market</v>
      </c>
      <c r="CM248" s="1" t="str">
        <f t="shared" si="835"/>
        <v>Market</v>
      </c>
      <c r="CN248" s="1" t="str">
        <f t="shared" si="836"/>
        <v>Market</v>
      </c>
      <c r="CO248" s="1" t="str">
        <f t="shared" si="837"/>
        <v>Market</v>
      </c>
      <c r="CP248" s="304">
        <f t="shared" si="838"/>
        <v>0</v>
      </c>
      <c r="CQ248" s="1">
        <f t="shared" si="839"/>
        <v>0</v>
      </c>
      <c r="CR248" s="1">
        <f t="shared" si="840"/>
        <v>0</v>
      </c>
      <c r="CS248" s="1">
        <f t="shared" si="841"/>
        <v>0</v>
      </c>
      <c r="CT248" s="1">
        <f t="shared" si="842"/>
        <v>1.9E-2</v>
      </c>
      <c r="CU248" s="1">
        <f t="shared" si="843"/>
        <v>3.9E-2</v>
      </c>
      <c r="CV248" s="304">
        <f t="shared" si="844"/>
        <v>998</v>
      </c>
      <c r="CW248" s="20" t="s">
        <v>122</v>
      </c>
      <c r="CX248" s="20" t="s">
        <v>122</v>
      </c>
      <c r="CY248" s="20" t="s">
        <v>122</v>
      </c>
      <c r="CZ248" s="20" t="s">
        <v>122</v>
      </c>
      <c r="DA248" s="20" t="s">
        <v>122</v>
      </c>
      <c r="DB248" s="503">
        <f t="shared" si="845"/>
        <v>0</v>
      </c>
      <c r="DC248" s="127">
        <v>0</v>
      </c>
      <c r="DD248" s="127">
        <v>0</v>
      </c>
      <c r="DE248" s="127">
        <v>0</v>
      </c>
      <c r="DF248" s="127">
        <v>0</v>
      </c>
      <c r="DG248" s="127">
        <v>0</v>
      </c>
      <c r="DH248" s="127">
        <v>0</v>
      </c>
      <c r="DI248" s="127">
        <v>0</v>
      </c>
      <c r="DJ248" s="127">
        <v>0</v>
      </c>
      <c r="DK248" s="127">
        <v>0</v>
      </c>
      <c r="DL248" s="127">
        <v>0</v>
      </c>
      <c r="DM248" s="304">
        <f>INDEX(Input!$1:$1048576,DM$93,$C248*2+6)</f>
        <v>20731.578947368424</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3.0963458910134099E-2</v>
      </c>
      <c r="DZ248" s="7">
        <v>0</v>
      </c>
      <c r="EA248" s="7">
        <v>0.62675628703805719</v>
      </c>
      <c r="EB248" s="7">
        <v>0</v>
      </c>
      <c r="EC248" s="7">
        <v>0</v>
      </c>
      <c r="ED248" s="7">
        <v>0</v>
      </c>
      <c r="EE248" s="7">
        <v>0</v>
      </c>
      <c r="EF248" s="7">
        <v>0</v>
      </c>
      <c r="EG248" s="7">
        <v>0</v>
      </c>
      <c r="EH248" s="7">
        <v>1.6213941263324521E-2</v>
      </c>
      <c r="EI248" s="7">
        <v>2.6491835625181474E-2</v>
      </c>
      <c r="EJ248" s="7">
        <v>0.26591358636225843</v>
      </c>
      <c r="EK248" s="7">
        <v>0.64343214133543614</v>
      </c>
      <c r="EL248" s="7">
        <v>4.7948495413799024E-2</v>
      </c>
      <c r="EM248" s="7">
        <v>3.4702662133592854E-2</v>
      </c>
      <c r="EN248" s="7">
        <v>4.8893608851422569E-2</v>
      </c>
      <c r="EO248" s="7">
        <v>0.56261524563594445</v>
      </c>
      <c r="EP248" s="7">
        <v>0.28436190514451265</v>
      </c>
      <c r="EQ248" s="7">
        <v>6.4854088861605763E-2</v>
      </c>
      <c r="ER248" s="7">
        <v>3.9275151506514082E-2</v>
      </c>
      <c r="ES248" s="7">
        <v>0.30757759191821576</v>
      </c>
      <c r="ET248" s="7">
        <v>0.34228025405180867</v>
      </c>
      <c r="EU248" s="6">
        <v>2100</v>
      </c>
      <c r="EV248" s="6">
        <v>0</v>
      </c>
      <c r="EW248" s="6">
        <v>2100</v>
      </c>
      <c r="EX248" s="6">
        <v>0</v>
      </c>
      <c r="EY248" s="6">
        <v>2626.8582273538282</v>
      </c>
      <c r="EZ248" s="6">
        <v>1751</v>
      </c>
      <c r="FA248" s="6">
        <v>0</v>
      </c>
      <c r="FB248" s="6">
        <v>0</v>
      </c>
      <c r="FC248" s="6">
        <v>0</v>
      </c>
      <c r="FD248" s="6">
        <v>0</v>
      </c>
      <c r="FE248" s="6">
        <v>0</v>
      </c>
      <c r="FF248" s="6">
        <v>0</v>
      </c>
      <c r="FG248" s="6">
        <v>0</v>
      </c>
      <c r="FH248" s="6">
        <v>1154.7783450021868</v>
      </c>
      <c r="FI248" s="6">
        <v>1531.4299904380621</v>
      </c>
      <c r="FJ248" s="6">
        <v>2070.7205842538224</v>
      </c>
      <c r="FK248" s="6">
        <v>1746.9903521590438</v>
      </c>
      <c r="FL248" s="6">
        <v>893.91433563489375</v>
      </c>
      <c r="FM248" s="6">
        <v>1776.8582273538282</v>
      </c>
      <c r="FN248" s="6">
        <v>0</v>
      </c>
      <c r="FO248" s="6">
        <v>0</v>
      </c>
      <c r="FP248" s="6">
        <v>0</v>
      </c>
      <c r="FQ248" s="6">
        <v>0</v>
      </c>
      <c r="FR248" s="6">
        <v>0</v>
      </c>
      <c r="FS248" s="6">
        <v>0</v>
      </c>
      <c r="FT248" s="7">
        <v>0.65771974594819127</v>
      </c>
      <c r="FU248" s="7">
        <v>3.4702662133592854E-2</v>
      </c>
      <c r="FV248" s="7">
        <v>0.30757759191821576</v>
      </c>
      <c r="FW248" s="6">
        <v>2100</v>
      </c>
      <c r="FX248" s="6">
        <v>2626.8582273538282</v>
      </c>
      <c r="FY248" s="6">
        <v>1751</v>
      </c>
      <c r="FZ248" s="6">
        <v>2594.6978186474794</v>
      </c>
      <c r="GA248" s="6">
        <v>2010.9388034767062</v>
      </c>
      <c r="GB248" s="6">
        <v>17684.061196523293</v>
      </c>
      <c r="GC248" s="7">
        <v>9.6947029492584935E-2</v>
      </c>
      <c r="GD248" s="7">
        <v>9.1309058927634648E-2</v>
      </c>
      <c r="GE248" s="7"/>
      <c r="GF248" s="7"/>
      <c r="GG248" s="7">
        <v>-5.8155165707078328E-2</v>
      </c>
      <c r="GH248" s="42">
        <v>1.9620527629296511</v>
      </c>
      <c r="GI248" s="6">
        <v>12048.895158224415</v>
      </c>
      <c r="GJ248" s="14">
        <v>0.51074630601039561</v>
      </c>
      <c r="GK248" s="14">
        <v>0.50829519786160993</v>
      </c>
      <c r="GL248" s="14">
        <v>0.4892536939896045</v>
      </c>
      <c r="GM248" s="14">
        <v>0.4917048021383903</v>
      </c>
      <c r="GO248" s="5">
        <v>338.16872463277008</v>
      </c>
      <c r="GP248" s="5">
        <v>298.1047308538179</v>
      </c>
      <c r="GQ248" s="5">
        <v>527.27910984145694</v>
      </c>
      <c r="GR248" s="5">
        <v>404.20319246551543</v>
      </c>
      <c r="GS248" s="5">
        <v>334.50205195691484</v>
      </c>
      <c r="GT248" s="5">
        <v>289.18266033348181</v>
      </c>
      <c r="GU248" s="5">
        <v>254.29573314828914</v>
      </c>
      <c r="GV248" s="39" t="s">
        <v>392</v>
      </c>
      <c r="GW248" s="5">
        <v>468.76388888888891</v>
      </c>
      <c r="GX248" s="5">
        <v>351.57291666666669</v>
      </c>
      <c r="GY248" s="5">
        <v>281.25833333333333</v>
      </c>
      <c r="GZ248" s="5">
        <v>248.18079879493993</v>
      </c>
      <c r="HA248" s="5">
        <v>229.89195052129486</v>
      </c>
      <c r="HB248" s="39">
        <v>262.41521013255601</v>
      </c>
      <c r="HC248" s="5">
        <v>206.50937499999998</v>
      </c>
      <c r="HD248" s="5">
        <v>184.03879751461983</v>
      </c>
      <c r="HE248" s="5">
        <v>188.92093033063426</v>
      </c>
      <c r="HF248" s="5">
        <v>177.21129934210524</v>
      </c>
      <c r="HG248" s="5">
        <v>174.01410087719296</v>
      </c>
      <c r="HH248" s="39">
        <v>185.68924507716142</v>
      </c>
      <c r="HI248" s="16"/>
      <c r="HJ248" s="19" t="str">
        <f t="shared" si="850"/>
        <v>On</v>
      </c>
      <c r="HK248" s="1" t="str">
        <f t="shared" si="850"/>
        <v>On</v>
      </c>
      <c r="HL248" s="16"/>
      <c r="HM248" s="639">
        <f t="shared" si="727"/>
        <v>5.0961701597560354E-2</v>
      </c>
      <c r="HN248" s="639">
        <f t="shared" si="728"/>
        <v>3.112551654761847E-3</v>
      </c>
      <c r="HO248" s="639">
        <f t="shared" si="729"/>
        <v>3.1163314184693442E-2</v>
      </c>
      <c r="HP248" s="644">
        <f>(FT248*$GD248-HM248)/$JF248*INDEX(Input!$1:$1048576,$JG$93,$C248*2+6)</f>
        <v>170.81206815467456</v>
      </c>
      <c r="HQ248" s="644">
        <f>(FU248*$GD248-HN248)/$JF248*INDEX(Input!$1:$1048576,$JG$93,$C248*2+6)</f>
        <v>1.0540111076915895</v>
      </c>
      <c r="HR248" s="644">
        <f>(FV248*$GD248-HO248)/$JF248*INDEX(Input!$1:$1048576,$JG$93,$C248*2+6)</f>
        <v>-57.826481831764646</v>
      </c>
      <c r="HS248" s="644">
        <f t="shared" si="851"/>
        <v>-18.391126868941946</v>
      </c>
      <c r="HT248" s="644">
        <f t="shared" si="731"/>
        <v>25.747420831050366</v>
      </c>
      <c r="HU248" s="644">
        <f t="shared" si="732"/>
        <v>8.0591566288628957</v>
      </c>
      <c r="HV248" s="648">
        <f t="shared" si="733"/>
        <v>0</v>
      </c>
      <c r="HW248" s="648">
        <f t="shared" si="734"/>
        <v>0</v>
      </c>
      <c r="HX248" s="648">
        <f t="shared" si="735"/>
        <v>0</v>
      </c>
      <c r="HY248" s="644">
        <f>INDEX(Input!$1:$1048576,HY$93,$C248*2+6)*INDEX(Input!$1:$1048576,$JG$93,$C248*2+6)</f>
        <v>555</v>
      </c>
      <c r="HZ248" s="644">
        <f>INDEX(Input!$1:$1048576,HZ$93,$C248*2+6)*INDEX(Input!$1:$1048576,$JG$93,$C248*2+6)</f>
        <v>480</v>
      </c>
      <c r="IA248" s="644">
        <f>INDEX(Input!$1:$1048576,IA$93,$C248*2+6)*INDEX(Input!$1:$1048576,$JG$93,$C248*2+6)</f>
        <v>566</v>
      </c>
      <c r="IB248" s="644">
        <f t="shared" si="759"/>
        <v>707.42094128573262</v>
      </c>
      <c r="IC248" s="644">
        <f t="shared" si="760"/>
        <v>506.80143193874193</v>
      </c>
      <c r="ID248" s="644">
        <f>IF(AND(INDEX(Input!$1:$1048576,IA$93,$C248*2+7)="TOS",Y248&lt;=INDEX(Y:Y,MATCH(C248*1000+2,A:A))),0,1)*MAX(IA248+HR248+HU248+HX248,0%)</f>
        <v>516.2326747970983</v>
      </c>
      <c r="IE248" s="128">
        <f t="shared" si="856"/>
        <v>0.40880630912344479</v>
      </c>
      <c r="IF248" s="128">
        <f t="shared" si="736"/>
        <v>0.29287176949101762</v>
      </c>
      <c r="IG248" s="128">
        <f t="shared" si="737"/>
        <v>0.29832192138553759</v>
      </c>
      <c r="IH248" s="21"/>
      <c r="II248" s="19">
        <f t="shared" si="738"/>
        <v>1200</v>
      </c>
      <c r="IJ248" s="19">
        <f t="shared" si="739"/>
        <v>2226.7968732767699</v>
      </c>
      <c r="IK248" s="19">
        <f t="shared" si="740"/>
        <v>1786</v>
      </c>
      <c r="IL248" s="19">
        <f t="shared" si="762"/>
        <v>900</v>
      </c>
      <c r="IM248" s="19">
        <f t="shared" si="741"/>
        <v>400.06135407705824</v>
      </c>
      <c r="IN248" s="19">
        <f t="shared" si="742"/>
        <v>-35</v>
      </c>
      <c r="IO248" s="39">
        <f t="shared" si="743"/>
        <v>0</v>
      </c>
      <c r="IP248" s="39">
        <f t="shared" si="744"/>
        <v>0</v>
      </c>
      <c r="IQ248" s="39">
        <f t="shared" si="745"/>
        <v>0</v>
      </c>
      <c r="IR248" s="39">
        <v>0</v>
      </c>
      <c r="IS248" s="39">
        <v>0</v>
      </c>
      <c r="IT248" s="39">
        <v>0</v>
      </c>
      <c r="IU248" s="39">
        <v>0</v>
      </c>
      <c r="IV248" s="39">
        <v>0</v>
      </c>
      <c r="IW248" s="39">
        <v>0</v>
      </c>
      <c r="IX248" s="39">
        <f>INDEX(Input!$1:$1048576,IX$93,$C248*2+6)+INDEX(Input!$1:$1048576,IX$94,$C248*2+6)</f>
        <v>1600</v>
      </c>
      <c r="IY248" s="39">
        <f>INDEX(Input!$1:$1048576,IY$93,$C248*2+6)+INDEX(Input!$1:$1048576,IY$94,$C248*2+6)</f>
        <v>2503.5492916397525</v>
      </c>
      <c r="IZ248" s="39">
        <f>INDEX(Input!$1:$1048576,IZ$93,$C248*2+6)+INDEX(Input!$1:$1048576,IZ$94,$C248*2+6)</f>
        <v>5773.7109265464023</v>
      </c>
      <c r="JA248" s="19">
        <f t="shared" si="763"/>
        <v>2500</v>
      </c>
      <c r="JB248" s="19">
        <f t="shared" si="764"/>
        <v>2903.6106457168107</v>
      </c>
      <c r="JC248" s="19">
        <f t="shared" si="765"/>
        <v>5738.7109265464023</v>
      </c>
      <c r="JD248" s="19">
        <f t="shared" si="766"/>
        <v>3584.3846304161516</v>
      </c>
      <c r="JE248" s="21"/>
      <c r="JF248" s="1">
        <f t="shared" si="746"/>
        <v>8.5237567437015646E-2</v>
      </c>
      <c r="JG248" s="15">
        <f>INDEX(Input!$1:$1048576,JG$93,$C248*2+6)/(1+VLOOKUP(C248*1000+INDEX(Input!$1:$1048576,JG$93+1,$C248*2+6),$A:$KK,$JK$92,FALSE))</f>
        <v>1601</v>
      </c>
      <c r="JH248" s="1">
        <f t="shared" si="767"/>
        <v>7.1230229500688011E-2</v>
      </c>
      <c r="JI248" s="1">
        <f t="shared" si="768"/>
        <v>9.6286387201569741E-3</v>
      </c>
      <c r="JJ248" s="1">
        <f t="shared" si="828"/>
        <v>0</v>
      </c>
      <c r="JK248" s="1">
        <f t="shared" si="829"/>
        <v>8.0858868220844982E-2</v>
      </c>
      <c r="JL248" s="15">
        <f t="shared" si="771"/>
        <v>129.45504802157282</v>
      </c>
      <c r="JM248" s="15">
        <f t="shared" si="795"/>
        <v>1730.4550480215728</v>
      </c>
      <c r="JN248" s="21"/>
      <c r="JO248" s="19">
        <f>INDEX(Input!$1:$1048576,JO$93,$C248*2+6)</f>
        <v>5908.5</v>
      </c>
      <c r="JP248" s="19">
        <f>INDEX(Input!$1:$1048576,JP$93,$C248*2+6)</f>
        <v>3346.4235130620518</v>
      </c>
      <c r="JQ248" s="39">
        <f t="shared" si="781"/>
        <v>2324.1153695838484</v>
      </c>
      <c r="JR248" s="39">
        <f t="shared" si="798"/>
        <v>237.96111735409977</v>
      </c>
      <c r="JS248" s="39">
        <f t="shared" si="783"/>
        <v>6.2026164777545683</v>
      </c>
      <c r="JT248" s="39">
        <f t="shared" si="773"/>
        <v>0.84499243334222396</v>
      </c>
      <c r="JU248" s="385">
        <f>(JQ248*JM248-INDEX(Input!$1:$1048576,Input!A$18,$C248*2+6)*JL248*INDEX(Input!$1:$1048576,Input!A$19,$C248*2+6))/1000000</f>
        <v>4.0217771734808938</v>
      </c>
      <c r="JV248" s="39">
        <f t="shared" si="805"/>
        <v>-8.0107282106760991E-2</v>
      </c>
      <c r="JW248" s="1">
        <f t="shared" si="796"/>
        <v>-1.952938532864755E-2</v>
      </c>
      <c r="JX248" s="19">
        <f t="shared" si="787"/>
        <v>6527.303849915621</v>
      </c>
      <c r="JZ248" s="341"/>
      <c r="KA248" s="342"/>
      <c r="KB248" s="469">
        <f t="shared" si="784"/>
        <v>2.4482969984810516</v>
      </c>
      <c r="KI248" s="473">
        <f t="shared" si="853"/>
        <v>152.42094128573262</v>
      </c>
      <c r="KJ248" s="473">
        <f t="shared" si="854"/>
        <v>26.801431938741871</v>
      </c>
      <c r="KK248" s="473">
        <f t="shared" si="775"/>
        <v>-49.767325202901702</v>
      </c>
      <c r="KN248" s="544">
        <f t="shared" si="788"/>
        <v>2002</v>
      </c>
      <c r="KO248" s="541">
        <f t="shared" si="750"/>
        <v>1.5605042770332478E-3</v>
      </c>
      <c r="KP248" s="546">
        <f t="shared" si="751"/>
        <v>97.021498370418598</v>
      </c>
      <c r="KQ248" s="546">
        <f t="shared" si="752"/>
        <v>-141.21894454038693</v>
      </c>
      <c r="KR248" s="548">
        <f t="shared" si="753"/>
        <v>0.2568534999096434</v>
      </c>
      <c r="KS248" s="548">
        <f t="shared" si="754"/>
        <v>-0.17646578158494075</v>
      </c>
      <c r="KT248" s="473">
        <f t="shared" si="786"/>
        <v>528.59039248727379</v>
      </c>
      <c r="KU248" s="663">
        <f t="shared" si="776"/>
        <v>12.493362622907016</v>
      </c>
      <c r="KV248" s="117"/>
    </row>
    <row r="249" spans="1:308" s="26" customFormat="1" ht="15">
      <c r="A249" s="561">
        <f t="shared" si="755"/>
        <v>2049</v>
      </c>
      <c r="B249" s="561">
        <f t="shared" si="777"/>
        <v>49</v>
      </c>
      <c r="C249" s="561">
        <f t="shared" si="857"/>
        <v>2</v>
      </c>
      <c r="D249" s="561" t="str">
        <f t="shared" si="824"/>
        <v xml:space="preserve">750 CC, -360 Lease, </v>
      </c>
      <c r="E249" s="475">
        <f>INDEX(Input!$1:$1048576,E$93,$C249*2+MIN($B249,2)+5)
+INDEX(Scenarios!E$121:E$200,MATCH($B249,Scenarios!$B$121:$B$200,0))</f>
        <v>2000</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1.9E-2</v>
      </c>
      <c r="W249" s="863">
        <f>IFERROR(MAX(0,INDEX(Input!$1:$1048576,W$93,$C249*2+MIN($B249,2)+5)-0%,),"Market")</f>
        <v>3.9E-2</v>
      </c>
      <c r="X249" s="476" t="str">
        <f>INDEX(Input!$1:$1048576,X$93,$C249*2+MIN($B249,2)+5)</f>
        <v>Y</v>
      </c>
      <c r="Y249" s="475">
        <f>INDEX(Input!$1:$1048576,Y$93,$C249*2+MIN($B249,2)+5)
++INDEX(Scenarios!Y$121:Y$200,MATCH($B249,Scenarios!$B$121:$B$200,0))</f>
        <v>998</v>
      </c>
      <c r="Z249" s="477">
        <f>INDEX(Input!$1:$1048576,Z$93,$C249*2+MIN($B249,2)+5)
+INDEX(Scenarios!Z$121:Z$200,MATCH($B249,Scenarios!$B$121:$B$200,0))</f>
        <v>0</v>
      </c>
      <c r="AA249" s="475">
        <f>INDEX(Input!$1:$1048576,AA$93,$C249*2+MIN($B249,2)+5)</f>
        <v>0</v>
      </c>
      <c r="AB249" s="476">
        <f>INDEX(Input!$1:$1048576,AB$93,$C249*2+MIN($B249,2)+5)</f>
        <v>1</v>
      </c>
      <c r="AC249" s="475">
        <f>INDEX(Input!$1:$1048576,AC$93,$C249*2+MIN($B249,2)+5)
+INDEX(Scenarios!AC$121:AC$200,MATCH($B249,Scenarios!$B$121:$B$200,0))</f>
        <v>0</v>
      </c>
      <c r="AD249" s="476">
        <f>INDEX(Input!$1:$1048576,AD$93,$C249*2+MIN($B249,2)+5)</f>
        <v>0.35</v>
      </c>
      <c r="AE249" s="475">
        <f>INDEX(Input!$1:$1048576,AE$93,$C249*2+MIN($B249,2)+5)
+INDEX(Scenarios!AE$121:AE$200,MATCH($B249,Scenarios!$B$121:$B$200,0))</f>
        <v>0</v>
      </c>
      <c r="AF249" s="476">
        <f>INDEX(Input!$1:$1048576,AF$93,$C249*2+MIN($B249,2)+5)</f>
        <v>1</v>
      </c>
      <c r="AG249" s="475">
        <f>INDEX(Input!$1:$1048576,AG$93,$C249*2+MIN($B249,2)+5)
+INDEX(Scenarios!AG$121:AG$200,MATCH($B249,Scenarios!$B$121:$B$200,0))</f>
        <v>0</v>
      </c>
      <c r="AH249" s="476">
        <f>INDEX(Input!$1:$1048576,AH$93,$C249*2+MIN($B249,2)+5)</f>
        <v>1</v>
      </c>
      <c r="AI249" s="475">
        <f>INDEX(Input!$1:$1048576,AI$93,$C249*2+MIN($B249,2)+5)
+INDEX(Scenarios!AI$121:AI$200,MATCH($B249,Scenarios!$B$121:$B$200,0))</f>
        <v>0</v>
      </c>
      <c r="AJ249" s="476">
        <f>INDEX(Input!$1:$1048576,AJ$93,$C249*2+MIN($B249,2)+5)</f>
        <v>0.35</v>
      </c>
      <c r="AK249" s="150">
        <f>ROUND(INDEX(Input!$1:$1048576,AK$93,$C248*2+MIN($B249,1)+5)+(Y249-VLOOKUP($C249*1000+1,$A:$HH,Y$92,FALSE)),0)</f>
        <v>4622</v>
      </c>
      <c r="AL249" s="150">
        <f>ROUND(INDEX(Input!$1:$1048576,AL$93,$C248*2+MIN($B249,1)+5)-(Y249-VLOOKUP($C249*1000+1,$A:$HH,Y$92,FALSE))/36,0)</f>
        <v>5112</v>
      </c>
      <c r="AM249" s="32" t="str">
        <f t="shared" si="756"/>
        <v>std/std/std/std</v>
      </c>
      <c r="AN249" s="32" t="str">
        <f t="shared" si="757"/>
        <v>$0 + 0/0/0/1.9/3.9</v>
      </c>
      <c r="AO249" s="32" t="str">
        <f t="shared" si="758"/>
        <v>0/0/0/1.9/3.9</v>
      </c>
      <c r="AP249" s="32" t="str">
        <f t="shared" si="831"/>
        <v>0/0.9/1.9/3.9</v>
      </c>
      <c r="AQ249" s="536">
        <f t="shared" si="830"/>
        <v>0.42802386962383177</v>
      </c>
      <c r="AR249" s="32"/>
      <c r="AS249" s="302"/>
      <c r="AT249" s="3">
        <f t="shared" si="810"/>
        <v>49</v>
      </c>
      <c r="AU249" s="41" t="s">
        <v>121</v>
      </c>
      <c r="AV249" s="41" t="s">
        <v>116</v>
      </c>
      <c r="AW249" s="41" t="str">
        <f>INDEX(Input!$1:$1048576,AW$93,$C249*2+6)</f>
        <v>Kia</v>
      </c>
      <c r="AX249" s="41" t="str">
        <f>INDEX(Input!$1:$1048576,AX$93,$C249*2+6)</f>
        <v>Kia-LR - L2</v>
      </c>
      <c r="AY249" s="41" t="str">
        <f>IF(LEN(D249)=0,"",INDEX(Input!$1:$1048576,AY$93,$C249*2+6))</f>
        <v>Compact Conventional/Sporty Car (43)</v>
      </c>
      <c r="AZ249" s="41" t="str">
        <f>INDEX(Input!$1:$1048576,AZ$93,$C249*2+6)</f>
        <v>Kia Forte</v>
      </c>
      <c r="BA249" s="3">
        <f>INDEX(Input!$1:$1048576,BA$93,$C249*2+6)</f>
        <v>2020</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19695</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832"/>
        <v>2000</v>
      </c>
      <c r="CJ249" s="16" t="str">
        <f>INDEX(Input!$1:$1048576,CJ$93,$C249*2+6)</f>
        <v>N</v>
      </c>
      <c r="CK249" s="1" t="str">
        <f t="shared" si="833"/>
        <v>Market</v>
      </c>
      <c r="CL249" s="1" t="str">
        <f t="shared" si="834"/>
        <v>Market</v>
      </c>
      <c r="CM249" s="1" t="str">
        <f t="shared" si="835"/>
        <v>Market</v>
      </c>
      <c r="CN249" s="1" t="str">
        <f t="shared" si="836"/>
        <v>Market</v>
      </c>
      <c r="CO249" s="1" t="str">
        <f t="shared" si="837"/>
        <v>Market</v>
      </c>
      <c r="CP249" s="304">
        <f t="shared" si="838"/>
        <v>0</v>
      </c>
      <c r="CQ249" s="1">
        <f t="shared" si="839"/>
        <v>0</v>
      </c>
      <c r="CR249" s="1">
        <f t="shared" si="840"/>
        <v>0</v>
      </c>
      <c r="CS249" s="1">
        <f t="shared" si="841"/>
        <v>0</v>
      </c>
      <c r="CT249" s="1">
        <f t="shared" si="842"/>
        <v>1.9E-2</v>
      </c>
      <c r="CU249" s="1">
        <f t="shared" si="843"/>
        <v>3.9E-2</v>
      </c>
      <c r="CV249" s="304">
        <f t="shared" si="844"/>
        <v>998</v>
      </c>
      <c r="CW249" s="20" t="s">
        <v>122</v>
      </c>
      <c r="CX249" s="20" t="s">
        <v>122</v>
      </c>
      <c r="CY249" s="20" t="s">
        <v>122</v>
      </c>
      <c r="CZ249" s="20" t="s">
        <v>122</v>
      </c>
      <c r="DA249" s="20" t="s">
        <v>122</v>
      </c>
      <c r="DB249" s="503">
        <f t="shared" si="845"/>
        <v>0</v>
      </c>
      <c r="DC249" s="127">
        <v>0</v>
      </c>
      <c r="DD249" s="127">
        <v>0</v>
      </c>
      <c r="DE249" s="127">
        <v>0</v>
      </c>
      <c r="DF249" s="127">
        <v>0</v>
      </c>
      <c r="DG249" s="127">
        <v>0</v>
      </c>
      <c r="DH249" s="127">
        <v>0</v>
      </c>
      <c r="DI249" s="127">
        <v>0</v>
      </c>
      <c r="DJ249" s="127">
        <v>0</v>
      </c>
      <c r="DK249" s="127">
        <v>0</v>
      </c>
      <c r="DL249" s="127">
        <v>0</v>
      </c>
      <c r="DM249" s="304">
        <f>INDEX(Input!$1:$1048576,DM$93,$C249*2+6)</f>
        <v>20731.578947368424</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3.1835336051026349E-2</v>
      </c>
      <c r="DZ249" s="7">
        <v>0</v>
      </c>
      <c r="EA249" s="7">
        <v>0.64196154082679457</v>
      </c>
      <c r="EB249" s="7">
        <v>0</v>
      </c>
      <c r="EC249" s="7">
        <v>0</v>
      </c>
      <c r="ED249" s="7">
        <v>0</v>
      </c>
      <c r="EE249" s="7">
        <v>0</v>
      </c>
      <c r="EF249" s="7">
        <v>0</v>
      </c>
      <c r="EG249" s="7">
        <v>0</v>
      </c>
      <c r="EH249" s="7">
        <v>1.6219437421746242E-2</v>
      </c>
      <c r="EI249" s="7">
        <v>2.650353192954524E-2</v>
      </c>
      <c r="EJ249" s="7">
        <v>0.26597245990079699</v>
      </c>
      <c r="EK249" s="7">
        <v>0.64335823160940619</v>
      </c>
      <c r="EL249" s="7">
        <v>4.794633913850526E-2</v>
      </c>
      <c r="EM249" s="7">
        <v>3.3036606996386886E-2</v>
      </c>
      <c r="EN249" s="7">
        <v>4.8888834917924152E-2</v>
      </c>
      <c r="EO249" s="7">
        <v>0.56259392493642912</v>
      </c>
      <c r="EP249" s="7">
        <v>0.28438457386625127</v>
      </c>
      <c r="EQ249" s="7">
        <v>6.4848368920373281E-2</v>
      </c>
      <c r="ER249" s="7">
        <v>3.9284297359022419E-2</v>
      </c>
      <c r="ES249" s="7">
        <v>0.29316651612579214</v>
      </c>
      <c r="ET249" s="7">
        <v>0.32620312312217903</v>
      </c>
      <c r="EU249" s="6">
        <v>2350</v>
      </c>
      <c r="EV249" s="6">
        <v>0</v>
      </c>
      <c r="EW249" s="6">
        <v>2350</v>
      </c>
      <c r="EX249" s="6">
        <v>0</v>
      </c>
      <c r="EY249" s="6">
        <v>2626.873330425879</v>
      </c>
      <c r="EZ249" s="6">
        <v>1751</v>
      </c>
      <c r="FA249" s="6">
        <v>0</v>
      </c>
      <c r="FB249" s="6">
        <v>0</v>
      </c>
      <c r="FC249" s="6">
        <v>0</v>
      </c>
      <c r="FD249" s="6">
        <v>0</v>
      </c>
      <c r="FE249" s="6">
        <v>0</v>
      </c>
      <c r="FF249" s="6">
        <v>0</v>
      </c>
      <c r="FG249" s="6">
        <v>0</v>
      </c>
      <c r="FH249" s="6">
        <v>1154.7771496233722</v>
      </c>
      <c r="FI249" s="6">
        <v>1531.4299904380623</v>
      </c>
      <c r="FJ249" s="6">
        <v>2070.7205842538224</v>
      </c>
      <c r="FK249" s="6">
        <v>1746.990352159042</v>
      </c>
      <c r="FL249" s="6">
        <v>893.91433563489409</v>
      </c>
      <c r="FM249" s="6">
        <v>1776.873330425879</v>
      </c>
      <c r="FN249" s="6">
        <v>0</v>
      </c>
      <c r="FO249" s="6">
        <v>0</v>
      </c>
      <c r="FP249" s="6">
        <v>0</v>
      </c>
      <c r="FQ249" s="6">
        <v>0</v>
      </c>
      <c r="FR249" s="6">
        <v>0</v>
      </c>
      <c r="FS249" s="6">
        <v>0</v>
      </c>
      <c r="FT249" s="7">
        <v>0.67379687687782097</v>
      </c>
      <c r="FU249" s="7">
        <v>3.3036606996386886E-2</v>
      </c>
      <c r="FV249" s="7">
        <v>0.29316651612579214</v>
      </c>
      <c r="FW249" s="6">
        <v>2350</v>
      </c>
      <c r="FX249" s="6">
        <v>2626.873330425879</v>
      </c>
      <c r="FY249" s="6">
        <v>1751</v>
      </c>
      <c r="FZ249" s="6">
        <v>2594.6978186474794</v>
      </c>
      <c r="GA249" s="6">
        <v>2183.5402122457112</v>
      </c>
      <c r="GB249" s="6">
        <v>17511.459787754287</v>
      </c>
      <c r="GC249" s="7">
        <v>9.6947029492584935E-2</v>
      </c>
      <c r="GD249" s="7">
        <v>9.3163694413213455E-2</v>
      </c>
      <c r="GE249" s="7"/>
      <c r="GF249" s="7"/>
      <c r="GG249" s="7">
        <v>-3.9024765371081863E-2</v>
      </c>
      <c r="GH249" s="42">
        <v>1.8693385261913813</v>
      </c>
      <c r="GI249" s="6">
        <v>12719.352599382933</v>
      </c>
      <c r="GJ249" s="14">
        <v>0.51074630601039572</v>
      </c>
      <c r="GK249" s="14">
        <v>0.50829519786160959</v>
      </c>
      <c r="GL249" s="14">
        <v>0.48925369398960467</v>
      </c>
      <c r="GM249" s="14">
        <v>0.49170480213839024</v>
      </c>
      <c r="GO249" s="5">
        <v>338.16872463277008</v>
      </c>
      <c r="GP249" s="5">
        <v>293.33520778489498</v>
      </c>
      <c r="GQ249" s="5">
        <v>527.27910984145694</v>
      </c>
      <c r="GR249" s="5">
        <v>404.20319246551543</v>
      </c>
      <c r="GS249" s="5">
        <v>334.50205195691484</v>
      </c>
      <c r="GT249" s="5">
        <v>289.18266033348181</v>
      </c>
      <c r="GU249" s="5">
        <v>254.29573314828914</v>
      </c>
      <c r="GV249" s="39" t="s">
        <v>392</v>
      </c>
      <c r="GW249" s="5">
        <v>468.76388888888891</v>
      </c>
      <c r="GX249" s="5">
        <v>351.57291666666669</v>
      </c>
      <c r="GY249" s="5">
        <v>281.25833333333333</v>
      </c>
      <c r="GZ249" s="5">
        <v>248.18079879493993</v>
      </c>
      <c r="HA249" s="5">
        <v>229.89195052129486</v>
      </c>
      <c r="HB249" s="39">
        <v>262.41961862513995</v>
      </c>
      <c r="HC249" s="5">
        <v>206.50937499999998</v>
      </c>
      <c r="HD249" s="5">
        <v>184.03879751461983</v>
      </c>
      <c r="HE249" s="5">
        <v>188.92093033063426</v>
      </c>
      <c r="HF249" s="5">
        <v>177.21129934210524</v>
      </c>
      <c r="HG249" s="5">
        <v>174.01410087719296</v>
      </c>
      <c r="HH249" s="39">
        <v>185.68919584432066</v>
      </c>
      <c r="HI249" s="16"/>
      <c r="HJ249" s="19" t="str">
        <f t="shared" si="850"/>
        <v>On</v>
      </c>
      <c r="HK249" s="1" t="str">
        <f t="shared" si="850"/>
        <v>On</v>
      </c>
      <c r="HL249" s="16"/>
      <c r="HM249" s="639">
        <f t="shared" si="727"/>
        <v>5.0961701597560354E-2</v>
      </c>
      <c r="HN249" s="639">
        <f t="shared" si="728"/>
        <v>3.112551654761847E-3</v>
      </c>
      <c r="HO249" s="639">
        <f t="shared" si="729"/>
        <v>3.1163314184693442E-2</v>
      </c>
      <c r="HP249" s="644">
        <f>(FT249*$GD249-HM249)/$JF249*INDEX(Input!$1:$1048576,$JG$93,$C249*2+6)</f>
        <v>221.85686255124639</v>
      </c>
      <c r="HQ249" s="644">
        <f>(FU249*$GD249-HN249)/$JF249*INDEX(Input!$1:$1048576,$JG$93,$C249*2+6)</f>
        <v>-0.65250117677098196</v>
      </c>
      <c r="HR249" s="644">
        <f>(FV249*$GD249-HO249)/$JF249*INDEX(Input!$1:$1048576,$JG$93,$C249*2+6)</f>
        <v>-72.329520497892617</v>
      </c>
      <c r="HS249" s="644">
        <f t="shared" si="851"/>
        <v>-23.424141490458354</v>
      </c>
      <c r="HT249" s="644">
        <f t="shared" si="731"/>
        <v>22.835905980714827</v>
      </c>
      <c r="HU249" s="644">
        <f t="shared" si="732"/>
        <v>10.972049653829121</v>
      </c>
      <c r="HV249" s="648">
        <f t="shared" si="733"/>
        <v>0</v>
      </c>
      <c r="HW249" s="648">
        <f t="shared" si="734"/>
        <v>0</v>
      </c>
      <c r="HX249" s="648">
        <f t="shared" si="735"/>
        <v>0</v>
      </c>
      <c r="HY249" s="644">
        <f>INDEX(Input!$1:$1048576,HY$93,$C249*2+6)*INDEX(Input!$1:$1048576,$JG$93,$C249*2+6)</f>
        <v>555</v>
      </c>
      <c r="HZ249" s="644">
        <f>INDEX(Input!$1:$1048576,HZ$93,$C249*2+6)*INDEX(Input!$1:$1048576,$JG$93,$C249*2+6)</f>
        <v>480</v>
      </c>
      <c r="IA249" s="644">
        <f>INDEX(Input!$1:$1048576,IA$93,$C249*2+6)*INDEX(Input!$1:$1048576,$JG$93,$C249*2+6)</f>
        <v>566</v>
      </c>
      <c r="IB249" s="644">
        <f t="shared" si="759"/>
        <v>753.43272106078803</v>
      </c>
      <c r="IC249" s="644">
        <f t="shared" si="760"/>
        <v>502.18340480394386</v>
      </c>
      <c r="ID249" s="644">
        <f>IF(AND(INDEX(Input!$1:$1048576,IA$93,$C249*2+7)="TOS",Y249&lt;=INDEX(Y:Y,MATCH(C249*1000+2,A:A))),0,1)*MAX(IA249+HR249+HU249+HX249,0%)</f>
        <v>504.64252915593647</v>
      </c>
      <c r="IE249" s="128">
        <f t="shared" si="856"/>
        <v>0.42802386962383177</v>
      </c>
      <c r="IF249" s="128">
        <f t="shared" si="736"/>
        <v>0.28528955297086572</v>
      </c>
      <c r="IG249" s="128">
        <f t="shared" si="737"/>
        <v>0.28668657740530246</v>
      </c>
      <c r="IH249" s="21"/>
      <c r="II249" s="19">
        <f t="shared" si="738"/>
        <v>1200</v>
      </c>
      <c r="IJ249" s="19">
        <f t="shared" si="739"/>
        <v>2226.7968732767699</v>
      </c>
      <c r="IK249" s="19">
        <f t="shared" si="740"/>
        <v>1786</v>
      </c>
      <c r="IL249" s="19">
        <f t="shared" si="762"/>
        <v>1150</v>
      </c>
      <c r="IM249" s="19">
        <f t="shared" si="741"/>
        <v>400.07645714910905</v>
      </c>
      <c r="IN249" s="19">
        <f t="shared" si="742"/>
        <v>-35</v>
      </c>
      <c r="IO249" s="39">
        <f t="shared" si="743"/>
        <v>0</v>
      </c>
      <c r="IP249" s="39">
        <f t="shared" si="744"/>
        <v>0</v>
      </c>
      <c r="IQ249" s="39">
        <f t="shared" si="745"/>
        <v>0</v>
      </c>
      <c r="IR249" s="39">
        <v>0</v>
      </c>
      <c r="IS249" s="39">
        <v>0</v>
      </c>
      <c r="IT249" s="39">
        <v>0</v>
      </c>
      <c r="IU249" s="39">
        <v>0</v>
      </c>
      <c r="IV249" s="39">
        <v>0</v>
      </c>
      <c r="IW249" s="39">
        <v>0</v>
      </c>
      <c r="IX249" s="39">
        <f>INDEX(Input!$1:$1048576,IX$93,$C249*2+6)+INDEX(Input!$1:$1048576,IX$94,$C249*2+6)</f>
        <v>1600</v>
      </c>
      <c r="IY249" s="39">
        <f>INDEX(Input!$1:$1048576,IY$93,$C249*2+6)+INDEX(Input!$1:$1048576,IY$94,$C249*2+6)</f>
        <v>2503.5492916397525</v>
      </c>
      <c r="IZ249" s="39">
        <f>INDEX(Input!$1:$1048576,IZ$93,$C249*2+6)+INDEX(Input!$1:$1048576,IZ$94,$C249*2+6)</f>
        <v>5773.7109265464023</v>
      </c>
      <c r="JA249" s="19">
        <f t="shared" si="763"/>
        <v>2750</v>
      </c>
      <c r="JB249" s="19">
        <f t="shared" si="764"/>
        <v>2903.6257487888615</v>
      </c>
      <c r="JC249" s="19">
        <f t="shared" si="765"/>
        <v>5738.7109265464023</v>
      </c>
      <c r="JD249" s="19">
        <f t="shared" si="766"/>
        <v>3650.6511275822068</v>
      </c>
      <c r="JE249" s="21"/>
      <c r="JF249" s="1">
        <f t="shared" si="746"/>
        <v>8.5237567437015646E-2</v>
      </c>
      <c r="JG249" s="15">
        <f>INDEX(Input!$1:$1048576,JG$93,$C249*2+6)/(1+VLOOKUP(C249*1000+INDEX(Input!$1:$1048576,JG$93+1,$C249*2+6),$A:$KK,$JK$92,FALSE))</f>
        <v>1601</v>
      </c>
      <c r="JH249" s="1">
        <f t="shared" si="767"/>
        <v>9.2988657636841221E-2</v>
      </c>
      <c r="JI249" s="1">
        <f t="shared" si="768"/>
        <v>6.4858301961808838E-3</v>
      </c>
      <c r="JJ249" s="1">
        <f t="shared" si="828"/>
        <v>0</v>
      </c>
      <c r="JK249" s="1">
        <f t="shared" si="829"/>
        <v>9.947448783302211E-2</v>
      </c>
      <c r="JL249" s="15">
        <f t="shared" si="771"/>
        <v>159.25865502066839</v>
      </c>
      <c r="JM249" s="15">
        <f t="shared" si="795"/>
        <v>1760.2586550206684</v>
      </c>
      <c r="JN249" s="21"/>
      <c r="JO249" s="19">
        <f>INDEX(Input!$1:$1048576,JO$93,$C249*2+6)</f>
        <v>5908.5</v>
      </c>
      <c r="JP249" s="19">
        <f>INDEX(Input!$1:$1048576,JP$93,$C249*2+6)</f>
        <v>3346.4235130620518</v>
      </c>
      <c r="JQ249" s="39">
        <f t="shared" si="781"/>
        <v>2257.8488724177932</v>
      </c>
      <c r="JR249" s="39">
        <f t="shared" si="798"/>
        <v>304.22761452015493</v>
      </c>
      <c r="JS249" s="39">
        <f t="shared" si="783"/>
        <v>6.4260902437875416</v>
      </c>
      <c r="JT249" s="39">
        <f t="shared" si="773"/>
        <v>1.0684661993751974</v>
      </c>
      <c r="JU249" s="385">
        <f>(JQ249*JM249-INDEX(Input!$1:$1048576,Input!A$18,$C249*2+6)*JL249*INDEX(Input!$1:$1048576,Input!A$19,$C249*2+6))/1000000</f>
        <v>3.9743980194020776</v>
      </c>
      <c r="JV249" s="39">
        <f t="shared" si="805"/>
        <v>-0.1274864361855772</v>
      </c>
      <c r="JW249" s="1">
        <f t="shared" si="796"/>
        <v>-3.1079967650457115E-2</v>
      </c>
      <c r="JX249" s="19">
        <f t="shared" si="787"/>
        <v>6708.9992643510222</v>
      </c>
      <c r="JZ249" s="341"/>
      <c r="KA249" s="342"/>
      <c r="KB249" s="469">
        <f t="shared" si="784"/>
        <v>2.4482969984810516</v>
      </c>
      <c r="KI249" s="473">
        <f t="shared" si="853"/>
        <v>198.43272106078803</v>
      </c>
      <c r="KJ249" s="473">
        <f t="shared" si="854"/>
        <v>22.183404803943802</v>
      </c>
      <c r="KK249" s="473">
        <f t="shared" si="775"/>
        <v>-61.357470844063585</v>
      </c>
      <c r="KN249" s="544">
        <f t="shared" si="788"/>
        <v>2002</v>
      </c>
      <c r="KO249" s="541">
        <f t="shared" si="750"/>
        <v>1.8810369096935009E-2</v>
      </c>
      <c r="KP249" s="546">
        <f t="shared" si="751"/>
        <v>217.82891006219376</v>
      </c>
      <c r="KQ249" s="546">
        <f t="shared" si="752"/>
        <v>-74.952447374331769</v>
      </c>
      <c r="KR249" s="548">
        <f t="shared" si="753"/>
        <v>1.3790191619862375</v>
      </c>
      <c r="KS249" s="548">
        <f t="shared" si="754"/>
        <v>-4.0077442636411318</v>
      </c>
      <c r="KT249" s="473">
        <f t="shared" si="786"/>
        <v>528.59039248727379</v>
      </c>
      <c r="KU249" s="663">
        <f t="shared" si="776"/>
        <v>12.570768587932687</v>
      </c>
      <c r="KV249" s="117"/>
    </row>
    <row r="250" spans="1:308" s="26" customFormat="1" ht="15">
      <c r="A250" s="561">
        <f t="shared" si="755"/>
        <v>2050</v>
      </c>
      <c r="B250" s="561">
        <f t="shared" si="777"/>
        <v>50</v>
      </c>
      <c r="C250" s="561">
        <f t="shared" si="857"/>
        <v>2</v>
      </c>
      <c r="D250" s="561" t="str">
        <f t="shared" si="824"/>
        <v xml:space="preserve">1000 CC, -360 Lease, </v>
      </c>
      <c r="E250" s="475">
        <f>INDEX(Input!$1:$1048576,E$93,$C250*2+MIN($B250,2)+5)
+INDEX(Scenarios!E$121:E$200,MATCH($B250,Scenarios!$B$121:$B$200,0))</f>
        <v>2250</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1.9E-2</v>
      </c>
      <c r="W250" s="863">
        <f>IFERROR(MAX(0,INDEX(Input!$1:$1048576,W$93,$C250*2+MIN($B250,2)+5)-0%,),"Market")</f>
        <v>3.9E-2</v>
      </c>
      <c r="X250" s="476" t="str">
        <f>INDEX(Input!$1:$1048576,X$93,$C250*2+MIN($B250,2)+5)</f>
        <v>Y</v>
      </c>
      <c r="Y250" s="475">
        <f>INDEX(Input!$1:$1048576,Y$93,$C250*2+MIN($B250,2)+5)
++INDEX(Scenarios!Y$121:Y$200,MATCH($B250,Scenarios!$B$121:$B$200,0))</f>
        <v>998</v>
      </c>
      <c r="Z250" s="477">
        <f>INDEX(Input!$1:$1048576,Z$93,$C250*2+MIN($B250,2)+5)
+INDEX(Scenarios!Z$121:Z$200,MATCH($B250,Scenarios!$B$121:$B$200,0))</f>
        <v>0</v>
      </c>
      <c r="AA250" s="475">
        <f>INDEX(Input!$1:$1048576,AA$93,$C250*2+MIN($B250,2)+5)</f>
        <v>0</v>
      </c>
      <c r="AB250" s="476">
        <f>INDEX(Input!$1:$1048576,AB$93,$C250*2+MIN($B250,2)+5)</f>
        <v>1</v>
      </c>
      <c r="AC250" s="475">
        <f>INDEX(Input!$1:$1048576,AC$93,$C250*2+MIN($B250,2)+5)
+INDEX(Scenarios!AC$121:AC$200,MATCH($B250,Scenarios!$B$121:$B$200,0))</f>
        <v>0</v>
      </c>
      <c r="AD250" s="476">
        <f>INDEX(Input!$1:$1048576,AD$93,$C250*2+MIN($B250,2)+5)</f>
        <v>0.35</v>
      </c>
      <c r="AE250" s="475">
        <f>INDEX(Input!$1:$1048576,AE$93,$C250*2+MIN($B250,2)+5)
+INDEX(Scenarios!AE$121:AE$200,MATCH($B250,Scenarios!$B$121:$B$200,0))</f>
        <v>0</v>
      </c>
      <c r="AF250" s="476">
        <f>INDEX(Input!$1:$1048576,AF$93,$C250*2+MIN($B250,2)+5)</f>
        <v>1</v>
      </c>
      <c r="AG250" s="475">
        <f>INDEX(Input!$1:$1048576,AG$93,$C250*2+MIN($B250,2)+5)
+INDEX(Scenarios!AG$121:AG$200,MATCH($B250,Scenarios!$B$121:$B$200,0))</f>
        <v>0</v>
      </c>
      <c r="AH250" s="476">
        <f>INDEX(Input!$1:$1048576,AH$93,$C250*2+MIN($B250,2)+5)</f>
        <v>1</v>
      </c>
      <c r="AI250" s="475">
        <f>INDEX(Input!$1:$1048576,AI$93,$C250*2+MIN($B250,2)+5)
+INDEX(Scenarios!AI$121:AI$200,MATCH($B250,Scenarios!$B$121:$B$200,0))</f>
        <v>0</v>
      </c>
      <c r="AJ250" s="476">
        <f>INDEX(Input!$1:$1048576,AJ$93,$C250*2+MIN($B250,2)+5)</f>
        <v>0.35</v>
      </c>
      <c r="AK250" s="150">
        <f>ROUND(INDEX(Input!$1:$1048576,AK$93,$C249*2+MIN($B250,1)+5)+(Y250-VLOOKUP($C250*1000+1,$A:$HH,Y$92,FALSE)),0)</f>
        <v>4622</v>
      </c>
      <c r="AL250" s="150">
        <f>ROUND(INDEX(Input!$1:$1048576,AL$93,$C249*2+MIN($B250,1)+5)-(Y250-VLOOKUP($C250*1000+1,$A:$HH,Y$92,FALSE))/36,0)</f>
        <v>5112</v>
      </c>
      <c r="AM250" s="32" t="str">
        <f t="shared" si="756"/>
        <v>std/std/std/std</v>
      </c>
      <c r="AN250" s="32" t="str">
        <f t="shared" si="757"/>
        <v>$0 + 0/0/0/1.9/3.9</v>
      </c>
      <c r="AO250" s="32" t="str">
        <f t="shared" si="758"/>
        <v>0/0/0/1.9/3.9</v>
      </c>
      <c r="AP250" s="32" t="str">
        <f t="shared" si="831"/>
        <v>0/0.9/1.9/3.9</v>
      </c>
      <c r="AQ250" s="536">
        <f t="shared" si="830"/>
        <v>0.44703554747651797</v>
      </c>
      <c r="AR250" s="32"/>
      <c r="AS250" s="302"/>
      <c r="AT250" s="3">
        <f t="shared" si="810"/>
        <v>50</v>
      </c>
      <c r="AU250" s="41" t="s">
        <v>121</v>
      </c>
      <c r="AV250" s="41" t="s">
        <v>116</v>
      </c>
      <c r="AW250" s="41" t="str">
        <f>INDEX(Input!$1:$1048576,AW$93,$C250*2+6)</f>
        <v>Kia</v>
      </c>
      <c r="AX250" s="41" t="str">
        <f>INDEX(Input!$1:$1048576,AX$93,$C250*2+6)</f>
        <v>Kia-LR - L2</v>
      </c>
      <c r="AY250" s="41" t="str">
        <f>IF(LEN(D250)=0,"",INDEX(Input!$1:$1048576,AY$93,$C250*2+6))</f>
        <v>Compact Conventional/Sporty Car (43)</v>
      </c>
      <c r="AZ250" s="41" t="str">
        <f>INDEX(Input!$1:$1048576,AZ$93,$C250*2+6)</f>
        <v>Kia Forte</v>
      </c>
      <c r="BA250" s="3">
        <f>INDEX(Input!$1:$1048576,BA$93,$C250*2+6)</f>
        <v>2020</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19695</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832"/>
        <v>2250</v>
      </c>
      <c r="CJ250" s="16" t="str">
        <f>INDEX(Input!$1:$1048576,CJ$93,$C250*2+6)</f>
        <v>N</v>
      </c>
      <c r="CK250" s="1" t="str">
        <f t="shared" si="833"/>
        <v>Market</v>
      </c>
      <c r="CL250" s="1" t="str">
        <f t="shared" si="834"/>
        <v>Market</v>
      </c>
      <c r="CM250" s="1" t="str">
        <f t="shared" si="835"/>
        <v>Market</v>
      </c>
      <c r="CN250" s="1" t="str">
        <f t="shared" si="836"/>
        <v>Market</v>
      </c>
      <c r="CO250" s="1" t="str">
        <f t="shared" si="837"/>
        <v>Market</v>
      </c>
      <c r="CP250" s="304">
        <f t="shared" si="838"/>
        <v>0</v>
      </c>
      <c r="CQ250" s="1">
        <f t="shared" si="839"/>
        <v>0</v>
      </c>
      <c r="CR250" s="1">
        <f t="shared" si="840"/>
        <v>0</v>
      </c>
      <c r="CS250" s="1">
        <f t="shared" si="841"/>
        <v>0</v>
      </c>
      <c r="CT250" s="1">
        <f t="shared" si="842"/>
        <v>1.9E-2</v>
      </c>
      <c r="CU250" s="1">
        <f t="shared" si="843"/>
        <v>3.9E-2</v>
      </c>
      <c r="CV250" s="304">
        <f t="shared" si="844"/>
        <v>998</v>
      </c>
      <c r="CW250" s="20" t="s">
        <v>122</v>
      </c>
      <c r="CX250" s="20" t="s">
        <v>122</v>
      </c>
      <c r="CY250" s="20" t="s">
        <v>122</v>
      </c>
      <c r="CZ250" s="20" t="s">
        <v>122</v>
      </c>
      <c r="DA250" s="20" t="s">
        <v>122</v>
      </c>
      <c r="DB250" s="503">
        <f t="shared" si="845"/>
        <v>0</v>
      </c>
      <c r="DC250" s="127">
        <v>0</v>
      </c>
      <c r="DD250" s="127">
        <v>0</v>
      </c>
      <c r="DE250" s="127">
        <v>0</v>
      </c>
      <c r="DF250" s="127">
        <v>0</v>
      </c>
      <c r="DG250" s="127">
        <v>0</v>
      </c>
      <c r="DH250" s="127">
        <v>0</v>
      </c>
      <c r="DI250" s="127">
        <v>0</v>
      </c>
      <c r="DJ250" s="127">
        <v>0</v>
      </c>
      <c r="DK250" s="127">
        <v>0</v>
      </c>
      <c r="DL250" s="127">
        <v>0</v>
      </c>
      <c r="DM250" s="304">
        <f>INDEX(Input!$1:$1048576,DM$93,$C250*2+6)</f>
        <v>20731.578947368424</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3.269556360492356E-2</v>
      </c>
      <c r="DZ250" s="7">
        <v>0</v>
      </c>
      <c r="EA250" s="7">
        <v>0.65678637787399152</v>
      </c>
      <c r="EB250" s="7">
        <v>0</v>
      </c>
      <c r="EC250" s="7">
        <v>0</v>
      </c>
      <c r="ED250" s="7">
        <v>0</v>
      </c>
      <c r="EE250" s="7">
        <v>0</v>
      </c>
      <c r="EF250" s="7">
        <v>0</v>
      </c>
      <c r="EG250" s="7">
        <v>0</v>
      </c>
      <c r="EH250" s="7">
        <v>1.6224746004765186E-2</v>
      </c>
      <c r="EI250" s="7">
        <v>2.6514770763817593E-2</v>
      </c>
      <c r="EJ250" s="7">
        <v>0.26602949280001431</v>
      </c>
      <c r="EK250" s="7">
        <v>0.64328678204813206</v>
      </c>
      <c r="EL250" s="7">
        <v>4.7944208383271084E-2</v>
      </c>
      <c r="EM250" s="7">
        <v>3.1415031781793119E-2</v>
      </c>
      <c r="EN250" s="7">
        <v>4.8884229075706859E-2</v>
      </c>
      <c r="EO250" s="7">
        <v>0.56257329897933672</v>
      </c>
      <c r="EP250" s="7">
        <v>0.28440646624059263</v>
      </c>
      <c r="EQ250" s="7">
        <v>6.4842807983972808E-2</v>
      </c>
      <c r="ER250" s="7">
        <v>3.9293197720391422E-2</v>
      </c>
      <c r="ES250" s="7">
        <v>0.27910302673929177</v>
      </c>
      <c r="ET250" s="7">
        <v>0.31051805852108494</v>
      </c>
      <c r="EU250" s="6">
        <v>2600</v>
      </c>
      <c r="EV250" s="6">
        <v>0</v>
      </c>
      <c r="EW250" s="6">
        <v>2600</v>
      </c>
      <c r="EX250" s="6">
        <v>0</v>
      </c>
      <c r="EY250" s="6">
        <v>2626.8880257435067</v>
      </c>
      <c r="EZ250" s="6">
        <v>1751</v>
      </c>
      <c r="FA250" s="6">
        <v>0</v>
      </c>
      <c r="FB250" s="6">
        <v>0</v>
      </c>
      <c r="FC250" s="6">
        <v>0</v>
      </c>
      <c r="FD250" s="6">
        <v>0</v>
      </c>
      <c r="FE250" s="6">
        <v>0</v>
      </c>
      <c r="FF250" s="6">
        <v>0</v>
      </c>
      <c r="FG250" s="6">
        <v>0</v>
      </c>
      <c r="FH250" s="6">
        <v>1154.7759667308674</v>
      </c>
      <c r="FI250" s="6">
        <v>1531.4299904380621</v>
      </c>
      <c r="FJ250" s="6">
        <v>2070.7205842538219</v>
      </c>
      <c r="FK250" s="6">
        <v>1746.9903521590441</v>
      </c>
      <c r="FL250" s="6">
        <v>893.9143356348934</v>
      </c>
      <c r="FM250" s="6">
        <v>1776.8880257435067</v>
      </c>
      <c r="FN250" s="6">
        <v>0</v>
      </c>
      <c r="FO250" s="6">
        <v>0</v>
      </c>
      <c r="FP250" s="6">
        <v>0</v>
      </c>
      <c r="FQ250" s="6">
        <v>0</v>
      </c>
      <c r="FR250" s="6">
        <v>0</v>
      </c>
      <c r="FS250" s="6">
        <v>0</v>
      </c>
      <c r="FT250" s="7">
        <v>0.68948194147891506</v>
      </c>
      <c r="FU250" s="7">
        <v>3.1415031781793119E-2</v>
      </c>
      <c r="FV250" s="7">
        <v>0.27910302673929177</v>
      </c>
      <c r="FW250" s="6">
        <v>2600.0000000000005</v>
      </c>
      <c r="FX250" s="6">
        <v>2626.8880257435067</v>
      </c>
      <c r="FY250" s="6">
        <v>1751</v>
      </c>
      <c r="FZ250" s="6">
        <v>2594.6978186474794</v>
      </c>
      <c r="GA250" s="6">
        <v>2363.8862184816235</v>
      </c>
      <c r="GB250" s="6">
        <v>17331.113781518376</v>
      </c>
      <c r="GC250" s="7">
        <v>9.6947029492584935E-2</v>
      </c>
      <c r="GD250" s="7">
        <v>9.5096630920943878E-2</v>
      </c>
      <c r="GE250" s="7"/>
      <c r="GF250" s="7"/>
      <c r="GG250" s="7">
        <v>-1.9086696944980518E-2</v>
      </c>
      <c r="GH250" s="42">
        <v>1.6286551285172377</v>
      </c>
      <c r="GI250" s="6">
        <v>14456.685765265198</v>
      </c>
      <c r="GJ250" s="14">
        <v>0.5107463060103955</v>
      </c>
      <c r="GK250" s="14">
        <v>0.50829519786160959</v>
      </c>
      <c r="GL250" s="14">
        <v>0.4892536939896045</v>
      </c>
      <c r="GM250" s="14">
        <v>0.49170480213839035</v>
      </c>
      <c r="GO250" s="5">
        <v>338.16872463277008</v>
      </c>
      <c r="GP250" s="5">
        <v>288.56568471597211</v>
      </c>
      <c r="GQ250" s="5">
        <v>527.27910984145694</v>
      </c>
      <c r="GR250" s="5">
        <v>404.20319246551543</v>
      </c>
      <c r="GS250" s="5">
        <v>334.50205195691484</v>
      </c>
      <c r="GT250" s="5">
        <v>289.18266033348181</v>
      </c>
      <c r="GU250" s="5">
        <v>254.29573314828914</v>
      </c>
      <c r="GV250" s="39" t="s">
        <v>392</v>
      </c>
      <c r="GW250" s="5">
        <v>468.76388888888891</v>
      </c>
      <c r="GX250" s="5">
        <v>351.57291666666669</v>
      </c>
      <c r="GY250" s="5">
        <v>281.25833333333333</v>
      </c>
      <c r="GZ250" s="5">
        <v>248.18079879493993</v>
      </c>
      <c r="HA250" s="5">
        <v>229.89195052129486</v>
      </c>
      <c r="HB250" s="39">
        <v>262.42387709241706</v>
      </c>
      <c r="HC250" s="5">
        <v>206.50937499999998</v>
      </c>
      <c r="HD250" s="5">
        <v>184.03879751461983</v>
      </c>
      <c r="HE250" s="5">
        <v>188.92093033063426</v>
      </c>
      <c r="HF250" s="5">
        <v>177.21129934210524</v>
      </c>
      <c r="HG250" s="5">
        <v>174.01410087719296</v>
      </c>
      <c r="HH250" s="39">
        <v>185.68914797372594</v>
      </c>
      <c r="HI250" s="16"/>
      <c r="HJ250" s="19" t="str">
        <f t="shared" si="850"/>
        <v>On</v>
      </c>
      <c r="HK250" s="1" t="str">
        <f t="shared" si="850"/>
        <v>On</v>
      </c>
      <c r="HL250" s="16"/>
      <c r="HM250" s="639">
        <f t="shared" si="727"/>
        <v>5.0961701597560354E-2</v>
      </c>
      <c r="HN250" s="639">
        <f t="shared" si="728"/>
        <v>3.112551654761847E-3</v>
      </c>
      <c r="HO250" s="639">
        <f t="shared" si="729"/>
        <v>3.1163314184693442E-2</v>
      </c>
      <c r="HP250" s="644">
        <f>(FT250*$GD250-HM250)/$JF250*INDEX(Input!$1:$1048576,$JG$93,$C250*2+6)</f>
        <v>274.33606330990347</v>
      </c>
      <c r="HQ250" s="644">
        <f>(FU250*$GD250-HN250)/$JF250*INDEX(Input!$1:$1048576,$JG$93,$C250*2+6)</f>
        <v>-2.3495020946290213</v>
      </c>
      <c r="HR250" s="644">
        <f>(FV250*$GD250-HO250)/$JF250*INDEX(Input!$1:$1048576,$JG$93,$C250*2+6)</f>
        <v>-86.805764620714271</v>
      </c>
      <c r="HS250" s="644">
        <f t="shared" si="851"/>
        <v>-28.457155834427059</v>
      </c>
      <c r="HT250" s="644">
        <f t="shared" si="731"/>
        <v>19.924354199814651</v>
      </c>
      <c r="HU250" s="644">
        <f t="shared" si="732"/>
        <v>13.884942401247638</v>
      </c>
      <c r="HV250" s="648">
        <f t="shared" si="733"/>
        <v>0</v>
      </c>
      <c r="HW250" s="648">
        <f t="shared" si="734"/>
        <v>0</v>
      </c>
      <c r="HX250" s="648">
        <f t="shared" si="735"/>
        <v>0</v>
      </c>
      <c r="HY250" s="644">
        <f>INDEX(Input!$1:$1048576,HY$93,$C250*2+6)*INDEX(Input!$1:$1048576,$JG$93,$C250*2+6)</f>
        <v>555</v>
      </c>
      <c r="HZ250" s="644">
        <f>INDEX(Input!$1:$1048576,HZ$93,$C250*2+6)*INDEX(Input!$1:$1048576,$JG$93,$C250*2+6)</f>
        <v>480</v>
      </c>
      <c r="IA250" s="644">
        <f>INDEX(Input!$1:$1048576,IA$93,$C250*2+6)*INDEX(Input!$1:$1048576,$JG$93,$C250*2+6)</f>
        <v>566</v>
      </c>
      <c r="IB250" s="644">
        <f t="shared" si="759"/>
        <v>800.87890747547635</v>
      </c>
      <c r="IC250" s="644">
        <f t="shared" si="760"/>
        <v>497.57485210518564</v>
      </c>
      <c r="ID250" s="644">
        <f>IF(AND(INDEX(Input!$1:$1048576,IA$93,$C250*2+7)="TOS",Y250&lt;=INDEX(Y:Y,MATCH(C250*1000+2,A:A))),0,1)*MAX(IA250+HR250+HU250+HX250,0%)</f>
        <v>493.07917778053337</v>
      </c>
      <c r="IE250" s="128">
        <f t="shared" si="856"/>
        <v>0.44703554747651797</v>
      </c>
      <c r="IF250" s="128">
        <f t="shared" si="736"/>
        <v>0.27773692670037042</v>
      </c>
      <c r="IG250" s="128">
        <f t="shared" si="737"/>
        <v>0.27522752582311161</v>
      </c>
      <c r="IH250" s="21"/>
      <c r="II250" s="19">
        <f t="shared" si="738"/>
        <v>1200</v>
      </c>
      <c r="IJ250" s="19">
        <f t="shared" si="739"/>
        <v>2226.7968732767699</v>
      </c>
      <c r="IK250" s="19">
        <f t="shared" si="740"/>
        <v>1786</v>
      </c>
      <c r="IL250" s="19">
        <f t="shared" si="762"/>
        <v>1400.0000000000005</v>
      </c>
      <c r="IM250" s="19">
        <f t="shared" si="741"/>
        <v>400.09115246673673</v>
      </c>
      <c r="IN250" s="19">
        <f t="shared" si="742"/>
        <v>-35</v>
      </c>
      <c r="IO250" s="39">
        <f t="shared" si="743"/>
        <v>0</v>
      </c>
      <c r="IP250" s="39">
        <f t="shared" si="744"/>
        <v>0</v>
      </c>
      <c r="IQ250" s="39">
        <f t="shared" si="745"/>
        <v>0</v>
      </c>
      <c r="IR250" s="39">
        <v>0</v>
      </c>
      <c r="IS250" s="39">
        <v>0</v>
      </c>
      <c r="IT250" s="39">
        <v>0</v>
      </c>
      <c r="IU250" s="39">
        <v>0</v>
      </c>
      <c r="IV250" s="39">
        <v>0</v>
      </c>
      <c r="IW250" s="39">
        <v>0</v>
      </c>
      <c r="IX250" s="39">
        <f>INDEX(Input!$1:$1048576,IX$93,$C250*2+6)+INDEX(Input!$1:$1048576,IX$94,$C250*2+6)</f>
        <v>1600</v>
      </c>
      <c r="IY250" s="39">
        <f>INDEX(Input!$1:$1048576,IY$93,$C250*2+6)+INDEX(Input!$1:$1048576,IY$94,$C250*2+6)</f>
        <v>2503.5492916397525</v>
      </c>
      <c r="IZ250" s="39">
        <f>INDEX(Input!$1:$1048576,IZ$93,$C250*2+6)+INDEX(Input!$1:$1048576,IZ$94,$C250*2+6)</f>
        <v>5773.7109265464023</v>
      </c>
      <c r="JA250" s="19">
        <f t="shared" si="763"/>
        <v>3000.0000000000005</v>
      </c>
      <c r="JB250" s="19">
        <f t="shared" si="764"/>
        <v>2903.6404441064892</v>
      </c>
      <c r="JC250" s="19">
        <f t="shared" si="765"/>
        <v>5738.7109265464023</v>
      </c>
      <c r="JD250" s="19">
        <f t="shared" si="766"/>
        <v>3727.0060253460119</v>
      </c>
      <c r="JE250" s="21"/>
      <c r="JF250" s="1">
        <f t="shared" si="746"/>
        <v>8.5237567437015646E-2</v>
      </c>
      <c r="JG250" s="15">
        <f>INDEX(Input!$1:$1048576,JG$93,$C250*2+6)/(1+VLOOKUP(C250*1000+INDEX(Input!$1:$1048576,JG$93+1,$C250*2+6),$A:$KK,$JK$92,FALSE))</f>
        <v>1601</v>
      </c>
      <c r="JH250" s="1">
        <f t="shared" si="767"/>
        <v>0.11566570680484706</v>
      </c>
      <c r="JI250" s="1">
        <f t="shared" si="768"/>
        <v>3.342998605018882E-3</v>
      </c>
      <c r="JJ250" s="1">
        <f t="shared" si="828"/>
        <v>0</v>
      </c>
      <c r="JK250" s="1">
        <f t="shared" si="829"/>
        <v>0.11900870540986594</v>
      </c>
      <c r="JL250" s="15">
        <f t="shared" si="771"/>
        <v>190.53293736119537</v>
      </c>
      <c r="JM250" s="15">
        <f t="shared" si="795"/>
        <v>1791.5329373611953</v>
      </c>
      <c r="JN250" s="21"/>
      <c r="JO250" s="19">
        <f>INDEX(Input!$1:$1048576,JO$93,$C250*2+6)</f>
        <v>5908.5</v>
      </c>
      <c r="JP250" s="19">
        <f>INDEX(Input!$1:$1048576,JP$93,$C250*2+6)</f>
        <v>3346.4235130620518</v>
      </c>
      <c r="JQ250" s="39">
        <f t="shared" si="781"/>
        <v>2181.4939746539881</v>
      </c>
      <c r="JR250" s="39">
        <f t="shared" si="798"/>
        <v>380.58251228396011</v>
      </c>
      <c r="JS250" s="39">
        <f t="shared" si="783"/>
        <v>6.6770540521510142</v>
      </c>
      <c r="JT250" s="39">
        <f t="shared" si="773"/>
        <v>1.3194300077386694</v>
      </c>
      <c r="JU250" s="385">
        <f>(JQ250*JM250-INDEX(Input!$1:$1048576,Input!A$18,$C250*2+6)*JL250*INDEX(Input!$1:$1048576,Input!A$19,$C250*2+6))/1000000</f>
        <v>3.9082183082476081</v>
      </c>
      <c r="JV250" s="39">
        <f t="shared" si="805"/>
        <v>-0.19366614734004672</v>
      </c>
      <c r="JW250" s="1">
        <f t="shared" si="796"/>
        <v>-4.721394506279461E-2</v>
      </c>
      <c r="JX250" s="19">
        <f t="shared" si="787"/>
        <v>6924.9444532386096</v>
      </c>
      <c r="JZ250" s="341"/>
      <c r="KA250" s="342"/>
      <c r="KB250" s="469">
        <f t="shared" si="784"/>
        <v>2.4482969984810516</v>
      </c>
      <c r="KI250" s="473">
        <f t="shared" si="853"/>
        <v>245.87890747547635</v>
      </c>
      <c r="KJ250" s="473">
        <f t="shared" si="854"/>
        <v>17.574852105185641</v>
      </c>
      <c r="KK250" s="473">
        <f t="shared" si="775"/>
        <v>-72.920822219466629</v>
      </c>
      <c r="KN250" s="544">
        <f t="shared" si="788"/>
        <v>2002</v>
      </c>
      <c r="KO250" s="541">
        <f t="shared" si="750"/>
        <v>3.6911437961851368E-2</v>
      </c>
      <c r="KP250" s="546">
        <f t="shared" si="751"/>
        <v>347.97541414727016</v>
      </c>
      <c r="KQ250" s="546">
        <f t="shared" si="752"/>
        <v>1.4024503894734153</v>
      </c>
      <c r="KR250" s="548">
        <f t="shared" si="753"/>
        <v>1.6939512432959827</v>
      </c>
      <c r="KS250" s="548">
        <f t="shared" si="754"/>
        <v>420.30248617388003</v>
      </c>
      <c r="KT250" s="473">
        <f t="shared" si="786"/>
        <v>528.59039248727379</v>
      </c>
      <c r="KU250" s="663">
        <f t="shared" si="776"/>
        <v>12.625888173800426</v>
      </c>
      <c r="KV250" s="117"/>
    </row>
    <row r="251" spans="1:308" s="26" customFormat="1" ht="15" outlineLevel="1">
      <c r="A251" s="561">
        <f t="shared" si="755"/>
        <v>2051</v>
      </c>
      <c r="B251" s="561">
        <f t="shared" si="777"/>
        <v>51</v>
      </c>
      <c r="C251" s="561">
        <f t="shared" si="857"/>
        <v>2</v>
      </c>
      <c r="D251" s="561" t="str">
        <f t="shared" si="824"/>
        <v xml:space="preserve">0/0/0.9/3.9, -360 Lease, </v>
      </c>
      <c r="E251" s="475">
        <f>INDEX(Input!$1:$1048576,E$93,$C251*2+MIN($B251,2)+5)
+INDEX(Scenarios!E$121:E$200,MATCH($B251,Scenarios!$B$121:$B$200,0))</f>
        <v>1250</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8.9999999999999993E-3</v>
      </c>
      <c r="W251" s="863">
        <f>IFERROR(MAX(0,INDEX(Input!$1:$1048576,W$93,$C251*2+MIN($B251,2)+5)-0%,),"Market")</f>
        <v>3.9E-2</v>
      </c>
      <c r="X251" s="476" t="str">
        <f>INDEX(Input!$1:$1048576,X$93,$C251*2+MIN($B251,2)+5)</f>
        <v>Y</v>
      </c>
      <c r="Y251" s="475">
        <f>INDEX(Input!$1:$1048576,Y$93,$C251*2+MIN($B251,2)+5)
++INDEX(Scenarios!Y$121:Y$200,MATCH($B251,Scenarios!$B$121:$B$200,0))</f>
        <v>998</v>
      </c>
      <c r="Z251" s="477">
        <f>INDEX(Input!$1:$1048576,Z$93,$C251*2+MIN($B251,2)+5)
+INDEX(Scenarios!Z$121:Z$200,MATCH($B251,Scenarios!$B$121:$B$200,0))</f>
        <v>0</v>
      </c>
      <c r="AA251" s="475">
        <f>INDEX(Input!$1:$1048576,AA$93,$C251*2+MIN($B251,2)+5)</f>
        <v>0</v>
      </c>
      <c r="AB251" s="476">
        <f>INDEX(Input!$1:$1048576,AB$93,$C251*2+MIN($B251,2)+5)</f>
        <v>1</v>
      </c>
      <c r="AC251" s="475">
        <f>INDEX(Input!$1:$1048576,AC$93,$C251*2+MIN($B251,2)+5)
+INDEX(Scenarios!AC$121:AC$200,MATCH($B251,Scenarios!$B$121:$B$200,0))</f>
        <v>0</v>
      </c>
      <c r="AD251" s="476">
        <f>INDEX(Input!$1:$1048576,AD$93,$C251*2+MIN($B251,2)+5)</f>
        <v>0.35</v>
      </c>
      <c r="AE251" s="475">
        <f>INDEX(Input!$1:$1048576,AE$93,$C251*2+MIN($B251,2)+5)
+INDEX(Scenarios!AE$121:AE$200,MATCH($B251,Scenarios!$B$121:$B$200,0))</f>
        <v>0</v>
      </c>
      <c r="AF251" s="476">
        <f>INDEX(Input!$1:$1048576,AF$93,$C251*2+MIN($B251,2)+5)</f>
        <v>1</v>
      </c>
      <c r="AG251" s="475">
        <f>INDEX(Input!$1:$1048576,AG$93,$C251*2+MIN($B251,2)+5)
+INDEX(Scenarios!AG$121:AG$200,MATCH($B251,Scenarios!$B$121:$B$200,0))</f>
        <v>0</v>
      </c>
      <c r="AH251" s="476">
        <f>INDEX(Input!$1:$1048576,AH$93,$C251*2+MIN($B251,2)+5)</f>
        <v>1</v>
      </c>
      <c r="AI251" s="475">
        <f>INDEX(Input!$1:$1048576,AI$93,$C251*2+MIN($B251,2)+5)
+INDEX(Scenarios!AI$121:AI$200,MATCH($B251,Scenarios!$B$121:$B$200,0))</f>
        <v>0</v>
      </c>
      <c r="AJ251" s="476">
        <f>INDEX(Input!$1:$1048576,AJ$93,$C251*2+MIN($B251,2)+5)</f>
        <v>0.35</v>
      </c>
      <c r="AK251" s="150">
        <f>ROUND(INDEX(Input!$1:$1048576,AK$93,$C250*2+MIN($B251,1)+5)+(Y251-VLOOKUP($C251*1000+1,$A:$HH,Y$92,FALSE)),0)</f>
        <v>4622</v>
      </c>
      <c r="AL251" s="150">
        <f>ROUND(INDEX(Input!$1:$1048576,AL$93,$C250*2+MIN($B251,1)+5)-(Y251-VLOOKUP($C251*1000+1,$A:$HH,Y$92,FALSE))/36,0)</f>
        <v>5112</v>
      </c>
      <c r="AM251" s="32" t="str">
        <f t="shared" si="756"/>
        <v>std/std/std/std</v>
      </c>
      <c r="AN251" s="32" t="str">
        <f t="shared" si="757"/>
        <v>$0 + 0/0/0/0.9/3.9</v>
      </c>
      <c r="AO251" s="32" t="str">
        <f t="shared" si="758"/>
        <v>0/0/0/0.9/3.9</v>
      </c>
      <c r="AP251" s="32" t="str">
        <f t="shared" si="831"/>
        <v>0/0/0.9/3.9</v>
      </c>
      <c r="AQ251" s="536">
        <f t="shared" si="830"/>
        <v>0.35541724355813986</v>
      </c>
      <c r="AR251" s="32"/>
      <c r="AS251" s="302"/>
      <c r="AT251" s="3">
        <f t="shared" si="810"/>
        <v>51</v>
      </c>
      <c r="AU251" s="41" t="s">
        <v>121</v>
      </c>
      <c r="AV251" s="41" t="s">
        <v>116</v>
      </c>
      <c r="AW251" s="41" t="str">
        <f>INDEX(Input!$1:$1048576,AW$93,$C251*2+6)</f>
        <v>Kia</v>
      </c>
      <c r="AX251" s="41" t="str">
        <f>INDEX(Input!$1:$1048576,AX$93,$C251*2+6)</f>
        <v>Kia-LR - L2</v>
      </c>
      <c r="AY251" s="41" t="str">
        <f>IF(LEN(D251)=0,"",INDEX(Input!$1:$1048576,AY$93,$C251*2+6))</f>
        <v>Compact Conventional/Sporty Car (43)</v>
      </c>
      <c r="AZ251" s="41" t="str">
        <f>INDEX(Input!$1:$1048576,AZ$93,$C251*2+6)</f>
        <v>Kia Forte</v>
      </c>
      <c r="BA251" s="3">
        <f>INDEX(Input!$1:$1048576,BA$93,$C251*2+6)</f>
        <v>2020</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19695</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832"/>
        <v>1250</v>
      </c>
      <c r="CJ251" s="16" t="str">
        <f>INDEX(Input!$1:$1048576,CJ$93,$C251*2+6)</f>
        <v>N</v>
      </c>
      <c r="CK251" s="1" t="str">
        <f t="shared" si="833"/>
        <v>Market</v>
      </c>
      <c r="CL251" s="1" t="str">
        <f t="shared" si="834"/>
        <v>Market</v>
      </c>
      <c r="CM251" s="1" t="str">
        <f t="shared" si="835"/>
        <v>Market</v>
      </c>
      <c r="CN251" s="1" t="str">
        <f t="shared" si="836"/>
        <v>Market</v>
      </c>
      <c r="CO251" s="1" t="str">
        <f t="shared" si="837"/>
        <v>Market</v>
      </c>
      <c r="CP251" s="304">
        <f t="shared" si="838"/>
        <v>0</v>
      </c>
      <c r="CQ251" s="1">
        <f t="shared" si="839"/>
        <v>0</v>
      </c>
      <c r="CR251" s="1">
        <f t="shared" si="840"/>
        <v>0</v>
      </c>
      <c r="CS251" s="1">
        <f t="shared" si="841"/>
        <v>0</v>
      </c>
      <c r="CT251" s="1">
        <f t="shared" si="842"/>
        <v>8.9999999999999993E-3</v>
      </c>
      <c r="CU251" s="1">
        <f t="shared" si="843"/>
        <v>3.9E-2</v>
      </c>
      <c r="CV251" s="304">
        <f t="shared" si="844"/>
        <v>998</v>
      </c>
      <c r="CW251" s="20" t="s">
        <v>122</v>
      </c>
      <c r="CX251" s="20" t="s">
        <v>122</v>
      </c>
      <c r="CY251" s="20" t="s">
        <v>122</v>
      </c>
      <c r="CZ251" s="20" t="s">
        <v>122</v>
      </c>
      <c r="DA251" s="20" t="s">
        <v>122</v>
      </c>
      <c r="DB251" s="503">
        <f t="shared" si="845"/>
        <v>0</v>
      </c>
      <c r="DC251" s="127">
        <v>0</v>
      </c>
      <c r="DD251" s="127">
        <v>0</v>
      </c>
      <c r="DE251" s="127">
        <v>0</v>
      </c>
      <c r="DF251" s="127">
        <v>0</v>
      </c>
      <c r="DG251" s="127">
        <v>0</v>
      </c>
      <c r="DH251" s="127">
        <v>0</v>
      </c>
      <c r="DI251" s="127">
        <v>0</v>
      </c>
      <c r="DJ251" s="127">
        <v>0</v>
      </c>
      <c r="DK251" s="127">
        <v>0</v>
      </c>
      <c r="DL251" s="127">
        <v>0</v>
      </c>
      <c r="DM251" s="304">
        <f>INDEX(Input!$1:$1048576,DM$93,$C251*2+6)</f>
        <v>20731.578947368424</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2.8751163405277034E-2</v>
      </c>
      <c r="DZ251" s="7">
        <v>0</v>
      </c>
      <c r="EA251" s="7">
        <v>0.58622494766335886</v>
      </c>
      <c r="EB251" s="7">
        <v>0</v>
      </c>
      <c r="EC251" s="7">
        <v>0</v>
      </c>
      <c r="ED251" s="7">
        <v>0</v>
      </c>
      <c r="EE251" s="7">
        <v>0</v>
      </c>
      <c r="EF251" s="7">
        <v>0</v>
      </c>
      <c r="EG251" s="7">
        <v>0</v>
      </c>
      <c r="EH251" s="7">
        <v>1.1570882912606734E-2</v>
      </c>
      <c r="EI251" s="7">
        <v>1.8904834575150038E-2</v>
      </c>
      <c r="EJ251" s="7">
        <v>0.18978541598860516</v>
      </c>
      <c r="EK251" s="7">
        <v>0.74549834966132322</v>
      </c>
      <c r="EL251" s="7">
        <v>3.4240516862315225E-2</v>
      </c>
      <c r="EM251" s="7">
        <v>5.2616687390274156E-2</v>
      </c>
      <c r="EN251" s="7">
        <v>4.8900511867376206E-2</v>
      </c>
      <c r="EO251" s="7">
        <v>0.56264758746058574</v>
      </c>
      <c r="EP251" s="7">
        <v>0.28432931299722281</v>
      </c>
      <c r="EQ251" s="7">
        <v>6.4863202011828963E-2</v>
      </c>
      <c r="ER251" s="7">
        <v>3.9259385662986229E-2</v>
      </c>
      <c r="ES251" s="7">
        <v>0.33240720154108988</v>
      </c>
      <c r="ET251" s="7">
        <v>0.38502388893136408</v>
      </c>
      <c r="EU251" s="6">
        <v>1600</v>
      </c>
      <c r="EV251" s="6">
        <v>0</v>
      </c>
      <c r="EW251" s="6">
        <v>1600</v>
      </c>
      <c r="EX251" s="6">
        <v>0</v>
      </c>
      <c r="EY251" s="6">
        <v>2969.9058977267605</v>
      </c>
      <c r="EZ251" s="6">
        <v>1751</v>
      </c>
      <c r="FA251" s="6">
        <v>0</v>
      </c>
      <c r="FB251" s="6">
        <v>0</v>
      </c>
      <c r="FC251" s="6">
        <v>0</v>
      </c>
      <c r="FD251" s="6">
        <v>0</v>
      </c>
      <c r="FE251" s="6">
        <v>0</v>
      </c>
      <c r="FF251" s="6">
        <v>0</v>
      </c>
      <c r="FG251" s="6">
        <v>0</v>
      </c>
      <c r="FH251" s="6">
        <v>1154.7798138296673</v>
      </c>
      <c r="FI251" s="6">
        <v>1531.429990438063</v>
      </c>
      <c r="FJ251" s="6">
        <v>2070.7205842538228</v>
      </c>
      <c r="FK251" s="6">
        <v>2218.639369850102</v>
      </c>
      <c r="FL251" s="6">
        <v>893.91433563489329</v>
      </c>
      <c r="FM251" s="6">
        <v>2119.9058977267605</v>
      </c>
      <c r="FN251" s="6">
        <v>0</v>
      </c>
      <c r="FO251" s="6">
        <v>0</v>
      </c>
      <c r="FP251" s="6">
        <v>0</v>
      </c>
      <c r="FQ251" s="6">
        <v>0</v>
      </c>
      <c r="FR251" s="6">
        <v>0</v>
      </c>
      <c r="FS251" s="6">
        <v>0</v>
      </c>
      <c r="FT251" s="7">
        <v>0.61497611106863592</v>
      </c>
      <c r="FU251" s="7">
        <v>5.2616687390274156E-2</v>
      </c>
      <c r="FV251" s="7">
        <v>0.33240720154108988</v>
      </c>
      <c r="FW251" s="6">
        <v>1599.9999999999998</v>
      </c>
      <c r="FX251" s="6">
        <v>2969.9058977267605</v>
      </c>
      <c r="FY251" s="6">
        <v>1751</v>
      </c>
      <c r="FZ251" s="6">
        <v>2594.6978186474794</v>
      </c>
      <c r="GA251" s="6">
        <v>1722.2733978074862</v>
      </c>
      <c r="GB251" s="6">
        <v>17972.726602192513</v>
      </c>
      <c r="GC251" s="7">
        <v>9.6947029492584935E-2</v>
      </c>
      <c r="GD251" s="7">
        <v>8.8377430437251464E-2</v>
      </c>
      <c r="GE251" s="7"/>
      <c r="GF251" s="7"/>
      <c r="GG251" s="7">
        <v>-8.8394653247100496E-2</v>
      </c>
      <c r="GH251" s="42">
        <v>1.9955111917034924</v>
      </c>
      <c r="GI251" s="6">
        <v>11591.924884546137</v>
      </c>
      <c r="GJ251" s="14">
        <v>0.51074630601039561</v>
      </c>
      <c r="GK251" s="14">
        <v>0.50829519786160993</v>
      </c>
      <c r="GL251" s="14">
        <v>0.48925369398960422</v>
      </c>
      <c r="GM251" s="14">
        <v>0.49170480213839046</v>
      </c>
      <c r="GO251" s="5">
        <v>338.16872463277008</v>
      </c>
      <c r="GP251" s="5">
        <v>307.64377699166363</v>
      </c>
      <c r="GQ251" s="5">
        <v>527.27910984145694</v>
      </c>
      <c r="GR251" s="5">
        <v>404.20319246551543</v>
      </c>
      <c r="GS251" s="5">
        <v>334.50205195691484</v>
      </c>
      <c r="GT251" s="5">
        <v>289.18266033348181</v>
      </c>
      <c r="GU251" s="5">
        <v>254.29573314828914</v>
      </c>
      <c r="GV251" s="39" t="s">
        <v>392</v>
      </c>
      <c r="GW251" s="5">
        <v>468.76388888888891</v>
      </c>
      <c r="GX251" s="5">
        <v>351.57291666666669</v>
      </c>
      <c r="GY251" s="5">
        <v>281.25833333333333</v>
      </c>
      <c r="GZ251" s="5">
        <v>240.8550698915011</v>
      </c>
      <c r="HA251" s="5">
        <v>229.89195052129486</v>
      </c>
      <c r="HB251" s="39">
        <v>252.87784601461794</v>
      </c>
      <c r="HC251" s="5">
        <v>206.50937499999998</v>
      </c>
      <c r="HD251" s="5">
        <v>184.03879751461983</v>
      </c>
      <c r="HE251" s="5">
        <v>188.92093033063426</v>
      </c>
      <c r="HF251" s="5">
        <v>177.21129934210524</v>
      </c>
      <c r="HG251" s="5">
        <v>174.01410087719296</v>
      </c>
      <c r="HH251" s="39">
        <v>185.68933690050665</v>
      </c>
      <c r="HI251" s="16"/>
      <c r="HJ251" s="19" t="str">
        <f t="shared" ref="HJ251:HK261" si="858">HJ250</f>
        <v>On</v>
      </c>
      <c r="HK251" s="1" t="str">
        <f t="shared" si="858"/>
        <v>On</v>
      </c>
      <c r="HL251" s="16"/>
      <c r="HM251" s="639">
        <f t="shared" si="727"/>
        <v>5.0961701597560354E-2</v>
      </c>
      <c r="HN251" s="639">
        <f t="shared" si="728"/>
        <v>3.112551654761847E-3</v>
      </c>
      <c r="HO251" s="639">
        <f t="shared" si="729"/>
        <v>3.1163314184693442E-2</v>
      </c>
      <c r="HP251" s="644">
        <f>(FT251*$GD251-HM251)/$JF251*INDEX(Input!$1:$1048576,$JG$93,$C251*2+6)</f>
        <v>63.641883225427982</v>
      </c>
      <c r="HQ251" s="644">
        <f>(FU251*$GD251-HN251)/$JF251*INDEX(Input!$1:$1048576,$JG$93,$C251*2+6)</f>
        <v>28.879978744712989</v>
      </c>
      <c r="HR251" s="644">
        <f>(FV251*$GD251-HO251)/$JF251*INDEX(Input!$1:$1048576,$JG$93,$C251*2+6)</f>
        <v>-33.546449900902061</v>
      </c>
      <c r="HS251" s="644">
        <f t="shared" si="851"/>
        <v>-8.5586217120706962</v>
      </c>
      <c r="HT251" s="644">
        <f t="shared" si="731"/>
        <v>62.643221229430303</v>
      </c>
      <c r="HU251" s="644">
        <f t="shared" si="732"/>
        <v>2.4668946650920152</v>
      </c>
      <c r="HV251" s="648">
        <f t="shared" si="733"/>
        <v>0</v>
      </c>
      <c r="HW251" s="648">
        <f t="shared" si="734"/>
        <v>0</v>
      </c>
      <c r="HX251" s="648">
        <f t="shared" si="735"/>
        <v>0</v>
      </c>
      <c r="HY251" s="644">
        <f>INDEX(Input!$1:$1048576,HY$93,$C251*2+6)*INDEX(Input!$1:$1048576,$JG$93,$C251*2+6)</f>
        <v>555</v>
      </c>
      <c r="HZ251" s="644">
        <f>INDEX(Input!$1:$1048576,HZ$93,$C251*2+6)*INDEX(Input!$1:$1048576,$JG$93,$C251*2+6)</f>
        <v>480</v>
      </c>
      <c r="IA251" s="644">
        <f>INDEX(Input!$1:$1048576,IA$93,$C251*2+6)*INDEX(Input!$1:$1048576,$JG$93,$C251*2+6)</f>
        <v>566</v>
      </c>
      <c r="IB251" s="644">
        <f t="shared" si="759"/>
        <v>610.08326151335734</v>
      </c>
      <c r="IC251" s="644">
        <f t="shared" si="760"/>
        <v>571.52319997414327</v>
      </c>
      <c r="ID251" s="644">
        <f>IF(AND(INDEX(Input!$1:$1048576,IA$93,$C251*2+7)="TOS",Y251&lt;=INDEX(Y:Y,MATCH(C251*1000+2,A:A))),0,1)*MAX(IA251+HR251+HU251+HX251,0%)</f>
        <v>534.92044476418994</v>
      </c>
      <c r="IE251" s="128">
        <f t="shared" si="856"/>
        <v>0.35541724355813986</v>
      </c>
      <c r="IF251" s="128">
        <f t="shared" si="736"/>
        <v>0.33295324290730466</v>
      </c>
      <c r="IG251" s="128">
        <f t="shared" si="737"/>
        <v>0.31162951353455554</v>
      </c>
      <c r="IH251" s="21"/>
      <c r="II251" s="19">
        <f t="shared" si="738"/>
        <v>1200</v>
      </c>
      <c r="IJ251" s="19">
        <f t="shared" si="739"/>
        <v>2226.7968732767699</v>
      </c>
      <c r="IK251" s="19">
        <f t="shared" si="740"/>
        <v>1786</v>
      </c>
      <c r="IL251" s="19">
        <f t="shared" si="762"/>
        <v>399.99999999999977</v>
      </c>
      <c r="IM251" s="19">
        <f t="shared" si="741"/>
        <v>743.10902444999056</v>
      </c>
      <c r="IN251" s="19">
        <f t="shared" si="742"/>
        <v>-35</v>
      </c>
      <c r="IO251" s="39">
        <f t="shared" si="743"/>
        <v>0</v>
      </c>
      <c r="IP251" s="39">
        <f t="shared" si="744"/>
        <v>0</v>
      </c>
      <c r="IQ251" s="39">
        <f t="shared" si="745"/>
        <v>0</v>
      </c>
      <c r="IR251" s="39">
        <v>0</v>
      </c>
      <c r="IS251" s="39">
        <v>0</v>
      </c>
      <c r="IT251" s="39">
        <v>0</v>
      </c>
      <c r="IU251" s="39">
        <v>0</v>
      </c>
      <c r="IV251" s="39">
        <v>0</v>
      </c>
      <c r="IW251" s="39">
        <v>0</v>
      </c>
      <c r="IX251" s="39">
        <f>INDEX(Input!$1:$1048576,IX$93,$C251*2+6)+INDEX(Input!$1:$1048576,IX$94,$C251*2+6)</f>
        <v>1600</v>
      </c>
      <c r="IY251" s="39">
        <f>INDEX(Input!$1:$1048576,IY$93,$C251*2+6)+INDEX(Input!$1:$1048576,IY$94,$C251*2+6)</f>
        <v>2503.5492916397525</v>
      </c>
      <c r="IZ251" s="39">
        <f>INDEX(Input!$1:$1048576,IZ$93,$C251*2+6)+INDEX(Input!$1:$1048576,IZ$94,$C251*2+6)</f>
        <v>5773.7109265464023</v>
      </c>
      <c r="JA251" s="19">
        <f t="shared" si="763"/>
        <v>1999.9999999999998</v>
      </c>
      <c r="JB251" s="19">
        <f t="shared" si="764"/>
        <v>3246.658316089743</v>
      </c>
      <c r="JC251" s="19">
        <f t="shared" si="765"/>
        <v>5738.7109265464023</v>
      </c>
      <c r="JD251" s="19">
        <f t="shared" si="766"/>
        <v>3580.1715964254226</v>
      </c>
      <c r="JE251" s="21"/>
      <c r="JF251" s="1">
        <f t="shared" si="746"/>
        <v>8.5237567437015646E-2</v>
      </c>
      <c r="JG251" s="15">
        <f>INDEX(Input!$1:$1048576,JG$93,$C251*2+6)/(1+VLOOKUP(C251*1000+INDEX(Input!$1:$1048576,JG$93+1,$C251*2+6),$A:$KK,$JK$92,FALSE))</f>
        <v>1601</v>
      </c>
      <c r="JH251" s="1">
        <f t="shared" si="767"/>
        <v>3.6836609662235426E-2</v>
      </c>
      <c r="JI251" s="1">
        <f t="shared" si="768"/>
        <v>3.5322607234510695E-2</v>
      </c>
      <c r="JJ251" s="1">
        <f t="shared" si="828"/>
        <v>0</v>
      </c>
      <c r="JK251" s="1">
        <f t="shared" si="829"/>
        <v>7.215921689674612E-2</v>
      </c>
      <c r="JL251" s="15">
        <f t="shared" si="771"/>
        <v>115.52690625169053</v>
      </c>
      <c r="JM251" s="15">
        <f t="shared" si="795"/>
        <v>1716.5269062516904</v>
      </c>
      <c r="JN251" s="21"/>
      <c r="JO251" s="19">
        <f>INDEX(Input!$1:$1048576,JO$93,$C251*2+6)</f>
        <v>5908.5</v>
      </c>
      <c r="JP251" s="19">
        <f>INDEX(Input!$1:$1048576,JP$93,$C251*2+6)</f>
        <v>3346.4235130620518</v>
      </c>
      <c r="JQ251" s="39">
        <f t="shared" si="781"/>
        <v>2328.3284035745774</v>
      </c>
      <c r="JR251" s="39">
        <f t="shared" si="798"/>
        <v>233.74808336337082</v>
      </c>
      <c r="JS251" s="39">
        <f t="shared" si="783"/>
        <v>6.145460874262306</v>
      </c>
      <c r="JT251" s="39">
        <f t="shared" si="773"/>
        <v>0.78783682984996117</v>
      </c>
      <c r="JU251" s="385">
        <f>(JQ251*JM251-INDEX(Input!$1:$1048576,Input!A$18,$C251*2+6)*JL251*INDEX(Input!$1:$1048576,Input!A$19,$C251*2+6))/1000000</f>
        <v>3.9966383513258066</v>
      </c>
      <c r="JV251" s="39">
        <f t="shared" si="805"/>
        <v>-0.10524610426184822</v>
      </c>
      <c r="JW251" s="1">
        <f t="shared" si="796"/>
        <v>-2.5657988517565442E-2</v>
      </c>
      <c r="JX251" s="19">
        <f t="shared" si="787"/>
        <v>6819.5094581132053</v>
      </c>
      <c r="JZ251" s="341"/>
      <c r="KA251" s="342"/>
      <c r="KB251" s="469">
        <f t="shared" si="784"/>
        <v>2.4482969984810516</v>
      </c>
      <c r="KI251" s="473">
        <f t="shared" si="853"/>
        <v>55.083261513357343</v>
      </c>
      <c r="KJ251" s="473">
        <f t="shared" si="854"/>
        <v>91.523199974143267</v>
      </c>
      <c r="KK251" s="473">
        <f t="shared" si="775"/>
        <v>-31.079555235810062</v>
      </c>
      <c r="KN251" s="544">
        <f t="shared" si="788"/>
        <v>2002</v>
      </c>
      <c r="KO251" s="541">
        <f t="shared" si="750"/>
        <v>-6.5008878467518461E-3</v>
      </c>
      <c r="KP251" s="546">
        <f t="shared" si="751"/>
        <v>2.0483931825541788</v>
      </c>
      <c r="KQ251" s="546">
        <f t="shared" si="752"/>
        <v>-145.43197853111587</v>
      </c>
      <c r="KR251" s="548">
        <f t="shared" si="753"/>
        <v>-50.681312564259898</v>
      </c>
      <c r="KS251" s="548">
        <f t="shared" si="754"/>
        <v>0.71384062974372353</v>
      </c>
      <c r="KT251" s="473">
        <f t="shared" si="786"/>
        <v>528.59039248727379</v>
      </c>
      <c r="KU251" s="663">
        <f t="shared" si="776"/>
        <v>12.3631147495056</v>
      </c>
      <c r="KV251" s="117"/>
    </row>
    <row r="252" spans="1:308" s="26" customFormat="1" ht="15" outlineLevel="1">
      <c r="A252" s="561">
        <f t="shared" si="755"/>
        <v>2052</v>
      </c>
      <c r="B252" s="561">
        <f t="shared" si="777"/>
        <v>52</v>
      </c>
      <c r="C252" s="561">
        <f t="shared" si="857"/>
        <v>2</v>
      </c>
      <c r="D252" s="561" t="str">
        <f t="shared" si="824"/>
        <v xml:space="preserve">0/0/0/3.9, -360 Lease, </v>
      </c>
      <c r="E252" s="475">
        <f>INDEX(Input!$1:$1048576,E$93,$C252*2+MIN($B252,2)+5)
+INDEX(Scenarios!E$121:E$200,MATCH($B252,Scenarios!$B$121:$B$200,0))</f>
        <v>1250</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63">
        <f>IFERROR(MAX(0,INDEX(Input!$1:$1048576,W$93,$C252*2+MIN($B252,2)+5)-0%,),"Market")</f>
        <v>3.9E-2</v>
      </c>
      <c r="X252" s="476" t="str">
        <f>INDEX(Input!$1:$1048576,X$93,$C252*2+MIN($B252,2)+5)</f>
        <v>Y</v>
      </c>
      <c r="Y252" s="475">
        <f>INDEX(Input!$1:$1048576,Y$93,$C252*2+MIN($B252,2)+5)
++INDEX(Scenarios!Y$121:Y$200,MATCH($B252,Scenarios!$B$121:$B$200,0))</f>
        <v>998</v>
      </c>
      <c r="Z252" s="477">
        <f>INDEX(Input!$1:$1048576,Z$93,$C252*2+MIN($B252,2)+5)
+INDEX(Scenarios!Z$121:Z$200,MATCH($B252,Scenarios!$B$121:$B$200,0))</f>
        <v>0</v>
      </c>
      <c r="AA252" s="475">
        <f>INDEX(Input!$1:$1048576,AA$93,$C252*2+MIN($B252,2)+5)</f>
        <v>0</v>
      </c>
      <c r="AB252" s="476">
        <f>INDEX(Input!$1:$1048576,AB$93,$C252*2+MIN($B252,2)+5)</f>
        <v>1</v>
      </c>
      <c r="AC252" s="475">
        <f>INDEX(Input!$1:$1048576,AC$93,$C252*2+MIN($B252,2)+5)
+INDEX(Scenarios!AC$121:AC$200,MATCH($B252,Scenarios!$B$121:$B$200,0))</f>
        <v>0</v>
      </c>
      <c r="AD252" s="476">
        <f>INDEX(Input!$1:$1048576,AD$93,$C252*2+MIN($B252,2)+5)</f>
        <v>0.35</v>
      </c>
      <c r="AE252" s="475">
        <f>INDEX(Input!$1:$1048576,AE$93,$C252*2+MIN($B252,2)+5)
+INDEX(Scenarios!AE$121:AE$200,MATCH($B252,Scenarios!$B$121:$B$200,0))</f>
        <v>0</v>
      </c>
      <c r="AF252" s="476">
        <f>INDEX(Input!$1:$1048576,AF$93,$C252*2+MIN($B252,2)+5)</f>
        <v>1</v>
      </c>
      <c r="AG252" s="475">
        <f>INDEX(Input!$1:$1048576,AG$93,$C252*2+MIN($B252,2)+5)
+INDEX(Scenarios!AG$121:AG$200,MATCH($B252,Scenarios!$B$121:$B$200,0))</f>
        <v>0</v>
      </c>
      <c r="AH252" s="476">
        <f>INDEX(Input!$1:$1048576,AH$93,$C252*2+MIN($B252,2)+5)</f>
        <v>1</v>
      </c>
      <c r="AI252" s="475">
        <f>INDEX(Input!$1:$1048576,AI$93,$C252*2+MIN($B252,2)+5)
+INDEX(Scenarios!AI$121:AI$200,MATCH($B252,Scenarios!$B$121:$B$200,0))</f>
        <v>0</v>
      </c>
      <c r="AJ252" s="476">
        <f>INDEX(Input!$1:$1048576,AJ$93,$C252*2+MIN($B252,2)+5)</f>
        <v>0.35</v>
      </c>
      <c r="AK252" s="150">
        <f>ROUND(INDEX(Input!$1:$1048576,AK$93,$C251*2+MIN($B252,1)+5)+(Y252-VLOOKUP($C252*1000+1,$A:$HH,Y$92,FALSE)),0)</f>
        <v>4622</v>
      </c>
      <c r="AL252" s="150">
        <f>ROUND(INDEX(Input!$1:$1048576,AL$93,$C251*2+MIN($B252,1)+5)-(Y252-VLOOKUP($C252*1000+1,$A:$HH,Y$92,FALSE))/36,0)</f>
        <v>5112</v>
      </c>
      <c r="AM252" s="32" t="str">
        <f t="shared" si="756"/>
        <v>std/std/std/std</v>
      </c>
      <c r="AN252" s="32" t="str">
        <f t="shared" si="757"/>
        <v>$0 + 0/0/0/0/3.9</v>
      </c>
      <c r="AO252" s="32" t="str">
        <f t="shared" si="758"/>
        <v>0/0/0/0/3.9</v>
      </c>
      <c r="AP252" s="32" t="str">
        <f t="shared" si="831"/>
        <v>0/0/0/3.9</v>
      </c>
      <c r="AQ252" s="536">
        <f t="shared" si="830"/>
        <v>0.33825260558560466</v>
      </c>
      <c r="AR252" s="32"/>
      <c r="AS252" s="302"/>
      <c r="AT252" s="3">
        <f t="shared" si="810"/>
        <v>52</v>
      </c>
      <c r="AU252" s="41" t="s">
        <v>121</v>
      </c>
      <c r="AV252" s="41" t="s">
        <v>116</v>
      </c>
      <c r="AW252" s="41" t="str">
        <f>INDEX(Input!$1:$1048576,AW$93,$C252*2+6)</f>
        <v>Kia</v>
      </c>
      <c r="AX252" s="41" t="str">
        <f>INDEX(Input!$1:$1048576,AX$93,$C252*2+6)</f>
        <v>Kia-LR - L2</v>
      </c>
      <c r="AY252" s="41" t="str">
        <f>IF(LEN(D252)=0,"",INDEX(Input!$1:$1048576,AY$93,$C252*2+6))</f>
        <v>Compact Conventional/Sporty Car (43)</v>
      </c>
      <c r="AZ252" s="41" t="str">
        <f>INDEX(Input!$1:$1048576,AZ$93,$C252*2+6)</f>
        <v>Kia Forte</v>
      </c>
      <c r="BA252" s="3">
        <f>INDEX(Input!$1:$1048576,BA$93,$C252*2+6)</f>
        <v>2020</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19695</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832"/>
        <v>1250</v>
      </c>
      <c r="CJ252" s="16" t="str">
        <f>INDEX(Input!$1:$1048576,CJ$93,$C252*2+6)</f>
        <v>N</v>
      </c>
      <c r="CK252" s="1" t="str">
        <f t="shared" si="833"/>
        <v>Market</v>
      </c>
      <c r="CL252" s="1" t="str">
        <f t="shared" si="834"/>
        <v>Market</v>
      </c>
      <c r="CM252" s="1" t="str">
        <f t="shared" si="835"/>
        <v>Market</v>
      </c>
      <c r="CN252" s="1" t="str">
        <f t="shared" si="836"/>
        <v>Market</v>
      </c>
      <c r="CO252" s="1" t="str">
        <f t="shared" si="837"/>
        <v>Market</v>
      </c>
      <c r="CP252" s="304">
        <f t="shared" si="838"/>
        <v>0</v>
      </c>
      <c r="CQ252" s="1">
        <f t="shared" si="839"/>
        <v>0</v>
      </c>
      <c r="CR252" s="1">
        <f t="shared" si="840"/>
        <v>0</v>
      </c>
      <c r="CS252" s="1">
        <f t="shared" si="841"/>
        <v>0</v>
      </c>
      <c r="CT252" s="1">
        <f t="shared" si="842"/>
        <v>0</v>
      </c>
      <c r="CU252" s="1">
        <f t="shared" si="843"/>
        <v>3.9E-2</v>
      </c>
      <c r="CV252" s="304">
        <f t="shared" si="844"/>
        <v>998</v>
      </c>
      <c r="CW252" s="20" t="s">
        <v>122</v>
      </c>
      <c r="CX252" s="20" t="s">
        <v>122</v>
      </c>
      <c r="CY252" s="20" t="s">
        <v>122</v>
      </c>
      <c r="CZ252" s="20" t="s">
        <v>122</v>
      </c>
      <c r="DA252" s="20" t="s">
        <v>122</v>
      </c>
      <c r="DB252" s="503">
        <f t="shared" si="845"/>
        <v>0</v>
      </c>
      <c r="DC252" s="127">
        <v>0</v>
      </c>
      <c r="DD252" s="127">
        <v>0</v>
      </c>
      <c r="DE252" s="127">
        <v>0</v>
      </c>
      <c r="DF252" s="127">
        <v>0</v>
      </c>
      <c r="DG252" s="127">
        <v>0</v>
      </c>
      <c r="DH252" s="127">
        <v>0</v>
      </c>
      <c r="DI252" s="127">
        <v>0</v>
      </c>
      <c r="DJ252" s="127">
        <v>0</v>
      </c>
      <c r="DK252" s="127">
        <v>0</v>
      </c>
      <c r="DL252" s="127">
        <v>0</v>
      </c>
      <c r="DM252" s="304">
        <f>INDEX(Input!$1:$1048576,DM$93,$C252*2+6)</f>
        <v>20731.578947368424</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2.815591581849201E-2</v>
      </c>
      <c r="DZ252" s="7">
        <v>0</v>
      </c>
      <c r="EA252" s="7">
        <v>0.57376741867216607</v>
      </c>
      <c r="EB252" s="7">
        <v>0</v>
      </c>
      <c r="EC252" s="7">
        <v>0</v>
      </c>
      <c r="ED252" s="7">
        <v>0</v>
      </c>
      <c r="EE252" s="7">
        <v>0</v>
      </c>
      <c r="EF252" s="7">
        <v>0</v>
      </c>
      <c r="EG252" s="7">
        <v>0</v>
      </c>
      <c r="EH252" s="7">
        <v>8.2387841631306712E-3</v>
      </c>
      <c r="EI252" s="7">
        <v>1.3463915114436526E-2</v>
      </c>
      <c r="EJ252" s="7">
        <v>0.13510638318732951</v>
      </c>
      <c r="EK252" s="7">
        <v>0.81881552259593704</v>
      </c>
      <c r="EL252" s="7">
        <v>2.4375394939165951E-2</v>
      </c>
      <c r="EM252" s="7">
        <v>7.2350207691900148E-2</v>
      </c>
      <c r="EN252" s="7">
        <v>4.8896291684244107E-2</v>
      </c>
      <c r="EO252" s="7">
        <v>0.56263076602395168</v>
      </c>
      <c r="EP252" s="7">
        <v>0.28434957900256863</v>
      </c>
      <c r="EQ252" s="7">
        <v>6.4859282791505518E-2</v>
      </c>
      <c r="ER252" s="7">
        <v>3.9264080497729968E-2</v>
      </c>
      <c r="ES252" s="7">
        <v>0.32572645781744169</v>
      </c>
      <c r="ET252" s="7">
        <v>0.39807666550934195</v>
      </c>
      <c r="EU252" s="6">
        <v>1600</v>
      </c>
      <c r="EV252" s="6">
        <v>0</v>
      </c>
      <c r="EW252" s="6">
        <v>1600</v>
      </c>
      <c r="EX252" s="6">
        <v>0</v>
      </c>
      <c r="EY252" s="6">
        <v>3339.5929338344513</v>
      </c>
      <c r="EZ252" s="6">
        <v>1751</v>
      </c>
      <c r="FA252" s="6">
        <v>0</v>
      </c>
      <c r="FB252" s="6">
        <v>0</v>
      </c>
      <c r="FC252" s="6">
        <v>0</v>
      </c>
      <c r="FD252" s="6">
        <v>0</v>
      </c>
      <c r="FE252" s="6">
        <v>0</v>
      </c>
      <c r="FF252" s="6">
        <v>0</v>
      </c>
      <c r="FG252" s="6">
        <v>0</v>
      </c>
      <c r="FH252" s="6">
        <v>1154.7784454897403</v>
      </c>
      <c r="FI252" s="6">
        <v>1531.4299904380623</v>
      </c>
      <c r="FJ252" s="6">
        <v>2070.7205842538224</v>
      </c>
      <c r="FK252" s="6">
        <v>2635.3956133202919</v>
      </c>
      <c r="FL252" s="6">
        <v>893.91433563489363</v>
      </c>
      <c r="FM252" s="6">
        <v>2489.5929338344513</v>
      </c>
      <c r="FN252" s="6">
        <v>0</v>
      </c>
      <c r="FO252" s="6">
        <v>0</v>
      </c>
      <c r="FP252" s="6">
        <v>0</v>
      </c>
      <c r="FQ252" s="6">
        <v>0</v>
      </c>
      <c r="FR252" s="6">
        <v>0</v>
      </c>
      <c r="FS252" s="6">
        <v>0</v>
      </c>
      <c r="FT252" s="7">
        <v>0.60192333449065805</v>
      </c>
      <c r="FU252" s="7">
        <v>7.2350207691900148E-2</v>
      </c>
      <c r="FV252" s="7">
        <v>0.32572645781744169</v>
      </c>
      <c r="FW252" s="6">
        <v>1600.0000000000002</v>
      </c>
      <c r="FX252" s="6">
        <v>3339.5929338344513</v>
      </c>
      <c r="FY252" s="6">
        <v>1751</v>
      </c>
      <c r="FZ252" s="6">
        <v>2594.6978186474794</v>
      </c>
      <c r="GA252" s="6">
        <v>1775.0446051927179</v>
      </c>
      <c r="GB252" s="6">
        <v>17919.955394807283</v>
      </c>
      <c r="GC252" s="7">
        <v>9.6947029492584935E-2</v>
      </c>
      <c r="GD252" s="7">
        <v>8.9140886949260215E-2</v>
      </c>
      <c r="GE252" s="7"/>
      <c r="GF252" s="7"/>
      <c r="GG252" s="7">
        <v>-8.051966712318688E-2</v>
      </c>
      <c r="GH252" s="42">
        <v>1.9347631632004714</v>
      </c>
      <c r="GI252" s="6">
        <v>11954.585116714896</v>
      </c>
      <c r="GJ252" s="14">
        <v>0.51074630601039517</v>
      </c>
      <c r="GK252" s="14">
        <v>0.50829519786160982</v>
      </c>
      <c r="GL252" s="14">
        <v>0.48925369398960417</v>
      </c>
      <c r="GM252" s="14">
        <v>0.49170480213839018</v>
      </c>
      <c r="GO252" s="5">
        <v>338.16872463277008</v>
      </c>
      <c r="GP252" s="5">
        <v>307.64377699166363</v>
      </c>
      <c r="GQ252" s="5">
        <v>527.27910984145694</v>
      </c>
      <c r="GR252" s="5">
        <v>404.20319246551543</v>
      </c>
      <c r="GS252" s="5">
        <v>334.50205195691484</v>
      </c>
      <c r="GT252" s="5">
        <v>289.18266033348181</v>
      </c>
      <c r="GU252" s="5">
        <v>254.29573314828914</v>
      </c>
      <c r="GV252" s="39" t="s">
        <v>392</v>
      </c>
      <c r="GW252" s="5">
        <v>468.76388888888891</v>
      </c>
      <c r="GX252" s="5">
        <v>351.57291666666669</v>
      </c>
      <c r="GY252" s="5">
        <v>281.25833333333333</v>
      </c>
      <c r="GZ252" s="5">
        <v>234.38194444444446</v>
      </c>
      <c r="HA252" s="5">
        <v>229.89195052129486</v>
      </c>
      <c r="HB252" s="39">
        <v>244.11466998314461</v>
      </c>
      <c r="HC252" s="5">
        <v>206.50937499999998</v>
      </c>
      <c r="HD252" s="5">
        <v>184.03879751461983</v>
      </c>
      <c r="HE252" s="5">
        <v>188.92093033063426</v>
      </c>
      <c r="HF252" s="5">
        <v>177.21129934210524</v>
      </c>
      <c r="HG252" s="5">
        <v>174.01410087719296</v>
      </c>
      <c r="HH252" s="39">
        <v>185.68932070605985</v>
      </c>
      <c r="HI252" s="16"/>
      <c r="HJ252" s="19" t="str">
        <f t="shared" si="858"/>
        <v>On</v>
      </c>
      <c r="HK252" s="1" t="str">
        <f t="shared" si="858"/>
        <v>On</v>
      </c>
      <c r="HL252" s="16"/>
      <c r="HM252" s="639">
        <f t="shared" si="727"/>
        <v>5.0961701597560354E-2</v>
      </c>
      <c r="HN252" s="639">
        <f t="shared" si="728"/>
        <v>3.112551654761847E-3</v>
      </c>
      <c r="HO252" s="639">
        <f t="shared" si="729"/>
        <v>3.1163314184693442E-2</v>
      </c>
      <c r="HP252" s="644">
        <f>(FT252*$GD252-HM252)/$JF252*INDEX(Input!$1:$1048576,$JG$93,$C252*2+6)</f>
        <v>50.606084981611019</v>
      </c>
      <c r="HQ252" s="644">
        <f>(FU252*$GD252-HN252)/$JF252*INDEX(Input!$1:$1048576,$JG$93,$C252*2+6)</f>
        <v>62.674628317485606</v>
      </c>
      <c r="HR252" s="644">
        <f>(FV252*$GD252-HO252)/$JF252*INDEX(Input!$1:$1048576,$JG$93,$C252*2+6)</f>
        <v>-39.965451883157492</v>
      </c>
      <c r="HS252" s="644">
        <f t="shared" si="851"/>
        <v>-8.8102579532334104</v>
      </c>
      <c r="HT252" s="644">
        <f t="shared" si="731"/>
        <v>96.125999598905111</v>
      </c>
      <c r="HU252" s="644">
        <f t="shared" si="732"/>
        <v>2.7185309062547258</v>
      </c>
      <c r="HV252" s="648">
        <f t="shared" si="733"/>
        <v>0</v>
      </c>
      <c r="HW252" s="648">
        <f t="shared" si="734"/>
        <v>0</v>
      </c>
      <c r="HX252" s="648">
        <f t="shared" si="735"/>
        <v>0</v>
      </c>
      <c r="HY252" s="644">
        <f>INDEX(Input!$1:$1048576,HY$93,$C252*2+6)*INDEX(Input!$1:$1048576,$JG$93,$C252*2+6)</f>
        <v>555</v>
      </c>
      <c r="HZ252" s="644">
        <f>INDEX(Input!$1:$1048576,HZ$93,$C252*2+6)*INDEX(Input!$1:$1048576,$JG$93,$C252*2+6)</f>
        <v>480</v>
      </c>
      <c r="IA252" s="644">
        <f>INDEX(Input!$1:$1048576,IA$93,$C252*2+6)*INDEX(Input!$1:$1048576,$JG$93,$C252*2+6)</f>
        <v>566</v>
      </c>
      <c r="IB252" s="644">
        <f t="shared" si="759"/>
        <v>596.79582702837786</v>
      </c>
      <c r="IC252" s="644">
        <f t="shared" si="760"/>
        <v>638.80062791639068</v>
      </c>
      <c r="ID252" s="644">
        <f>IF(AND(INDEX(Input!$1:$1048576,IA$93,$C252*2+7)="TOS",Y252&lt;=INDEX(Y:Y,MATCH(C252*1000+2,A:A))),0,1)*MAX(IA252+HR252+HU252+HX252,0%)</f>
        <v>528.75307902309726</v>
      </c>
      <c r="IE252" s="128">
        <f t="shared" si="856"/>
        <v>0.33825260558560466</v>
      </c>
      <c r="IF252" s="128">
        <f t="shared" si="736"/>
        <v>0.36206013356082833</v>
      </c>
      <c r="IG252" s="128">
        <f t="shared" si="737"/>
        <v>0.29968726085356706</v>
      </c>
      <c r="IH252" s="21"/>
      <c r="II252" s="19">
        <f t="shared" si="738"/>
        <v>1200</v>
      </c>
      <c r="IJ252" s="19">
        <f t="shared" si="739"/>
        <v>2226.7968732767699</v>
      </c>
      <c r="IK252" s="19">
        <f t="shared" si="740"/>
        <v>1786</v>
      </c>
      <c r="IL252" s="19">
        <f t="shared" si="762"/>
        <v>400.00000000000023</v>
      </c>
      <c r="IM252" s="19">
        <f t="shared" si="741"/>
        <v>1112.7960605576814</v>
      </c>
      <c r="IN252" s="19">
        <f t="shared" si="742"/>
        <v>-35</v>
      </c>
      <c r="IO252" s="39">
        <f t="shared" si="743"/>
        <v>0</v>
      </c>
      <c r="IP252" s="39">
        <f t="shared" si="744"/>
        <v>0</v>
      </c>
      <c r="IQ252" s="39">
        <f t="shared" si="745"/>
        <v>0</v>
      </c>
      <c r="IR252" s="39">
        <v>0</v>
      </c>
      <c r="IS252" s="39">
        <v>0</v>
      </c>
      <c r="IT252" s="39">
        <v>0</v>
      </c>
      <c r="IU252" s="39">
        <v>0</v>
      </c>
      <c r="IV252" s="39">
        <v>0</v>
      </c>
      <c r="IW252" s="39">
        <v>0</v>
      </c>
      <c r="IX252" s="39">
        <f>INDEX(Input!$1:$1048576,IX$93,$C252*2+6)+INDEX(Input!$1:$1048576,IX$94,$C252*2+6)</f>
        <v>1600</v>
      </c>
      <c r="IY252" s="39">
        <f>INDEX(Input!$1:$1048576,IY$93,$C252*2+6)+INDEX(Input!$1:$1048576,IY$94,$C252*2+6)</f>
        <v>2503.5492916397525</v>
      </c>
      <c r="IZ252" s="39">
        <f>INDEX(Input!$1:$1048576,IZ$93,$C252*2+6)+INDEX(Input!$1:$1048576,IZ$94,$C252*2+6)</f>
        <v>5773.7109265464023</v>
      </c>
      <c r="JA252" s="19">
        <f t="shared" si="763"/>
        <v>2000.0000000000002</v>
      </c>
      <c r="JB252" s="19">
        <f t="shared" si="764"/>
        <v>3616.3453521974338</v>
      </c>
      <c r="JC252" s="19">
        <f t="shared" si="765"/>
        <v>5738.7109265464023</v>
      </c>
      <c r="JD252" s="19">
        <f t="shared" si="766"/>
        <v>3705.6582507970206</v>
      </c>
      <c r="JE252" s="21"/>
      <c r="JF252" s="1">
        <f t="shared" si="746"/>
        <v>8.5237567437015646E-2</v>
      </c>
      <c r="JG252" s="15">
        <f>INDEX(Input!$1:$1048576,JG$93,$C252*2+6)/(1+VLOOKUP(C252*1000+INDEX(Input!$1:$1048576,JG$93+1,$C252*2+6),$A:$KK,$JK$92,FALSE))</f>
        <v>1601</v>
      </c>
      <c r="JH252" s="1">
        <f t="shared" si="767"/>
        <v>4.579341749902506E-2</v>
      </c>
      <c r="JI252" s="1">
        <f t="shared" si="768"/>
        <v>5.6236272674532427E-2</v>
      </c>
      <c r="JJ252" s="1">
        <f t="shared" si="828"/>
        <v>0</v>
      </c>
      <c r="JK252" s="1">
        <f t="shared" si="829"/>
        <v>0.10202969017355748</v>
      </c>
      <c r="JL252" s="15">
        <f t="shared" si="771"/>
        <v>163.34953396786554</v>
      </c>
      <c r="JM252" s="15">
        <f t="shared" si="795"/>
        <v>1764.3495339678655</v>
      </c>
      <c r="JN252" s="21"/>
      <c r="JO252" s="19">
        <f>INDEX(Input!$1:$1048576,JO$93,$C252*2+6)</f>
        <v>5908.5</v>
      </c>
      <c r="JP252" s="19">
        <f>INDEX(Input!$1:$1048576,JP$93,$C252*2+6)</f>
        <v>3346.4235130620518</v>
      </c>
      <c r="JQ252" s="39">
        <f t="shared" si="781"/>
        <v>2202.8417492029794</v>
      </c>
      <c r="JR252" s="39">
        <f t="shared" si="798"/>
        <v>359.2347377349688</v>
      </c>
      <c r="JS252" s="39">
        <f t="shared" si="783"/>
        <v>6.5380764078378988</v>
      </c>
      <c r="JT252" s="39">
        <f t="shared" si="773"/>
        <v>1.1804523634255537</v>
      </c>
      <c r="JU252" s="385">
        <f>(JQ252*JM252-INDEX(Input!$1:$1048576,Input!A$18,$C252*2+6)*JL252*INDEX(Input!$1:$1048576,Input!A$19,$C252*2+6))/1000000</f>
        <v>3.8865828136112341</v>
      </c>
      <c r="JV252" s="39">
        <f t="shared" si="805"/>
        <v>-0.21530164197642065</v>
      </c>
      <c r="JW252" s="1">
        <f t="shared" si="796"/>
        <v>-5.2488470679161431E-2</v>
      </c>
      <c r="JX252" s="19">
        <f t="shared" si="787"/>
        <v>7226.5425847971792</v>
      </c>
      <c r="JZ252" s="341"/>
      <c r="KA252" s="342"/>
      <c r="KB252" s="469">
        <f t="shared" si="784"/>
        <v>2.4482969984810516</v>
      </c>
      <c r="KI252" s="473">
        <f t="shared" si="853"/>
        <v>41.795827028377744</v>
      </c>
      <c r="KJ252" s="473">
        <f t="shared" si="854"/>
        <v>158.80062791639057</v>
      </c>
      <c r="KK252" s="473">
        <f t="shared" si="775"/>
        <v>-37.246920976902857</v>
      </c>
      <c r="KN252" s="544">
        <f t="shared" si="788"/>
        <v>2002</v>
      </c>
      <c r="KO252" s="541">
        <f t="shared" si="750"/>
        <v>2.1178106291828147E-2</v>
      </c>
      <c r="KP252" s="546">
        <f t="shared" si="751"/>
        <v>150.18300763469955</v>
      </c>
      <c r="KQ252" s="546">
        <f t="shared" si="752"/>
        <v>-19.945324159517895</v>
      </c>
      <c r="KR252" s="548">
        <f t="shared" si="753"/>
        <v>2.251929697190123</v>
      </c>
      <c r="KS252" s="548">
        <f t="shared" si="754"/>
        <v>-16.956434109621693</v>
      </c>
      <c r="KT252" s="473">
        <f t="shared" si="786"/>
        <v>528.59039248727379</v>
      </c>
      <c r="KU252" s="663">
        <f t="shared" si="776"/>
        <v>12.425303472173734</v>
      </c>
      <c r="KV252" s="117"/>
    </row>
    <row r="253" spans="1:308" s="26" customFormat="1" ht="15" outlineLevel="1">
      <c r="A253" s="561">
        <f t="shared" si="755"/>
        <v>2053</v>
      </c>
      <c r="B253" s="561">
        <f t="shared" si="777"/>
        <v>53</v>
      </c>
      <c r="C253" s="561">
        <f t="shared" si="857"/>
        <v>2</v>
      </c>
      <c r="D253" s="561" t="str">
        <f t="shared" ref="D253:D284" si="859">IF(E253=INDEX(E:E,MATCH(C253*1000+2,A:A,0)),"",E253-INDEX(E:E,MATCH(C253*1000+2,A:A,0))&amp;E$100&amp;", ")
&amp;IF(F253=INDEX(F:F,MATCH(C253*1000+2,A:A,0)),"",F253-INDEX(F:F,MATCH(C253*1000+2,A:A,0))&amp;F$100&amp;", ")
&amp;IF(AM253=INDEX(AM:AM,MATCH(C253*1000+2,A:A,0)),"",AM253&amp;AM$100&amp;", ")
&amp;IF(AP253=INDEX(AP:AP,MATCH(C253*1000+2,A:A,0)),"",AP253&amp;AP$100&amp;", ")
&amp;IF(Q253=INDEX(Q:Q,MATCH(C253*1000+2,A:A,0)),"",Q253-INDEX(Q:Q,MATCH(C253*1000+2,A:A,0))&amp;Q$100&amp;", ")
&amp;IF(Y253=INDEX(Y:Y,MATCH(C253*1000+2,A:A,0)),"",Y253-INDEX(Y:Y,MATCH(C253*1000+2,A:A,0))&amp;Y$100&amp;", ")
&amp;IF(Z253=INDEX(Z:Z,MATCH(C253*1000+2,A:A,0)),"",Z253-INDEX(Z:Z,MATCH(C253*1000+2,A:A,0))&amp;Z$100&amp;", ")
&amp;IF(AA253=INDEX(AA:AA,MATCH(C253*1000+2,A:A,0)),"",AA253-INDEX(AA:AA,MATCH(C253*1000+2,A:A,0))&amp;AA$100&amp;", ")
&amp;IF(AC253=INDEX(AC:AC,MATCH(C253*1000+2,A:A,0)),"",AC253-INDEX(AC:AC,MATCH(C253*1000+2,A:A,0))&amp;AC$100&amp;", ")
&amp;IF(AE253=INDEX(AE:AE,MATCH(C253*1000+2,A:A,0)),"",AE253-INDEX(AE:AE,MATCH(C253*1000+2,A:A,0))&amp;AE$100&amp;", ")
&amp;IF(AG253=INDEX(AG:AG,MATCH(C253*1000+2,A:A,0)),"",AG253-INDEX(AG:AG,MATCH(C253*1000+2,A:A,0))&amp;AG$100&amp;", ")
&amp;IF(AI253=INDEX(AI:AI,MATCH(C253*1000+2,A:A,0)),"",AI253-INDEX(AI:AI,MATCH(C253*1000+2,A:A,0))&amp;AI$100&amp;", ")</f>
        <v xml:space="preserve">0/0/0/3.9, -360 Lease, </v>
      </c>
      <c r="E253" s="475">
        <f>INDEX(Input!$1:$1048576,E$93,$C253*2+MIN($B253,2)+5)
+INDEX(Scenarios!E$121:E$200,MATCH($B253,Scenarios!$B$121:$B$200,0))</f>
        <v>1250</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63">
        <f>IFERROR(MAX(0,INDEX(Input!$1:$1048576,W$93,$C253*2+MIN($B253,2)+5)-0%,),"Market")</f>
        <v>3.9E-2</v>
      </c>
      <c r="X253" s="476" t="str">
        <f>INDEX(Input!$1:$1048576,X$93,$C253*2+MIN($B253,2)+5)</f>
        <v>Y</v>
      </c>
      <c r="Y253" s="475">
        <f>INDEX(Input!$1:$1048576,Y$93,$C253*2+MIN($B253,2)+5)
++INDEX(Scenarios!Y$121:Y$200,MATCH($B253,Scenarios!$B$121:$B$200,0))</f>
        <v>998</v>
      </c>
      <c r="Z253" s="477">
        <f>INDEX(Input!$1:$1048576,Z$93,$C253*2+MIN($B253,2)+5)
+INDEX(Scenarios!Z$121:Z$200,MATCH($B253,Scenarios!$B$121:$B$200,0))</f>
        <v>0</v>
      </c>
      <c r="AA253" s="475">
        <f>INDEX(Input!$1:$1048576,AA$93,$C253*2+MIN($B253,2)+5)</f>
        <v>0</v>
      </c>
      <c r="AB253" s="476">
        <f>INDEX(Input!$1:$1048576,AB$93,$C253*2+MIN($B253,2)+5)</f>
        <v>1</v>
      </c>
      <c r="AC253" s="475">
        <f>INDEX(Input!$1:$1048576,AC$93,$C253*2+MIN($B253,2)+5)
+INDEX(Scenarios!AC$121:AC$200,MATCH($B253,Scenarios!$B$121:$B$200,0))</f>
        <v>0</v>
      </c>
      <c r="AD253" s="476">
        <f>INDEX(Input!$1:$1048576,AD$93,$C253*2+MIN($B253,2)+5)</f>
        <v>0.35</v>
      </c>
      <c r="AE253" s="475">
        <f>INDEX(Input!$1:$1048576,AE$93,$C253*2+MIN($B253,2)+5)
+INDEX(Scenarios!AE$121:AE$200,MATCH($B253,Scenarios!$B$121:$B$200,0))</f>
        <v>0</v>
      </c>
      <c r="AF253" s="476">
        <f>INDEX(Input!$1:$1048576,AF$93,$C253*2+MIN($B253,2)+5)</f>
        <v>1</v>
      </c>
      <c r="AG253" s="475">
        <f>INDEX(Input!$1:$1048576,AG$93,$C253*2+MIN($B253,2)+5)
+INDEX(Scenarios!AG$121:AG$200,MATCH($B253,Scenarios!$B$121:$B$200,0))</f>
        <v>0</v>
      </c>
      <c r="AH253" s="476">
        <f>INDEX(Input!$1:$1048576,AH$93,$C253*2+MIN($B253,2)+5)</f>
        <v>1</v>
      </c>
      <c r="AI253" s="475">
        <f>INDEX(Input!$1:$1048576,AI$93,$C253*2+MIN($B253,2)+5)
+INDEX(Scenarios!AI$121:AI$200,MATCH($B253,Scenarios!$B$121:$B$200,0))</f>
        <v>0</v>
      </c>
      <c r="AJ253" s="476">
        <f>INDEX(Input!$1:$1048576,AJ$93,$C253*2+MIN($B253,2)+5)</f>
        <v>0.35</v>
      </c>
      <c r="AK253" s="150">
        <f>ROUND(INDEX(Input!$1:$1048576,AK$93,$C252*2+MIN($B253,1)+5)+(Y253-VLOOKUP($C253*1000+1,$A:$HH,Y$92,FALSE)),0)</f>
        <v>4622</v>
      </c>
      <c r="AL253" s="150">
        <f>ROUND(INDEX(Input!$1:$1048576,AL$93,$C252*2+MIN($B253,1)+5)-(Y253-VLOOKUP($C253*1000+1,$A:$HH,Y$92,FALSE))/36,0)</f>
        <v>5112</v>
      </c>
      <c r="AM253" s="32" t="str">
        <f t="shared" si="756"/>
        <v>std/std/std/std</v>
      </c>
      <c r="AN253" s="32" t="str">
        <f t="shared" si="757"/>
        <v>$0 + 0/0/0/0/3.9</v>
      </c>
      <c r="AO253" s="32" t="str">
        <f t="shared" si="758"/>
        <v>0/0/0/0/3.9</v>
      </c>
      <c r="AP253" s="32" t="str">
        <f t="shared" si="831"/>
        <v>0/0/0/3.9</v>
      </c>
      <c r="AQ253" s="536">
        <f t="shared" si="830"/>
        <v>0.33825260558560466</v>
      </c>
      <c r="AR253" s="32"/>
      <c r="AS253" s="302"/>
      <c r="AT253" s="3">
        <f t="shared" si="810"/>
        <v>53</v>
      </c>
      <c r="AU253" s="41" t="s">
        <v>121</v>
      </c>
      <c r="AV253" s="41" t="s">
        <v>116</v>
      </c>
      <c r="AW253" s="41" t="str">
        <f>INDEX(Input!$1:$1048576,AW$93,$C253*2+6)</f>
        <v>Kia</v>
      </c>
      <c r="AX253" s="41" t="str">
        <f>INDEX(Input!$1:$1048576,AX$93,$C253*2+6)</f>
        <v>Kia-LR - L2</v>
      </c>
      <c r="AY253" s="41" t="str">
        <f>IF(LEN(D253)=0,"",INDEX(Input!$1:$1048576,AY$93,$C253*2+6))</f>
        <v>Compact Conventional/Sporty Car (43)</v>
      </c>
      <c r="AZ253" s="41" t="str">
        <f>INDEX(Input!$1:$1048576,AZ$93,$C253*2+6)</f>
        <v>Kia Forte</v>
      </c>
      <c r="BA253" s="3">
        <f>INDEX(Input!$1:$1048576,BA$93,$C253*2+6)</f>
        <v>2020</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19695</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832"/>
        <v>1250</v>
      </c>
      <c r="CJ253" s="16" t="str">
        <f>INDEX(Input!$1:$1048576,CJ$93,$C253*2+6)</f>
        <v>N</v>
      </c>
      <c r="CK253" s="1" t="str">
        <f t="shared" si="833"/>
        <v>Market</v>
      </c>
      <c r="CL253" s="1" t="str">
        <f t="shared" si="834"/>
        <v>Market</v>
      </c>
      <c r="CM253" s="1" t="str">
        <f t="shared" si="835"/>
        <v>Market</v>
      </c>
      <c r="CN253" s="1" t="str">
        <f t="shared" si="836"/>
        <v>Market</v>
      </c>
      <c r="CO253" s="1" t="str">
        <f t="shared" si="837"/>
        <v>Market</v>
      </c>
      <c r="CP253" s="304">
        <f t="shared" si="838"/>
        <v>0</v>
      </c>
      <c r="CQ253" s="1">
        <f t="shared" si="839"/>
        <v>0</v>
      </c>
      <c r="CR253" s="1">
        <f t="shared" si="840"/>
        <v>0</v>
      </c>
      <c r="CS253" s="1">
        <f t="shared" si="841"/>
        <v>0</v>
      </c>
      <c r="CT253" s="1">
        <f t="shared" si="842"/>
        <v>0</v>
      </c>
      <c r="CU253" s="1">
        <f t="shared" si="843"/>
        <v>3.9E-2</v>
      </c>
      <c r="CV253" s="304">
        <f t="shared" si="844"/>
        <v>998</v>
      </c>
      <c r="CW253" s="20" t="s">
        <v>122</v>
      </c>
      <c r="CX253" s="20" t="s">
        <v>122</v>
      </c>
      <c r="CY253" s="20" t="s">
        <v>122</v>
      </c>
      <c r="CZ253" s="20" t="s">
        <v>122</v>
      </c>
      <c r="DA253" s="20" t="s">
        <v>122</v>
      </c>
      <c r="DB253" s="503">
        <f t="shared" si="845"/>
        <v>0</v>
      </c>
      <c r="DC253" s="127">
        <v>0</v>
      </c>
      <c r="DD253" s="127">
        <v>0</v>
      </c>
      <c r="DE253" s="127">
        <v>0</v>
      </c>
      <c r="DF253" s="127">
        <v>0</v>
      </c>
      <c r="DG253" s="127">
        <v>0</v>
      </c>
      <c r="DH253" s="127">
        <v>0</v>
      </c>
      <c r="DI253" s="127">
        <v>0</v>
      </c>
      <c r="DJ253" s="127">
        <v>0</v>
      </c>
      <c r="DK253" s="127">
        <v>0</v>
      </c>
      <c r="DL253" s="127">
        <v>0</v>
      </c>
      <c r="DM253" s="304">
        <f>INDEX(Input!$1:$1048576,DM$93,$C253*2+6)</f>
        <v>20731.578947368424</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2.815591581849201E-2</v>
      </c>
      <c r="DZ253" s="7">
        <v>0</v>
      </c>
      <c r="EA253" s="7">
        <v>0.57376741867216607</v>
      </c>
      <c r="EB253" s="7">
        <v>0</v>
      </c>
      <c r="EC253" s="7">
        <v>0</v>
      </c>
      <c r="ED253" s="7">
        <v>0</v>
      </c>
      <c r="EE253" s="7">
        <v>0</v>
      </c>
      <c r="EF253" s="7">
        <v>0</v>
      </c>
      <c r="EG253" s="7">
        <v>0</v>
      </c>
      <c r="EH253" s="7">
        <v>8.2387841631306712E-3</v>
      </c>
      <c r="EI253" s="7">
        <v>1.3463915114436526E-2</v>
      </c>
      <c r="EJ253" s="7">
        <v>0.13510638318732951</v>
      </c>
      <c r="EK253" s="7">
        <v>0.81881552259593704</v>
      </c>
      <c r="EL253" s="7">
        <v>2.4375394939165951E-2</v>
      </c>
      <c r="EM253" s="7">
        <v>7.2350207691900148E-2</v>
      </c>
      <c r="EN253" s="7">
        <v>4.8896291684244107E-2</v>
      </c>
      <c r="EO253" s="7">
        <v>0.56263076602395168</v>
      </c>
      <c r="EP253" s="7">
        <v>0.28434957900256863</v>
      </c>
      <c r="EQ253" s="7">
        <v>6.4859282791505518E-2</v>
      </c>
      <c r="ER253" s="7">
        <v>3.9264080497729968E-2</v>
      </c>
      <c r="ES253" s="7">
        <v>0.32572645781744169</v>
      </c>
      <c r="ET253" s="7">
        <v>0.39807666550934195</v>
      </c>
      <c r="EU253" s="6">
        <v>1600</v>
      </c>
      <c r="EV253" s="6">
        <v>0</v>
      </c>
      <c r="EW253" s="6">
        <v>1600</v>
      </c>
      <c r="EX253" s="6">
        <v>0</v>
      </c>
      <c r="EY253" s="6">
        <v>3339.5929338344513</v>
      </c>
      <c r="EZ253" s="6">
        <v>1751</v>
      </c>
      <c r="FA253" s="6">
        <v>0</v>
      </c>
      <c r="FB253" s="6">
        <v>0</v>
      </c>
      <c r="FC253" s="6">
        <v>0</v>
      </c>
      <c r="FD253" s="6">
        <v>0</v>
      </c>
      <c r="FE253" s="6">
        <v>0</v>
      </c>
      <c r="FF253" s="6">
        <v>0</v>
      </c>
      <c r="FG253" s="6">
        <v>0</v>
      </c>
      <c r="FH253" s="6">
        <v>1154.7784454897403</v>
      </c>
      <c r="FI253" s="6">
        <v>1531.4299904380623</v>
      </c>
      <c r="FJ253" s="6">
        <v>2070.7205842538224</v>
      </c>
      <c r="FK253" s="6">
        <v>2635.3956133202919</v>
      </c>
      <c r="FL253" s="6">
        <v>893.91433563489363</v>
      </c>
      <c r="FM253" s="6">
        <v>2489.5929338344513</v>
      </c>
      <c r="FN253" s="6">
        <v>0</v>
      </c>
      <c r="FO253" s="6">
        <v>0</v>
      </c>
      <c r="FP253" s="6">
        <v>0</v>
      </c>
      <c r="FQ253" s="6">
        <v>0</v>
      </c>
      <c r="FR253" s="6">
        <v>0</v>
      </c>
      <c r="FS253" s="6">
        <v>0</v>
      </c>
      <c r="FT253" s="7">
        <v>0.60192333449065805</v>
      </c>
      <c r="FU253" s="7">
        <v>7.2350207691900148E-2</v>
      </c>
      <c r="FV253" s="7">
        <v>0.32572645781744169</v>
      </c>
      <c r="FW253" s="6">
        <v>1600.0000000000002</v>
      </c>
      <c r="FX253" s="6">
        <v>3339.5929338344513</v>
      </c>
      <c r="FY253" s="6">
        <v>1751</v>
      </c>
      <c r="FZ253" s="6">
        <v>2594.6978186474794</v>
      </c>
      <c r="GA253" s="6">
        <v>1775.0446051927179</v>
      </c>
      <c r="GB253" s="6">
        <v>17919.955394807283</v>
      </c>
      <c r="GC253" s="7">
        <v>9.6947029492584935E-2</v>
      </c>
      <c r="GD253" s="7">
        <v>8.9140886949260215E-2</v>
      </c>
      <c r="GE253" s="7"/>
      <c r="GF253" s="7"/>
      <c r="GG253" s="7">
        <v>-8.051966712318688E-2</v>
      </c>
      <c r="GH253" s="42">
        <v>1.9347631632004714</v>
      </c>
      <c r="GI253" s="6">
        <v>11954.585116714896</v>
      </c>
      <c r="GJ253" s="14">
        <v>0.51074630601039517</v>
      </c>
      <c r="GK253" s="14">
        <v>0.50829519786160982</v>
      </c>
      <c r="GL253" s="14">
        <v>0.48925369398960417</v>
      </c>
      <c r="GM253" s="14">
        <v>0.49170480213839018</v>
      </c>
      <c r="GO253" s="5">
        <v>338.16872463277008</v>
      </c>
      <c r="GP253" s="5">
        <v>307.64377699166363</v>
      </c>
      <c r="GQ253" s="5">
        <v>527.27910984145694</v>
      </c>
      <c r="GR253" s="5">
        <v>404.20319246551543</v>
      </c>
      <c r="GS253" s="5">
        <v>334.50205195691484</v>
      </c>
      <c r="GT253" s="5">
        <v>289.18266033348181</v>
      </c>
      <c r="GU253" s="5">
        <v>254.29573314828914</v>
      </c>
      <c r="GV253" s="39" t="s">
        <v>392</v>
      </c>
      <c r="GW253" s="5">
        <v>468.76388888888891</v>
      </c>
      <c r="GX253" s="5">
        <v>351.57291666666669</v>
      </c>
      <c r="GY253" s="5">
        <v>281.25833333333333</v>
      </c>
      <c r="GZ253" s="5">
        <v>234.38194444444446</v>
      </c>
      <c r="HA253" s="5">
        <v>229.89195052129486</v>
      </c>
      <c r="HB253" s="39">
        <v>244.11466998314461</v>
      </c>
      <c r="HC253" s="5">
        <v>206.50937499999998</v>
      </c>
      <c r="HD253" s="5">
        <v>184.03879751461983</v>
      </c>
      <c r="HE253" s="5">
        <v>188.92093033063426</v>
      </c>
      <c r="HF253" s="5">
        <v>177.21129934210524</v>
      </c>
      <c r="HG253" s="5">
        <v>174.01410087719296</v>
      </c>
      <c r="HH253" s="39">
        <v>185.68932070605985</v>
      </c>
      <c r="HI253" s="16"/>
      <c r="HJ253" s="19" t="str">
        <f t="shared" si="858"/>
        <v>On</v>
      </c>
      <c r="HK253" s="1" t="str">
        <f t="shared" si="858"/>
        <v>On</v>
      </c>
      <c r="HL253" s="16"/>
      <c r="HM253" s="639">
        <f t="shared" si="727"/>
        <v>5.0961701597560354E-2</v>
      </c>
      <c r="HN253" s="639">
        <f t="shared" si="728"/>
        <v>3.112551654761847E-3</v>
      </c>
      <c r="HO253" s="639">
        <f t="shared" si="729"/>
        <v>3.1163314184693442E-2</v>
      </c>
      <c r="HP253" s="644">
        <f>(FT253*$GD253-HM253)/$JF253*INDEX(Input!$1:$1048576,$JG$93,$C253*2+6)</f>
        <v>50.606084981611019</v>
      </c>
      <c r="HQ253" s="644">
        <f>(FU253*$GD253-HN253)/$JF253*INDEX(Input!$1:$1048576,$JG$93,$C253*2+6)</f>
        <v>62.674628317485606</v>
      </c>
      <c r="HR253" s="644">
        <f>(FV253*$GD253-HO253)/$JF253*INDEX(Input!$1:$1048576,$JG$93,$C253*2+6)</f>
        <v>-39.965451883157492</v>
      </c>
      <c r="HS253" s="644">
        <f t="shared" si="851"/>
        <v>-8.8102579532334104</v>
      </c>
      <c r="HT253" s="644">
        <f t="shared" si="731"/>
        <v>96.125999598905111</v>
      </c>
      <c r="HU253" s="644">
        <f t="shared" si="732"/>
        <v>2.7185309062547258</v>
      </c>
      <c r="HV253" s="648">
        <f t="shared" si="733"/>
        <v>0</v>
      </c>
      <c r="HW253" s="648">
        <f t="shared" si="734"/>
        <v>0</v>
      </c>
      <c r="HX253" s="648">
        <f t="shared" si="735"/>
        <v>0</v>
      </c>
      <c r="HY253" s="644">
        <f>INDEX(Input!$1:$1048576,HY$93,$C253*2+6)*INDEX(Input!$1:$1048576,$JG$93,$C253*2+6)</f>
        <v>555</v>
      </c>
      <c r="HZ253" s="644">
        <f>INDEX(Input!$1:$1048576,HZ$93,$C253*2+6)*INDEX(Input!$1:$1048576,$JG$93,$C253*2+6)</f>
        <v>480</v>
      </c>
      <c r="IA253" s="644">
        <f>INDEX(Input!$1:$1048576,IA$93,$C253*2+6)*INDEX(Input!$1:$1048576,$JG$93,$C253*2+6)</f>
        <v>566</v>
      </c>
      <c r="IB253" s="644">
        <f t="shared" si="759"/>
        <v>596.79582702837786</v>
      </c>
      <c r="IC253" s="644">
        <f t="shared" si="760"/>
        <v>638.80062791639068</v>
      </c>
      <c r="ID253" s="644">
        <f>IF(AND(INDEX(Input!$1:$1048576,IA$93,$C253*2+7)="TOS",Y253&lt;=INDEX(Y:Y,MATCH(C253*1000+2,A:A))),0,1)*MAX(IA253+HR253+HU253+HX253,0%)</f>
        <v>528.75307902309726</v>
      </c>
      <c r="IE253" s="128">
        <f t="shared" si="856"/>
        <v>0.33825260558560466</v>
      </c>
      <c r="IF253" s="128">
        <f t="shared" si="736"/>
        <v>0.36206013356082833</v>
      </c>
      <c r="IG253" s="128">
        <f t="shared" si="737"/>
        <v>0.29968726085356706</v>
      </c>
      <c r="IH253" s="21"/>
      <c r="II253" s="19">
        <f t="shared" si="738"/>
        <v>1200</v>
      </c>
      <c r="IJ253" s="19">
        <f t="shared" si="739"/>
        <v>2226.7968732767699</v>
      </c>
      <c r="IK253" s="19">
        <f t="shared" si="740"/>
        <v>1786</v>
      </c>
      <c r="IL253" s="19">
        <f t="shared" si="762"/>
        <v>400.00000000000023</v>
      </c>
      <c r="IM253" s="19">
        <f t="shared" si="741"/>
        <v>1112.7960605576814</v>
      </c>
      <c r="IN253" s="19">
        <f t="shared" si="742"/>
        <v>-35</v>
      </c>
      <c r="IO253" s="39">
        <f t="shared" si="743"/>
        <v>0</v>
      </c>
      <c r="IP253" s="39">
        <f t="shared" si="744"/>
        <v>0</v>
      </c>
      <c r="IQ253" s="39">
        <f t="shared" si="745"/>
        <v>0</v>
      </c>
      <c r="IR253" s="39">
        <v>0</v>
      </c>
      <c r="IS253" s="39">
        <v>0</v>
      </c>
      <c r="IT253" s="39">
        <v>0</v>
      </c>
      <c r="IU253" s="39">
        <v>0</v>
      </c>
      <c r="IV253" s="39">
        <v>0</v>
      </c>
      <c r="IW253" s="39">
        <v>0</v>
      </c>
      <c r="IX253" s="39">
        <f>INDEX(Input!$1:$1048576,IX$93,$C253*2+6)+INDEX(Input!$1:$1048576,IX$94,$C253*2+6)</f>
        <v>1600</v>
      </c>
      <c r="IY253" s="39">
        <f>INDEX(Input!$1:$1048576,IY$93,$C253*2+6)+INDEX(Input!$1:$1048576,IY$94,$C253*2+6)</f>
        <v>2503.5492916397525</v>
      </c>
      <c r="IZ253" s="39">
        <f>INDEX(Input!$1:$1048576,IZ$93,$C253*2+6)+INDEX(Input!$1:$1048576,IZ$94,$C253*2+6)</f>
        <v>5773.7109265464023</v>
      </c>
      <c r="JA253" s="19">
        <f t="shared" si="763"/>
        <v>2000.0000000000002</v>
      </c>
      <c r="JB253" s="19">
        <f t="shared" si="764"/>
        <v>3616.3453521974338</v>
      </c>
      <c r="JC253" s="19">
        <f t="shared" si="765"/>
        <v>5738.7109265464023</v>
      </c>
      <c r="JD253" s="19">
        <f t="shared" si="766"/>
        <v>3705.6582507970206</v>
      </c>
      <c r="JE253" s="21"/>
      <c r="JF253" s="1">
        <f t="shared" si="746"/>
        <v>8.5237567437015646E-2</v>
      </c>
      <c r="JG253" s="15">
        <f>INDEX(Input!$1:$1048576,JG$93,$C253*2+6)/(1+VLOOKUP(C253*1000+INDEX(Input!$1:$1048576,JG$93+1,$C253*2+6),$A:$KK,$JK$92,FALSE))</f>
        <v>1601</v>
      </c>
      <c r="JH253" s="1">
        <f t="shared" si="767"/>
        <v>4.579341749902506E-2</v>
      </c>
      <c r="JI253" s="1">
        <f t="shared" si="768"/>
        <v>5.6236272674532427E-2</v>
      </c>
      <c r="JJ253" s="1">
        <f t="shared" si="828"/>
        <v>0</v>
      </c>
      <c r="JK253" s="1">
        <f t="shared" si="829"/>
        <v>0.10202969017355748</v>
      </c>
      <c r="JL253" s="15">
        <f t="shared" si="771"/>
        <v>163.34953396786554</v>
      </c>
      <c r="JM253" s="15">
        <f t="shared" si="795"/>
        <v>1764.3495339678655</v>
      </c>
      <c r="JN253" s="21"/>
      <c r="JO253" s="19">
        <f>INDEX(Input!$1:$1048576,JO$93,$C253*2+6)</f>
        <v>5908.5</v>
      </c>
      <c r="JP253" s="19">
        <f>INDEX(Input!$1:$1048576,JP$93,$C253*2+6)</f>
        <v>3346.4235130620518</v>
      </c>
      <c r="JQ253" s="39">
        <f t="shared" si="781"/>
        <v>2202.8417492029794</v>
      </c>
      <c r="JR253" s="39">
        <f t="shared" si="798"/>
        <v>359.2347377349688</v>
      </c>
      <c r="JS253" s="39">
        <f t="shared" si="783"/>
        <v>6.5380764078378988</v>
      </c>
      <c r="JT253" s="39">
        <f t="shared" si="773"/>
        <v>1.1804523634255537</v>
      </c>
      <c r="JU253" s="385">
        <f>(JQ253*JM253-INDEX(Input!$1:$1048576,Input!A$18,$C253*2+6)*JL253*INDEX(Input!$1:$1048576,Input!A$19,$C253*2+6))/1000000</f>
        <v>3.8865828136112341</v>
      </c>
      <c r="JV253" s="39">
        <f t="shared" si="805"/>
        <v>-0.21530164197642065</v>
      </c>
      <c r="JW253" s="1">
        <f t="shared" si="796"/>
        <v>-5.2488470679161431E-2</v>
      </c>
      <c r="JX253" s="19">
        <f t="shared" si="787"/>
        <v>7226.5425847971792</v>
      </c>
      <c r="JZ253" s="341"/>
      <c r="KA253" s="342"/>
      <c r="KB253" s="469">
        <f t="shared" si="784"/>
        <v>2.4482969984810516</v>
      </c>
      <c r="KI253" s="473">
        <f t="shared" si="853"/>
        <v>41.795827028377744</v>
      </c>
      <c r="KJ253" s="473">
        <f t="shared" si="854"/>
        <v>158.80062791639057</v>
      </c>
      <c r="KK253" s="473">
        <f t="shared" si="775"/>
        <v>-37.246920976902857</v>
      </c>
      <c r="KN253" s="544">
        <f t="shared" si="788"/>
        <v>2002</v>
      </c>
      <c r="KO253" s="541">
        <f t="shared" si="750"/>
        <v>2.1178106291828147E-2</v>
      </c>
      <c r="KP253" s="546">
        <f t="shared" si="751"/>
        <v>150.18300763469955</v>
      </c>
      <c r="KQ253" s="546">
        <f t="shared" si="752"/>
        <v>-19.945324159517895</v>
      </c>
      <c r="KR253" s="548">
        <f t="shared" si="753"/>
        <v>2.251929697190123</v>
      </c>
      <c r="KS253" s="548">
        <f t="shared" si="754"/>
        <v>-16.956434109621693</v>
      </c>
      <c r="KT253" s="473">
        <f t="shared" si="786"/>
        <v>528.59039248727379</v>
      </c>
      <c r="KU253" s="663">
        <f t="shared" si="776"/>
        <v>12.425304472173734</v>
      </c>
      <c r="KV253" s="117"/>
    </row>
    <row r="254" spans="1:308" s="26" customFormat="1" ht="15" outlineLevel="1">
      <c r="A254" s="561">
        <f t="shared" si="755"/>
        <v>2054</v>
      </c>
      <c r="B254" s="561">
        <f t="shared" si="777"/>
        <v>54</v>
      </c>
      <c r="C254" s="561">
        <f t="shared" si="857"/>
        <v>2</v>
      </c>
      <c r="D254" s="561" t="str">
        <f t="shared" si="859"/>
        <v xml:space="preserve">0/0/0/3.9, -360 Lease, </v>
      </c>
      <c r="E254" s="475">
        <f>INDEX(Input!$1:$1048576,E$93,$C254*2+MIN($B254,2)+5)
+INDEX(Scenarios!E$121:E$200,MATCH($B254,Scenarios!$B$121:$B$200,0))</f>
        <v>1250</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63">
        <f>IFERROR(MAX(0,INDEX(Input!$1:$1048576,W$93,$C254*2+MIN($B254,2)+5)-0%,),"Market")</f>
        <v>3.9E-2</v>
      </c>
      <c r="X254" s="476" t="str">
        <f>INDEX(Input!$1:$1048576,X$93,$C254*2+MIN($B254,2)+5)</f>
        <v>Y</v>
      </c>
      <c r="Y254" s="475">
        <f>INDEX(Input!$1:$1048576,Y$93,$C254*2+MIN($B254,2)+5)
++INDEX(Scenarios!Y$121:Y$200,MATCH($B254,Scenarios!$B$121:$B$200,0))</f>
        <v>998</v>
      </c>
      <c r="Z254" s="477">
        <f>INDEX(Input!$1:$1048576,Z$93,$C254*2+MIN($B254,2)+5)
+INDEX(Scenarios!Z$121:Z$200,MATCH($B254,Scenarios!$B$121:$B$200,0))</f>
        <v>0</v>
      </c>
      <c r="AA254" s="475">
        <f>INDEX(Input!$1:$1048576,AA$93,$C254*2+MIN($B254,2)+5)</f>
        <v>0</v>
      </c>
      <c r="AB254" s="476">
        <f>INDEX(Input!$1:$1048576,AB$93,$C254*2+MIN($B254,2)+5)</f>
        <v>1</v>
      </c>
      <c r="AC254" s="475">
        <f>INDEX(Input!$1:$1048576,AC$93,$C254*2+MIN($B254,2)+5)
+INDEX(Scenarios!AC$121:AC$200,MATCH($B254,Scenarios!$B$121:$B$200,0))</f>
        <v>0</v>
      </c>
      <c r="AD254" s="476">
        <f>INDEX(Input!$1:$1048576,AD$93,$C254*2+MIN($B254,2)+5)</f>
        <v>0.35</v>
      </c>
      <c r="AE254" s="475">
        <f>INDEX(Input!$1:$1048576,AE$93,$C254*2+MIN($B254,2)+5)
+INDEX(Scenarios!AE$121:AE$200,MATCH($B254,Scenarios!$B$121:$B$200,0))</f>
        <v>0</v>
      </c>
      <c r="AF254" s="476">
        <f>INDEX(Input!$1:$1048576,AF$93,$C254*2+MIN($B254,2)+5)</f>
        <v>1</v>
      </c>
      <c r="AG254" s="475">
        <f>INDEX(Input!$1:$1048576,AG$93,$C254*2+MIN($B254,2)+5)
+INDEX(Scenarios!AG$121:AG$200,MATCH($B254,Scenarios!$B$121:$B$200,0))</f>
        <v>0</v>
      </c>
      <c r="AH254" s="476">
        <f>INDEX(Input!$1:$1048576,AH$93,$C254*2+MIN($B254,2)+5)</f>
        <v>1</v>
      </c>
      <c r="AI254" s="475">
        <f>INDEX(Input!$1:$1048576,AI$93,$C254*2+MIN($B254,2)+5)
+INDEX(Scenarios!AI$121:AI$200,MATCH($B254,Scenarios!$B$121:$B$200,0))</f>
        <v>0</v>
      </c>
      <c r="AJ254" s="476">
        <f>INDEX(Input!$1:$1048576,AJ$93,$C254*2+MIN($B254,2)+5)</f>
        <v>0.35</v>
      </c>
      <c r="AK254" s="150">
        <f>ROUND(INDEX(Input!$1:$1048576,AK$93,$C253*2+MIN($B254,1)+5)+(Y254-VLOOKUP($C254*1000+1,$A:$HH,Y$92,FALSE)),0)</f>
        <v>4622</v>
      </c>
      <c r="AL254" s="150">
        <f>ROUND(INDEX(Input!$1:$1048576,AL$93,$C253*2+MIN($B254,1)+5)-(Y254-VLOOKUP($C254*1000+1,$A:$HH,Y$92,FALSE))/36,0)</f>
        <v>5112</v>
      </c>
      <c r="AM254" s="32" t="str">
        <f t="shared" si="756"/>
        <v>std/std/std/std</v>
      </c>
      <c r="AN254" s="32" t="str">
        <f t="shared" si="757"/>
        <v>$0 + 0/0/0/0/3.9</v>
      </c>
      <c r="AO254" s="32" t="str">
        <f t="shared" si="758"/>
        <v>0/0/0/0/3.9</v>
      </c>
      <c r="AP254" s="32" t="str">
        <f t="shared" si="831"/>
        <v>0/0/0/3.9</v>
      </c>
      <c r="AQ254" s="536">
        <f t="shared" si="830"/>
        <v>0.33825260558560466</v>
      </c>
      <c r="AR254" s="32"/>
      <c r="AS254" s="302"/>
      <c r="AT254" s="3">
        <f t="shared" si="810"/>
        <v>54</v>
      </c>
      <c r="AU254" s="41" t="s">
        <v>121</v>
      </c>
      <c r="AV254" s="41" t="s">
        <v>116</v>
      </c>
      <c r="AW254" s="41" t="str">
        <f>INDEX(Input!$1:$1048576,AW$93,$C254*2+6)</f>
        <v>Kia</v>
      </c>
      <c r="AX254" s="41" t="str">
        <f>INDEX(Input!$1:$1048576,AX$93,$C254*2+6)</f>
        <v>Kia-LR - L2</v>
      </c>
      <c r="AY254" s="41" t="str">
        <f>IF(LEN(D254)=0,"",INDEX(Input!$1:$1048576,AY$93,$C254*2+6))</f>
        <v>Compact Conventional/Sporty Car (43)</v>
      </c>
      <c r="AZ254" s="41" t="str">
        <f>INDEX(Input!$1:$1048576,AZ$93,$C254*2+6)</f>
        <v>Kia Forte</v>
      </c>
      <c r="BA254" s="3">
        <f>INDEX(Input!$1:$1048576,BA$93,$C254*2+6)</f>
        <v>2020</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19695</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832"/>
        <v>1250</v>
      </c>
      <c r="CJ254" s="16" t="str">
        <f>INDEX(Input!$1:$1048576,CJ$93,$C254*2+6)</f>
        <v>N</v>
      </c>
      <c r="CK254" s="1" t="str">
        <f t="shared" si="833"/>
        <v>Market</v>
      </c>
      <c r="CL254" s="1" t="str">
        <f t="shared" si="834"/>
        <v>Market</v>
      </c>
      <c r="CM254" s="1" t="str">
        <f t="shared" si="835"/>
        <v>Market</v>
      </c>
      <c r="CN254" s="1" t="str">
        <f t="shared" si="836"/>
        <v>Market</v>
      </c>
      <c r="CO254" s="1" t="str">
        <f t="shared" si="837"/>
        <v>Market</v>
      </c>
      <c r="CP254" s="304">
        <f t="shared" si="838"/>
        <v>0</v>
      </c>
      <c r="CQ254" s="1">
        <f t="shared" si="839"/>
        <v>0</v>
      </c>
      <c r="CR254" s="1">
        <f t="shared" si="840"/>
        <v>0</v>
      </c>
      <c r="CS254" s="1">
        <f t="shared" si="841"/>
        <v>0</v>
      </c>
      <c r="CT254" s="1">
        <f t="shared" si="842"/>
        <v>0</v>
      </c>
      <c r="CU254" s="1">
        <f t="shared" si="843"/>
        <v>3.9E-2</v>
      </c>
      <c r="CV254" s="304">
        <f t="shared" si="844"/>
        <v>998</v>
      </c>
      <c r="CW254" s="20" t="s">
        <v>122</v>
      </c>
      <c r="CX254" s="20" t="s">
        <v>122</v>
      </c>
      <c r="CY254" s="20" t="s">
        <v>122</v>
      </c>
      <c r="CZ254" s="20" t="s">
        <v>122</v>
      </c>
      <c r="DA254" s="20" t="s">
        <v>122</v>
      </c>
      <c r="DB254" s="503">
        <f t="shared" si="845"/>
        <v>0</v>
      </c>
      <c r="DC254" s="127">
        <v>0</v>
      </c>
      <c r="DD254" s="127">
        <v>0</v>
      </c>
      <c r="DE254" s="127">
        <v>0</v>
      </c>
      <c r="DF254" s="127">
        <v>0</v>
      </c>
      <c r="DG254" s="127">
        <v>0</v>
      </c>
      <c r="DH254" s="127">
        <v>0</v>
      </c>
      <c r="DI254" s="127">
        <v>0</v>
      </c>
      <c r="DJ254" s="127">
        <v>0</v>
      </c>
      <c r="DK254" s="127">
        <v>0</v>
      </c>
      <c r="DL254" s="127">
        <v>0</v>
      </c>
      <c r="DM254" s="304">
        <f>INDEX(Input!$1:$1048576,DM$93,$C254*2+6)</f>
        <v>20731.578947368424</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2.815591581849201E-2</v>
      </c>
      <c r="DZ254" s="7">
        <v>0</v>
      </c>
      <c r="EA254" s="7">
        <v>0.57376741867216607</v>
      </c>
      <c r="EB254" s="7">
        <v>0</v>
      </c>
      <c r="EC254" s="7">
        <v>0</v>
      </c>
      <c r="ED254" s="7">
        <v>0</v>
      </c>
      <c r="EE254" s="7">
        <v>0</v>
      </c>
      <c r="EF254" s="7">
        <v>0</v>
      </c>
      <c r="EG254" s="7">
        <v>0</v>
      </c>
      <c r="EH254" s="7">
        <v>8.2387841631306712E-3</v>
      </c>
      <c r="EI254" s="7">
        <v>1.3463915114436526E-2</v>
      </c>
      <c r="EJ254" s="7">
        <v>0.13510638318732951</v>
      </c>
      <c r="EK254" s="7">
        <v>0.81881552259593704</v>
      </c>
      <c r="EL254" s="7">
        <v>2.4375394939165951E-2</v>
      </c>
      <c r="EM254" s="7">
        <v>7.2350207691900148E-2</v>
      </c>
      <c r="EN254" s="7">
        <v>4.8896291684244107E-2</v>
      </c>
      <c r="EO254" s="7">
        <v>0.56263076602395168</v>
      </c>
      <c r="EP254" s="7">
        <v>0.28434957900256863</v>
      </c>
      <c r="EQ254" s="7">
        <v>6.4859282791505518E-2</v>
      </c>
      <c r="ER254" s="7">
        <v>3.9264080497729968E-2</v>
      </c>
      <c r="ES254" s="7">
        <v>0.32572645781744169</v>
      </c>
      <c r="ET254" s="7">
        <v>0.39807666550934195</v>
      </c>
      <c r="EU254" s="6">
        <v>1600</v>
      </c>
      <c r="EV254" s="6">
        <v>0</v>
      </c>
      <c r="EW254" s="6">
        <v>1600</v>
      </c>
      <c r="EX254" s="6">
        <v>0</v>
      </c>
      <c r="EY254" s="6">
        <v>3339.5929338344513</v>
      </c>
      <c r="EZ254" s="6">
        <v>1751</v>
      </c>
      <c r="FA254" s="6">
        <v>0</v>
      </c>
      <c r="FB254" s="6">
        <v>0</v>
      </c>
      <c r="FC254" s="6">
        <v>0</v>
      </c>
      <c r="FD254" s="6">
        <v>0</v>
      </c>
      <c r="FE254" s="6">
        <v>0</v>
      </c>
      <c r="FF254" s="6">
        <v>0</v>
      </c>
      <c r="FG254" s="6">
        <v>0</v>
      </c>
      <c r="FH254" s="6">
        <v>1154.7784454897403</v>
      </c>
      <c r="FI254" s="6">
        <v>1531.4299904380623</v>
      </c>
      <c r="FJ254" s="6">
        <v>2070.7205842538224</v>
      </c>
      <c r="FK254" s="6">
        <v>2635.3956133202919</v>
      </c>
      <c r="FL254" s="6">
        <v>893.91433563489363</v>
      </c>
      <c r="FM254" s="6">
        <v>2489.5929338344513</v>
      </c>
      <c r="FN254" s="6">
        <v>0</v>
      </c>
      <c r="FO254" s="6">
        <v>0</v>
      </c>
      <c r="FP254" s="6">
        <v>0</v>
      </c>
      <c r="FQ254" s="6">
        <v>0</v>
      </c>
      <c r="FR254" s="6">
        <v>0</v>
      </c>
      <c r="FS254" s="6">
        <v>0</v>
      </c>
      <c r="FT254" s="7">
        <v>0.60192333449065805</v>
      </c>
      <c r="FU254" s="7">
        <v>7.2350207691900148E-2</v>
      </c>
      <c r="FV254" s="7">
        <v>0.32572645781744169</v>
      </c>
      <c r="FW254" s="6">
        <v>1600.0000000000002</v>
      </c>
      <c r="FX254" s="6">
        <v>3339.5929338344513</v>
      </c>
      <c r="FY254" s="6">
        <v>1751</v>
      </c>
      <c r="FZ254" s="6">
        <v>2594.6978186474794</v>
      </c>
      <c r="GA254" s="6">
        <v>1775.0446051927179</v>
      </c>
      <c r="GB254" s="6">
        <v>17919.955394807283</v>
      </c>
      <c r="GC254" s="7">
        <v>9.6947029492584935E-2</v>
      </c>
      <c r="GD254" s="7">
        <v>8.9140886949260215E-2</v>
      </c>
      <c r="GE254" s="7"/>
      <c r="GF254" s="7"/>
      <c r="GG254" s="7">
        <v>-8.051966712318688E-2</v>
      </c>
      <c r="GH254" s="42">
        <v>1.9347631632004714</v>
      </c>
      <c r="GI254" s="6">
        <v>11954.585116714896</v>
      </c>
      <c r="GJ254" s="14">
        <v>0.51074630601039517</v>
      </c>
      <c r="GK254" s="14">
        <v>0.50829519786160982</v>
      </c>
      <c r="GL254" s="14">
        <v>0.48925369398960417</v>
      </c>
      <c r="GM254" s="14">
        <v>0.49170480213839018</v>
      </c>
      <c r="GO254" s="5">
        <v>338.16872463277008</v>
      </c>
      <c r="GP254" s="5">
        <v>307.64377699166363</v>
      </c>
      <c r="GQ254" s="5">
        <v>527.27910984145694</v>
      </c>
      <c r="GR254" s="5">
        <v>404.20319246551543</v>
      </c>
      <c r="GS254" s="5">
        <v>334.50205195691484</v>
      </c>
      <c r="GT254" s="5">
        <v>289.18266033348181</v>
      </c>
      <c r="GU254" s="5">
        <v>254.29573314828914</v>
      </c>
      <c r="GV254" s="39" t="s">
        <v>392</v>
      </c>
      <c r="GW254" s="5">
        <v>468.76388888888891</v>
      </c>
      <c r="GX254" s="5">
        <v>351.57291666666669</v>
      </c>
      <c r="GY254" s="5">
        <v>281.25833333333333</v>
      </c>
      <c r="GZ254" s="5">
        <v>234.38194444444446</v>
      </c>
      <c r="HA254" s="5">
        <v>229.89195052129486</v>
      </c>
      <c r="HB254" s="39">
        <v>244.11466998314461</v>
      </c>
      <c r="HC254" s="5">
        <v>206.50937499999998</v>
      </c>
      <c r="HD254" s="5">
        <v>184.03879751461983</v>
      </c>
      <c r="HE254" s="5">
        <v>188.92093033063426</v>
      </c>
      <c r="HF254" s="5">
        <v>177.21129934210524</v>
      </c>
      <c r="HG254" s="5">
        <v>174.01410087719296</v>
      </c>
      <c r="HH254" s="39">
        <v>185.68932070605985</v>
      </c>
      <c r="HI254" s="16"/>
      <c r="HJ254" s="19" t="str">
        <f t="shared" si="858"/>
        <v>On</v>
      </c>
      <c r="HK254" s="1" t="str">
        <f t="shared" si="858"/>
        <v>On</v>
      </c>
      <c r="HL254" s="16"/>
      <c r="HM254" s="639">
        <f t="shared" si="727"/>
        <v>5.0961701597560354E-2</v>
      </c>
      <c r="HN254" s="639">
        <f t="shared" si="728"/>
        <v>3.112551654761847E-3</v>
      </c>
      <c r="HO254" s="639">
        <f t="shared" si="729"/>
        <v>3.1163314184693442E-2</v>
      </c>
      <c r="HP254" s="644">
        <f>(FT254*$GD254-HM254)/$JF254*INDEX(Input!$1:$1048576,$JG$93,$C254*2+6)</f>
        <v>50.606084981611019</v>
      </c>
      <c r="HQ254" s="644">
        <f>(FU254*$GD254-HN254)/$JF254*INDEX(Input!$1:$1048576,$JG$93,$C254*2+6)</f>
        <v>62.674628317485606</v>
      </c>
      <c r="HR254" s="644">
        <f>(FV254*$GD254-HO254)/$JF254*INDEX(Input!$1:$1048576,$JG$93,$C254*2+6)</f>
        <v>-39.965451883157492</v>
      </c>
      <c r="HS254" s="644">
        <f t="shared" si="851"/>
        <v>-8.8102579532334104</v>
      </c>
      <c r="HT254" s="644">
        <f t="shared" si="731"/>
        <v>96.125999598905111</v>
      </c>
      <c r="HU254" s="644">
        <f t="shared" si="732"/>
        <v>2.7185309062547258</v>
      </c>
      <c r="HV254" s="648">
        <f t="shared" si="733"/>
        <v>0</v>
      </c>
      <c r="HW254" s="648">
        <f t="shared" si="734"/>
        <v>0</v>
      </c>
      <c r="HX254" s="648">
        <f t="shared" si="735"/>
        <v>0</v>
      </c>
      <c r="HY254" s="644">
        <f>INDEX(Input!$1:$1048576,HY$93,$C254*2+6)*INDEX(Input!$1:$1048576,$JG$93,$C254*2+6)</f>
        <v>555</v>
      </c>
      <c r="HZ254" s="644">
        <f>INDEX(Input!$1:$1048576,HZ$93,$C254*2+6)*INDEX(Input!$1:$1048576,$JG$93,$C254*2+6)</f>
        <v>480</v>
      </c>
      <c r="IA254" s="644">
        <f>INDEX(Input!$1:$1048576,IA$93,$C254*2+6)*INDEX(Input!$1:$1048576,$JG$93,$C254*2+6)</f>
        <v>566</v>
      </c>
      <c r="IB254" s="644">
        <f t="shared" si="759"/>
        <v>596.79582702837786</v>
      </c>
      <c r="IC254" s="644">
        <f t="shared" si="760"/>
        <v>638.80062791639068</v>
      </c>
      <c r="ID254" s="644">
        <f>IF(AND(INDEX(Input!$1:$1048576,IA$93,$C254*2+7)="TOS",Y254&lt;=INDEX(Y:Y,MATCH(C254*1000+2,A:A))),0,1)*MAX(IA254+HR254+HU254+HX254,0%)</f>
        <v>528.75307902309726</v>
      </c>
      <c r="IE254" s="128">
        <f t="shared" si="856"/>
        <v>0.33825260558560466</v>
      </c>
      <c r="IF254" s="128">
        <f t="shared" si="736"/>
        <v>0.36206013356082833</v>
      </c>
      <c r="IG254" s="128">
        <f t="shared" si="737"/>
        <v>0.29968726085356706</v>
      </c>
      <c r="IH254" s="21"/>
      <c r="II254" s="19">
        <f t="shared" si="738"/>
        <v>1200</v>
      </c>
      <c r="IJ254" s="19">
        <f t="shared" si="739"/>
        <v>2226.7968732767699</v>
      </c>
      <c r="IK254" s="19">
        <f t="shared" si="740"/>
        <v>1786</v>
      </c>
      <c r="IL254" s="19">
        <f t="shared" si="762"/>
        <v>400.00000000000023</v>
      </c>
      <c r="IM254" s="19">
        <f t="shared" si="741"/>
        <v>1112.7960605576814</v>
      </c>
      <c r="IN254" s="19">
        <f t="shared" si="742"/>
        <v>-35</v>
      </c>
      <c r="IO254" s="39">
        <f t="shared" si="743"/>
        <v>0</v>
      </c>
      <c r="IP254" s="39">
        <f t="shared" si="744"/>
        <v>0</v>
      </c>
      <c r="IQ254" s="39">
        <f t="shared" si="745"/>
        <v>0</v>
      </c>
      <c r="IR254" s="39">
        <v>0</v>
      </c>
      <c r="IS254" s="39">
        <v>0</v>
      </c>
      <c r="IT254" s="39">
        <v>0</v>
      </c>
      <c r="IU254" s="39">
        <v>0</v>
      </c>
      <c r="IV254" s="39">
        <v>0</v>
      </c>
      <c r="IW254" s="39">
        <v>0</v>
      </c>
      <c r="IX254" s="39">
        <f>INDEX(Input!$1:$1048576,IX$93,$C254*2+6)+INDEX(Input!$1:$1048576,IX$94,$C254*2+6)</f>
        <v>1600</v>
      </c>
      <c r="IY254" s="39">
        <f>INDEX(Input!$1:$1048576,IY$93,$C254*2+6)+INDEX(Input!$1:$1048576,IY$94,$C254*2+6)</f>
        <v>2503.5492916397525</v>
      </c>
      <c r="IZ254" s="39">
        <f>INDEX(Input!$1:$1048576,IZ$93,$C254*2+6)+INDEX(Input!$1:$1048576,IZ$94,$C254*2+6)</f>
        <v>5773.7109265464023</v>
      </c>
      <c r="JA254" s="19">
        <f t="shared" si="763"/>
        <v>2000.0000000000002</v>
      </c>
      <c r="JB254" s="19">
        <f t="shared" si="764"/>
        <v>3616.3453521974338</v>
      </c>
      <c r="JC254" s="19">
        <f t="shared" si="765"/>
        <v>5738.7109265464023</v>
      </c>
      <c r="JD254" s="19">
        <f t="shared" si="766"/>
        <v>3705.6582507970206</v>
      </c>
      <c r="JE254" s="21"/>
      <c r="JF254" s="1">
        <f t="shared" si="746"/>
        <v>8.5237567437015646E-2</v>
      </c>
      <c r="JG254" s="15">
        <f>INDEX(Input!$1:$1048576,JG$93,$C254*2+6)/(1+VLOOKUP(C254*1000+INDEX(Input!$1:$1048576,JG$93+1,$C254*2+6),$A:$KK,$JK$92,FALSE))</f>
        <v>1601</v>
      </c>
      <c r="JH254" s="1">
        <f t="shared" si="767"/>
        <v>4.579341749902506E-2</v>
      </c>
      <c r="JI254" s="1">
        <f t="shared" si="768"/>
        <v>5.6236272674532427E-2</v>
      </c>
      <c r="JJ254" s="1">
        <f t="shared" si="828"/>
        <v>0</v>
      </c>
      <c r="JK254" s="1">
        <f t="shared" si="829"/>
        <v>0.10202969017355748</v>
      </c>
      <c r="JL254" s="15">
        <f t="shared" si="771"/>
        <v>163.34953396786554</v>
      </c>
      <c r="JM254" s="15">
        <f t="shared" si="795"/>
        <v>1764.3495339678655</v>
      </c>
      <c r="JN254" s="21"/>
      <c r="JO254" s="19">
        <f>INDEX(Input!$1:$1048576,JO$93,$C254*2+6)</f>
        <v>5908.5</v>
      </c>
      <c r="JP254" s="19">
        <f>INDEX(Input!$1:$1048576,JP$93,$C254*2+6)</f>
        <v>3346.4235130620518</v>
      </c>
      <c r="JQ254" s="39">
        <f t="shared" si="781"/>
        <v>2202.8417492029794</v>
      </c>
      <c r="JR254" s="39">
        <f t="shared" si="798"/>
        <v>359.2347377349688</v>
      </c>
      <c r="JS254" s="39">
        <f t="shared" si="783"/>
        <v>6.5380764078378988</v>
      </c>
      <c r="JT254" s="39">
        <f t="shared" si="773"/>
        <v>1.1804523634255537</v>
      </c>
      <c r="JU254" s="385">
        <f>(JQ254*JM254-INDEX(Input!$1:$1048576,Input!A$18,$C254*2+6)*JL254*INDEX(Input!$1:$1048576,Input!A$19,$C254*2+6))/1000000</f>
        <v>3.8865828136112341</v>
      </c>
      <c r="JV254" s="39">
        <f t="shared" si="805"/>
        <v>-0.21530164197642065</v>
      </c>
      <c r="JW254" s="1">
        <f t="shared" si="796"/>
        <v>-5.2488470679161431E-2</v>
      </c>
      <c r="JX254" s="19">
        <f t="shared" si="787"/>
        <v>7226.5425847971792</v>
      </c>
      <c r="JZ254" s="341"/>
      <c r="KA254" s="342"/>
      <c r="KB254" s="469">
        <f t="shared" si="784"/>
        <v>2.4482969984810516</v>
      </c>
      <c r="KI254" s="473">
        <f t="shared" si="853"/>
        <v>41.795827028377744</v>
      </c>
      <c r="KJ254" s="473">
        <f t="shared" si="854"/>
        <v>158.80062791639057</v>
      </c>
      <c r="KK254" s="473">
        <f t="shared" si="775"/>
        <v>-37.246920976902857</v>
      </c>
      <c r="KN254" s="544">
        <f t="shared" si="788"/>
        <v>2002</v>
      </c>
      <c r="KO254" s="541">
        <f t="shared" si="750"/>
        <v>2.1178106291828147E-2</v>
      </c>
      <c r="KP254" s="546">
        <f t="shared" si="751"/>
        <v>150.18300763469955</v>
      </c>
      <c r="KQ254" s="546">
        <f t="shared" si="752"/>
        <v>-19.945324159517895</v>
      </c>
      <c r="KR254" s="548">
        <f t="shared" si="753"/>
        <v>2.251929697190123</v>
      </c>
      <c r="KS254" s="548">
        <f t="shared" si="754"/>
        <v>-16.956434109621693</v>
      </c>
      <c r="KT254" s="473">
        <f t="shared" si="786"/>
        <v>528.59039248727379</v>
      </c>
      <c r="KU254" s="663">
        <f t="shared" si="776"/>
        <v>12.425305472173735</v>
      </c>
      <c r="KV254" s="117"/>
    </row>
    <row r="255" spans="1:308" s="26" customFormat="1" ht="15" outlineLevel="1">
      <c r="A255" s="561">
        <f t="shared" si="755"/>
        <v>2055</v>
      </c>
      <c r="B255" s="561">
        <f t="shared" si="777"/>
        <v>55</v>
      </c>
      <c r="C255" s="561">
        <f t="shared" si="857"/>
        <v>2</v>
      </c>
      <c r="D255" s="561" t="str">
        <f t="shared" si="859"/>
        <v xml:space="preserve">500 CC, 500 Combo, 360 Lease, </v>
      </c>
      <c r="E255" s="475">
        <f>INDEX(Input!$1:$1048576,E$93,$C255*2+MIN($B255,2)+5)
+INDEX(Scenarios!E$121:E$200,MATCH($B255,Scenarios!$B$121:$B$200,0))</f>
        <v>1750</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1.9E-2</v>
      </c>
      <c r="W255" s="863">
        <f>IFERROR(MAX(0,INDEX(Input!$1:$1048576,W$93,$C255*2+MIN($B255,2)+5)-0%,),"Market")</f>
        <v>3.9E-2</v>
      </c>
      <c r="X255" s="476" t="str">
        <f>INDEX(Input!$1:$1048576,X$93,$C255*2+MIN($B255,2)+5)</f>
        <v>Y</v>
      </c>
      <c r="Y255" s="475">
        <f>INDEX(Input!$1:$1048576,Y$93,$C255*2+MIN($B255,2)+5)
++INDEX(Scenarios!Y$121:Y$200,MATCH($B255,Scenarios!$B$121:$B$200,0))</f>
        <v>1718</v>
      </c>
      <c r="Z255" s="477">
        <f>INDEX(Input!$1:$1048576,Z$93,$C255*2+MIN($B255,2)+5)
+INDEX(Scenarios!Z$121:Z$200,MATCH($B255,Scenarios!$B$121:$B$200,0))</f>
        <v>0</v>
      </c>
      <c r="AA255" s="475">
        <f>INDEX(Input!$1:$1048576,AA$93,$C255*2+MIN($B255,2)+5)</f>
        <v>0</v>
      </c>
      <c r="AB255" s="476">
        <f>INDEX(Input!$1:$1048576,AB$93,$C255*2+MIN($B255,2)+5)</f>
        <v>1</v>
      </c>
      <c r="AC255" s="475">
        <f>INDEX(Input!$1:$1048576,AC$93,$C255*2+MIN($B255,2)+5)
+INDEX(Scenarios!AC$121:AC$200,MATCH($B255,Scenarios!$B$121:$B$200,0))</f>
        <v>0</v>
      </c>
      <c r="AD255" s="476">
        <f>INDEX(Input!$1:$1048576,AD$93,$C255*2+MIN($B255,2)+5)</f>
        <v>0.35</v>
      </c>
      <c r="AE255" s="475">
        <f>INDEX(Input!$1:$1048576,AE$93,$C255*2+MIN($B255,2)+5)
+INDEX(Scenarios!AE$121:AE$200,MATCH($B255,Scenarios!$B$121:$B$200,0))</f>
        <v>0</v>
      </c>
      <c r="AF255" s="476">
        <f>INDEX(Input!$1:$1048576,AF$93,$C255*2+MIN($B255,2)+5)</f>
        <v>1</v>
      </c>
      <c r="AG255" s="475">
        <f>INDEX(Input!$1:$1048576,AG$93,$C255*2+MIN($B255,2)+5)
+INDEX(Scenarios!AG$121:AG$200,MATCH($B255,Scenarios!$B$121:$B$200,0))</f>
        <v>0</v>
      </c>
      <c r="AH255" s="476">
        <f>INDEX(Input!$1:$1048576,AH$93,$C255*2+MIN($B255,2)+5)</f>
        <v>1</v>
      </c>
      <c r="AI255" s="475">
        <f>INDEX(Input!$1:$1048576,AI$93,$C255*2+MIN($B255,2)+5)
+INDEX(Scenarios!AI$121:AI$200,MATCH($B255,Scenarios!$B$121:$B$200,0))</f>
        <v>0</v>
      </c>
      <c r="AJ255" s="476">
        <f>INDEX(Input!$1:$1048576,AJ$93,$C255*2+MIN($B255,2)+5)</f>
        <v>0.35</v>
      </c>
      <c r="AK255" s="150">
        <f>ROUND(INDEX(Input!$1:$1048576,AK$93,$C254*2+MIN($B255,1)+5)+(Y255-VLOOKUP($C255*1000+1,$A:$HH,Y$92,FALSE)),0)</f>
        <v>5342</v>
      </c>
      <c r="AL255" s="150">
        <f>ROUND(INDEX(Input!$1:$1048576,AL$93,$C254*2+MIN($B255,1)+5)-(Y255-VLOOKUP($C255*1000+1,$A:$HH,Y$92,FALSE))/36,0)</f>
        <v>5092</v>
      </c>
      <c r="AM255" s="32" t="str">
        <f t="shared" si="756"/>
        <v>std/std/std/std</v>
      </c>
      <c r="AN255" s="32" t="str">
        <f t="shared" si="757"/>
        <v>$500 + 0/0/0/1.9/3.9</v>
      </c>
      <c r="AO255" s="32" t="str">
        <f t="shared" si="758"/>
        <v>0/0/0/1.9/3.9</v>
      </c>
      <c r="AP255" s="32" t="str">
        <f t="shared" si="831"/>
        <v>0/0.9/1.9/3.9</v>
      </c>
      <c r="AQ255" s="536">
        <f t="shared" si="830"/>
        <v>0.35021398827919742</v>
      </c>
      <c r="AR255" s="32"/>
      <c r="AS255" s="302"/>
      <c r="AT255" s="3">
        <f t="shared" si="810"/>
        <v>55</v>
      </c>
      <c r="AU255" s="41" t="s">
        <v>121</v>
      </c>
      <c r="AV255" s="41" t="s">
        <v>116</v>
      </c>
      <c r="AW255" s="41" t="str">
        <f>INDEX(Input!$1:$1048576,AW$93,$C255*2+6)</f>
        <v>Kia</v>
      </c>
      <c r="AX255" s="41" t="str">
        <f>INDEX(Input!$1:$1048576,AX$93,$C255*2+6)</f>
        <v>Kia-LR - L2</v>
      </c>
      <c r="AY255" s="41" t="str">
        <f>IF(LEN(D255)=0,"",INDEX(Input!$1:$1048576,AY$93,$C255*2+6))</f>
        <v>Compact Conventional/Sporty Car (43)</v>
      </c>
      <c r="AZ255" s="41" t="str">
        <f>INDEX(Input!$1:$1048576,AZ$93,$C255*2+6)</f>
        <v>Kia Forte</v>
      </c>
      <c r="BA255" s="3">
        <f>INDEX(Input!$1:$1048576,BA$93,$C255*2+6)</f>
        <v>2020</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19695</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832"/>
        <v>1750</v>
      </c>
      <c r="CJ255" s="16" t="str">
        <f>INDEX(Input!$1:$1048576,CJ$93,$C255*2+6)</f>
        <v>N</v>
      </c>
      <c r="CK255" s="1" t="str">
        <f t="shared" si="833"/>
        <v>Market</v>
      </c>
      <c r="CL255" s="1" t="str">
        <f t="shared" si="834"/>
        <v>Market</v>
      </c>
      <c r="CM255" s="1" t="str">
        <f t="shared" si="835"/>
        <v>Market</v>
      </c>
      <c r="CN255" s="1" t="str">
        <f t="shared" si="836"/>
        <v>Market</v>
      </c>
      <c r="CO255" s="1" t="str">
        <f t="shared" si="837"/>
        <v>Market</v>
      </c>
      <c r="CP255" s="304">
        <f t="shared" si="838"/>
        <v>500</v>
      </c>
      <c r="CQ255" s="1">
        <f t="shared" si="839"/>
        <v>0</v>
      </c>
      <c r="CR255" s="1">
        <f t="shared" si="840"/>
        <v>0</v>
      </c>
      <c r="CS255" s="1">
        <f t="shared" si="841"/>
        <v>0</v>
      </c>
      <c r="CT255" s="1">
        <f t="shared" si="842"/>
        <v>1.9E-2</v>
      </c>
      <c r="CU255" s="1">
        <f t="shared" si="843"/>
        <v>3.9E-2</v>
      </c>
      <c r="CV255" s="304">
        <f t="shared" si="844"/>
        <v>1718</v>
      </c>
      <c r="CW255" s="20" t="s">
        <v>122</v>
      </c>
      <c r="CX255" s="20" t="s">
        <v>122</v>
      </c>
      <c r="CY255" s="20" t="s">
        <v>122</v>
      </c>
      <c r="CZ255" s="20" t="s">
        <v>122</v>
      </c>
      <c r="DA255" s="20" t="s">
        <v>122</v>
      </c>
      <c r="DB255" s="503">
        <f t="shared" si="845"/>
        <v>0</v>
      </c>
      <c r="DC255" s="127">
        <v>0</v>
      </c>
      <c r="DD255" s="127">
        <v>0</v>
      </c>
      <c r="DE255" s="127">
        <v>0</v>
      </c>
      <c r="DF255" s="127">
        <v>0</v>
      </c>
      <c r="DG255" s="127">
        <v>0</v>
      </c>
      <c r="DH255" s="127">
        <v>0</v>
      </c>
      <c r="DI255" s="127">
        <v>0</v>
      </c>
      <c r="DJ255" s="127">
        <v>0</v>
      </c>
      <c r="DK255" s="127">
        <v>0</v>
      </c>
      <c r="DL255" s="127">
        <v>0</v>
      </c>
      <c r="DM255" s="304">
        <f>INDEX(Input!$1:$1048576,DM$93,$C255*2+6)</f>
        <v>20731.578947368424</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2.8784079926069035E-2</v>
      </c>
      <c r="DZ255" s="7">
        <v>0</v>
      </c>
      <c r="EA255" s="7">
        <v>0.58251566132221866</v>
      </c>
      <c r="EB255" s="7">
        <v>0</v>
      </c>
      <c r="EC255" s="7">
        <v>0</v>
      </c>
      <c r="ED255" s="7">
        <v>0</v>
      </c>
      <c r="EE255" s="7">
        <v>0</v>
      </c>
      <c r="EF255" s="7">
        <v>0</v>
      </c>
      <c r="EG255" s="7">
        <v>0</v>
      </c>
      <c r="EH255" s="7">
        <v>1.6197532686726777E-2</v>
      </c>
      <c r="EI255" s="7">
        <v>2.6450638635716544E-2</v>
      </c>
      <c r="EJ255" s="7">
        <v>0.26578030099707173</v>
      </c>
      <c r="EK255" s="7">
        <v>0.6436155118665724</v>
      </c>
      <c r="EL255" s="7">
        <v>4.7956015813912081E-2</v>
      </c>
      <c r="EM255" s="7">
        <v>3.7349384620519996E-2</v>
      </c>
      <c r="EN255" s="7">
        <v>5.0620260225954845E-2</v>
      </c>
      <c r="EO255" s="7">
        <v>0.56058748773557066</v>
      </c>
      <c r="EP255" s="7">
        <v>0.28778182694284105</v>
      </c>
      <c r="EQ255" s="7">
        <v>6.2843687543492455E-2</v>
      </c>
      <c r="ER255" s="7">
        <v>3.8166737552141283E-2</v>
      </c>
      <c r="ES255" s="7">
        <v>0.35135087413119231</v>
      </c>
      <c r="ET255" s="7">
        <v>0.38870025875171227</v>
      </c>
      <c r="EU255" s="6">
        <v>2100</v>
      </c>
      <c r="EV255" s="6">
        <v>0</v>
      </c>
      <c r="EW255" s="6">
        <v>2100</v>
      </c>
      <c r="EX255" s="6">
        <v>0</v>
      </c>
      <c r="EY255" s="6">
        <v>3126.8273341916765</v>
      </c>
      <c r="EZ255" s="6">
        <v>2471</v>
      </c>
      <c r="FA255" s="6">
        <v>0</v>
      </c>
      <c r="FB255" s="6">
        <v>0</v>
      </c>
      <c r="FC255" s="6">
        <v>0</v>
      </c>
      <c r="FD255" s="6">
        <v>0</v>
      </c>
      <c r="FE255" s="6">
        <v>0</v>
      </c>
      <c r="FF255" s="6">
        <v>0</v>
      </c>
      <c r="FG255" s="6">
        <v>0</v>
      </c>
      <c r="FH255" s="6">
        <v>1154.7828530340594</v>
      </c>
      <c r="FI255" s="6">
        <v>1531.4299904380616</v>
      </c>
      <c r="FJ255" s="6">
        <v>2070.7205842538215</v>
      </c>
      <c r="FK255" s="6">
        <v>1746.9903521590447</v>
      </c>
      <c r="FL255" s="6">
        <v>893.91433563489363</v>
      </c>
      <c r="FM255" s="6">
        <v>1776.8273341916765</v>
      </c>
      <c r="FN255" s="6">
        <v>0</v>
      </c>
      <c r="FO255" s="6">
        <v>0</v>
      </c>
      <c r="FP255" s="6">
        <v>0</v>
      </c>
      <c r="FQ255" s="6">
        <v>0</v>
      </c>
      <c r="FR255" s="6">
        <v>0</v>
      </c>
      <c r="FS255" s="6">
        <v>0</v>
      </c>
      <c r="FT255" s="7">
        <v>0.61129974124828768</v>
      </c>
      <c r="FU255" s="7">
        <v>3.7349384620519996E-2</v>
      </c>
      <c r="FV255" s="7">
        <v>0.35135087413119231</v>
      </c>
      <c r="FW255" s="6">
        <v>2100</v>
      </c>
      <c r="FX255" s="6">
        <v>3126.8273341916765</v>
      </c>
      <c r="FY255" s="6">
        <v>2471</v>
      </c>
      <c r="FZ255" s="6">
        <v>2594.6978186474794</v>
      </c>
      <c r="GA255" s="6">
        <v>2268.7025433462604</v>
      </c>
      <c r="GB255" s="6">
        <v>17426.297456653738</v>
      </c>
      <c r="GC255" s="7">
        <v>9.6947029492584935E-2</v>
      </c>
      <c r="GD255" s="7">
        <v>9.4137034471895656E-2</v>
      </c>
      <c r="GE255" s="7"/>
      <c r="GF255" s="7"/>
      <c r="GG255" s="7">
        <v>-2.8984849101582878E-2</v>
      </c>
      <c r="GH255" s="42">
        <v>1.751119253272013</v>
      </c>
      <c r="GI255" s="6">
        <v>13515.794917665919</v>
      </c>
      <c r="GJ255" s="14">
        <v>0.51074630601039517</v>
      </c>
      <c r="GK255" s="14">
        <v>0.50829519786160948</v>
      </c>
      <c r="GL255" s="14">
        <v>0.48925369398960455</v>
      </c>
      <c r="GM255" s="14">
        <v>0.49170480213839018</v>
      </c>
      <c r="GO255" s="5">
        <v>338.16872463277008</v>
      </c>
      <c r="GP255" s="5">
        <v>298.1047308538179</v>
      </c>
      <c r="GQ255" s="5">
        <v>527.27910984145694</v>
      </c>
      <c r="GR255" s="5">
        <v>404.20319246551543</v>
      </c>
      <c r="GS255" s="5">
        <v>334.50205195691484</v>
      </c>
      <c r="GT255" s="5">
        <v>289.18266033348181</v>
      </c>
      <c r="GU255" s="5">
        <v>254.29573314828914</v>
      </c>
      <c r="GV255" s="39" t="s">
        <v>392</v>
      </c>
      <c r="GW255" s="5">
        <v>454.875</v>
      </c>
      <c r="GX255" s="5">
        <v>341.15625</v>
      </c>
      <c r="GY255" s="5">
        <v>272.92500000000001</v>
      </c>
      <c r="GZ255" s="5">
        <v>240.82751152063875</v>
      </c>
      <c r="HA255" s="5">
        <v>223.08053899211663</v>
      </c>
      <c r="HB255" s="39">
        <v>254.62811797215755</v>
      </c>
      <c r="HC255" s="5">
        <v>175.00937499999998</v>
      </c>
      <c r="HD255" s="5">
        <v>162.53879751461983</v>
      </c>
      <c r="HE255" s="5">
        <v>168.95939186909578</v>
      </c>
      <c r="HF255" s="5">
        <v>160.56129934210526</v>
      </c>
      <c r="HG255" s="5">
        <v>160.21410087719298</v>
      </c>
      <c r="HH255" s="39">
        <v>164.80479240176737</v>
      </c>
      <c r="HI255" s="16"/>
      <c r="HJ255" s="19" t="str">
        <f t="shared" si="858"/>
        <v>On</v>
      </c>
      <c r="HK255" s="1" t="str">
        <f t="shared" si="858"/>
        <v>On</v>
      </c>
      <c r="HL255" s="16"/>
      <c r="HM255" s="639">
        <f t="shared" si="727"/>
        <v>5.0961701597560354E-2</v>
      </c>
      <c r="HN255" s="639">
        <f t="shared" si="728"/>
        <v>3.112551654761847E-3</v>
      </c>
      <c r="HO255" s="639">
        <f t="shared" si="729"/>
        <v>3.1163314184693442E-2</v>
      </c>
      <c r="HP255" s="644">
        <f>(FT255*$GD255-HM255)/$JF255*INDEX(Input!$1:$1048576,$JG$93,$C255*2+6)</f>
        <v>123.6705094639315</v>
      </c>
      <c r="HQ255" s="644">
        <f>(FU255*$GD255-HN255)/$JF255*INDEX(Input!$1:$1048576,$JG$93,$C255*2+6)</f>
        <v>7.5771431834046501</v>
      </c>
      <c r="HR255" s="644">
        <f>(FV255*$GD255-HO255)/$JF255*INDEX(Input!$1:$1048576,$JG$93,$C255*2+6)</f>
        <v>35.909237809106848</v>
      </c>
      <c r="HS255" s="644">
        <f t="shared" si="851"/>
        <v>-18.731442688687117</v>
      </c>
      <c r="HT255" s="644">
        <f t="shared" si="731"/>
        <v>71.029925113833599</v>
      </c>
      <c r="HU255" s="644">
        <f t="shared" si="732"/>
        <v>63.932712294289182</v>
      </c>
      <c r="HV255" s="648">
        <f t="shared" si="733"/>
        <v>0</v>
      </c>
      <c r="HW255" s="648">
        <f t="shared" si="734"/>
        <v>0</v>
      </c>
      <c r="HX255" s="648">
        <f t="shared" si="735"/>
        <v>0</v>
      </c>
      <c r="HY255" s="644">
        <f>INDEX(Input!$1:$1048576,HY$93,$C255*2+6)*INDEX(Input!$1:$1048576,$JG$93,$C255*2+6)</f>
        <v>555</v>
      </c>
      <c r="HZ255" s="644">
        <f>INDEX(Input!$1:$1048576,HZ$93,$C255*2+6)*INDEX(Input!$1:$1048576,$JG$93,$C255*2+6)</f>
        <v>480</v>
      </c>
      <c r="IA255" s="644">
        <f>INDEX(Input!$1:$1048576,IA$93,$C255*2+6)*INDEX(Input!$1:$1048576,$JG$93,$C255*2+6)</f>
        <v>566</v>
      </c>
      <c r="IB255" s="644">
        <f t="shared" si="759"/>
        <v>659.93906677524444</v>
      </c>
      <c r="IC255" s="644">
        <f t="shared" si="760"/>
        <v>558.60706829723824</v>
      </c>
      <c r="ID255" s="644">
        <f>IF(AND(INDEX(Input!$1:$1048576,IA$93,$C255*2+7)="TOS",Y255&lt;=INDEX(Y:Y,MATCH(C255*1000+2,A:A))),0,1)*MAX(IA255+HR255+HU255+HX255,0%)</f>
        <v>665.84195010339602</v>
      </c>
      <c r="IE255" s="128">
        <f t="shared" si="856"/>
        <v>0.35021398827919742</v>
      </c>
      <c r="IF255" s="128">
        <f t="shared" si="736"/>
        <v>0.29643950346093434</v>
      </c>
      <c r="IG255" s="128">
        <f t="shared" si="737"/>
        <v>0.3533465082598683</v>
      </c>
      <c r="IH255" s="21"/>
      <c r="II255" s="19">
        <f t="shared" si="738"/>
        <v>1200</v>
      </c>
      <c r="IJ255" s="19">
        <f t="shared" si="739"/>
        <v>2226.7968732767699</v>
      </c>
      <c r="IK255" s="19">
        <f t="shared" si="740"/>
        <v>1786</v>
      </c>
      <c r="IL255" s="19">
        <f t="shared" si="762"/>
        <v>900</v>
      </c>
      <c r="IM255" s="19">
        <f t="shared" si="741"/>
        <v>900.0304609149066</v>
      </c>
      <c r="IN255" s="19">
        <f t="shared" si="742"/>
        <v>685</v>
      </c>
      <c r="IO255" s="39">
        <f t="shared" si="743"/>
        <v>0</v>
      </c>
      <c r="IP255" s="39">
        <f t="shared" si="744"/>
        <v>0</v>
      </c>
      <c r="IQ255" s="39">
        <f t="shared" si="745"/>
        <v>0</v>
      </c>
      <c r="IR255" s="39">
        <v>0</v>
      </c>
      <c r="IS255" s="39">
        <v>0</v>
      </c>
      <c r="IT255" s="39">
        <v>0</v>
      </c>
      <c r="IU255" s="39">
        <v>0</v>
      </c>
      <c r="IV255" s="39">
        <v>0</v>
      </c>
      <c r="IW255" s="39">
        <v>0</v>
      </c>
      <c r="IX255" s="39">
        <f>INDEX(Input!$1:$1048576,IX$93,$C255*2+6)+INDEX(Input!$1:$1048576,IX$94,$C255*2+6)</f>
        <v>1600</v>
      </c>
      <c r="IY255" s="39">
        <f>INDEX(Input!$1:$1048576,IY$93,$C255*2+6)+INDEX(Input!$1:$1048576,IY$94,$C255*2+6)</f>
        <v>2503.5492916397525</v>
      </c>
      <c r="IZ255" s="39">
        <f>INDEX(Input!$1:$1048576,IZ$93,$C255*2+6)+INDEX(Input!$1:$1048576,IZ$94,$C255*2+6)</f>
        <v>5773.7109265464023</v>
      </c>
      <c r="JA255" s="19">
        <f t="shared" si="763"/>
        <v>2500</v>
      </c>
      <c r="JB255" s="19">
        <f t="shared" si="764"/>
        <v>3403.5797525546591</v>
      </c>
      <c r="JC255" s="19">
        <f t="shared" si="765"/>
        <v>6458.7109265464023</v>
      </c>
      <c r="JD255" s="19">
        <f t="shared" si="766"/>
        <v>4166.6534162900161</v>
      </c>
      <c r="JE255" s="21"/>
      <c r="JF255" s="1">
        <f t="shared" si="746"/>
        <v>8.5237567437015646E-2</v>
      </c>
      <c r="JG255" s="15">
        <f>INDEX(Input!$1:$1048576,JG$93,$C255*2+6)/(1+VLOOKUP(C255*1000+INDEX(Input!$1:$1048576,JG$93+1,$C255*2+6),$A:$KK,$JK$92,FALSE))</f>
        <v>1601</v>
      </c>
      <c r="JH255" s="1">
        <f t="shared" si="767"/>
        <v>0.10440780165923985</v>
      </c>
      <c r="JI255" s="1">
        <f t="shared" si="768"/>
        <v>7.2599122248242137E-2</v>
      </c>
      <c r="JJ255" s="1">
        <f t="shared" si="828"/>
        <v>0</v>
      </c>
      <c r="JK255" s="1">
        <f t="shared" si="829"/>
        <v>0.17700692390748199</v>
      </c>
      <c r="JL255" s="15">
        <f t="shared" si="771"/>
        <v>283.38808517587864</v>
      </c>
      <c r="JM255" s="15">
        <f t="shared" si="795"/>
        <v>1884.3880851758786</v>
      </c>
      <c r="JN255" s="21"/>
      <c r="JO255" s="19">
        <f>INDEX(Input!$1:$1048576,JO$93,$C255*2+6)</f>
        <v>5908.5</v>
      </c>
      <c r="JP255" s="19">
        <f>INDEX(Input!$1:$1048576,JP$93,$C255*2+6)</f>
        <v>3346.4235130620518</v>
      </c>
      <c r="JQ255" s="39">
        <f t="shared" si="781"/>
        <v>1741.8465837099839</v>
      </c>
      <c r="JR255" s="39">
        <f t="shared" si="798"/>
        <v>820.22990322796431</v>
      </c>
      <c r="JS255" s="39">
        <f t="shared" si="783"/>
        <v>7.8515920527142757</v>
      </c>
      <c r="JT255" s="39">
        <f t="shared" si="773"/>
        <v>2.4939680083019313</v>
      </c>
      <c r="JU255" s="385">
        <f>(JQ255*JM255-INDEX(Input!$1:$1048576,Input!A$18,$C255*2+6)*JL255*INDEX(Input!$1:$1048576,Input!A$19,$C255*2+6))/1000000</f>
        <v>3.2823149485474024</v>
      </c>
      <c r="JV255" s="39">
        <f t="shared" si="805"/>
        <v>-0.81956950704025244</v>
      </c>
      <c r="JW255" s="1">
        <f t="shared" si="796"/>
        <v>-0.19980316752311766</v>
      </c>
      <c r="JX255" s="19">
        <f t="shared" si="787"/>
        <v>8800.5393972513139</v>
      </c>
      <c r="JZ255" s="341"/>
      <c r="KA255" s="342"/>
      <c r="KB255" s="469">
        <f t="shared" si="784"/>
        <v>2.4482969984810516</v>
      </c>
      <c r="KI255" s="473">
        <f t="shared" si="853"/>
        <v>104.93906677524444</v>
      </c>
      <c r="KJ255" s="473">
        <f t="shared" si="854"/>
        <v>78.607068297238243</v>
      </c>
      <c r="KK255" s="473">
        <f t="shared" si="775"/>
        <v>99.841950103396016</v>
      </c>
      <c r="KN255" s="544">
        <f t="shared" si="788"/>
        <v>2002</v>
      </c>
      <c r="KO255" s="541">
        <f t="shared" si="750"/>
        <v>9.0654555286002303E-2</v>
      </c>
      <c r="KP255" s="546">
        <f t="shared" si="751"/>
        <v>450.53673981295725</v>
      </c>
      <c r="KQ255" s="546">
        <f t="shared" si="752"/>
        <v>441.04984133347762</v>
      </c>
      <c r="KR255" s="548">
        <f t="shared" si="753"/>
        <v>3.2132751963784569</v>
      </c>
      <c r="KS255" s="548">
        <f t="shared" si="754"/>
        <v>3.2823921367281157</v>
      </c>
      <c r="KT255" s="473">
        <f t="shared" si="786"/>
        <v>528.59039248727379</v>
      </c>
      <c r="KU255" s="663">
        <f t="shared" si="776"/>
        <v>12.12400769537126</v>
      </c>
      <c r="KV255" s="117"/>
    </row>
    <row r="256" spans="1:308" s="26" customFormat="1" ht="15" outlineLevel="1">
      <c r="A256" s="561">
        <f t="shared" si="755"/>
        <v>2056</v>
      </c>
      <c r="B256" s="561">
        <f t="shared" si="777"/>
        <v>56</v>
      </c>
      <c r="C256" s="561">
        <f t="shared" si="857"/>
        <v>2</v>
      </c>
      <c r="D256" s="561" t="str">
        <f t="shared" si="859"/>
        <v xml:space="preserve">1000 CC, 1000 Combo, 720 Lease, </v>
      </c>
      <c r="E256" s="475">
        <f>INDEX(Input!$1:$1048576,E$93,$C256*2+MIN($B256,2)+5)
+INDEX(Scenarios!E$121:E$200,MATCH($B256,Scenarios!$B$121:$B$200,0))</f>
        <v>2250</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1.9E-2</v>
      </c>
      <c r="W256" s="863">
        <f>IFERROR(MAX(0,INDEX(Input!$1:$1048576,W$93,$C256*2+MIN($B256,2)+5)-0%,),"Market")</f>
        <v>3.9E-2</v>
      </c>
      <c r="X256" s="476" t="str">
        <f>INDEX(Input!$1:$1048576,X$93,$C256*2+MIN($B256,2)+5)</f>
        <v>Y</v>
      </c>
      <c r="Y256" s="475">
        <f>INDEX(Input!$1:$1048576,Y$93,$C256*2+MIN($B256,2)+5)
++INDEX(Scenarios!Y$121:Y$200,MATCH($B256,Scenarios!$B$121:$B$200,0))</f>
        <v>2078</v>
      </c>
      <c r="Z256" s="477">
        <f>INDEX(Input!$1:$1048576,Z$93,$C256*2+MIN($B256,2)+5)
+INDEX(Scenarios!Z$121:Z$200,MATCH($B256,Scenarios!$B$121:$B$200,0))</f>
        <v>0</v>
      </c>
      <c r="AA256" s="475">
        <f>INDEX(Input!$1:$1048576,AA$93,$C256*2+MIN($B256,2)+5)</f>
        <v>0</v>
      </c>
      <c r="AB256" s="476">
        <f>INDEX(Input!$1:$1048576,AB$93,$C256*2+MIN($B256,2)+5)</f>
        <v>1</v>
      </c>
      <c r="AC256" s="475">
        <f>INDEX(Input!$1:$1048576,AC$93,$C256*2+MIN($B256,2)+5)
+INDEX(Scenarios!AC$121:AC$200,MATCH($B256,Scenarios!$B$121:$B$200,0))</f>
        <v>0</v>
      </c>
      <c r="AD256" s="476">
        <f>INDEX(Input!$1:$1048576,AD$93,$C256*2+MIN($B256,2)+5)</f>
        <v>0.35</v>
      </c>
      <c r="AE256" s="475">
        <f>INDEX(Input!$1:$1048576,AE$93,$C256*2+MIN($B256,2)+5)
+INDEX(Scenarios!AE$121:AE$200,MATCH($B256,Scenarios!$B$121:$B$200,0))</f>
        <v>0</v>
      </c>
      <c r="AF256" s="476">
        <f>INDEX(Input!$1:$1048576,AF$93,$C256*2+MIN($B256,2)+5)</f>
        <v>1</v>
      </c>
      <c r="AG256" s="475">
        <f>INDEX(Input!$1:$1048576,AG$93,$C256*2+MIN($B256,2)+5)
+INDEX(Scenarios!AG$121:AG$200,MATCH($B256,Scenarios!$B$121:$B$200,0))</f>
        <v>0</v>
      </c>
      <c r="AH256" s="476">
        <f>INDEX(Input!$1:$1048576,AH$93,$C256*2+MIN($B256,2)+5)</f>
        <v>1</v>
      </c>
      <c r="AI256" s="475">
        <f>INDEX(Input!$1:$1048576,AI$93,$C256*2+MIN($B256,2)+5)
+INDEX(Scenarios!AI$121:AI$200,MATCH($B256,Scenarios!$B$121:$B$200,0))</f>
        <v>0</v>
      </c>
      <c r="AJ256" s="476">
        <f>INDEX(Input!$1:$1048576,AJ$93,$C256*2+MIN($B256,2)+5)</f>
        <v>0.35</v>
      </c>
      <c r="AK256" s="150">
        <f>ROUND(INDEX(Input!$1:$1048576,AK$93,$C255*2+MIN($B256,1)+5)+(Y256-VLOOKUP($C256*1000+1,$A:$HH,Y$92,FALSE)),0)</f>
        <v>5702</v>
      </c>
      <c r="AL256" s="150">
        <f>ROUND(INDEX(Input!$1:$1048576,AL$93,$C255*2+MIN($B256,1)+5)-(Y256-VLOOKUP($C256*1000+1,$A:$HH,Y$92,FALSE))/36,0)</f>
        <v>5082</v>
      </c>
      <c r="AM256" s="32" t="str">
        <f t="shared" si="756"/>
        <v>std/std/std/std</v>
      </c>
      <c r="AN256" s="32" t="str">
        <f t="shared" si="757"/>
        <v>$1000 + 0/0/0/1.9/3.9</v>
      </c>
      <c r="AO256" s="32" t="str">
        <f t="shared" si="758"/>
        <v>0/0/0/1.9/3.9</v>
      </c>
      <c r="AP256" s="32" t="str">
        <f t="shared" si="831"/>
        <v>0/0.9/1.9/3.9</v>
      </c>
      <c r="AQ256" s="536">
        <f t="shared" si="830"/>
        <v>0.35394712770947473</v>
      </c>
      <c r="AR256" s="32"/>
      <c r="AS256" s="302"/>
      <c r="AT256" s="3">
        <f t="shared" si="810"/>
        <v>56</v>
      </c>
      <c r="AU256" s="41" t="s">
        <v>121</v>
      </c>
      <c r="AV256" s="41" t="s">
        <v>116</v>
      </c>
      <c r="AW256" s="41" t="str">
        <f>INDEX(Input!$1:$1048576,AW$93,$C256*2+6)</f>
        <v>Kia</v>
      </c>
      <c r="AX256" s="41" t="str">
        <f>INDEX(Input!$1:$1048576,AX$93,$C256*2+6)</f>
        <v>Kia-LR - L2</v>
      </c>
      <c r="AY256" s="41" t="str">
        <f>IF(LEN(D256)=0,"",INDEX(Input!$1:$1048576,AY$93,$C256*2+6))</f>
        <v>Compact Conventional/Sporty Car (43)</v>
      </c>
      <c r="AZ256" s="41" t="str">
        <f>INDEX(Input!$1:$1048576,AZ$93,$C256*2+6)</f>
        <v>Kia Forte</v>
      </c>
      <c r="BA256" s="3">
        <f>INDEX(Input!$1:$1048576,BA$93,$C256*2+6)</f>
        <v>2020</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19695</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832"/>
        <v>2250</v>
      </c>
      <c r="CJ256" s="16" t="str">
        <f>INDEX(Input!$1:$1048576,CJ$93,$C256*2+6)</f>
        <v>N</v>
      </c>
      <c r="CK256" s="1" t="str">
        <f t="shared" si="833"/>
        <v>Market</v>
      </c>
      <c r="CL256" s="1" t="str">
        <f t="shared" si="834"/>
        <v>Market</v>
      </c>
      <c r="CM256" s="1" t="str">
        <f t="shared" si="835"/>
        <v>Market</v>
      </c>
      <c r="CN256" s="1" t="str">
        <f t="shared" si="836"/>
        <v>Market</v>
      </c>
      <c r="CO256" s="1" t="str">
        <f t="shared" si="837"/>
        <v>Market</v>
      </c>
      <c r="CP256" s="304">
        <f t="shared" si="838"/>
        <v>1000</v>
      </c>
      <c r="CQ256" s="1">
        <f t="shared" si="839"/>
        <v>0</v>
      </c>
      <c r="CR256" s="1">
        <f t="shared" si="840"/>
        <v>0</v>
      </c>
      <c r="CS256" s="1">
        <f t="shared" si="841"/>
        <v>0</v>
      </c>
      <c r="CT256" s="1">
        <f t="shared" si="842"/>
        <v>1.9E-2</v>
      </c>
      <c r="CU256" s="1">
        <f t="shared" si="843"/>
        <v>3.9E-2</v>
      </c>
      <c r="CV256" s="304">
        <f t="shared" si="844"/>
        <v>2078</v>
      </c>
      <c r="CW256" s="20" t="s">
        <v>122</v>
      </c>
      <c r="CX256" s="20" t="s">
        <v>122</v>
      </c>
      <c r="CY256" s="20" t="s">
        <v>122</v>
      </c>
      <c r="CZ256" s="20" t="s">
        <v>122</v>
      </c>
      <c r="DA256" s="20" t="s">
        <v>122</v>
      </c>
      <c r="DB256" s="503">
        <f t="shared" si="845"/>
        <v>0</v>
      </c>
      <c r="DC256" s="127">
        <v>0</v>
      </c>
      <c r="DD256" s="127">
        <v>0</v>
      </c>
      <c r="DE256" s="127">
        <v>0</v>
      </c>
      <c r="DF256" s="127">
        <v>0</v>
      </c>
      <c r="DG256" s="127">
        <v>0</v>
      </c>
      <c r="DH256" s="127">
        <v>0</v>
      </c>
      <c r="DI256" s="127">
        <v>0</v>
      </c>
      <c r="DJ256" s="127">
        <v>0</v>
      </c>
      <c r="DK256" s="127">
        <v>0</v>
      </c>
      <c r="DL256" s="127">
        <v>0</v>
      </c>
      <c r="DM256" s="304">
        <f>INDEX(Input!$1:$1048576,DM$93,$C256*2+6)</f>
        <v>20731.578947368424</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2.9364852165810456E-2</v>
      </c>
      <c r="DZ256" s="7">
        <v>0</v>
      </c>
      <c r="EA256" s="7">
        <v>0.58950736346721677</v>
      </c>
      <c r="EB256" s="7">
        <v>0</v>
      </c>
      <c r="EC256" s="7">
        <v>0</v>
      </c>
      <c r="ED256" s="7">
        <v>0</v>
      </c>
      <c r="EE256" s="7">
        <v>0</v>
      </c>
      <c r="EF256" s="7">
        <v>0</v>
      </c>
      <c r="EG256" s="7">
        <v>0</v>
      </c>
      <c r="EH256" s="7">
        <v>1.6202662731721145E-2</v>
      </c>
      <c r="EI256" s="7">
        <v>2.6459672218083988E-2</v>
      </c>
      <c r="EJ256" s="7">
        <v>0.26584229340437177</v>
      </c>
      <c r="EK256" s="7">
        <v>0.64354184283857485</v>
      </c>
      <c r="EL256" s="7">
        <v>4.7953528807248375E-2</v>
      </c>
      <c r="EM256" s="7">
        <v>3.781971287791281E-2</v>
      </c>
      <c r="EN256" s="7">
        <v>5.1586523220233889E-2</v>
      </c>
      <c r="EO256" s="7">
        <v>0.55946933111922281</v>
      </c>
      <c r="EP256" s="7">
        <v>0.2895866937352275</v>
      </c>
      <c r="EQ256" s="7">
        <v>6.1770103444569971E-2</v>
      </c>
      <c r="ER256" s="7">
        <v>3.7587348480745741E-2</v>
      </c>
      <c r="ES256" s="7">
        <v>0.34330807148906001</v>
      </c>
      <c r="ET256" s="7">
        <v>0.38112778436697281</v>
      </c>
      <c r="EU256" s="6">
        <v>2600</v>
      </c>
      <c r="EV256" s="6">
        <v>0</v>
      </c>
      <c r="EW256" s="6">
        <v>2600</v>
      </c>
      <c r="EX256" s="6">
        <v>0</v>
      </c>
      <c r="EY256" s="6">
        <v>3626.8445121669961</v>
      </c>
      <c r="EZ256" s="6">
        <v>2831</v>
      </c>
      <c r="FA256" s="6">
        <v>0</v>
      </c>
      <c r="FB256" s="6">
        <v>0</v>
      </c>
      <c r="FC256" s="6">
        <v>0</v>
      </c>
      <c r="FD256" s="6">
        <v>0</v>
      </c>
      <c r="FE256" s="6">
        <v>0</v>
      </c>
      <c r="FF256" s="6">
        <v>0</v>
      </c>
      <c r="FG256" s="6">
        <v>0</v>
      </c>
      <c r="FH256" s="6">
        <v>1154.7811796410265</v>
      </c>
      <c r="FI256" s="6">
        <v>1531.4299904380621</v>
      </c>
      <c r="FJ256" s="6">
        <v>2070.7205842538219</v>
      </c>
      <c r="FK256" s="6">
        <v>1746.9903521590438</v>
      </c>
      <c r="FL256" s="6">
        <v>893.91433563489363</v>
      </c>
      <c r="FM256" s="6">
        <v>1776.8445121669961</v>
      </c>
      <c r="FN256" s="6">
        <v>0</v>
      </c>
      <c r="FO256" s="6">
        <v>0</v>
      </c>
      <c r="FP256" s="6">
        <v>0</v>
      </c>
      <c r="FQ256" s="6">
        <v>0</v>
      </c>
      <c r="FR256" s="6">
        <v>0</v>
      </c>
      <c r="FS256" s="6">
        <v>0</v>
      </c>
      <c r="FT256" s="7">
        <v>0.61887221563302719</v>
      </c>
      <c r="FU256" s="7">
        <v>3.781971287791281E-2</v>
      </c>
      <c r="FV256" s="7">
        <v>0.34330807148906001</v>
      </c>
      <c r="FW256" s="6">
        <v>2600</v>
      </c>
      <c r="FX256" s="6">
        <v>3626.8445121669961</v>
      </c>
      <c r="FY256" s="6">
        <v>2831</v>
      </c>
      <c r="FZ256" s="6">
        <v>2594.6978186474794</v>
      </c>
      <c r="GA256" s="6">
        <v>2718.1391291343893</v>
      </c>
      <c r="GB256" s="6">
        <v>16976.86087086561</v>
      </c>
      <c r="GC256" s="7">
        <v>9.6947029492584935E-2</v>
      </c>
      <c r="GD256" s="7">
        <v>9.9431602352503881E-2</v>
      </c>
      <c r="GE256" s="7"/>
      <c r="GF256" s="7"/>
      <c r="GG256" s="7">
        <v>2.562814841179822E-2</v>
      </c>
      <c r="GH256" s="42">
        <v>4.0889583963375902</v>
      </c>
      <c r="GI256" s="6">
        <v>7534.7692072590417</v>
      </c>
      <c r="GJ256" s="14">
        <v>0.51074630601039539</v>
      </c>
      <c r="GK256" s="14">
        <v>0.50829519786160993</v>
      </c>
      <c r="GL256" s="14">
        <v>0.48925369398960428</v>
      </c>
      <c r="GM256" s="14">
        <v>0.49170480213839052</v>
      </c>
      <c r="GO256" s="5">
        <v>338.16872463277008</v>
      </c>
      <c r="GP256" s="5">
        <v>288.56568471597211</v>
      </c>
      <c r="GQ256" s="5">
        <v>527.27910984145694</v>
      </c>
      <c r="GR256" s="5">
        <v>404.20319246551543</v>
      </c>
      <c r="GS256" s="5">
        <v>334.50205195691484</v>
      </c>
      <c r="GT256" s="5">
        <v>289.18266033348181</v>
      </c>
      <c r="GU256" s="5">
        <v>254.29573314828914</v>
      </c>
      <c r="GV256" s="39" t="s">
        <v>392</v>
      </c>
      <c r="GW256" s="5">
        <v>440.98611111111109</v>
      </c>
      <c r="GX256" s="5">
        <v>330.73958333333331</v>
      </c>
      <c r="GY256" s="5">
        <v>264.59166666666664</v>
      </c>
      <c r="GZ256" s="5">
        <v>233.47422424633754</v>
      </c>
      <c r="HA256" s="5">
        <v>216.26912746293837</v>
      </c>
      <c r="HB256" s="39">
        <v>246.85736603531126</v>
      </c>
      <c r="HC256" s="5">
        <v>159.25937499999998</v>
      </c>
      <c r="HD256" s="5">
        <v>151.78879751461983</v>
      </c>
      <c r="HE256" s="5">
        <v>158.97862263832656</v>
      </c>
      <c r="HF256" s="5">
        <v>152.23629934210524</v>
      </c>
      <c r="HG256" s="5">
        <v>153.31410087719297</v>
      </c>
      <c r="HH256" s="39">
        <v>154.34123066284994</v>
      </c>
      <c r="HI256" s="16"/>
      <c r="HJ256" s="19" t="str">
        <f t="shared" si="858"/>
        <v>On</v>
      </c>
      <c r="HK256" s="1" t="str">
        <f t="shared" si="858"/>
        <v>On</v>
      </c>
      <c r="HL256" s="16"/>
      <c r="HM256" s="639">
        <f t="shared" si="727"/>
        <v>5.0961701597560354E-2</v>
      </c>
      <c r="HN256" s="639">
        <f t="shared" si="728"/>
        <v>3.112551654761847E-3</v>
      </c>
      <c r="HO256" s="639">
        <f t="shared" si="729"/>
        <v>3.1163314184693442E-2</v>
      </c>
      <c r="HP256" s="644">
        <f>(FT256*$GD256-HM256)/$JF256*INDEX(Input!$1:$1048576,$JG$93,$C256*2+6)</f>
        <v>198.60469262927541</v>
      </c>
      <c r="HQ256" s="644">
        <f>(FU256*$GD256-HN256)/$JF256*INDEX(Input!$1:$1048576,$JG$93,$C256*2+6)</f>
        <v>12.169806690984554</v>
      </c>
      <c r="HR256" s="644">
        <f>(FV256*$GD256-HO256)/$JF256*INDEX(Input!$1:$1048576,$JG$93,$C256*2+6)</f>
        <v>55.829189440432671</v>
      </c>
      <c r="HS256" s="644">
        <f t="shared" si="851"/>
        <v>-29.137799911696163</v>
      </c>
      <c r="HT256" s="644">
        <f t="shared" si="731"/>
        <v>110.49101773919621</v>
      </c>
      <c r="HU256" s="644">
        <f t="shared" si="732"/>
        <v>97.865446247038406</v>
      </c>
      <c r="HV256" s="648">
        <f t="shared" si="733"/>
        <v>0</v>
      </c>
      <c r="HW256" s="648">
        <f t="shared" si="734"/>
        <v>0</v>
      </c>
      <c r="HX256" s="648">
        <f t="shared" si="735"/>
        <v>0</v>
      </c>
      <c r="HY256" s="644">
        <f>INDEX(Input!$1:$1048576,HY$93,$C256*2+6)*INDEX(Input!$1:$1048576,$JG$93,$C256*2+6)</f>
        <v>555</v>
      </c>
      <c r="HZ256" s="644">
        <f>INDEX(Input!$1:$1048576,HZ$93,$C256*2+6)*INDEX(Input!$1:$1048576,$JG$93,$C256*2+6)</f>
        <v>480</v>
      </c>
      <c r="IA256" s="644">
        <f>INDEX(Input!$1:$1048576,IA$93,$C256*2+6)*INDEX(Input!$1:$1048576,$JG$93,$C256*2+6)</f>
        <v>566</v>
      </c>
      <c r="IB256" s="644">
        <f t="shared" si="759"/>
        <v>724.46689271757907</v>
      </c>
      <c r="IC256" s="644">
        <f t="shared" si="760"/>
        <v>602.66082443018081</v>
      </c>
      <c r="ID256" s="644">
        <f>IF(AND(INDEX(Input!$1:$1048576,IA$93,$C256*2+7)="TOS",Y256&lt;=INDEX(Y:Y,MATCH(C256*1000+2,A:A))),0,1)*MAX(IA256+HR256+HU256+HX256,0%)</f>
        <v>719.69463568747108</v>
      </c>
      <c r="IE256" s="128">
        <f t="shared" si="856"/>
        <v>0.35394712770947473</v>
      </c>
      <c r="IF256" s="128">
        <f t="shared" si="736"/>
        <v>0.29443728890071141</v>
      </c>
      <c r="IG256" s="128">
        <f t="shared" si="737"/>
        <v>0.3516155833898138</v>
      </c>
      <c r="IH256" s="21"/>
      <c r="II256" s="19">
        <f t="shared" si="738"/>
        <v>1200</v>
      </c>
      <c r="IJ256" s="19">
        <f t="shared" si="739"/>
        <v>2226.7968732767699</v>
      </c>
      <c r="IK256" s="19">
        <f t="shared" si="740"/>
        <v>1786</v>
      </c>
      <c r="IL256" s="19">
        <f t="shared" si="762"/>
        <v>1400</v>
      </c>
      <c r="IM256" s="19">
        <f t="shared" si="741"/>
        <v>1400.0476388902262</v>
      </c>
      <c r="IN256" s="19">
        <f t="shared" si="742"/>
        <v>1045</v>
      </c>
      <c r="IO256" s="39">
        <f t="shared" si="743"/>
        <v>0</v>
      </c>
      <c r="IP256" s="39">
        <f t="shared" si="744"/>
        <v>0</v>
      </c>
      <c r="IQ256" s="39">
        <f t="shared" si="745"/>
        <v>0</v>
      </c>
      <c r="IR256" s="39">
        <v>0</v>
      </c>
      <c r="IS256" s="39">
        <v>0</v>
      </c>
      <c r="IT256" s="39">
        <v>0</v>
      </c>
      <c r="IU256" s="39">
        <v>0</v>
      </c>
      <c r="IV256" s="39">
        <v>0</v>
      </c>
      <c r="IW256" s="39">
        <v>0</v>
      </c>
      <c r="IX256" s="39">
        <f>INDEX(Input!$1:$1048576,IX$93,$C256*2+6)+INDEX(Input!$1:$1048576,IX$94,$C256*2+6)</f>
        <v>1600</v>
      </c>
      <c r="IY256" s="39">
        <f>INDEX(Input!$1:$1048576,IY$93,$C256*2+6)+INDEX(Input!$1:$1048576,IY$94,$C256*2+6)</f>
        <v>2503.5492916397525</v>
      </c>
      <c r="IZ256" s="39">
        <f>INDEX(Input!$1:$1048576,IZ$93,$C256*2+6)+INDEX(Input!$1:$1048576,IZ$94,$C256*2+6)</f>
        <v>5773.7109265464023</v>
      </c>
      <c r="JA256" s="19">
        <f t="shared" si="763"/>
        <v>3000</v>
      </c>
      <c r="JB256" s="19">
        <f t="shared" si="764"/>
        <v>3903.5969305299786</v>
      </c>
      <c r="JC256" s="19">
        <f t="shared" si="765"/>
        <v>6818.7109265464023</v>
      </c>
      <c r="JD256" s="19">
        <f t="shared" si="766"/>
        <v>4608.7709007189214</v>
      </c>
      <c r="JE256" s="21"/>
      <c r="JF256" s="1">
        <f t="shared" si="746"/>
        <v>8.5237567437015646E-2</v>
      </c>
      <c r="JG256" s="15">
        <f>INDEX(Input!$1:$1048576,JG$93,$C256*2+6)/(1+VLOOKUP(C256*1000+INDEX(Input!$1:$1048576,JG$93+1,$C256*2+6),$A:$KK,$JK$92,FALSE))</f>
        <v>1601</v>
      </c>
      <c r="JH256" s="1">
        <f t="shared" si="767"/>
        <v>0.16652322845764689</v>
      </c>
      <c r="JI256" s="1">
        <f t="shared" si="768"/>
        <v>0.11194170148315956</v>
      </c>
      <c r="JJ256" s="1">
        <f t="shared" si="828"/>
        <v>0</v>
      </c>
      <c r="JK256" s="1">
        <f t="shared" si="829"/>
        <v>0.27846492994080646</v>
      </c>
      <c r="JL256" s="15">
        <f t="shared" si="771"/>
        <v>445.82235283523113</v>
      </c>
      <c r="JM256" s="15">
        <f t="shared" si="795"/>
        <v>2046.8223528352312</v>
      </c>
      <c r="JN256" s="21"/>
      <c r="JO256" s="19">
        <f>INDEX(Input!$1:$1048576,JO$93,$C256*2+6)</f>
        <v>5908.5</v>
      </c>
      <c r="JP256" s="19">
        <f>INDEX(Input!$1:$1048576,JP$93,$C256*2+6)</f>
        <v>3346.4235130620518</v>
      </c>
      <c r="JQ256" s="39">
        <f t="shared" si="781"/>
        <v>1299.7290992810786</v>
      </c>
      <c r="JR256" s="39">
        <f t="shared" si="798"/>
        <v>1262.3473876568696</v>
      </c>
      <c r="JS256" s="39">
        <f t="shared" si="783"/>
        <v>9.4333352986880499</v>
      </c>
      <c r="JT256" s="39">
        <f t="shared" si="773"/>
        <v>4.0757112542757055</v>
      </c>
      <c r="JU256" s="385">
        <f>(JQ256*JM256-INDEX(Input!$1:$1048576,Input!A$18,$C256*2+6)*JL256*INDEX(Input!$1:$1048576,Input!A$19,$C256*2+6))/1000000</f>
        <v>2.6603145730389128</v>
      </c>
      <c r="JV256" s="39">
        <f t="shared" si="805"/>
        <v>-1.441569882548742</v>
      </c>
      <c r="JW256" s="1">
        <f t="shared" si="796"/>
        <v>-0.35144087995579976</v>
      </c>
      <c r="JX256" s="19">
        <f t="shared" si="787"/>
        <v>9142.007412495137</v>
      </c>
      <c r="JZ256" s="341"/>
      <c r="KA256" s="342"/>
      <c r="KB256" s="469">
        <f t="shared" si="784"/>
        <v>2.4482969984810516</v>
      </c>
      <c r="KI256" s="473">
        <f t="shared" si="853"/>
        <v>169.46689271757907</v>
      </c>
      <c r="KJ256" s="473">
        <f t="shared" si="854"/>
        <v>122.66082443018081</v>
      </c>
      <c r="KK256" s="473">
        <f t="shared" si="775"/>
        <v>153.69463568747108</v>
      </c>
      <c r="KN256" s="544">
        <f t="shared" si="788"/>
        <v>2002</v>
      </c>
      <c r="KO256" s="541">
        <f t="shared" si="750"/>
        <v>0.18466898646973773</v>
      </c>
      <c r="KP256" s="546">
        <f t="shared" si="751"/>
        <v>901.55790999052488</v>
      </c>
      <c r="KQ256" s="546">
        <f t="shared" si="752"/>
        <v>883.16732576238292</v>
      </c>
      <c r="KR256" s="548">
        <f t="shared" si="753"/>
        <v>3.2710624793666585</v>
      </c>
      <c r="KS256" s="548">
        <f t="shared" si="754"/>
        <v>3.3391772615687492</v>
      </c>
      <c r="KT256" s="473">
        <f t="shared" si="786"/>
        <v>528.59039248727379</v>
      </c>
      <c r="KU256" s="663">
        <f t="shared" si="776"/>
        <v>12.274158035597511</v>
      </c>
      <c r="KV256" s="117"/>
    </row>
    <row r="257" spans="1:308" s="26" customFormat="1" ht="15" outlineLevel="1">
      <c r="A257" s="561">
        <f t="shared" si="755"/>
        <v>2057</v>
      </c>
      <c r="B257" s="561">
        <f t="shared" si="777"/>
        <v>57</v>
      </c>
      <c r="C257" s="561">
        <f t="shared" si="857"/>
        <v>2</v>
      </c>
      <c r="D257" s="561" t="str">
        <f t="shared" si="859"/>
        <v xml:space="preserve">500 CC, 0/0/0.9/3.9, 360 Lease, </v>
      </c>
      <c r="E257" s="475">
        <f>INDEX(Input!$1:$1048576,E$93,$C257*2+MIN($B257,2)+5)
+INDEX(Scenarios!E$121:E$200,MATCH($B257,Scenarios!$B$121:$B$200,0))</f>
        <v>1750</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8.9999999999999993E-3</v>
      </c>
      <c r="W257" s="863">
        <f>IFERROR(MAX(0,INDEX(Input!$1:$1048576,W$93,$C257*2+MIN($B257,2)+5)-0%,),"Market")</f>
        <v>3.9E-2</v>
      </c>
      <c r="X257" s="476" t="str">
        <f>INDEX(Input!$1:$1048576,X$93,$C257*2+MIN($B257,2)+5)</f>
        <v>Y</v>
      </c>
      <c r="Y257" s="475">
        <f>INDEX(Input!$1:$1048576,Y$93,$C257*2+MIN($B257,2)+5)
++INDEX(Scenarios!Y$121:Y$200,MATCH($B257,Scenarios!$B$121:$B$200,0))</f>
        <v>1718</v>
      </c>
      <c r="Z257" s="477">
        <f>INDEX(Input!$1:$1048576,Z$93,$C257*2+MIN($B257,2)+5)
+INDEX(Scenarios!Z$121:Z$200,MATCH($B257,Scenarios!$B$121:$B$200,0))</f>
        <v>0</v>
      </c>
      <c r="AA257" s="475">
        <f>INDEX(Input!$1:$1048576,AA$93,$C257*2+MIN($B257,2)+5)</f>
        <v>0</v>
      </c>
      <c r="AB257" s="476">
        <f>INDEX(Input!$1:$1048576,AB$93,$C257*2+MIN($B257,2)+5)</f>
        <v>1</v>
      </c>
      <c r="AC257" s="475">
        <f>INDEX(Input!$1:$1048576,AC$93,$C257*2+MIN($B257,2)+5)
+INDEX(Scenarios!AC$121:AC$200,MATCH($B257,Scenarios!$B$121:$B$200,0))</f>
        <v>0</v>
      </c>
      <c r="AD257" s="476">
        <f>INDEX(Input!$1:$1048576,AD$93,$C257*2+MIN($B257,2)+5)</f>
        <v>0.35</v>
      </c>
      <c r="AE257" s="475">
        <f>INDEX(Input!$1:$1048576,AE$93,$C257*2+MIN($B257,2)+5)
+INDEX(Scenarios!AE$121:AE$200,MATCH($B257,Scenarios!$B$121:$B$200,0))</f>
        <v>0</v>
      </c>
      <c r="AF257" s="476">
        <f>INDEX(Input!$1:$1048576,AF$93,$C257*2+MIN($B257,2)+5)</f>
        <v>1</v>
      </c>
      <c r="AG257" s="475">
        <f>INDEX(Input!$1:$1048576,AG$93,$C257*2+MIN($B257,2)+5)
+INDEX(Scenarios!AG$121:AG$200,MATCH($B257,Scenarios!$B$121:$B$200,0))</f>
        <v>0</v>
      </c>
      <c r="AH257" s="476">
        <f>INDEX(Input!$1:$1048576,AH$93,$C257*2+MIN($B257,2)+5)</f>
        <v>1</v>
      </c>
      <c r="AI257" s="475">
        <f>INDEX(Input!$1:$1048576,AI$93,$C257*2+MIN($B257,2)+5)
+INDEX(Scenarios!AI$121:AI$200,MATCH($B257,Scenarios!$B$121:$B$200,0))</f>
        <v>0</v>
      </c>
      <c r="AJ257" s="476">
        <f>INDEX(Input!$1:$1048576,AJ$93,$C257*2+MIN($B257,2)+5)</f>
        <v>0.35</v>
      </c>
      <c r="AK257" s="150">
        <f>ROUND(INDEX(Input!$1:$1048576,AK$93,$C256*2+MIN($B257,1)+5)+(Y257-VLOOKUP($C257*1000+1,$A:$HH,Y$92,FALSE)),0)</f>
        <v>5342</v>
      </c>
      <c r="AL257" s="150">
        <f>ROUND(INDEX(Input!$1:$1048576,AL$93,$C256*2+MIN($B257,1)+5)-(Y257-VLOOKUP($C257*1000+1,$A:$HH,Y$92,FALSE))/36,0)</f>
        <v>5092</v>
      </c>
      <c r="AM257" s="32" t="str">
        <f t="shared" si="756"/>
        <v>std/std/std/std</v>
      </c>
      <c r="AN257" s="32" t="str">
        <f t="shared" si="757"/>
        <v>$0 + 0/0/0/0.9/3.9</v>
      </c>
      <c r="AO257" s="32" t="str">
        <f t="shared" si="758"/>
        <v>0/0/0/0.9/3.9</v>
      </c>
      <c r="AP257" s="32" t="str">
        <f t="shared" si="831"/>
        <v>0/0/0.9/3.9</v>
      </c>
      <c r="AQ257" s="536">
        <f t="shared" si="830"/>
        <v>0.34937256837658243</v>
      </c>
      <c r="AR257" s="32"/>
      <c r="AS257" s="302"/>
      <c r="AT257" s="3">
        <f t="shared" si="810"/>
        <v>57</v>
      </c>
      <c r="AU257" s="41" t="s">
        <v>121</v>
      </c>
      <c r="AV257" s="41" t="s">
        <v>116</v>
      </c>
      <c r="AW257" s="41" t="str">
        <f>INDEX(Input!$1:$1048576,AW$93,$C257*2+6)</f>
        <v>Kia</v>
      </c>
      <c r="AX257" s="41" t="str">
        <f>INDEX(Input!$1:$1048576,AX$93,$C257*2+6)</f>
        <v>Kia-LR - L2</v>
      </c>
      <c r="AY257" s="41" t="str">
        <f>IF(LEN(D257)=0,"",INDEX(Input!$1:$1048576,AY$93,$C257*2+6))</f>
        <v>Compact Conventional/Sporty Car (43)</v>
      </c>
      <c r="AZ257" s="41" t="str">
        <f>INDEX(Input!$1:$1048576,AZ$93,$C257*2+6)</f>
        <v>Kia Forte</v>
      </c>
      <c r="BA257" s="3">
        <f>INDEX(Input!$1:$1048576,BA$93,$C257*2+6)</f>
        <v>2020</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19695</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832"/>
        <v>1750</v>
      </c>
      <c r="CJ257" s="16" t="str">
        <f>INDEX(Input!$1:$1048576,CJ$93,$C257*2+6)</f>
        <v>N</v>
      </c>
      <c r="CK257" s="1" t="str">
        <f t="shared" si="833"/>
        <v>Market</v>
      </c>
      <c r="CL257" s="1" t="str">
        <f t="shared" si="834"/>
        <v>Market</v>
      </c>
      <c r="CM257" s="1" t="str">
        <f t="shared" si="835"/>
        <v>Market</v>
      </c>
      <c r="CN257" s="1" t="str">
        <f t="shared" si="836"/>
        <v>Market</v>
      </c>
      <c r="CO257" s="1" t="str">
        <f t="shared" si="837"/>
        <v>Market</v>
      </c>
      <c r="CP257" s="304">
        <f t="shared" si="838"/>
        <v>0</v>
      </c>
      <c r="CQ257" s="1">
        <f t="shared" si="839"/>
        <v>0</v>
      </c>
      <c r="CR257" s="1">
        <f t="shared" si="840"/>
        <v>0</v>
      </c>
      <c r="CS257" s="1">
        <f t="shared" si="841"/>
        <v>0</v>
      </c>
      <c r="CT257" s="1">
        <f t="shared" si="842"/>
        <v>8.9999999999999993E-3</v>
      </c>
      <c r="CU257" s="1">
        <f t="shared" si="843"/>
        <v>3.9E-2</v>
      </c>
      <c r="CV257" s="304">
        <f t="shared" si="844"/>
        <v>1718</v>
      </c>
      <c r="CW257" s="20" t="s">
        <v>122</v>
      </c>
      <c r="CX257" s="20" t="s">
        <v>122</v>
      </c>
      <c r="CY257" s="20" t="s">
        <v>122</v>
      </c>
      <c r="CZ257" s="20" t="s">
        <v>122</v>
      </c>
      <c r="DA257" s="20" t="s">
        <v>122</v>
      </c>
      <c r="DB257" s="503">
        <f t="shared" si="845"/>
        <v>0</v>
      </c>
      <c r="DC257" s="127">
        <v>0</v>
      </c>
      <c r="DD257" s="127">
        <v>0</v>
      </c>
      <c r="DE257" s="127">
        <v>0</v>
      </c>
      <c r="DF257" s="127">
        <v>0</v>
      </c>
      <c r="DG257" s="127">
        <v>0</v>
      </c>
      <c r="DH257" s="127">
        <v>0</v>
      </c>
      <c r="DI257" s="127">
        <v>0</v>
      </c>
      <c r="DJ257" s="127">
        <v>0</v>
      </c>
      <c r="DK257" s="127">
        <v>0</v>
      </c>
      <c r="DL257" s="127">
        <v>0</v>
      </c>
      <c r="DM257" s="304">
        <f>INDEX(Input!$1:$1048576,DM$93,$C257*2+6)</f>
        <v>20731.578947368424</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2.8544614345881299E-2</v>
      </c>
      <c r="DZ257" s="7">
        <v>0</v>
      </c>
      <c r="EA257" s="7">
        <v>0.57811393294744862</v>
      </c>
      <c r="EB257" s="7">
        <v>0</v>
      </c>
      <c r="EC257" s="7">
        <v>0</v>
      </c>
      <c r="ED257" s="7">
        <v>0</v>
      </c>
      <c r="EE257" s="7">
        <v>0</v>
      </c>
      <c r="EF257" s="7">
        <v>0</v>
      </c>
      <c r="EG257" s="7">
        <v>0</v>
      </c>
      <c r="EH257" s="7">
        <v>1.1564065091574576E-2</v>
      </c>
      <c r="EI257" s="7">
        <v>1.8883985790634012E-2</v>
      </c>
      <c r="EJ257" s="7">
        <v>0.18976599150269644</v>
      </c>
      <c r="EK257" s="7">
        <v>0.74554087205899666</v>
      </c>
      <c r="EL257" s="7">
        <v>3.4245085556098162E-2</v>
      </c>
      <c r="EM257" s="7">
        <v>4.4803395185111332E-2</v>
      </c>
      <c r="EN257" s="7">
        <v>5.061831669082982E-2</v>
      </c>
      <c r="EO257" s="7">
        <v>0.56057981090613318</v>
      </c>
      <c r="EP257" s="7">
        <v>0.28779109168600342</v>
      </c>
      <c r="EQ257" s="7">
        <v>6.2841883788415542E-2</v>
      </c>
      <c r="ER257" s="7">
        <v>3.8168896928618426E-2</v>
      </c>
      <c r="ES257" s="7">
        <v>0.3485380575215587</v>
      </c>
      <c r="ET257" s="7">
        <v>0.39334145270666998</v>
      </c>
      <c r="EU257" s="6">
        <v>2100</v>
      </c>
      <c r="EV257" s="6">
        <v>0</v>
      </c>
      <c r="EW257" s="6">
        <v>2100</v>
      </c>
      <c r="EX257" s="6">
        <v>0</v>
      </c>
      <c r="EY257" s="6">
        <v>2969.9243655046712</v>
      </c>
      <c r="EZ257" s="6">
        <v>2471</v>
      </c>
      <c r="FA257" s="6">
        <v>0</v>
      </c>
      <c r="FB257" s="6">
        <v>0</v>
      </c>
      <c r="FC257" s="6">
        <v>0</v>
      </c>
      <c r="FD257" s="6">
        <v>0</v>
      </c>
      <c r="FE257" s="6">
        <v>0</v>
      </c>
      <c r="FF257" s="6">
        <v>0</v>
      </c>
      <c r="FG257" s="6">
        <v>0</v>
      </c>
      <c r="FH257" s="6">
        <v>1154.7855306989143</v>
      </c>
      <c r="FI257" s="6">
        <v>1531.4299904380623</v>
      </c>
      <c r="FJ257" s="6">
        <v>2070.7205842538219</v>
      </c>
      <c r="FK257" s="6">
        <v>2218.6393698501029</v>
      </c>
      <c r="FL257" s="6">
        <v>893.91433563489409</v>
      </c>
      <c r="FM257" s="6">
        <v>2119.9243655046712</v>
      </c>
      <c r="FN257" s="6">
        <v>0</v>
      </c>
      <c r="FO257" s="6">
        <v>0</v>
      </c>
      <c r="FP257" s="6">
        <v>0</v>
      </c>
      <c r="FQ257" s="6">
        <v>0</v>
      </c>
      <c r="FR257" s="6">
        <v>0</v>
      </c>
      <c r="FS257" s="6">
        <v>0</v>
      </c>
      <c r="FT257" s="7">
        <v>0.60665854729332991</v>
      </c>
      <c r="FU257" s="7">
        <v>4.4803395185111332E-2</v>
      </c>
      <c r="FV257" s="7">
        <v>0.3485380575215587</v>
      </c>
      <c r="FW257" s="6">
        <v>2100</v>
      </c>
      <c r="FX257" s="6">
        <v>2969.9243655046712</v>
      </c>
      <c r="FY257" s="6">
        <v>2471</v>
      </c>
      <c r="FZ257" s="6">
        <v>2594.6978186474794</v>
      </c>
      <c r="GA257" s="6">
        <v>2268.283184469361</v>
      </c>
      <c r="GB257" s="6">
        <v>17426.716815530639</v>
      </c>
      <c r="GC257" s="7">
        <v>9.6947029492584935E-2</v>
      </c>
      <c r="GD257" s="7">
        <v>9.4457597111164346E-2</v>
      </c>
      <c r="GE257" s="7"/>
      <c r="GF257" s="7"/>
      <c r="GG257" s="7">
        <v>-2.5678273944546134E-2</v>
      </c>
      <c r="GH257" s="42">
        <v>1.5493594722284012</v>
      </c>
      <c r="GI257" s="6">
        <v>14979.987829533564</v>
      </c>
      <c r="GJ257" s="14">
        <v>0.51074630601039539</v>
      </c>
      <c r="GK257" s="14">
        <v>0.50829519786160959</v>
      </c>
      <c r="GL257" s="14">
        <v>0.489253693989604</v>
      </c>
      <c r="GM257" s="14">
        <v>0.49170480213839007</v>
      </c>
      <c r="GO257" s="5">
        <v>338.16872463277008</v>
      </c>
      <c r="GP257" s="5">
        <v>298.1047308538179</v>
      </c>
      <c r="GQ257" s="5">
        <v>527.27910984145694</v>
      </c>
      <c r="GR257" s="5">
        <v>404.20319246551543</v>
      </c>
      <c r="GS257" s="5">
        <v>334.50205195691484</v>
      </c>
      <c r="GT257" s="5">
        <v>289.18266033348181</v>
      </c>
      <c r="GU257" s="5">
        <v>254.29573314828914</v>
      </c>
      <c r="GV257" s="39" t="s">
        <v>392</v>
      </c>
      <c r="GW257" s="5">
        <v>468.76388888888891</v>
      </c>
      <c r="GX257" s="5">
        <v>351.57291666666669</v>
      </c>
      <c r="GY257" s="5">
        <v>281.25833333333333</v>
      </c>
      <c r="GZ257" s="5">
        <v>240.8550698915011</v>
      </c>
      <c r="HA257" s="5">
        <v>229.89195052129486</v>
      </c>
      <c r="HB257" s="39">
        <v>252.87314894079208</v>
      </c>
      <c r="HC257" s="5">
        <v>175.00937499999998</v>
      </c>
      <c r="HD257" s="5">
        <v>162.53879751461983</v>
      </c>
      <c r="HE257" s="5">
        <v>168.95939186909578</v>
      </c>
      <c r="HF257" s="5">
        <v>160.56129934210526</v>
      </c>
      <c r="HG257" s="5">
        <v>160.21410087719298</v>
      </c>
      <c r="HH257" s="39">
        <v>164.80482619694678</v>
      </c>
      <c r="HI257" s="16"/>
      <c r="HJ257" s="19" t="str">
        <f t="shared" si="858"/>
        <v>On</v>
      </c>
      <c r="HK257" s="1" t="str">
        <f t="shared" si="858"/>
        <v>On</v>
      </c>
      <c r="HL257" s="16"/>
      <c r="HM257" s="639">
        <f t="shared" si="727"/>
        <v>5.0961701597560354E-2</v>
      </c>
      <c r="HN257" s="639">
        <f t="shared" si="728"/>
        <v>3.112551654761847E-3</v>
      </c>
      <c r="HO257" s="639">
        <f t="shared" si="729"/>
        <v>3.1163314184693442E-2</v>
      </c>
      <c r="HP257" s="644">
        <f>(FT257*$GD257-HM257)/$JF257*INDEX(Input!$1:$1048576,$JG$93,$C257*2+6)</f>
        <v>119.11687988159458</v>
      </c>
      <c r="HQ257" s="644">
        <f>(FU257*$GD257-HN257)/$JF257*INDEX(Input!$1:$1048576,$JG$93,$C257*2+6)</f>
        <v>21.0267674012904</v>
      </c>
      <c r="HR257" s="644">
        <f>(FV257*$GD257-HO257)/$JF257*INDEX(Input!$1:$1048576,$JG$93,$C257*2+6)</f>
        <v>33.034306431239536</v>
      </c>
      <c r="HS257" s="644">
        <f t="shared" si="851"/>
        <v>-18.624642965106421</v>
      </c>
      <c r="HT257" s="644">
        <f t="shared" si="731"/>
        <v>56.819128377836407</v>
      </c>
      <c r="HU257" s="644">
        <f t="shared" si="732"/>
        <v>63.825912570708489</v>
      </c>
      <c r="HV257" s="648">
        <f t="shared" si="733"/>
        <v>0</v>
      </c>
      <c r="HW257" s="648">
        <f t="shared" si="734"/>
        <v>0</v>
      </c>
      <c r="HX257" s="648">
        <f t="shared" si="735"/>
        <v>0</v>
      </c>
      <c r="HY257" s="644">
        <f>INDEX(Input!$1:$1048576,HY$93,$C257*2+6)*INDEX(Input!$1:$1048576,$JG$93,$C257*2+6)</f>
        <v>555</v>
      </c>
      <c r="HZ257" s="644">
        <f>INDEX(Input!$1:$1048576,HZ$93,$C257*2+6)*INDEX(Input!$1:$1048576,$JG$93,$C257*2+6)</f>
        <v>480</v>
      </c>
      <c r="IA257" s="644">
        <f>INDEX(Input!$1:$1048576,IA$93,$C257*2+6)*INDEX(Input!$1:$1048576,$JG$93,$C257*2+6)</f>
        <v>566</v>
      </c>
      <c r="IB257" s="644">
        <f t="shared" si="759"/>
        <v>655.49223691648808</v>
      </c>
      <c r="IC257" s="644">
        <f t="shared" si="760"/>
        <v>557.84589577912675</v>
      </c>
      <c r="ID257" s="644">
        <f>IF(AND(INDEX(Input!$1:$1048576,IA$93,$C257*2+7)="TOS",Y257&lt;=INDEX(Y:Y,MATCH(C257*1000+2,A:A))),0,1)*MAX(IA257+HR257+HU257+HX257,0%)</f>
        <v>662.86021900194805</v>
      </c>
      <c r="IE257" s="128">
        <f t="shared" si="856"/>
        <v>0.34937256837658243</v>
      </c>
      <c r="IF257" s="128">
        <f t="shared" si="736"/>
        <v>0.29732778268054344</v>
      </c>
      <c r="IG257" s="128">
        <f t="shared" si="737"/>
        <v>0.35329964894287413</v>
      </c>
      <c r="IH257" s="21"/>
      <c r="II257" s="19">
        <f t="shared" si="738"/>
        <v>1200</v>
      </c>
      <c r="IJ257" s="19">
        <f t="shared" si="739"/>
        <v>2226.7968732767699</v>
      </c>
      <c r="IK257" s="19">
        <f t="shared" si="740"/>
        <v>1786</v>
      </c>
      <c r="IL257" s="19">
        <f t="shared" si="762"/>
        <v>900</v>
      </c>
      <c r="IM257" s="19">
        <f t="shared" si="741"/>
        <v>743.12749222790126</v>
      </c>
      <c r="IN257" s="19">
        <f t="shared" si="742"/>
        <v>685</v>
      </c>
      <c r="IO257" s="39">
        <f t="shared" si="743"/>
        <v>0</v>
      </c>
      <c r="IP257" s="39">
        <f t="shared" si="744"/>
        <v>0</v>
      </c>
      <c r="IQ257" s="39">
        <f t="shared" si="745"/>
        <v>0</v>
      </c>
      <c r="IR257" s="39">
        <v>0</v>
      </c>
      <c r="IS257" s="39">
        <v>0</v>
      </c>
      <c r="IT257" s="39">
        <v>0</v>
      </c>
      <c r="IU257" s="39">
        <v>0</v>
      </c>
      <c r="IV257" s="39">
        <v>0</v>
      </c>
      <c r="IW257" s="39">
        <v>0</v>
      </c>
      <c r="IX257" s="39">
        <f>INDEX(Input!$1:$1048576,IX$93,$C257*2+6)+INDEX(Input!$1:$1048576,IX$94,$C257*2+6)</f>
        <v>1600</v>
      </c>
      <c r="IY257" s="39">
        <f>INDEX(Input!$1:$1048576,IY$93,$C257*2+6)+INDEX(Input!$1:$1048576,IY$94,$C257*2+6)</f>
        <v>2503.5492916397525</v>
      </c>
      <c r="IZ257" s="39">
        <f>INDEX(Input!$1:$1048576,IZ$93,$C257*2+6)+INDEX(Input!$1:$1048576,IZ$94,$C257*2+6)</f>
        <v>5773.7109265464023</v>
      </c>
      <c r="JA257" s="19">
        <f t="shared" si="763"/>
        <v>2500</v>
      </c>
      <c r="JB257" s="19">
        <f t="shared" si="764"/>
        <v>3246.6767838676537</v>
      </c>
      <c r="JC257" s="19">
        <f t="shared" si="765"/>
        <v>6458.7109265464023</v>
      </c>
      <c r="JD257" s="19">
        <f t="shared" si="766"/>
        <v>4120.6189331415735</v>
      </c>
      <c r="JE257" s="21"/>
      <c r="JF257" s="1">
        <f t="shared" si="746"/>
        <v>8.5237567437015646E-2</v>
      </c>
      <c r="JG257" s="15">
        <f>INDEX(Input!$1:$1048576,JG$93,$C257*2+6)/(1+VLOOKUP(C257*1000+INDEX(Input!$1:$1048576,JG$93+1,$C257*2+6),$A:$KK,$JK$92,FALSE))</f>
        <v>1601</v>
      </c>
      <c r="JH257" s="1">
        <f t="shared" si="767"/>
        <v>0.10816861568652375</v>
      </c>
      <c r="JI257" s="1">
        <f t="shared" si="768"/>
        <v>6.3722921913453134E-2</v>
      </c>
      <c r="JJ257" s="1">
        <f t="shared" si="828"/>
        <v>0</v>
      </c>
      <c r="JK257" s="1">
        <f t="shared" si="829"/>
        <v>0.17189153759997688</v>
      </c>
      <c r="JL257" s="15">
        <f t="shared" si="771"/>
        <v>275.198351697563</v>
      </c>
      <c r="JM257" s="15">
        <f t="shared" si="795"/>
        <v>1876.1983516975629</v>
      </c>
      <c r="JN257" s="21"/>
      <c r="JO257" s="19">
        <f>INDEX(Input!$1:$1048576,JO$93,$C257*2+6)</f>
        <v>5908.5</v>
      </c>
      <c r="JP257" s="19">
        <f>INDEX(Input!$1:$1048576,JP$93,$C257*2+6)</f>
        <v>3346.4235130620518</v>
      </c>
      <c r="JQ257" s="39">
        <f t="shared" si="781"/>
        <v>1787.8810668584265</v>
      </c>
      <c r="JR257" s="39">
        <f t="shared" si="798"/>
        <v>774.19542007952168</v>
      </c>
      <c r="JS257" s="39">
        <f t="shared" si="783"/>
        <v>7.7310984503339899</v>
      </c>
      <c r="JT257" s="39">
        <f t="shared" si="773"/>
        <v>2.3734744059216455</v>
      </c>
      <c r="JU257" s="385">
        <f>(JQ257*JM257-INDEX(Input!$1:$1048576,Input!A$18,$C257*2+6)*JL257*INDEX(Input!$1:$1048576,Input!A$19,$C257*2+6))/1000000</f>
        <v>3.3544195106710601</v>
      </c>
      <c r="JV257" s="39">
        <f t="shared" si="805"/>
        <v>-0.74746494491659465</v>
      </c>
      <c r="JW257" s="1">
        <f t="shared" si="796"/>
        <v>-0.18222476839843343</v>
      </c>
      <c r="JX257" s="19">
        <f t="shared" si="787"/>
        <v>8624.5952829326616</v>
      </c>
      <c r="JZ257" s="341"/>
      <c r="KA257" s="342"/>
      <c r="KB257" s="469">
        <f t="shared" si="784"/>
        <v>2.4482969984810516</v>
      </c>
      <c r="KI257" s="473">
        <f t="shared" si="853"/>
        <v>100.49223691648808</v>
      </c>
      <c r="KJ257" s="473">
        <f t="shared" si="854"/>
        <v>77.845895779126749</v>
      </c>
      <c r="KK257" s="473">
        <f t="shared" si="775"/>
        <v>96.860219001948053</v>
      </c>
      <c r="KN257" s="544">
        <f t="shared" si="788"/>
        <v>2002</v>
      </c>
      <c r="KO257" s="541">
        <f t="shared" si="750"/>
        <v>8.5914464752119724E-2</v>
      </c>
      <c r="KP257" s="546">
        <f t="shared" si="751"/>
        <v>403.89170407613295</v>
      </c>
      <c r="KQ257" s="546">
        <f t="shared" si="752"/>
        <v>395.01535818503498</v>
      </c>
      <c r="KR257" s="548">
        <f t="shared" si="753"/>
        <v>3.3969555017485651</v>
      </c>
      <c r="KS257" s="548">
        <f t="shared" si="754"/>
        <v>3.4732881085330951</v>
      </c>
      <c r="KT257" s="473">
        <f t="shared" si="786"/>
        <v>528.59039248727379</v>
      </c>
      <c r="KU257" s="663">
        <f t="shared" si="776"/>
        <v>12.185402107124386</v>
      </c>
      <c r="KV257" s="117"/>
    </row>
    <row r="258" spans="1:308" s="26" customFormat="1" ht="15" outlineLevel="1">
      <c r="A258" s="561">
        <f t="shared" si="755"/>
        <v>2058</v>
      </c>
      <c r="B258" s="561">
        <f t="shared" si="777"/>
        <v>58</v>
      </c>
      <c r="C258" s="561">
        <f t="shared" si="857"/>
        <v>2</v>
      </c>
      <c r="D258" s="561" t="str">
        <f t="shared" si="859"/>
        <v xml:space="preserve">1000 CC, 0/0/0.9/3.9, 360 Lease, </v>
      </c>
      <c r="E258" s="475">
        <f>INDEX(Input!$1:$1048576,E$93,$C258*2+MIN($B258,2)+5)
+INDEX(Scenarios!E$121:E$200,MATCH($B258,Scenarios!$B$121:$B$200,0))</f>
        <v>2250</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8.9999999999999993E-3</v>
      </c>
      <c r="W258" s="863">
        <f>IFERROR(MAX(0,INDEX(Input!$1:$1048576,W$93,$C258*2+MIN($B258,2)+5)-0%,),"Market")</f>
        <v>3.9E-2</v>
      </c>
      <c r="X258" s="476" t="str">
        <f>INDEX(Input!$1:$1048576,X$93,$C258*2+MIN($B258,2)+5)</f>
        <v>Y</v>
      </c>
      <c r="Y258" s="475">
        <f>INDEX(Input!$1:$1048576,Y$93,$C258*2+MIN($B258,2)+5)
++INDEX(Scenarios!Y$121:Y$200,MATCH($B258,Scenarios!$B$121:$B$200,0))</f>
        <v>1718</v>
      </c>
      <c r="Z258" s="477">
        <f>INDEX(Input!$1:$1048576,Z$93,$C258*2+MIN($B258,2)+5)
+INDEX(Scenarios!Z$121:Z$200,MATCH($B258,Scenarios!$B$121:$B$200,0))</f>
        <v>0</v>
      </c>
      <c r="AA258" s="475">
        <f>INDEX(Input!$1:$1048576,AA$93,$C258*2+MIN($B258,2)+5)</f>
        <v>0</v>
      </c>
      <c r="AB258" s="476">
        <f>INDEX(Input!$1:$1048576,AB$93,$C258*2+MIN($B258,2)+5)</f>
        <v>1</v>
      </c>
      <c r="AC258" s="475">
        <f>INDEX(Input!$1:$1048576,AC$93,$C258*2+MIN($B258,2)+5)
+INDEX(Scenarios!AC$121:AC$200,MATCH($B258,Scenarios!$B$121:$B$200,0))</f>
        <v>0</v>
      </c>
      <c r="AD258" s="476">
        <f>INDEX(Input!$1:$1048576,AD$93,$C258*2+MIN($B258,2)+5)</f>
        <v>0.35</v>
      </c>
      <c r="AE258" s="475">
        <f>INDEX(Input!$1:$1048576,AE$93,$C258*2+MIN($B258,2)+5)
+INDEX(Scenarios!AE$121:AE$200,MATCH($B258,Scenarios!$B$121:$B$200,0))</f>
        <v>0</v>
      </c>
      <c r="AF258" s="476">
        <f>INDEX(Input!$1:$1048576,AF$93,$C258*2+MIN($B258,2)+5)</f>
        <v>1</v>
      </c>
      <c r="AG258" s="475">
        <f>INDEX(Input!$1:$1048576,AG$93,$C258*2+MIN($B258,2)+5)
+INDEX(Scenarios!AG$121:AG$200,MATCH($B258,Scenarios!$B$121:$B$200,0))</f>
        <v>0</v>
      </c>
      <c r="AH258" s="476">
        <f>INDEX(Input!$1:$1048576,AH$93,$C258*2+MIN($B258,2)+5)</f>
        <v>1</v>
      </c>
      <c r="AI258" s="475">
        <f>INDEX(Input!$1:$1048576,AI$93,$C258*2+MIN($B258,2)+5)
+INDEX(Scenarios!AI$121:AI$200,MATCH($B258,Scenarios!$B$121:$B$200,0))</f>
        <v>0</v>
      </c>
      <c r="AJ258" s="476">
        <f>INDEX(Input!$1:$1048576,AJ$93,$C258*2+MIN($B258,2)+5)</f>
        <v>0.35</v>
      </c>
      <c r="AK258" s="150">
        <f>ROUND(INDEX(Input!$1:$1048576,AK$93,$C257*2+MIN($B258,1)+5)+(Y258-VLOOKUP($C258*1000+1,$A:$HH,Y$92,FALSE)),0)</f>
        <v>5342</v>
      </c>
      <c r="AL258" s="150">
        <f>ROUND(INDEX(Input!$1:$1048576,AL$93,$C257*2+MIN($B258,1)+5)-(Y258-VLOOKUP($C258*1000+1,$A:$HH,Y$92,FALSE))/36,0)</f>
        <v>5092</v>
      </c>
      <c r="AM258" s="32" t="str">
        <f t="shared" si="756"/>
        <v>std/std/std/std</v>
      </c>
      <c r="AN258" s="32" t="str">
        <f t="shared" si="757"/>
        <v>$0 + 0/0/0/0.9/3.9</v>
      </c>
      <c r="AO258" s="32" t="str">
        <f t="shared" si="758"/>
        <v>0/0/0/0.9/3.9</v>
      </c>
      <c r="AP258" s="32" t="str">
        <f t="shared" si="831"/>
        <v>0/0/0.9/3.9</v>
      </c>
      <c r="AQ258" s="536">
        <f t="shared" si="830"/>
        <v>0.38724542350791091</v>
      </c>
      <c r="AR258" s="32"/>
      <c r="AS258" s="302"/>
      <c r="AT258" s="3">
        <f t="shared" si="810"/>
        <v>58</v>
      </c>
      <c r="AU258" s="41" t="s">
        <v>121</v>
      </c>
      <c r="AV258" s="41" t="s">
        <v>116</v>
      </c>
      <c r="AW258" s="41" t="str">
        <f>INDEX(Input!$1:$1048576,AW$93,$C258*2+6)</f>
        <v>Kia</v>
      </c>
      <c r="AX258" s="41" t="str">
        <f>INDEX(Input!$1:$1048576,AX$93,$C258*2+6)</f>
        <v>Kia-LR - L2</v>
      </c>
      <c r="AY258" s="41" t="str">
        <f>IF(LEN(D258)=0,"",INDEX(Input!$1:$1048576,AY$93,$C258*2+6))</f>
        <v>Compact Conventional/Sporty Car (43)</v>
      </c>
      <c r="AZ258" s="41" t="str">
        <f>INDEX(Input!$1:$1048576,AZ$93,$C258*2+6)</f>
        <v>Kia Forte</v>
      </c>
      <c r="BA258" s="3">
        <f>INDEX(Input!$1:$1048576,BA$93,$C258*2+6)</f>
        <v>2020</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19695</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832"/>
        <v>2250</v>
      </c>
      <c r="CJ258" s="16" t="str">
        <f>INDEX(Input!$1:$1048576,CJ$93,$C258*2+6)</f>
        <v>N</v>
      </c>
      <c r="CK258" s="1" t="str">
        <f t="shared" si="833"/>
        <v>Market</v>
      </c>
      <c r="CL258" s="1" t="str">
        <f t="shared" si="834"/>
        <v>Market</v>
      </c>
      <c r="CM258" s="1" t="str">
        <f t="shared" si="835"/>
        <v>Market</v>
      </c>
      <c r="CN258" s="1" t="str">
        <f t="shared" si="836"/>
        <v>Market</v>
      </c>
      <c r="CO258" s="1" t="str">
        <f t="shared" si="837"/>
        <v>Market</v>
      </c>
      <c r="CP258" s="304">
        <f t="shared" si="838"/>
        <v>0</v>
      </c>
      <c r="CQ258" s="1">
        <f t="shared" si="839"/>
        <v>0</v>
      </c>
      <c r="CR258" s="1">
        <f t="shared" si="840"/>
        <v>0</v>
      </c>
      <c r="CS258" s="1">
        <f t="shared" si="841"/>
        <v>0</v>
      </c>
      <c r="CT258" s="1">
        <f t="shared" si="842"/>
        <v>8.9999999999999993E-3</v>
      </c>
      <c r="CU258" s="1">
        <f t="shared" si="843"/>
        <v>3.9E-2</v>
      </c>
      <c r="CV258" s="304">
        <f t="shared" si="844"/>
        <v>1718</v>
      </c>
      <c r="CW258" s="20" t="s">
        <v>122</v>
      </c>
      <c r="CX258" s="20" t="s">
        <v>122</v>
      </c>
      <c r="CY258" s="20" t="s">
        <v>122</v>
      </c>
      <c r="CZ258" s="20" t="s">
        <v>122</v>
      </c>
      <c r="DA258" s="20" t="s">
        <v>122</v>
      </c>
      <c r="DB258" s="503">
        <f t="shared" si="845"/>
        <v>0</v>
      </c>
      <c r="DC258" s="127">
        <v>0</v>
      </c>
      <c r="DD258" s="127">
        <v>0</v>
      </c>
      <c r="DE258" s="127">
        <v>0</v>
      </c>
      <c r="DF258" s="127">
        <v>0</v>
      </c>
      <c r="DG258" s="127">
        <v>0</v>
      </c>
      <c r="DH258" s="127">
        <v>0</v>
      </c>
      <c r="DI258" s="127">
        <v>0</v>
      </c>
      <c r="DJ258" s="127">
        <v>0</v>
      </c>
      <c r="DK258" s="127">
        <v>0</v>
      </c>
      <c r="DL258" s="127">
        <v>0</v>
      </c>
      <c r="DM258" s="304">
        <f>INDEX(Input!$1:$1048576,DM$93,$C258*2+6)</f>
        <v>20731.578947368424</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3.0356387569480878E-2</v>
      </c>
      <c r="DZ258" s="7">
        <v>0</v>
      </c>
      <c r="EA258" s="7">
        <v>0.61015520235434162</v>
      </c>
      <c r="EB258" s="7">
        <v>0</v>
      </c>
      <c r="EC258" s="7">
        <v>0</v>
      </c>
      <c r="ED258" s="7">
        <v>0</v>
      </c>
      <c r="EE258" s="7">
        <v>0</v>
      </c>
      <c r="EF258" s="7">
        <v>0</v>
      </c>
      <c r="EG258" s="7">
        <v>0</v>
      </c>
      <c r="EH258" s="7">
        <v>1.1573538683200931E-2</v>
      </c>
      <c r="EI258" s="7">
        <v>1.8903648517512469E-2</v>
      </c>
      <c r="EJ258" s="7">
        <v>0.1898744697724454</v>
      </c>
      <c r="EK258" s="7">
        <v>0.74540306724426131</v>
      </c>
      <c r="EL258" s="7">
        <v>3.424527578257977E-2</v>
      </c>
      <c r="EM258" s="7">
        <v>4.0848888465613659E-2</v>
      </c>
      <c r="EN258" s="7">
        <v>5.0608131011182403E-2</v>
      </c>
      <c r="EO258" s="7">
        <v>0.56053529287985226</v>
      </c>
      <c r="EP258" s="7">
        <v>0.28783923547367485</v>
      </c>
      <c r="EQ258" s="7">
        <v>6.2830096335729987E-2</v>
      </c>
      <c r="ER258" s="7">
        <v>3.8187244299560517E-2</v>
      </c>
      <c r="ES258" s="7">
        <v>0.31863952161056391</v>
      </c>
      <c r="ET258" s="7">
        <v>0.35948841007617743</v>
      </c>
      <c r="EU258" s="6">
        <v>2600</v>
      </c>
      <c r="EV258" s="6">
        <v>0</v>
      </c>
      <c r="EW258" s="6">
        <v>2600</v>
      </c>
      <c r="EX258" s="6">
        <v>0</v>
      </c>
      <c r="EY258" s="6">
        <v>2969.8844494279374</v>
      </c>
      <c r="EZ258" s="6">
        <v>2471</v>
      </c>
      <c r="FA258" s="6">
        <v>0</v>
      </c>
      <c r="FB258" s="6">
        <v>0</v>
      </c>
      <c r="FC258" s="6">
        <v>0</v>
      </c>
      <c r="FD258" s="6">
        <v>0</v>
      </c>
      <c r="FE258" s="6">
        <v>0</v>
      </c>
      <c r="FF258" s="6">
        <v>0</v>
      </c>
      <c r="FG258" s="6">
        <v>0</v>
      </c>
      <c r="FH258" s="6">
        <v>1154.7831824224406</v>
      </c>
      <c r="FI258" s="6">
        <v>1531.4299904380616</v>
      </c>
      <c r="FJ258" s="6">
        <v>2070.7205842538219</v>
      </c>
      <c r="FK258" s="6">
        <v>2218.6393698501029</v>
      </c>
      <c r="FL258" s="6">
        <v>893.91433563489431</v>
      </c>
      <c r="FM258" s="6">
        <v>2119.8844494279374</v>
      </c>
      <c r="FN258" s="6">
        <v>0</v>
      </c>
      <c r="FO258" s="6">
        <v>0</v>
      </c>
      <c r="FP258" s="6">
        <v>0</v>
      </c>
      <c r="FQ258" s="6">
        <v>0</v>
      </c>
      <c r="FR258" s="6">
        <v>0</v>
      </c>
      <c r="FS258" s="6">
        <v>0</v>
      </c>
      <c r="FT258" s="7">
        <v>0.64051158992382251</v>
      </c>
      <c r="FU258" s="7">
        <v>4.0848888465613659E-2</v>
      </c>
      <c r="FV258" s="7">
        <v>0.31863952161056391</v>
      </c>
      <c r="FW258" s="6">
        <v>2600</v>
      </c>
      <c r="FX258" s="6">
        <v>2969.8844494279374</v>
      </c>
      <c r="FY258" s="6">
        <v>2471</v>
      </c>
      <c r="FZ258" s="6">
        <v>2594.6978186474794</v>
      </c>
      <c r="GA258" s="6">
        <v>2574.004870332084</v>
      </c>
      <c r="GB258" s="6">
        <v>17120.995129667917</v>
      </c>
      <c r="GC258" s="7">
        <v>9.6947029492584935E-2</v>
      </c>
      <c r="GD258" s="7">
        <v>9.8065346088322139E-2</v>
      </c>
      <c r="GE258" s="7"/>
      <c r="GF258" s="7"/>
      <c r="GG258" s="7">
        <v>1.1535336374826616E-2</v>
      </c>
      <c r="GH258" s="42">
        <v>-10.979027562408012</v>
      </c>
      <c r="GI258" s="6">
        <v>780.1301498208353</v>
      </c>
      <c r="GJ258" s="14">
        <v>0.51074630601039539</v>
      </c>
      <c r="GK258" s="14">
        <v>0.5082951978616097</v>
      </c>
      <c r="GL258" s="14">
        <v>0.48925369398960439</v>
      </c>
      <c r="GM258" s="14">
        <v>0.49170480213839024</v>
      </c>
      <c r="GO258" s="5">
        <v>338.16872463277008</v>
      </c>
      <c r="GP258" s="5">
        <v>288.56568471597211</v>
      </c>
      <c r="GQ258" s="5">
        <v>527.27910984145694</v>
      </c>
      <c r="GR258" s="5">
        <v>404.20319246551543</v>
      </c>
      <c r="GS258" s="5">
        <v>334.50205195691484</v>
      </c>
      <c r="GT258" s="5">
        <v>289.18266033348181</v>
      </c>
      <c r="GU258" s="5">
        <v>254.29573314828914</v>
      </c>
      <c r="GV258" s="39" t="s">
        <v>392</v>
      </c>
      <c r="GW258" s="5">
        <v>468.76388888888891</v>
      </c>
      <c r="GX258" s="5">
        <v>351.57291666666669</v>
      </c>
      <c r="GY258" s="5">
        <v>281.25833333333333</v>
      </c>
      <c r="GZ258" s="5">
        <v>240.8550698915011</v>
      </c>
      <c r="HA258" s="5">
        <v>229.89195052129486</v>
      </c>
      <c r="HB258" s="39">
        <v>252.88186586128776</v>
      </c>
      <c r="HC258" s="5">
        <v>175.00937499999998</v>
      </c>
      <c r="HD258" s="5">
        <v>162.53879751461983</v>
      </c>
      <c r="HE258" s="5">
        <v>168.95939186909578</v>
      </c>
      <c r="HF258" s="5">
        <v>160.56129934210526</v>
      </c>
      <c r="HG258" s="5">
        <v>160.21410087719298</v>
      </c>
      <c r="HH258" s="39">
        <v>164.80498894496543</v>
      </c>
      <c r="HI258" s="16"/>
      <c r="HJ258" s="19" t="str">
        <f t="shared" si="858"/>
        <v>On</v>
      </c>
      <c r="HK258" s="1" t="str">
        <f t="shared" si="858"/>
        <v>On</v>
      </c>
      <c r="HL258" s="16"/>
      <c r="HM258" s="639">
        <f t="shared" si="727"/>
        <v>5.0961701597560354E-2</v>
      </c>
      <c r="HN258" s="639">
        <f t="shared" si="728"/>
        <v>3.112551654761847E-3</v>
      </c>
      <c r="HO258" s="639">
        <f t="shared" si="729"/>
        <v>3.1163314184693442E-2</v>
      </c>
      <c r="HP258" s="644">
        <f>(FT258*$GD258-HM258)/$JF258*INDEX(Input!$1:$1048576,$JG$93,$C258*2+6)</f>
        <v>222.58158563948083</v>
      </c>
      <c r="HQ258" s="644">
        <f>(FU258*$GD258-HN258)/$JF258*INDEX(Input!$1:$1048576,$JG$93,$C258*2+6)</f>
        <v>16.778837308956152</v>
      </c>
      <c r="HR258" s="644">
        <f>(FV258*$GD258-HO258)/$JF258*INDEX(Input!$1:$1048576,$JG$93,$C258*2+6)</f>
        <v>1.5811505651109443</v>
      </c>
      <c r="HS258" s="644">
        <f t="shared" si="851"/>
        <v>-28.69062447778802</v>
      </c>
      <c r="HT258" s="644">
        <f t="shared" si="731"/>
        <v>50.989747665229046</v>
      </c>
      <c r="HU258" s="644">
        <f t="shared" si="732"/>
        <v>69.65165089028973</v>
      </c>
      <c r="HV258" s="648">
        <f t="shared" si="733"/>
        <v>0</v>
      </c>
      <c r="HW258" s="648">
        <f t="shared" si="734"/>
        <v>0</v>
      </c>
      <c r="HX258" s="648">
        <f t="shared" si="735"/>
        <v>0</v>
      </c>
      <c r="HY258" s="644">
        <f>INDEX(Input!$1:$1048576,HY$93,$C258*2+6)*INDEX(Input!$1:$1048576,$JG$93,$C258*2+6)</f>
        <v>555</v>
      </c>
      <c r="HZ258" s="644">
        <f>INDEX(Input!$1:$1048576,HZ$93,$C258*2+6)*INDEX(Input!$1:$1048576,$JG$93,$C258*2+6)</f>
        <v>480</v>
      </c>
      <c r="IA258" s="644">
        <f>INDEX(Input!$1:$1048576,IA$93,$C258*2+6)*INDEX(Input!$1:$1048576,$JG$93,$C258*2+6)</f>
        <v>566</v>
      </c>
      <c r="IB258" s="644">
        <f t="shared" si="759"/>
        <v>748.89096116169276</v>
      </c>
      <c r="IC258" s="644">
        <f t="shared" si="760"/>
        <v>547.76858497418516</v>
      </c>
      <c r="ID258" s="644">
        <f>IF(AND(INDEX(Input!$1:$1048576,IA$93,$C258*2+7)="TOS",Y258&lt;=INDEX(Y:Y,MATCH(C258*1000+2,A:A))),0,1)*MAX(IA258+HR258+HU258+HX258,0%)</f>
        <v>637.2328014554007</v>
      </c>
      <c r="IE258" s="128">
        <f t="shared" si="856"/>
        <v>0.38724542350791091</v>
      </c>
      <c r="IF258" s="128">
        <f t="shared" si="736"/>
        <v>0.28324667898730116</v>
      </c>
      <c r="IG258" s="128">
        <f t="shared" si="737"/>
        <v>0.32950789750478793</v>
      </c>
      <c r="IH258" s="21"/>
      <c r="II258" s="19">
        <f t="shared" si="738"/>
        <v>1200</v>
      </c>
      <c r="IJ258" s="19">
        <f t="shared" si="739"/>
        <v>2226.7968732767699</v>
      </c>
      <c r="IK258" s="19">
        <f t="shared" si="740"/>
        <v>1786</v>
      </c>
      <c r="IL258" s="19">
        <f t="shared" si="762"/>
        <v>1400</v>
      </c>
      <c r="IM258" s="19">
        <f t="shared" si="741"/>
        <v>743.08757615116747</v>
      </c>
      <c r="IN258" s="19">
        <f t="shared" si="742"/>
        <v>685</v>
      </c>
      <c r="IO258" s="39">
        <f t="shared" si="743"/>
        <v>0</v>
      </c>
      <c r="IP258" s="39">
        <f t="shared" si="744"/>
        <v>0</v>
      </c>
      <c r="IQ258" s="39">
        <f t="shared" si="745"/>
        <v>0</v>
      </c>
      <c r="IR258" s="39">
        <v>0</v>
      </c>
      <c r="IS258" s="39">
        <v>0</v>
      </c>
      <c r="IT258" s="39">
        <v>0</v>
      </c>
      <c r="IU258" s="39">
        <v>0</v>
      </c>
      <c r="IV258" s="39">
        <v>0</v>
      </c>
      <c r="IW258" s="39">
        <v>0</v>
      </c>
      <c r="IX258" s="39">
        <f>INDEX(Input!$1:$1048576,IX$93,$C258*2+6)+INDEX(Input!$1:$1048576,IX$94,$C258*2+6)</f>
        <v>1600</v>
      </c>
      <c r="IY258" s="39">
        <f>INDEX(Input!$1:$1048576,IY$93,$C258*2+6)+INDEX(Input!$1:$1048576,IY$94,$C258*2+6)</f>
        <v>2503.5492916397525</v>
      </c>
      <c r="IZ258" s="39">
        <f>INDEX(Input!$1:$1048576,IZ$93,$C258*2+6)+INDEX(Input!$1:$1048576,IZ$94,$C258*2+6)</f>
        <v>5773.7109265464023</v>
      </c>
      <c r="JA258" s="19">
        <f t="shared" si="763"/>
        <v>3000</v>
      </c>
      <c r="JB258" s="19">
        <f t="shared" si="764"/>
        <v>3246.63686779092</v>
      </c>
      <c r="JC258" s="19">
        <f t="shared" si="765"/>
        <v>6458.7109265464023</v>
      </c>
      <c r="JD258" s="19">
        <f t="shared" si="766"/>
        <v>4209.5316392007499</v>
      </c>
      <c r="JE258" s="21"/>
      <c r="JF258" s="1">
        <f t="shared" si="746"/>
        <v>8.5237567437015646E-2</v>
      </c>
      <c r="JG258" s="15">
        <f>INDEX(Input!$1:$1048576,JG$93,$C258*2+6)/(1+VLOOKUP(C258*1000+INDEX(Input!$1:$1048576,JG$93+1,$C258*2+6),$A:$KK,$JK$92,FALSE))</f>
        <v>1601</v>
      </c>
      <c r="JH258" s="1">
        <f t="shared" si="767"/>
        <v>0.15049442443069827</v>
      </c>
      <c r="JI258" s="1">
        <f t="shared" si="768"/>
        <v>5.7433337962355252E-2</v>
      </c>
      <c r="JJ258" s="1">
        <f t="shared" si="828"/>
        <v>0</v>
      </c>
      <c r="JK258" s="1">
        <f t="shared" si="829"/>
        <v>0.20792776239305352</v>
      </c>
      <c r="JL258" s="15">
        <f t="shared" si="771"/>
        <v>332.89234759127868</v>
      </c>
      <c r="JM258" s="15">
        <f t="shared" si="795"/>
        <v>1933.8923475912786</v>
      </c>
      <c r="JN258" s="21"/>
      <c r="JO258" s="19">
        <f>INDEX(Input!$1:$1048576,JO$93,$C258*2+6)</f>
        <v>5908.5</v>
      </c>
      <c r="JP258" s="19">
        <f>INDEX(Input!$1:$1048576,JP$93,$C258*2+6)</f>
        <v>3346.4235130620518</v>
      </c>
      <c r="JQ258" s="39">
        <f t="shared" si="781"/>
        <v>1698.9683607992501</v>
      </c>
      <c r="JR258" s="39">
        <f t="shared" si="798"/>
        <v>863.10812613869803</v>
      </c>
      <c r="JS258" s="39">
        <f t="shared" si="783"/>
        <v>8.1407810239937017</v>
      </c>
      <c r="JT258" s="39">
        <f t="shared" si="773"/>
        <v>2.7831569795813569</v>
      </c>
      <c r="JU258" s="385">
        <f>(JQ258*JM258-INDEX(Input!$1:$1048576,Input!A$18,$C258*2+6)*JL258*INDEX(Input!$1:$1048576,Input!A$19,$C258*2+6))/1000000</f>
        <v>3.2856219117493684</v>
      </c>
      <c r="JV258" s="39">
        <f t="shared" si="805"/>
        <v>-0.81626254383828645</v>
      </c>
      <c r="JW258" s="1">
        <f t="shared" si="796"/>
        <v>-0.19899696168339412</v>
      </c>
      <c r="JX258" s="19">
        <f t="shared" si="787"/>
        <v>8360.5315643917547</v>
      </c>
      <c r="JZ258" s="341"/>
      <c r="KA258" s="342"/>
      <c r="KB258" s="469">
        <f t="shared" si="784"/>
        <v>2.4482969984810516</v>
      </c>
      <c r="KI258" s="473">
        <f t="shared" si="853"/>
        <v>193.89096116169276</v>
      </c>
      <c r="KJ258" s="473">
        <f t="shared" si="854"/>
        <v>67.76858497418516</v>
      </c>
      <c r="KK258" s="473">
        <f t="shared" si="775"/>
        <v>71.232801455400704</v>
      </c>
      <c r="KN258" s="544">
        <f t="shared" si="788"/>
        <v>2002</v>
      </c>
      <c r="KO258" s="541">
        <f t="shared" si="750"/>
        <v>0.11930685346925607</v>
      </c>
      <c r="KP258" s="546">
        <f t="shared" si="751"/>
        <v>603.04307248203725</v>
      </c>
      <c r="KQ258" s="546">
        <f t="shared" si="752"/>
        <v>483.92806424421133</v>
      </c>
      <c r="KR258" s="548">
        <f t="shared" si="753"/>
        <v>3.15940689183835</v>
      </c>
      <c r="KS258" s="548">
        <f t="shared" si="754"/>
        <v>3.937069535842511</v>
      </c>
      <c r="KT258" s="473">
        <f t="shared" si="786"/>
        <v>528.59039248727379</v>
      </c>
      <c r="KU258" s="663">
        <f t="shared" si="776"/>
        <v>12.438689226622586</v>
      </c>
      <c r="KV258" s="117"/>
    </row>
    <row r="259" spans="1:308" s="26" customFormat="1" ht="15" outlineLevel="1">
      <c r="A259" s="561">
        <f t="shared" si="755"/>
        <v>2059</v>
      </c>
      <c r="B259" s="561">
        <f t="shared" si="777"/>
        <v>59</v>
      </c>
      <c r="C259" s="561">
        <f t="shared" si="857"/>
        <v>2</v>
      </c>
      <c r="D259" s="561" t="str">
        <f t="shared" si="859"/>
        <v xml:space="preserve">250 CC, 0/0/0.9/3.9, -360 Lease, </v>
      </c>
      <c r="E259" s="475">
        <f>INDEX(Input!$1:$1048576,E$93,$C259*2+MIN($B259,2)+5)
+INDEX(Scenarios!E$121:E$200,MATCH($B259,Scenarios!$B$121:$B$200,0))</f>
        <v>1500</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8.9999999999999993E-3</v>
      </c>
      <c r="W259" s="863">
        <f>IFERROR(MAX(0,INDEX(Input!$1:$1048576,W$93,$C259*2+MIN($B259,2)+5)-0%,),"Market")</f>
        <v>3.9E-2</v>
      </c>
      <c r="X259" s="476" t="str">
        <f>INDEX(Input!$1:$1048576,X$93,$C259*2+MIN($B259,2)+5)</f>
        <v>Y</v>
      </c>
      <c r="Y259" s="475">
        <f>INDEX(Input!$1:$1048576,Y$93,$C259*2+MIN($B259,2)+5)
++INDEX(Scenarios!Y$121:Y$200,MATCH($B259,Scenarios!$B$121:$B$200,0))</f>
        <v>998</v>
      </c>
      <c r="Z259" s="477">
        <f>INDEX(Input!$1:$1048576,Z$93,$C259*2+MIN($B259,2)+5)
+INDEX(Scenarios!Z$121:Z$200,MATCH($B259,Scenarios!$B$121:$B$200,0))</f>
        <v>0</v>
      </c>
      <c r="AA259" s="475">
        <f>INDEX(Input!$1:$1048576,AA$93,$C259*2+MIN($B259,2)+5)</f>
        <v>0</v>
      </c>
      <c r="AB259" s="476">
        <f>INDEX(Input!$1:$1048576,AB$93,$C259*2+MIN($B259,2)+5)</f>
        <v>1</v>
      </c>
      <c r="AC259" s="475">
        <f>INDEX(Input!$1:$1048576,AC$93,$C259*2+MIN($B259,2)+5)
+INDEX(Scenarios!AC$121:AC$200,MATCH($B259,Scenarios!$B$121:$B$200,0))</f>
        <v>0</v>
      </c>
      <c r="AD259" s="476">
        <f>INDEX(Input!$1:$1048576,AD$93,$C259*2+MIN($B259,2)+5)</f>
        <v>0.35</v>
      </c>
      <c r="AE259" s="475">
        <f>INDEX(Input!$1:$1048576,AE$93,$C259*2+MIN($B259,2)+5)
+INDEX(Scenarios!AE$121:AE$200,MATCH($B259,Scenarios!$B$121:$B$200,0))</f>
        <v>0</v>
      </c>
      <c r="AF259" s="476">
        <f>INDEX(Input!$1:$1048576,AF$93,$C259*2+MIN($B259,2)+5)</f>
        <v>1</v>
      </c>
      <c r="AG259" s="475">
        <f>INDEX(Input!$1:$1048576,AG$93,$C259*2+MIN($B259,2)+5)
+INDEX(Scenarios!AG$121:AG$200,MATCH($B259,Scenarios!$B$121:$B$200,0))</f>
        <v>0</v>
      </c>
      <c r="AH259" s="476">
        <f>INDEX(Input!$1:$1048576,AH$93,$C259*2+MIN($B259,2)+5)</f>
        <v>1</v>
      </c>
      <c r="AI259" s="475">
        <f>INDEX(Input!$1:$1048576,AI$93,$C259*2+MIN($B259,2)+5)
+INDEX(Scenarios!AI$121:AI$200,MATCH($B259,Scenarios!$B$121:$B$200,0))</f>
        <v>0</v>
      </c>
      <c r="AJ259" s="476">
        <f>INDEX(Input!$1:$1048576,AJ$93,$C259*2+MIN($B259,2)+5)</f>
        <v>0.35</v>
      </c>
      <c r="AK259" s="150">
        <f>ROUND(INDEX(Input!$1:$1048576,AK$93,$C258*2+MIN($B259,1)+5)+(Y259-VLOOKUP($C259*1000+1,$A:$HH,Y$92,FALSE)),0)</f>
        <v>4622</v>
      </c>
      <c r="AL259" s="150">
        <f>ROUND(INDEX(Input!$1:$1048576,AL$93,$C258*2+MIN($B259,1)+5)-(Y259-VLOOKUP($C259*1000+1,$A:$HH,Y$92,FALSE))/36,0)</f>
        <v>5112</v>
      </c>
      <c r="AM259" s="32" t="str">
        <f t="shared" si="756"/>
        <v>std/std/std/std</v>
      </c>
      <c r="AN259" s="32" t="str">
        <f t="shared" si="757"/>
        <v>$0 + 0/0/0/0.9/3.9</v>
      </c>
      <c r="AO259" s="32" t="str">
        <f t="shared" si="758"/>
        <v>0/0/0/0.9/3.9</v>
      </c>
      <c r="AP259" s="32" t="str">
        <f t="shared" si="831"/>
        <v>0/0/0.9/3.9</v>
      </c>
      <c r="AQ259" s="536">
        <f t="shared" si="830"/>
        <v>0.37474599460992813</v>
      </c>
      <c r="AR259" s="32"/>
      <c r="AS259" s="302"/>
      <c r="AT259" s="3">
        <f t="shared" si="810"/>
        <v>59</v>
      </c>
      <c r="AU259" s="41" t="s">
        <v>121</v>
      </c>
      <c r="AV259" s="41" t="s">
        <v>116</v>
      </c>
      <c r="AW259" s="41" t="str">
        <f>INDEX(Input!$1:$1048576,AW$93,$C259*2+6)</f>
        <v>Kia</v>
      </c>
      <c r="AX259" s="41" t="str">
        <f>INDEX(Input!$1:$1048576,AX$93,$C259*2+6)</f>
        <v>Kia-LR - L2</v>
      </c>
      <c r="AY259" s="41" t="str">
        <f>IF(LEN(D259)=0,"",INDEX(Input!$1:$1048576,AY$93,$C259*2+6))</f>
        <v>Compact Conventional/Sporty Car (43)</v>
      </c>
      <c r="AZ259" s="41" t="str">
        <f>INDEX(Input!$1:$1048576,AZ$93,$C259*2+6)</f>
        <v>Kia Forte</v>
      </c>
      <c r="BA259" s="3">
        <f>INDEX(Input!$1:$1048576,BA$93,$C259*2+6)</f>
        <v>2020</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19695</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832"/>
        <v>1500</v>
      </c>
      <c r="CJ259" s="16" t="str">
        <f>INDEX(Input!$1:$1048576,CJ$93,$C259*2+6)</f>
        <v>N</v>
      </c>
      <c r="CK259" s="1" t="str">
        <f t="shared" si="833"/>
        <v>Market</v>
      </c>
      <c r="CL259" s="1" t="str">
        <f t="shared" si="834"/>
        <v>Market</v>
      </c>
      <c r="CM259" s="1" t="str">
        <f t="shared" si="835"/>
        <v>Market</v>
      </c>
      <c r="CN259" s="1" t="str">
        <f t="shared" si="836"/>
        <v>Market</v>
      </c>
      <c r="CO259" s="1" t="str">
        <f t="shared" si="837"/>
        <v>Market</v>
      </c>
      <c r="CP259" s="304">
        <f t="shared" si="838"/>
        <v>0</v>
      </c>
      <c r="CQ259" s="1">
        <f t="shared" si="839"/>
        <v>0</v>
      </c>
      <c r="CR259" s="1">
        <f t="shared" si="840"/>
        <v>0</v>
      </c>
      <c r="CS259" s="1">
        <f t="shared" si="841"/>
        <v>0</v>
      </c>
      <c r="CT259" s="1">
        <f t="shared" si="842"/>
        <v>8.9999999999999993E-3</v>
      </c>
      <c r="CU259" s="1">
        <f t="shared" si="843"/>
        <v>3.9E-2</v>
      </c>
      <c r="CV259" s="304">
        <f t="shared" si="844"/>
        <v>998</v>
      </c>
      <c r="CW259" s="20" t="s">
        <v>122</v>
      </c>
      <c r="CX259" s="20" t="s">
        <v>122</v>
      </c>
      <c r="CY259" s="20" t="s">
        <v>122</v>
      </c>
      <c r="CZ259" s="20" t="s">
        <v>122</v>
      </c>
      <c r="DA259" s="20" t="s">
        <v>122</v>
      </c>
      <c r="DB259" s="503">
        <f t="shared" si="845"/>
        <v>0</v>
      </c>
      <c r="DC259" s="127">
        <v>0</v>
      </c>
      <c r="DD259" s="127">
        <v>0</v>
      </c>
      <c r="DE259" s="127">
        <v>0</v>
      </c>
      <c r="DF259" s="127">
        <v>0</v>
      </c>
      <c r="DG259" s="127">
        <v>0</v>
      </c>
      <c r="DH259" s="127">
        <v>0</v>
      </c>
      <c r="DI259" s="127">
        <v>0</v>
      </c>
      <c r="DJ259" s="127">
        <v>0</v>
      </c>
      <c r="DK259" s="127">
        <v>0</v>
      </c>
      <c r="DL259" s="127">
        <v>0</v>
      </c>
      <c r="DM259" s="304">
        <f>INDEX(Input!$1:$1048576,DM$93,$C259*2+6)</f>
        <v>20731.578947368424</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2.9649268926521442E-2</v>
      </c>
      <c r="DZ259" s="7">
        <v>0</v>
      </c>
      <c r="EA259" s="7">
        <v>0.60229873397100619</v>
      </c>
      <c r="EB259" s="7">
        <v>0</v>
      </c>
      <c r="EC259" s="7">
        <v>0</v>
      </c>
      <c r="ED259" s="7">
        <v>0</v>
      </c>
      <c r="EE259" s="7">
        <v>0</v>
      </c>
      <c r="EF259" s="7">
        <v>0</v>
      </c>
      <c r="EG259" s="7">
        <v>0</v>
      </c>
      <c r="EH259" s="7">
        <v>1.1575502910590793E-2</v>
      </c>
      <c r="EI259" s="7">
        <v>1.8914343790009558E-2</v>
      </c>
      <c r="EJ259" s="7">
        <v>0.18983877520358275</v>
      </c>
      <c r="EK259" s="7">
        <v>0.74543077269856439</v>
      </c>
      <c r="EL259" s="7">
        <v>3.4240605397252162E-2</v>
      </c>
      <c r="EM259" s="7">
        <v>5.0241153737643332E-2</v>
      </c>
      <c r="EN259" s="7">
        <v>4.889562207177886E-2</v>
      </c>
      <c r="EO259" s="7">
        <v>0.56262578197657476</v>
      </c>
      <c r="EP259" s="7">
        <v>0.28435247630598026</v>
      </c>
      <c r="EQ259" s="7">
        <v>6.4857384747669555E-2</v>
      </c>
      <c r="ER259" s="7">
        <v>3.926873489799651E-2</v>
      </c>
      <c r="ES259" s="7">
        <v>0.31781084336482895</v>
      </c>
      <c r="ET259" s="7">
        <v>0.36805199710247233</v>
      </c>
      <c r="EU259" s="6">
        <v>1850</v>
      </c>
      <c r="EV259" s="6">
        <v>0</v>
      </c>
      <c r="EW259" s="6">
        <v>1850</v>
      </c>
      <c r="EX259" s="6">
        <v>0</v>
      </c>
      <c r="EY259" s="6">
        <v>2969.8864244481392</v>
      </c>
      <c r="EZ259" s="6">
        <v>1751</v>
      </c>
      <c r="FA259" s="6">
        <v>0</v>
      </c>
      <c r="FB259" s="6">
        <v>0</v>
      </c>
      <c r="FC259" s="6">
        <v>0</v>
      </c>
      <c r="FD259" s="6">
        <v>0</v>
      </c>
      <c r="FE259" s="6">
        <v>0</v>
      </c>
      <c r="FF259" s="6">
        <v>0</v>
      </c>
      <c r="FG259" s="6">
        <v>0</v>
      </c>
      <c r="FH259" s="6">
        <v>1154.7786637072097</v>
      </c>
      <c r="FI259" s="6">
        <v>1531.4299904380614</v>
      </c>
      <c r="FJ259" s="6">
        <v>2070.7205842538219</v>
      </c>
      <c r="FK259" s="6">
        <v>2218.6393698501024</v>
      </c>
      <c r="FL259" s="6">
        <v>893.91433563489443</v>
      </c>
      <c r="FM259" s="6">
        <v>2119.8864244481392</v>
      </c>
      <c r="FN259" s="6">
        <v>0</v>
      </c>
      <c r="FO259" s="6">
        <v>0</v>
      </c>
      <c r="FP259" s="6">
        <v>0</v>
      </c>
      <c r="FQ259" s="6">
        <v>0</v>
      </c>
      <c r="FR259" s="6">
        <v>0</v>
      </c>
      <c r="FS259" s="6">
        <v>0</v>
      </c>
      <c r="FT259" s="7">
        <v>0.63194800289752762</v>
      </c>
      <c r="FU259" s="7">
        <v>5.0241153737643332E-2</v>
      </c>
      <c r="FV259" s="7">
        <v>0.31781084336482895</v>
      </c>
      <c r="FW259" s="6">
        <v>1850</v>
      </c>
      <c r="FX259" s="6">
        <v>2969.8864244481392</v>
      </c>
      <c r="FY259" s="6">
        <v>1751</v>
      </c>
      <c r="FZ259" s="6">
        <v>2594.6978186474794</v>
      </c>
      <c r="GA259" s="6">
        <v>1874.8011125262803</v>
      </c>
      <c r="GB259" s="6">
        <v>17820.198887473718</v>
      </c>
      <c r="GC259" s="7">
        <v>9.6947029492584935E-2</v>
      </c>
      <c r="GD259" s="7">
        <v>9.0064798484402755E-2</v>
      </c>
      <c r="GE259" s="7"/>
      <c r="GF259" s="7"/>
      <c r="GG259" s="7">
        <v>-7.0989601684583556E-2</v>
      </c>
      <c r="GH259" s="42">
        <v>1.9421400227138805</v>
      </c>
      <c r="GI259" s="6">
        <v>12015.67652298143</v>
      </c>
      <c r="GJ259" s="14">
        <v>0.51074630601039528</v>
      </c>
      <c r="GK259" s="14">
        <v>0.50829519786160915</v>
      </c>
      <c r="GL259" s="14">
        <v>0.48925369398960422</v>
      </c>
      <c r="GM259" s="14">
        <v>0.49170480213838996</v>
      </c>
      <c r="GO259" s="5">
        <v>338.16872463277008</v>
      </c>
      <c r="GP259" s="5">
        <v>302.87425392274076</v>
      </c>
      <c r="GQ259" s="5">
        <v>527.27910984145694</v>
      </c>
      <c r="GR259" s="5">
        <v>404.20319246551543</v>
      </c>
      <c r="GS259" s="5">
        <v>334.50205195691484</v>
      </c>
      <c r="GT259" s="5">
        <v>289.18266033348181</v>
      </c>
      <c r="GU259" s="5">
        <v>254.29573314828914</v>
      </c>
      <c r="GV259" s="39" t="s">
        <v>392</v>
      </c>
      <c r="GW259" s="5">
        <v>468.76388888888891</v>
      </c>
      <c r="GX259" s="5">
        <v>351.57291666666669</v>
      </c>
      <c r="GY259" s="5">
        <v>281.25833333333333</v>
      </c>
      <c r="GZ259" s="5">
        <v>240.8550698915011</v>
      </c>
      <c r="HA259" s="5">
        <v>229.89195052129486</v>
      </c>
      <c r="HB259" s="39">
        <v>252.88210670849659</v>
      </c>
      <c r="HC259" s="5">
        <v>206.50937499999998</v>
      </c>
      <c r="HD259" s="5">
        <v>184.03879751461983</v>
      </c>
      <c r="HE259" s="5">
        <v>188.92093033063426</v>
      </c>
      <c r="HF259" s="5">
        <v>177.21129934210524</v>
      </c>
      <c r="HG259" s="5">
        <v>174.01410087719296</v>
      </c>
      <c r="HH259" s="39">
        <v>185.68928610444124</v>
      </c>
      <c r="HI259" s="16"/>
      <c r="HJ259" s="19" t="str">
        <f t="shared" si="858"/>
        <v>On</v>
      </c>
      <c r="HK259" s="1" t="str">
        <f t="shared" si="858"/>
        <v>On</v>
      </c>
      <c r="HL259" s="16"/>
      <c r="HM259" s="639">
        <f t="shared" si="727"/>
        <v>5.0961701597560354E-2</v>
      </c>
      <c r="HN259" s="639">
        <f t="shared" si="728"/>
        <v>3.112551654761847E-3</v>
      </c>
      <c r="HO259" s="639">
        <f t="shared" si="729"/>
        <v>3.1163314184693442E-2</v>
      </c>
      <c r="HP259" s="644">
        <f>(FT259*$GD259-HM259)/$JF259*INDEX(Input!$1:$1048576,$JG$93,$C259*2+6)</f>
        <v>111.84344593858091</v>
      </c>
      <c r="HQ259" s="644">
        <f>(FU259*$GD259-HN259)/$JF259*INDEX(Input!$1:$1048576,$JG$93,$C259*2+6)</f>
        <v>26.528968943087101</v>
      </c>
      <c r="HR259" s="644">
        <f>(FV259*$GD259-HO259)/$JF259*INDEX(Input!$1:$1048576,$JG$93,$C259*2+6)</f>
        <v>-47.703509852468635</v>
      </c>
      <c r="HS259" s="644">
        <f t="shared" si="851"/>
        <v>-13.59161279837471</v>
      </c>
      <c r="HT259" s="644">
        <f t="shared" si="731"/>
        <v>59.728574778109866</v>
      </c>
      <c r="HU259" s="644">
        <f t="shared" si="732"/>
        <v>5.3797641548458435</v>
      </c>
      <c r="HV259" s="648">
        <f t="shared" si="733"/>
        <v>0</v>
      </c>
      <c r="HW259" s="648">
        <f t="shared" si="734"/>
        <v>0</v>
      </c>
      <c r="HX259" s="648">
        <f t="shared" si="735"/>
        <v>0</v>
      </c>
      <c r="HY259" s="644">
        <f>INDEX(Input!$1:$1048576,HY$93,$C259*2+6)*INDEX(Input!$1:$1048576,$JG$93,$C259*2+6)</f>
        <v>555</v>
      </c>
      <c r="HZ259" s="644">
        <f>INDEX(Input!$1:$1048576,HZ$93,$C259*2+6)*INDEX(Input!$1:$1048576,$JG$93,$C259*2+6)</f>
        <v>480</v>
      </c>
      <c r="IA259" s="644">
        <f>INDEX(Input!$1:$1048576,IA$93,$C259*2+6)*INDEX(Input!$1:$1048576,$JG$93,$C259*2+6)</f>
        <v>566</v>
      </c>
      <c r="IB259" s="644">
        <f t="shared" si="759"/>
        <v>653.25183314020614</v>
      </c>
      <c r="IC259" s="644">
        <f t="shared" si="760"/>
        <v>566.25754372119695</v>
      </c>
      <c r="ID259" s="644">
        <f>IF(AND(INDEX(Input!$1:$1048576,IA$93,$C259*2+7)="TOS",Y259&lt;=INDEX(Y:Y,MATCH(C259*1000+2,A:A))),0,1)*MAX(IA259+HR259+HU259+HX259,0%)</f>
        <v>523.67625430237717</v>
      </c>
      <c r="IE259" s="128">
        <f t="shared" si="856"/>
        <v>0.37474599460992813</v>
      </c>
      <c r="IF259" s="128">
        <f t="shared" si="736"/>
        <v>0.32484064439147187</v>
      </c>
      <c r="IG259" s="128">
        <f t="shared" si="737"/>
        <v>0.30041336099860005</v>
      </c>
      <c r="IH259" s="21"/>
      <c r="II259" s="19">
        <f t="shared" si="738"/>
        <v>1200</v>
      </c>
      <c r="IJ259" s="19">
        <f t="shared" si="739"/>
        <v>2226.7968732767699</v>
      </c>
      <c r="IK259" s="19">
        <f t="shared" si="740"/>
        <v>1786</v>
      </c>
      <c r="IL259" s="19">
        <f t="shared" si="762"/>
        <v>650</v>
      </c>
      <c r="IM259" s="19">
        <f t="shared" si="741"/>
        <v>743.08955117136929</v>
      </c>
      <c r="IN259" s="19">
        <f t="shared" si="742"/>
        <v>-35</v>
      </c>
      <c r="IO259" s="39">
        <f t="shared" si="743"/>
        <v>0</v>
      </c>
      <c r="IP259" s="39">
        <f t="shared" si="744"/>
        <v>0</v>
      </c>
      <c r="IQ259" s="39">
        <f t="shared" si="745"/>
        <v>0</v>
      </c>
      <c r="IR259" s="39">
        <v>0</v>
      </c>
      <c r="IS259" s="39">
        <v>0</v>
      </c>
      <c r="IT259" s="39">
        <v>0</v>
      </c>
      <c r="IU259" s="39">
        <v>0</v>
      </c>
      <c r="IV259" s="39">
        <v>0</v>
      </c>
      <c r="IW259" s="39">
        <v>0</v>
      </c>
      <c r="IX259" s="39">
        <f>INDEX(Input!$1:$1048576,IX$93,$C259*2+6)+INDEX(Input!$1:$1048576,IX$94,$C259*2+6)</f>
        <v>1600</v>
      </c>
      <c r="IY259" s="39">
        <f>INDEX(Input!$1:$1048576,IY$93,$C259*2+6)+INDEX(Input!$1:$1048576,IY$94,$C259*2+6)</f>
        <v>2503.5492916397525</v>
      </c>
      <c r="IZ259" s="39">
        <f>INDEX(Input!$1:$1048576,IZ$93,$C259*2+6)+INDEX(Input!$1:$1048576,IZ$94,$C259*2+6)</f>
        <v>5773.7109265464023</v>
      </c>
      <c r="JA259" s="19">
        <f t="shared" si="763"/>
        <v>2250</v>
      </c>
      <c r="JB259" s="19">
        <f t="shared" si="764"/>
        <v>3246.6388428111218</v>
      </c>
      <c r="JC259" s="19">
        <f t="shared" si="765"/>
        <v>5738.7109265464023</v>
      </c>
      <c r="JD259" s="19">
        <f t="shared" si="766"/>
        <v>3621.8041789206809</v>
      </c>
      <c r="JE259" s="21"/>
      <c r="JF259" s="1">
        <f t="shared" si="746"/>
        <v>8.5237567437015646E-2</v>
      </c>
      <c r="JG259" s="15">
        <f>INDEX(Input!$1:$1048576,JG$93,$C259*2+6)/(1+VLOOKUP(C259*1000+INDEX(Input!$1:$1048576,JG$93+1,$C259*2+6),$A:$KK,$JK$92,FALSE))</f>
        <v>1601</v>
      </c>
      <c r="JH259" s="1">
        <f t="shared" si="767"/>
        <v>5.6632670224359388E-2</v>
      </c>
      <c r="JI259" s="1">
        <f t="shared" si="768"/>
        <v>3.2177842682436598E-2</v>
      </c>
      <c r="JJ259" s="1">
        <f t="shared" si="828"/>
        <v>0</v>
      </c>
      <c r="JK259" s="1">
        <f t="shared" si="829"/>
        <v>8.881051290679598E-2</v>
      </c>
      <c r="JL259" s="15">
        <f t="shared" si="771"/>
        <v>142.18563116378036</v>
      </c>
      <c r="JM259" s="15">
        <f t="shared" si="795"/>
        <v>1743.1856311637803</v>
      </c>
      <c r="JN259" s="21"/>
      <c r="JO259" s="19">
        <f>INDEX(Input!$1:$1048576,JO$93,$C259*2+6)</f>
        <v>5908.5</v>
      </c>
      <c r="JP259" s="19">
        <f>INDEX(Input!$1:$1048576,JP$93,$C259*2+6)</f>
        <v>3346.4235130620518</v>
      </c>
      <c r="JQ259" s="39">
        <f t="shared" si="781"/>
        <v>2286.6958210793191</v>
      </c>
      <c r="JR259" s="39">
        <f t="shared" si="798"/>
        <v>275.38066585862907</v>
      </c>
      <c r="JS259" s="39">
        <f t="shared" si="783"/>
        <v>6.313477003583464</v>
      </c>
      <c r="JT259" s="39">
        <f t="shared" si="773"/>
        <v>0.95585295917111912</v>
      </c>
      <c r="JU259" s="385">
        <f>(JQ259*JM259-INDEX(Input!$1:$1048576,Input!A$18,$C259*2+6)*JL259*INDEX(Input!$1:$1048576,Input!A$19,$C259*2+6))/1000000</f>
        <v>3.9861352981477314</v>
      </c>
      <c r="JV259" s="39">
        <f t="shared" si="805"/>
        <v>-0.11574915743992342</v>
      </c>
      <c r="JW259" s="1">
        <f t="shared" si="796"/>
        <v>-2.8218531919456679E-2</v>
      </c>
      <c r="JX259" s="19">
        <f t="shared" si="787"/>
        <v>6722.5707080773445</v>
      </c>
      <c r="JZ259" s="341"/>
      <c r="KA259" s="342"/>
      <c r="KB259" s="469">
        <f t="shared" si="784"/>
        <v>2.4482969984810516</v>
      </c>
      <c r="KI259" s="473">
        <f t="shared" si="853"/>
        <v>98.251833140206145</v>
      </c>
      <c r="KJ259" s="473">
        <f t="shared" si="854"/>
        <v>86.257543721196953</v>
      </c>
      <c r="KK259" s="473">
        <f t="shared" si="775"/>
        <v>-42.323745697622826</v>
      </c>
      <c r="KN259" s="544">
        <f t="shared" si="788"/>
        <v>2002</v>
      </c>
      <c r="KO259" s="541">
        <f t="shared" si="750"/>
        <v>8.9287680676632952E-3</v>
      </c>
      <c r="KP259" s="546">
        <f t="shared" si="751"/>
        <v>96.982978688065032</v>
      </c>
      <c r="KQ259" s="546">
        <f t="shared" si="752"/>
        <v>-103.79939603585763</v>
      </c>
      <c r="KR259" s="548">
        <f t="shared" si="753"/>
        <v>1.4702274439146668</v>
      </c>
      <c r="KS259" s="548">
        <f t="shared" si="754"/>
        <v>-1.3736788681364542</v>
      </c>
      <c r="KT259" s="473">
        <f t="shared" si="786"/>
        <v>528.59039248727379</v>
      </c>
      <c r="KU259" s="663">
        <f t="shared" si="776"/>
        <v>12.495262360974642</v>
      </c>
      <c r="KV259" s="117"/>
    </row>
    <row r="260" spans="1:308" s="26" customFormat="1" ht="15" outlineLevel="1">
      <c r="A260" s="561">
        <f t="shared" si="755"/>
        <v>2060</v>
      </c>
      <c r="B260" s="561">
        <f t="shared" si="777"/>
        <v>60</v>
      </c>
      <c r="C260" s="561">
        <f t="shared" si="857"/>
        <v>2</v>
      </c>
      <c r="D260" s="561" t="str">
        <f t="shared" si="859"/>
        <v xml:space="preserve">500 CC, 0/0/0.9/3.9, -360 Lease, </v>
      </c>
      <c r="E260" s="475">
        <f>INDEX(Input!$1:$1048576,E$93,$C260*2+MIN($B260,2)+5)
+INDEX(Scenarios!E$121:E$200,MATCH($B260,Scenarios!$B$121:$B$200,0))</f>
        <v>1750</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8.9999999999999993E-3</v>
      </c>
      <c r="W260" s="863">
        <f>IFERROR(MAX(0,INDEX(Input!$1:$1048576,W$93,$C260*2+MIN($B260,2)+5)-0%,),"Market")</f>
        <v>3.9E-2</v>
      </c>
      <c r="X260" s="476" t="str">
        <f>INDEX(Input!$1:$1048576,X$93,$C260*2+MIN($B260,2)+5)</f>
        <v>Y</v>
      </c>
      <c r="Y260" s="475">
        <f>INDEX(Input!$1:$1048576,Y$93,$C260*2+MIN($B260,2)+5)
++INDEX(Scenarios!Y$121:Y$200,MATCH($B260,Scenarios!$B$121:$B$200,0))</f>
        <v>998</v>
      </c>
      <c r="Z260" s="477">
        <f>INDEX(Input!$1:$1048576,Z$93,$C260*2+MIN($B260,2)+5)
+INDEX(Scenarios!Z$121:Z$200,MATCH($B260,Scenarios!$B$121:$B$200,0))</f>
        <v>0</v>
      </c>
      <c r="AA260" s="475">
        <f>INDEX(Input!$1:$1048576,AA$93,$C260*2+MIN($B260,2)+5)</f>
        <v>0</v>
      </c>
      <c r="AB260" s="476">
        <f>INDEX(Input!$1:$1048576,AB$93,$C260*2+MIN($B260,2)+5)</f>
        <v>1</v>
      </c>
      <c r="AC260" s="475">
        <f>INDEX(Input!$1:$1048576,AC$93,$C260*2+MIN($B260,2)+5)
+INDEX(Scenarios!AC$121:AC$200,MATCH($B260,Scenarios!$B$121:$B$200,0))</f>
        <v>0</v>
      </c>
      <c r="AD260" s="476">
        <f>INDEX(Input!$1:$1048576,AD$93,$C260*2+MIN($B260,2)+5)</f>
        <v>0.35</v>
      </c>
      <c r="AE260" s="475">
        <f>INDEX(Input!$1:$1048576,AE$93,$C260*2+MIN($B260,2)+5)
+INDEX(Scenarios!AE$121:AE$200,MATCH($B260,Scenarios!$B$121:$B$200,0))</f>
        <v>0</v>
      </c>
      <c r="AF260" s="476">
        <f>INDEX(Input!$1:$1048576,AF$93,$C260*2+MIN($B260,2)+5)</f>
        <v>1</v>
      </c>
      <c r="AG260" s="475">
        <f>INDEX(Input!$1:$1048576,AG$93,$C260*2+MIN($B260,2)+5)
+INDEX(Scenarios!AG$121:AG$200,MATCH($B260,Scenarios!$B$121:$B$200,0))</f>
        <v>0</v>
      </c>
      <c r="AH260" s="476">
        <f>INDEX(Input!$1:$1048576,AH$93,$C260*2+MIN($B260,2)+5)</f>
        <v>1</v>
      </c>
      <c r="AI260" s="475">
        <f>INDEX(Input!$1:$1048576,AI$93,$C260*2+MIN($B260,2)+5)
+INDEX(Scenarios!AI$121:AI$200,MATCH($B260,Scenarios!$B$121:$B$200,0))</f>
        <v>0</v>
      </c>
      <c r="AJ260" s="476">
        <f>INDEX(Input!$1:$1048576,AJ$93,$C260*2+MIN($B260,2)+5)</f>
        <v>0.35</v>
      </c>
      <c r="AK260" s="150">
        <f>ROUND(INDEX(Input!$1:$1048576,AK$93,$C259*2+MIN($B260,1)+5)+(Y260-VLOOKUP($C260*1000+1,$A:$HH,Y$92,FALSE)),0)</f>
        <v>4622</v>
      </c>
      <c r="AL260" s="150">
        <f>ROUND(INDEX(Input!$1:$1048576,AL$93,$C259*2+MIN($B260,1)+5)-(Y260-VLOOKUP($C260*1000+1,$A:$HH,Y$92,FALSE))/36,0)</f>
        <v>5112</v>
      </c>
      <c r="AM260" s="32" t="str">
        <f t="shared" si="756"/>
        <v>std/std/std/std</v>
      </c>
      <c r="AN260" s="32" t="str">
        <f t="shared" si="757"/>
        <v>$0 + 0/0/0/0.9/3.9</v>
      </c>
      <c r="AO260" s="32" t="str">
        <f t="shared" si="758"/>
        <v>0/0/0/0.9/3.9</v>
      </c>
      <c r="AP260" s="32" t="str">
        <f t="shared" si="831"/>
        <v>0/0/0.9/3.9</v>
      </c>
      <c r="AQ260" s="536">
        <f t="shared" si="830"/>
        <v>0.39399419351850679</v>
      </c>
      <c r="AR260" s="32"/>
      <c r="AS260" s="302"/>
      <c r="AT260" s="3">
        <f t="shared" si="810"/>
        <v>60</v>
      </c>
      <c r="AU260" s="41" t="s">
        <v>121</v>
      </c>
      <c r="AV260" s="41" t="s">
        <v>116</v>
      </c>
      <c r="AW260" s="41" t="str">
        <f>INDEX(Input!$1:$1048576,AW$93,$C260*2+6)</f>
        <v>Kia</v>
      </c>
      <c r="AX260" s="41" t="str">
        <f>INDEX(Input!$1:$1048576,AX$93,$C260*2+6)</f>
        <v>Kia-LR - L2</v>
      </c>
      <c r="AY260" s="41" t="str">
        <f>IF(LEN(D260)=0,"",INDEX(Input!$1:$1048576,AY$93,$C260*2+6))</f>
        <v>Compact Conventional/Sporty Car (43)</v>
      </c>
      <c r="AZ260" s="41" t="str">
        <f>INDEX(Input!$1:$1048576,AZ$93,$C260*2+6)</f>
        <v>Kia Forte</v>
      </c>
      <c r="BA260" s="3">
        <f>INDEX(Input!$1:$1048576,BA$93,$C260*2+6)</f>
        <v>2020</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19695</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832"/>
        <v>1750</v>
      </c>
      <c r="CJ260" s="16" t="str">
        <f>INDEX(Input!$1:$1048576,CJ$93,$C260*2+6)</f>
        <v>N</v>
      </c>
      <c r="CK260" s="1" t="str">
        <f t="shared" si="833"/>
        <v>Market</v>
      </c>
      <c r="CL260" s="1" t="str">
        <f t="shared" si="834"/>
        <v>Market</v>
      </c>
      <c r="CM260" s="1" t="str">
        <f t="shared" si="835"/>
        <v>Market</v>
      </c>
      <c r="CN260" s="1" t="str">
        <f t="shared" si="836"/>
        <v>Market</v>
      </c>
      <c r="CO260" s="1" t="str">
        <f t="shared" si="837"/>
        <v>Market</v>
      </c>
      <c r="CP260" s="304">
        <f t="shared" si="838"/>
        <v>0</v>
      </c>
      <c r="CQ260" s="1">
        <f t="shared" si="839"/>
        <v>0</v>
      </c>
      <c r="CR260" s="1">
        <f t="shared" si="840"/>
        <v>0</v>
      </c>
      <c r="CS260" s="1">
        <f t="shared" si="841"/>
        <v>0</v>
      </c>
      <c r="CT260" s="1">
        <f t="shared" si="842"/>
        <v>8.9999999999999993E-3</v>
      </c>
      <c r="CU260" s="1">
        <f t="shared" si="843"/>
        <v>3.9E-2</v>
      </c>
      <c r="CV260" s="304">
        <f t="shared" si="844"/>
        <v>998</v>
      </c>
      <c r="CW260" s="20" t="s">
        <v>122</v>
      </c>
      <c r="CX260" s="20" t="s">
        <v>122</v>
      </c>
      <c r="CY260" s="20" t="s">
        <v>122</v>
      </c>
      <c r="CZ260" s="20" t="s">
        <v>122</v>
      </c>
      <c r="DA260" s="20" t="s">
        <v>122</v>
      </c>
      <c r="DB260" s="503">
        <f t="shared" si="845"/>
        <v>0</v>
      </c>
      <c r="DC260" s="127">
        <v>0</v>
      </c>
      <c r="DD260" s="127">
        <v>0</v>
      </c>
      <c r="DE260" s="127">
        <v>0</v>
      </c>
      <c r="DF260" s="127">
        <v>0</v>
      </c>
      <c r="DG260" s="127">
        <v>0</v>
      </c>
      <c r="DH260" s="127">
        <v>0</v>
      </c>
      <c r="DI260" s="127">
        <v>0</v>
      </c>
      <c r="DJ260" s="127">
        <v>0</v>
      </c>
      <c r="DK260" s="127">
        <v>0</v>
      </c>
      <c r="DL260" s="127">
        <v>0</v>
      </c>
      <c r="DM260" s="304">
        <f>INDEX(Input!$1:$1048576,DM$93,$C260*2+6)</f>
        <v>20731.578947368424</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3.0539645542054999E-2</v>
      </c>
      <c r="DZ260" s="7">
        <v>0</v>
      </c>
      <c r="EA260" s="7">
        <v>0.61806381844480385</v>
      </c>
      <c r="EB260" s="7">
        <v>0</v>
      </c>
      <c r="EC260" s="7">
        <v>0</v>
      </c>
      <c r="ED260" s="7">
        <v>0</v>
      </c>
      <c r="EE260" s="7">
        <v>0</v>
      </c>
      <c r="EF260" s="7">
        <v>0</v>
      </c>
      <c r="EG260" s="7">
        <v>0</v>
      </c>
      <c r="EH260" s="7">
        <v>1.1579992149070314E-2</v>
      </c>
      <c r="EI260" s="7">
        <v>1.8923548897868514E-2</v>
      </c>
      <c r="EJ260" s="7">
        <v>0.18989065981126438</v>
      </c>
      <c r="EK260" s="7">
        <v>0.74536514542959087</v>
      </c>
      <c r="EL260" s="7">
        <v>3.4240653712206019E-2</v>
      </c>
      <c r="EM260" s="7">
        <v>4.7915557375163439E-2</v>
      </c>
      <c r="EN260" s="7">
        <v>4.8890869482254948E-2</v>
      </c>
      <c r="EO260" s="7">
        <v>0.56260452977879094</v>
      </c>
      <c r="EP260" s="7">
        <v>0.28437501844704338</v>
      </c>
      <c r="EQ260" s="7">
        <v>6.4851684019217579E-2</v>
      </c>
      <c r="ER260" s="7">
        <v>3.9277898272692943E-2</v>
      </c>
      <c r="ES260" s="7">
        <v>0.30348097863797763</v>
      </c>
      <c r="ET260" s="7">
        <v>0.35139653601314114</v>
      </c>
      <c r="EU260" s="6">
        <v>2100</v>
      </c>
      <c r="EV260" s="6">
        <v>0</v>
      </c>
      <c r="EW260" s="6">
        <v>2100</v>
      </c>
      <c r="EX260" s="6">
        <v>0</v>
      </c>
      <c r="EY260" s="6">
        <v>2969.867570582102</v>
      </c>
      <c r="EZ260" s="6">
        <v>1751</v>
      </c>
      <c r="FA260" s="6">
        <v>0</v>
      </c>
      <c r="FB260" s="6">
        <v>0</v>
      </c>
      <c r="FC260" s="6">
        <v>0</v>
      </c>
      <c r="FD260" s="6">
        <v>0</v>
      </c>
      <c r="FE260" s="6">
        <v>0</v>
      </c>
      <c r="FF260" s="6">
        <v>0</v>
      </c>
      <c r="FG260" s="6">
        <v>0</v>
      </c>
      <c r="FH260" s="6">
        <v>1154.7775071458038</v>
      </c>
      <c r="FI260" s="6">
        <v>1531.4299904380625</v>
      </c>
      <c r="FJ260" s="6">
        <v>2070.7205842538215</v>
      </c>
      <c r="FK260" s="6">
        <v>2218.6393698501024</v>
      </c>
      <c r="FL260" s="6">
        <v>893.91433563489431</v>
      </c>
      <c r="FM260" s="6">
        <v>2119.867570582102</v>
      </c>
      <c r="FN260" s="6">
        <v>0</v>
      </c>
      <c r="FO260" s="6">
        <v>0</v>
      </c>
      <c r="FP260" s="6">
        <v>0</v>
      </c>
      <c r="FQ260" s="6">
        <v>0</v>
      </c>
      <c r="FR260" s="6">
        <v>0</v>
      </c>
      <c r="FS260" s="6">
        <v>0</v>
      </c>
      <c r="FT260" s="7">
        <v>0.64860346398685886</v>
      </c>
      <c r="FU260" s="7">
        <v>4.7915557375163439E-2</v>
      </c>
      <c r="FV260" s="7">
        <v>0.30348097863797763</v>
      </c>
      <c r="FW260" s="6">
        <v>2100</v>
      </c>
      <c r="FX260" s="6">
        <v>2969.867570582102</v>
      </c>
      <c r="FY260" s="6">
        <v>1751</v>
      </c>
      <c r="FZ260" s="6">
        <v>2594.6978186474794</v>
      </c>
      <c r="GA260" s="6">
        <v>2035.7653279423664</v>
      </c>
      <c r="GB260" s="6">
        <v>17659.234672057635</v>
      </c>
      <c r="GC260" s="7">
        <v>9.6947029492584935E-2</v>
      </c>
      <c r="GD260" s="7">
        <v>9.1826931218477792E-2</v>
      </c>
      <c r="GE260" s="7"/>
      <c r="GF260" s="7"/>
      <c r="GG260" s="7">
        <v>-5.2813359015799012E-2</v>
      </c>
      <c r="GH260" s="42">
        <v>1.8609744881782848</v>
      </c>
      <c r="GI260" s="6">
        <v>12618.930290767576</v>
      </c>
      <c r="GJ260" s="14">
        <v>0.51074630601039517</v>
      </c>
      <c r="GK260" s="14">
        <v>0.50829519786160959</v>
      </c>
      <c r="GL260" s="14">
        <v>0.48925369398960417</v>
      </c>
      <c r="GM260" s="14">
        <v>0.49170480213839007</v>
      </c>
      <c r="GO260" s="5">
        <v>338.16872463277008</v>
      </c>
      <c r="GP260" s="5">
        <v>298.1047308538179</v>
      </c>
      <c r="GQ260" s="5">
        <v>527.27910984145694</v>
      </c>
      <c r="GR260" s="5">
        <v>404.20319246551543</v>
      </c>
      <c r="GS260" s="5">
        <v>334.50205195691484</v>
      </c>
      <c r="GT260" s="5">
        <v>289.18266033348181</v>
      </c>
      <c r="GU260" s="5">
        <v>254.29573314828914</v>
      </c>
      <c r="GV260" s="39" t="s">
        <v>392</v>
      </c>
      <c r="GW260" s="5">
        <v>468.76388888888891</v>
      </c>
      <c r="GX260" s="5">
        <v>351.57291666666669</v>
      </c>
      <c r="GY260" s="5">
        <v>281.25833333333333</v>
      </c>
      <c r="GZ260" s="5">
        <v>240.8550698915011</v>
      </c>
      <c r="HA260" s="5">
        <v>229.89195052129486</v>
      </c>
      <c r="HB260" s="39">
        <v>252.88624479304838</v>
      </c>
      <c r="HC260" s="5">
        <v>206.50937499999998</v>
      </c>
      <c r="HD260" s="5">
        <v>184.03879751461983</v>
      </c>
      <c r="HE260" s="5">
        <v>188.92093033063426</v>
      </c>
      <c r="HF260" s="5">
        <v>177.21129934210524</v>
      </c>
      <c r="HG260" s="5">
        <v>174.01410087719296</v>
      </c>
      <c r="HH260" s="39">
        <v>185.68923642639828</v>
      </c>
      <c r="HI260" s="16"/>
      <c r="HJ260" s="19" t="str">
        <f t="shared" si="858"/>
        <v>On</v>
      </c>
      <c r="HK260" s="1" t="str">
        <f t="shared" si="858"/>
        <v>On</v>
      </c>
      <c r="HL260" s="16"/>
      <c r="HM260" s="639">
        <f t="shared" si="727"/>
        <v>5.0961701597560354E-2</v>
      </c>
      <c r="HN260" s="639">
        <f t="shared" si="728"/>
        <v>3.112551654761847E-3</v>
      </c>
      <c r="HO260" s="639">
        <f t="shared" si="729"/>
        <v>3.1163314184693442E-2</v>
      </c>
      <c r="HP260" s="644">
        <f>(FT260*$GD260-HM260)/$JF260*INDEX(Input!$1:$1048576,$JG$93,$C260*2+6)</f>
        <v>161.48630824187859</v>
      </c>
      <c r="HQ260" s="644">
        <f>(FU260*$GD260-HN260)/$JF260*INDEX(Input!$1:$1048576,$JG$93,$C260*2+6)</f>
        <v>24.180728609545664</v>
      </c>
      <c r="HR260" s="644">
        <f>(FV260*$GD260-HO260)/$JF260*INDEX(Input!$1:$1048576,$JG$93,$C260*2+6)</f>
        <v>-61.900348860049377</v>
      </c>
      <c r="HS260" s="644">
        <f t="shared" si="851"/>
        <v>-18.624604306296572</v>
      </c>
      <c r="HT260" s="644">
        <f t="shared" si="731"/>
        <v>56.81398442736166</v>
      </c>
      <c r="HU260" s="644">
        <f t="shared" si="732"/>
        <v>8.2926340662175217</v>
      </c>
      <c r="HV260" s="648">
        <f t="shared" si="733"/>
        <v>0</v>
      </c>
      <c r="HW260" s="648">
        <f t="shared" si="734"/>
        <v>0</v>
      </c>
      <c r="HX260" s="648">
        <f t="shared" si="735"/>
        <v>0</v>
      </c>
      <c r="HY260" s="644">
        <f>INDEX(Input!$1:$1048576,HY$93,$C260*2+6)*INDEX(Input!$1:$1048576,$JG$93,$C260*2+6)</f>
        <v>555</v>
      </c>
      <c r="HZ260" s="644">
        <f>INDEX(Input!$1:$1048576,HZ$93,$C260*2+6)*INDEX(Input!$1:$1048576,$JG$93,$C260*2+6)</f>
        <v>480</v>
      </c>
      <c r="IA260" s="644">
        <f>INDEX(Input!$1:$1048576,IA$93,$C260*2+6)*INDEX(Input!$1:$1048576,$JG$93,$C260*2+6)</f>
        <v>566</v>
      </c>
      <c r="IB260" s="644">
        <f t="shared" si="759"/>
        <v>697.86170393558189</v>
      </c>
      <c r="IC260" s="644">
        <f t="shared" si="760"/>
        <v>560.99471303690734</v>
      </c>
      <c r="ID260" s="644">
        <f>IF(AND(INDEX(Input!$1:$1048576,IA$93,$C260*2+7)="TOS",Y260&lt;=INDEX(Y:Y,MATCH(C260*1000+2,A:A))),0,1)*MAX(IA260+HR260+HU260+HX260,0%)</f>
        <v>512.39228520616814</v>
      </c>
      <c r="IE260" s="128">
        <f t="shared" si="856"/>
        <v>0.39399419351850679</v>
      </c>
      <c r="IF260" s="128">
        <f t="shared" si="736"/>
        <v>0.31672272354914194</v>
      </c>
      <c r="IG260" s="128">
        <f t="shared" si="737"/>
        <v>0.28928308293235128</v>
      </c>
      <c r="IH260" s="21"/>
      <c r="II260" s="19">
        <f t="shared" si="738"/>
        <v>1200</v>
      </c>
      <c r="IJ260" s="19">
        <f t="shared" si="739"/>
        <v>2226.7968732767699</v>
      </c>
      <c r="IK260" s="19">
        <f t="shared" si="740"/>
        <v>1786</v>
      </c>
      <c r="IL260" s="19">
        <f t="shared" si="762"/>
        <v>900</v>
      </c>
      <c r="IM260" s="19">
        <f t="shared" si="741"/>
        <v>743.07069730533203</v>
      </c>
      <c r="IN260" s="19">
        <f t="shared" si="742"/>
        <v>-35</v>
      </c>
      <c r="IO260" s="39">
        <f t="shared" si="743"/>
        <v>0</v>
      </c>
      <c r="IP260" s="39">
        <f t="shared" si="744"/>
        <v>0</v>
      </c>
      <c r="IQ260" s="39">
        <f t="shared" si="745"/>
        <v>0</v>
      </c>
      <c r="IR260" s="39">
        <v>0</v>
      </c>
      <c r="IS260" s="39">
        <v>0</v>
      </c>
      <c r="IT260" s="39">
        <v>0</v>
      </c>
      <c r="IU260" s="39">
        <v>0</v>
      </c>
      <c r="IV260" s="39">
        <v>0</v>
      </c>
      <c r="IW260" s="39">
        <v>0</v>
      </c>
      <c r="IX260" s="39">
        <f>INDEX(Input!$1:$1048576,IX$93,$C260*2+6)+INDEX(Input!$1:$1048576,IX$94,$C260*2+6)</f>
        <v>1600</v>
      </c>
      <c r="IY260" s="39">
        <f>INDEX(Input!$1:$1048576,IY$93,$C260*2+6)+INDEX(Input!$1:$1048576,IY$94,$C260*2+6)</f>
        <v>2503.5492916397525</v>
      </c>
      <c r="IZ260" s="39">
        <f>INDEX(Input!$1:$1048576,IZ$93,$C260*2+6)+INDEX(Input!$1:$1048576,IZ$94,$C260*2+6)</f>
        <v>5773.7109265464023</v>
      </c>
      <c r="JA260" s="19">
        <f t="shared" si="763"/>
        <v>2500</v>
      </c>
      <c r="JB260" s="19">
        <f t="shared" si="764"/>
        <v>3246.6199889450845</v>
      </c>
      <c r="JC260" s="19">
        <f t="shared" si="765"/>
        <v>5738.7109265464023</v>
      </c>
      <c r="JD260" s="19">
        <f t="shared" si="766"/>
        <v>3673.3757979129527</v>
      </c>
      <c r="JE260" s="21"/>
      <c r="JF260" s="1">
        <f t="shared" si="746"/>
        <v>8.5237567437015646E-2</v>
      </c>
      <c r="JG260" s="15">
        <f>INDEX(Input!$1:$1048576,JG$93,$C260*2+6)/(1+VLOOKUP(C260*1000+INDEX(Input!$1:$1048576,JG$93+1,$C260*2+6),$A:$KK,$JK$92,FALSE))</f>
        <v>1601</v>
      </c>
      <c r="JH260" s="1">
        <f t="shared" si="767"/>
        <v>7.7305863829715729E-2</v>
      </c>
      <c r="JI260" s="1">
        <f t="shared" si="768"/>
        <v>2.9033113171319555E-2</v>
      </c>
      <c r="JJ260" s="1">
        <f t="shared" si="828"/>
        <v>0</v>
      </c>
      <c r="JK260" s="1">
        <f t="shared" si="829"/>
        <v>0.10633897700103528</v>
      </c>
      <c r="JL260" s="15">
        <f t="shared" si="771"/>
        <v>170.24870217865748</v>
      </c>
      <c r="JM260" s="15">
        <f t="shared" si="795"/>
        <v>1771.2487021786574</v>
      </c>
      <c r="JN260" s="21"/>
      <c r="JO260" s="19">
        <f>INDEX(Input!$1:$1048576,JO$93,$C260*2+6)</f>
        <v>5908.5</v>
      </c>
      <c r="JP260" s="19">
        <f>INDEX(Input!$1:$1048576,JP$93,$C260*2+6)</f>
        <v>3346.4235130620518</v>
      </c>
      <c r="JQ260" s="39">
        <f t="shared" si="781"/>
        <v>2235.1242020870473</v>
      </c>
      <c r="JR260" s="39">
        <f t="shared" si="798"/>
        <v>326.95228485090092</v>
      </c>
      <c r="JS260" s="39">
        <f t="shared" si="783"/>
        <v>6.5064621146678077</v>
      </c>
      <c r="JT260" s="39">
        <f t="shared" si="773"/>
        <v>1.148838070255463</v>
      </c>
      <c r="JU260" s="385">
        <f>(JQ260*JM260-INDEX(Input!$1:$1048576,Input!A$18,$C260*2+6)*JL260*INDEX(Input!$1:$1048576,Input!A$19,$C260*2+6))/1000000</f>
        <v>3.9589608421547897</v>
      </c>
      <c r="JV260" s="39">
        <f t="shared" si="805"/>
        <v>-0.14292361343286508</v>
      </c>
      <c r="JW260" s="1">
        <f t="shared" si="796"/>
        <v>-3.4843403070062631E-2</v>
      </c>
      <c r="JX260" s="19">
        <f t="shared" si="787"/>
        <v>6747.9989894424134</v>
      </c>
      <c r="JZ260" s="341"/>
      <c r="KA260" s="342"/>
      <c r="KB260" s="469">
        <f t="shared" si="784"/>
        <v>2.4482969984810516</v>
      </c>
      <c r="KI260" s="473">
        <f t="shared" si="853"/>
        <v>142.86170393558189</v>
      </c>
      <c r="KJ260" s="473">
        <f t="shared" si="854"/>
        <v>80.994713036907342</v>
      </c>
      <c r="KK260" s="473">
        <f t="shared" si="775"/>
        <v>-53.60771479383186</v>
      </c>
      <c r="KN260" s="544">
        <f t="shared" si="788"/>
        <v>2002</v>
      </c>
      <c r="KO260" s="541">
        <f t="shared" si="750"/>
        <v>2.5171237693994764E-2</v>
      </c>
      <c r="KP260" s="546">
        <f t="shared" si="751"/>
        <v>201.50943511547399</v>
      </c>
      <c r="KQ260" s="546">
        <f t="shared" si="752"/>
        <v>-52.227777043585775</v>
      </c>
      <c r="KR260" s="548">
        <f t="shared" si="753"/>
        <v>1.9947923183549821</v>
      </c>
      <c r="KS260" s="548">
        <f t="shared" si="754"/>
        <v>-7.6964691204249922</v>
      </c>
      <c r="KT260" s="473">
        <f t="shared" si="786"/>
        <v>528.59039248727379</v>
      </c>
      <c r="KU260" s="663">
        <f t="shared" si="776"/>
        <v>12.604486435529671</v>
      </c>
      <c r="KV260" s="117"/>
    </row>
    <row r="261" spans="1:308" s="26" customFormat="1" ht="15" outlineLevel="1">
      <c r="A261" s="561">
        <f t="shared" si="755"/>
        <v>2061</v>
      </c>
      <c r="B261" s="561">
        <f t="shared" si="777"/>
        <v>61</v>
      </c>
      <c r="C261" s="561">
        <f t="shared" si="857"/>
        <v>2</v>
      </c>
      <c r="D261" s="561" t="str">
        <f t="shared" si="859"/>
        <v xml:space="preserve">750 CC, 0/0/0.9/3.9, -360 Lease, </v>
      </c>
      <c r="E261" s="475">
        <f>INDEX(Input!$1:$1048576,E$93,$C261*2+MIN($B261,2)+5)
+INDEX(Scenarios!E$121:E$200,MATCH($B261,Scenarios!$B$121:$B$200,0))</f>
        <v>2000</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8.9999999999999993E-3</v>
      </c>
      <c r="W261" s="863">
        <f>IFERROR(MAX(0,INDEX(Input!$1:$1048576,W$93,$C261*2+MIN($B261,2)+5)-0%,),"Market")</f>
        <v>3.9E-2</v>
      </c>
      <c r="X261" s="476" t="str">
        <f>INDEX(Input!$1:$1048576,X$93,$C261*2+MIN($B261,2)+5)</f>
        <v>Y</v>
      </c>
      <c r="Y261" s="475">
        <f>INDEX(Input!$1:$1048576,Y$93,$C261*2+MIN($B261,2)+5)
++INDEX(Scenarios!Y$121:Y$200,MATCH($B261,Scenarios!$B$121:$B$200,0))</f>
        <v>998</v>
      </c>
      <c r="Z261" s="477">
        <f>INDEX(Input!$1:$1048576,Z$93,$C261*2+MIN($B261,2)+5)
+INDEX(Scenarios!Z$121:Z$200,MATCH($B261,Scenarios!$B$121:$B$200,0))</f>
        <v>0</v>
      </c>
      <c r="AA261" s="475">
        <f>INDEX(Input!$1:$1048576,AA$93,$C261*2+MIN($B261,2)+5)</f>
        <v>0</v>
      </c>
      <c r="AB261" s="476">
        <f>INDEX(Input!$1:$1048576,AB$93,$C261*2+MIN($B261,2)+5)</f>
        <v>1</v>
      </c>
      <c r="AC261" s="475">
        <f>INDEX(Input!$1:$1048576,AC$93,$C261*2+MIN($B261,2)+5)
+INDEX(Scenarios!AC$121:AC$200,MATCH($B261,Scenarios!$B$121:$B$200,0))</f>
        <v>0</v>
      </c>
      <c r="AD261" s="476">
        <f>INDEX(Input!$1:$1048576,AD$93,$C261*2+MIN($B261,2)+5)</f>
        <v>0.35</v>
      </c>
      <c r="AE261" s="475">
        <f>INDEX(Input!$1:$1048576,AE$93,$C261*2+MIN($B261,2)+5)
+INDEX(Scenarios!AE$121:AE$200,MATCH($B261,Scenarios!$B$121:$B$200,0))</f>
        <v>0</v>
      </c>
      <c r="AF261" s="476">
        <f>INDEX(Input!$1:$1048576,AF$93,$C261*2+MIN($B261,2)+5)</f>
        <v>1</v>
      </c>
      <c r="AG261" s="475">
        <f>INDEX(Input!$1:$1048576,AG$93,$C261*2+MIN($B261,2)+5)
+INDEX(Scenarios!AG$121:AG$200,MATCH($B261,Scenarios!$B$121:$B$200,0))</f>
        <v>0</v>
      </c>
      <c r="AH261" s="476">
        <f>INDEX(Input!$1:$1048576,AH$93,$C261*2+MIN($B261,2)+5)</f>
        <v>1</v>
      </c>
      <c r="AI261" s="475">
        <f>INDEX(Input!$1:$1048576,AI$93,$C261*2+MIN($B261,2)+5)
+INDEX(Scenarios!AI$121:AI$200,MATCH($B261,Scenarios!$B$121:$B$200,0))</f>
        <v>0</v>
      </c>
      <c r="AJ261" s="476">
        <f>INDEX(Input!$1:$1048576,AJ$93,$C261*2+MIN($B261,2)+5)</f>
        <v>0.35</v>
      </c>
      <c r="AK261" s="150">
        <f>ROUND(INDEX(Input!$1:$1048576,AK$93,$C260*2+MIN($B261,1)+5)+(Y261-VLOOKUP($C261*1000+1,$A:$HH,Y$92,FALSE)),0)</f>
        <v>4622</v>
      </c>
      <c r="AL261" s="150">
        <f>ROUND(INDEX(Input!$1:$1048576,AL$93,$C260*2+MIN($B261,1)+5)-(Y261-VLOOKUP($C261*1000+1,$A:$HH,Y$92,FALSE))/36,0)</f>
        <v>5112</v>
      </c>
      <c r="AM261" s="32" t="str">
        <f t="shared" si="756"/>
        <v>std/std/std/std</v>
      </c>
      <c r="AN261" s="32" t="str">
        <f t="shared" si="757"/>
        <v>$0 + 0/0/0/0.9/3.9</v>
      </c>
      <c r="AO261" s="32" t="str">
        <f t="shared" si="758"/>
        <v>0/0/0/0.9/3.9</v>
      </c>
      <c r="AP261" s="32" t="str">
        <f t="shared" si="831"/>
        <v>0/0/0.9/3.9</v>
      </c>
      <c r="AQ261" s="536">
        <f t="shared" si="830"/>
        <v>0.41311504033302698</v>
      </c>
      <c r="AR261" s="32"/>
      <c r="AS261" s="302"/>
      <c r="AT261" s="3">
        <f t="shared" si="810"/>
        <v>61</v>
      </c>
      <c r="AU261" s="41" t="s">
        <v>121</v>
      </c>
      <c r="AV261" s="41" t="s">
        <v>116</v>
      </c>
      <c r="AW261" s="41" t="str">
        <f>INDEX(Input!$1:$1048576,AW$93,$C261*2+6)</f>
        <v>Kia</v>
      </c>
      <c r="AX261" s="41" t="str">
        <f>INDEX(Input!$1:$1048576,AX$93,$C261*2+6)</f>
        <v>Kia-LR - L2</v>
      </c>
      <c r="AY261" s="41" t="str">
        <f>IF(LEN(D261)=0,"",INDEX(Input!$1:$1048576,AY$93,$C261*2+6))</f>
        <v>Compact Conventional/Sporty Car (43)</v>
      </c>
      <c r="AZ261" s="41" t="str">
        <f>INDEX(Input!$1:$1048576,AZ$93,$C261*2+6)</f>
        <v>Kia Forte</v>
      </c>
      <c r="BA261" s="3">
        <f>INDEX(Input!$1:$1048576,BA$93,$C261*2+6)</f>
        <v>2020</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19695</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832"/>
        <v>2000</v>
      </c>
      <c r="CJ261" s="16" t="str">
        <f>INDEX(Input!$1:$1048576,CJ$93,$C261*2+6)</f>
        <v>N</v>
      </c>
      <c r="CK261" s="1" t="str">
        <f t="shared" si="833"/>
        <v>Market</v>
      </c>
      <c r="CL261" s="1" t="str">
        <f t="shared" si="834"/>
        <v>Market</v>
      </c>
      <c r="CM261" s="1" t="str">
        <f t="shared" si="835"/>
        <v>Market</v>
      </c>
      <c r="CN261" s="1" t="str">
        <f t="shared" si="836"/>
        <v>Market</v>
      </c>
      <c r="CO261" s="1" t="str">
        <f t="shared" si="837"/>
        <v>Market</v>
      </c>
      <c r="CP261" s="304">
        <f t="shared" si="838"/>
        <v>0</v>
      </c>
      <c r="CQ261" s="1">
        <f t="shared" si="839"/>
        <v>0</v>
      </c>
      <c r="CR261" s="1">
        <f t="shared" si="840"/>
        <v>0</v>
      </c>
      <c r="CS261" s="1">
        <f t="shared" si="841"/>
        <v>0</v>
      </c>
      <c r="CT261" s="1">
        <f t="shared" si="842"/>
        <v>8.9999999999999993E-3</v>
      </c>
      <c r="CU261" s="1">
        <f t="shared" si="843"/>
        <v>3.9E-2</v>
      </c>
      <c r="CV261" s="304">
        <f t="shared" si="844"/>
        <v>998</v>
      </c>
      <c r="CW261" s="20" t="s">
        <v>122</v>
      </c>
      <c r="CX261" s="20" t="s">
        <v>122</v>
      </c>
      <c r="CY261" s="20" t="s">
        <v>122</v>
      </c>
      <c r="CZ261" s="20" t="s">
        <v>122</v>
      </c>
      <c r="DA261" s="20" t="s">
        <v>122</v>
      </c>
      <c r="DB261" s="503">
        <f t="shared" si="845"/>
        <v>0</v>
      </c>
      <c r="DC261" s="127">
        <v>0</v>
      </c>
      <c r="DD261" s="127">
        <v>0</v>
      </c>
      <c r="DE261" s="127">
        <v>0</v>
      </c>
      <c r="DF261" s="127">
        <v>0</v>
      </c>
      <c r="DG261" s="127">
        <v>0</v>
      </c>
      <c r="DH261" s="127">
        <v>0</v>
      </c>
      <c r="DI261" s="127">
        <v>0</v>
      </c>
      <c r="DJ261" s="127">
        <v>0</v>
      </c>
      <c r="DK261" s="127">
        <v>0</v>
      </c>
      <c r="DL261" s="127">
        <v>0</v>
      </c>
      <c r="DM261" s="304">
        <f>INDEX(Input!$1:$1048576,DM$93,$C261*2+6)</f>
        <v>20731.578947368424</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3.1420623289737479E-2</v>
      </c>
      <c r="DZ261" s="7">
        <v>0</v>
      </c>
      <c r="EA261" s="7">
        <v>0.63348925185021288</v>
      </c>
      <c r="EB261" s="7">
        <v>0</v>
      </c>
      <c r="EC261" s="7">
        <v>0</v>
      </c>
      <c r="ED261" s="7">
        <v>0</v>
      </c>
      <c r="EE261" s="7">
        <v>0</v>
      </c>
      <c r="EF261" s="7">
        <v>0</v>
      </c>
      <c r="EG261" s="7">
        <v>0</v>
      </c>
      <c r="EH261" s="7">
        <v>1.1584344863921356E-2</v>
      </c>
      <c r="EI261" s="7">
        <v>1.8932434913131596E-2</v>
      </c>
      <c r="EJ261" s="7">
        <v>0.18994105779647155</v>
      </c>
      <c r="EK261" s="7">
        <v>0.74530149222817443</v>
      </c>
      <c r="EL261" s="7">
        <v>3.4240670198300342E-2</v>
      </c>
      <c r="EM261" s="7">
        <v>4.5644068989534388E-2</v>
      </c>
      <c r="EN261" s="7">
        <v>4.8886265655093034E-2</v>
      </c>
      <c r="EO261" s="7">
        <v>0.5625838862484398</v>
      </c>
      <c r="EP261" s="7">
        <v>0.2843968796227781</v>
      </c>
      <c r="EQ261" s="7">
        <v>6.4846117879307205E-2</v>
      </c>
      <c r="ER261" s="7">
        <v>3.9286850594381563E-2</v>
      </c>
      <c r="ES261" s="7">
        <v>0.28944605587051536</v>
      </c>
      <c r="ET261" s="7">
        <v>0.33509012486004963</v>
      </c>
      <c r="EU261" s="6">
        <v>2350</v>
      </c>
      <c r="EV261" s="6">
        <v>0</v>
      </c>
      <c r="EW261" s="6">
        <v>2350</v>
      </c>
      <c r="EX261" s="6">
        <v>0</v>
      </c>
      <c r="EY261" s="6">
        <v>2969.8493433298254</v>
      </c>
      <c r="EZ261" s="6">
        <v>1751</v>
      </c>
      <c r="FA261" s="6">
        <v>0</v>
      </c>
      <c r="FB261" s="6">
        <v>0</v>
      </c>
      <c r="FC261" s="6">
        <v>0</v>
      </c>
      <c r="FD261" s="6">
        <v>0</v>
      </c>
      <c r="FE261" s="6">
        <v>0</v>
      </c>
      <c r="FF261" s="6">
        <v>0</v>
      </c>
      <c r="FG261" s="6">
        <v>0</v>
      </c>
      <c r="FH261" s="6">
        <v>1154.7763535544286</v>
      </c>
      <c r="FI261" s="6">
        <v>1531.4299904380623</v>
      </c>
      <c r="FJ261" s="6">
        <v>2070.7205842538206</v>
      </c>
      <c r="FK261" s="6">
        <v>2218.639369850102</v>
      </c>
      <c r="FL261" s="6">
        <v>893.91433563489409</v>
      </c>
      <c r="FM261" s="6">
        <v>2119.8493433298254</v>
      </c>
      <c r="FN261" s="6">
        <v>0</v>
      </c>
      <c r="FO261" s="6">
        <v>0</v>
      </c>
      <c r="FP261" s="6">
        <v>0</v>
      </c>
      <c r="FQ261" s="6">
        <v>0</v>
      </c>
      <c r="FR261" s="6">
        <v>0</v>
      </c>
      <c r="FS261" s="6">
        <v>0</v>
      </c>
      <c r="FT261" s="7">
        <v>0.66490987513995037</v>
      </c>
      <c r="FU261" s="7">
        <v>4.5644068989534388E-2</v>
      </c>
      <c r="FV261" s="7">
        <v>0.28944605587051536</v>
      </c>
      <c r="FW261" s="6">
        <v>2350</v>
      </c>
      <c r="FX261" s="6">
        <v>2969.8493433298254</v>
      </c>
      <c r="FY261" s="6">
        <v>1751</v>
      </c>
      <c r="FZ261" s="6">
        <v>2594.6978186474794</v>
      </c>
      <c r="GA261" s="6">
        <v>2204.9142587236256</v>
      </c>
      <c r="GB261" s="6">
        <v>17490.085741276373</v>
      </c>
      <c r="GC261" s="7">
        <v>9.6947029492584935E-2</v>
      </c>
      <c r="GD261" s="7">
        <v>9.3665663272684149E-2</v>
      </c>
      <c r="GE261" s="7"/>
      <c r="GF261" s="7"/>
      <c r="GG261" s="7">
        <v>-3.3847001162132191E-2</v>
      </c>
      <c r="GH261" s="42">
        <v>1.7102226887619902</v>
      </c>
      <c r="GI261" s="6">
        <v>13720.958414503695</v>
      </c>
      <c r="GJ261" s="14">
        <v>0.51074630601039561</v>
      </c>
      <c r="GK261" s="14">
        <v>0.50829519786160915</v>
      </c>
      <c r="GL261" s="14">
        <v>0.48925369398960428</v>
      </c>
      <c r="GM261" s="14">
        <v>0.49170480213839041</v>
      </c>
      <c r="GO261" s="5">
        <v>338.16872463277008</v>
      </c>
      <c r="GP261" s="5">
        <v>293.33520778489498</v>
      </c>
      <c r="GQ261" s="5">
        <v>527.27910984145694</v>
      </c>
      <c r="GR261" s="5">
        <v>404.20319246551543</v>
      </c>
      <c r="GS261" s="5">
        <v>334.50205195691484</v>
      </c>
      <c r="GT261" s="5">
        <v>289.18266033348181</v>
      </c>
      <c r="GU261" s="5">
        <v>254.29573314828914</v>
      </c>
      <c r="GV261" s="39" t="s">
        <v>392</v>
      </c>
      <c r="GW261" s="5">
        <v>468.76388888888891</v>
      </c>
      <c r="GX261" s="5">
        <v>351.57291666666669</v>
      </c>
      <c r="GY261" s="5">
        <v>281.25833333333333</v>
      </c>
      <c r="GZ261" s="5">
        <v>240.8550698915011</v>
      </c>
      <c r="HA261" s="5">
        <v>229.89195052129486</v>
      </c>
      <c r="HB261" s="39">
        <v>252.89025671795989</v>
      </c>
      <c r="HC261" s="5">
        <v>206.50937499999998</v>
      </c>
      <c r="HD261" s="5">
        <v>184.03879751461983</v>
      </c>
      <c r="HE261" s="5">
        <v>188.92093033063426</v>
      </c>
      <c r="HF261" s="5">
        <v>177.21129934210524</v>
      </c>
      <c r="HG261" s="5">
        <v>174.01410087719296</v>
      </c>
      <c r="HH261" s="39">
        <v>185.68918796340768</v>
      </c>
      <c r="HI261" s="16"/>
      <c r="HJ261" s="19" t="str">
        <f t="shared" si="858"/>
        <v>On</v>
      </c>
      <c r="HK261" s="1" t="str">
        <f t="shared" si="858"/>
        <v>On</v>
      </c>
      <c r="HL261" s="16"/>
      <c r="HM261" s="639">
        <f t="shared" si="727"/>
        <v>5.0961701597560354E-2</v>
      </c>
      <c r="HN261" s="639">
        <f t="shared" si="728"/>
        <v>3.112551654761847E-3</v>
      </c>
      <c r="HO261" s="639">
        <f t="shared" si="729"/>
        <v>3.1163314184693442E-2</v>
      </c>
      <c r="HP261" s="644">
        <f>(FT261*$GD261-HM261)/$JF261*INDEX(Input!$1:$1048576,$JG$93,$C261*2+6)</f>
        <v>212.57474451780874</v>
      </c>
      <c r="HQ261" s="644">
        <f>(FU261*$GD261-HN261)/$JF261*INDEX(Input!$1:$1048576,$JG$93,$C261*2+6)</f>
        <v>21.839328982357642</v>
      </c>
      <c r="HR261" s="644">
        <f>(FV261*$GD261-HO261)/$JF261*INDEX(Input!$1:$1048576,$JG$93,$C261*2+6)</f>
        <v>-76.110852999699674</v>
      </c>
      <c r="HS261" s="644">
        <f t="shared" si="851"/>
        <v>-23.657596240737938</v>
      </c>
      <c r="HT261" s="644">
        <f t="shared" si="731"/>
        <v>53.899450829400578</v>
      </c>
      <c r="HU261" s="644">
        <f t="shared" si="732"/>
        <v>11.205504404108705</v>
      </c>
      <c r="HV261" s="648">
        <f t="shared" si="733"/>
        <v>0</v>
      </c>
      <c r="HW261" s="648">
        <f t="shared" si="734"/>
        <v>0</v>
      </c>
      <c r="HX261" s="648">
        <f t="shared" si="735"/>
        <v>0</v>
      </c>
      <c r="HY261" s="644">
        <f>INDEX(Input!$1:$1048576,HY$93,$C261*2+6)*INDEX(Input!$1:$1048576,$JG$93,$C261*2+6)</f>
        <v>555</v>
      </c>
      <c r="HZ261" s="644">
        <f>INDEX(Input!$1:$1048576,HZ$93,$C261*2+6)*INDEX(Input!$1:$1048576,$JG$93,$C261*2+6)</f>
        <v>480</v>
      </c>
      <c r="IA261" s="644">
        <f>INDEX(Input!$1:$1048576,IA$93,$C261*2+6)*INDEX(Input!$1:$1048576,$JG$93,$C261*2+6)</f>
        <v>566</v>
      </c>
      <c r="IB261" s="644">
        <f t="shared" si="759"/>
        <v>743.91714827707074</v>
      </c>
      <c r="IC261" s="644">
        <f t="shared" si="760"/>
        <v>555.73877981175826</v>
      </c>
      <c r="ID261" s="644">
        <f>IF(AND(INDEX(Input!$1:$1048576,IA$93,$C261*2+7)="TOS",Y261&lt;=INDEX(Y:Y,MATCH(C261*1000+2,A:A))),0,1)*MAX(IA261+HR261+HU261+HX261,0%)</f>
        <v>501.09465140440903</v>
      </c>
      <c r="IE261" s="128">
        <f t="shared" si="856"/>
        <v>0.41311504033302698</v>
      </c>
      <c r="IF261" s="128">
        <f t="shared" si="736"/>
        <v>0.3086150775906748</v>
      </c>
      <c r="IG261" s="128">
        <f t="shared" si="737"/>
        <v>0.27826988207629821</v>
      </c>
      <c r="IH261" s="21"/>
      <c r="II261" s="19">
        <f t="shared" si="738"/>
        <v>1200</v>
      </c>
      <c r="IJ261" s="19">
        <f t="shared" si="739"/>
        <v>2226.7968732767699</v>
      </c>
      <c r="IK261" s="19">
        <f t="shared" si="740"/>
        <v>1786</v>
      </c>
      <c r="IL261" s="19">
        <f t="shared" si="762"/>
        <v>1150</v>
      </c>
      <c r="IM261" s="19">
        <f t="shared" si="741"/>
        <v>743.05247005305546</v>
      </c>
      <c r="IN261" s="19">
        <f t="shared" si="742"/>
        <v>-35</v>
      </c>
      <c r="IO261" s="39">
        <f t="shared" si="743"/>
        <v>0</v>
      </c>
      <c r="IP261" s="39">
        <f t="shared" si="744"/>
        <v>0</v>
      </c>
      <c r="IQ261" s="39">
        <f t="shared" si="745"/>
        <v>0</v>
      </c>
      <c r="IR261" s="39">
        <v>0</v>
      </c>
      <c r="IS261" s="39">
        <v>0</v>
      </c>
      <c r="IT261" s="39">
        <v>0</v>
      </c>
      <c r="IU261" s="39">
        <v>0</v>
      </c>
      <c r="IV261" s="39">
        <v>0</v>
      </c>
      <c r="IW261" s="39">
        <v>0</v>
      </c>
      <c r="IX261" s="39">
        <f>INDEX(Input!$1:$1048576,IX$93,$C261*2+6)+INDEX(Input!$1:$1048576,IX$94,$C261*2+6)</f>
        <v>1600</v>
      </c>
      <c r="IY261" s="39">
        <f>INDEX(Input!$1:$1048576,IY$93,$C261*2+6)+INDEX(Input!$1:$1048576,IY$94,$C261*2+6)</f>
        <v>2503.5492916397525</v>
      </c>
      <c r="IZ261" s="39">
        <f>INDEX(Input!$1:$1048576,IZ$93,$C261*2+6)+INDEX(Input!$1:$1048576,IZ$94,$C261*2+6)</f>
        <v>5773.7109265464023</v>
      </c>
      <c r="JA261" s="19">
        <f t="shared" si="763"/>
        <v>2750</v>
      </c>
      <c r="JB261" s="19">
        <f t="shared" si="764"/>
        <v>3246.6017616928079</v>
      </c>
      <c r="JC261" s="19">
        <f t="shared" si="765"/>
        <v>5738.7109265464023</v>
      </c>
      <c r="JD261" s="19">
        <f t="shared" si="766"/>
        <v>3734.9270283067035</v>
      </c>
      <c r="JE261" s="21"/>
      <c r="JF261" s="1">
        <f t="shared" si="746"/>
        <v>8.5237567437015646E-2</v>
      </c>
      <c r="JG261" s="15">
        <f>INDEX(Input!$1:$1048576,JG$93,$C261*2+6)/(1+VLOOKUP(C261*1000+INDEX(Input!$1:$1048576,JG$93+1,$C261*2+6),$A:$KK,$JK$92,FALSE))</f>
        <v>1601</v>
      </c>
      <c r="JH261" s="1">
        <f t="shared" si="767"/>
        <v>9.8877714241390816E-2</v>
      </c>
      <c r="JI261" s="1">
        <f t="shared" si="768"/>
        <v>2.5888419108539253E-2</v>
      </c>
      <c r="JJ261" s="1">
        <f t="shared" si="828"/>
        <v>0</v>
      </c>
      <c r="JK261" s="1">
        <f t="shared" si="829"/>
        <v>0.12476613334993007</v>
      </c>
      <c r="JL261" s="15">
        <f t="shared" si="771"/>
        <v>199.75057949323804</v>
      </c>
      <c r="JM261" s="15">
        <f t="shared" si="795"/>
        <v>1800.7505794932381</v>
      </c>
      <c r="JN261" s="21"/>
      <c r="JO261" s="19">
        <f>INDEX(Input!$1:$1048576,JO$93,$C261*2+6)</f>
        <v>5908.5</v>
      </c>
      <c r="JP261" s="19">
        <f>INDEX(Input!$1:$1048576,JP$93,$C261*2+6)</f>
        <v>3346.4235130620518</v>
      </c>
      <c r="JQ261" s="39">
        <f t="shared" si="781"/>
        <v>2173.5729716932965</v>
      </c>
      <c r="JR261" s="39">
        <f t="shared" si="798"/>
        <v>388.50351524465168</v>
      </c>
      <c r="JS261" s="39">
        <f t="shared" si="783"/>
        <v>6.7256720105882541</v>
      </c>
      <c r="JT261" s="39">
        <f t="shared" si="773"/>
        <v>1.3680479661759091</v>
      </c>
      <c r="JU261" s="385">
        <f>(JQ261*JM261-INDEX(Input!$1:$1048576,Input!A$18,$C261*2+6)*JL261*INDEX(Input!$1:$1048576,Input!A$19,$C261*2+6))/1000000</f>
        <v>3.9140627883475432</v>
      </c>
      <c r="JV261" s="39">
        <f t="shared" si="805"/>
        <v>-0.18782166724011162</v>
      </c>
      <c r="JW261" s="1">
        <f t="shared" si="796"/>
        <v>-4.5789116995789053E-2</v>
      </c>
      <c r="JX261" s="19">
        <f t="shared" si="787"/>
        <v>6848.7809629719759</v>
      </c>
      <c r="JZ261" s="341"/>
      <c r="KA261" s="342"/>
      <c r="KB261" s="469">
        <f t="shared" si="784"/>
        <v>2.4482969984810516</v>
      </c>
      <c r="KI261" s="473">
        <f t="shared" si="853"/>
        <v>188.91714827707074</v>
      </c>
      <c r="KJ261" s="473">
        <f t="shared" si="854"/>
        <v>75.738779811758263</v>
      </c>
      <c r="KK261" s="473">
        <f t="shared" si="775"/>
        <v>-64.905348595590965</v>
      </c>
      <c r="KN261" s="544">
        <f t="shared" si="788"/>
        <v>2002</v>
      </c>
      <c r="KO261" s="541">
        <f t="shared" si="750"/>
        <v>4.2246466058980525E-2</v>
      </c>
      <c r="KP261" s="546">
        <f t="shared" si="751"/>
        <v>315.52635330866809</v>
      </c>
      <c r="KQ261" s="546">
        <f t="shared" si="752"/>
        <v>9.3234533501649821</v>
      </c>
      <c r="KR261" s="548">
        <f t="shared" si="753"/>
        <v>2.138175011305687</v>
      </c>
      <c r="KS261" s="548">
        <f t="shared" si="754"/>
        <v>72.360587725905802</v>
      </c>
      <c r="KT261" s="473">
        <f t="shared" si="786"/>
        <v>528.59039248727379</v>
      </c>
      <c r="KU261" s="663">
        <f t="shared" si="776"/>
        <v>12.691077206520111</v>
      </c>
      <c r="KV261" s="117"/>
    </row>
    <row r="262" spans="1:308" s="26" customFormat="1" ht="15" outlineLevel="1">
      <c r="A262" s="561">
        <f t="shared" si="755"/>
        <v>2062</v>
      </c>
      <c r="B262" s="561">
        <f t="shared" si="777"/>
        <v>62</v>
      </c>
      <c r="C262" s="561">
        <f t="shared" si="857"/>
        <v>2</v>
      </c>
      <c r="D262" s="561" t="str">
        <f t="shared" si="859"/>
        <v xml:space="preserve">1000 CC, 0/0/0.9/3.9, -360 Lease, </v>
      </c>
      <c r="E262" s="475">
        <f>INDEX(Input!$1:$1048576,E$93,$C262*2+MIN($B262,2)+5)
+INDEX(Scenarios!E$121:E$200,MATCH($B262,Scenarios!$B$121:$B$200,0))</f>
        <v>2250</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8.9999999999999993E-3</v>
      </c>
      <c r="W262" s="863">
        <f>IFERROR(MAX(0,INDEX(Input!$1:$1048576,W$93,$C262*2+MIN($B262,2)+5)-0%,),"Market")</f>
        <v>3.9E-2</v>
      </c>
      <c r="X262" s="476" t="str">
        <f>INDEX(Input!$1:$1048576,X$93,$C262*2+MIN($B262,2)+5)</f>
        <v>Y</v>
      </c>
      <c r="Y262" s="475">
        <f>INDEX(Input!$1:$1048576,Y$93,$C262*2+MIN($B262,2)+5)
++INDEX(Scenarios!Y$121:Y$200,MATCH($B262,Scenarios!$B$121:$B$200,0))</f>
        <v>998</v>
      </c>
      <c r="Z262" s="477">
        <f>INDEX(Input!$1:$1048576,Z$93,$C262*2+MIN($B262,2)+5)
+INDEX(Scenarios!Z$121:Z$200,MATCH($B262,Scenarios!$B$121:$B$200,0))</f>
        <v>0</v>
      </c>
      <c r="AA262" s="475">
        <f>INDEX(Input!$1:$1048576,AA$93,$C262*2+MIN($B262,2)+5)</f>
        <v>0</v>
      </c>
      <c r="AB262" s="476">
        <f>INDEX(Input!$1:$1048576,AB$93,$C262*2+MIN($B262,2)+5)</f>
        <v>1</v>
      </c>
      <c r="AC262" s="475">
        <f>INDEX(Input!$1:$1048576,AC$93,$C262*2+MIN($B262,2)+5)
+INDEX(Scenarios!AC$121:AC$200,MATCH($B262,Scenarios!$B$121:$B$200,0))</f>
        <v>0</v>
      </c>
      <c r="AD262" s="476">
        <f>INDEX(Input!$1:$1048576,AD$93,$C262*2+MIN($B262,2)+5)</f>
        <v>0.35</v>
      </c>
      <c r="AE262" s="475">
        <f>INDEX(Input!$1:$1048576,AE$93,$C262*2+MIN($B262,2)+5)
+INDEX(Scenarios!AE$121:AE$200,MATCH($B262,Scenarios!$B$121:$B$200,0))</f>
        <v>0</v>
      </c>
      <c r="AF262" s="476">
        <f>INDEX(Input!$1:$1048576,AF$93,$C262*2+MIN($B262,2)+5)</f>
        <v>1</v>
      </c>
      <c r="AG262" s="475">
        <f>INDEX(Input!$1:$1048576,AG$93,$C262*2+MIN($B262,2)+5)
+INDEX(Scenarios!AG$121:AG$200,MATCH($B262,Scenarios!$B$121:$B$200,0))</f>
        <v>0</v>
      </c>
      <c r="AH262" s="476">
        <f>INDEX(Input!$1:$1048576,AH$93,$C262*2+MIN($B262,2)+5)</f>
        <v>1</v>
      </c>
      <c r="AI262" s="475">
        <f>INDEX(Input!$1:$1048576,AI$93,$C262*2+MIN($B262,2)+5)
+INDEX(Scenarios!AI$121:AI$200,MATCH($B262,Scenarios!$B$121:$B$200,0))</f>
        <v>0</v>
      </c>
      <c r="AJ262" s="476">
        <f>INDEX(Input!$1:$1048576,AJ$93,$C262*2+MIN($B262,2)+5)</f>
        <v>0.35</v>
      </c>
      <c r="AK262" s="150">
        <f>ROUND(INDEX(Input!$1:$1048576,AK$93,$C261*2+MIN($B262,1)+5)+(Y262-VLOOKUP($C262*1000+1,$A:$HH,Y$92,FALSE)),0)</f>
        <v>4622</v>
      </c>
      <c r="AL262" s="150">
        <f>ROUND(INDEX(Input!$1:$1048576,AL$93,$C261*2+MIN($B262,1)+5)-(Y262-VLOOKUP($C262*1000+1,$A:$HH,Y$92,FALSE))/36,0)</f>
        <v>5112</v>
      </c>
      <c r="AM262" s="32" t="str">
        <f t="shared" si="756"/>
        <v>std/std/std/std</v>
      </c>
      <c r="AN262" s="32" t="str">
        <f t="shared" si="757"/>
        <v>$0 + 0/0/0/0.9/3.9</v>
      </c>
      <c r="AO262" s="32" t="str">
        <f t="shared" si="758"/>
        <v>0/0/0/0.9/3.9</v>
      </c>
      <c r="AP262" s="32" t="str">
        <f t="shared" si="831"/>
        <v>0/0/0.9/3.9</v>
      </c>
      <c r="AQ262" s="536">
        <f t="shared" si="830"/>
        <v>0.43206385483823762</v>
      </c>
      <c r="AR262" s="32"/>
      <c r="AS262" s="302"/>
      <c r="AT262" s="3">
        <f t="shared" si="810"/>
        <v>62</v>
      </c>
      <c r="AU262" s="41" t="s">
        <v>121</v>
      </c>
      <c r="AV262" s="41" t="s">
        <v>116</v>
      </c>
      <c r="AW262" s="41" t="str">
        <f>INDEX(Input!$1:$1048576,AW$93,$C262*2+6)</f>
        <v>Kia</v>
      </c>
      <c r="AX262" s="41" t="str">
        <f>INDEX(Input!$1:$1048576,AX$93,$C262*2+6)</f>
        <v>Kia-LR - L2</v>
      </c>
      <c r="AY262" s="41" t="str">
        <f>IF(LEN(D262)=0,"",INDEX(Input!$1:$1048576,AY$93,$C262*2+6))</f>
        <v>Compact Conventional/Sporty Car (43)</v>
      </c>
      <c r="AZ262" s="41" t="str">
        <f>INDEX(Input!$1:$1048576,AZ$93,$C262*2+6)</f>
        <v>Kia Forte</v>
      </c>
      <c r="BA262" s="3">
        <f>INDEX(Input!$1:$1048576,BA$93,$C262*2+6)</f>
        <v>2020</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19695</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832"/>
        <v>2250</v>
      </c>
      <c r="CJ262" s="16" t="str">
        <f>INDEX(Input!$1:$1048576,CJ$93,$C262*2+6)</f>
        <v>N</v>
      </c>
      <c r="CK262" s="1" t="str">
        <f t="shared" si="833"/>
        <v>Market</v>
      </c>
      <c r="CL262" s="1" t="str">
        <f t="shared" si="834"/>
        <v>Market</v>
      </c>
      <c r="CM262" s="1" t="str">
        <f t="shared" si="835"/>
        <v>Market</v>
      </c>
      <c r="CN262" s="1" t="str">
        <f t="shared" si="836"/>
        <v>Market</v>
      </c>
      <c r="CO262" s="1" t="str">
        <f t="shared" si="837"/>
        <v>Market</v>
      </c>
      <c r="CP262" s="304">
        <f t="shared" si="838"/>
        <v>0</v>
      </c>
      <c r="CQ262" s="1">
        <f t="shared" si="839"/>
        <v>0</v>
      </c>
      <c r="CR262" s="1">
        <f t="shared" si="840"/>
        <v>0</v>
      </c>
      <c r="CS262" s="1">
        <f t="shared" si="841"/>
        <v>0</v>
      </c>
      <c r="CT262" s="1">
        <f t="shared" si="842"/>
        <v>8.9999999999999993E-3</v>
      </c>
      <c r="CU262" s="1">
        <f t="shared" si="843"/>
        <v>3.9E-2</v>
      </c>
      <c r="CV262" s="304">
        <f t="shared" si="844"/>
        <v>998</v>
      </c>
      <c r="CW262" s="20" t="s">
        <v>122</v>
      </c>
      <c r="CX262" s="20" t="s">
        <v>122</v>
      </c>
      <c r="CY262" s="20" t="s">
        <v>122</v>
      </c>
      <c r="CZ262" s="20" t="s">
        <v>122</v>
      </c>
      <c r="DA262" s="20" t="s">
        <v>122</v>
      </c>
      <c r="DB262" s="503">
        <f t="shared" si="845"/>
        <v>0</v>
      </c>
      <c r="DC262" s="127">
        <v>0</v>
      </c>
      <c r="DD262" s="127">
        <v>0</v>
      </c>
      <c r="DE262" s="127">
        <v>0</v>
      </c>
      <c r="DF262" s="127">
        <v>0</v>
      </c>
      <c r="DG262" s="127">
        <v>0</v>
      </c>
      <c r="DH262" s="127">
        <v>0</v>
      </c>
      <c r="DI262" s="127">
        <v>0</v>
      </c>
      <c r="DJ262" s="127">
        <v>0</v>
      </c>
      <c r="DK262" s="127">
        <v>0</v>
      </c>
      <c r="DL262" s="127">
        <v>0</v>
      </c>
      <c r="DM262" s="304">
        <f>INDEX(Input!$1:$1048576,DM$93,$C262*2+6)</f>
        <v>20731.578947368424</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3.229064182019991E-2</v>
      </c>
      <c r="DZ262" s="7">
        <v>0</v>
      </c>
      <c r="EA262" s="7">
        <v>0.64854695405625595</v>
      </c>
      <c r="EB262" s="7">
        <v>0</v>
      </c>
      <c r="EC262" s="7">
        <v>0</v>
      </c>
      <c r="ED262" s="7">
        <v>0</v>
      </c>
      <c r="EE262" s="7">
        <v>0</v>
      </c>
      <c r="EF262" s="7">
        <v>0</v>
      </c>
      <c r="EG262" s="7">
        <v>0</v>
      </c>
      <c r="EH262" s="7">
        <v>1.1588555978042677E-2</v>
      </c>
      <c r="EI262" s="7">
        <v>1.8940988402086814E-2</v>
      </c>
      <c r="EJ262" s="7">
        <v>0.18998996405125324</v>
      </c>
      <c r="EK262" s="7">
        <v>0.74523982838103586</v>
      </c>
      <c r="EL262" s="7">
        <v>3.4240663187580955E-2</v>
      </c>
      <c r="EM262" s="7">
        <v>4.3430417717064178E-2</v>
      </c>
      <c r="EN262" s="7">
        <v>4.8881821270453193E-2</v>
      </c>
      <c r="EO262" s="7">
        <v>0.5625639029050602</v>
      </c>
      <c r="EP262" s="7">
        <v>0.28441800423531177</v>
      </c>
      <c r="EQ262" s="7">
        <v>6.484070334653988E-2</v>
      </c>
      <c r="ER262" s="7">
        <v>3.9295568242634818E-2</v>
      </c>
      <c r="ES262" s="7">
        <v>0.27573198640647989</v>
      </c>
      <c r="ET262" s="7">
        <v>0.31916240412354419</v>
      </c>
      <c r="EU262" s="6">
        <v>2600</v>
      </c>
      <c r="EV262" s="6">
        <v>0</v>
      </c>
      <c r="EW262" s="6">
        <v>2600</v>
      </c>
      <c r="EX262" s="6">
        <v>0</v>
      </c>
      <c r="EY262" s="6">
        <v>2969.83174714917</v>
      </c>
      <c r="EZ262" s="6">
        <v>1751</v>
      </c>
      <c r="FA262" s="6">
        <v>0</v>
      </c>
      <c r="FB262" s="6">
        <v>0</v>
      </c>
      <c r="FC262" s="6">
        <v>0</v>
      </c>
      <c r="FD262" s="6">
        <v>0</v>
      </c>
      <c r="FE262" s="6">
        <v>0</v>
      </c>
      <c r="FF262" s="6">
        <v>0</v>
      </c>
      <c r="FG262" s="6">
        <v>0</v>
      </c>
      <c r="FH262" s="6">
        <v>1154.7752121085784</v>
      </c>
      <c r="FI262" s="6">
        <v>1531.4299904380628</v>
      </c>
      <c r="FJ262" s="6">
        <v>2070.7205842538233</v>
      </c>
      <c r="FK262" s="6">
        <v>2218.639369850102</v>
      </c>
      <c r="FL262" s="6">
        <v>893.91433563489363</v>
      </c>
      <c r="FM262" s="6">
        <v>2119.83174714917</v>
      </c>
      <c r="FN262" s="6">
        <v>0</v>
      </c>
      <c r="FO262" s="6">
        <v>0</v>
      </c>
      <c r="FP262" s="6">
        <v>0</v>
      </c>
      <c r="FQ262" s="6">
        <v>0</v>
      </c>
      <c r="FR262" s="6">
        <v>0</v>
      </c>
      <c r="FS262" s="6">
        <v>0</v>
      </c>
      <c r="FT262" s="7">
        <v>0.68083759587645587</v>
      </c>
      <c r="FU262" s="7">
        <v>4.3430417717064178E-2</v>
      </c>
      <c r="FV262" s="7">
        <v>0.27573198640647989</v>
      </c>
      <c r="FW262" s="6">
        <v>2600</v>
      </c>
      <c r="FX262" s="6">
        <v>2969.8317471491696</v>
      </c>
      <c r="FY262" s="6">
        <v>1751</v>
      </c>
      <c r="FZ262" s="6">
        <v>2594.6978186474794</v>
      </c>
      <c r="GA262" s="6">
        <v>2381.9654908046186</v>
      </c>
      <c r="GB262" s="6">
        <v>17313.034509195382</v>
      </c>
      <c r="GC262" s="7">
        <v>9.6947029492584935E-2</v>
      </c>
      <c r="GD262" s="7">
        <v>9.5582796046600207E-2</v>
      </c>
      <c r="GE262" s="7"/>
      <c r="GF262" s="7"/>
      <c r="GG262" s="7">
        <v>-1.407194684690233E-2</v>
      </c>
      <c r="GH262" s="42">
        <v>1.3027967867416086</v>
      </c>
      <c r="GI262" s="6">
        <v>17499.4421383013</v>
      </c>
      <c r="GJ262" s="14">
        <v>0.51074630601039561</v>
      </c>
      <c r="GK262" s="14">
        <v>0.50829519786160993</v>
      </c>
      <c r="GL262" s="14">
        <v>0.4892536939896045</v>
      </c>
      <c r="GM262" s="14">
        <v>0.49170480213839035</v>
      </c>
      <c r="GO262" s="5">
        <v>338.16872463277008</v>
      </c>
      <c r="GP262" s="5">
        <v>288.56568471597211</v>
      </c>
      <c r="GQ262" s="5">
        <v>527.27910984145694</v>
      </c>
      <c r="GR262" s="5">
        <v>404.20319246551543</v>
      </c>
      <c r="GS262" s="5">
        <v>334.50205195691484</v>
      </c>
      <c r="GT262" s="5">
        <v>289.18266033348181</v>
      </c>
      <c r="GU262" s="5">
        <v>254.29573314828914</v>
      </c>
      <c r="GV262" s="39" t="s">
        <v>392</v>
      </c>
      <c r="GW262" s="5">
        <v>468.76388888888891</v>
      </c>
      <c r="GX262" s="5">
        <v>351.57291666666669</v>
      </c>
      <c r="GY262" s="5">
        <v>281.25833333333333</v>
      </c>
      <c r="GZ262" s="5">
        <v>240.8550698915011</v>
      </c>
      <c r="HA262" s="5">
        <v>229.89195052129486</v>
      </c>
      <c r="HB262" s="39">
        <v>252.8941395410408</v>
      </c>
      <c r="HC262" s="5">
        <v>206.50937499999998</v>
      </c>
      <c r="HD262" s="5">
        <v>184.03879751461983</v>
      </c>
      <c r="HE262" s="5">
        <v>188.92093033063426</v>
      </c>
      <c r="HF262" s="5">
        <v>177.21129934210524</v>
      </c>
      <c r="HG262" s="5">
        <v>174.01410087719296</v>
      </c>
      <c r="HH262" s="39">
        <v>185.68914080461576</v>
      </c>
      <c r="HI262" s="16"/>
      <c r="HJ262" s="19" t="str">
        <f t="shared" ref="HJ262:HK262" si="860">HJ261</f>
        <v>On</v>
      </c>
      <c r="HK262" s="1" t="str">
        <f t="shared" si="860"/>
        <v>On</v>
      </c>
      <c r="HL262" s="16"/>
      <c r="HM262" s="639">
        <f t="shared" ref="HM262:HM281" si="861">VLOOKUP($C262*1000+1,$A:$HH,FT$92,FALSE)*$JF262</f>
        <v>5.0961701597560354E-2</v>
      </c>
      <c r="HN262" s="639">
        <f t="shared" ref="HN262:HN281" si="862">VLOOKUP($C262*1000+1,$A:$HH,FU$92,FALSE)*$JF262</f>
        <v>3.112551654761847E-3</v>
      </c>
      <c r="HO262" s="639">
        <f t="shared" ref="HO262:HO281" si="863">VLOOKUP($C262*1000+1,$A:$HH,FV$92,FALSE)*$JF262</f>
        <v>3.1163314184693442E-2</v>
      </c>
      <c r="HP262" s="644">
        <f>(FT262*$GD262-HM262)/$JF262*INDEX(Input!$1:$1048576,$JG$93,$C262*2+6)</f>
        <v>265.11279581152269</v>
      </c>
      <c r="HQ262" s="644">
        <f>(FU262*$GD262-HN262)/$JF262*INDEX(Input!$1:$1048576,$JG$93,$C262*2+6)</f>
        <v>19.508736179079403</v>
      </c>
      <c r="HR262" s="644">
        <f>(FV262*$GD262-HO262)/$JF262*INDEX(Input!$1:$1048576,$JG$93,$C262*2+6)</f>
        <v>-90.309194109966114</v>
      </c>
      <c r="HS262" s="644">
        <f t="shared" ref="HS262:HS268" si="864">IF(AND(HJ262="On",HK262="On"),IL262/1000*INDEX(KG:KG,MATCH(C262*1000+3,$KF:$KF,0))*SUM(HY262:IA262)*1.1
+INDEX(HR:HR,MATCH(C262*1000+4,$KF:$KF,0))/INDEX(IM:IM,MATCH(C262*1000+4,$KF:$KF,0))*IM262*20%,0)</f>
        <v>-28.690588604733154</v>
      </c>
      <c r="HT262" s="644">
        <f t="shared" ref="HT262:HT281" si="865">IF(AND(HJ262="On",HK262="On"),IM262/1000*INDEX(KG:KG,MATCH(C262*1000+4,$KF:$KF,0))*SUM(HY262:IA262)*1.1
+INDEX(HR:HR,MATCH(C262*1000+3,$KF:$KF,0))/INDEX(IL:IL,MATCH(C262*1000+3,$KF:$KF,0))*IL262*20%,0)</f>
        <v>50.984974387977758</v>
      </c>
      <c r="HU262" s="644">
        <f t="shared" ref="HU262:HU281" si="866">IF(HJ262="On",IN262/1000*INDEX(KG:KG,MATCH(C262*1000+5,$KF:$KF,0))*SUM(HY262:IA262)*1.1
-INDEX(HR:HR,MATCH(C262*1000+3,$KF:$KF,0))/INDEX(IL:IL,MATCH(C262*1000+3,$KF:$KF,0))*IL262*20%
-INDEX(HR:HR,MATCH(C262*1000+4,$KF:$KF,0))/INDEX(IM:IM,MATCH(C262*1000+4,$KF:$KF,0))*IM262*20%,0)</f>
        <v>14.11837517155374</v>
      </c>
      <c r="HV262" s="648">
        <f t="shared" ref="HV262:HV281" si="867">IL262/1000*0+IM262/1000*0+IN262/1000*0
+(CP262-INDEX(CP:CP,MATCH(C262*1000+1,A:A,0)))/1000*0+IF(FU262&gt;0,0,0)</f>
        <v>0</v>
      </c>
      <c r="HW262" s="648">
        <f t="shared" ref="HW262:HW281" si="868">IL262/1000*0+IM262/1000*0+IN262/1000*0
+(CP262-INDEX(CP:CP,MATCH(C262*1000+1,A:A,0)))/1000*0+IF(FU262&gt;0,0,0)</f>
        <v>0</v>
      </c>
      <c r="HX262" s="648">
        <f t="shared" ref="HX262:HX281" si="869">IL262/1000*0+IM262/1000*0+IN262/1000*0
+(CP262-INDEX(CP:CP,MATCH(C262*1000+1,A:A,0)))/1000*0+IF(FU262&gt;0,0,0)</f>
        <v>0</v>
      </c>
      <c r="HY262" s="644">
        <f>INDEX(Input!$1:$1048576,HY$93,$C262*2+6)*INDEX(Input!$1:$1048576,$JG$93,$C262*2+6)</f>
        <v>555</v>
      </c>
      <c r="HZ262" s="644">
        <f>INDEX(Input!$1:$1048576,HZ$93,$C262*2+6)*INDEX(Input!$1:$1048576,$JG$93,$C262*2+6)</f>
        <v>480</v>
      </c>
      <c r="IA262" s="644">
        <f>INDEX(Input!$1:$1048576,IA$93,$C262*2+6)*INDEX(Input!$1:$1048576,$JG$93,$C262*2+6)</f>
        <v>566</v>
      </c>
      <c r="IB262" s="644">
        <f t="shared" ref="IB262:IB281" si="870">SUM(HP262:IA262)-IC262-ID262</f>
        <v>791.42220720678961</v>
      </c>
      <c r="IC262" s="644">
        <f t="shared" ref="IC262:IC281" si="871">MAX(HZ262+HQ262+HT262+HW262,0%)</f>
        <v>550.49371056705718</v>
      </c>
      <c r="ID262" s="644">
        <f>IF(AND(INDEX(Input!$1:$1048576,IA$93,$C262*2+7)="TOS",Y262&lt;=INDEX(Y:Y,MATCH(C262*1000+2,A:A))),0,1)*MAX(IA262+HR262+HU262+HX262,0%)</f>
        <v>489.80918106158759</v>
      </c>
      <c r="IE262" s="128">
        <f t="shared" ref="IE262:IE268" si="872">IB262/SUM($IB262:$ID262)</f>
        <v>0.43206385483823762</v>
      </c>
      <c r="IF262" s="128">
        <f t="shared" ref="IF262:IF268" si="873">IC262/SUM($IB262:$ID262)</f>
        <v>0.30053292981411212</v>
      </c>
      <c r="IG262" s="128">
        <f t="shared" ref="IG262:IG281" si="874">ID262/SUM($IB262:$ID262)</f>
        <v>0.26740321534765021</v>
      </c>
      <c r="IH262" s="21"/>
      <c r="II262" s="19">
        <f t="shared" ref="II262:II281" si="875">VLOOKUP($C262*1000+1,$A:$HH,FW$92,FALSE)-VLOOKUP($C262*1000+1,$A:$HH,FA$92,FALSE)*VLOOKUP($C262*1000+1,$A:$HH,DZ$92,FALSE)/VLOOKUP($C262*1000+1,$A:$HH,FT$92,FALSE)</f>
        <v>1200</v>
      </c>
      <c r="IJ262" s="19">
        <f t="shared" ref="IJ262:IJ281" si="876">VLOOKUP($C262*1000+1,$A:$HH,FX$92,FALSE)</f>
        <v>2226.7968732767699</v>
      </c>
      <c r="IK262" s="19">
        <f t="shared" ref="IK262:IK281" si="877">VLOOKUP($C262*1000+1,$A:$HH,FY$92,FALSE)</f>
        <v>1786</v>
      </c>
      <c r="IL262" s="19">
        <f t="shared" ref="IL262:IL281" si="878">(FW262-FA262*DZ262/FT262)-II262</f>
        <v>1400</v>
      </c>
      <c r="IM262" s="19">
        <f t="shared" ref="IM262:IM281" si="879">FX262-IJ262</f>
        <v>743.03487387239966</v>
      </c>
      <c r="IN262" s="19">
        <f t="shared" ref="IN262:IN281" si="880">FY262-IK262</f>
        <v>-35</v>
      </c>
      <c r="IO262" s="39">
        <f t="shared" ref="IO262:IO281" si="881">(F262-VLOOKUP($C262*1000+1,$A:$HH,F$92,FALSE))*(1-$I262)</f>
        <v>0</v>
      </c>
      <c r="IP262" s="39">
        <f t="shared" ref="IP262:IP281" si="882">(G262-VLOOKUP($C262*1000+1,$A:$HH,G$92,FALSE))*(1-$I262)</f>
        <v>0</v>
      </c>
      <c r="IQ262" s="39">
        <f t="shared" ref="IQ262:IQ281" si="883">(H262-VLOOKUP($C262*1000+1,$A:$HH,H$92,FALSE))*(1-$I262)</f>
        <v>0</v>
      </c>
      <c r="IR262" s="39">
        <v>0</v>
      </c>
      <c r="IS262" s="39">
        <v>0</v>
      </c>
      <c r="IT262" s="39">
        <v>0</v>
      </c>
      <c r="IU262" s="39">
        <v>0</v>
      </c>
      <c r="IV262" s="39">
        <v>0</v>
      </c>
      <c r="IW262" s="39">
        <v>0</v>
      </c>
      <c r="IX262" s="39">
        <f>INDEX(Input!$1:$1048576,IX$93,$C262*2+6)+INDEX(Input!$1:$1048576,IX$94,$C262*2+6)</f>
        <v>1600</v>
      </c>
      <c r="IY262" s="39">
        <f>INDEX(Input!$1:$1048576,IY$93,$C262*2+6)+INDEX(Input!$1:$1048576,IY$94,$C262*2+6)</f>
        <v>2503.5492916397525</v>
      </c>
      <c r="IZ262" s="39">
        <f>INDEX(Input!$1:$1048576,IZ$93,$C262*2+6)+INDEX(Input!$1:$1048576,IZ$94,$C262*2+6)</f>
        <v>5773.7109265464023</v>
      </c>
      <c r="JA262" s="19">
        <f t="shared" ref="JA262:JA281" si="884">(IL262+IO262+IR262+IU262+IX262)</f>
        <v>3000</v>
      </c>
      <c r="JB262" s="19">
        <f t="shared" ref="JB262:JB281" si="885">(IM262+IP262+IS262+IV262+IY262)</f>
        <v>3246.5841655121521</v>
      </c>
      <c r="JC262" s="19">
        <f t="shared" ref="JC262:JC281" si="886">(IN262+IQ262+IT262+IW262+IZ262)</f>
        <v>5738.7109265464023</v>
      </c>
      <c r="JD262" s="19">
        <f t="shared" ref="JD262:JD281" si="887">SUMPRODUCT(IE262:IG262,JA262:JC262)</f>
        <v>3806.4467693733855</v>
      </c>
      <c r="JE262" s="21"/>
      <c r="JF262" s="1">
        <f t="shared" ref="JF262:JF281" si="888">VLOOKUP($C262*1000+1,$A:$HH,GD$92,FALSE)</f>
        <v>8.5237567437015646E-2</v>
      </c>
      <c r="JG262" s="15">
        <f>INDEX(Input!$1:$1048576,JG$93,$C262*2+6)/(1+VLOOKUP(C262*1000+INDEX(Input!$1:$1048576,JG$93+1,$C262*2+6),$A:$KK,$JK$92,FALSE))</f>
        <v>1601</v>
      </c>
      <c r="JH262" s="1">
        <f t="shared" ref="JH262:JH281" si="889">SUM(HP262:HR262)/SUM(HY262:IA262)</f>
        <v>0.12136935532831727</v>
      </c>
      <c r="JI262" s="1">
        <f t="shared" ref="JI262:JI281" si="890">SUM(HS262:HU262)/SUM(HY262:IA262)</f>
        <v>2.2743760746282538E-2</v>
      </c>
      <c r="JJ262" s="1">
        <f t="shared" ref="JJ262:JJ281" si="891">SUM(HV262:HX262)/SUM(HY262:IA262)</f>
        <v>0</v>
      </c>
      <c r="JK262" s="1">
        <f t="shared" ref="JK262:JK281" si="892">SUM(JH262:JJ262)</f>
        <v>0.14411311607459981</v>
      </c>
      <c r="JL262" s="15">
        <f t="shared" ref="JL262:JL281" si="893">JG262*JK262</f>
        <v>230.7250988354343</v>
      </c>
      <c r="JM262" s="15">
        <f t="shared" ref="JM262:JM281" si="894">JG262+JL262</f>
        <v>1831.7250988354342</v>
      </c>
      <c r="JN262" s="21"/>
      <c r="JO262" s="19">
        <f>INDEX(Input!$1:$1048576,JO$93,$C262*2+6)</f>
        <v>5908.5</v>
      </c>
      <c r="JP262" s="19">
        <f>INDEX(Input!$1:$1048576,JP$93,$C262*2+6)</f>
        <v>3346.4235130620518</v>
      </c>
      <c r="JQ262" s="39">
        <f t="shared" ref="JQ262:JQ281" si="895">JO262-JD262</f>
        <v>2102.0532306266145</v>
      </c>
      <c r="JR262" s="39">
        <f t="shared" ref="JR262:JR281" si="896">JD262-JP262</f>
        <v>460.02325631133363</v>
      </c>
      <c r="JS262" s="39">
        <f t="shared" ref="JS262:JS281" si="897">JM262*JD262/1000000</f>
        <v>6.9723640848422832</v>
      </c>
      <c r="JT262" s="39">
        <f t="shared" ref="JT262:JT281" si="898">(JD262*JM262-JP262*JG262)/1000000</f>
        <v>1.6147400404299386</v>
      </c>
      <c r="JU262" s="385">
        <f>(JQ262*JM262-INDEX(Input!$1:$1048576,Input!A$18,$C262*2+6)*JL262*INDEX(Input!$1:$1048576,Input!A$19,$C262*2+6))/1000000</f>
        <v>3.850383661626879</v>
      </c>
      <c r="JV262" s="39">
        <f t="shared" ref="JV262:JV281" si="899">JU262-(JO262-JP262)*JG262/1000000</f>
        <v>-0.25150079396077585</v>
      </c>
      <c r="JW262" s="1">
        <f t="shared" ref="JW262:JW281" si="900">JV262/(JU262-JV262)</f>
        <v>-6.1313475960586193E-2</v>
      </c>
      <c r="JX262" s="19">
        <f t="shared" ref="JX262:JX281" si="901">IF(JL262=0,0,JT262/JL262)*1000000</f>
        <v>6998.5452323141444</v>
      </c>
      <c r="JZ262" s="341"/>
      <c r="KA262" s="342"/>
      <c r="KB262" s="469">
        <f t="shared" si="784"/>
        <v>2.4482969984810516</v>
      </c>
      <c r="KI262" s="473">
        <f t="shared" ref="KI262:KI281" si="902">$JM262*IE262-$JG262*HY262/SUM($HY262:$IA262)</f>
        <v>236.42220720678949</v>
      </c>
      <c r="KJ262" s="473">
        <f t="shared" ref="KJ262:KJ281" si="903">$JM262*IF262-$JG262*HZ262/SUM($HY262:$IA262)</f>
        <v>70.493710567057178</v>
      </c>
      <c r="KK262" s="473">
        <f t="shared" ref="KK262:KK281" si="904">$JM262*IG262-$JG262*IA262/SUM($HY262:$IA262)</f>
        <v>-76.190818938412519</v>
      </c>
      <c r="KN262" s="544">
        <f t="shared" ref="KN262:KN281" si="905">KM262+(KN261-KM261)</f>
        <v>2002</v>
      </c>
      <c r="KO262" s="541">
        <f t="shared" ref="KO262:KO281" si="906">JM262/INDEX(JM:JM,MATCH(KN262,A:A,0))-1</f>
        <v>6.0174036756397431E-2</v>
      </c>
      <c r="KP262" s="546">
        <f t="shared" ref="KP262:KP281" si="907">(IL262-INDEX(IL:IL,MATCH(KN262,A:A,0)))*IE262
+(IM262-IF(HN262=0,INDEX(IX:IX,MATCH(KN262,A:A,0)),INDEX(IM:IM,MATCH(KN262,A:A,0))))*IF262
+(IN262-INDEX(IN:IN,MATCH(KN262,A:A,0)))*IG262</f>
        <v>438.88814195645205</v>
      </c>
      <c r="KQ262" s="546">
        <f t="shared" ref="KQ262:KQ281" si="908">JD262-INDEX(JD:JD,MATCH(KN262,A:A,0))</f>
        <v>80.843194416846927</v>
      </c>
      <c r="KR262" s="548">
        <f t="shared" ref="KR262:KR281" si="909">KO262/(KP262/(BX262-INDEX(JD:JD,MATCH(KN262,A:A,0))))</f>
        <v>2.1894942141166234</v>
      </c>
      <c r="KS262" s="548">
        <f t="shared" ref="KS262:KS281" si="910">KO262/(KQ262/(BX262-INDEX(JD:JD,MATCH(KN262,A:A,0))))</f>
        <v>11.886505158408188</v>
      </c>
      <c r="KT262" s="473">
        <f t="shared" si="786"/>
        <v>528.59039248727379</v>
      </c>
      <c r="KU262" s="663">
        <f t="shared" ref="KU262:KU281" si="911">IF(D262="",0,IFERROR((JM262/KT262-1)/(JD262/BX262)+B262*10^-6,0))</f>
        <v>12.755819977759483</v>
      </c>
    </row>
    <row r="263" spans="1:308" s="26" customFormat="1" ht="15" outlineLevel="1">
      <c r="A263" s="561">
        <f t="shared" si="755"/>
        <v>2063</v>
      </c>
      <c r="B263" s="561">
        <f t="shared" si="777"/>
        <v>63</v>
      </c>
      <c r="C263" s="561">
        <f t="shared" si="857"/>
        <v>2</v>
      </c>
      <c r="D263" s="561" t="str">
        <f t="shared" si="859"/>
        <v xml:space="preserve">-250 CC, 0/0/0.9/3.9, </v>
      </c>
      <c r="E263" s="475">
        <f>INDEX(Input!$1:$1048576,E$93,$C263*2+MIN($B263,2)+5)
+INDEX(Scenarios!E$121:E$200,MATCH($B263,Scenarios!$B$121:$B$200,0))</f>
        <v>1000</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8.9999999999999993E-3</v>
      </c>
      <c r="W263" s="863">
        <f>IFERROR(MAX(0,INDEX(Input!$1:$1048576,W$93,$C263*2+MIN($B263,2)+5)-0%,),"Market")</f>
        <v>3.9E-2</v>
      </c>
      <c r="X263" s="476" t="str">
        <f>INDEX(Input!$1:$1048576,X$93,$C263*2+MIN($B263,2)+5)</f>
        <v>Y</v>
      </c>
      <c r="Y263" s="475">
        <f>INDEX(Input!$1:$1048576,Y$93,$C263*2+MIN($B263,2)+5)
++INDEX(Scenarios!Y$121:Y$200,MATCH($B263,Scenarios!$B$121:$B$200,0))</f>
        <v>1358</v>
      </c>
      <c r="Z263" s="477">
        <f>INDEX(Input!$1:$1048576,Z$93,$C263*2+MIN($B263,2)+5)
+INDEX(Scenarios!Z$121:Z$200,MATCH($B263,Scenarios!$B$121:$B$200,0))</f>
        <v>0</v>
      </c>
      <c r="AA263" s="475">
        <f>INDEX(Input!$1:$1048576,AA$93,$C263*2+MIN($B263,2)+5)</f>
        <v>0</v>
      </c>
      <c r="AB263" s="476">
        <f>INDEX(Input!$1:$1048576,AB$93,$C263*2+MIN($B263,2)+5)</f>
        <v>1</v>
      </c>
      <c r="AC263" s="475">
        <f>INDEX(Input!$1:$1048576,AC$93,$C263*2+MIN($B263,2)+5)
+INDEX(Scenarios!AC$121:AC$200,MATCH($B263,Scenarios!$B$121:$B$200,0))</f>
        <v>0</v>
      </c>
      <c r="AD263" s="476">
        <f>INDEX(Input!$1:$1048576,AD$93,$C263*2+MIN($B263,2)+5)</f>
        <v>0.35</v>
      </c>
      <c r="AE263" s="475">
        <f>INDEX(Input!$1:$1048576,AE$93,$C263*2+MIN($B263,2)+5)
+INDEX(Scenarios!AE$121:AE$200,MATCH($B263,Scenarios!$B$121:$B$200,0))</f>
        <v>0</v>
      </c>
      <c r="AF263" s="476">
        <f>INDEX(Input!$1:$1048576,AF$93,$C263*2+MIN($B263,2)+5)</f>
        <v>1</v>
      </c>
      <c r="AG263" s="475">
        <f>INDEX(Input!$1:$1048576,AG$93,$C263*2+MIN($B263,2)+5)
+INDEX(Scenarios!AG$121:AG$200,MATCH($B263,Scenarios!$B$121:$B$200,0))</f>
        <v>0</v>
      </c>
      <c r="AH263" s="476">
        <f>INDEX(Input!$1:$1048576,AH$93,$C263*2+MIN($B263,2)+5)</f>
        <v>1</v>
      </c>
      <c r="AI263" s="475">
        <f>INDEX(Input!$1:$1048576,AI$93,$C263*2+MIN($B263,2)+5)
+INDEX(Scenarios!AI$121:AI$200,MATCH($B263,Scenarios!$B$121:$B$200,0))</f>
        <v>0</v>
      </c>
      <c r="AJ263" s="476">
        <f>INDEX(Input!$1:$1048576,AJ$93,$C263*2+MIN($B263,2)+5)</f>
        <v>0.35</v>
      </c>
      <c r="AK263" s="150">
        <f>ROUND(INDEX(Input!$1:$1048576,AK$93,$C262*2+MIN($B263,1)+5)+(Y263-VLOOKUP($C263*1000+1,$A:$HH,Y$92,FALSE)),0)</f>
        <v>4982</v>
      </c>
      <c r="AL263" s="150">
        <f>ROUND(INDEX(Input!$1:$1048576,AL$93,$C262*2+MIN($B263,1)+5)-(Y263-VLOOKUP($C263*1000+1,$A:$HH,Y$92,FALSE))/36,0)</f>
        <v>5102</v>
      </c>
      <c r="AM263" s="32" t="str">
        <f t="shared" si="756"/>
        <v>std/std/std/std</v>
      </c>
      <c r="AN263" s="32" t="str">
        <f t="shared" si="757"/>
        <v>$0 + 0/0/0/0.9/3.9</v>
      </c>
      <c r="AO263" s="32" t="str">
        <f t="shared" si="758"/>
        <v>0/0/0/0.9/3.9</v>
      </c>
      <c r="AP263" s="32" t="str">
        <f t="shared" si="831"/>
        <v>0/0/0.9/3.9</v>
      </c>
      <c r="AQ263" s="536">
        <f t="shared" si="830"/>
        <v>0.31435711008469114</v>
      </c>
      <c r="AR263" s="32"/>
      <c r="AS263" s="302"/>
      <c r="AT263" s="3">
        <f t="shared" si="810"/>
        <v>63</v>
      </c>
      <c r="AU263" s="41" t="s">
        <v>121</v>
      </c>
      <c r="AV263" s="41" t="s">
        <v>116</v>
      </c>
      <c r="AW263" s="41" t="str">
        <f>INDEX(Input!$1:$1048576,AW$93,$C263*2+6)</f>
        <v>Kia</v>
      </c>
      <c r="AX263" s="41" t="str">
        <f>INDEX(Input!$1:$1048576,AX$93,$C263*2+6)</f>
        <v>Kia-LR - L2</v>
      </c>
      <c r="AY263" s="41" t="str">
        <f>IF(LEN(D263)=0,"",INDEX(Input!$1:$1048576,AY$93,$C263*2+6))</f>
        <v>Compact Conventional/Sporty Car (43)</v>
      </c>
      <c r="AZ263" s="41" t="str">
        <f>INDEX(Input!$1:$1048576,AZ$93,$C263*2+6)</f>
        <v>Kia Forte</v>
      </c>
      <c r="BA263" s="3">
        <f>INDEX(Input!$1:$1048576,BA$93,$C263*2+6)</f>
        <v>2020</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19695</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832"/>
        <v>1000</v>
      </c>
      <c r="CJ263" s="16" t="str">
        <f>INDEX(Input!$1:$1048576,CJ$93,$C263*2+6)</f>
        <v>N</v>
      </c>
      <c r="CK263" s="1" t="str">
        <f t="shared" si="833"/>
        <v>Market</v>
      </c>
      <c r="CL263" s="1" t="str">
        <f t="shared" si="834"/>
        <v>Market</v>
      </c>
      <c r="CM263" s="1" t="str">
        <f t="shared" si="835"/>
        <v>Market</v>
      </c>
      <c r="CN263" s="1" t="str">
        <f t="shared" si="836"/>
        <v>Market</v>
      </c>
      <c r="CO263" s="1" t="str">
        <f t="shared" si="837"/>
        <v>Market</v>
      </c>
      <c r="CP263" s="304">
        <f t="shared" si="838"/>
        <v>0</v>
      </c>
      <c r="CQ263" s="1">
        <f t="shared" si="839"/>
        <v>0</v>
      </c>
      <c r="CR263" s="1">
        <f t="shared" si="840"/>
        <v>0</v>
      </c>
      <c r="CS263" s="1">
        <f t="shared" si="841"/>
        <v>0</v>
      </c>
      <c r="CT263" s="1">
        <f t="shared" si="842"/>
        <v>8.9999999999999993E-3</v>
      </c>
      <c r="CU263" s="1">
        <f t="shared" si="843"/>
        <v>3.9E-2</v>
      </c>
      <c r="CV263" s="304">
        <f t="shared" si="844"/>
        <v>1358</v>
      </c>
      <c r="CW263" s="20" t="s">
        <v>122</v>
      </c>
      <c r="CX263" s="20" t="s">
        <v>122</v>
      </c>
      <c r="CY263" s="20" t="s">
        <v>122</v>
      </c>
      <c r="CZ263" s="20" t="s">
        <v>122</v>
      </c>
      <c r="DA263" s="20" t="s">
        <v>122</v>
      </c>
      <c r="DB263" s="503">
        <f t="shared" si="845"/>
        <v>0</v>
      </c>
      <c r="DC263" s="127">
        <v>0</v>
      </c>
      <c r="DD263" s="127">
        <v>0</v>
      </c>
      <c r="DE263" s="127">
        <v>0</v>
      </c>
      <c r="DF263" s="127">
        <v>0</v>
      </c>
      <c r="DG263" s="127">
        <v>0</v>
      </c>
      <c r="DH263" s="127">
        <v>0</v>
      </c>
      <c r="DI263" s="127">
        <v>0</v>
      </c>
      <c r="DJ263" s="127">
        <v>0</v>
      </c>
      <c r="DK263" s="127">
        <v>0</v>
      </c>
      <c r="DL263" s="127">
        <v>0</v>
      </c>
      <c r="DM263" s="304">
        <f>INDEX(Input!$1:$1048576,DM$93,$C263*2+6)</f>
        <v>20731.578947368424</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2.6849002512526334E-2</v>
      </c>
      <c r="DZ263" s="7">
        <v>0</v>
      </c>
      <c r="EA263" s="7">
        <v>0.54964065295556463</v>
      </c>
      <c r="EB263" s="7">
        <v>0</v>
      </c>
      <c r="EC263" s="7">
        <v>0</v>
      </c>
      <c r="ED263" s="7">
        <v>0</v>
      </c>
      <c r="EE263" s="7">
        <v>0</v>
      </c>
      <c r="EF263" s="7">
        <v>0</v>
      </c>
      <c r="EG263" s="7">
        <v>0</v>
      </c>
      <c r="EH263" s="7">
        <v>1.1557835559545319E-2</v>
      </c>
      <c r="EI263" s="7">
        <v>1.8874433147606545E-2</v>
      </c>
      <c r="EJ263" s="7">
        <v>0.18966427517455875</v>
      </c>
      <c r="EK263" s="7">
        <v>0.74566105850419939</v>
      </c>
      <c r="EL263" s="7">
        <v>3.4242397614089828E-2</v>
      </c>
      <c r="EM263" s="7">
        <v>5.3071824952447534E-2</v>
      </c>
      <c r="EN263" s="7">
        <v>4.973495685722773E-2</v>
      </c>
      <c r="EO263" s="7">
        <v>0.56167728366504421</v>
      </c>
      <c r="EP263" s="7">
        <v>0.28599609294424794</v>
      </c>
      <c r="EQ263" s="7">
        <v>6.3882481416524445E-2</v>
      </c>
      <c r="ER263" s="7">
        <v>3.8709185116955112E-2</v>
      </c>
      <c r="ES263" s="7">
        <v>0.3704385195794615</v>
      </c>
      <c r="ET263" s="7">
        <v>0.42351034453190906</v>
      </c>
      <c r="EU263" s="6">
        <v>1350</v>
      </c>
      <c r="EV263" s="6">
        <v>0</v>
      </c>
      <c r="EW263" s="6">
        <v>1350</v>
      </c>
      <c r="EX263" s="6">
        <v>0</v>
      </c>
      <c r="EY263" s="6">
        <v>2969.9561562652189</v>
      </c>
      <c r="EZ263" s="6">
        <v>2111</v>
      </c>
      <c r="FA263" s="6">
        <v>0</v>
      </c>
      <c r="FB263" s="6">
        <v>0</v>
      </c>
      <c r="FC263" s="6">
        <v>0</v>
      </c>
      <c r="FD263" s="6">
        <v>0</v>
      </c>
      <c r="FE263" s="6">
        <v>0</v>
      </c>
      <c r="FF263" s="6">
        <v>0</v>
      </c>
      <c r="FG263" s="6">
        <v>0</v>
      </c>
      <c r="FH263" s="6">
        <v>1154.7848595779219</v>
      </c>
      <c r="FI263" s="6">
        <v>1531.4299904380607</v>
      </c>
      <c r="FJ263" s="6">
        <v>2070.7205842538215</v>
      </c>
      <c r="FK263" s="6">
        <v>2218.639369850102</v>
      </c>
      <c r="FL263" s="6">
        <v>893.91433563489329</v>
      </c>
      <c r="FM263" s="6">
        <v>2119.9561562652189</v>
      </c>
      <c r="FN263" s="6">
        <v>0</v>
      </c>
      <c r="FO263" s="6">
        <v>0</v>
      </c>
      <c r="FP263" s="6">
        <v>0</v>
      </c>
      <c r="FQ263" s="6">
        <v>0</v>
      </c>
      <c r="FR263" s="6">
        <v>0</v>
      </c>
      <c r="FS263" s="6">
        <v>0</v>
      </c>
      <c r="FT263" s="7">
        <v>0.57648965546809094</v>
      </c>
      <c r="FU263" s="7">
        <v>5.3071824952447534E-2</v>
      </c>
      <c r="FV263" s="7">
        <v>0.3704385195794615</v>
      </c>
      <c r="FW263" s="6">
        <v>1350</v>
      </c>
      <c r="FX263" s="6">
        <v>2969.9561562652189</v>
      </c>
      <c r="FY263" s="6">
        <v>2111</v>
      </c>
      <c r="FZ263" s="6">
        <v>2594.6978186474794</v>
      </c>
      <c r="GA263" s="6">
        <v>1717.8777429559177</v>
      </c>
      <c r="GB263" s="6">
        <v>17977.12225704408</v>
      </c>
      <c r="GC263" s="7">
        <v>9.6947029492584935E-2</v>
      </c>
      <c r="GD263" s="7">
        <v>8.8110348905539065E-2</v>
      </c>
      <c r="GE263" s="7"/>
      <c r="GF263" s="7"/>
      <c r="GG263" s="7">
        <v>-9.1149575528992874E-2</v>
      </c>
      <c r="GH263" s="42">
        <v>2.047387987356037</v>
      </c>
      <c r="GI263" s="6">
        <v>11337.451620320409</v>
      </c>
      <c r="GJ263" s="14">
        <v>0.51074630601039561</v>
      </c>
      <c r="GK263" s="14">
        <v>0.50829519786160959</v>
      </c>
      <c r="GL263" s="14">
        <v>0.48925369398960428</v>
      </c>
      <c r="GM263" s="14">
        <v>0.49170480213839035</v>
      </c>
      <c r="GO263" s="5">
        <v>338.16872463277008</v>
      </c>
      <c r="GP263" s="5">
        <v>312.41330006058649</v>
      </c>
      <c r="GQ263" s="5">
        <v>527.27910984145694</v>
      </c>
      <c r="GR263" s="5">
        <v>404.20319246551543</v>
      </c>
      <c r="GS263" s="5">
        <v>334.50205195691484</v>
      </c>
      <c r="GT263" s="5">
        <v>289.18266033348181</v>
      </c>
      <c r="GU263" s="5">
        <v>254.29573314828914</v>
      </c>
      <c r="GV263" s="39" t="s">
        <v>392</v>
      </c>
      <c r="GW263" s="5">
        <v>468.76388888888891</v>
      </c>
      <c r="GX263" s="5">
        <v>351.57291666666669</v>
      </c>
      <c r="GY263" s="5">
        <v>281.25833333333333</v>
      </c>
      <c r="GZ263" s="5">
        <v>240.8550698915011</v>
      </c>
      <c r="HA263" s="5">
        <v>229.89195052129486</v>
      </c>
      <c r="HB263" s="39">
        <v>252.86659132406439</v>
      </c>
      <c r="HC263" s="5">
        <v>190.75937499999998</v>
      </c>
      <c r="HD263" s="5">
        <v>173.28879751461983</v>
      </c>
      <c r="HE263" s="5">
        <v>178.94016109986501</v>
      </c>
      <c r="HF263" s="5">
        <v>168.88629934210525</v>
      </c>
      <c r="HG263" s="5">
        <v>167.11410087719298</v>
      </c>
      <c r="HH263" s="39">
        <v>175.25370385444234</v>
      </c>
      <c r="HI263" s="16"/>
      <c r="HJ263" s="19" t="str">
        <f t="shared" ref="HJ263:HK263" si="912">HJ262</f>
        <v>On</v>
      </c>
      <c r="HK263" s="1" t="str">
        <f t="shared" si="912"/>
        <v>On</v>
      </c>
      <c r="HL263" s="16"/>
      <c r="HM263" s="639">
        <f t="shared" si="861"/>
        <v>5.0961701597560354E-2</v>
      </c>
      <c r="HN263" s="639">
        <f t="shared" si="862"/>
        <v>3.112551654761847E-3</v>
      </c>
      <c r="HO263" s="639">
        <f t="shared" si="863"/>
        <v>3.1163314184693442E-2</v>
      </c>
      <c r="HP263" s="644">
        <f>(FT263*$GD263-HM263)/$JF263*INDEX(Input!$1:$1048576,$JG$93,$C263*2+6)</f>
        <v>-3.1366692772404319</v>
      </c>
      <c r="HQ263" s="644">
        <f>(FU263*$GD263-HN263)/$JF263*INDEX(Input!$1:$1048576,$JG$93,$C263*2+6)</f>
        <v>29.369259057889639</v>
      </c>
      <c r="HR263" s="644">
        <f>(FV263*$GD263-HO263)/$JF263*INDEX(Input!$1:$1048576,$JG$93,$C263*2+6)</f>
        <v>27.72628386393901</v>
      </c>
      <c r="HS263" s="644">
        <f t="shared" si="864"/>
        <v>-3.52565158048328</v>
      </c>
      <c r="HT263" s="644">
        <f t="shared" si="865"/>
        <v>65.560655920346662</v>
      </c>
      <c r="HU263" s="644">
        <f t="shared" si="866"/>
        <v>27.320666052895337</v>
      </c>
      <c r="HV263" s="648">
        <f t="shared" si="867"/>
        <v>0</v>
      </c>
      <c r="HW263" s="648">
        <f t="shared" si="868"/>
        <v>0</v>
      </c>
      <c r="HX263" s="648">
        <f t="shared" si="869"/>
        <v>0</v>
      </c>
      <c r="HY263" s="644">
        <f>INDEX(Input!$1:$1048576,HY$93,$C263*2+6)*INDEX(Input!$1:$1048576,$JG$93,$C263*2+6)</f>
        <v>555</v>
      </c>
      <c r="HZ263" s="644">
        <f>INDEX(Input!$1:$1048576,HZ$93,$C263*2+6)*INDEX(Input!$1:$1048576,$JG$93,$C263*2+6)</f>
        <v>480</v>
      </c>
      <c r="IA263" s="644">
        <f>INDEX(Input!$1:$1048576,IA$93,$C263*2+6)*INDEX(Input!$1:$1048576,$JG$93,$C263*2+6)</f>
        <v>566</v>
      </c>
      <c r="IB263" s="644">
        <f t="shared" si="870"/>
        <v>548.3376791422761</v>
      </c>
      <c r="IC263" s="644">
        <f t="shared" si="871"/>
        <v>574.9299149782363</v>
      </c>
      <c r="ID263" s="644">
        <f>IF(AND(INDEX(Input!$1:$1048576,IA$93,$C263*2+7)="TOS",Y263&lt;=INDEX(Y:Y,MATCH(C263*1000+2,A:A))),0,1)*MAX(IA263+HR263+HU263+HX263,0%)</f>
        <v>621.04694991683436</v>
      </c>
      <c r="IE263" s="128">
        <f t="shared" si="872"/>
        <v>0.31435711008469114</v>
      </c>
      <c r="IF263" s="128">
        <f t="shared" si="873"/>
        <v>0.3296022021621845</v>
      </c>
      <c r="IG263" s="128">
        <f t="shared" si="874"/>
        <v>0.35604068775312425</v>
      </c>
      <c r="IH263" s="21"/>
      <c r="II263" s="19">
        <f t="shared" si="875"/>
        <v>1200</v>
      </c>
      <c r="IJ263" s="19">
        <f t="shared" si="876"/>
        <v>2226.7968732767699</v>
      </c>
      <c r="IK263" s="19">
        <f t="shared" si="877"/>
        <v>1786</v>
      </c>
      <c r="IL263" s="19">
        <f t="shared" si="878"/>
        <v>150</v>
      </c>
      <c r="IM263" s="19">
        <f t="shared" si="879"/>
        <v>743.15928298844892</v>
      </c>
      <c r="IN263" s="19">
        <f t="shared" si="880"/>
        <v>325</v>
      </c>
      <c r="IO263" s="39">
        <f t="shared" si="881"/>
        <v>0</v>
      </c>
      <c r="IP263" s="39">
        <f t="shared" si="882"/>
        <v>0</v>
      </c>
      <c r="IQ263" s="39">
        <f t="shared" si="883"/>
        <v>0</v>
      </c>
      <c r="IR263" s="39">
        <v>0</v>
      </c>
      <c r="IS263" s="39">
        <v>0</v>
      </c>
      <c r="IT263" s="39">
        <v>0</v>
      </c>
      <c r="IU263" s="39">
        <v>0</v>
      </c>
      <c r="IV263" s="39">
        <v>0</v>
      </c>
      <c r="IW263" s="39">
        <v>0</v>
      </c>
      <c r="IX263" s="39">
        <f>INDEX(Input!$1:$1048576,IX$93,$C263*2+6)+INDEX(Input!$1:$1048576,IX$94,$C263*2+6)</f>
        <v>1600</v>
      </c>
      <c r="IY263" s="39">
        <f>INDEX(Input!$1:$1048576,IY$93,$C263*2+6)+INDEX(Input!$1:$1048576,IY$94,$C263*2+6)</f>
        <v>2503.5492916397525</v>
      </c>
      <c r="IZ263" s="39">
        <f>INDEX(Input!$1:$1048576,IZ$93,$C263*2+6)+INDEX(Input!$1:$1048576,IZ$94,$C263*2+6)</f>
        <v>5773.7109265464023</v>
      </c>
      <c r="JA263" s="19">
        <f t="shared" si="884"/>
        <v>1750</v>
      </c>
      <c r="JB263" s="19">
        <f t="shared" si="885"/>
        <v>3246.7085746282014</v>
      </c>
      <c r="JC263" s="19">
        <f t="shared" si="886"/>
        <v>6098.7109265464023</v>
      </c>
      <c r="JD263" s="19">
        <f t="shared" si="887"/>
        <v>3791.6364713195867</v>
      </c>
      <c r="JE263" s="21"/>
      <c r="JF263" s="1">
        <f t="shared" si="888"/>
        <v>8.5237567437015646E-2</v>
      </c>
      <c r="JG263" s="15">
        <f>INDEX(Input!$1:$1048576,JG$93,$C263*2+6)/(1+VLOOKUP(C263*1000+INDEX(Input!$1:$1048576,JG$93+1,$C263*2+6),$A:$KK,$JK$92,FALSE))</f>
        <v>1601</v>
      </c>
      <c r="JH263" s="1">
        <f t="shared" si="889"/>
        <v>3.3703231508175023E-2</v>
      </c>
      <c r="JI263" s="1">
        <f t="shared" si="890"/>
        <v>5.5812411238450169E-2</v>
      </c>
      <c r="JJ263" s="1">
        <f t="shared" si="891"/>
        <v>0</v>
      </c>
      <c r="JK263" s="1">
        <f t="shared" si="892"/>
        <v>8.9515642746625185E-2</v>
      </c>
      <c r="JL263" s="15">
        <f t="shared" si="893"/>
        <v>143.31454403734693</v>
      </c>
      <c r="JM263" s="15">
        <f t="shared" si="894"/>
        <v>1744.3145440373469</v>
      </c>
      <c r="JN263" s="21"/>
      <c r="JO263" s="19">
        <f>INDEX(Input!$1:$1048576,JO$93,$C263*2+6)</f>
        <v>5908.5</v>
      </c>
      <c r="JP263" s="19">
        <f>INDEX(Input!$1:$1048576,JP$93,$C263*2+6)</f>
        <v>3346.4235130620518</v>
      </c>
      <c r="JQ263" s="39">
        <f t="shared" si="895"/>
        <v>2116.8635286804133</v>
      </c>
      <c r="JR263" s="39">
        <f t="shared" si="896"/>
        <v>445.21295825753486</v>
      </c>
      <c r="JS263" s="39">
        <f t="shared" si="897"/>
        <v>6.6138066426251996</v>
      </c>
      <c r="JT263" s="39">
        <f t="shared" si="898"/>
        <v>1.2561825982128549</v>
      </c>
      <c r="JU263" s="385">
        <f>(JQ263*JM263-INDEX(Input!$1:$1048576,Input!A$18,$C263*2+6)*JL263*INDEX(Input!$1:$1048576,Input!A$19,$C263*2+6))/1000000</f>
        <v>3.6924758408194647</v>
      </c>
      <c r="JV263" s="39">
        <f t="shared" si="899"/>
        <v>-0.40940861476819013</v>
      </c>
      <c r="JW263" s="1">
        <f t="shared" si="900"/>
        <v>-9.9809884749553823E-2</v>
      </c>
      <c r="JX263" s="19">
        <f t="shared" si="901"/>
        <v>8765.2136539994226</v>
      </c>
      <c r="JZ263" s="341"/>
      <c r="KA263" s="342"/>
      <c r="KB263" s="469">
        <f t="shared" si="784"/>
        <v>2.4482969984810516</v>
      </c>
      <c r="KI263" s="473">
        <f t="shared" si="902"/>
        <v>-6.6623208577238984</v>
      </c>
      <c r="KJ263" s="473">
        <f t="shared" si="903"/>
        <v>94.929914978236297</v>
      </c>
      <c r="KK263" s="473">
        <f t="shared" si="904"/>
        <v>55.046949916834365</v>
      </c>
      <c r="KN263" s="544">
        <f t="shared" si="905"/>
        <v>2002</v>
      </c>
      <c r="KO263" s="541">
        <f t="shared" si="906"/>
        <v>9.5821653045500277E-3</v>
      </c>
      <c r="KP263" s="546">
        <f t="shared" si="907"/>
        <v>34.512576255064644</v>
      </c>
      <c r="KQ263" s="546">
        <f t="shared" si="908"/>
        <v>66.032896363048167</v>
      </c>
      <c r="KR263" s="548">
        <f t="shared" si="909"/>
        <v>4.433786548641125</v>
      </c>
      <c r="KS263" s="548">
        <f t="shared" si="910"/>
        <v>2.3173509687860228</v>
      </c>
      <c r="KT263" s="473">
        <f t="shared" si="786"/>
        <v>528.59039248727379</v>
      </c>
      <c r="KU263" s="663">
        <f t="shared" si="911"/>
        <v>11.94668361929395</v>
      </c>
    </row>
    <row r="264" spans="1:308" s="26" customFormat="1" ht="15" outlineLevel="1">
      <c r="A264" s="561">
        <f t="shared" si="755"/>
        <v>2064</v>
      </c>
      <c r="B264" s="561">
        <f t="shared" si="777"/>
        <v>64</v>
      </c>
      <c r="C264" s="561">
        <f t="shared" si="857"/>
        <v>2</v>
      </c>
      <c r="D264" s="561" t="str">
        <f t="shared" si="859"/>
        <v xml:space="preserve">-500 CC, 0/0/0.9/3.9, </v>
      </c>
      <c r="E264" s="475">
        <f>INDEX(Input!$1:$1048576,E$93,$C264*2+MIN($B264,2)+5)
+INDEX(Scenarios!E$121:E$200,MATCH($B264,Scenarios!$B$121:$B$200,0))</f>
        <v>750</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8.9999999999999993E-3</v>
      </c>
      <c r="W264" s="863">
        <f>IFERROR(MAX(0,INDEX(Input!$1:$1048576,W$93,$C264*2+MIN($B264,2)+5)-0%,),"Market")</f>
        <v>3.9E-2</v>
      </c>
      <c r="X264" s="476" t="str">
        <f>INDEX(Input!$1:$1048576,X$93,$C264*2+MIN($B264,2)+5)</f>
        <v>Y</v>
      </c>
      <c r="Y264" s="475">
        <f>INDEX(Input!$1:$1048576,Y$93,$C264*2+MIN($B264,2)+5)
++INDEX(Scenarios!Y$121:Y$200,MATCH($B264,Scenarios!$B$121:$B$200,0))</f>
        <v>1358</v>
      </c>
      <c r="Z264" s="477">
        <f>INDEX(Input!$1:$1048576,Z$93,$C264*2+MIN($B264,2)+5)
+INDEX(Scenarios!Z$121:Z$200,MATCH($B264,Scenarios!$B$121:$B$200,0))</f>
        <v>0</v>
      </c>
      <c r="AA264" s="475">
        <f>INDEX(Input!$1:$1048576,AA$93,$C264*2+MIN($B264,2)+5)</f>
        <v>0</v>
      </c>
      <c r="AB264" s="476">
        <f>INDEX(Input!$1:$1048576,AB$93,$C264*2+MIN($B264,2)+5)</f>
        <v>1</v>
      </c>
      <c r="AC264" s="475">
        <f>INDEX(Input!$1:$1048576,AC$93,$C264*2+MIN($B264,2)+5)
+INDEX(Scenarios!AC$121:AC$200,MATCH($B264,Scenarios!$B$121:$B$200,0))</f>
        <v>0</v>
      </c>
      <c r="AD264" s="476">
        <f>INDEX(Input!$1:$1048576,AD$93,$C264*2+MIN($B264,2)+5)</f>
        <v>0.35</v>
      </c>
      <c r="AE264" s="475">
        <f>INDEX(Input!$1:$1048576,AE$93,$C264*2+MIN($B264,2)+5)
+INDEX(Scenarios!AE$121:AE$200,MATCH($B264,Scenarios!$B$121:$B$200,0))</f>
        <v>0</v>
      </c>
      <c r="AF264" s="476">
        <f>INDEX(Input!$1:$1048576,AF$93,$C264*2+MIN($B264,2)+5)</f>
        <v>1</v>
      </c>
      <c r="AG264" s="475">
        <f>INDEX(Input!$1:$1048576,AG$93,$C264*2+MIN($B264,2)+5)
+INDEX(Scenarios!AG$121:AG$200,MATCH($B264,Scenarios!$B$121:$B$200,0))</f>
        <v>0</v>
      </c>
      <c r="AH264" s="476">
        <f>INDEX(Input!$1:$1048576,AH$93,$C264*2+MIN($B264,2)+5)</f>
        <v>1</v>
      </c>
      <c r="AI264" s="475">
        <f>INDEX(Input!$1:$1048576,AI$93,$C264*2+MIN($B264,2)+5)
+INDEX(Scenarios!AI$121:AI$200,MATCH($B264,Scenarios!$B$121:$B$200,0))</f>
        <v>0</v>
      </c>
      <c r="AJ264" s="476">
        <f>INDEX(Input!$1:$1048576,AJ$93,$C264*2+MIN($B264,2)+5)</f>
        <v>0.35</v>
      </c>
      <c r="AK264" s="150">
        <f>ROUND(INDEX(Input!$1:$1048576,AK$93,$C263*2+MIN($B264,1)+5)+(Y264-VLOOKUP($C264*1000+1,$A:$HH,Y$92,FALSE)),0)</f>
        <v>4982</v>
      </c>
      <c r="AL264" s="150">
        <f>ROUND(INDEX(Input!$1:$1048576,AL$93,$C263*2+MIN($B264,1)+5)-(Y264-VLOOKUP($C264*1000+1,$A:$HH,Y$92,FALSE))/36,0)</f>
        <v>5102</v>
      </c>
      <c r="AM264" s="32" t="str">
        <f t="shared" si="756"/>
        <v>std/std/std/std</v>
      </c>
      <c r="AN264" s="32" t="str">
        <f t="shared" si="757"/>
        <v>$0 + 0/0/0/0.9/3.9</v>
      </c>
      <c r="AO264" s="32" t="str">
        <f t="shared" si="758"/>
        <v>0/0/0/0.9/3.9</v>
      </c>
      <c r="AP264" s="32" t="str">
        <f t="shared" si="831"/>
        <v>0/0/0.9/3.9</v>
      </c>
      <c r="AQ264" s="536">
        <f t="shared" si="830"/>
        <v>0.29530364114455987</v>
      </c>
      <c r="AR264" s="32"/>
      <c r="AS264" s="302"/>
      <c r="AT264" s="3">
        <f t="shared" si="810"/>
        <v>64</v>
      </c>
      <c r="AU264" s="41" t="s">
        <v>121</v>
      </c>
      <c r="AV264" s="41" t="s">
        <v>116</v>
      </c>
      <c r="AW264" s="41" t="str">
        <f>INDEX(Input!$1:$1048576,AW$93,$C264*2+6)</f>
        <v>Kia</v>
      </c>
      <c r="AX264" s="41" t="str">
        <f>INDEX(Input!$1:$1048576,AX$93,$C264*2+6)</f>
        <v>Kia-LR - L2</v>
      </c>
      <c r="AY264" s="41" t="str">
        <f>IF(LEN(D264)=0,"",INDEX(Input!$1:$1048576,AY$93,$C264*2+6))</f>
        <v>Compact Conventional/Sporty Car (43)</v>
      </c>
      <c r="AZ264" s="41" t="str">
        <f>INDEX(Input!$1:$1048576,AZ$93,$C264*2+6)</f>
        <v>Kia Forte</v>
      </c>
      <c r="BA264" s="3">
        <f>INDEX(Input!$1:$1048576,BA$93,$C264*2+6)</f>
        <v>2020</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19695</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832"/>
        <v>750</v>
      </c>
      <c r="CJ264" s="16" t="str">
        <f>INDEX(Input!$1:$1048576,CJ$93,$C264*2+6)</f>
        <v>N</v>
      </c>
      <c r="CK264" s="1" t="str">
        <f t="shared" si="833"/>
        <v>Market</v>
      </c>
      <c r="CL264" s="1" t="str">
        <f t="shared" si="834"/>
        <v>Market</v>
      </c>
      <c r="CM264" s="1" t="str">
        <f t="shared" si="835"/>
        <v>Market</v>
      </c>
      <c r="CN264" s="1" t="str">
        <f t="shared" si="836"/>
        <v>Market</v>
      </c>
      <c r="CO264" s="1" t="str">
        <f t="shared" si="837"/>
        <v>Market</v>
      </c>
      <c r="CP264" s="304">
        <f t="shared" si="838"/>
        <v>0</v>
      </c>
      <c r="CQ264" s="1">
        <f t="shared" si="839"/>
        <v>0</v>
      </c>
      <c r="CR264" s="1">
        <f t="shared" si="840"/>
        <v>0</v>
      </c>
      <c r="CS264" s="1">
        <f t="shared" si="841"/>
        <v>0</v>
      </c>
      <c r="CT264" s="1">
        <f t="shared" si="842"/>
        <v>8.9999999999999993E-3</v>
      </c>
      <c r="CU264" s="1">
        <f t="shared" si="843"/>
        <v>3.9E-2</v>
      </c>
      <c r="CV264" s="304">
        <f t="shared" si="844"/>
        <v>1358</v>
      </c>
      <c r="CW264" s="20" t="s">
        <v>122</v>
      </c>
      <c r="CX264" s="20" t="s">
        <v>122</v>
      </c>
      <c r="CY264" s="20" t="s">
        <v>122</v>
      </c>
      <c r="CZ264" s="20" t="s">
        <v>122</v>
      </c>
      <c r="DA264" s="20" t="s">
        <v>122</v>
      </c>
      <c r="DB264" s="503">
        <f t="shared" si="845"/>
        <v>0</v>
      </c>
      <c r="DC264" s="127">
        <v>0</v>
      </c>
      <c r="DD264" s="127">
        <v>0</v>
      </c>
      <c r="DE264" s="127">
        <v>0</v>
      </c>
      <c r="DF264" s="127">
        <v>0</v>
      </c>
      <c r="DG264" s="127">
        <v>0</v>
      </c>
      <c r="DH264" s="127">
        <v>0</v>
      </c>
      <c r="DI264" s="127">
        <v>0</v>
      </c>
      <c r="DJ264" s="127">
        <v>0</v>
      </c>
      <c r="DK264" s="127">
        <v>0</v>
      </c>
      <c r="DL264" s="127">
        <v>0</v>
      </c>
      <c r="DM264" s="304">
        <f>INDEX(Input!$1:$1048576,DM$93,$C264*2+6)</f>
        <v>20731.578947368424</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2.5934617555252899E-2</v>
      </c>
      <c r="DZ264" s="7">
        <v>0</v>
      </c>
      <c r="EA264" s="7">
        <v>0.53284100212777663</v>
      </c>
      <c r="EB264" s="7">
        <v>0</v>
      </c>
      <c r="EC264" s="7">
        <v>0</v>
      </c>
      <c r="ED264" s="7">
        <v>0</v>
      </c>
      <c r="EE264" s="7">
        <v>0</v>
      </c>
      <c r="EF264" s="7">
        <v>0</v>
      </c>
      <c r="EG264" s="7">
        <v>0</v>
      </c>
      <c r="EH264" s="7">
        <v>1.1552779635782077E-2</v>
      </c>
      <c r="EI264" s="7">
        <v>1.8863892456825807E-2</v>
      </c>
      <c r="EJ264" s="7">
        <v>0.18960584889742854</v>
      </c>
      <c r="EK264" s="7">
        <v>0.7457353657639868</v>
      </c>
      <c r="EL264" s="7">
        <v>3.4242113245976563E-2</v>
      </c>
      <c r="EM264" s="7">
        <v>5.5360802996641777E-2</v>
      </c>
      <c r="EN264" s="7">
        <v>4.9740307372365039E-2</v>
      </c>
      <c r="EO264" s="7">
        <v>0.56170068567846798</v>
      </c>
      <c r="EP264" s="7">
        <v>0.28597091233516603</v>
      </c>
      <c r="EQ264" s="7">
        <v>6.3888576965557969E-2</v>
      </c>
      <c r="ER264" s="7">
        <v>3.8699517648442081E-2</v>
      </c>
      <c r="ES264" s="7">
        <v>0.38586357732032861</v>
      </c>
      <c r="ET264" s="7">
        <v>0.44122438031697048</v>
      </c>
      <c r="EU264" s="6">
        <v>1100</v>
      </c>
      <c r="EV264" s="6">
        <v>0</v>
      </c>
      <c r="EW264" s="6">
        <v>1100</v>
      </c>
      <c r="EX264" s="6">
        <v>0</v>
      </c>
      <c r="EY264" s="6">
        <v>2969.9778101194552</v>
      </c>
      <c r="EZ264" s="6">
        <v>2111</v>
      </c>
      <c r="FA264" s="6">
        <v>0</v>
      </c>
      <c r="FB264" s="6">
        <v>0</v>
      </c>
      <c r="FC264" s="6">
        <v>0</v>
      </c>
      <c r="FD264" s="6">
        <v>0</v>
      </c>
      <c r="FE264" s="6">
        <v>0</v>
      </c>
      <c r="FF264" s="6">
        <v>0</v>
      </c>
      <c r="FG264" s="6">
        <v>0</v>
      </c>
      <c r="FH264" s="6">
        <v>1154.7859304759481</v>
      </c>
      <c r="FI264" s="6">
        <v>1531.4299904380628</v>
      </c>
      <c r="FJ264" s="6">
        <v>2070.7205842538215</v>
      </c>
      <c r="FK264" s="6">
        <v>2218.639369850102</v>
      </c>
      <c r="FL264" s="6">
        <v>893.91433563489431</v>
      </c>
      <c r="FM264" s="6">
        <v>2119.9778101194552</v>
      </c>
      <c r="FN264" s="6">
        <v>0</v>
      </c>
      <c r="FO264" s="6">
        <v>0</v>
      </c>
      <c r="FP264" s="6">
        <v>0</v>
      </c>
      <c r="FQ264" s="6">
        <v>0</v>
      </c>
      <c r="FR264" s="6">
        <v>0</v>
      </c>
      <c r="FS264" s="6">
        <v>0</v>
      </c>
      <c r="FT264" s="7">
        <v>0.55877561968302958</v>
      </c>
      <c r="FU264" s="7">
        <v>5.5360802996641777E-2</v>
      </c>
      <c r="FV264" s="7">
        <v>0.38586357732032861</v>
      </c>
      <c r="FW264" s="6">
        <v>1100</v>
      </c>
      <c r="FX264" s="6">
        <v>2969.9778101194552</v>
      </c>
      <c r="FY264" s="6">
        <v>2111</v>
      </c>
      <c r="FZ264" s="6">
        <v>2594.6978186474794</v>
      </c>
      <c r="GA264" s="6">
        <v>1593.6315498249669</v>
      </c>
      <c r="GB264" s="6">
        <v>18101.368450175032</v>
      </c>
      <c r="GC264" s="7">
        <v>9.6947029492584935E-2</v>
      </c>
      <c r="GD264" s="7">
        <v>8.660180595588729E-2</v>
      </c>
      <c r="GE264" s="7"/>
      <c r="GF264" s="7"/>
      <c r="GG264" s="7">
        <v>-0.10671006209106085</v>
      </c>
      <c r="GH264" s="42">
        <v>2.0994161309175663</v>
      </c>
      <c r="GI264" s="6">
        <v>10974.811254961434</v>
      </c>
      <c r="GJ264" s="14">
        <v>0.51074630601039539</v>
      </c>
      <c r="GK264" s="14">
        <v>0.5082951978616097</v>
      </c>
      <c r="GL264" s="14">
        <v>0.48925369398960455</v>
      </c>
      <c r="GM264" s="14">
        <v>0.49170480213839035</v>
      </c>
      <c r="GO264" s="5">
        <v>338.16872463277008</v>
      </c>
      <c r="GP264" s="5">
        <v>317.18282312950942</v>
      </c>
      <c r="GQ264" s="5">
        <v>527.27910984145694</v>
      </c>
      <c r="GR264" s="5">
        <v>404.20319246551543</v>
      </c>
      <c r="GS264" s="5">
        <v>334.50205195691484</v>
      </c>
      <c r="GT264" s="5">
        <v>289.18266033348181</v>
      </c>
      <c r="GU264" s="5">
        <v>254.29573314828914</v>
      </c>
      <c r="GV264" s="39" t="s">
        <v>392</v>
      </c>
      <c r="GW264" s="5">
        <v>468.76388888888891</v>
      </c>
      <c r="GX264" s="5">
        <v>351.57291666666669</v>
      </c>
      <c r="GY264" s="5">
        <v>281.25833333333333</v>
      </c>
      <c r="GZ264" s="5">
        <v>240.8550698915011</v>
      </c>
      <c r="HA264" s="5">
        <v>229.89195052129486</v>
      </c>
      <c r="HB264" s="39">
        <v>252.86191449715852</v>
      </c>
      <c r="HC264" s="5">
        <v>190.75937499999998</v>
      </c>
      <c r="HD264" s="5">
        <v>173.28879751461983</v>
      </c>
      <c r="HE264" s="5">
        <v>178.94016109986501</v>
      </c>
      <c r="HF264" s="5">
        <v>168.88629934210525</v>
      </c>
      <c r="HG264" s="5">
        <v>167.11410087719298</v>
      </c>
      <c r="HH264" s="39">
        <v>175.2536878842962</v>
      </c>
      <c r="HI264" s="16"/>
      <c r="HJ264" s="19" t="str">
        <f t="shared" ref="HJ264:HK264" si="913">HJ263</f>
        <v>On</v>
      </c>
      <c r="HK264" s="1" t="str">
        <f t="shared" si="913"/>
        <v>On</v>
      </c>
      <c r="HL264" s="16"/>
      <c r="HM264" s="639">
        <f t="shared" si="861"/>
        <v>5.0961701597560354E-2</v>
      </c>
      <c r="HN264" s="639">
        <f t="shared" si="862"/>
        <v>3.112551654761847E-3</v>
      </c>
      <c r="HO264" s="639">
        <f t="shared" si="863"/>
        <v>3.1163314184693442E-2</v>
      </c>
      <c r="HP264" s="644">
        <f>(FT264*$GD264-HM264)/$JF264*INDEX(Input!$1:$1048576,$JG$93,$C264*2+6)</f>
        <v>-48.285385678961767</v>
      </c>
      <c r="HQ264" s="644">
        <f>(FU264*$GD264-HN264)/$JF264*INDEX(Input!$1:$1048576,$JG$93,$C264*2+6)</f>
        <v>31.588794202957516</v>
      </c>
      <c r="HR264" s="644">
        <f>(FV264*$GD264-HO264)/$JF264*INDEX(Input!$1:$1048576,$JG$93,$C264*2+6)</f>
        <v>42.320807820838631</v>
      </c>
      <c r="HS264" s="644">
        <f t="shared" si="864"/>
        <v>1.507338021560267</v>
      </c>
      <c r="HT264" s="644">
        <f t="shared" si="865"/>
        <v>68.475499867718909</v>
      </c>
      <c r="HU264" s="644">
        <f t="shared" si="866"/>
        <v>24.407798047401972</v>
      </c>
      <c r="HV264" s="648">
        <f t="shared" si="867"/>
        <v>0</v>
      </c>
      <c r="HW264" s="648">
        <f t="shared" si="868"/>
        <v>0</v>
      </c>
      <c r="HX264" s="648">
        <f t="shared" si="869"/>
        <v>0</v>
      </c>
      <c r="HY264" s="644">
        <f>INDEX(Input!$1:$1048576,HY$93,$C264*2+6)*INDEX(Input!$1:$1048576,$JG$93,$C264*2+6)</f>
        <v>555</v>
      </c>
      <c r="HZ264" s="644">
        <f>INDEX(Input!$1:$1048576,HZ$93,$C264*2+6)*INDEX(Input!$1:$1048576,$JG$93,$C264*2+6)</f>
        <v>480</v>
      </c>
      <c r="IA264" s="644">
        <f>INDEX(Input!$1:$1048576,IA$93,$C264*2+6)*INDEX(Input!$1:$1048576,$JG$93,$C264*2+6)</f>
        <v>566</v>
      </c>
      <c r="IB264" s="644">
        <f t="shared" si="870"/>
        <v>508.22195234259846</v>
      </c>
      <c r="IC264" s="644">
        <f t="shared" si="871"/>
        <v>580.0642940706764</v>
      </c>
      <c r="ID264" s="644">
        <f>IF(AND(INDEX(Input!$1:$1048576,IA$93,$C264*2+7)="TOS",Y264&lt;=INDEX(Y:Y,MATCH(C264*1000+2,A:A))),0,1)*MAX(IA264+HR264+HU264+HX264,0%)</f>
        <v>632.72860586824061</v>
      </c>
      <c r="IE264" s="128">
        <f t="shared" si="872"/>
        <v>0.29530364114455987</v>
      </c>
      <c r="IF264" s="128">
        <f t="shared" si="873"/>
        <v>0.33704781414390267</v>
      </c>
      <c r="IG264" s="128">
        <f t="shared" si="874"/>
        <v>0.3676485447115373</v>
      </c>
      <c r="IH264" s="21"/>
      <c r="II264" s="19">
        <f t="shared" si="875"/>
        <v>1200</v>
      </c>
      <c r="IJ264" s="19">
        <f t="shared" si="876"/>
        <v>2226.7968732767699</v>
      </c>
      <c r="IK264" s="19">
        <f t="shared" si="877"/>
        <v>1786</v>
      </c>
      <c r="IL264" s="19">
        <f t="shared" si="878"/>
        <v>-100</v>
      </c>
      <c r="IM264" s="19">
        <f t="shared" si="879"/>
        <v>743.18093684268524</v>
      </c>
      <c r="IN264" s="19">
        <f t="shared" si="880"/>
        <v>325</v>
      </c>
      <c r="IO264" s="39">
        <f t="shared" si="881"/>
        <v>0</v>
      </c>
      <c r="IP264" s="39">
        <f t="shared" si="882"/>
        <v>0</v>
      </c>
      <c r="IQ264" s="39">
        <f t="shared" si="883"/>
        <v>0</v>
      </c>
      <c r="IR264" s="39">
        <v>0</v>
      </c>
      <c r="IS264" s="39">
        <v>0</v>
      </c>
      <c r="IT264" s="39">
        <v>0</v>
      </c>
      <c r="IU264" s="39">
        <v>0</v>
      </c>
      <c r="IV264" s="39">
        <v>0</v>
      </c>
      <c r="IW264" s="39">
        <v>0</v>
      </c>
      <c r="IX264" s="39">
        <f>INDEX(Input!$1:$1048576,IX$93,$C264*2+6)+INDEX(Input!$1:$1048576,IX$94,$C264*2+6)</f>
        <v>1600</v>
      </c>
      <c r="IY264" s="39">
        <f>INDEX(Input!$1:$1048576,IY$93,$C264*2+6)+INDEX(Input!$1:$1048576,IY$94,$C264*2+6)</f>
        <v>2503.5492916397525</v>
      </c>
      <c r="IZ264" s="39">
        <f>INDEX(Input!$1:$1048576,IZ$93,$C264*2+6)+INDEX(Input!$1:$1048576,IZ$94,$C264*2+6)</f>
        <v>5773.7109265464023</v>
      </c>
      <c r="JA264" s="19">
        <f t="shared" si="884"/>
        <v>1500</v>
      </c>
      <c r="JB264" s="19">
        <f t="shared" si="885"/>
        <v>3246.7302284824377</v>
      </c>
      <c r="JC264" s="19">
        <f t="shared" si="886"/>
        <v>6098.7109265464023</v>
      </c>
      <c r="JD264" s="19">
        <f t="shared" si="887"/>
        <v>3779.440985102915</v>
      </c>
      <c r="JE264" s="21"/>
      <c r="JF264" s="1">
        <f t="shared" si="888"/>
        <v>8.5237567437015646E-2</v>
      </c>
      <c r="JG264" s="15">
        <f>INDEX(Input!$1:$1048576,JG$93,$C264*2+6)/(1+VLOOKUP(C264*1000+INDEX(Input!$1:$1048576,JG$93+1,$C264*2+6),$A:$KK,$JK$92,FALSE))</f>
        <v>1601</v>
      </c>
      <c r="JH264" s="1">
        <f t="shared" si="889"/>
        <v>1.6005132008016478E-2</v>
      </c>
      <c r="JI264" s="1">
        <f t="shared" si="890"/>
        <v>5.8957299148457931E-2</v>
      </c>
      <c r="JJ264" s="1">
        <f t="shared" si="891"/>
        <v>0</v>
      </c>
      <c r="JK264" s="1">
        <f t="shared" si="892"/>
        <v>7.4962431156474413E-2</v>
      </c>
      <c r="JL264" s="15">
        <f t="shared" si="893"/>
        <v>120.01485228151553</v>
      </c>
      <c r="JM264" s="15">
        <f t="shared" si="894"/>
        <v>1721.0148522815155</v>
      </c>
      <c r="JN264" s="21"/>
      <c r="JO264" s="19">
        <f>INDEX(Input!$1:$1048576,JO$93,$C264*2+6)</f>
        <v>5908.5</v>
      </c>
      <c r="JP264" s="19">
        <f>INDEX(Input!$1:$1048576,JP$93,$C264*2+6)</f>
        <v>3346.4235130620518</v>
      </c>
      <c r="JQ264" s="39">
        <f t="shared" si="895"/>
        <v>2129.059014897085</v>
      </c>
      <c r="JR264" s="39">
        <f t="shared" si="896"/>
        <v>433.01747204086314</v>
      </c>
      <c r="JS264" s="39">
        <f t="shared" si="897"/>
        <v>6.5044740686835985</v>
      </c>
      <c r="JT264" s="39">
        <f t="shared" si="898"/>
        <v>1.1468500242712536</v>
      </c>
      <c r="JU264" s="385">
        <f>(JQ264*JM264-INDEX(Input!$1:$1048576,Input!A$18,$C264*2+6)*JL264*INDEX(Input!$1:$1048576,Input!A$19,$C264*2+6))/1000000</f>
        <v>3.6641421860217354</v>
      </c>
      <c r="JV264" s="39">
        <f t="shared" si="899"/>
        <v>-0.43774226956591944</v>
      </c>
      <c r="JW264" s="1">
        <f t="shared" si="900"/>
        <v>-0.10671735742571191</v>
      </c>
      <c r="JX264" s="19">
        <f t="shared" si="901"/>
        <v>9555.9008111855946</v>
      </c>
      <c r="JZ264" s="341"/>
      <c r="KA264" s="342"/>
      <c r="KB264" s="469">
        <f t="shared" si="784"/>
        <v>2.4482969984810516</v>
      </c>
      <c r="KI264" s="473">
        <f t="shared" si="902"/>
        <v>-46.778047657401657</v>
      </c>
      <c r="KJ264" s="473">
        <f t="shared" si="903"/>
        <v>100.06429407067628</v>
      </c>
      <c r="KK264" s="473">
        <f t="shared" si="904"/>
        <v>66.728605868240493</v>
      </c>
      <c r="KN264" s="544">
        <f t="shared" si="905"/>
        <v>2002</v>
      </c>
      <c r="KO264" s="541">
        <f t="shared" si="906"/>
        <v>-3.9033343917003194E-3</v>
      </c>
      <c r="KP264" s="546">
        <f t="shared" si="907"/>
        <v>-31.987732455349445</v>
      </c>
      <c r="KQ264" s="546">
        <f t="shared" si="908"/>
        <v>53.837410146376442</v>
      </c>
      <c r="KR264" s="548">
        <f t="shared" si="909"/>
        <v>1.9486812442106667</v>
      </c>
      <c r="KS264" s="548">
        <f t="shared" si="910"/>
        <v>-1.1578174750808234</v>
      </c>
      <c r="KT264" s="473">
        <f t="shared" si="786"/>
        <v>528.59039248727379</v>
      </c>
      <c r="KU264" s="663">
        <f t="shared" si="911"/>
        <v>11.75553481286188</v>
      </c>
    </row>
    <row r="265" spans="1:308" s="26" customFormat="1" ht="15" outlineLevel="1">
      <c r="A265" s="561">
        <f t="shared" si="755"/>
        <v>2065</v>
      </c>
      <c r="B265" s="561">
        <f t="shared" si="777"/>
        <v>65</v>
      </c>
      <c r="C265" s="561">
        <f t="shared" si="857"/>
        <v>2</v>
      </c>
      <c r="D265" s="561" t="str">
        <f t="shared" si="859"/>
        <v xml:space="preserve">250 CC, 0.9/1.9/2.9/3.9, </v>
      </c>
      <c r="E265" s="475">
        <f>INDEX(Input!$1:$1048576,E$93,$C265*2+MIN($B265,2)+5)
+INDEX(Scenarios!E$121:E$200,MATCH($B265,Scenarios!$B$121:$B$200,0))</f>
        <v>1500</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0</v>
      </c>
      <c r="R265" s="478">
        <f>IFERROR(MAX(0,INDEX(Input!$1:$1048576,R$93,$C265*2+MIN($B265,2)+5)
+INDEX(Scenarios!R$121:R$200,MATCH($B265,Scenarios!$B$121:$B$200,0)),),"Market")</f>
        <v>9.0000000000000011E-3</v>
      </c>
      <c r="S265" s="478">
        <f>IFERROR(MAX(0,INDEX(Input!$1:$1048576,S$93,$C265*2+MIN($B265,2)+5)
+INDEX(Scenarios!S$121:S$200,MATCH($B265,Scenarios!$B$121:$B$200,0)),),"Market")</f>
        <v>9.0000000000000011E-3</v>
      </c>
      <c r="T265" s="478">
        <f>IFERROR(MAX(0,INDEX(Input!$1:$1048576,T$93,$C265*2+MIN($B265,2)+5)
+INDEX(Scenarios!T$121:T$200,MATCH($B265,Scenarios!$B$121:$B$200,0)),),"Market")</f>
        <v>9.0000000000000011E-3</v>
      </c>
      <c r="U265" s="478">
        <f>IFERROR(MAX(0,INDEX(Input!$1:$1048576,U$93,$C265*2+MIN($B265,2)+5)
+INDEX(Scenarios!U$121:U$200,MATCH($B265,Scenarios!$B$121:$B$200,0)),),"Market")</f>
        <v>9.0000000000000011E-3</v>
      </c>
      <c r="V265" s="478">
        <f>IFERROR(MAX(0,INDEX(Input!$1:$1048576,V$93,$C265*2+MIN($B265,2)+5)
+INDEX(Scenarios!V$121:V$200,MATCH($B265,Scenarios!$B$121:$B$200,0)),),"Market")</f>
        <v>2.8999999999999998E-2</v>
      </c>
      <c r="W265" s="863">
        <f>IFERROR(MAX(0,INDEX(Input!$1:$1048576,W$93,$C265*2+MIN($B265,2)+5)-0%,),"Market")</f>
        <v>3.9E-2</v>
      </c>
      <c r="X265" s="476" t="str">
        <f>INDEX(Input!$1:$1048576,X$93,$C265*2+MIN($B265,2)+5)</f>
        <v>Y</v>
      </c>
      <c r="Y265" s="475">
        <f>INDEX(Input!$1:$1048576,Y$93,$C265*2+MIN($B265,2)+5)
++INDEX(Scenarios!Y$121:Y$200,MATCH($B265,Scenarios!$B$121:$B$200,0))</f>
        <v>1358</v>
      </c>
      <c r="Z265" s="477">
        <f>INDEX(Input!$1:$1048576,Z$93,$C265*2+MIN($B265,2)+5)
+INDEX(Scenarios!Z$121:Z$200,MATCH($B265,Scenarios!$B$121:$B$200,0))</f>
        <v>0</v>
      </c>
      <c r="AA265" s="475">
        <f>INDEX(Input!$1:$1048576,AA$93,$C265*2+MIN($B265,2)+5)</f>
        <v>0</v>
      </c>
      <c r="AB265" s="476">
        <f>INDEX(Input!$1:$1048576,AB$93,$C265*2+MIN($B265,2)+5)</f>
        <v>1</v>
      </c>
      <c r="AC265" s="475">
        <f>INDEX(Input!$1:$1048576,AC$93,$C265*2+MIN($B265,2)+5)
+INDEX(Scenarios!AC$121:AC$200,MATCH($B265,Scenarios!$B$121:$B$200,0))</f>
        <v>0</v>
      </c>
      <c r="AD265" s="476">
        <f>INDEX(Input!$1:$1048576,AD$93,$C265*2+MIN($B265,2)+5)</f>
        <v>0.35</v>
      </c>
      <c r="AE265" s="475">
        <f>INDEX(Input!$1:$1048576,AE$93,$C265*2+MIN($B265,2)+5)
+INDEX(Scenarios!AE$121:AE$200,MATCH($B265,Scenarios!$B$121:$B$200,0))</f>
        <v>0</v>
      </c>
      <c r="AF265" s="476">
        <f>INDEX(Input!$1:$1048576,AF$93,$C265*2+MIN($B265,2)+5)</f>
        <v>1</v>
      </c>
      <c r="AG265" s="475">
        <f>INDEX(Input!$1:$1048576,AG$93,$C265*2+MIN($B265,2)+5)
+INDEX(Scenarios!AG$121:AG$200,MATCH($B265,Scenarios!$B$121:$B$200,0))</f>
        <v>0</v>
      </c>
      <c r="AH265" s="476">
        <f>INDEX(Input!$1:$1048576,AH$93,$C265*2+MIN($B265,2)+5)</f>
        <v>1</v>
      </c>
      <c r="AI265" s="475">
        <f>INDEX(Input!$1:$1048576,AI$93,$C265*2+MIN($B265,2)+5)
+INDEX(Scenarios!AI$121:AI$200,MATCH($B265,Scenarios!$B$121:$B$200,0))</f>
        <v>0</v>
      </c>
      <c r="AJ265" s="476">
        <f>INDEX(Input!$1:$1048576,AJ$93,$C265*2+MIN($B265,2)+5)</f>
        <v>0.35</v>
      </c>
      <c r="AK265" s="150">
        <f>ROUND(INDEX(Input!$1:$1048576,AK$93,$C264*2+MIN($B265,1)+5)+(Y265-VLOOKUP($C265*1000+1,$A:$HH,Y$92,FALSE)),0)</f>
        <v>4982</v>
      </c>
      <c r="AL265" s="150">
        <f>ROUND(INDEX(Input!$1:$1048576,AL$93,$C264*2+MIN($B265,1)+5)-(Y265-VLOOKUP($C265*1000+1,$A:$HH,Y$92,FALSE))/36,0)</f>
        <v>5102</v>
      </c>
      <c r="AM265" s="32" t="str">
        <f t="shared" si="756"/>
        <v>std/std/std/std</v>
      </c>
      <c r="AN265" s="32" t="str">
        <f t="shared" si="757"/>
        <v>$0 + 0.9/0.9/0.9/2.9/3.9</v>
      </c>
      <c r="AO265" s="32" t="str">
        <f t="shared" si="758"/>
        <v>0.9/0.9/0.9/2.9/3.9</v>
      </c>
      <c r="AP265" s="32" t="str">
        <f t="shared" si="831"/>
        <v>0.9/1.9/2.9/3.9</v>
      </c>
      <c r="AQ265" s="536">
        <f t="shared" si="830"/>
        <v>0.3804647553120396</v>
      </c>
      <c r="AR265" s="32"/>
      <c r="AS265" s="302"/>
      <c r="AT265" s="3">
        <f t="shared" si="810"/>
        <v>65</v>
      </c>
      <c r="AU265" s="41" t="s">
        <v>121</v>
      </c>
      <c r="AV265" s="41" t="s">
        <v>116</v>
      </c>
      <c r="AW265" s="41" t="str">
        <f>INDEX(Input!$1:$1048576,AW$93,$C265*2+6)</f>
        <v>Kia</v>
      </c>
      <c r="AX265" s="41" t="str">
        <f>INDEX(Input!$1:$1048576,AX$93,$C265*2+6)</f>
        <v>Kia-LR - L2</v>
      </c>
      <c r="AY265" s="41" t="str">
        <f>IF(LEN(D265)=0,"",INDEX(Input!$1:$1048576,AY$93,$C265*2+6))</f>
        <v>Compact Conventional/Sporty Car (43)</v>
      </c>
      <c r="AZ265" s="41" t="str">
        <f>INDEX(Input!$1:$1048576,AZ$93,$C265*2+6)</f>
        <v>Kia Forte</v>
      </c>
      <c r="BA265" s="3">
        <f>INDEX(Input!$1:$1048576,BA$93,$C265*2+6)</f>
        <v>2020</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19695</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832"/>
        <v>1500</v>
      </c>
      <c r="CJ265" s="16" t="str">
        <f>INDEX(Input!$1:$1048576,CJ$93,$C265*2+6)</f>
        <v>N</v>
      </c>
      <c r="CK265" s="1" t="str">
        <f t="shared" si="833"/>
        <v>Market</v>
      </c>
      <c r="CL265" s="1" t="str">
        <f t="shared" si="834"/>
        <v>Market</v>
      </c>
      <c r="CM265" s="1" t="str">
        <f t="shared" si="835"/>
        <v>Market</v>
      </c>
      <c r="CN265" s="1" t="str">
        <f t="shared" si="836"/>
        <v>Market</v>
      </c>
      <c r="CO265" s="1" t="str">
        <f t="shared" si="837"/>
        <v>Market</v>
      </c>
      <c r="CP265" s="304">
        <f t="shared" si="838"/>
        <v>0</v>
      </c>
      <c r="CQ265" s="1">
        <f t="shared" si="839"/>
        <v>9.0000000000000011E-3</v>
      </c>
      <c r="CR265" s="1">
        <f t="shared" si="840"/>
        <v>9.0000000000000011E-3</v>
      </c>
      <c r="CS265" s="1">
        <f t="shared" si="841"/>
        <v>9.0000000000000011E-3</v>
      </c>
      <c r="CT265" s="1">
        <f t="shared" si="842"/>
        <v>2.8999999999999998E-2</v>
      </c>
      <c r="CU265" s="1">
        <f t="shared" si="843"/>
        <v>3.9E-2</v>
      </c>
      <c r="CV265" s="304">
        <f t="shared" si="844"/>
        <v>1358</v>
      </c>
      <c r="CW265" s="20" t="s">
        <v>122</v>
      </c>
      <c r="CX265" s="20" t="s">
        <v>122</v>
      </c>
      <c r="CY265" s="20" t="s">
        <v>122</v>
      </c>
      <c r="CZ265" s="20" t="s">
        <v>122</v>
      </c>
      <c r="DA265" s="20" t="s">
        <v>122</v>
      </c>
      <c r="DB265" s="503">
        <f t="shared" si="845"/>
        <v>0</v>
      </c>
      <c r="DC265" s="127">
        <v>0</v>
      </c>
      <c r="DD265" s="127">
        <v>0</v>
      </c>
      <c r="DE265" s="127">
        <v>0</v>
      </c>
      <c r="DF265" s="127">
        <v>0</v>
      </c>
      <c r="DG265" s="127">
        <v>0</v>
      </c>
      <c r="DH265" s="127">
        <v>0</v>
      </c>
      <c r="DI265" s="127">
        <v>0</v>
      </c>
      <c r="DJ265" s="127">
        <v>0</v>
      </c>
      <c r="DK265" s="127">
        <v>0</v>
      </c>
      <c r="DL265" s="127">
        <v>0</v>
      </c>
      <c r="DM265" s="304">
        <f>INDEX(Input!$1:$1048576,DM$93,$C265*2+6)</f>
        <v>20731.578947368424</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2.9431964387513797E-2</v>
      </c>
      <c r="DZ265" s="7">
        <v>0</v>
      </c>
      <c r="EA265" s="7">
        <v>0.59803279799961584</v>
      </c>
      <c r="EB265" s="7">
        <v>0</v>
      </c>
      <c r="EC265" s="7">
        <v>0</v>
      </c>
      <c r="ED265" s="7">
        <v>0</v>
      </c>
      <c r="EE265" s="7">
        <v>0</v>
      </c>
      <c r="EF265" s="7">
        <v>0</v>
      </c>
      <c r="EG265" s="7">
        <v>0</v>
      </c>
      <c r="EH265" s="7">
        <v>2.0014274440187441E-2</v>
      </c>
      <c r="EI265" s="7">
        <v>3.051068353228293E-2</v>
      </c>
      <c r="EJ265" s="7">
        <v>0.28806815214333081</v>
      </c>
      <c r="EK265" s="7">
        <v>0.58914123182314471</v>
      </c>
      <c r="EL265" s="7">
        <v>7.2265658061053978E-2</v>
      </c>
      <c r="EM265" s="7">
        <v>2.3650775450311433E-2</v>
      </c>
      <c r="EN265" s="7">
        <v>4.9729947481927765E-2</v>
      </c>
      <c r="EO265" s="7">
        <v>0.56165233453638774</v>
      </c>
      <c r="EP265" s="7">
        <v>0.28601949927887332</v>
      </c>
      <c r="EQ265" s="7">
        <v>6.387503704682615E-2</v>
      </c>
      <c r="ER265" s="7">
        <v>3.8723181655985192E-2</v>
      </c>
      <c r="ES265" s="7">
        <v>0.34888446216255881</v>
      </c>
      <c r="ET265" s="7">
        <v>0.37253523761287027</v>
      </c>
      <c r="EU265" s="6">
        <v>1850</v>
      </c>
      <c r="EV265" s="6">
        <v>0</v>
      </c>
      <c r="EW265" s="6">
        <v>1850</v>
      </c>
      <c r="EX265" s="6">
        <v>0</v>
      </c>
      <c r="EY265" s="6">
        <v>2209.3723006349942</v>
      </c>
      <c r="EZ265" s="6">
        <v>2111</v>
      </c>
      <c r="FA265" s="6">
        <v>0</v>
      </c>
      <c r="FB265" s="6">
        <v>0</v>
      </c>
      <c r="FC265" s="6">
        <v>0</v>
      </c>
      <c r="FD265" s="6">
        <v>0</v>
      </c>
      <c r="FE265" s="6">
        <v>0</v>
      </c>
      <c r="FF265" s="6">
        <v>0</v>
      </c>
      <c r="FG265" s="6">
        <v>0</v>
      </c>
      <c r="FH265" s="6">
        <v>926.702263456232</v>
      </c>
      <c r="FI265" s="6">
        <v>1232.1164465304234</v>
      </c>
      <c r="FJ265" s="6">
        <v>1709.9775738488461</v>
      </c>
      <c r="FK265" s="6">
        <v>1266.3227157028193</v>
      </c>
      <c r="FL265" s="6">
        <v>893.91433563489386</v>
      </c>
      <c r="FM265" s="6">
        <v>1359.3723006349942</v>
      </c>
      <c r="FN265" s="6">
        <v>0</v>
      </c>
      <c r="FO265" s="6">
        <v>0</v>
      </c>
      <c r="FP265" s="6">
        <v>0</v>
      </c>
      <c r="FQ265" s="6">
        <v>0</v>
      </c>
      <c r="FR265" s="6">
        <v>0</v>
      </c>
      <c r="FS265" s="6">
        <v>0</v>
      </c>
      <c r="FT265" s="7">
        <v>0.62746476238712967</v>
      </c>
      <c r="FU265" s="7">
        <v>2.3650775450311433E-2</v>
      </c>
      <c r="FV265" s="7">
        <v>0.34888446216255881</v>
      </c>
      <c r="FW265" s="6">
        <v>1849.9999999999998</v>
      </c>
      <c r="FX265" s="6">
        <v>2209.3723006349942</v>
      </c>
      <c r="FY265" s="6">
        <v>2111</v>
      </c>
      <c r="FZ265" s="6">
        <v>2594.6978186474794</v>
      </c>
      <c r="GA265" s="6">
        <v>1949.5582782098077</v>
      </c>
      <c r="GB265" s="6">
        <v>17745.441721790194</v>
      </c>
      <c r="GC265" s="7">
        <v>9.6947029492584935E-2</v>
      </c>
      <c r="GD265" s="7">
        <v>9.036507339681521E-2</v>
      </c>
      <c r="GE265" s="7"/>
      <c r="GF265" s="7"/>
      <c r="GG265" s="7">
        <v>-6.7892292628451825E-2</v>
      </c>
      <c r="GH265" s="42">
        <v>2.0726348634750011</v>
      </c>
      <c r="GI265" s="6">
        <v>11451.955611707881</v>
      </c>
      <c r="GJ265" s="14">
        <v>0.51074630601039572</v>
      </c>
      <c r="GK265" s="14">
        <v>0.50829519786160959</v>
      </c>
      <c r="GL265" s="14">
        <v>0.48925369398960428</v>
      </c>
      <c r="GM265" s="14">
        <v>0.49170480213838996</v>
      </c>
      <c r="GO265" s="5">
        <v>338.16872463277008</v>
      </c>
      <c r="GP265" s="5">
        <v>302.87425392274076</v>
      </c>
      <c r="GQ265" s="5">
        <v>527.27910984145694</v>
      </c>
      <c r="GR265" s="5">
        <v>404.20319246551543</v>
      </c>
      <c r="GS265" s="5">
        <v>334.50205195691484</v>
      </c>
      <c r="GT265" s="5">
        <v>289.18266033348181</v>
      </c>
      <c r="GU265" s="5">
        <v>254.29573314828914</v>
      </c>
      <c r="GV265" s="39" t="s">
        <v>392</v>
      </c>
      <c r="GW265" s="5">
        <v>475.29643226912253</v>
      </c>
      <c r="GX265" s="5">
        <v>358.07100736083845</v>
      </c>
      <c r="GY265" s="5">
        <v>287.73954748358943</v>
      </c>
      <c r="GZ265" s="5">
        <v>255.64660634518972</v>
      </c>
      <c r="HA265" s="5">
        <v>229.89195052129486</v>
      </c>
      <c r="HB265" s="39">
        <v>270.55155382667658</v>
      </c>
      <c r="HC265" s="5">
        <v>190.75937499999998</v>
      </c>
      <c r="HD265" s="5">
        <v>173.28879751461983</v>
      </c>
      <c r="HE265" s="5">
        <v>178.94016109986501</v>
      </c>
      <c r="HF265" s="5">
        <v>168.88629934210525</v>
      </c>
      <c r="HG265" s="5">
        <v>167.11410087719298</v>
      </c>
      <c r="HH265" s="39">
        <v>175.2536949649118</v>
      </c>
      <c r="HI265" s="16"/>
      <c r="HJ265" s="19" t="str">
        <f t="shared" ref="HJ265:HK265" si="914">HJ264</f>
        <v>On</v>
      </c>
      <c r="HK265" s="1" t="str">
        <f t="shared" si="914"/>
        <v>On</v>
      </c>
      <c r="HL265" s="16"/>
      <c r="HM265" s="639">
        <f t="shared" si="861"/>
        <v>5.0961701597560354E-2</v>
      </c>
      <c r="HN265" s="639">
        <f t="shared" si="862"/>
        <v>3.112551654761847E-3</v>
      </c>
      <c r="HO265" s="639">
        <f t="shared" si="863"/>
        <v>3.1163314184693442E-2</v>
      </c>
      <c r="HP265" s="644">
        <f>(FT265*$GD265-HM265)/$JF265*INDEX(Input!$1:$1048576,$JG$93,$C265*2+6)</f>
        <v>107.79819050617088</v>
      </c>
      <c r="HQ265" s="644">
        <f>(FU265*$GD265-HN265)/$JF265*INDEX(Input!$1:$1048576,$JG$93,$C265*2+6)</f>
        <v>-18.319756734420366</v>
      </c>
      <c r="HR265" s="644">
        <f>(FV265*$GD265-HO265)/$JF265*INDEX(Input!$1:$1048576,$JG$93,$C265*2+6)</f>
        <v>6.830474242371853</v>
      </c>
      <c r="HS265" s="644">
        <f t="shared" si="864"/>
        <v>-13.073950838998503</v>
      </c>
      <c r="HT265" s="644">
        <f t="shared" si="865"/>
        <v>-9.1516492151195923</v>
      </c>
      <c r="HU265" s="644">
        <f t="shared" si="866"/>
        <v>32.628722118310193</v>
      </c>
      <c r="HV265" s="648">
        <f t="shared" si="867"/>
        <v>0</v>
      </c>
      <c r="HW265" s="648">
        <f t="shared" si="868"/>
        <v>0</v>
      </c>
      <c r="HX265" s="648">
        <f t="shared" si="869"/>
        <v>0</v>
      </c>
      <c r="HY265" s="644">
        <f>INDEX(Input!$1:$1048576,HY$93,$C265*2+6)*INDEX(Input!$1:$1048576,$JG$93,$C265*2+6)</f>
        <v>555</v>
      </c>
      <c r="HZ265" s="644">
        <f>INDEX(Input!$1:$1048576,HZ$93,$C265*2+6)*INDEX(Input!$1:$1048576,$JG$93,$C265*2+6)</f>
        <v>480</v>
      </c>
      <c r="IA265" s="644">
        <f>INDEX(Input!$1:$1048576,IA$93,$C265*2+6)*INDEX(Input!$1:$1048576,$JG$93,$C265*2+6)</f>
        <v>566</v>
      </c>
      <c r="IB265" s="644">
        <f t="shared" si="870"/>
        <v>649.72423966717236</v>
      </c>
      <c r="IC265" s="644">
        <f t="shared" si="871"/>
        <v>452.52859405046001</v>
      </c>
      <c r="ID265" s="644">
        <f>IF(AND(INDEX(Input!$1:$1048576,IA$93,$C265*2+7)="TOS",Y265&lt;=INDEX(Y:Y,MATCH(C265*1000+2,A:A))),0,1)*MAX(IA265+HR265+HU265+HX265,0%)</f>
        <v>605.45919636068209</v>
      </c>
      <c r="IE265" s="128">
        <f t="shared" si="872"/>
        <v>0.3804647553120396</v>
      </c>
      <c r="IF265" s="128">
        <f t="shared" si="873"/>
        <v>0.26499116131992545</v>
      </c>
      <c r="IG265" s="128">
        <f t="shared" si="874"/>
        <v>0.35454408336803495</v>
      </c>
      <c r="IH265" s="21"/>
      <c r="II265" s="19">
        <f t="shared" si="875"/>
        <v>1200</v>
      </c>
      <c r="IJ265" s="19">
        <f t="shared" si="876"/>
        <v>2226.7968732767699</v>
      </c>
      <c r="IK265" s="19">
        <f t="shared" si="877"/>
        <v>1786</v>
      </c>
      <c r="IL265" s="19">
        <f t="shared" si="878"/>
        <v>649.99999999999977</v>
      </c>
      <c r="IM265" s="19">
        <f t="shared" si="879"/>
        <v>-17.42457264177574</v>
      </c>
      <c r="IN265" s="19">
        <f t="shared" si="880"/>
        <v>325</v>
      </c>
      <c r="IO265" s="39">
        <f t="shared" si="881"/>
        <v>0</v>
      </c>
      <c r="IP265" s="39">
        <f t="shared" si="882"/>
        <v>0</v>
      </c>
      <c r="IQ265" s="39">
        <f t="shared" si="883"/>
        <v>0</v>
      </c>
      <c r="IR265" s="39">
        <v>0</v>
      </c>
      <c r="IS265" s="39">
        <v>0</v>
      </c>
      <c r="IT265" s="39">
        <v>0</v>
      </c>
      <c r="IU265" s="39">
        <v>0</v>
      </c>
      <c r="IV265" s="39">
        <v>0</v>
      </c>
      <c r="IW265" s="39">
        <v>0</v>
      </c>
      <c r="IX265" s="39">
        <f>INDEX(Input!$1:$1048576,IX$93,$C265*2+6)+INDEX(Input!$1:$1048576,IX$94,$C265*2+6)</f>
        <v>1600</v>
      </c>
      <c r="IY265" s="39">
        <f>INDEX(Input!$1:$1048576,IY$93,$C265*2+6)+INDEX(Input!$1:$1048576,IY$94,$C265*2+6)</f>
        <v>2503.5492916397525</v>
      </c>
      <c r="IZ265" s="39">
        <f>INDEX(Input!$1:$1048576,IZ$93,$C265*2+6)+INDEX(Input!$1:$1048576,IZ$94,$C265*2+6)</f>
        <v>5773.7109265464023</v>
      </c>
      <c r="JA265" s="19">
        <f t="shared" si="884"/>
        <v>2250</v>
      </c>
      <c r="JB265" s="19">
        <f t="shared" si="885"/>
        <v>2486.1247189979767</v>
      </c>
      <c r="JC265" s="19">
        <f t="shared" si="886"/>
        <v>6098.7109265464023</v>
      </c>
      <c r="JD265" s="19">
        <f t="shared" si="887"/>
        <v>3677.1086511045496</v>
      </c>
      <c r="JE265" s="21"/>
      <c r="JF265" s="1">
        <f t="shared" si="888"/>
        <v>8.5237567437015646E-2</v>
      </c>
      <c r="JG265" s="15">
        <f>INDEX(Input!$1:$1048576,JG$93,$C265*2+6)/(1+VLOOKUP(C265*1000+INDEX(Input!$1:$1048576,JG$93+1,$C265*2+6),$A:$KK,$JK$92,FALSE))</f>
        <v>1601</v>
      </c>
      <c r="JH265" s="1">
        <f t="shared" si="889"/>
        <v>6.0155470339864063E-2</v>
      </c>
      <c r="JI265" s="1">
        <f t="shared" si="890"/>
        <v>6.4978901088020595E-3</v>
      </c>
      <c r="JJ265" s="1">
        <f t="shared" si="891"/>
        <v>0</v>
      </c>
      <c r="JK265" s="1">
        <f t="shared" si="892"/>
        <v>6.6653360448666127E-2</v>
      </c>
      <c r="JL265" s="15">
        <f t="shared" si="893"/>
        <v>106.71203007831447</v>
      </c>
      <c r="JM265" s="15">
        <f t="shared" si="894"/>
        <v>1707.7120300783145</v>
      </c>
      <c r="JN265" s="21"/>
      <c r="JO265" s="19">
        <f>INDEX(Input!$1:$1048576,JO$93,$C265*2+6)</f>
        <v>5908.5</v>
      </c>
      <c r="JP265" s="19">
        <f>INDEX(Input!$1:$1048576,JP$93,$C265*2+6)</f>
        <v>3346.4235130620518</v>
      </c>
      <c r="JQ265" s="39">
        <f t="shared" si="895"/>
        <v>2231.3913488954504</v>
      </c>
      <c r="JR265" s="39">
        <f t="shared" si="896"/>
        <v>330.68513804249778</v>
      </c>
      <c r="JS265" s="39">
        <f t="shared" si="897"/>
        <v>6.2794426793962828</v>
      </c>
      <c r="JT265" s="39">
        <f t="shared" si="898"/>
        <v>0.92181863498393823</v>
      </c>
      <c r="JU265" s="385">
        <f>(JQ265*JM265-INDEX(Input!$1:$1048576,Input!A$18,$C265*2+6)*JL265*INDEX(Input!$1:$1048576,Input!A$19,$C265*2+6))/1000000</f>
        <v>3.8105738503214384</v>
      </c>
      <c r="JV265" s="39">
        <f t="shared" si="899"/>
        <v>-0.29131060526621644</v>
      </c>
      <c r="JW265" s="1">
        <f t="shared" si="900"/>
        <v>-7.1018725276229641E-2</v>
      </c>
      <c r="JX265" s="19">
        <f t="shared" si="901"/>
        <v>8638.3759573070474</v>
      </c>
      <c r="JZ265" s="341"/>
      <c r="KA265" s="342"/>
      <c r="KB265" s="469">
        <f t="shared" si="784"/>
        <v>2.4482969984810516</v>
      </c>
      <c r="KI265" s="473">
        <f t="shared" si="902"/>
        <v>94.724239667172355</v>
      </c>
      <c r="KJ265" s="473">
        <f t="shared" si="903"/>
        <v>-27.471405949539985</v>
      </c>
      <c r="KK265" s="473">
        <f t="shared" si="904"/>
        <v>39.459196360682085</v>
      </c>
      <c r="KN265" s="544">
        <f t="shared" si="905"/>
        <v>2002</v>
      </c>
      <c r="KO265" s="541">
        <f t="shared" si="906"/>
        <v>-1.1602801262786455E-2</v>
      </c>
      <c r="KP265" s="546">
        <f t="shared" si="907"/>
        <v>-15.501011402641169</v>
      </c>
      <c r="KQ265" s="546">
        <f t="shared" si="908"/>
        <v>-48.494923851988915</v>
      </c>
      <c r="KR265" s="548">
        <f t="shared" si="909"/>
        <v>11.953396342567741</v>
      </c>
      <c r="KS265" s="548">
        <f t="shared" si="910"/>
        <v>3.8208067626202182</v>
      </c>
      <c r="KT265" s="473">
        <f t="shared" si="786"/>
        <v>528.59039248727379</v>
      </c>
      <c r="KU265" s="663">
        <f t="shared" si="911"/>
        <v>11.947890370279261</v>
      </c>
    </row>
    <row r="266" spans="1:308" s="26" customFormat="1" ht="15" outlineLevel="1">
      <c r="A266" s="561">
        <f t="shared" ref="A266:A300" si="915">C266*1000+B266</f>
        <v>2066</v>
      </c>
      <c r="B266" s="561">
        <f t="shared" si="777"/>
        <v>66</v>
      </c>
      <c r="C266" s="561">
        <f t="shared" si="857"/>
        <v>2</v>
      </c>
      <c r="D266" s="561" t="str">
        <f t="shared" si="859"/>
        <v xml:space="preserve">500 CC, 0.9/1.9/2.9/3.9, </v>
      </c>
      <c r="E266" s="475">
        <f>INDEX(Input!$1:$1048576,E$93,$C266*2+MIN($B266,2)+5)
+INDEX(Scenarios!E$121:E$200,MATCH($B266,Scenarios!$B$121:$B$200,0))</f>
        <v>1750</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0</v>
      </c>
      <c r="R266" s="478">
        <f>IFERROR(MAX(0,INDEX(Input!$1:$1048576,R$93,$C266*2+MIN($B266,2)+5)
+INDEX(Scenarios!R$121:R$200,MATCH($B266,Scenarios!$B$121:$B$200,0)),),"Market")</f>
        <v>9.0000000000000011E-3</v>
      </c>
      <c r="S266" s="478">
        <f>IFERROR(MAX(0,INDEX(Input!$1:$1048576,S$93,$C266*2+MIN($B266,2)+5)
+INDEX(Scenarios!S$121:S$200,MATCH($B266,Scenarios!$B$121:$B$200,0)),),"Market")</f>
        <v>9.0000000000000011E-3</v>
      </c>
      <c r="T266" s="478">
        <f>IFERROR(MAX(0,INDEX(Input!$1:$1048576,T$93,$C266*2+MIN($B266,2)+5)
+INDEX(Scenarios!T$121:T$200,MATCH($B266,Scenarios!$B$121:$B$200,0)),),"Market")</f>
        <v>9.0000000000000011E-3</v>
      </c>
      <c r="U266" s="478">
        <f>IFERROR(MAX(0,INDEX(Input!$1:$1048576,U$93,$C266*2+MIN($B266,2)+5)
+INDEX(Scenarios!U$121:U$200,MATCH($B266,Scenarios!$B$121:$B$200,0)),),"Market")</f>
        <v>9.0000000000000011E-3</v>
      </c>
      <c r="V266" s="478">
        <f>IFERROR(MAX(0,INDEX(Input!$1:$1048576,V$93,$C266*2+MIN($B266,2)+5)
+INDEX(Scenarios!V$121:V$200,MATCH($B266,Scenarios!$B$121:$B$200,0)),),"Market")</f>
        <v>2.8999999999999998E-2</v>
      </c>
      <c r="W266" s="863">
        <f>IFERROR(MAX(0,INDEX(Input!$1:$1048576,W$93,$C266*2+MIN($B266,2)+5)-0%,),"Market")</f>
        <v>3.9E-2</v>
      </c>
      <c r="X266" s="476" t="str">
        <f>INDEX(Input!$1:$1048576,X$93,$C266*2+MIN($B266,2)+5)</f>
        <v>Y</v>
      </c>
      <c r="Y266" s="475">
        <f>INDEX(Input!$1:$1048576,Y$93,$C266*2+MIN($B266,2)+5)
++INDEX(Scenarios!Y$121:Y$200,MATCH($B266,Scenarios!$B$121:$B$200,0))</f>
        <v>1358</v>
      </c>
      <c r="Z266" s="477">
        <f>INDEX(Input!$1:$1048576,Z$93,$C266*2+MIN($B266,2)+5)
+INDEX(Scenarios!Z$121:Z$200,MATCH($B266,Scenarios!$B$121:$B$200,0))</f>
        <v>0</v>
      </c>
      <c r="AA266" s="475">
        <f>INDEX(Input!$1:$1048576,AA$93,$C266*2+MIN($B266,2)+5)</f>
        <v>0</v>
      </c>
      <c r="AB266" s="476">
        <f>INDEX(Input!$1:$1048576,AB$93,$C266*2+MIN($B266,2)+5)</f>
        <v>1</v>
      </c>
      <c r="AC266" s="475">
        <f>INDEX(Input!$1:$1048576,AC$93,$C266*2+MIN($B266,2)+5)
+INDEX(Scenarios!AC$121:AC$200,MATCH($B266,Scenarios!$B$121:$B$200,0))</f>
        <v>0</v>
      </c>
      <c r="AD266" s="476">
        <f>INDEX(Input!$1:$1048576,AD$93,$C266*2+MIN($B266,2)+5)</f>
        <v>0.35</v>
      </c>
      <c r="AE266" s="475">
        <f>INDEX(Input!$1:$1048576,AE$93,$C266*2+MIN($B266,2)+5)
+INDEX(Scenarios!AE$121:AE$200,MATCH($B266,Scenarios!$B$121:$B$200,0))</f>
        <v>0</v>
      </c>
      <c r="AF266" s="476">
        <f>INDEX(Input!$1:$1048576,AF$93,$C266*2+MIN($B266,2)+5)</f>
        <v>1</v>
      </c>
      <c r="AG266" s="475">
        <f>INDEX(Input!$1:$1048576,AG$93,$C266*2+MIN($B266,2)+5)
+INDEX(Scenarios!AG$121:AG$200,MATCH($B266,Scenarios!$B$121:$B$200,0))</f>
        <v>0</v>
      </c>
      <c r="AH266" s="476">
        <f>INDEX(Input!$1:$1048576,AH$93,$C266*2+MIN($B266,2)+5)</f>
        <v>1</v>
      </c>
      <c r="AI266" s="475">
        <f>INDEX(Input!$1:$1048576,AI$93,$C266*2+MIN($B266,2)+5)
+INDEX(Scenarios!AI$121:AI$200,MATCH($B266,Scenarios!$B$121:$B$200,0))</f>
        <v>0</v>
      </c>
      <c r="AJ266" s="476">
        <f>INDEX(Input!$1:$1048576,AJ$93,$C266*2+MIN($B266,2)+5)</f>
        <v>0.35</v>
      </c>
      <c r="AK266" s="150">
        <f>ROUND(INDEX(Input!$1:$1048576,AK$93,$C265*2+MIN($B266,1)+5)+(Y266-VLOOKUP($C266*1000+1,$A:$HH,Y$92,FALSE)),0)</f>
        <v>4982</v>
      </c>
      <c r="AL266" s="150">
        <f>ROUND(INDEX(Input!$1:$1048576,AL$93,$C265*2+MIN($B266,1)+5)-(Y266-VLOOKUP($C266*1000+1,$A:$HH,Y$92,FALSE))/36,0)</f>
        <v>5102</v>
      </c>
      <c r="AM266" s="32" t="str">
        <f t="shared" ref="AM266:AM300" si="916">IF(K266="market","std",ROUND(K266*1000,0)/10)&amp;"/"&amp;IF(L266="market","std",ROUND(L266*1000,0)/10)&amp;"/"&amp;IF(M266="market","std",ROUND(M266*1000,0)/10)&amp;"/"&amp;IF(N266="market","std",ROUND(N266*1000,0)/10)&amp;IF(P266="N","","/"&amp;IF(O266="market","std",ROUND(O266*1000,0)/10))</f>
        <v>std/std/std/std</v>
      </c>
      <c r="AN266" s="32" t="str">
        <f t="shared" ref="AN266:AN300" si="917">"$"&amp;ROUND(Q266,0)&amp;" + "&amp;IF(S266="market","std",ROUND(S266*1000,0)/10)&amp;"/"&amp;IF(T266="market","std",ROUND(T266*1000,0)/10)&amp;"/"&amp;IF(U266="market","std",ROUND(U266*1000,0)/10)&amp;"/"&amp;IF(V266="market","std",ROUND(V266*1000,0)/10)&amp;IF(X266="N","","/"&amp;IF(W266="market","std",ROUND(W266*1000,0)/10))</f>
        <v>$0 + 0.9/0.9/0.9/2.9/3.9</v>
      </c>
      <c r="AO266" s="32" t="str">
        <f t="shared" ref="AO266:AO300" si="918">IF(S266="market","std",ROUND(S266*1000,0)/10)&amp;"/"&amp;IF(T266="market","std",ROUND(T266*1000,0)/10)&amp;"/"&amp;IF(U266="market","std",ROUND(U266*1000,0)/10)&amp;"/"&amp;IF(V266="market","std",ROUND(V266*1000,0)/10)&amp;IF(X266="N","","/"&amp;IF(W266="market","std",ROUND(W266*1000,0)/10))</f>
        <v>0.9/0.9/0.9/2.9/3.9</v>
      </c>
      <c r="AP266" s="32" t="str">
        <f t="shared" si="831"/>
        <v>0.9/1.9/2.9/3.9</v>
      </c>
      <c r="AQ266" s="536">
        <f t="shared" si="830"/>
        <v>0.39999708344807222</v>
      </c>
      <c r="AR266" s="32"/>
      <c r="AS266" s="302"/>
      <c r="AT266" s="3">
        <f t="shared" si="810"/>
        <v>66</v>
      </c>
      <c r="AU266" s="41" t="s">
        <v>121</v>
      </c>
      <c r="AV266" s="41" t="s">
        <v>116</v>
      </c>
      <c r="AW266" s="41" t="str">
        <f>INDEX(Input!$1:$1048576,AW$93,$C266*2+6)</f>
        <v>Kia</v>
      </c>
      <c r="AX266" s="41" t="str">
        <f>INDEX(Input!$1:$1048576,AX$93,$C266*2+6)</f>
        <v>Kia-LR - L2</v>
      </c>
      <c r="AY266" s="41" t="str">
        <f>IF(LEN(D266)=0,"",INDEX(Input!$1:$1048576,AY$93,$C266*2+6))</f>
        <v>Compact Conventional/Sporty Car (43)</v>
      </c>
      <c r="AZ266" s="41" t="str">
        <f>INDEX(Input!$1:$1048576,AZ$93,$C266*2+6)</f>
        <v>Kia Forte</v>
      </c>
      <c r="BA266" s="3">
        <f>INDEX(Input!$1:$1048576,BA$93,$C266*2+6)</f>
        <v>2020</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19695</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832"/>
        <v>1750</v>
      </c>
      <c r="CJ266" s="16" t="str">
        <f>INDEX(Input!$1:$1048576,CJ$93,$C266*2+6)</f>
        <v>N</v>
      </c>
      <c r="CK266" s="1" t="str">
        <f t="shared" si="833"/>
        <v>Market</v>
      </c>
      <c r="CL266" s="1" t="str">
        <f t="shared" si="834"/>
        <v>Market</v>
      </c>
      <c r="CM266" s="1" t="str">
        <f t="shared" si="835"/>
        <v>Market</v>
      </c>
      <c r="CN266" s="1" t="str">
        <f t="shared" si="836"/>
        <v>Market</v>
      </c>
      <c r="CO266" s="1" t="str">
        <f t="shared" si="837"/>
        <v>Market</v>
      </c>
      <c r="CP266" s="304">
        <f t="shared" si="838"/>
        <v>0</v>
      </c>
      <c r="CQ266" s="1">
        <f t="shared" si="839"/>
        <v>9.0000000000000011E-3</v>
      </c>
      <c r="CR266" s="1">
        <f t="shared" si="840"/>
        <v>9.0000000000000011E-3</v>
      </c>
      <c r="CS266" s="1">
        <f t="shared" si="841"/>
        <v>9.0000000000000011E-3</v>
      </c>
      <c r="CT266" s="1">
        <f t="shared" si="842"/>
        <v>2.8999999999999998E-2</v>
      </c>
      <c r="CU266" s="1">
        <f t="shared" si="843"/>
        <v>3.9E-2</v>
      </c>
      <c r="CV266" s="304">
        <f t="shared" si="844"/>
        <v>1358</v>
      </c>
      <c r="CW266" s="20" t="s">
        <v>122</v>
      </c>
      <c r="CX266" s="20" t="s">
        <v>122</v>
      </c>
      <c r="CY266" s="20" t="s">
        <v>122</v>
      </c>
      <c r="CZ266" s="20" t="s">
        <v>122</v>
      </c>
      <c r="DA266" s="20" t="s">
        <v>122</v>
      </c>
      <c r="DB266" s="503">
        <f t="shared" si="845"/>
        <v>0</v>
      </c>
      <c r="DC266" s="127">
        <v>0</v>
      </c>
      <c r="DD266" s="127">
        <v>0</v>
      </c>
      <c r="DE266" s="127">
        <v>0</v>
      </c>
      <c r="DF266" s="127">
        <v>0</v>
      </c>
      <c r="DG266" s="127">
        <v>0</v>
      </c>
      <c r="DH266" s="127">
        <v>0</v>
      </c>
      <c r="DI266" s="127">
        <v>0</v>
      </c>
      <c r="DJ266" s="127">
        <v>0</v>
      </c>
      <c r="DK266" s="127">
        <v>0</v>
      </c>
      <c r="DL266" s="127">
        <v>0</v>
      </c>
      <c r="DM266" s="304">
        <f>INDEX(Input!$1:$1048576,DM$93,$C266*2+6)</f>
        <v>20731.578947368424</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3.0322523583399989E-2</v>
      </c>
      <c r="DZ266" s="7">
        <v>0</v>
      </c>
      <c r="EA266" s="7">
        <v>0.61383177598441718</v>
      </c>
      <c r="EB266" s="7">
        <v>0</v>
      </c>
      <c r="EC266" s="7">
        <v>0</v>
      </c>
      <c r="ED266" s="7">
        <v>0</v>
      </c>
      <c r="EE266" s="7">
        <v>0</v>
      </c>
      <c r="EF266" s="7">
        <v>0</v>
      </c>
      <c r="EG266" s="7">
        <v>0</v>
      </c>
      <c r="EH266" s="7">
        <v>2.0021355593770249E-2</v>
      </c>
      <c r="EI266" s="7">
        <v>3.052532259060187E-2</v>
      </c>
      <c r="EJ266" s="7">
        <v>0.28813199519348009</v>
      </c>
      <c r="EK266" s="7">
        <v>0.58906096393707597</v>
      </c>
      <c r="EL266" s="7">
        <v>7.2260362685071494E-2</v>
      </c>
      <c r="EM266" s="7">
        <v>2.2562875645263335E-2</v>
      </c>
      <c r="EN266" s="7">
        <v>4.972459545508004E-2</v>
      </c>
      <c r="EO266" s="7">
        <v>0.56162888527531674</v>
      </c>
      <c r="EP266" s="7">
        <v>0.28604480980752672</v>
      </c>
      <c r="EQ266" s="7">
        <v>6.3868869229974479E-2</v>
      </c>
      <c r="ER266" s="7">
        <v>3.8732840232102064E-2</v>
      </c>
      <c r="ES266" s="7">
        <v>0.33328282478691967</v>
      </c>
      <c r="ET266" s="7">
        <v>0.35584570043218283</v>
      </c>
      <c r="EU266" s="6">
        <v>2100</v>
      </c>
      <c r="EV266" s="6">
        <v>0</v>
      </c>
      <c r="EW266" s="6">
        <v>2100</v>
      </c>
      <c r="EX266" s="6">
        <v>0</v>
      </c>
      <c r="EY266" s="6">
        <v>2209.3996715981011</v>
      </c>
      <c r="EZ266" s="6">
        <v>2111</v>
      </c>
      <c r="FA266" s="6">
        <v>0</v>
      </c>
      <c r="FB266" s="6">
        <v>0</v>
      </c>
      <c r="FC266" s="6">
        <v>0</v>
      </c>
      <c r="FD266" s="6">
        <v>0</v>
      </c>
      <c r="FE266" s="6">
        <v>0</v>
      </c>
      <c r="FF266" s="6">
        <v>0</v>
      </c>
      <c r="FG266" s="6">
        <v>0</v>
      </c>
      <c r="FH266" s="6">
        <v>926.7012791826927</v>
      </c>
      <c r="FI266" s="6">
        <v>1232.1164465304237</v>
      </c>
      <c r="FJ266" s="6">
        <v>1709.9775738488461</v>
      </c>
      <c r="FK266" s="6">
        <v>1266.3227157028202</v>
      </c>
      <c r="FL266" s="6">
        <v>893.9143356348934</v>
      </c>
      <c r="FM266" s="6">
        <v>1359.3996715981013</v>
      </c>
      <c r="FN266" s="6">
        <v>0</v>
      </c>
      <c r="FO266" s="6">
        <v>0</v>
      </c>
      <c r="FP266" s="6">
        <v>0</v>
      </c>
      <c r="FQ266" s="6">
        <v>0</v>
      </c>
      <c r="FR266" s="6">
        <v>0</v>
      </c>
      <c r="FS266" s="6">
        <v>0</v>
      </c>
      <c r="FT266" s="7">
        <v>0.64415429956781722</v>
      </c>
      <c r="FU266" s="7">
        <v>2.2562875645263335E-2</v>
      </c>
      <c r="FV266" s="7">
        <v>0.33328282478691967</v>
      </c>
      <c r="FW266" s="6">
        <v>2099.9999999999995</v>
      </c>
      <c r="FX266" s="6">
        <v>2209.3996715981011</v>
      </c>
      <c r="FY266" s="6">
        <v>2111</v>
      </c>
      <c r="FZ266" s="6">
        <v>2594.6978186474794</v>
      </c>
      <c r="GA266" s="6">
        <v>2106.134482258557</v>
      </c>
      <c r="GB266" s="6">
        <v>17588.865517741444</v>
      </c>
      <c r="GC266" s="7">
        <v>9.6947029492584935E-2</v>
      </c>
      <c r="GD266" s="7">
        <v>9.2120240639885498E-2</v>
      </c>
      <c r="GE266" s="7"/>
      <c r="GF266" s="7"/>
      <c r="GG266" s="7">
        <v>-4.9787898380822669E-2</v>
      </c>
      <c r="GH266" s="42">
        <v>2.0070533041998768</v>
      </c>
      <c r="GI266" s="6">
        <v>11919.027821357749</v>
      </c>
      <c r="GJ266" s="14">
        <v>0.5107463060103955</v>
      </c>
      <c r="GK266" s="14">
        <v>0.50829519786160982</v>
      </c>
      <c r="GL266" s="14">
        <v>0.48925369398960439</v>
      </c>
      <c r="GM266" s="14">
        <v>0.4917048021383903</v>
      </c>
      <c r="GO266" s="5">
        <v>338.16872463277008</v>
      </c>
      <c r="GP266" s="5">
        <v>298.1047308538179</v>
      </c>
      <c r="GQ266" s="5">
        <v>527.27910984145694</v>
      </c>
      <c r="GR266" s="5">
        <v>404.20319246551543</v>
      </c>
      <c r="GS266" s="5">
        <v>334.50205195691484</v>
      </c>
      <c r="GT266" s="5">
        <v>289.18266033348181</v>
      </c>
      <c r="GU266" s="5">
        <v>254.29573314828914</v>
      </c>
      <c r="GV266" s="39" t="s">
        <v>392</v>
      </c>
      <c r="GW266" s="5">
        <v>475.29643226912253</v>
      </c>
      <c r="GX266" s="5">
        <v>358.07100736083845</v>
      </c>
      <c r="GY266" s="5">
        <v>287.73954748358943</v>
      </c>
      <c r="GZ266" s="5">
        <v>255.64660634518972</v>
      </c>
      <c r="HA266" s="5">
        <v>229.89195052129486</v>
      </c>
      <c r="HB266" s="39">
        <v>270.55679388944446</v>
      </c>
      <c r="HC266" s="5">
        <v>190.75937499999998</v>
      </c>
      <c r="HD266" s="5">
        <v>173.28879751461983</v>
      </c>
      <c r="HE266" s="5">
        <v>178.94016109986501</v>
      </c>
      <c r="HF266" s="5">
        <v>168.88629934210525</v>
      </c>
      <c r="HG266" s="5">
        <v>167.11410087719298</v>
      </c>
      <c r="HH266" s="39">
        <v>175.25371201593697</v>
      </c>
      <c r="HI266" s="16"/>
      <c r="HJ266" s="19" t="str">
        <f t="shared" ref="HJ266:HK266" si="919">HJ265</f>
        <v>On</v>
      </c>
      <c r="HK266" s="1" t="str">
        <f t="shared" si="919"/>
        <v>On</v>
      </c>
      <c r="HL266" s="16"/>
      <c r="HM266" s="639">
        <f t="shared" si="861"/>
        <v>5.0961701597560354E-2</v>
      </c>
      <c r="HN266" s="639">
        <f t="shared" si="862"/>
        <v>3.112551654761847E-3</v>
      </c>
      <c r="HO266" s="639">
        <f t="shared" si="863"/>
        <v>3.1163314184693442E-2</v>
      </c>
      <c r="HP266" s="644">
        <f>(FT266*$GD266-HM266)/$JF266*INDEX(Input!$1:$1048576,$JG$93,$C266*2+6)</f>
        <v>157.36129421982059</v>
      </c>
      <c r="HQ266" s="644">
        <f>(FU266*$GD266-HN266)/$JF266*INDEX(Input!$1:$1048576,$JG$93,$C266*2+6)</f>
        <v>-19.422429536271135</v>
      </c>
      <c r="HR266" s="644">
        <f>(FV266*$GD266-HO266)/$JF266*INDEX(Input!$1:$1048576,$JG$93,$C266*2+6)</f>
        <v>-8.6630051168504725</v>
      </c>
      <c r="HS266" s="644">
        <f t="shared" si="864"/>
        <v>-18.106973810945654</v>
      </c>
      <c r="HT266" s="644">
        <f t="shared" si="865"/>
        <v>-12.062052955145131</v>
      </c>
      <c r="HU266" s="644">
        <f t="shared" si="866"/>
        <v>35.541623493707156</v>
      </c>
      <c r="HV266" s="648">
        <f t="shared" si="867"/>
        <v>0</v>
      </c>
      <c r="HW266" s="648">
        <f t="shared" si="868"/>
        <v>0</v>
      </c>
      <c r="HX266" s="648">
        <f t="shared" si="869"/>
        <v>0</v>
      </c>
      <c r="HY266" s="644">
        <f>INDEX(Input!$1:$1048576,HY$93,$C266*2+6)*INDEX(Input!$1:$1048576,$JG$93,$C266*2+6)</f>
        <v>555</v>
      </c>
      <c r="HZ266" s="644">
        <f>INDEX(Input!$1:$1048576,HZ$93,$C266*2+6)*INDEX(Input!$1:$1048576,$JG$93,$C266*2+6)</f>
        <v>480</v>
      </c>
      <c r="IA266" s="644">
        <f>INDEX(Input!$1:$1048576,IA$93,$C266*2+6)*INDEX(Input!$1:$1048576,$JG$93,$C266*2+6)</f>
        <v>566</v>
      </c>
      <c r="IB266" s="644">
        <f t="shared" si="870"/>
        <v>694.25432040887495</v>
      </c>
      <c r="IC266" s="644">
        <f t="shared" si="871"/>
        <v>448.51551750858374</v>
      </c>
      <c r="ID266" s="644">
        <f>IF(AND(INDEX(Input!$1:$1048576,IA$93,$C266*2+7)="TOS",Y266&lt;=INDEX(Y:Y,MATCH(C266*1000+2,A:A))),0,1)*MAX(IA266+HR266+HU266+HX266,0%)</f>
        <v>592.87861837685659</v>
      </c>
      <c r="IE266" s="128">
        <f t="shared" si="872"/>
        <v>0.39999708344807222</v>
      </c>
      <c r="IF266" s="128">
        <f t="shared" si="873"/>
        <v>0.25841380256586277</v>
      </c>
      <c r="IG266" s="128">
        <f t="shared" si="874"/>
        <v>0.34158911398606495</v>
      </c>
      <c r="IH266" s="21"/>
      <c r="II266" s="19">
        <f t="shared" si="875"/>
        <v>1200</v>
      </c>
      <c r="IJ266" s="19">
        <f t="shared" si="876"/>
        <v>2226.7968732767699</v>
      </c>
      <c r="IK266" s="19">
        <f t="shared" si="877"/>
        <v>1786</v>
      </c>
      <c r="IL266" s="19">
        <f t="shared" si="878"/>
        <v>899.99999999999955</v>
      </c>
      <c r="IM266" s="19">
        <f t="shared" si="879"/>
        <v>-17.397201678668807</v>
      </c>
      <c r="IN266" s="19">
        <f t="shared" si="880"/>
        <v>325</v>
      </c>
      <c r="IO266" s="39">
        <f t="shared" si="881"/>
        <v>0</v>
      </c>
      <c r="IP266" s="39">
        <f t="shared" si="882"/>
        <v>0</v>
      </c>
      <c r="IQ266" s="39">
        <f t="shared" si="883"/>
        <v>0</v>
      </c>
      <c r="IR266" s="39">
        <v>0</v>
      </c>
      <c r="IS266" s="39">
        <v>0</v>
      </c>
      <c r="IT266" s="39">
        <v>0</v>
      </c>
      <c r="IU266" s="39">
        <v>0</v>
      </c>
      <c r="IV266" s="39">
        <v>0</v>
      </c>
      <c r="IW266" s="39">
        <v>0</v>
      </c>
      <c r="IX266" s="39">
        <f>INDEX(Input!$1:$1048576,IX$93,$C266*2+6)+INDEX(Input!$1:$1048576,IX$94,$C266*2+6)</f>
        <v>1600</v>
      </c>
      <c r="IY266" s="39">
        <f>INDEX(Input!$1:$1048576,IY$93,$C266*2+6)+INDEX(Input!$1:$1048576,IY$94,$C266*2+6)</f>
        <v>2503.5492916397525</v>
      </c>
      <c r="IZ266" s="39">
        <f>INDEX(Input!$1:$1048576,IZ$93,$C266*2+6)+INDEX(Input!$1:$1048576,IZ$94,$C266*2+6)</f>
        <v>5773.7109265464023</v>
      </c>
      <c r="JA266" s="19">
        <f t="shared" si="884"/>
        <v>2499.9999999999995</v>
      </c>
      <c r="JB266" s="19">
        <f t="shared" si="885"/>
        <v>2486.1520899610837</v>
      </c>
      <c r="JC266" s="19">
        <f t="shared" si="886"/>
        <v>6098.7109265464023</v>
      </c>
      <c r="JD266" s="19">
        <f t="shared" si="887"/>
        <v>3725.70198580021</v>
      </c>
      <c r="JE266" s="21"/>
      <c r="JF266" s="1">
        <f t="shared" si="888"/>
        <v>8.5237567437015646E-2</v>
      </c>
      <c r="JG266" s="15">
        <f>INDEX(Input!$1:$1048576,JG$93,$C266*2+6)/(1+VLOOKUP(C266*1000+INDEX(Input!$1:$1048576,JG$93+1,$C266*2+6),$A:$KK,$JK$92,FALSE))</f>
        <v>1601</v>
      </c>
      <c r="JH266" s="1">
        <f t="shared" si="889"/>
        <v>8.0746945388319169E-2</v>
      </c>
      <c r="JI266" s="1">
        <f t="shared" si="890"/>
        <v>3.3557755950133494E-3</v>
      </c>
      <c r="JJ266" s="1">
        <f t="shared" si="891"/>
        <v>0</v>
      </c>
      <c r="JK266" s="1">
        <f t="shared" si="892"/>
        <v>8.4102720983332518E-2</v>
      </c>
      <c r="JL266" s="15">
        <f t="shared" si="893"/>
        <v>134.64845629431537</v>
      </c>
      <c r="JM266" s="15">
        <f t="shared" si="894"/>
        <v>1735.6484562943153</v>
      </c>
      <c r="JN266" s="21"/>
      <c r="JO266" s="19">
        <f>INDEX(Input!$1:$1048576,JO$93,$C266*2+6)</f>
        <v>5908.5</v>
      </c>
      <c r="JP266" s="19">
        <f>INDEX(Input!$1:$1048576,JP$93,$C266*2+6)</f>
        <v>3346.4235130620518</v>
      </c>
      <c r="JQ266" s="39">
        <f t="shared" si="895"/>
        <v>2182.79801419979</v>
      </c>
      <c r="JR266" s="39">
        <f t="shared" si="896"/>
        <v>379.27847273815814</v>
      </c>
      <c r="JS266" s="39">
        <f t="shared" si="897"/>
        <v>6.466508900266799</v>
      </c>
      <c r="JT266" s="39">
        <f t="shared" si="898"/>
        <v>1.1088848558544544</v>
      </c>
      <c r="JU266" s="385">
        <f>(JQ266*JM266-INDEX(Input!$1:$1048576,Input!A$18,$C266*2+6)*JL266*INDEX(Input!$1:$1048576,Input!A$19,$C266*2+6))/1000000</f>
        <v>3.7885700037481627</v>
      </c>
      <c r="JV266" s="39">
        <f t="shared" si="899"/>
        <v>-0.31331445183949214</v>
      </c>
      <c r="JW266" s="1">
        <f t="shared" si="900"/>
        <v>-7.6383051553948575E-2</v>
      </c>
      <c r="JX266" s="19">
        <f t="shared" si="901"/>
        <v>8235.4071214202977</v>
      </c>
      <c r="JZ266" s="341"/>
      <c r="KA266" s="342"/>
      <c r="KB266" s="469">
        <f t="shared" si="784"/>
        <v>2.4482969984810516</v>
      </c>
      <c r="KI266" s="473">
        <f t="shared" si="902"/>
        <v>139.25432040887495</v>
      </c>
      <c r="KJ266" s="473">
        <f t="shared" si="903"/>
        <v>-31.484482491416315</v>
      </c>
      <c r="KK266" s="473">
        <f t="shared" si="904"/>
        <v>26.878618376856593</v>
      </c>
      <c r="KN266" s="544">
        <f t="shared" si="905"/>
        <v>2002</v>
      </c>
      <c r="KO266" s="541">
        <f t="shared" si="906"/>
        <v>4.5663683210090955E-3</v>
      </c>
      <c r="KP266" s="546">
        <f t="shared" si="907"/>
        <v>92.134049539650533</v>
      </c>
      <c r="KQ266" s="546">
        <f t="shared" si="908"/>
        <v>9.8410843671445036E-2</v>
      </c>
      <c r="KR266" s="548">
        <f t="shared" si="909"/>
        <v>0.79147878884420253</v>
      </c>
      <c r="KS266" s="548">
        <f t="shared" si="910"/>
        <v>740.99706110042735</v>
      </c>
      <c r="KT266" s="473">
        <f t="shared" si="786"/>
        <v>528.59039248727379</v>
      </c>
      <c r="KU266" s="663">
        <f t="shared" si="911"/>
        <v>12.071441743246259</v>
      </c>
    </row>
    <row r="267" spans="1:308" s="26" customFormat="1" ht="15" outlineLevel="1">
      <c r="A267" s="561">
        <f t="shared" si="915"/>
        <v>2067</v>
      </c>
      <c r="B267" s="561">
        <f t="shared" ref="B267:B300" si="920">B266+1</f>
        <v>67</v>
      </c>
      <c r="C267" s="561">
        <f t="shared" si="857"/>
        <v>2</v>
      </c>
      <c r="D267" s="561" t="str">
        <f t="shared" si="859"/>
        <v xml:space="preserve">250 CC, 0.9/1.9/2.9/3.9, -360 Lease, </v>
      </c>
      <c r="E267" s="475">
        <f>INDEX(Input!$1:$1048576,E$93,$C267*2+MIN($B267,2)+5)
+INDEX(Scenarios!E$121:E$200,MATCH($B267,Scenarios!$B$121:$B$200,0))</f>
        <v>1500</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0</v>
      </c>
      <c r="R267" s="478">
        <f>IFERROR(MAX(0,INDEX(Input!$1:$1048576,R$93,$C267*2+MIN($B267,2)+5)
+INDEX(Scenarios!R$121:R$200,MATCH($B267,Scenarios!$B$121:$B$200,0)),),"Market")</f>
        <v>9.0000000000000011E-3</v>
      </c>
      <c r="S267" s="478">
        <f>IFERROR(MAX(0,INDEX(Input!$1:$1048576,S$93,$C267*2+MIN($B267,2)+5)
+INDEX(Scenarios!S$121:S$200,MATCH($B267,Scenarios!$B$121:$B$200,0)),),"Market")</f>
        <v>9.0000000000000011E-3</v>
      </c>
      <c r="T267" s="478">
        <f>IFERROR(MAX(0,INDEX(Input!$1:$1048576,T$93,$C267*2+MIN($B267,2)+5)
+INDEX(Scenarios!T$121:T$200,MATCH($B267,Scenarios!$B$121:$B$200,0)),),"Market")</f>
        <v>9.0000000000000011E-3</v>
      </c>
      <c r="U267" s="478">
        <f>IFERROR(MAX(0,INDEX(Input!$1:$1048576,U$93,$C267*2+MIN($B267,2)+5)
+INDEX(Scenarios!U$121:U$200,MATCH($B267,Scenarios!$B$121:$B$200,0)),),"Market")</f>
        <v>9.0000000000000011E-3</v>
      </c>
      <c r="V267" s="478">
        <f>IFERROR(MAX(0,INDEX(Input!$1:$1048576,V$93,$C267*2+MIN($B267,2)+5)
+INDEX(Scenarios!V$121:V$200,MATCH($B267,Scenarios!$B$121:$B$200,0)),),"Market")</f>
        <v>2.8999999999999998E-2</v>
      </c>
      <c r="W267" s="863">
        <f>IFERROR(MAX(0,INDEX(Input!$1:$1048576,W$93,$C267*2+MIN($B267,2)+5)-0%,),"Market")</f>
        <v>3.9E-2</v>
      </c>
      <c r="X267" s="476" t="str">
        <f>INDEX(Input!$1:$1048576,X$93,$C267*2+MIN($B267,2)+5)</f>
        <v>Y</v>
      </c>
      <c r="Y267" s="475">
        <f>INDEX(Input!$1:$1048576,Y$93,$C267*2+MIN($B267,2)+5)
++INDEX(Scenarios!Y$121:Y$200,MATCH($B267,Scenarios!$B$121:$B$200,0))</f>
        <v>998</v>
      </c>
      <c r="Z267" s="477">
        <f>INDEX(Input!$1:$1048576,Z$93,$C267*2+MIN($B267,2)+5)
+INDEX(Scenarios!Z$121:Z$200,MATCH($B267,Scenarios!$B$121:$B$200,0))</f>
        <v>0</v>
      </c>
      <c r="AA267" s="475">
        <f>INDEX(Input!$1:$1048576,AA$93,$C267*2+MIN($B267,2)+5)</f>
        <v>0</v>
      </c>
      <c r="AB267" s="476">
        <f>INDEX(Input!$1:$1048576,AB$93,$C267*2+MIN($B267,2)+5)</f>
        <v>1</v>
      </c>
      <c r="AC267" s="475">
        <f>INDEX(Input!$1:$1048576,AC$93,$C267*2+MIN($B267,2)+5)
+INDEX(Scenarios!AC$121:AC$200,MATCH($B267,Scenarios!$B$121:$B$200,0))</f>
        <v>0</v>
      </c>
      <c r="AD267" s="476">
        <f>INDEX(Input!$1:$1048576,AD$93,$C267*2+MIN($B267,2)+5)</f>
        <v>0.35</v>
      </c>
      <c r="AE267" s="475">
        <f>INDEX(Input!$1:$1048576,AE$93,$C267*2+MIN($B267,2)+5)
+INDEX(Scenarios!AE$121:AE$200,MATCH($B267,Scenarios!$B$121:$B$200,0))</f>
        <v>0</v>
      </c>
      <c r="AF267" s="476">
        <f>INDEX(Input!$1:$1048576,AF$93,$C267*2+MIN($B267,2)+5)</f>
        <v>1</v>
      </c>
      <c r="AG267" s="475">
        <f>INDEX(Input!$1:$1048576,AG$93,$C267*2+MIN($B267,2)+5)
+INDEX(Scenarios!AG$121:AG$200,MATCH($B267,Scenarios!$B$121:$B$200,0))</f>
        <v>0</v>
      </c>
      <c r="AH267" s="476">
        <f>INDEX(Input!$1:$1048576,AH$93,$C267*2+MIN($B267,2)+5)</f>
        <v>1</v>
      </c>
      <c r="AI267" s="475">
        <f>INDEX(Input!$1:$1048576,AI$93,$C267*2+MIN($B267,2)+5)
+INDEX(Scenarios!AI$121:AI$200,MATCH($B267,Scenarios!$B$121:$B$200,0))</f>
        <v>0</v>
      </c>
      <c r="AJ267" s="476">
        <f>INDEX(Input!$1:$1048576,AJ$93,$C267*2+MIN($B267,2)+5)</f>
        <v>0.35</v>
      </c>
      <c r="AK267" s="150">
        <f>ROUND(INDEX(Input!$1:$1048576,AK$93,$C266*2+MIN($B267,1)+5)+(Y267-VLOOKUP($C267*1000+1,$A:$HH,Y$92,FALSE)),0)</f>
        <v>4622</v>
      </c>
      <c r="AL267" s="150">
        <f>ROUND(INDEX(Input!$1:$1048576,AL$93,$C266*2+MIN($B267,1)+5)-(Y267-VLOOKUP($C267*1000+1,$A:$HH,Y$92,FALSE))/36,0)</f>
        <v>5112</v>
      </c>
      <c r="AM267" s="32" t="str">
        <f t="shared" si="916"/>
        <v>std/std/std/std</v>
      </c>
      <c r="AN267" s="32" t="str">
        <f t="shared" si="917"/>
        <v>$0 + 0.9/0.9/0.9/2.9/3.9</v>
      </c>
      <c r="AO267" s="32" t="str">
        <f t="shared" si="918"/>
        <v>0.9/0.9/0.9/2.9/3.9</v>
      </c>
      <c r="AP267" s="32" t="str">
        <f t="shared" si="831"/>
        <v>0.9/1.9/2.9/3.9</v>
      </c>
      <c r="AQ267" s="536">
        <f t="shared" si="830"/>
        <v>0.4051915365203666</v>
      </c>
      <c r="AR267" s="32"/>
      <c r="AS267" s="302"/>
      <c r="AT267" s="3">
        <f t="shared" si="810"/>
        <v>67</v>
      </c>
      <c r="AU267" s="41" t="s">
        <v>121</v>
      </c>
      <c r="AV267" s="41" t="s">
        <v>116</v>
      </c>
      <c r="AW267" s="41" t="str">
        <f>INDEX(Input!$1:$1048576,AW$93,$C267*2+6)</f>
        <v>Kia</v>
      </c>
      <c r="AX267" s="41" t="str">
        <f>INDEX(Input!$1:$1048576,AX$93,$C267*2+6)</f>
        <v>Kia-LR - L2</v>
      </c>
      <c r="AY267" s="41" t="str">
        <f>IF(LEN(D267)=0,"",INDEX(Input!$1:$1048576,AY$93,$C267*2+6))</f>
        <v>Compact Conventional/Sporty Car (43)</v>
      </c>
      <c r="AZ267" s="41" t="str">
        <f>INDEX(Input!$1:$1048576,AZ$93,$C267*2+6)</f>
        <v>Kia Forte</v>
      </c>
      <c r="BA267" s="3">
        <f>INDEX(Input!$1:$1048576,BA$93,$C267*2+6)</f>
        <v>2020</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19695</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832"/>
        <v>1500</v>
      </c>
      <c r="CJ267" s="16" t="str">
        <f>INDEX(Input!$1:$1048576,CJ$93,$C267*2+6)</f>
        <v>N</v>
      </c>
      <c r="CK267" s="1" t="str">
        <f t="shared" si="833"/>
        <v>Market</v>
      </c>
      <c r="CL267" s="1" t="str">
        <f t="shared" si="834"/>
        <v>Market</v>
      </c>
      <c r="CM267" s="1" t="str">
        <f t="shared" si="835"/>
        <v>Market</v>
      </c>
      <c r="CN267" s="1" t="str">
        <f t="shared" si="836"/>
        <v>Market</v>
      </c>
      <c r="CO267" s="1" t="str">
        <f t="shared" si="837"/>
        <v>Market</v>
      </c>
      <c r="CP267" s="304">
        <f t="shared" si="838"/>
        <v>0</v>
      </c>
      <c r="CQ267" s="1">
        <f t="shared" si="839"/>
        <v>9.0000000000000011E-3</v>
      </c>
      <c r="CR267" s="1">
        <f t="shared" si="840"/>
        <v>9.0000000000000011E-3</v>
      </c>
      <c r="CS267" s="1">
        <f t="shared" si="841"/>
        <v>9.0000000000000011E-3</v>
      </c>
      <c r="CT267" s="1">
        <f t="shared" si="842"/>
        <v>2.8999999999999998E-2</v>
      </c>
      <c r="CU267" s="1">
        <f t="shared" si="843"/>
        <v>3.9E-2</v>
      </c>
      <c r="CV267" s="304">
        <f t="shared" si="844"/>
        <v>998</v>
      </c>
      <c r="CW267" s="20" t="s">
        <v>122</v>
      </c>
      <c r="CX267" s="20" t="s">
        <v>122</v>
      </c>
      <c r="CY267" s="20" t="s">
        <v>122</v>
      </c>
      <c r="CZ267" s="20" t="s">
        <v>122</v>
      </c>
      <c r="DA267" s="20" t="s">
        <v>122</v>
      </c>
      <c r="DB267" s="503">
        <f t="shared" si="845"/>
        <v>0</v>
      </c>
      <c r="DC267" s="127">
        <v>0</v>
      </c>
      <c r="DD267" s="127">
        <v>0</v>
      </c>
      <c r="DE267" s="127">
        <v>0</v>
      </c>
      <c r="DF267" s="127">
        <v>0</v>
      </c>
      <c r="DG267" s="127">
        <v>0</v>
      </c>
      <c r="DH267" s="127">
        <v>0</v>
      </c>
      <c r="DI267" s="127">
        <v>0</v>
      </c>
      <c r="DJ267" s="127">
        <v>0</v>
      </c>
      <c r="DK267" s="127">
        <v>0</v>
      </c>
      <c r="DL267" s="127">
        <v>0</v>
      </c>
      <c r="DM267" s="304">
        <f>INDEX(Input!$1:$1048576,DM$93,$C267*2+6)</f>
        <v>20731.578947368424</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3.0462728760921605E-2</v>
      </c>
      <c r="DZ267" s="7">
        <v>0</v>
      </c>
      <c r="EA267" s="7">
        <v>0.61875631130981945</v>
      </c>
      <c r="EB267" s="7">
        <v>0</v>
      </c>
      <c r="EC267" s="7">
        <v>0</v>
      </c>
      <c r="ED267" s="7">
        <v>0</v>
      </c>
      <c r="EE267" s="7">
        <v>0</v>
      </c>
      <c r="EF267" s="7">
        <v>0</v>
      </c>
      <c r="EG267" s="7">
        <v>0</v>
      </c>
      <c r="EH267" s="7">
        <v>2.0026310242091526E-2</v>
      </c>
      <c r="EI267" s="7">
        <v>3.0539799228037512E-2</v>
      </c>
      <c r="EJ267" s="7">
        <v>0.28813993803627197</v>
      </c>
      <c r="EK267" s="7">
        <v>0.58903941515843539</v>
      </c>
      <c r="EL267" s="7">
        <v>7.2254537335163141E-2</v>
      </c>
      <c r="EM267" s="7">
        <v>2.4477346889936445E-2</v>
      </c>
      <c r="EN267" s="7">
        <v>4.8900961729334308E-2</v>
      </c>
      <c r="EO267" s="7">
        <v>0.56264647096508802</v>
      </c>
      <c r="EP267" s="7">
        <v>0.284326940939154</v>
      </c>
      <c r="EQ267" s="7">
        <v>6.4861942175204648E-2</v>
      </c>
      <c r="ER267" s="7">
        <v>3.9263684191218819E-2</v>
      </c>
      <c r="ES267" s="7">
        <v>0.32630361303932254</v>
      </c>
      <c r="ET267" s="7">
        <v>0.35078095992925901</v>
      </c>
      <c r="EU267" s="6">
        <v>1850</v>
      </c>
      <c r="EV267" s="6">
        <v>0</v>
      </c>
      <c r="EW267" s="6">
        <v>1850</v>
      </c>
      <c r="EX267" s="6">
        <v>0</v>
      </c>
      <c r="EY267" s="6">
        <v>2209.4031413389093</v>
      </c>
      <c r="EZ267" s="6">
        <v>1751</v>
      </c>
      <c r="FA267" s="6">
        <v>0</v>
      </c>
      <c r="FB267" s="6">
        <v>0</v>
      </c>
      <c r="FC267" s="6">
        <v>0</v>
      </c>
      <c r="FD267" s="6">
        <v>0</v>
      </c>
      <c r="FE267" s="6">
        <v>0</v>
      </c>
      <c r="FF267" s="6">
        <v>0</v>
      </c>
      <c r="FG267" s="6">
        <v>0</v>
      </c>
      <c r="FH267" s="6">
        <v>926.69899955309666</v>
      </c>
      <c r="FI267" s="6">
        <v>1232.116446530423</v>
      </c>
      <c r="FJ267" s="6">
        <v>1709.9775738488456</v>
      </c>
      <c r="FK267" s="6">
        <v>1266.32271570282</v>
      </c>
      <c r="FL267" s="6">
        <v>893.91433563489318</v>
      </c>
      <c r="FM267" s="6">
        <v>1359.4031413389091</v>
      </c>
      <c r="FN267" s="6">
        <v>0</v>
      </c>
      <c r="FO267" s="6">
        <v>0</v>
      </c>
      <c r="FP267" s="6">
        <v>0</v>
      </c>
      <c r="FQ267" s="6">
        <v>0</v>
      </c>
      <c r="FR267" s="6">
        <v>0</v>
      </c>
      <c r="FS267" s="6">
        <v>0</v>
      </c>
      <c r="FT267" s="7">
        <v>0.64921904007074105</v>
      </c>
      <c r="FU267" s="7">
        <v>2.4477346889936445E-2</v>
      </c>
      <c r="FV267" s="7">
        <v>0.32630361303932254</v>
      </c>
      <c r="FW267" s="6">
        <v>1850</v>
      </c>
      <c r="FX267" s="6">
        <v>2209.4031413389093</v>
      </c>
      <c r="FY267" s="6">
        <v>1751</v>
      </c>
      <c r="FZ267" s="6">
        <v>2594.6978186474794</v>
      </c>
      <c r="GA267" s="6">
        <v>1826.4931776729925</v>
      </c>
      <c r="GB267" s="6">
        <v>17868.506822327006</v>
      </c>
      <c r="GC267" s="7">
        <v>9.6947029492584935E-2</v>
      </c>
      <c r="GD267" s="7">
        <v>8.9067565128066753E-2</v>
      </c>
      <c r="GE267" s="7"/>
      <c r="GF267" s="7"/>
      <c r="GG267" s="7">
        <v>-8.1275975197577857E-2</v>
      </c>
      <c r="GH267" s="42">
        <v>2.0837290562131066</v>
      </c>
      <c r="GI267" s="6">
        <v>11278.297835900956</v>
      </c>
      <c r="GJ267" s="14">
        <v>0.5107463060103955</v>
      </c>
      <c r="GK267" s="14">
        <v>0.50829519786160982</v>
      </c>
      <c r="GL267" s="14">
        <v>0.4892536939896045</v>
      </c>
      <c r="GM267" s="14">
        <v>0.4917048021383903</v>
      </c>
      <c r="GO267" s="5">
        <v>338.16872463277008</v>
      </c>
      <c r="GP267" s="5">
        <v>302.87425392274076</v>
      </c>
      <c r="GQ267" s="5">
        <v>527.27910984145694</v>
      </c>
      <c r="GR267" s="5">
        <v>404.20319246551543</v>
      </c>
      <c r="GS267" s="5">
        <v>334.50205195691484</v>
      </c>
      <c r="GT267" s="5">
        <v>289.18266033348181</v>
      </c>
      <c r="GU267" s="5">
        <v>254.29573314828914</v>
      </c>
      <c r="GV267" s="39" t="s">
        <v>392</v>
      </c>
      <c r="GW267" s="5">
        <v>475.29643226912253</v>
      </c>
      <c r="GX267" s="5">
        <v>358.07100736083845</v>
      </c>
      <c r="GY267" s="5">
        <v>287.73954748358943</v>
      </c>
      <c r="GZ267" s="5">
        <v>255.64660634518972</v>
      </c>
      <c r="HA267" s="5">
        <v>229.89195052129486</v>
      </c>
      <c r="HB267" s="39">
        <v>270.55976987707197</v>
      </c>
      <c r="HC267" s="5">
        <v>206.50937499999998</v>
      </c>
      <c r="HD267" s="5">
        <v>184.03879751461983</v>
      </c>
      <c r="HE267" s="5">
        <v>188.92093033063426</v>
      </c>
      <c r="HF267" s="5">
        <v>177.21129934210524</v>
      </c>
      <c r="HG267" s="5">
        <v>174.01410087719296</v>
      </c>
      <c r="HH267" s="39">
        <v>185.68930093855278</v>
      </c>
      <c r="HI267" s="16"/>
      <c r="HJ267" s="19" t="str">
        <f t="shared" ref="HJ267:HK267" si="921">HJ266</f>
        <v>On</v>
      </c>
      <c r="HK267" s="1" t="str">
        <f t="shared" si="921"/>
        <v>On</v>
      </c>
      <c r="HL267" s="16"/>
      <c r="HM267" s="639">
        <f t="shared" si="861"/>
        <v>5.0961701597560354E-2</v>
      </c>
      <c r="HN267" s="639">
        <f t="shared" si="862"/>
        <v>3.112551654761847E-3</v>
      </c>
      <c r="HO267" s="639">
        <f t="shared" si="863"/>
        <v>3.1163314184693442E-2</v>
      </c>
      <c r="HP267" s="644">
        <f>(FT267*$GD267-HM267)/$JF267*INDEX(Input!$1:$1048576,$JG$93,$C267*2+6)</f>
        <v>128.89990934770833</v>
      </c>
      <c r="HQ267" s="644">
        <f>(FU267*$GD267-HN267)/$JF267*INDEX(Input!$1:$1048576,$JG$93,$C267*2+6)</f>
        <v>-17.513343062468174</v>
      </c>
      <c r="HR267" s="644">
        <f>(FV267*$GD267-HO267)/$JF267*INDEX(Input!$1:$1048576,$JG$93,$C267*2+6)</f>
        <v>-39.448493816151803</v>
      </c>
      <c r="HS267" s="644">
        <f t="shared" si="864"/>
        <v>-13.073971831454424</v>
      </c>
      <c r="HT267" s="644">
        <f t="shared" si="865"/>
        <v>-9.1488559539200089</v>
      </c>
      <c r="HU267" s="644">
        <f t="shared" si="866"/>
        <v>4.8621231879255564</v>
      </c>
      <c r="HV267" s="648">
        <f t="shared" si="867"/>
        <v>0</v>
      </c>
      <c r="HW267" s="648">
        <f t="shared" si="868"/>
        <v>0</v>
      </c>
      <c r="HX267" s="648">
        <f t="shared" si="869"/>
        <v>0</v>
      </c>
      <c r="HY267" s="644">
        <f>INDEX(Input!$1:$1048576,HY$93,$C267*2+6)*INDEX(Input!$1:$1048576,$JG$93,$C267*2+6)</f>
        <v>555</v>
      </c>
      <c r="HZ267" s="644">
        <f>INDEX(Input!$1:$1048576,HZ$93,$C267*2+6)*INDEX(Input!$1:$1048576,$JG$93,$C267*2+6)</f>
        <v>480</v>
      </c>
      <c r="IA267" s="644">
        <f>INDEX(Input!$1:$1048576,IA$93,$C267*2+6)*INDEX(Input!$1:$1048576,$JG$93,$C267*2+6)</f>
        <v>566</v>
      </c>
      <c r="IB267" s="644">
        <f t="shared" si="870"/>
        <v>670.82593751625382</v>
      </c>
      <c r="IC267" s="644">
        <f t="shared" si="871"/>
        <v>453.33780098361183</v>
      </c>
      <c r="ID267" s="644">
        <f>IF(AND(INDEX(Input!$1:$1048576,IA$93,$C267*2+7)="TOS",Y267&lt;=INDEX(Y:Y,MATCH(C267*1000+2,A:A))),0,1)*MAX(IA267+HR267+HU267+HX267,0%)</f>
        <v>531.41362937177382</v>
      </c>
      <c r="IE267" s="128">
        <f t="shared" si="872"/>
        <v>0.4051915365203666</v>
      </c>
      <c r="IF267" s="128">
        <f t="shared" si="873"/>
        <v>0.27382459423591254</v>
      </c>
      <c r="IG267" s="128">
        <f t="shared" si="874"/>
        <v>0.3209838692437208</v>
      </c>
      <c r="IH267" s="21"/>
      <c r="II267" s="19">
        <f t="shared" si="875"/>
        <v>1200</v>
      </c>
      <c r="IJ267" s="19">
        <f t="shared" si="876"/>
        <v>2226.7968732767699</v>
      </c>
      <c r="IK267" s="19">
        <f t="shared" si="877"/>
        <v>1786</v>
      </c>
      <c r="IL267" s="19">
        <f t="shared" si="878"/>
        <v>650</v>
      </c>
      <c r="IM267" s="19">
        <f t="shared" si="879"/>
        <v>-17.393731937860593</v>
      </c>
      <c r="IN267" s="19">
        <f t="shared" si="880"/>
        <v>-35</v>
      </c>
      <c r="IO267" s="39">
        <f t="shared" si="881"/>
        <v>0</v>
      </c>
      <c r="IP267" s="39">
        <f t="shared" si="882"/>
        <v>0</v>
      </c>
      <c r="IQ267" s="39">
        <f t="shared" si="883"/>
        <v>0</v>
      </c>
      <c r="IR267" s="39">
        <v>0</v>
      </c>
      <c r="IS267" s="39">
        <v>0</v>
      </c>
      <c r="IT267" s="39">
        <v>0</v>
      </c>
      <c r="IU267" s="39">
        <v>0</v>
      </c>
      <c r="IV267" s="39">
        <v>0</v>
      </c>
      <c r="IW267" s="39">
        <v>0</v>
      </c>
      <c r="IX267" s="39">
        <f>INDEX(Input!$1:$1048576,IX$93,$C267*2+6)+INDEX(Input!$1:$1048576,IX$94,$C267*2+6)</f>
        <v>1600</v>
      </c>
      <c r="IY267" s="39">
        <f>INDEX(Input!$1:$1048576,IY$93,$C267*2+6)+INDEX(Input!$1:$1048576,IY$94,$C267*2+6)</f>
        <v>2503.5492916397525</v>
      </c>
      <c r="IZ267" s="39">
        <f>INDEX(Input!$1:$1048576,IZ$93,$C267*2+6)+INDEX(Input!$1:$1048576,IZ$94,$C267*2+6)</f>
        <v>5773.7109265464023</v>
      </c>
      <c r="JA267" s="19">
        <f t="shared" si="884"/>
        <v>2250</v>
      </c>
      <c r="JB267" s="19">
        <f t="shared" si="885"/>
        <v>2486.1555597018919</v>
      </c>
      <c r="JC267" s="19">
        <f t="shared" si="886"/>
        <v>5738.7109265464023</v>
      </c>
      <c r="JD267" s="19">
        <f t="shared" si="887"/>
        <v>3434.4851321876358</v>
      </c>
      <c r="JE267" s="21"/>
      <c r="JF267" s="1">
        <f t="shared" si="888"/>
        <v>8.5237567437015646E-2</v>
      </c>
      <c r="JG267" s="15">
        <f>INDEX(Input!$1:$1048576,JG$93,$C267*2+6)/(1+VLOOKUP(C267*1000+INDEX(Input!$1:$1048576,JG$93+1,$C267*2+6),$A:$KK,$JK$92,FALSE))</f>
        <v>1601</v>
      </c>
      <c r="JH267" s="1">
        <f t="shared" si="889"/>
        <v>4.4933212035657935E-2</v>
      </c>
      <c r="JI267" s="1">
        <f t="shared" si="890"/>
        <v>-1.0843663083978064E-2</v>
      </c>
      <c r="JJ267" s="1">
        <f t="shared" si="891"/>
        <v>0</v>
      </c>
      <c r="JK267" s="1">
        <f t="shared" si="892"/>
        <v>3.4089548951679871E-2</v>
      </c>
      <c r="JL267" s="15">
        <f t="shared" si="893"/>
        <v>54.577367871639474</v>
      </c>
      <c r="JM267" s="15">
        <f t="shared" si="894"/>
        <v>1655.5773678716396</v>
      </c>
      <c r="JN267" s="21"/>
      <c r="JO267" s="19">
        <f>INDEX(Input!$1:$1048576,JO$93,$C267*2+6)</f>
        <v>5908.5</v>
      </c>
      <c r="JP267" s="19">
        <f>INDEX(Input!$1:$1048576,JP$93,$C267*2+6)</f>
        <v>3346.4235130620518</v>
      </c>
      <c r="JQ267" s="39">
        <f t="shared" si="895"/>
        <v>2474.0148678123642</v>
      </c>
      <c r="JR267" s="39">
        <f t="shared" si="896"/>
        <v>88.061619125584002</v>
      </c>
      <c r="JS267" s="39">
        <f t="shared" si="897"/>
        <v>5.6860558551414861</v>
      </c>
      <c r="JT267" s="39">
        <f t="shared" si="898"/>
        <v>0.32843181072914135</v>
      </c>
      <c r="JU267" s="385">
        <f>(JQ267*JM267-INDEX(Input!$1:$1048576,Input!A$18,$C267*2+6)*JL267*INDEX(Input!$1:$1048576,Input!A$19,$C267*2+6))/1000000</f>
        <v>4.0959230229280967</v>
      </c>
      <c r="JV267" s="39">
        <f t="shared" si="899"/>
        <v>-5.9614326595580636E-3</v>
      </c>
      <c r="JW267" s="1">
        <f t="shared" si="900"/>
        <v>-1.453339976809269E-3</v>
      </c>
      <c r="JX267" s="19">
        <f t="shared" si="901"/>
        <v>6017.7290246312396</v>
      </c>
      <c r="JZ267" s="341"/>
      <c r="KA267" s="342"/>
      <c r="KB267" s="469">
        <f t="shared" ref="KB267:KB281" si="922">KB266</f>
        <v>2.4482969984810516</v>
      </c>
      <c r="KI267" s="473">
        <f t="shared" si="902"/>
        <v>115.82593751625382</v>
      </c>
      <c r="KJ267" s="473">
        <f t="shared" si="903"/>
        <v>-26.662199016388172</v>
      </c>
      <c r="KK267" s="473">
        <f t="shared" si="904"/>
        <v>-34.586370628226177</v>
      </c>
      <c r="KN267" s="544">
        <f t="shared" si="905"/>
        <v>2002</v>
      </c>
      <c r="KO267" s="541">
        <f t="shared" si="906"/>
        <v>-4.1777533989723503E-2</v>
      </c>
      <c r="KP267" s="546">
        <f t="shared" si="907"/>
        <v>-128.55246864876523</v>
      </c>
      <c r="KQ267" s="546">
        <f t="shared" si="908"/>
        <v>-291.1184427689027</v>
      </c>
      <c r="KR267" s="548">
        <f t="shared" si="909"/>
        <v>5.189803112731048</v>
      </c>
      <c r="KS267" s="548">
        <f t="shared" si="910"/>
        <v>2.2917201521039758</v>
      </c>
      <c r="KT267" s="473">
        <f t="shared" ref="KT267:KT281" si="923">KT266</f>
        <v>528.59039248727379</v>
      </c>
      <c r="KU267" s="663">
        <f t="shared" si="911"/>
        <v>12.226336825712725</v>
      </c>
    </row>
    <row r="268" spans="1:308" s="26" customFormat="1" ht="15" outlineLevel="1">
      <c r="A268" s="561">
        <f t="shared" si="915"/>
        <v>2068</v>
      </c>
      <c r="B268" s="561">
        <f t="shared" si="920"/>
        <v>68</v>
      </c>
      <c r="C268" s="561">
        <f t="shared" si="857"/>
        <v>2</v>
      </c>
      <c r="D268" s="561" t="str">
        <f t="shared" si="859"/>
        <v xml:space="preserve">500 CC, 0.9/1.9/2.9/3.9, -360 Lease, </v>
      </c>
      <c r="E268" s="475">
        <f>INDEX(Input!$1:$1048576,E$93,$C268*2+MIN($B268,2)+5)
+INDEX(Scenarios!E$121:E$200,MATCH($B268,Scenarios!$B$121:$B$200,0))</f>
        <v>1750</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0</v>
      </c>
      <c r="R268" s="478">
        <f>IFERROR(MAX(0,INDEX(Input!$1:$1048576,R$93,$C268*2+MIN($B268,2)+5)
+INDEX(Scenarios!R$121:R$200,MATCH($B268,Scenarios!$B$121:$B$200,0)),),"Market")</f>
        <v>9.0000000000000011E-3</v>
      </c>
      <c r="S268" s="478">
        <f>IFERROR(MAX(0,INDEX(Input!$1:$1048576,S$93,$C268*2+MIN($B268,2)+5)
+INDEX(Scenarios!S$121:S$200,MATCH($B268,Scenarios!$B$121:$B$200,0)),),"Market")</f>
        <v>9.0000000000000011E-3</v>
      </c>
      <c r="T268" s="478">
        <f>IFERROR(MAX(0,INDEX(Input!$1:$1048576,T$93,$C268*2+MIN($B268,2)+5)
+INDEX(Scenarios!T$121:T$200,MATCH($B268,Scenarios!$B$121:$B$200,0)),),"Market")</f>
        <v>9.0000000000000011E-3</v>
      </c>
      <c r="U268" s="478">
        <f>IFERROR(MAX(0,INDEX(Input!$1:$1048576,U$93,$C268*2+MIN($B268,2)+5)
+INDEX(Scenarios!U$121:U$200,MATCH($B268,Scenarios!$B$121:$B$200,0)),),"Market")</f>
        <v>9.0000000000000011E-3</v>
      </c>
      <c r="V268" s="478">
        <f>IFERROR(MAX(0,INDEX(Input!$1:$1048576,V$93,$C268*2+MIN($B268,2)+5)
+INDEX(Scenarios!V$121:V$200,MATCH($B268,Scenarios!$B$121:$B$200,0)),),"Market")</f>
        <v>2.8999999999999998E-2</v>
      </c>
      <c r="W268" s="863">
        <f>IFERROR(MAX(0,INDEX(Input!$1:$1048576,W$93,$C268*2+MIN($B268,2)+5)-0%,),"Market")</f>
        <v>3.9E-2</v>
      </c>
      <c r="X268" s="476" t="str">
        <f>INDEX(Input!$1:$1048576,X$93,$C268*2+MIN($B268,2)+5)</f>
        <v>Y</v>
      </c>
      <c r="Y268" s="475">
        <f>INDEX(Input!$1:$1048576,Y$93,$C268*2+MIN($B268,2)+5)
++INDEX(Scenarios!Y$121:Y$200,MATCH($B268,Scenarios!$B$121:$B$200,0))</f>
        <v>998</v>
      </c>
      <c r="Z268" s="477">
        <f>INDEX(Input!$1:$1048576,Z$93,$C268*2+MIN($B268,2)+5)
+INDEX(Scenarios!Z$121:Z$200,MATCH($B268,Scenarios!$B$121:$B$200,0))</f>
        <v>0</v>
      </c>
      <c r="AA268" s="475">
        <f>INDEX(Input!$1:$1048576,AA$93,$C268*2+MIN($B268,2)+5)</f>
        <v>0</v>
      </c>
      <c r="AB268" s="476">
        <f>INDEX(Input!$1:$1048576,AB$93,$C268*2+MIN($B268,2)+5)</f>
        <v>1</v>
      </c>
      <c r="AC268" s="475">
        <f>INDEX(Input!$1:$1048576,AC$93,$C268*2+MIN($B268,2)+5)
+INDEX(Scenarios!AC$121:AC$200,MATCH($B268,Scenarios!$B$121:$B$200,0))</f>
        <v>0</v>
      </c>
      <c r="AD268" s="476">
        <f>INDEX(Input!$1:$1048576,AD$93,$C268*2+MIN($B268,2)+5)</f>
        <v>0.35</v>
      </c>
      <c r="AE268" s="475">
        <f>INDEX(Input!$1:$1048576,AE$93,$C268*2+MIN($B268,2)+5)
+INDEX(Scenarios!AE$121:AE$200,MATCH($B268,Scenarios!$B$121:$B$200,0))</f>
        <v>0</v>
      </c>
      <c r="AF268" s="476">
        <f>INDEX(Input!$1:$1048576,AF$93,$C268*2+MIN($B268,2)+5)</f>
        <v>1</v>
      </c>
      <c r="AG268" s="475">
        <f>INDEX(Input!$1:$1048576,AG$93,$C268*2+MIN($B268,2)+5)
+INDEX(Scenarios!AG$121:AG$200,MATCH($B268,Scenarios!$B$121:$B$200,0))</f>
        <v>0</v>
      </c>
      <c r="AH268" s="476">
        <f>INDEX(Input!$1:$1048576,AH$93,$C268*2+MIN($B268,2)+5)</f>
        <v>1</v>
      </c>
      <c r="AI268" s="475">
        <f>INDEX(Input!$1:$1048576,AI$93,$C268*2+MIN($B268,2)+5)
+INDEX(Scenarios!AI$121:AI$200,MATCH($B268,Scenarios!$B$121:$B$200,0))</f>
        <v>0</v>
      </c>
      <c r="AJ268" s="476">
        <f>INDEX(Input!$1:$1048576,AJ$93,$C268*2+MIN($B268,2)+5)</f>
        <v>0.35</v>
      </c>
      <c r="AK268" s="150">
        <f>ROUND(INDEX(Input!$1:$1048576,AK$93,$C267*2+MIN($B268,1)+5)+(Y268-VLOOKUP($C268*1000+1,$A:$HH,Y$92,FALSE)),0)</f>
        <v>4622</v>
      </c>
      <c r="AL268" s="150">
        <f>ROUND(INDEX(Input!$1:$1048576,AL$93,$C267*2+MIN($B268,1)+5)-(Y268-VLOOKUP($C268*1000+1,$A:$HH,Y$92,FALSE))/36,0)</f>
        <v>5112</v>
      </c>
      <c r="AM268" s="32" t="str">
        <f t="shared" si="916"/>
        <v>std/std/std/std</v>
      </c>
      <c r="AN268" s="32" t="str">
        <f t="shared" si="917"/>
        <v>$0 + 0.9/0.9/0.9/2.9/3.9</v>
      </c>
      <c r="AO268" s="32" t="str">
        <f t="shared" si="918"/>
        <v>0.9/0.9/0.9/2.9/3.9</v>
      </c>
      <c r="AP268" s="32" t="str">
        <f t="shared" si="831"/>
        <v>0.9/1.9/2.9/3.9</v>
      </c>
      <c r="AQ268" s="536">
        <f t="shared" si="830"/>
        <v>0.42476409496872619</v>
      </c>
      <c r="AR268" s="32"/>
      <c r="AS268" s="302"/>
      <c r="AT268" s="3">
        <f t="shared" si="810"/>
        <v>68</v>
      </c>
      <c r="AU268" s="41" t="s">
        <v>121</v>
      </c>
      <c r="AV268" s="41" t="s">
        <v>116</v>
      </c>
      <c r="AW268" s="41" t="str">
        <f>INDEX(Input!$1:$1048576,AW$93,$C268*2+6)</f>
        <v>Kia</v>
      </c>
      <c r="AX268" s="41" t="str">
        <f>INDEX(Input!$1:$1048576,AX$93,$C268*2+6)</f>
        <v>Kia-LR - L2</v>
      </c>
      <c r="AY268" s="41" t="str">
        <f>IF(LEN(D268)=0,"",INDEX(Input!$1:$1048576,AY$93,$C268*2+6))</f>
        <v>Compact Conventional/Sporty Car (43)</v>
      </c>
      <c r="AZ268" s="41" t="str">
        <f>INDEX(Input!$1:$1048576,AZ$93,$C268*2+6)</f>
        <v>Kia Forte</v>
      </c>
      <c r="BA268" s="3">
        <f>INDEX(Input!$1:$1048576,BA$93,$C268*2+6)</f>
        <v>2020</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19695</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832"/>
        <v>1750</v>
      </c>
      <c r="CJ268" s="16" t="str">
        <f>INDEX(Input!$1:$1048576,CJ$93,$C268*2+6)</f>
        <v>N</v>
      </c>
      <c r="CK268" s="1" t="str">
        <f t="shared" si="833"/>
        <v>Market</v>
      </c>
      <c r="CL268" s="1" t="str">
        <f t="shared" si="834"/>
        <v>Market</v>
      </c>
      <c r="CM268" s="1" t="str">
        <f t="shared" si="835"/>
        <v>Market</v>
      </c>
      <c r="CN268" s="1" t="str">
        <f t="shared" si="836"/>
        <v>Market</v>
      </c>
      <c r="CO268" s="1" t="str">
        <f t="shared" si="837"/>
        <v>Market</v>
      </c>
      <c r="CP268" s="304">
        <f t="shared" si="838"/>
        <v>0</v>
      </c>
      <c r="CQ268" s="1">
        <f t="shared" si="839"/>
        <v>9.0000000000000011E-3</v>
      </c>
      <c r="CR268" s="1">
        <f t="shared" si="840"/>
        <v>9.0000000000000011E-3</v>
      </c>
      <c r="CS268" s="1">
        <f t="shared" si="841"/>
        <v>9.0000000000000011E-3</v>
      </c>
      <c r="CT268" s="1">
        <f t="shared" si="842"/>
        <v>2.8999999999999998E-2</v>
      </c>
      <c r="CU268" s="1">
        <f t="shared" si="843"/>
        <v>3.9E-2</v>
      </c>
      <c r="CV268" s="304">
        <f t="shared" si="844"/>
        <v>998</v>
      </c>
      <c r="CW268" s="20" t="s">
        <v>122</v>
      </c>
      <c r="CX268" s="20" t="s">
        <v>122</v>
      </c>
      <c r="CY268" s="20" t="s">
        <v>122</v>
      </c>
      <c r="CZ268" s="20" t="s">
        <v>122</v>
      </c>
      <c r="DA268" s="20" t="s">
        <v>122</v>
      </c>
      <c r="DB268" s="503">
        <f t="shared" si="845"/>
        <v>0</v>
      </c>
      <c r="DC268" s="127">
        <v>0</v>
      </c>
      <c r="DD268" s="127">
        <v>0</v>
      </c>
      <c r="DE268" s="127">
        <v>0</v>
      </c>
      <c r="DF268" s="127">
        <v>0</v>
      </c>
      <c r="DG268" s="127">
        <v>0</v>
      </c>
      <c r="DH268" s="127">
        <v>0</v>
      </c>
      <c r="DI268" s="127">
        <v>0</v>
      </c>
      <c r="DJ268" s="127">
        <v>0</v>
      </c>
      <c r="DK268" s="127">
        <v>0</v>
      </c>
      <c r="DL268" s="127">
        <v>0</v>
      </c>
      <c r="DM268" s="304">
        <f>INDEX(Input!$1:$1048576,DM$93,$C268*2+6)</f>
        <v>20731.578947368424</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3.1337021826240319E-2</v>
      </c>
      <c r="DZ268" s="7">
        <v>0</v>
      </c>
      <c r="EA268" s="7">
        <v>0.6341393785022118</v>
      </c>
      <c r="EB268" s="7">
        <v>0</v>
      </c>
      <c r="EC268" s="7">
        <v>0</v>
      </c>
      <c r="ED268" s="7">
        <v>0</v>
      </c>
      <c r="EE268" s="7">
        <v>0</v>
      </c>
      <c r="EF268" s="7">
        <v>0</v>
      </c>
      <c r="EG268" s="7">
        <v>0</v>
      </c>
      <c r="EH268" s="7">
        <v>2.0033062926228438E-2</v>
      </c>
      <c r="EI268" s="7">
        <v>3.0553663256354866E-2</v>
      </c>
      <c r="EJ268" s="7">
        <v>0.28820096842723253</v>
      </c>
      <c r="EK268" s="7">
        <v>0.5889629936005446</v>
      </c>
      <c r="EL268" s="7">
        <v>7.2249311789639656E-2</v>
      </c>
      <c r="EM268" s="7">
        <v>2.3315444393800254E-2</v>
      </c>
      <c r="EN268" s="7">
        <v>4.8895876201716669E-2</v>
      </c>
      <c r="EO268" s="7">
        <v>0.56262390253415895</v>
      </c>
      <c r="EP268" s="7">
        <v>0.28435106233529456</v>
      </c>
      <c r="EQ268" s="7">
        <v>6.48559464644822E-2</v>
      </c>
      <c r="ER268" s="7">
        <v>3.927321246434809E-2</v>
      </c>
      <c r="ES268" s="7">
        <v>0.31120815527774759</v>
      </c>
      <c r="ET268" s="7">
        <v>0.33452359967154788</v>
      </c>
      <c r="EU268" s="6">
        <v>2100</v>
      </c>
      <c r="EV268" s="6">
        <v>0</v>
      </c>
      <c r="EW268" s="6">
        <v>2100</v>
      </c>
      <c r="EX268" s="6">
        <v>0</v>
      </c>
      <c r="EY268" s="6">
        <v>2209.4293763827222</v>
      </c>
      <c r="EZ268" s="6">
        <v>1751</v>
      </c>
      <c r="FA268" s="6">
        <v>0</v>
      </c>
      <c r="FB268" s="6">
        <v>0</v>
      </c>
      <c r="FC268" s="6">
        <v>0</v>
      </c>
      <c r="FD268" s="6">
        <v>0</v>
      </c>
      <c r="FE268" s="6">
        <v>0</v>
      </c>
      <c r="FF268" s="6">
        <v>0</v>
      </c>
      <c r="FG268" s="6">
        <v>0</v>
      </c>
      <c r="FH268" s="6">
        <v>926.69801047772114</v>
      </c>
      <c r="FI268" s="6">
        <v>1232.1164465304232</v>
      </c>
      <c r="FJ268" s="6">
        <v>1709.9775738488456</v>
      </c>
      <c r="FK268" s="6">
        <v>1266.3227157028184</v>
      </c>
      <c r="FL268" s="6">
        <v>893.91433563489352</v>
      </c>
      <c r="FM268" s="6">
        <v>1359.4293763827222</v>
      </c>
      <c r="FN268" s="6">
        <v>0</v>
      </c>
      <c r="FO268" s="6">
        <v>0</v>
      </c>
      <c r="FP268" s="6">
        <v>0</v>
      </c>
      <c r="FQ268" s="6">
        <v>0</v>
      </c>
      <c r="FR268" s="6">
        <v>0</v>
      </c>
      <c r="FS268" s="6">
        <v>0</v>
      </c>
      <c r="FT268" s="7">
        <v>0.66547640032845212</v>
      </c>
      <c r="FU268" s="7">
        <v>2.3315444393800254E-2</v>
      </c>
      <c r="FV268" s="7">
        <v>0.31120815527774759</v>
      </c>
      <c r="FW268" s="6">
        <v>2100</v>
      </c>
      <c r="FX268" s="6">
        <v>2209.4293763827222</v>
      </c>
      <c r="FY268" s="6">
        <v>1751</v>
      </c>
      <c r="FZ268" s="6">
        <v>2594.6978186474794</v>
      </c>
      <c r="GA268" s="6">
        <v>1993.9397483481657</v>
      </c>
      <c r="GB268" s="6">
        <v>17701.060251651834</v>
      </c>
      <c r="GC268" s="7">
        <v>9.6947029492584935E-2</v>
      </c>
      <c r="GD268" s="7">
        <v>9.0859662178632145E-2</v>
      </c>
      <c r="GE268" s="7"/>
      <c r="GF268" s="7"/>
      <c r="GG268" s="7">
        <v>-6.2790653265125437E-2</v>
      </c>
      <c r="GH268" s="42">
        <v>2.0585023775719029</v>
      </c>
      <c r="GI268" s="6">
        <v>11561.575042134487</v>
      </c>
      <c r="GJ268" s="14">
        <v>0.5107463060103955</v>
      </c>
      <c r="GK268" s="14">
        <v>0.5082951978616097</v>
      </c>
      <c r="GL268" s="14">
        <v>0.48925369398960433</v>
      </c>
      <c r="GM268" s="14">
        <v>0.49170480213839035</v>
      </c>
      <c r="GO268" s="5">
        <v>338.16872463277008</v>
      </c>
      <c r="GP268" s="5">
        <v>298.1047308538179</v>
      </c>
      <c r="GQ268" s="5">
        <v>527.27910984145694</v>
      </c>
      <c r="GR268" s="5">
        <v>404.20319246551543</v>
      </c>
      <c r="GS268" s="5">
        <v>334.50205195691484</v>
      </c>
      <c r="GT268" s="5">
        <v>289.18266033348181</v>
      </c>
      <c r="GU268" s="5">
        <v>254.29573314828914</v>
      </c>
      <c r="GV268" s="39" t="s">
        <v>392</v>
      </c>
      <c r="GW268" s="5">
        <v>475.29643226912253</v>
      </c>
      <c r="GX268" s="5">
        <v>358.07100736083845</v>
      </c>
      <c r="GY268" s="5">
        <v>287.73954748358943</v>
      </c>
      <c r="GZ268" s="5">
        <v>255.64660634518972</v>
      </c>
      <c r="HA268" s="5">
        <v>229.89195052129486</v>
      </c>
      <c r="HB268" s="39">
        <v>270.56476634463451</v>
      </c>
      <c r="HC268" s="5">
        <v>206.50937499999998</v>
      </c>
      <c r="HD268" s="5">
        <v>184.03879751461983</v>
      </c>
      <c r="HE268" s="5">
        <v>188.92093033063426</v>
      </c>
      <c r="HF268" s="5">
        <v>177.21129934210524</v>
      </c>
      <c r="HG268" s="5">
        <v>174.01410087719296</v>
      </c>
      <c r="HH268" s="39">
        <v>185.6892498453266</v>
      </c>
      <c r="HI268" s="16"/>
      <c r="HJ268" s="19" t="str">
        <f t="shared" ref="HJ268:HK268" si="924">HJ267</f>
        <v>On</v>
      </c>
      <c r="HK268" s="1" t="str">
        <f t="shared" si="924"/>
        <v>On</v>
      </c>
      <c r="HL268" s="16"/>
      <c r="HM268" s="639">
        <f t="shared" si="861"/>
        <v>5.0961701597560354E-2</v>
      </c>
      <c r="HN268" s="639">
        <f t="shared" si="862"/>
        <v>3.112551654761847E-3</v>
      </c>
      <c r="HO268" s="639">
        <f t="shared" si="863"/>
        <v>3.1163314184693442E-2</v>
      </c>
      <c r="HP268" s="644">
        <f>(FT268*$GD268-HM268)/$JF268*INDEX(Input!$1:$1048576,$JG$93,$C268*2+6)</f>
        <v>178.49779898027538</v>
      </c>
      <c r="HQ268" s="644">
        <f>(FU268*$GD268-HN268)/$JF268*INDEX(Input!$1:$1048576,$JG$93,$C268*2+6)</f>
        <v>-18.672322215014148</v>
      </c>
      <c r="HR268" s="644">
        <f>(FV268*$GD268-HO268)/$JF268*INDEX(Input!$1:$1048576,$JG$93,$C268*2+6)</f>
        <v>-54.226807634081823</v>
      </c>
      <c r="HS268" s="644">
        <f t="shared" si="864"/>
        <v>-18.106994030211194</v>
      </c>
      <c r="HT268" s="644">
        <f t="shared" si="865"/>
        <v>-12.059362574842776</v>
      </c>
      <c r="HU268" s="644">
        <f t="shared" si="866"/>
        <v>7.7750237901321428</v>
      </c>
      <c r="HV268" s="648">
        <f t="shared" si="867"/>
        <v>0</v>
      </c>
      <c r="HW268" s="648">
        <f t="shared" si="868"/>
        <v>0</v>
      </c>
      <c r="HX268" s="648">
        <f t="shared" si="869"/>
        <v>0</v>
      </c>
      <c r="HY268" s="644">
        <f>INDEX(Input!$1:$1048576,HY$93,$C268*2+6)*INDEX(Input!$1:$1048576,$JG$93,$C268*2+6)</f>
        <v>555</v>
      </c>
      <c r="HZ268" s="644">
        <f>INDEX(Input!$1:$1048576,HZ$93,$C268*2+6)*INDEX(Input!$1:$1048576,$JG$93,$C268*2+6)</f>
        <v>480</v>
      </c>
      <c r="IA268" s="644">
        <f>INDEX(Input!$1:$1048576,IA$93,$C268*2+6)*INDEX(Input!$1:$1048576,$JG$93,$C268*2+6)</f>
        <v>566</v>
      </c>
      <c r="IB268" s="644">
        <f t="shared" si="870"/>
        <v>715.39080495006419</v>
      </c>
      <c r="IC268" s="644">
        <f t="shared" si="871"/>
        <v>449.26831521014304</v>
      </c>
      <c r="ID268" s="644">
        <f>IF(AND(INDEX(Input!$1:$1048576,IA$93,$C268*2+7)="TOS",Y268&lt;=INDEX(Y:Y,MATCH(C268*1000+2,A:A))),0,1)*MAX(IA268+HR268+HU268+HX268,0%)</f>
        <v>519.54821615605033</v>
      </c>
      <c r="IE268" s="128">
        <f t="shared" si="872"/>
        <v>0.42476409496872619</v>
      </c>
      <c r="IF268" s="128">
        <f t="shared" si="873"/>
        <v>0.26675356740387707</v>
      </c>
      <c r="IG268" s="128">
        <f t="shared" si="874"/>
        <v>0.30848233762739674</v>
      </c>
      <c r="IH268" s="21"/>
      <c r="II268" s="19">
        <f t="shared" si="875"/>
        <v>1200</v>
      </c>
      <c r="IJ268" s="19">
        <f t="shared" si="876"/>
        <v>2226.7968732767699</v>
      </c>
      <c r="IK268" s="19">
        <f t="shared" si="877"/>
        <v>1786</v>
      </c>
      <c r="IL268" s="19">
        <f t="shared" si="878"/>
        <v>900</v>
      </c>
      <c r="IM268" s="19">
        <f t="shared" si="879"/>
        <v>-17.36749689404769</v>
      </c>
      <c r="IN268" s="19">
        <f t="shared" si="880"/>
        <v>-35</v>
      </c>
      <c r="IO268" s="39">
        <f t="shared" si="881"/>
        <v>0</v>
      </c>
      <c r="IP268" s="39">
        <f t="shared" si="882"/>
        <v>0</v>
      </c>
      <c r="IQ268" s="39">
        <f t="shared" si="883"/>
        <v>0</v>
      </c>
      <c r="IR268" s="39">
        <v>0</v>
      </c>
      <c r="IS268" s="39">
        <v>0</v>
      </c>
      <c r="IT268" s="39">
        <v>0</v>
      </c>
      <c r="IU268" s="39">
        <v>0</v>
      </c>
      <c r="IV268" s="39">
        <v>0</v>
      </c>
      <c r="IW268" s="39">
        <v>0</v>
      </c>
      <c r="IX268" s="39">
        <f>INDEX(Input!$1:$1048576,IX$93,$C268*2+6)+INDEX(Input!$1:$1048576,IX$94,$C268*2+6)</f>
        <v>1600</v>
      </c>
      <c r="IY268" s="39">
        <f>INDEX(Input!$1:$1048576,IY$93,$C268*2+6)+INDEX(Input!$1:$1048576,IY$94,$C268*2+6)</f>
        <v>2503.5492916397525</v>
      </c>
      <c r="IZ268" s="39">
        <f>INDEX(Input!$1:$1048576,IZ$93,$C268*2+6)+INDEX(Input!$1:$1048576,IZ$94,$C268*2+6)</f>
        <v>5773.7109265464023</v>
      </c>
      <c r="JA268" s="19">
        <f t="shared" si="884"/>
        <v>2500</v>
      </c>
      <c r="JB268" s="19">
        <f t="shared" si="885"/>
        <v>2486.1817947457048</v>
      </c>
      <c r="JC268" s="19">
        <f t="shared" si="886"/>
        <v>5738.7109265464023</v>
      </c>
      <c r="JD268" s="19">
        <f t="shared" si="887"/>
        <v>3495.3990619737237</v>
      </c>
      <c r="JE268" s="21"/>
      <c r="JF268" s="1">
        <f t="shared" si="888"/>
        <v>8.5237567437015646E-2</v>
      </c>
      <c r="JG268" s="15">
        <f>INDEX(Input!$1:$1048576,JG$93,$C268*2+6)/(1+VLOOKUP(C268*1000+INDEX(Input!$1:$1048576,JG$93+1,$C268*2+6),$A:$KK,$JK$92,FALSE))</f>
        <v>1601</v>
      </c>
      <c r="JH268" s="1">
        <f t="shared" si="889"/>
        <v>6.5957944491679826E-2</v>
      </c>
      <c r="JI268" s="1">
        <f t="shared" si="890"/>
        <v>-1.398584185816479E-2</v>
      </c>
      <c r="JJ268" s="1">
        <f t="shared" si="891"/>
        <v>0</v>
      </c>
      <c r="JK268" s="1">
        <f t="shared" si="892"/>
        <v>5.1972102633515038E-2</v>
      </c>
      <c r="JL268" s="15">
        <f t="shared" si="893"/>
        <v>83.207336316257582</v>
      </c>
      <c r="JM268" s="15">
        <f t="shared" si="894"/>
        <v>1684.2073363162576</v>
      </c>
      <c r="JN268" s="21"/>
      <c r="JO268" s="19">
        <f>INDEX(Input!$1:$1048576,JO$93,$C268*2+6)</f>
        <v>5908.5</v>
      </c>
      <c r="JP268" s="19">
        <f>INDEX(Input!$1:$1048576,JP$93,$C268*2+6)</f>
        <v>3346.4235130620518</v>
      </c>
      <c r="JQ268" s="39">
        <f t="shared" si="895"/>
        <v>2413.1009380262763</v>
      </c>
      <c r="JR268" s="39">
        <f t="shared" si="896"/>
        <v>148.97554891167192</v>
      </c>
      <c r="JS268" s="39">
        <f t="shared" si="897"/>
        <v>5.8869767435291109</v>
      </c>
      <c r="JT268" s="39">
        <f t="shared" si="898"/>
        <v>0.52935269911676641</v>
      </c>
      <c r="JU268" s="385">
        <f>(JQ268*JM268-INDEX(Input!$1:$1048576,Input!A$18,$C268*2+6)*JL268*INDEX(Input!$1:$1048576,Input!A$19,$C268*2+6))/1000000</f>
        <v>4.0641623030954968</v>
      </c>
      <c r="JV268" s="39">
        <f t="shared" si="899"/>
        <v>-3.7722152492158045E-2</v>
      </c>
      <c r="JW268" s="1">
        <f t="shared" si="900"/>
        <v>-9.1962981650476061E-3</v>
      </c>
      <c r="JX268" s="19">
        <f t="shared" si="901"/>
        <v>6361.8512808147434</v>
      </c>
      <c r="JZ268" s="341"/>
      <c r="KA268" s="342"/>
      <c r="KB268" s="469">
        <f t="shared" si="922"/>
        <v>2.4482969984810516</v>
      </c>
      <c r="KI268" s="473">
        <f t="shared" si="902"/>
        <v>160.39080495006419</v>
      </c>
      <c r="KJ268" s="473">
        <f t="shared" si="903"/>
        <v>-30.731684789856899</v>
      </c>
      <c r="KK268" s="473">
        <f t="shared" si="904"/>
        <v>-46.45178384394967</v>
      </c>
      <c r="KN268" s="544">
        <f t="shared" si="905"/>
        <v>2002</v>
      </c>
      <c r="KO268" s="541">
        <f t="shared" si="906"/>
        <v>-2.5206952936138283E-2</v>
      </c>
      <c r="KP268" s="546">
        <f t="shared" si="907"/>
        <v>-10.009263205438543</v>
      </c>
      <c r="KQ268" s="546">
        <f t="shared" si="908"/>
        <v>-230.20451298281478</v>
      </c>
      <c r="KR268" s="548">
        <f t="shared" si="909"/>
        <v>40.216728828340237</v>
      </c>
      <c r="KS268" s="548">
        <f t="shared" si="910"/>
        <v>1.7486182998274056</v>
      </c>
      <c r="KT268" s="473">
        <f t="shared" si="923"/>
        <v>528.59039248727379</v>
      </c>
      <c r="KU268" s="663">
        <f t="shared" si="911"/>
        <v>12.318455325960551</v>
      </c>
    </row>
    <row r="269" spans="1:308" s="26" customFormat="1" ht="15" outlineLevel="1">
      <c r="A269" s="561">
        <f t="shared" si="915"/>
        <v>2069</v>
      </c>
      <c r="B269" s="561">
        <f t="shared" si="920"/>
        <v>69</v>
      </c>
      <c r="C269" s="561">
        <f t="shared" si="857"/>
        <v>2</v>
      </c>
      <c r="D269" s="561" t="str">
        <f t="shared" si="859"/>
        <v xml:space="preserve">500 CC, 180 Lease, </v>
      </c>
      <c r="E269" s="475">
        <f>INDEX(Input!$1:$1048576,E$93,$C269*2+MIN($B269,2)+5)
+INDEX(Scenarios!E$121:E$200,MATCH($B269,Scenarios!$B$121:$B$200,0))</f>
        <v>1750</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1.9E-2</v>
      </c>
      <c r="W269" s="863">
        <f>IFERROR(MAX(0,INDEX(Input!$1:$1048576,W$93,$C269*2+MIN($B269,2)+5)-0%,),"Market")</f>
        <v>3.9E-2</v>
      </c>
      <c r="X269" s="476" t="str">
        <f>INDEX(Input!$1:$1048576,X$93,$C269*2+MIN($B269,2)+5)</f>
        <v>Y</v>
      </c>
      <c r="Y269" s="475">
        <f>INDEX(Input!$1:$1048576,Y$93,$C269*2+MIN($B269,2)+5)
++INDEX(Scenarios!Y$121:Y$200,MATCH($B269,Scenarios!$B$121:$B$200,0))</f>
        <v>1538</v>
      </c>
      <c r="Z269" s="477">
        <f>INDEX(Input!$1:$1048576,Z$93,$C269*2+MIN($B269,2)+5)
+INDEX(Scenarios!Z$121:Z$200,MATCH($B269,Scenarios!$B$121:$B$200,0))</f>
        <v>0</v>
      </c>
      <c r="AA269" s="475">
        <f>INDEX(Input!$1:$1048576,AA$93,$C269*2+MIN($B269,2)+5)</f>
        <v>0</v>
      </c>
      <c r="AB269" s="476">
        <f>INDEX(Input!$1:$1048576,AB$93,$C269*2+MIN($B269,2)+5)</f>
        <v>1</v>
      </c>
      <c r="AC269" s="475">
        <f>INDEX(Input!$1:$1048576,AC$93,$C269*2+MIN($B269,2)+5)
+INDEX(Scenarios!AC$121:AC$200,MATCH($B269,Scenarios!$B$121:$B$200,0))</f>
        <v>0</v>
      </c>
      <c r="AD269" s="476">
        <f>INDEX(Input!$1:$1048576,AD$93,$C269*2+MIN($B269,2)+5)</f>
        <v>0.35</v>
      </c>
      <c r="AE269" s="475">
        <f>INDEX(Input!$1:$1048576,AE$93,$C269*2+MIN($B269,2)+5)
+INDEX(Scenarios!AE$121:AE$200,MATCH($B269,Scenarios!$B$121:$B$200,0))</f>
        <v>0</v>
      </c>
      <c r="AF269" s="476">
        <f>INDEX(Input!$1:$1048576,AF$93,$C269*2+MIN($B269,2)+5)</f>
        <v>1</v>
      </c>
      <c r="AG269" s="475">
        <f>INDEX(Input!$1:$1048576,AG$93,$C269*2+MIN($B269,2)+5)
+INDEX(Scenarios!AG$121:AG$200,MATCH($B269,Scenarios!$B$121:$B$200,0))</f>
        <v>0</v>
      </c>
      <c r="AH269" s="476">
        <f>INDEX(Input!$1:$1048576,AH$93,$C269*2+MIN($B269,2)+5)</f>
        <v>1</v>
      </c>
      <c r="AI269" s="475">
        <f>INDEX(Input!$1:$1048576,AI$93,$C269*2+MIN($B269,2)+5)
+INDEX(Scenarios!AI$121:AI$200,MATCH($B269,Scenarios!$B$121:$B$200,0))</f>
        <v>0</v>
      </c>
      <c r="AJ269" s="476">
        <f>INDEX(Input!$1:$1048576,AJ$93,$C269*2+MIN($B269,2)+5)</f>
        <v>0.35</v>
      </c>
      <c r="AK269" s="150">
        <f>ROUND(INDEX(Input!$1:$1048576,AK$93,$C268*2+MIN($B269,1)+5)+(Y269-VLOOKUP($C269*1000+1,$A:$HH,Y$92,FALSE)),0)</f>
        <v>5162</v>
      </c>
      <c r="AL269" s="150">
        <f>ROUND(INDEX(Input!$1:$1048576,AL$93,$C268*2+MIN($B269,1)+5)-(Y269-VLOOKUP($C269*1000+1,$A:$HH,Y$92,FALSE))/36,0)</f>
        <v>5097</v>
      </c>
      <c r="AM269" s="32" t="str">
        <f t="shared" si="916"/>
        <v>std/std/std/std</v>
      </c>
      <c r="AN269" s="32" t="str">
        <f t="shared" si="917"/>
        <v>$0 + 0/0/0/1.9/3.9</v>
      </c>
      <c r="AO269" s="32" t="str">
        <f t="shared" si="918"/>
        <v>0/0/0/1.9/3.9</v>
      </c>
      <c r="AP269" s="32" t="str">
        <f t="shared" si="831"/>
        <v>0/0.9/1.9/3.9</v>
      </c>
      <c r="AQ269" s="536">
        <f t="shared" si="830"/>
        <v>0.37361335778288557</v>
      </c>
      <c r="AR269" s="32"/>
      <c r="AS269" s="302"/>
      <c r="AT269" s="3">
        <f t="shared" si="810"/>
        <v>69</v>
      </c>
      <c r="AU269" s="41" t="s">
        <v>121</v>
      </c>
      <c r="AV269" s="41" t="s">
        <v>116</v>
      </c>
      <c r="AW269" s="41" t="str">
        <f>INDEX(Input!$1:$1048576,AW$93,$C269*2+6)</f>
        <v>Kia</v>
      </c>
      <c r="AX269" s="41" t="str">
        <f>INDEX(Input!$1:$1048576,AX$93,$C269*2+6)</f>
        <v>Kia-LR - L2</v>
      </c>
      <c r="AY269" s="41" t="str">
        <f>IF(LEN(D269)=0,"",INDEX(Input!$1:$1048576,AY$93,$C269*2+6))</f>
        <v>Compact Conventional/Sporty Car (43)</v>
      </c>
      <c r="AZ269" s="41" t="str">
        <f>INDEX(Input!$1:$1048576,AZ$93,$C269*2+6)</f>
        <v>Kia Forte</v>
      </c>
      <c r="BA269" s="3">
        <f>INDEX(Input!$1:$1048576,BA$93,$C269*2+6)</f>
        <v>2020</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19695</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832"/>
        <v>1750</v>
      </c>
      <c r="CJ269" s="16" t="str">
        <f>INDEX(Input!$1:$1048576,CJ$93,$C269*2+6)</f>
        <v>N</v>
      </c>
      <c r="CK269" s="1" t="str">
        <f t="shared" si="833"/>
        <v>Market</v>
      </c>
      <c r="CL269" s="1" t="str">
        <f t="shared" si="834"/>
        <v>Market</v>
      </c>
      <c r="CM269" s="1" t="str">
        <f t="shared" si="835"/>
        <v>Market</v>
      </c>
      <c r="CN269" s="1" t="str">
        <f t="shared" si="836"/>
        <v>Market</v>
      </c>
      <c r="CO269" s="1" t="str">
        <f t="shared" si="837"/>
        <v>Market</v>
      </c>
      <c r="CP269" s="304">
        <f t="shared" si="838"/>
        <v>0</v>
      </c>
      <c r="CQ269" s="1">
        <f t="shared" si="839"/>
        <v>0</v>
      </c>
      <c r="CR269" s="1">
        <f t="shared" si="840"/>
        <v>0</v>
      </c>
      <c r="CS269" s="1">
        <f t="shared" si="841"/>
        <v>0</v>
      </c>
      <c r="CT269" s="1">
        <f t="shared" si="842"/>
        <v>1.9E-2</v>
      </c>
      <c r="CU269" s="1">
        <f t="shared" si="843"/>
        <v>3.9E-2</v>
      </c>
      <c r="CV269" s="304">
        <f t="shared" si="844"/>
        <v>1538</v>
      </c>
      <c r="CW269" s="20" t="s">
        <v>122</v>
      </c>
      <c r="CX269" s="20" t="s">
        <v>122</v>
      </c>
      <c r="CY269" s="20" t="s">
        <v>122</v>
      </c>
      <c r="CZ269" s="20" t="s">
        <v>122</v>
      </c>
      <c r="DA269" s="20" t="s">
        <v>122</v>
      </c>
      <c r="DB269" s="503">
        <f t="shared" si="845"/>
        <v>0</v>
      </c>
      <c r="DC269" s="127">
        <v>0</v>
      </c>
      <c r="DD269" s="127">
        <v>0</v>
      </c>
      <c r="DE269" s="127">
        <v>0</v>
      </c>
      <c r="DF269" s="127">
        <v>0</v>
      </c>
      <c r="DG269" s="127">
        <v>0</v>
      </c>
      <c r="DH269" s="127">
        <v>0</v>
      </c>
      <c r="DI269" s="127">
        <v>0</v>
      </c>
      <c r="DJ269" s="127">
        <v>0</v>
      </c>
      <c r="DK269" s="127">
        <v>0</v>
      </c>
      <c r="DL269" s="127">
        <v>0</v>
      </c>
      <c r="DM269" s="304">
        <f>INDEX(Input!$1:$1048576,DM$93,$C269*2+6)</f>
        <v>20731.578947368424</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2.9452224980720112E-2</v>
      </c>
      <c r="DZ269" s="7">
        <v>0</v>
      </c>
      <c r="EA269" s="7">
        <v>0.59649218032800189</v>
      </c>
      <c r="EB269" s="7">
        <v>0</v>
      </c>
      <c r="EC269" s="7">
        <v>0</v>
      </c>
      <c r="ED269" s="7">
        <v>0</v>
      </c>
      <c r="EE269" s="7">
        <v>0</v>
      </c>
      <c r="EF269" s="7">
        <v>0</v>
      </c>
      <c r="EG269" s="7">
        <v>0</v>
      </c>
      <c r="EH269" s="7">
        <v>1.6198892550257905E-2</v>
      </c>
      <c r="EI269" s="7">
        <v>2.6453334223924263E-2</v>
      </c>
      <c r="EJ269" s="7">
        <v>0.26580754242560356</v>
      </c>
      <c r="EK269" s="7">
        <v>0.64358290031296417</v>
      </c>
      <c r="EL269" s="7">
        <v>4.7957330487249823E-2</v>
      </c>
      <c r="EM269" s="7">
        <v>3.3015614069838765E-2</v>
      </c>
      <c r="EN269" s="7">
        <v>5.0162400803431033E-2</v>
      </c>
      <c r="EO269" s="7">
        <v>0.56110990477269618</v>
      </c>
      <c r="EP269" s="7">
        <v>0.2869133228436998</v>
      </c>
      <c r="EQ269" s="7">
        <v>6.3360236225557531E-2</v>
      </c>
      <c r="ER269" s="7">
        <v>3.8454135354615247E-2</v>
      </c>
      <c r="ES269" s="7">
        <v>0.34103998062143925</v>
      </c>
      <c r="ET269" s="7">
        <v>0.37405559469127803</v>
      </c>
      <c r="EU269" s="6">
        <v>2100</v>
      </c>
      <c r="EV269" s="6">
        <v>0</v>
      </c>
      <c r="EW269" s="6">
        <v>2100</v>
      </c>
      <c r="EX269" s="6">
        <v>0</v>
      </c>
      <c r="EY269" s="6">
        <v>2626.8336683838879</v>
      </c>
      <c r="EZ269" s="6">
        <v>2291</v>
      </c>
      <c r="FA269" s="6">
        <v>0</v>
      </c>
      <c r="FB269" s="6">
        <v>0</v>
      </c>
      <c r="FC269" s="6">
        <v>0</v>
      </c>
      <c r="FD269" s="6">
        <v>0</v>
      </c>
      <c r="FE269" s="6">
        <v>0</v>
      </c>
      <c r="FF269" s="6">
        <v>0</v>
      </c>
      <c r="FG269" s="6">
        <v>0</v>
      </c>
      <c r="FH269" s="6">
        <v>1154.7842863341393</v>
      </c>
      <c r="FI269" s="6">
        <v>1531.4299904380634</v>
      </c>
      <c r="FJ269" s="6">
        <v>2070.7205842538228</v>
      </c>
      <c r="FK269" s="6">
        <v>1746.9903521590431</v>
      </c>
      <c r="FL269" s="6">
        <v>893.91433563489363</v>
      </c>
      <c r="FM269" s="6">
        <v>1776.8336683838877</v>
      </c>
      <c r="FN269" s="6">
        <v>0</v>
      </c>
      <c r="FO269" s="6">
        <v>0</v>
      </c>
      <c r="FP269" s="6">
        <v>0</v>
      </c>
      <c r="FQ269" s="6">
        <v>0</v>
      </c>
      <c r="FR269" s="6">
        <v>0</v>
      </c>
      <c r="FS269" s="6">
        <v>0</v>
      </c>
      <c r="FT269" s="7">
        <v>0.62594440530872197</v>
      </c>
      <c r="FU269" s="7">
        <v>3.3015614069838765E-2</v>
      </c>
      <c r="FV269" s="7">
        <v>0.34103998062143925</v>
      </c>
      <c r="FW269" s="6">
        <v>2100</v>
      </c>
      <c r="FX269" s="6">
        <v>2626.8336683838879</v>
      </c>
      <c r="FY269" s="6">
        <v>2291</v>
      </c>
      <c r="FZ269" s="6">
        <v>2594.6978186474794</v>
      </c>
      <c r="GA269" s="6">
        <v>2182.5323733730547</v>
      </c>
      <c r="GB269" s="6">
        <v>17512.467626626945</v>
      </c>
      <c r="GC269" s="7">
        <v>9.6947029492584935E-2</v>
      </c>
      <c r="GD269" s="7">
        <v>9.3240972049838819E-2</v>
      </c>
      <c r="GE269" s="7"/>
      <c r="GF269" s="7"/>
      <c r="GG269" s="7">
        <v>-3.8227653411800275E-2</v>
      </c>
      <c r="GH269" s="42">
        <v>1.8266782006534314</v>
      </c>
      <c r="GI269" s="6">
        <v>12964.398600798764</v>
      </c>
      <c r="GJ269" s="14">
        <v>0.51074630601039572</v>
      </c>
      <c r="GK269" s="14">
        <v>0.50829519786160982</v>
      </c>
      <c r="GL269" s="14">
        <v>0.48925369398960439</v>
      </c>
      <c r="GM269" s="14">
        <v>0.49170480213839041</v>
      </c>
      <c r="GO269" s="5">
        <v>338.16872463277008</v>
      </c>
      <c r="GP269" s="5">
        <v>298.1047308538179</v>
      </c>
      <c r="GQ269" s="5">
        <v>527.27910984145694</v>
      </c>
      <c r="GR269" s="5">
        <v>404.20319246551543</v>
      </c>
      <c r="GS269" s="5">
        <v>334.50205195691484</v>
      </c>
      <c r="GT269" s="5">
        <v>289.18266033348181</v>
      </c>
      <c r="GU269" s="5">
        <v>254.29573314828914</v>
      </c>
      <c r="GV269" s="39" t="s">
        <v>392</v>
      </c>
      <c r="GW269" s="5">
        <v>468.76388888888891</v>
      </c>
      <c r="GX269" s="5">
        <v>351.57291666666669</v>
      </c>
      <c r="GY269" s="5">
        <v>281.25833333333333</v>
      </c>
      <c r="GZ269" s="5">
        <v>248.18079879493993</v>
      </c>
      <c r="HA269" s="5">
        <v>229.89195052129486</v>
      </c>
      <c r="HB269" s="39">
        <v>262.40424064421376</v>
      </c>
      <c r="HC269" s="5">
        <v>182.88437499999998</v>
      </c>
      <c r="HD269" s="5">
        <v>167.91379751461983</v>
      </c>
      <c r="HE269" s="5">
        <v>173.9497764844804</v>
      </c>
      <c r="HF269" s="5">
        <v>164.72379934210525</v>
      </c>
      <c r="HG269" s="5">
        <v>163.66410087719296</v>
      </c>
      <c r="HH269" s="39">
        <v>170.03102295807636</v>
      </c>
      <c r="HI269" s="16"/>
      <c r="HJ269" s="19" t="str">
        <f t="shared" ref="HJ269:HK269" si="925">HJ268</f>
        <v>On</v>
      </c>
      <c r="HK269" s="1" t="str">
        <f t="shared" si="925"/>
        <v>On</v>
      </c>
      <c r="HL269" s="16"/>
      <c r="HM269" s="639">
        <f t="shared" si="861"/>
        <v>5.0961701597560354E-2</v>
      </c>
      <c r="HN269" s="639">
        <f t="shared" si="862"/>
        <v>3.112551654761847E-3</v>
      </c>
      <c r="HO269" s="639">
        <f t="shared" si="863"/>
        <v>3.1163314184693442E-2</v>
      </c>
      <c r="HP269" s="644">
        <f>(FT269*$GD269-HM269)/$JF269*INDEX(Input!$1:$1048576,$JG$93,$C269*2+6)</f>
        <v>139.0295786666172</v>
      </c>
      <c r="HQ269" s="644">
        <f>(FU269*$GD269-HN269)/$JF269*INDEX(Input!$1:$1048576,$JG$93,$C269*2+6)</f>
        <v>-0.64131432956311452</v>
      </c>
      <c r="HR269" s="644">
        <f>(FV269*$GD269-HO269)/$JF269*INDEX(Input!$1:$1048576,$JG$93,$C269*2+6)</f>
        <v>11.938066768043472</v>
      </c>
      <c r="HS269" s="644">
        <f t="shared" ref="HS269:HS281" si="926">IF(AND(HJ269="On",HK269="On"),IL269/1000*INDEX(KG:KG,MATCH(C269*1000+3,$KF:$KF,0))*SUM(HY269:IA269)*1.1
+INDEX(HR:HR,MATCH(C269*1000+4,$KF:$KF,0))/INDEX(IM:IM,MATCH(C269*1000+4,$KF:$KF,0))*IM269*20%,0)</f>
        <v>-18.391110152297113</v>
      </c>
      <c r="HT269" s="644">
        <f t="shared" si="865"/>
        <v>25.745196510294765</v>
      </c>
      <c r="HU269" s="644">
        <f t="shared" si="866"/>
        <v>49.709069796478893</v>
      </c>
      <c r="HV269" s="648">
        <f t="shared" si="867"/>
        <v>0</v>
      </c>
      <c r="HW269" s="648">
        <f t="shared" si="868"/>
        <v>0</v>
      </c>
      <c r="HX269" s="648">
        <f t="shared" si="869"/>
        <v>0</v>
      </c>
      <c r="HY269" s="644">
        <f>INDEX(Input!$1:$1048576,HY$93,$C269*2+6)*INDEX(Input!$1:$1048576,$JG$93,$C269*2+6)</f>
        <v>555</v>
      </c>
      <c r="HZ269" s="644">
        <f>INDEX(Input!$1:$1048576,HZ$93,$C269*2+6)*INDEX(Input!$1:$1048576,$JG$93,$C269*2+6)</f>
        <v>480</v>
      </c>
      <c r="IA269" s="644">
        <f>INDEX(Input!$1:$1048576,IA$93,$C269*2+6)*INDEX(Input!$1:$1048576,$JG$93,$C269*2+6)</f>
        <v>566</v>
      </c>
      <c r="IB269" s="644">
        <f t="shared" si="870"/>
        <v>675.63846851432027</v>
      </c>
      <c r="IC269" s="644">
        <f t="shared" si="871"/>
        <v>505.10388218073166</v>
      </c>
      <c r="ID269" s="644">
        <f>IF(AND(INDEX(Input!$1:$1048576,IA$93,$C269*2+7)="TOS",Y269&lt;=INDEX(Y:Y,MATCH(C269*1000+2,A:A))),0,1)*MAX(IA269+HR269+HU269+HX269,0%)</f>
        <v>627.64713656452227</v>
      </c>
      <c r="IE269" s="128">
        <f t="shared" ref="IE269:IE272" si="927">IB269/SUM($IB269:$ID269)</f>
        <v>0.37361335778288557</v>
      </c>
      <c r="IF269" s="128">
        <f t="shared" ref="IF269:IF272" si="928">IC269/SUM($IB269:$ID269)</f>
        <v>0.27931144575838246</v>
      </c>
      <c r="IG269" s="128">
        <f t="shared" si="874"/>
        <v>0.34707519645873197</v>
      </c>
      <c r="IH269" s="21"/>
      <c r="II269" s="19">
        <f t="shared" si="875"/>
        <v>1200</v>
      </c>
      <c r="IJ269" s="19">
        <f t="shared" si="876"/>
        <v>2226.7968732767699</v>
      </c>
      <c r="IK269" s="19">
        <f t="shared" si="877"/>
        <v>1786</v>
      </c>
      <c r="IL269" s="19">
        <f t="shared" si="878"/>
        <v>900</v>
      </c>
      <c r="IM269" s="19">
        <f t="shared" si="879"/>
        <v>400.036795107118</v>
      </c>
      <c r="IN269" s="19">
        <f t="shared" si="880"/>
        <v>505</v>
      </c>
      <c r="IO269" s="39">
        <f t="shared" si="881"/>
        <v>0</v>
      </c>
      <c r="IP269" s="39">
        <f t="shared" si="882"/>
        <v>0</v>
      </c>
      <c r="IQ269" s="39">
        <f t="shared" si="883"/>
        <v>0</v>
      </c>
      <c r="IR269" s="39">
        <v>0</v>
      </c>
      <c r="IS269" s="39">
        <v>0</v>
      </c>
      <c r="IT269" s="39">
        <v>0</v>
      </c>
      <c r="IU269" s="39">
        <v>0</v>
      </c>
      <c r="IV269" s="39">
        <v>0</v>
      </c>
      <c r="IW269" s="39">
        <v>0</v>
      </c>
      <c r="IX269" s="39">
        <f>INDEX(Input!$1:$1048576,IX$93,$C269*2+6)+INDEX(Input!$1:$1048576,IX$94,$C269*2+6)</f>
        <v>1600</v>
      </c>
      <c r="IY269" s="39">
        <f>INDEX(Input!$1:$1048576,IY$93,$C269*2+6)+INDEX(Input!$1:$1048576,IY$94,$C269*2+6)</f>
        <v>2503.5492916397525</v>
      </c>
      <c r="IZ269" s="39">
        <f>INDEX(Input!$1:$1048576,IZ$93,$C269*2+6)+INDEX(Input!$1:$1048576,IZ$94,$C269*2+6)</f>
        <v>5773.7109265464023</v>
      </c>
      <c r="JA269" s="19">
        <f t="shared" si="884"/>
        <v>2500</v>
      </c>
      <c r="JB269" s="19">
        <f t="shared" si="885"/>
        <v>2903.5860867468705</v>
      </c>
      <c r="JC269" s="19">
        <f t="shared" si="886"/>
        <v>6278.7109265464023</v>
      </c>
      <c r="JD269" s="19">
        <f t="shared" si="887"/>
        <v>3924.2230505690864</v>
      </c>
      <c r="JE269" s="21"/>
      <c r="JF269" s="1">
        <f t="shared" si="888"/>
        <v>8.5237567437015646E-2</v>
      </c>
      <c r="JG269" s="15">
        <f>INDEX(Input!$1:$1048576,JG$93,$C269*2+6)/(1+VLOOKUP(C269*1000+INDEX(Input!$1:$1048576,JG$93+1,$C269*2+6),$A:$KK,$JK$92,FALSE))</f>
        <v>1601</v>
      </c>
      <c r="JH269" s="1">
        <f t="shared" si="889"/>
        <v>9.3895272395438836E-2</v>
      </c>
      <c r="JI269" s="1">
        <f t="shared" si="890"/>
        <v>3.56421962239079E-2</v>
      </c>
      <c r="JJ269" s="1">
        <f t="shared" si="891"/>
        <v>0</v>
      </c>
      <c r="JK269" s="1">
        <f t="shared" si="892"/>
        <v>0.12953746861934673</v>
      </c>
      <c r="JL269" s="15">
        <f t="shared" si="893"/>
        <v>207.38948725957411</v>
      </c>
      <c r="JM269" s="15">
        <f t="shared" si="894"/>
        <v>1808.389487259574</v>
      </c>
      <c r="JN269" s="21"/>
      <c r="JO269" s="19">
        <f>INDEX(Input!$1:$1048576,JO$93,$C269*2+6)</f>
        <v>5908.5</v>
      </c>
      <c r="JP269" s="19">
        <f>INDEX(Input!$1:$1048576,JP$93,$C269*2+6)</f>
        <v>3346.4235130620518</v>
      </c>
      <c r="JQ269" s="39">
        <f t="shared" si="895"/>
        <v>1984.2769494309136</v>
      </c>
      <c r="JR269" s="39">
        <f t="shared" si="896"/>
        <v>577.79953750703453</v>
      </c>
      <c r="JS269" s="39">
        <f t="shared" si="897"/>
        <v>7.0965237103108318</v>
      </c>
      <c r="JT269" s="39">
        <f t="shared" si="898"/>
        <v>1.738899665898487</v>
      </c>
      <c r="JU269" s="385">
        <f>(JQ269*JM269-INDEX(Input!$1:$1048576,Input!A$18,$C269*2+6)*JL269*INDEX(Input!$1:$1048576,Input!A$19,$C269*2+6))/1000000</f>
        <v>3.5883455751623616</v>
      </c>
      <c r="JV269" s="39">
        <f t="shared" si="899"/>
        <v>-0.51353888042529316</v>
      </c>
      <c r="JW269" s="1">
        <f t="shared" si="900"/>
        <v>-0.12519584254152796</v>
      </c>
      <c r="JX269" s="19">
        <f t="shared" si="901"/>
        <v>8384.7049764968779</v>
      </c>
      <c r="JZ269" s="341"/>
      <c r="KA269" s="342"/>
      <c r="KB269" s="469">
        <f t="shared" si="922"/>
        <v>2.4482969984810516</v>
      </c>
      <c r="KI269" s="473">
        <f t="shared" si="902"/>
        <v>120.63846851432027</v>
      </c>
      <c r="KJ269" s="473">
        <f t="shared" si="903"/>
        <v>25.103882180731603</v>
      </c>
      <c r="KK269" s="473">
        <f t="shared" si="904"/>
        <v>61.64713656452227</v>
      </c>
      <c r="KN269" s="544">
        <f t="shared" si="905"/>
        <v>2002</v>
      </c>
      <c r="KO269" s="541">
        <f t="shared" si="906"/>
        <v>4.6667747226222689E-2</v>
      </c>
      <c r="KP269" s="546">
        <f t="shared" si="907"/>
        <v>249.28693103856961</v>
      </c>
      <c r="KQ269" s="546">
        <f t="shared" si="908"/>
        <v>198.61947561254783</v>
      </c>
      <c r="KR269" s="548">
        <f t="shared" si="909"/>
        <v>2.9895500442579026</v>
      </c>
      <c r="KS269" s="548">
        <f t="shared" si="910"/>
        <v>3.7521786492532194</v>
      </c>
      <c r="KT269" s="473">
        <f t="shared" si="923"/>
        <v>528.59039248727379</v>
      </c>
      <c r="KU269" s="663">
        <f t="shared" si="911"/>
        <v>12.151427502675455</v>
      </c>
    </row>
    <row r="270" spans="1:308" s="26" customFormat="1" ht="15" outlineLevel="1">
      <c r="A270" s="561">
        <f t="shared" si="915"/>
        <v>2070</v>
      </c>
      <c r="B270" s="561">
        <f t="shared" si="920"/>
        <v>70</v>
      </c>
      <c r="C270" s="561">
        <f t="shared" si="857"/>
        <v>2</v>
      </c>
      <c r="D270" s="561" t="str">
        <f t="shared" si="859"/>
        <v xml:space="preserve">1000 CC, 180 Lease, </v>
      </c>
      <c r="E270" s="475">
        <f>INDEX(Input!$1:$1048576,E$93,$C270*2+MIN($B270,2)+5)
+INDEX(Scenarios!E$121:E$200,MATCH($B270,Scenarios!$B$121:$B$200,0))</f>
        <v>2250</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1.9E-2</v>
      </c>
      <c r="W270" s="863">
        <f>IFERROR(MAX(0,INDEX(Input!$1:$1048576,W$93,$C270*2+MIN($B270,2)+5)-0%,),"Market")</f>
        <v>3.9E-2</v>
      </c>
      <c r="X270" s="476" t="str">
        <f>INDEX(Input!$1:$1048576,X$93,$C270*2+MIN($B270,2)+5)</f>
        <v>Y</v>
      </c>
      <c r="Y270" s="475">
        <f>INDEX(Input!$1:$1048576,Y$93,$C270*2+MIN($B270,2)+5)
++INDEX(Scenarios!Y$121:Y$200,MATCH($B270,Scenarios!$B$121:$B$200,0))</f>
        <v>1538</v>
      </c>
      <c r="Z270" s="477">
        <f>INDEX(Input!$1:$1048576,Z$93,$C270*2+MIN($B270,2)+5)
+INDEX(Scenarios!Z$121:Z$200,MATCH($B270,Scenarios!$B$121:$B$200,0))</f>
        <v>0</v>
      </c>
      <c r="AA270" s="475">
        <f>INDEX(Input!$1:$1048576,AA$93,$C270*2+MIN($B270,2)+5)</f>
        <v>0</v>
      </c>
      <c r="AB270" s="476">
        <f>INDEX(Input!$1:$1048576,AB$93,$C270*2+MIN($B270,2)+5)</f>
        <v>1</v>
      </c>
      <c r="AC270" s="475">
        <f>INDEX(Input!$1:$1048576,AC$93,$C270*2+MIN($B270,2)+5)
+INDEX(Scenarios!AC$121:AC$200,MATCH($B270,Scenarios!$B$121:$B$200,0))</f>
        <v>0</v>
      </c>
      <c r="AD270" s="476">
        <f>INDEX(Input!$1:$1048576,AD$93,$C270*2+MIN($B270,2)+5)</f>
        <v>0.35</v>
      </c>
      <c r="AE270" s="475">
        <f>INDEX(Input!$1:$1048576,AE$93,$C270*2+MIN($B270,2)+5)
+INDEX(Scenarios!AE$121:AE$200,MATCH($B270,Scenarios!$B$121:$B$200,0))</f>
        <v>0</v>
      </c>
      <c r="AF270" s="476">
        <f>INDEX(Input!$1:$1048576,AF$93,$C270*2+MIN($B270,2)+5)</f>
        <v>1</v>
      </c>
      <c r="AG270" s="475">
        <f>INDEX(Input!$1:$1048576,AG$93,$C270*2+MIN($B270,2)+5)
+INDEX(Scenarios!AG$121:AG$200,MATCH($B270,Scenarios!$B$121:$B$200,0))</f>
        <v>0</v>
      </c>
      <c r="AH270" s="476">
        <f>INDEX(Input!$1:$1048576,AH$93,$C270*2+MIN($B270,2)+5)</f>
        <v>1</v>
      </c>
      <c r="AI270" s="475">
        <f>INDEX(Input!$1:$1048576,AI$93,$C270*2+MIN($B270,2)+5)
+INDEX(Scenarios!AI$121:AI$200,MATCH($B270,Scenarios!$B$121:$B$200,0))</f>
        <v>0</v>
      </c>
      <c r="AJ270" s="476">
        <f>INDEX(Input!$1:$1048576,AJ$93,$C270*2+MIN($B270,2)+5)</f>
        <v>0.35</v>
      </c>
      <c r="AK270" s="150">
        <f>ROUND(INDEX(Input!$1:$1048576,AK$93,$C269*2+MIN($B270,1)+5)+(Y270-VLOOKUP($C270*1000+1,$A:$HH,Y$92,FALSE)),0)</f>
        <v>5162</v>
      </c>
      <c r="AL270" s="150">
        <f>ROUND(INDEX(Input!$1:$1048576,AL$93,$C269*2+MIN($B270,1)+5)-(Y270-VLOOKUP($C270*1000+1,$A:$HH,Y$92,FALSE))/36,0)</f>
        <v>5097</v>
      </c>
      <c r="AM270" s="32" t="str">
        <f t="shared" si="916"/>
        <v>std/std/std/std</v>
      </c>
      <c r="AN270" s="32" t="str">
        <f t="shared" si="917"/>
        <v>$0 + 0/0/0/1.9/3.9</v>
      </c>
      <c r="AO270" s="32" t="str">
        <f t="shared" si="918"/>
        <v>0/0/0/1.9/3.9</v>
      </c>
      <c r="AP270" s="32" t="str">
        <f t="shared" si="831"/>
        <v>0/0.9/1.9/3.9</v>
      </c>
      <c r="AQ270" s="536">
        <f t="shared" si="830"/>
        <v>0.41184616327537088</v>
      </c>
      <c r="AR270" s="32"/>
      <c r="AS270" s="302"/>
      <c r="AT270" s="3">
        <f t="shared" si="810"/>
        <v>70</v>
      </c>
      <c r="AU270" s="41" t="s">
        <v>121</v>
      </c>
      <c r="AV270" s="41" t="s">
        <v>116</v>
      </c>
      <c r="AW270" s="41" t="str">
        <f>INDEX(Input!$1:$1048576,AW$93,$C270*2+6)</f>
        <v>Kia</v>
      </c>
      <c r="AX270" s="41" t="str">
        <f>INDEX(Input!$1:$1048576,AX$93,$C270*2+6)</f>
        <v>Kia-LR - L2</v>
      </c>
      <c r="AY270" s="41" t="str">
        <f>IF(LEN(D270)=0,"",INDEX(Input!$1:$1048576,AY$93,$C270*2+6))</f>
        <v>Compact Conventional/Sporty Car (43)</v>
      </c>
      <c r="AZ270" s="41" t="str">
        <f>INDEX(Input!$1:$1048576,AZ$93,$C270*2+6)</f>
        <v>Kia Forte</v>
      </c>
      <c r="BA270" s="3">
        <f>INDEX(Input!$1:$1048576,BA$93,$C270*2+6)</f>
        <v>2020</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19695</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832"/>
        <v>2250</v>
      </c>
      <c r="CJ270" s="16" t="str">
        <f>INDEX(Input!$1:$1048576,CJ$93,$C270*2+6)</f>
        <v>N</v>
      </c>
      <c r="CK270" s="1" t="str">
        <f t="shared" si="833"/>
        <v>Market</v>
      </c>
      <c r="CL270" s="1" t="str">
        <f t="shared" si="834"/>
        <v>Market</v>
      </c>
      <c r="CM270" s="1" t="str">
        <f t="shared" si="835"/>
        <v>Market</v>
      </c>
      <c r="CN270" s="1" t="str">
        <f t="shared" si="836"/>
        <v>Market</v>
      </c>
      <c r="CO270" s="1" t="str">
        <f t="shared" si="837"/>
        <v>Market</v>
      </c>
      <c r="CP270" s="304">
        <f t="shared" si="838"/>
        <v>0</v>
      </c>
      <c r="CQ270" s="1">
        <f t="shared" si="839"/>
        <v>0</v>
      </c>
      <c r="CR270" s="1">
        <f t="shared" si="840"/>
        <v>0</v>
      </c>
      <c r="CS270" s="1">
        <f t="shared" si="841"/>
        <v>0</v>
      </c>
      <c r="CT270" s="1">
        <f t="shared" si="842"/>
        <v>1.9E-2</v>
      </c>
      <c r="CU270" s="1">
        <f t="shared" si="843"/>
        <v>3.9E-2</v>
      </c>
      <c r="CV270" s="304">
        <f t="shared" si="844"/>
        <v>1538</v>
      </c>
      <c r="CW270" s="20" t="s">
        <v>122</v>
      </c>
      <c r="CX270" s="20" t="s">
        <v>122</v>
      </c>
      <c r="CY270" s="20" t="s">
        <v>122</v>
      </c>
      <c r="CZ270" s="20" t="s">
        <v>122</v>
      </c>
      <c r="DA270" s="20" t="s">
        <v>122</v>
      </c>
      <c r="DB270" s="503">
        <f t="shared" si="845"/>
        <v>0</v>
      </c>
      <c r="DC270" s="127">
        <v>0</v>
      </c>
      <c r="DD270" s="127">
        <v>0</v>
      </c>
      <c r="DE270" s="127">
        <v>0</v>
      </c>
      <c r="DF270" s="127">
        <v>0</v>
      </c>
      <c r="DG270" s="127">
        <v>0</v>
      </c>
      <c r="DH270" s="127">
        <v>0</v>
      </c>
      <c r="DI270" s="127">
        <v>0</v>
      </c>
      <c r="DJ270" s="127">
        <v>0</v>
      </c>
      <c r="DK270" s="127">
        <v>0</v>
      </c>
      <c r="DL270" s="127">
        <v>0</v>
      </c>
      <c r="DM270" s="304">
        <f>INDEX(Input!$1:$1048576,DM$93,$C270*2+6)</f>
        <v>20731.578947368424</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3.1236234284133739E-2</v>
      </c>
      <c r="DZ270" s="7">
        <v>0</v>
      </c>
      <c r="EA270" s="7">
        <v>0.62782011841239305</v>
      </c>
      <c r="EB270" s="7">
        <v>0</v>
      </c>
      <c r="EC270" s="7">
        <v>0</v>
      </c>
      <c r="ED270" s="7">
        <v>0</v>
      </c>
      <c r="EE270" s="7">
        <v>0</v>
      </c>
      <c r="EF270" s="7">
        <v>0</v>
      </c>
      <c r="EG270" s="7">
        <v>0</v>
      </c>
      <c r="EH270" s="7">
        <v>1.621056977361103E-2</v>
      </c>
      <c r="EI270" s="7">
        <v>2.6478458594914378E-2</v>
      </c>
      <c r="EJ270" s="7">
        <v>0.26593174475727782</v>
      </c>
      <c r="EK270" s="7">
        <v>0.64342627115181683</v>
      </c>
      <c r="EL270" s="7">
        <v>4.795295572237996E-2</v>
      </c>
      <c r="EM270" s="7">
        <v>3.0021123872760395E-2</v>
      </c>
      <c r="EN270" s="7">
        <v>5.0152163562236292E-2</v>
      </c>
      <c r="EO270" s="7">
        <v>0.5610650111378428</v>
      </c>
      <c r="EP270" s="7">
        <v>0.28696177153301389</v>
      </c>
      <c r="EQ270" s="7">
        <v>6.334833896545447E-2</v>
      </c>
      <c r="ER270" s="7">
        <v>3.8472714801452264E-2</v>
      </c>
      <c r="ES270" s="7">
        <v>0.3109225234307128</v>
      </c>
      <c r="ET270" s="7">
        <v>0.34094364730347326</v>
      </c>
      <c r="EU270" s="6">
        <v>2600</v>
      </c>
      <c r="EV270" s="6">
        <v>0</v>
      </c>
      <c r="EW270" s="6">
        <v>2600</v>
      </c>
      <c r="EX270" s="6">
        <v>0</v>
      </c>
      <c r="EY270" s="6">
        <v>2626.8652380266881</v>
      </c>
      <c r="EZ270" s="6">
        <v>2291</v>
      </c>
      <c r="FA270" s="6">
        <v>0</v>
      </c>
      <c r="FB270" s="6">
        <v>0</v>
      </c>
      <c r="FC270" s="6">
        <v>0</v>
      </c>
      <c r="FD270" s="6">
        <v>0</v>
      </c>
      <c r="FE270" s="6">
        <v>0</v>
      </c>
      <c r="FF270" s="6">
        <v>0</v>
      </c>
      <c r="FG270" s="6">
        <v>0</v>
      </c>
      <c r="FH270" s="6">
        <v>1154.7818636650197</v>
      </c>
      <c r="FI270" s="6">
        <v>1531.4299904380621</v>
      </c>
      <c r="FJ270" s="6">
        <v>2070.7205842538215</v>
      </c>
      <c r="FK270" s="6">
        <v>1746.9903521590429</v>
      </c>
      <c r="FL270" s="6">
        <v>893.91433563489375</v>
      </c>
      <c r="FM270" s="6">
        <v>1776.8652380266881</v>
      </c>
      <c r="FN270" s="6">
        <v>0</v>
      </c>
      <c r="FO270" s="6">
        <v>0</v>
      </c>
      <c r="FP270" s="6">
        <v>0</v>
      </c>
      <c r="FQ270" s="6">
        <v>0</v>
      </c>
      <c r="FR270" s="6">
        <v>0</v>
      </c>
      <c r="FS270" s="6">
        <v>0</v>
      </c>
      <c r="FT270" s="7">
        <v>0.65905635269652674</v>
      </c>
      <c r="FU270" s="7">
        <v>3.0021123872760395E-2</v>
      </c>
      <c r="FV270" s="7">
        <v>0.3109225234307128</v>
      </c>
      <c r="FW270" s="6">
        <v>2600</v>
      </c>
      <c r="FX270" s="6">
        <v>2626.8652380266881</v>
      </c>
      <c r="FY270" s="6">
        <v>2291</v>
      </c>
      <c r="FZ270" s="6">
        <v>2594.6978186474794</v>
      </c>
      <c r="GA270" s="6">
        <v>2504.7314648985803</v>
      </c>
      <c r="GB270" s="6">
        <v>17190.268535101419</v>
      </c>
      <c r="GC270" s="7">
        <v>9.6947029492584935E-2</v>
      </c>
      <c r="GD270" s="7">
        <v>9.6917568972982676E-2</v>
      </c>
      <c r="GE270" s="7"/>
      <c r="GF270" s="7"/>
      <c r="GG270" s="7">
        <v>-3.0388264350598125E-4</v>
      </c>
      <c r="GH270" s="42">
        <v>6.6524521829068095E-2</v>
      </c>
      <c r="GI270" s="6">
        <v>298560.97446361434</v>
      </c>
      <c r="GJ270" s="14">
        <v>0.51074630601039528</v>
      </c>
      <c r="GK270" s="14">
        <v>0.50829519786160937</v>
      </c>
      <c r="GL270" s="14">
        <v>0.489253693989604</v>
      </c>
      <c r="GM270" s="14">
        <v>0.49170480213839024</v>
      </c>
      <c r="GO270" s="5">
        <v>338.16872463277008</v>
      </c>
      <c r="GP270" s="5">
        <v>288.56568471597211</v>
      </c>
      <c r="GQ270" s="5">
        <v>527.27910984145694</v>
      </c>
      <c r="GR270" s="5">
        <v>404.20319246551543</v>
      </c>
      <c r="GS270" s="5">
        <v>334.50205195691484</v>
      </c>
      <c r="GT270" s="5">
        <v>289.18266033348181</v>
      </c>
      <c r="GU270" s="5">
        <v>254.29573314828914</v>
      </c>
      <c r="GV270" s="39" t="s">
        <v>392</v>
      </c>
      <c r="GW270" s="5">
        <v>468.76388888888891</v>
      </c>
      <c r="GX270" s="5">
        <v>351.57291666666669</v>
      </c>
      <c r="GY270" s="5">
        <v>281.25833333333333</v>
      </c>
      <c r="GZ270" s="5">
        <v>248.18079879493993</v>
      </c>
      <c r="HA270" s="5">
        <v>229.89195052129486</v>
      </c>
      <c r="HB270" s="39">
        <v>262.41360242047824</v>
      </c>
      <c r="HC270" s="5">
        <v>182.88437499999998</v>
      </c>
      <c r="HD270" s="5">
        <v>167.91379751461983</v>
      </c>
      <c r="HE270" s="5">
        <v>173.9497764844804</v>
      </c>
      <c r="HF270" s="5">
        <v>164.72379934210525</v>
      </c>
      <c r="HG270" s="5">
        <v>163.66410087719296</v>
      </c>
      <c r="HH270" s="39">
        <v>170.03112113115884</v>
      </c>
      <c r="HI270" s="16"/>
      <c r="HJ270" s="19" t="str">
        <f t="shared" ref="HJ270:HK270" si="929">HJ269</f>
        <v>On</v>
      </c>
      <c r="HK270" s="1" t="str">
        <f t="shared" si="929"/>
        <v>On</v>
      </c>
      <c r="HL270" s="16"/>
      <c r="HM270" s="639">
        <f t="shared" si="861"/>
        <v>5.0961701597560354E-2</v>
      </c>
      <c r="HN270" s="639">
        <f t="shared" si="862"/>
        <v>3.112551654761847E-3</v>
      </c>
      <c r="HO270" s="639">
        <f t="shared" si="863"/>
        <v>3.1163314184693442E-2</v>
      </c>
      <c r="HP270" s="644">
        <f>(FT270*$GD270-HM270)/$JF270*INDEX(Input!$1:$1048576,$JG$93,$C270*2+6)</f>
        <v>242.53171148247475</v>
      </c>
      <c r="HQ270" s="644">
        <f>(FU270*$GD270-HN270)/$JF270*INDEX(Input!$1:$1048576,$JG$93,$C270*2+6)</f>
        <v>-3.8124818077981746</v>
      </c>
      <c r="HR270" s="644">
        <f>(FV270*$GD270-HO270)/$JF270*INDEX(Input!$1:$1048576,$JG$93,$C270*2+6)</f>
        <v>-19.336121717015654</v>
      </c>
      <c r="HS270" s="644">
        <f t="shared" si="926"/>
        <v>-28.457140323427623</v>
      </c>
      <c r="HT270" s="644">
        <f t="shared" si="865"/>
        <v>19.922290302525159</v>
      </c>
      <c r="HU270" s="644">
        <f t="shared" si="866"/>
        <v>55.534856774509052</v>
      </c>
      <c r="HV270" s="648">
        <f t="shared" si="867"/>
        <v>0</v>
      </c>
      <c r="HW270" s="648">
        <f t="shared" si="868"/>
        <v>0</v>
      </c>
      <c r="HX270" s="648">
        <f t="shared" si="869"/>
        <v>0</v>
      </c>
      <c r="HY270" s="644">
        <f>INDEX(Input!$1:$1048576,HY$93,$C270*2+6)*INDEX(Input!$1:$1048576,$JG$93,$C270*2+6)</f>
        <v>555</v>
      </c>
      <c r="HZ270" s="644">
        <f>INDEX(Input!$1:$1048576,HZ$93,$C270*2+6)*INDEX(Input!$1:$1048576,$JG$93,$C270*2+6)</f>
        <v>480</v>
      </c>
      <c r="IA270" s="644">
        <f>INDEX(Input!$1:$1048576,IA$93,$C270*2+6)*INDEX(Input!$1:$1048576,$JG$93,$C270*2+6)</f>
        <v>566</v>
      </c>
      <c r="IB270" s="644">
        <f t="shared" si="870"/>
        <v>769.07457115904731</v>
      </c>
      <c r="IC270" s="644">
        <f t="shared" si="871"/>
        <v>496.10980849472696</v>
      </c>
      <c r="ID270" s="644">
        <f>IF(AND(INDEX(Input!$1:$1048576,IA$93,$C270*2+7)="TOS",Y270&lt;=INDEX(Y:Y,MATCH(C270*1000+2,A:A))),0,1)*MAX(IA270+HR270+HU270+HX270,0%)</f>
        <v>602.19873505749342</v>
      </c>
      <c r="IE270" s="128">
        <f t="shared" si="927"/>
        <v>0.41184616327537088</v>
      </c>
      <c r="IF270" s="128">
        <f t="shared" si="928"/>
        <v>0.26567114406592179</v>
      </c>
      <c r="IG270" s="128">
        <f t="shared" si="874"/>
        <v>0.32248269265870738</v>
      </c>
      <c r="IH270" s="21"/>
      <c r="II270" s="19">
        <f t="shared" si="875"/>
        <v>1200</v>
      </c>
      <c r="IJ270" s="19">
        <f t="shared" si="876"/>
        <v>2226.7968732767699</v>
      </c>
      <c r="IK270" s="19">
        <f t="shared" si="877"/>
        <v>1786</v>
      </c>
      <c r="IL270" s="19">
        <f t="shared" si="878"/>
        <v>1400</v>
      </c>
      <c r="IM270" s="19">
        <f t="shared" si="879"/>
        <v>400.06836474991815</v>
      </c>
      <c r="IN270" s="19">
        <f t="shared" si="880"/>
        <v>505</v>
      </c>
      <c r="IO270" s="39">
        <f t="shared" si="881"/>
        <v>0</v>
      </c>
      <c r="IP270" s="39">
        <f t="shared" si="882"/>
        <v>0</v>
      </c>
      <c r="IQ270" s="39">
        <f t="shared" si="883"/>
        <v>0</v>
      </c>
      <c r="IR270" s="39">
        <v>0</v>
      </c>
      <c r="IS270" s="39">
        <v>0</v>
      </c>
      <c r="IT270" s="39">
        <v>0</v>
      </c>
      <c r="IU270" s="39">
        <v>0</v>
      </c>
      <c r="IV270" s="39">
        <v>0</v>
      </c>
      <c r="IW270" s="39">
        <v>0</v>
      </c>
      <c r="IX270" s="39">
        <f>INDEX(Input!$1:$1048576,IX$93,$C270*2+6)+INDEX(Input!$1:$1048576,IX$94,$C270*2+6)</f>
        <v>1600</v>
      </c>
      <c r="IY270" s="39">
        <f>INDEX(Input!$1:$1048576,IY$93,$C270*2+6)+INDEX(Input!$1:$1048576,IY$94,$C270*2+6)</f>
        <v>2503.5492916397525</v>
      </c>
      <c r="IZ270" s="39">
        <f>INDEX(Input!$1:$1048576,IZ$93,$C270*2+6)+INDEX(Input!$1:$1048576,IZ$94,$C270*2+6)</f>
        <v>5773.7109265464023</v>
      </c>
      <c r="JA270" s="19">
        <f t="shared" si="884"/>
        <v>3000</v>
      </c>
      <c r="JB270" s="19">
        <f t="shared" si="885"/>
        <v>2903.6176563896706</v>
      </c>
      <c r="JC270" s="19">
        <f t="shared" si="886"/>
        <v>6278.7109265464023</v>
      </c>
      <c r="JD270" s="19">
        <f t="shared" si="887"/>
        <v>4031.7215205474986</v>
      </c>
      <c r="JE270" s="21"/>
      <c r="JF270" s="1">
        <f t="shared" si="888"/>
        <v>8.5237567437015646E-2</v>
      </c>
      <c r="JG270" s="15">
        <f>INDEX(Input!$1:$1048576,JG$93,$C270*2+6)/(1+VLOOKUP(C270*1000+INDEX(Input!$1:$1048576,JG$93+1,$C270*2+6),$A:$KK,$JK$92,FALSE))</f>
        <v>1601</v>
      </c>
      <c r="JH270" s="1">
        <f t="shared" si="889"/>
        <v>0.1370287994738669</v>
      </c>
      <c r="JI270" s="1">
        <f t="shared" si="890"/>
        <v>2.9356656310809859E-2</v>
      </c>
      <c r="JJ270" s="1">
        <f t="shared" si="891"/>
        <v>0</v>
      </c>
      <c r="JK270" s="1">
        <f t="shared" si="892"/>
        <v>0.16638545578467676</v>
      </c>
      <c r="JL270" s="15">
        <f t="shared" si="893"/>
        <v>266.38311471126747</v>
      </c>
      <c r="JM270" s="15">
        <f t="shared" si="894"/>
        <v>1867.3831147112674</v>
      </c>
      <c r="JN270" s="21"/>
      <c r="JO270" s="19">
        <f>INDEX(Input!$1:$1048576,JO$93,$C270*2+6)</f>
        <v>5908.5</v>
      </c>
      <c r="JP270" s="19">
        <f>INDEX(Input!$1:$1048576,JP$93,$C270*2+6)</f>
        <v>3346.4235130620518</v>
      </c>
      <c r="JQ270" s="39">
        <f t="shared" si="895"/>
        <v>1876.7784794525014</v>
      </c>
      <c r="JR270" s="39">
        <f t="shared" si="896"/>
        <v>685.29800748544676</v>
      </c>
      <c r="JS270" s="39">
        <f t="shared" si="897"/>
        <v>7.5287686906884348</v>
      </c>
      <c r="JT270" s="39">
        <f t="shared" si="898"/>
        <v>2.1711446462760904</v>
      </c>
      <c r="JU270" s="385">
        <f>(JQ270*JM270-INDEX(Input!$1:$1048576,Input!A$18,$C270*2+6)*JL270*INDEX(Input!$1:$1048576,Input!A$19,$C270*2+6))/1000000</f>
        <v>3.5046644425830884</v>
      </c>
      <c r="JV270" s="39">
        <f t="shared" si="899"/>
        <v>-0.5972200130045664</v>
      </c>
      <c r="JW270" s="1">
        <f t="shared" si="900"/>
        <v>-0.14559649826094526</v>
      </c>
      <c r="JX270" s="19">
        <f t="shared" si="901"/>
        <v>8150.4589682022188</v>
      </c>
      <c r="JZ270" s="341"/>
      <c r="KA270" s="342"/>
      <c r="KB270" s="469">
        <f t="shared" si="922"/>
        <v>2.4482969984810516</v>
      </c>
      <c r="KI270" s="473">
        <f t="shared" si="902"/>
        <v>214.0745711590472</v>
      </c>
      <c r="KJ270" s="473">
        <f t="shared" si="903"/>
        <v>16.109808494726849</v>
      </c>
      <c r="KK270" s="473">
        <f t="shared" si="904"/>
        <v>36.198735057493309</v>
      </c>
      <c r="KN270" s="544">
        <f t="shared" si="905"/>
        <v>2002</v>
      </c>
      <c r="KO270" s="541">
        <f t="shared" si="906"/>
        <v>8.0812342503171486E-2</v>
      </c>
      <c r="KP270" s="546">
        <f t="shared" si="907"/>
        <v>469.90782386438025</v>
      </c>
      <c r="KQ270" s="546">
        <f t="shared" si="908"/>
        <v>306.11794559096006</v>
      </c>
      <c r="KR270" s="548">
        <f t="shared" si="909"/>
        <v>2.7463350638783828</v>
      </c>
      <c r="KS270" s="548">
        <f t="shared" si="910"/>
        <v>4.2157748412239604</v>
      </c>
      <c r="KT270" s="473">
        <f t="shared" si="923"/>
        <v>528.59039248727379</v>
      </c>
      <c r="KU270" s="663">
        <f t="shared" si="911"/>
        <v>12.372629068755021</v>
      </c>
    </row>
    <row r="271" spans="1:308" s="26" customFormat="1" ht="15" outlineLevel="1">
      <c r="A271" s="561">
        <f t="shared" si="915"/>
        <v>2071</v>
      </c>
      <c r="B271" s="561">
        <f t="shared" si="920"/>
        <v>71</v>
      </c>
      <c r="C271" s="561">
        <f t="shared" si="857"/>
        <v>2</v>
      </c>
      <c r="D271" s="561" t="str">
        <f t="shared" si="859"/>
        <v xml:space="preserve">500 CC, 0/0/0.9/3.9, 180 Lease, </v>
      </c>
      <c r="E271" s="475">
        <f>INDEX(Input!$1:$1048576,E$93,$C271*2+MIN($B271,2)+5)
+INDEX(Scenarios!E$121:E$200,MATCH($B271,Scenarios!$B$121:$B$200,0))</f>
        <v>1750</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8.9999999999999993E-3</v>
      </c>
      <c r="W271" s="863">
        <f>IFERROR(MAX(0,INDEX(Input!$1:$1048576,W$93,$C271*2+MIN($B271,2)+5)-0%,),"Market")</f>
        <v>3.9E-2</v>
      </c>
      <c r="X271" s="476" t="str">
        <f>INDEX(Input!$1:$1048576,X$93,$C271*2+MIN($B271,2)+5)</f>
        <v>Y</v>
      </c>
      <c r="Y271" s="475">
        <f>INDEX(Input!$1:$1048576,Y$93,$C271*2+MIN($B271,2)+5)
++INDEX(Scenarios!Y$121:Y$200,MATCH($B271,Scenarios!$B$121:$B$200,0))</f>
        <v>1538</v>
      </c>
      <c r="Z271" s="477">
        <f>INDEX(Input!$1:$1048576,Z$93,$C271*2+MIN($B271,2)+5)
+INDEX(Scenarios!Z$121:Z$200,MATCH($B271,Scenarios!$B$121:$B$200,0))</f>
        <v>0</v>
      </c>
      <c r="AA271" s="475">
        <f>INDEX(Input!$1:$1048576,AA$93,$C271*2+MIN($B271,2)+5)</f>
        <v>0</v>
      </c>
      <c r="AB271" s="476">
        <f>INDEX(Input!$1:$1048576,AB$93,$C271*2+MIN($B271,2)+5)</f>
        <v>1</v>
      </c>
      <c r="AC271" s="475">
        <f>INDEX(Input!$1:$1048576,AC$93,$C271*2+MIN($B271,2)+5)
+INDEX(Scenarios!AC$121:AC$200,MATCH($B271,Scenarios!$B$121:$B$200,0))</f>
        <v>0</v>
      </c>
      <c r="AD271" s="476">
        <f>INDEX(Input!$1:$1048576,AD$93,$C271*2+MIN($B271,2)+5)</f>
        <v>0.35</v>
      </c>
      <c r="AE271" s="475">
        <f>INDEX(Input!$1:$1048576,AE$93,$C271*2+MIN($B271,2)+5)
+INDEX(Scenarios!AE$121:AE$200,MATCH($B271,Scenarios!$B$121:$B$200,0))</f>
        <v>0</v>
      </c>
      <c r="AF271" s="476">
        <f>INDEX(Input!$1:$1048576,AF$93,$C271*2+MIN($B271,2)+5)</f>
        <v>1</v>
      </c>
      <c r="AG271" s="475">
        <f>INDEX(Input!$1:$1048576,AG$93,$C271*2+MIN($B271,2)+5)
+INDEX(Scenarios!AG$121:AG$200,MATCH($B271,Scenarios!$B$121:$B$200,0))</f>
        <v>0</v>
      </c>
      <c r="AH271" s="476">
        <f>INDEX(Input!$1:$1048576,AH$93,$C271*2+MIN($B271,2)+5)</f>
        <v>1</v>
      </c>
      <c r="AI271" s="475">
        <f>INDEX(Input!$1:$1048576,AI$93,$C271*2+MIN($B271,2)+5)
+INDEX(Scenarios!AI$121:AI$200,MATCH($B271,Scenarios!$B$121:$B$200,0))</f>
        <v>0</v>
      </c>
      <c r="AJ271" s="476">
        <f>INDEX(Input!$1:$1048576,AJ$93,$C271*2+MIN($B271,2)+5)</f>
        <v>0.35</v>
      </c>
      <c r="AK271" s="150">
        <f>ROUND(INDEX(Input!$1:$1048576,AK$93,$C270*2+MIN($B271,1)+5)+(Y271-VLOOKUP($C271*1000+1,$A:$HH,Y$92,FALSE)),0)</f>
        <v>5162</v>
      </c>
      <c r="AL271" s="150">
        <f>ROUND(INDEX(Input!$1:$1048576,AL$93,$C270*2+MIN($B271,1)+5)-(Y271-VLOOKUP($C271*1000+1,$A:$HH,Y$92,FALSE))/36,0)</f>
        <v>5097</v>
      </c>
      <c r="AM271" s="32" t="str">
        <f t="shared" si="916"/>
        <v>std/std/std/std</v>
      </c>
      <c r="AN271" s="32" t="str">
        <f t="shared" si="917"/>
        <v>$0 + 0/0/0/0.9/3.9</v>
      </c>
      <c r="AO271" s="32" t="str">
        <f t="shared" si="918"/>
        <v>0/0/0/0.9/3.9</v>
      </c>
      <c r="AP271" s="32" t="str">
        <f t="shared" si="831"/>
        <v>0/0/0.9/3.9</v>
      </c>
      <c r="AQ271" s="536">
        <f t="shared" si="830"/>
        <v>0.36060624486275034</v>
      </c>
      <c r="AR271" s="32"/>
      <c r="AS271" s="302"/>
      <c r="AT271" s="3">
        <f t="shared" si="810"/>
        <v>71</v>
      </c>
      <c r="AU271" s="41" t="s">
        <v>121</v>
      </c>
      <c r="AV271" s="41" t="s">
        <v>116</v>
      </c>
      <c r="AW271" s="41" t="str">
        <f>INDEX(Input!$1:$1048576,AW$93,$C271*2+6)</f>
        <v>Kia</v>
      </c>
      <c r="AX271" s="41" t="str">
        <f>INDEX(Input!$1:$1048576,AX$93,$C271*2+6)</f>
        <v>Kia-LR - L2</v>
      </c>
      <c r="AY271" s="41" t="str">
        <f>IF(LEN(D271)=0,"",INDEX(Input!$1:$1048576,AY$93,$C271*2+6))</f>
        <v>Compact Conventional/Sporty Car (43)</v>
      </c>
      <c r="AZ271" s="41" t="str">
        <f>INDEX(Input!$1:$1048576,AZ$93,$C271*2+6)</f>
        <v>Kia Forte</v>
      </c>
      <c r="BA271" s="3">
        <f>INDEX(Input!$1:$1048576,BA$93,$C271*2+6)</f>
        <v>2020</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19695</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832"/>
        <v>1750</v>
      </c>
      <c r="CJ271" s="16" t="str">
        <f>INDEX(Input!$1:$1048576,CJ$93,$C271*2+6)</f>
        <v>N</v>
      </c>
      <c r="CK271" s="1" t="str">
        <f t="shared" si="833"/>
        <v>Market</v>
      </c>
      <c r="CL271" s="1" t="str">
        <f t="shared" si="834"/>
        <v>Market</v>
      </c>
      <c r="CM271" s="1" t="str">
        <f t="shared" si="835"/>
        <v>Market</v>
      </c>
      <c r="CN271" s="1" t="str">
        <f t="shared" si="836"/>
        <v>Market</v>
      </c>
      <c r="CO271" s="1" t="str">
        <f t="shared" si="837"/>
        <v>Market</v>
      </c>
      <c r="CP271" s="304">
        <f t="shared" si="838"/>
        <v>0</v>
      </c>
      <c r="CQ271" s="1">
        <f t="shared" si="839"/>
        <v>0</v>
      </c>
      <c r="CR271" s="1">
        <f t="shared" si="840"/>
        <v>0</v>
      </c>
      <c r="CS271" s="1">
        <f t="shared" si="841"/>
        <v>0</v>
      </c>
      <c r="CT271" s="1">
        <f t="shared" si="842"/>
        <v>8.9999999999999993E-3</v>
      </c>
      <c r="CU271" s="1">
        <f t="shared" si="843"/>
        <v>3.9E-2</v>
      </c>
      <c r="CV271" s="304">
        <f t="shared" si="844"/>
        <v>1538</v>
      </c>
      <c r="CW271" s="20" t="s">
        <v>122</v>
      </c>
      <c r="CX271" s="20" t="s">
        <v>122</v>
      </c>
      <c r="CY271" s="20" t="s">
        <v>122</v>
      </c>
      <c r="CZ271" s="20" t="s">
        <v>122</v>
      </c>
      <c r="DA271" s="20" t="s">
        <v>122</v>
      </c>
      <c r="DB271" s="503">
        <f t="shared" si="845"/>
        <v>0</v>
      </c>
      <c r="DC271" s="127">
        <v>0</v>
      </c>
      <c r="DD271" s="127">
        <v>0</v>
      </c>
      <c r="DE271" s="127">
        <v>0</v>
      </c>
      <c r="DF271" s="127">
        <v>0</v>
      </c>
      <c r="DG271" s="127">
        <v>0</v>
      </c>
      <c r="DH271" s="127">
        <v>0</v>
      </c>
      <c r="DI271" s="127">
        <v>0</v>
      </c>
      <c r="DJ271" s="127">
        <v>0</v>
      </c>
      <c r="DK271" s="127">
        <v>0</v>
      </c>
      <c r="DL271" s="127">
        <v>0</v>
      </c>
      <c r="DM271" s="304">
        <f>INDEX(Input!$1:$1048576,DM$93,$C271*2+6)</f>
        <v>20731.578947368424</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2.9067476793371471E-2</v>
      </c>
      <c r="DZ271" s="7">
        <v>0</v>
      </c>
      <c r="EA271" s="7">
        <v>0.58859265469320976</v>
      </c>
      <c r="EB271" s="7">
        <v>0</v>
      </c>
      <c r="EC271" s="7">
        <v>0</v>
      </c>
      <c r="ED271" s="7">
        <v>0</v>
      </c>
      <c r="EE271" s="7">
        <v>0</v>
      </c>
      <c r="EF271" s="7">
        <v>0</v>
      </c>
      <c r="EG271" s="7">
        <v>0</v>
      </c>
      <c r="EH271" s="7">
        <v>1.1568269277218863E-2</v>
      </c>
      <c r="EI271" s="7">
        <v>1.8894424530039491E-2</v>
      </c>
      <c r="EJ271" s="7">
        <v>0.18979921235438135</v>
      </c>
      <c r="EK271" s="7">
        <v>0.7454941142409871</v>
      </c>
      <c r="EL271" s="7">
        <v>3.4243979597373082E-2</v>
      </c>
      <c r="EM271" s="7">
        <v>4.561973576741607E-2</v>
      </c>
      <c r="EN271" s="7">
        <v>5.0159623677585481E-2</v>
      </c>
      <c r="EO271" s="7">
        <v>0.56109916408511218</v>
      </c>
      <c r="EP271" s="7">
        <v>0.28692653325891632</v>
      </c>
      <c r="EQ271" s="7">
        <v>6.3357826762144923E-2</v>
      </c>
      <c r="ER271" s="7">
        <v>3.8456852216241198E-2</v>
      </c>
      <c r="ES271" s="7">
        <v>0.33672013274600288</v>
      </c>
      <c r="ET271" s="7">
        <v>0.38233986851341883</v>
      </c>
      <c r="EU271" s="6">
        <v>2100</v>
      </c>
      <c r="EV271" s="6">
        <v>0</v>
      </c>
      <c r="EW271" s="6">
        <v>2100</v>
      </c>
      <c r="EX271" s="6">
        <v>0</v>
      </c>
      <c r="EY271" s="6">
        <v>2969.9092465805484</v>
      </c>
      <c r="EZ271" s="6">
        <v>2291</v>
      </c>
      <c r="FA271" s="6">
        <v>0</v>
      </c>
      <c r="FB271" s="6">
        <v>0</v>
      </c>
      <c r="FC271" s="6">
        <v>0</v>
      </c>
      <c r="FD271" s="6">
        <v>0</v>
      </c>
      <c r="FE271" s="6">
        <v>0</v>
      </c>
      <c r="FF271" s="6">
        <v>0</v>
      </c>
      <c r="FG271" s="6">
        <v>0</v>
      </c>
      <c r="FH271" s="6">
        <v>1154.7834743301401</v>
      </c>
      <c r="FI271" s="6">
        <v>1531.4299904380623</v>
      </c>
      <c r="FJ271" s="6">
        <v>2070.7205842538215</v>
      </c>
      <c r="FK271" s="6">
        <v>2218.639369850102</v>
      </c>
      <c r="FL271" s="6">
        <v>893.9143356348934</v>
      </c>
      <c r="FM271" s="6">
        <v>2119.9092465805484</v>
      </c>
      <c r="FN271" s="6">
        <v>0</v>
      </c>
      <c r="FO271" s="6">
        <v>0</v>
      </c>
      <c r="FP271" s="6">
        <v>0</v>
      </c>
      <c r="FQ271" s="6">
        <v>0</v>
      </c>
      <c r="FR271" s="6">
        <v>0</v>
      </c>
      <c r="FS271" s="6">
        <v>0</v>
      </c>
      <c r="FT271" s="7">
        <v>0.61766013148658128</v>
      </c>
      <c r="FU271" s="7">
        <v>4.561973576741607E-2</v>
      </c>
      <c r="FV271" s="7">
        <v>0.33672013274600288</v>
      </c>
      <c r="FW271" s="6">
        <v>2099.9999999999995</v>
      </c>
      <c r="FX271" s="6">
        <v>2969.9092465805484</v>
      </c>
      <c r="FY271" s="6">
        <v>2291</v>
      </c>
      <c r="FZ271" s="6">
        <v>2594.6978186474794</v>
      </c>
      <c r="GA271" s="6">
        <v>2203.9985753251231</v>
      </c>
      <c r="GB271" s="6">
        <v>17491.001424674876</v>
      </c>
      <c r="GC271" s="7">
        <v>9.6947029492584935E-2</v>
      </c>
      <c r="GD271" s="7">
        <v>9.3743235347564638E-2</v>
      </c>
      <c r="GE271" s="7"/>
      <c r="GF271" s="7"/>
      <c r="GG271" s="7">
        <v>-3.3046852098396085E-2</v>
      </c>
      <c r="GH271" s="42">
        <v>1.6658792234744724</v>
      </c>
      <c r="GI271" s="6">
        <v>14026.58434413179</v>
      </c>
      <c r="GJ271" s="14">
        <v>0.51074630601039528</v>
      </c>
      <c r="GK271" s="14">
        <v>0.5082951978616097</v>
      </c>
      <c r="GL271" s="14">
        <v>0.48925369398960455</v>
      </c>
      <c r="GM271" s="14">
        <v>0.49170480213839041</v>
      </c>
      <c r="GO271" s="5">
        <v>338.16872463277008</v>
      </c>
      <c r="GP271" s="5">
        <v>298.1047308538179</v>
      </c>
      <c r="GQ271" s="5">
        <v>527.27910984145694</v>
      </c>
      <c r="GR271" s="5">
        <v>404.20319246551543</v>
      </c>
      <c r="GS271" s="5">
        <v>334.50205195691484</v>
      </c>
      <c r="GT271" s="5">
        <v>289.18266033348181</v>
      </c>
      <c r="GU271" s="5">
        <v>254.29573314828914</v>
      </c>
      <c r="GV271" s="39" t="s">
        <v>392</v>
      </c>
      <c r="GW271" s="5">
        <v>468.76388888888891</v>
      </c>
      <c r="GX271" s="5">
        <v>351.57291666666669</v>
      </c>
      <c r="GY271" s="5">
        <v>281.25833333333333</v>
      </c>
      <c r="GZ271" s="5">
        <v>240.8550698915011</v>
      </c>
      <c r="HA271" s="5">
        <v>229.89195052129486</v>
      </c>
      <c r="HB271" s="39">
        <v>252.87661722210709</v>
      </c>
      <c r="HC271" s="5">
        <v>182.88437499999998</v>
      </c>
      <c r="HD271" s="5">
        <v>167.91379751461983</v>
      </c>
      <c r="HE271" s="5">
        <v>173.9497764844804</v>
      </c>
      <c r="HF271" s="5">
        <v>164.72379934210525</v>
      </c>
      <c r="HG271" s="5">
        <v>163.66410087719296</v>
      </c>
      <c r="HH271" s="39">
        <v>170.03105726103337</v>
      </c>
      <c r="HI271" s="16"/>
      <c r="HJ271" s="19" t="str">
        <f t="shared" ref="HJ271:HK271" si="930">HJ270</f>
        <v>On</v>
      </c>
      <c r="HK271" s="1" t="str">
        <f t="shared" si="930"/>
        <v>On</v>
      </c>
      <c r="HL271" s="16"/>
      <c r="HM271" s="639">
        <f t="shared" si="861"/>
        <v>5.0961701597560354E-2</v>
      </c>
      <c r="HN271" s="639">
        <f t="shared" si="862"/>
        <v>3.112551654761847E-3</v>
      </c>
      <c r="HO271" s="639">
        <f t="shared" si="863"/>
        <v>3.1163314184693442E-2</v>
      </c>
      <c r="HP271" s="644">
        <f>(FT271*$GD271-HM271)/$JF271*INDEX(Input!$1:$1048576,$JG$93,$C271*2+6)</f>
        <v>130.34806187768567</v>
      </c>
      <c r="HQ271" s="644">
        <f>(FU271*$GD271-HN271)/$JF271*INDEX(Input!$1:$1048576,$JG$93,$C271*2+6)</f>
        <v>21.86298836122468</v>
      </c>
      <c r="HR271" s="644">
        <f>(FV271*$GD271-HO271)/$JF271*INDEX(Input!$1:$1048576,$JG$93,$C271*2+6)</f>
        <v>7.5491908643023278</v>
      </c>
      <c r="HS271" s="644">
        <f t="shared" si="926"/>
        <v>-18.624632674052453</v>
      </c>
      <c r="HT271" s="644">
        <f t="shared" si="865"/>
        <v>56.817759047737852</v>
      </c>
      <c r="HU271" s="644">
        <f t="shared" si="866"/>
        <v>49.942592318234247</v>
      </c>
      <c r="HV271" s="648">
        <f t="shared" si="867"/>
        <v>0</v>
      </c>
      <c r="HW271" s="648">
        <f t="shared" si="868"/>
        <v>0</v>
      </c>
      <c r="HX271" s="648">
        <f t="shared" si="869"/>
        <v>0</v>
      </c>
      <c r="HY271" s="644">
        <f>INDEX(Input!$1:$1048576,HY$93,$C271*2+6)*INDEX(Input!$1:$1048576,$JG$93,$C271*2+6)</f>
        <v>555</v>
      </c>
      <c r="HZ271" s="644">
        <f>INDEX(Input!$1:$1048576,HZ$93,$C271*2+6)*INDEX(Input!$1:$1048576,$JG$93,$C271*2+6)</f>
        <v>480</v>
      </c>
      <c r="IA271" s="644">
        <f>INDEX(Input!$1:$1048576,IA$93,$C271*2+6)*INDEX(Input!$1:$1048576,$JG$93,$C271*2+6)</f>
        <v>566</v>
      </c>
      <c r="IB271" s="644">
        <f t="shared" si="870"/>
        <v>666.72342920363315</v>
      </c>
      <c r="IC271" s="644">
        <f t="shared" si="871"/>
        <v>558.68074740896247</v>
      </c>
      <c r="ID271" s="644">
        <f>IF(AND(INDEX(Input!$1:$1048576,IA$93,$C271*2+7)="TOS",Y271&lt;=INDEX(Y:Y,MATCH(C271*1000+2,A:A))),0,1)*MAX(IA271+HR271+HU271+HX271,0%)</f>
        <v>623.49178318253655</v>
      </c>
      <c r="IE271" s="128">
        <f t="shared" si="927"/>
        <v>0.36060624486275034</v>
      </c>
      <c r="IF271" s="128">
        <f t="shared" si="928"/>
        <v>0.30216992170336476</v>
      </c>
      <c r="IG271" s="128">
        <f t="shared" si="874"/>
        <v>0.33722383343388501</v>
      </c>
      <c r="IH271" s="21"/>
      <c r="II271" s="19">
        <f t="shared" si="875"/>
        <v>1200</v>
      </c>
      <c r="IJ271" s="19">
        <f t="shared" si="876"/>
        <v>2226.7968732767699</v>
      </c>
      <c r="IK271" s="19">
        <f t="shared" si="877"/>
        <v>1786</v>
      </c>
      <c r="IL271" s="19">
        <f t="shared" si="878"/>
        <v>899.99999999999955</v>
      </c>
      <c r="IM271" s="19">
        <f t="shared" si="879"/>
        <v>743.11237330377844</v>
      </c>
      <c r="IN271" s="19">
        <f t="shared" si="880"/>
        <v>505</v>
      </c>
      <c r="IO271" s="39">
        <f t="shared" si="881"/>
        <v>0</v>
      </c>
      <c r="IP271" s="39">
        <f t="shared" si="882"/>
        <v>0</v>
      </c>
      <c r="IQ271" s="39">
        <f t="shared" si="883"/>
        <v>0</v>
      </c>
      <c r="IR271" s="39">
        <v>0</v>
      </c>
      <c r="IS271" s="39">
        <v>0</v>
      </c>
      <c r="IT271" s="39">
        <v>0</v>
      </c>
      <c r="IU271" s="39">
        <v>0</v>
      </c>
      <c r="IV271" s="39">
        <v>0</v>
      </c>
      <c r="IW271" s="39">
        <v>0</v>
      </c>
      <c r="IX271" s="39">
        <f>INDEX(Input!$1:$1048576,IX$93,$C271*2+6)+INDEX(Input!$1:$1048576,IX$94,$C271*2+6)</f>
        <v>1600</v>
      </c>
      <c r="IY271" s="39">
        <f>INDEX(Input!$1:$1048576,IY$93,$C271*2+6)+INDEX(Input!$1:$1048576,IY$94,$C271*2+6)</f>
        <v>2503.5492916397525</v>
      </c>
      <c r="IZ271" s="39">
        <f>INDEX(Input!$1:$1048576,IZ$93,$C271*2+6)+INDEX(Input!$1:$1048576,IZ$94,$C271*2+6)</f>
        <v>5773.7109265464023</v>
      </c>
      <c r="JA271" s="19">
        <f t="shared" si="884"/>
        <v>2499.9999999999995</v>
      </c>
      <c r="JB271" s="19">
        <f t="shared" si="885"/>
        <v>3246.6616649435309</v>
      </c>
      <c r="JC271" s="19">
        <f t="shared" si="886"/>
        <v>6278.7109265464023</v>
      </c>
      <c r="JD271" s="19">
        <f t="shared" si="887"/>
        <v>3999.8900809233764</v>
      </c>
      <c r="JE271" s="21"/>
      <c r="JF271" s="1">
        <f t="shared" si="888"/>
        <v>8.5237567437015646E-2</v>
      </c>
      <c r="JG271" s="15">
        <f>INDEX(Input!$1:$1048576,JG$93,$C271*2+6)/(1+VLOOKUP(C271*1000+INDEX(Input!$1:$1048576,JG$93+1,$C271*2+6),$A:$KK,$JK$92,FALSE))</f>
        <v>1601</v>
      </c>
      <c r="JH271" s="1">
        <f t="shared" si="889"/>
        <v>9.9787783324929824E-2</v>
      </c>
      <c r="JI271" s="1">
        <f t="shared" si="890"/>
        <v>5.5050417671405151E-2</v>
      </c>
      <c r="JJ271" s="1">
        <f t="shared" si="891"/>
        <v>0</v>
      </c>
      <c r="JK271" s="1">
        <f t="shared" si="892"/>
        <v>0.15483820099633497</v>
      </c>
      <c r="JL271" s="15">
        <f t="shared" si="893"/>
        <v>247.89595979513228</v>
      </c>
      <c r="JM271" s="15">
        <f t="shared" si="894"/>
        <v>1848.8959597951323</v>
      </c>
      <c r="JN271" s="21"/>
      <c r="JO271" s="19">
        <f>INDEX(Input!$1:$1048576,JO$93,$C271*2+6)</f>
        <v>5908.5</v>
      </c>
      <c r="JP271" s="19">
        <f>INDEX(Input!$1:$1048576,JP$93,$C271*2+6)</f>
        <v>3346.4235130620518</v>
      </c>
      <c r="JQ271" s="39">
        <f t="shared" si="895"/>
        <v>1908.6099190766236</v>
      </c>
      <c r="JR271" s="39">
        <f t="shared" si="896"/>
        <v>653.46656786132462</v>
      </c>
      <c r="JS271" s="39">
        <f t="shared" si="897"/>
        <v>7.3953806102438548</v>
      </c>
      <c r="JT271" s="39">
        <f t="shared" si="898"/>
        <v>2.0377565658315104</v>
      </c>
      <c r="JU271" s="385">
        <f>(JQ271*JM271-INDEX(Input!$1:$1048576,Input!A$18,$C271*2+6)*JL271*INDEX(Input!$1:$1048576,Input!A$19,$C271*2+6))/1000000</f>
        <v>3.5288211682056834</v>
      </c>
      <c r="JV271" s="39">
        <f t="shared" si="899"/>
        <v>-0.57306328738197143</v>
      </c>
      <c r="JW271" s="1">
        <f t="shared" si="900"/>
        <v>-0.13970732076602868</v>
      </c>
      <c r="JX271" s="19">
        <f t="shared" si="901"/>
        <v>8220.2088630874259</v>
      </c>
      <c r="JZ271" s="341"/>
      <c r="KA271" s="342"/>
      <c r="KB271" s="469">
        <f t="shared" si="922"/>
        <v>2.4482969984810516</v>
      </c>
      <c r="KI271" s="473">
        <f t="shared" si="902"/>
        <v>111.72342920363326</v>
      </c>
      <c r="KJ271" s="473">
        <f t="shared" si="903"/>
        <v>78.680747408962588</v>
      </c>
      <c r="KK271" s="473">
        <f t="shared" si="904"/>
        <v>57.491783182536665</v>
      </c>
      <c r="KN271" s="544">
        <f t="shared" si="905"/>
        <v>2002</v>
      </c>
      <c r="KO271" s="541">
        <f t="shared" si="906"/>
        <v>7.0112264381164691E-2</v>
      </c>
      <c r="KP271" s="546">
        <f t="shared" si="907"/>
        <v>344.67779952873445</v>
      </c>
      <c r="KQ271" s="546">
        <f t="shared" si="908"/>
        <v>274.28650596683792</v>
      </c>
      <c r="KR271" s="548">
        <f t="shared" si="909"/>
        <v>3.2483976214630919</v>
      </c>
      <c r="KS271" s="548">
        <f t="shared" si="910"/>
        <v>4.0820474934178588</v>
      </c>
      <c r="KT271" s="473">
        <f t="shared" si="923"/>
        <v>528.59039248727379</v>
      </c>
      <c r="KU271" s="663">
        <f t="shared" si="911"/>
        <v>12.298881716806122</v>
      </c>
    </row>
    <row r="272" spans="1:308" s="26" customFormat="1" ht="15" outlineLevel="1">
      <c r="A272" s="561">
        <f t="shared" si="915"/>
        <v>2072</v>
      </c>
      <c r="B272" s="561">
        <f t="shared" si="920"/>
        <v>72</v>
      </c>
      <c r="C272" s="561">
        <f t="shared" si="857"/>
        <v>2</v>
      </c>
      <c r="D272" s="561" t="str">
        <f t="shared" si="859"/>
        <v xml:space="preserve">1000 CC, 0/0/0.9/3.9, 180 Lease, </v>
      </c>
      <c r="E272" s="475">
        <f>INDEX(Input!$1:$1048576,E$93,$C272*2+MIN($B272,2)+5)
+INDEX(Scenarios!E$121:E$200,MATCH($B272,Scenarios!$B$121:$B$200,0))</f>
        <v>2250</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8.9999999999999993E-3</v>
      </c>
      <c r="W272" s="863">
        <f>IFERROR(MAX(0,INDEX(Input!$1:$1048576,W$93,$C272*2+MIN($B272,2)+5)-0%,),"Market")</f>
        <v>3.9E-2</v>
      </c>
      <c r="X272" s="476" t="str">
        <f>INDEX(Input!$1:$1048576,X$93,$C272*2+MIN($B272,2)+5)</f>
        <v>Y</v>
      </c>
      <c r="Y272" s="475">
        <f>INDEX(Input!$1:$1048576,Y$93,$C272*2+MIN($B272,2)+5)
++INDEX(Scenarios!Y$121:Y$200,MATCH($B272,Scenarios!$B$121:$B$200,0))</f>
        <v>1538</v>
      </c>
      <c r="Z272" s="477">
        <f>INDEX(Input!$1:$1048576,Z$93,$C272*2+MIN($B272,2)+5)
+INDEX(Scenarios!Z$121:Z$200,MATCH($B272,Scenarios!$B$121:$B$200,0))</f>
        <v>0</v>
      </c>
      <c r="AA272" s="475">
        <f>INDEX(Input!$1:$1048576,AA$93,$C272*2+MIN($B272,2)+5)</f>
        <v>0</v>
      </c>
      <c r="AB272" s="476">
        <f>INDEX(Input!$1:$1048576,AB$93,$C272*2+MIN($B272,2)+5)</f>
        <v>1</v>
      </c>
      <c r="AC272" s="475">
        <f>INDEX(Input!$1:$1048576,AC$93,$C272*2+MIN($B272,2)+5)
+INDEX(Scenarios!AC$121:AC$200,MATCH($B272,Scenarios!$B$121:$B$200,0))</f>
        <v>0</v>
      </c>
      <c r="AD272" s="476">
        <f>INDEX(Input!$1:$1048576,AD$93,$C272*2+MIN($B272,2)+5)</f>
        <v>0.35</v>
      </c>
      <c r="AE272" s="475">
        <f>INDEX(Input!$1:$1048576,AE$93,$C272*2+MIN($B272,2)+5)
+INDEX(Scenarios!AE$121:AE$200,MATCH($B272,Scenarios!$B$121:$B$200,0))</f>
        <v>0</v>
      </c>
      <c r="AF272" s="476">
        <f>INDEX(Input!$1:$1048576,AF$93,$C272*2+MIN($B272,2)+5)</f>
        <v>1</v>
      </c>
      <c r="AG272" s="475">
        <f>INDEX(Input!$1:$1048576,AG$93,$C272*2+MIN($B272,2)+5)
+INDEX(Scenarios!AG$121:AG$200,MATCH($B272,Scenarios!$B$121:$B$200,0))</f>
        <v>0</v>
      </c>
      <c r="AH272" s="476">
        <f>INDEX(Input!$1:$1048576,AH$93,$C272*2+MIN($B272,2)+5)</f>
        <v>1</v>
      </c>
      <c r="AI272" s="475">
        <f>INDEX(Input!$1:$1048576,AI$93,$C272*2+MIN($B272,2)+5)
+INDEX(Scenarios!AI$121:AI$200,MATCH($B272,Scenarios!$B$121:$B$200,0))</f>
        <v>0</v>
      </c>
      <c r="AJ272" s="476">
        <f>INDEX(Input!$1:$1048576,AJ$93,$C272*2+MIN($B272,2)+5)</f>
        <v>0.35</v>
      </c>
      <c r="AK272" s="150">
        <f>ROUND(INDEX(Input!$1:$1048576,AK$93,$C271*2+MIN($B272,1)+5)+(Y272-VLOOKUP($C272*1000+1,$A:$HH,Y$92,FALSE)),0)</f>
        <v>5162</v>
      </c>
      <c r="AL272" s="150">
        <f>ROUND(INDEX(Input!$1:$1048576,AL$93,$C271*2+MIN($B272,1)+5)-(Y272-VLOOKUP($C272*1000+1,$A:$HH,Y$92,FALSE))/36,0)</f>
        <v>5097</v>
      </c>
      <c r="AM272" s="32" t="str">
        <f t="shared" si="916"/>
        <v>std/std/std/std</v>
      </c>
      <c r="AN272" s="32" t="str">
        <f t="shared" si="917"/>
        <v>$0 + 0/0/0/0.9/3.9</v>
      </c>
      <c r="AO272" s="32" t="str">
        <f t="shared" si="918"/>
        <v>0/0/0/0.9/3.9</v>
      </c>
      <c r="AP272" s="32" t="str">
        <f t="shared" si="831"/>
        <v>0/0/0.9/3.9</v>
      </c>
      <c r="AQ272" s="536">
        <f t="shared" si="830"/>
        <v>0.39856944200207806</v>
      </c>
      <c r="AR272" s="32"/>
      <c r="AS272" s="302"/>
      <c r="AT272" s="3">
        <f t="shared" si="810"/>
        <v>72</v>
      </c>
      <c r="AU272" s="41" t="s">
        <v>121</v>
      </c>
      <c r="AV272" s="41" t="s">
        <v>116</v>
      </c>
      <c r="AW272" s="41" t="str">
        <f>INDEX(Input!$1:$1048576,AW$93,$C272*2+6)</f>
        <v>Kia</v>
      </c>
      <c r="AX272" s="41" t="str">
        <f>INDEX(Input!$1:$1048576,AX$93,$C272*2+6)</f>
        <v>Kia-LR - L2</v>
      </c>
      <c r="AY272" s="41" t="str">
        <f>IF(LEN(D272)=0,"",INDEX(Input!$1:$1048576,AY$93,$C272*2+6))</f>
        <v>Compact Conventional/Sporty Car (43)</v>
      </c>
      <c r="AZ272" s="41" t="str">
        <f>INDEX(Input!$1:$1048576,AZ$93,$C272*2+6)</f>
        <v>Kia Forte</v>
      </c>
      <c r="BA272" s="3">
        <f>INDEX(Input!$1:$1048576,BA$93,$C272*2+6)</f>
        <v>2020</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19695</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832"/>
        <v>2250</v>
      </c>
      <c r="CJ272" s="16" t="str">
        <f>INDEX(Input!$1:$1048576,CJ$93,$C272*2+6)</f>
        <v>N</v>
      </c>
      <c r="CK272" s="1" t="str">
        <f t="shared" si="833"/>
        <v>Market</v>
      </c>
      <c r="CL272" s="1" t="str">
        <f t="shared" si="834"/>
        <v>Market</v>
      </c>
      <c r="CM272" s="1" t="str">
        <f t="shared" si="835"/>
        <v>Market</v>
      </c>
      <c r="CN272" s="1" t="str">
        <f t="shared" si="836"/>
        <v>Market</v>
      </c>
      <c r="CO272" s="1" t="str">
        <f t="shared" si="837"/>
        <v>Market</v>
      </c>
      <c r="CP272" s="304">
        <f t="shared" si="838"/>
        <v>0</v>
      </c>
      <c r="CQ272" s="1">
        <f t="shared" si="839"/>
        <v>0</v>
      </c>
      <c r="CR272" s="1">
        <f t="shared" si="840"/>
        <v>0</v>
      </c>
      <c r="CS272" s="1">
        <f t="shared" si="841"/>
        <v>0</v>
      </c>
      <c r="CT272" s="1">
        <f t="shared" si="842"/>
        <v>8.9999999999999993E-3</v>
      </c>
      <c r="CU272" s="1">
        <f t="shared" si="843"/>
        <v>3.9E-2</v>
      </c>
      <c r="CV272" s="304">
        <f t="shared" si="844"/>
        <v>1538</v>
      </c>
      <c r="CW272" s="20" t="s">
        <v>122</v>
      </c>
      <c r="CX272" s="20" t="s">
        <v>122</v>
      </c>
      <c r="CY272" s="20" t="s">
        <v>122</v>
      </c>
      <c r="CZ272" s="20" t="s">
        <v>122</v>
      </c>
      <c r="DA272" s="20" t="s">
        <v>122</v>
      </c>
      <c r="DB272" s="503">
        <f t="shared" si="845"/>
        <v>0</v>
      </c>
      <c r="DC272" s="127">
        <v>0</v>
      </c>
      <c r="DD272" s="127">
        <v>0</v>
      </c>
      <c r="DE272" s="127">
        <v>0</v>
      </c>
      <c r="DF272" s="127">
        <v>0</v>
      </c>
      <c r="DG272" s="127">
        <v>0</v>
      </c>
      <c r="DH272" s="127">
        <v>0</v>
      </c>
      <c r="DI272" s="127">
        <v>0</v>
      </c>
      <c r="DJ272" s="127">
        <v>0</v>
      </c>
      <c r="DK272" s="127">
        <v>0</v>
      </c>
      <c r="DL272" s="127">
        <v>0</v>
      </c>
      <c r="DM272" s="304">
        <f>INDEX(Input!$1:$1048576,DM$93,$C272*2+6)</f>
        <v>20731.578947368424</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3.0865556461254433E-2</v>
      </c>
      <c r="DZ272" s="7">
        <v>0</v>
      </c>
      <c r="EA272" s="7">
        <v>0.62026953938463425</v>
      </c>
      <c r="EB272" s="7">
        <v>0</v>
      </c>
      <c r="EC272" s="7">
        <v>0</v>
      </c>
      <c r="ED272" s="7">
        <v>0</v>
      </c>
      <c r="EE272" s="7">
        <v>0</v>
      </c>
      <c r="EF272" s="7">
        <v>0</v>
      </c>
      <c r="EG272" s="7">
        <v>0</v>
      </c>
      <c r="EH272" s="7">
        <v>1.157751705314651E-2</v>
      </c>
      <c r="EI272" s="7">
        <v>1.8913536936772588E-2</v>
      </c>
      <c r="EJ272" s="7">
        <v>0.18990533464601847</v>
      </c>
      <c r="EK272" s="7">
        <v>0.74535950238558835</v>
      </c>
      <c r="EL272" s="7">
        <v>3.4244108978473839E-2</v>
      </c>
      <c r="EM272" s="7">
        <v>4.1529044535388429E-2</v>
      </c>
      <c r="EN272" s="7">
        <v>5.0149713862859255E-2</v>
      </c>
      <c r="EO272" s="7">
        <v>0.56105555299214427</v>
      </c>
      <c r="EP272" s="7">
        <v>0.28697343993998709</v>
      </c>
      <c r="EQ272" s="7">
        <v>6.3346217311111883E-2</v>
      </c>
      <c r="ER272" s="7">
        <v>3.8475075893897231E-2</v>
      </c>
      <c r="ES272" s="7">
        <v>0.3073358596187229</v>
      </c>
      <c r="ET272" s="7">
        <v>0.34886490415411125</v>
      </c>
      <c r="EU272" s="6">
        <v>2600</v>
      </c>
      <c r="EV272" s="6">
        <v>0</v>
      </c>
      <c r="EW272" s="6">
        <v>2600</v>
      </c>
      <c r="EX272" s="6">
        <v>0</v>
      </c>
      <c r="EY272" s="6">
        <v>2969.8703779670873</v>
      </c>
      <c r="EZ272" s="6">
        <v>2291</v>
      </c>
      <c r="FA272" s="6">
        <v>0</v>
      </c>
      <c r="FB272" s="6">
        <v>0</v>
      </c>
      <c r="FC272" s="6">
        <v>0</v>
      </c>
      <c r="FD272" s="6">
        <v>0</v>
      </c>
      <c r="FE272" s="6">
        <v>0</v>
      </c>
      <c r="FF272" s="6">
        <v>0</v>
      </c>
      <c r="FG272" s="6">
        <v>0</v>
      </c>
      <c r="FH272" s="6">
        <v>1154.7811238725212</v>
      </c>
      <c r="FI272" s="6">
        <v>1531.4299904380628</v>
      </c>
      <c r="FJ272" s="6">
        <v>2070.7205842538224</v>
      </c>
      <c r="FK272" s="6">
        <v>2218.6393698501024</v>
      </c>
      <c r="FL272" s="6">
        <v>893.91433563489352</v>
      </c>
      <c r="FM272" s="6">
        <v>2119.8703779670873</v>
      </c>
      <c r="FN272" s="6">
        <v>0</v>
      </c>
      <c r="FO272" s="6">
        <v>0</v>
      </c>
      <c r="FP272" s="6">
        <v>0</v>
      </c>
      <c r="FQ272" s="6">
        <v>0</v>
      </c>
      <c r="FR272" s="6">
        <v>0</v>
      </c>
      <c r="FS272" s="6">
        <v>0</v>
      </c>
      <c r="FT272" s="7">
        <v>0.65113509584588869</v>
      </c>
      <c r="FU272" s="7">
        <v>4.1529044535388429E-2</v>
      </c>
      <c r="FV272" s="7">
        <v>0.3073358596187229</v>
      </c>
      <c r="FW272" s="6">
        <v>2600</v>
      </c>
      <c r="FX272" s="6">
        <v>2969.8703779670873</v>
      </c>
      <c r="FY272" s="6">
        <v>2291</v>
      </c>
      <c r="FZ272" s="6">
        <v>2594.6978186474794</v>
      </c>
      <c r="GA272" s="6">
        <v>2520.3935827767309</v>
      </c>
      <c r="GB272" s="6">
        <v>17174.606417223269</v>
      </c>
      <c r="GC272" s="7">
        <v>9.6947029492584935E-2</v>
      </c>
      <c r="GD272" s="7">
        <v>9.7390282922562063E-2</v>
      </c>
      <c r="GE272" s="7"/>
      <c r="GF272" s="7"/>
      <c r="GG272" s="7">
        <v>4.5721197678473529E-3</v>
      </c>
      <c r="GH272" s="42">
        <v>-1.211881096313151</v>
      </c>
      <c r="GI272" s="6">
        <v>-13731.200785612329</v>
      </c>
      <c r="GJ272" s="14">
        <v>0.5107463060103955</v>
      </c>
      <c r="GK272" s="14">
        <v>0.50829519786160959</v>
      </c>
      <c r="GL272" s="14">
        <v>0.48925369398960439</v>
      </c>
      <c r="GM272" s="14">
        <v>0.49170480213839035</v>
      </c>
      <c r="GO272" s="5">
        <v>338.16872463277008</v>
      </c>
      <c r="GP272" s="5">
        <v>288.56568471597211</v>
      </c>
      <c r="GQ272" s="5">
        <v>527.27910984145694</v>
      </c>
      <c r="GR272" s="5">
        <v>404.20319246551543</v>
      </c>
      <c r="GS272" s="5">
        <v>334.50205195691484</v>
      </c>
      <c r="GT272" s="5">
        <v>289.18266033348181</v>
      </c>
      <c r="GU272" s="5">
        <v>254.29573314828914</v>
      </c>
      <c r="GV272" s="39" t="s">
        <v>392</v>
      </c>
      <c r="GW272" s="5">
        <v>468.76388888888891</v>
      </c>
      <c r="GX272" s="5">
        <v>351.57291666666669</v>
      </c>
      <c r="GY272" s="5">
        <v>281.25833333333333</v>
      </c>
      <c r="GZ272" s="5">
        <v>240.8550698915011</v>
      </c>
      <c r="HA272" s="5">
        <v>229.89195052129486</v>
      </c>
      <c r="HB272" s="39">
        <v>252.88512722480283</v>
      </c>
      <c r="HC272" s="5">
        <v>182.88437499999998</v>
      </c>
      <c r="HD272" s="5">
        <v>167.91379751461983</v>
      </c>
      <c r="HE272" s="5">
        <v>173.9497764844804</v>
      </c>
      <c r="HF272" s="5">
        <v>164.72379934210525</v>
      </c>
      <c r="HG272" s="5">
        <v>163.66410087719296</v>
      </c>
      <c r="HH272" s="39">
        <v>170.03115162215047</v>
      </c>
      <c r="HI272" s="16"/>
      <c r="HJ272" s="19" t="str">
        <f t="shared" ref="HJ272:HK272" si="931">HJ271</f>
        <v>On</v>
      </c>
      <c r="HK272" s="1" t="str">
        <f t="shared" si="931"/>
        <v>On</v>
      </c>
      <c r="HL272" s="16"/>
      <c r="HM272" s="639">
        <f t="shared" si="861"/>
        <v>5.0961701597560354E-2</v>
      </c>
      <c r="HN272" s="639">
        <f t="shared" si="862"/>
        <v>3.112551654761847E-3</v>
      </c>
      <c r="HO272" s="639">
        <f t="shared" si="863"/>
        <v>3.1163314184693442E-2</v>
      </c>
      <c r="HP272" s="644">
        <f>(FT272*$GD272-HM272)/$JF272*INDEX(Input!$1:$1048576,$JG$93,$C272*2+6)</f>
        <v>233.89334657664642</v>
      </c>
      <c r="HQ272" s="644">
        <f>(FU272*$GD272-HN272)/$JF272*INDEX(Input!$1:$1048576,$JG$93,$C272*2+6)</f>
        <v>17.505074415854121</v>
      </c>
      <c r="HR272" s="644">
        <f>(FV272*$GD272-HO272)/$JF272*INDEX(Input!$1:$1048576,$JG$93,$C272*2+6)</f>
        <v>-23.136422470114901</v>
      </c>
      <c r="HS272" s="644">
        <f t="shared" si="926"/>
        <v>-28.690614899714756</v>
      </c>
      <c r="HT272" s="644">
        <f t="shared" si="865"/>
        <v>50.988473204512374</v>
      </c>
      <c r="HU272" s="644">
        <f t="shared" si="866"/>
        <v>55.768331350796188</v>
      </c>
      <c r="HV272" s="648">
        <f t="shared" si="867"/>
        <v>0</v>
      </c>
      <c r="HW272" s="648">
        <f t="shared" si="868"/>
        <v>0</v>
      </c>
      <c r="HX272" s="648">
        <f t="shared" si="869"/>
        <v>0</v>
      </c>
      <c r="HY272" s="644">
        <f>INDEX(Input!$1:$1048576,HY$93,$C272*2+6)*INDEX(Input!$1:$1048576,$JG$93,$C272*2+6)</f>
        <v>555</v>
      </c>
      <c r="HZ272" s="644">
        <f>INDEX(Input!$1:$1048576,HZ$93,$C272*2+6)*INDEX(Input!$1:$1048576,$JG$93,$C272*2+6)</f>
        <v>480</v>
      </c>
      <c r="IA272" s="644">
        <f>INDEX(Input!$1:$1048576,IA$93,$C272*2+6)*INDEX(Input!$1:$1048576,$JG$93,$C272*2+6)</f>
        <v>566</v>
      </c>
      <c r="IB272" s="644">
        <f t="shared" si="870"/>
        <v>760.20273167693176</v>
      </c>
      <c r="IC272" s="644">
        <f t="shared" si="871"/>
        <v>548.49354762036648</v>
      </c>
      <c r="ID272" s="644">
        <f>IF(AND(INDEX(Input!$1:$1048576,IA$93,$C272*2+7)="TOS",Y272&lt;=INDEX(Y:Y,MATCH(C272*1000+2,A:A))),0,1)*MAX(IA272+HR272+HU272+HX272,0%)</f>
        <v>598.63190888068129</v>
      </c>
      <c r="IE272" s="128">
        <f t="shared" si="927"/>
        <v>0.39856944200207806</v>
      </c>
      <c r="IF272" s="128">
        <f t="shared" si="928"/>
        <v>0.28757166753998847</v>
      </c>
      <c r="IG272" s="128">
        <f t="shared" si="874"/>
        <v>0.31385889045793353</v>
      </c>
      <c r="IH272" s="21"/>
      <c r="II272" s="19">
        <f t="shared" si="875"/>
        <v>1200</v>
      </c>
      <c r="IJ272" s="19">
        <f t="shared" si="876"/>
        <v>2226.7968732767699</v>
      </c>
      <c r="IK272" s="19">
        <f t="shared" si="877"/>
        <v>1786</v>
      </c>
      <c r="IL272" s="19">
        <f t="shared" si="878"/>
        <v>1400</v>
      </c>
      <c r="IM272" s="19">
        <f t="shared" si="879"/>
        <v>743.07350469031735</v>
      </c>
      <c r="IN272" s="19">
        <f t="shared" si="880"/>
        <v>505</v>
      </c>
      <c r="IO272" s="39">
        <f t="shared" si="881"/>
        <v>0</v>
      </c>
      <c r="IP272" s="39">
        <f t="shared" si="882"/>
        <v>0</v>
      </c>
      <c r="IQ272" s="39">
        <f t="shared" si="883"/>
        <v>0</v>
      </c>
      <c r="IR272" s="39">
        <v>0</v>
      </c>
      <c r="IS272" s="39">
        <v>0</v>
      </c>
      <c r="IT272" s="39">
        <v>0</v>
      </c>
      <c r="IU272" s="39">
        <v>0</v>
      </c>
      <c r="IV272" s="39">
        <v>0</v>
      </c>
      <c r="IW272" s="39">
        <v>0</v>
      </c>
      <c r="IX272" s="39">
        <f>INDEX(Input!$1:$1048576,IX$93,$C272*2+6)+INDEX(Input!$1:$1048576,IX$94,$C272*2+6)</f>
        <v>1600</v>
      </c>
      <c r="IY272" s="39">
        <f>INDEX(Input!$1:$1048576,IY$93,$C272*2+6)+INDEX(Input!$1:$1048576,IY$94,$C272*2+6)</f>
        <v>2503.5492916397525</v>
      </c>
      <c r="IZ272" s="39">
        <f>INDEX(Input!$1:$1048576,IZ$93,$C272*2+6)+INDEX(Input!$1:$1048576,IZ$94,$C272*2+6)</f>
        <v>5773.7109265464023</v>
      </c>
      <c r="JA272" s="19">
        <f t="shared" si="884"/>
        <v>3000</v>
      </c>
      <c r="JB272" s="19">
        <f t="shared" si="885"/>
        <v>3246.6227963300698</v>
      </c>
      <c r="JC272" s="19">
        <f t="shared" si="886"/>
        <v>6278.7109265464023</v>
      </c>
      <c r="JD272" s="19">
        <f t="shared" si="887"/>
        <v>4099.9743023321698</v>
      </c>
      <c r="JE272" s="21"/>
      <c r="JF272" s="1">
        <f t="shared" si="888"/>
        <v>8.5237567437015646E-2</v>
      </c>
      <c r="JG272" s="15">
        <f>INDEX(Input!$1:$1048576,JG$93,$C272*2+6)/(1+VLOOKUP(C272*1000+INDEX(Input!$1:$1048576,JG$93+1,$C272*2+6),$A:$KK,$JK$92,FALSE))</f>
        <v>1601</v>
      </c>
      <c r="JH272" s="1">
        <f t="shared" si="889"/>
        <v>0.14257463992653696</v>
      </c>
      <c r="JI272" s="1">
        <f t="shared" si="890"/>
        <v>4.8760892976635731E-2</v>
      </c>
      <c r="JJ272" s="1">
        <f t="shared" si="891"/>
        <v>0</v>
      </c>
      <c r="JK272" s="1">
        <f t="shared" si="892"/>
        <v>0.19133553290317268</v>
      </c>
      <c r="JL272" s="15">
        <f t="shared" si="893"/>
        <v>306.32818817797948</v>
      </c>
      <c r="JM272" s="15">
        <f t="shared" si="894"/>
        <v>1907.3281881779794</v>
      </c>
      <c r="JN272" s="21"/>
      <c r="JO272" s="19">
        <f>INDEX(Input!$1:$1048576,JO$93,$C272*2+6)</f>
        <v>5908.5</v>
      </c>
      <c r="JP272" s="19">
        <f>INDEX(Input!$1:$1048576,JP$93,$C272*2+6)</f>
        <v>3346.4235130620518</v>
      </c>
      <c r="JQ272" s="39">
        <f t="shared" si="895"/>
        <v>1808.5256976678302</v>
      </c>
      <c r="JR272" s="39">
        <f t="shared" si="896"/>
        <v>753.550789270118</v>
      </c>
      <c r="JS272" s="39">
        <f t="shared" si="897"/>
        <v>7.8199965576434929</v>
      </c>
      <c r="JT272" s="39">
        <f t="shared" si="898"/>
        <v>2.462372513231148</v>
      </c>
      <c r="JU272" s="385">
        <f>(JQ272*JM272-INDEX(Input!$1:$1048576,Input!A$18,$C272*2+6)*JL272*INDEX(Input!$1:$1048576,Input!A$19,$C272*2+6))/1000000</f>
        <v>3.4494520422060986</v>
      </c>
      <c r="JV272" s="39">
        <f t="shared" si="899"/>
        <v>-0.65243241338155622</v>
      </c>
      <c r="JW272" s="1">
        <f t="shared" si="900"/>
        <v>-0.15905675073143566</v>
      </c>
      <c r="JX272" s="19">
        <f t="shared" si="901"/>
        <v>8038.3477860042285</v>
      </c>
      <c r="JZ272" s="341"/>
      <c r="KA272" s="342"/>
      <c r="KB272" s="469">
        <f t="shared" si="922"/>
        <v>2.4482969984810516</v>
      </c>
      <c r="KI272" s="473">
        <f t="shared" si="902"/>
        <v>205.20273167693176</v>
      </c>
      <c r="KJ272" s="473">
        <f t="shared" si="903"/>
        <v>68.493547620366485</v>
      </c>
      <c r="KK272" s="473">
        <f t="shared" si="904"/>
        <v>32.631908880681294</v>
      </c>
      <c r="KN272" s="544">
        <f t="shared" si="905"/>
        <v>2002</v>
      </c>
      <c r="KO272" s="541">
        <f t="shared" si="906"/>
        <v>0.10393193059674477</v>
      </c>
      <c r="KP272" s="546">
        <f t="shared" si="907"/>
        <v>553.71859631027451</v>
      </c>
      <c r="KQ272" s="546">
        <f t="shared" si="908"/>
        <v>374.3707273756313</v>
      </c>
      <c r="KR272" s="548">
        <f t="shared" si="909"/>
        <v>2.9974254286910322</v>
      </c>
      <c r="KS272" s="548">
        <f t="shared" si="910"/>
        <v>4.4333866927961019</v>
      </c>
      <c r="KT272" s="473">
        <f t="shared" si="923"/>
        <v>528.59039248727379</v>
      </c>
      <c r="KU272" s="663">
        <f t="shared" si="911"/>
        <v>12.529673724546944</v>
      </c>
    </row>
    <row r="273" spans="1:307" s="26" customFormat="1" ht="15" outlineLevel="1">
      <c r="A273" s="561">
        <f t="shared" si="915"/>
        <v>2073</v>
      </c>
      <c r="B273" s="561">
        <f t="shared" si="920"/>
        <v>73</v>
      </c>
      <c r="C273" s="561">
        <f t="shared" si="857"/>
        <v>2</v>
      </c>
      <c r="D273" s="561" t="str">
        <f t="shared" si="859"/>
        <v xml:space="preserve">500 CC, 0.9/1.9/2.9/3.9, 1000 Combo, </v>
      </c>
      <c r="E273" s="475">
        <f>INDEX(Input!$1:$1048576,E$93,$C273*2+MIN($B273,2)+5)
+INDEX(Scenarios!E$121:E$200,MATCH($B273,Scenarios!$B$121:$B$200,0))</f>
        <v>1750</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1000</v>
      </c>
      <c r="R273" s="478">
        <f>IFERROR(MAX(0,INDEX(Input!$1:$1048576,R$93,$C273*2+MIN($B273,2)+5)
+INDEX(Scenarios!R$121:R$200,MATCH($B273,Scenarios!$B$121:$B$200,0)),),"Market")</f>
        <v>9.0000000000000011E-3</v>
      </c>
      <c r="S273" s="478">
        <f>IFERROR(MAX(0,INDEX(Input!$1:$1048576,S$93,$C273*2+MIN($B273,2)+5)
+INDEX(Scenarios!S$121:S$200,MATCH($B273,Scenarios!$B$121:$B$200,0)),),"Market")</f>
        <v>9.0000000000000011E-3</v>
      </c>
      <c r="T273" s="478">
        <f>IFERROR(MAX(0,INDEX(Input!$1:$1048576,T$93,$C273*2+MIN($B273,2)+5)
+INDEX(Scenarios!T$121:T$200,MATCH($B273,Scenarios!$B$121:$B$200,0)),),"Market")</f>
        <v>9.0000000000000011E-3</v>
      </c>
      <c r="U273" s="478">
        <f>IFERROR(MAX(0,INDEX(Input!$1:$1048576,U$93,$C273*2+MIN($B273,2)+5)
+INDEX(Scenarios!U$121:U$200,MATCH($B273,Scenarios!$B$121:$B$200,0)),),"Market")</f>
        <v>9.0000000000000011E-3</v>
      </c>
      <c r="V273" s="478">
        <f>IFERROR(MAX(0,INDEX(Input!$1:$1048576,V$93,$C273*2+MIN($B273,2)+5)
+INDEX(Scenarios!V$121:V$200,MATCH($B273,Scenarios!$B$121:$B$200,0)),),"Market")</f>
        <v>2.8999999999999998E-2</v>
      </c>
      <c r="W273" s="863">
        <f>IFERROR(MAX(0,INDEX(Input!$1:$1048576,W$93,$C273*2+MIN($B273,2)+5)-0%,),"Market")</f>
        <v>3.9E-2</v>
      </c>
      <c r="X273" s="476" t="str">
        <f>INDEX(Input!$1:$1048576,X$93,$C273*2+MIN($B273,2)+5)</f>
        <v>Y</v>
      </c>
      <c r="Y273" s="475">
        <f>INDEX(Input!$1:$1048576,Y$93,$C273*2+MIN($B273,2)+5)
++INDEX(Scenarios!Y$121:Y$200,MATCH($B273,Scenarios!$B$121:$B$200,0))</f>
        <v>1358</v>
      </c>
      <c r="Z273" s="477">
        <f>INDEX(Input!$1:$1048576,Z$93,$C273*2+MIN($B273,2)+5)
+INDEX(Scenarios!Z$121:Z$200,MATCH($B273,Scenarios!$B$121:$B$200,0))</f>
        <v>0</v>
      </c>
      <c r="AA273" s="475">
        <f>INDEX(Input!$1:$1048576,AA$93,$C273*2+MIN($B273,2)+5)</f>
        <v>0</v>
      </c>
      <c r="AB273" s="476">
        <f>INDEX(Input!$1:$1048576,AB$93,$C273*2+MIN($B273,2)+5)</f>
        <v>1</v>
      </c>
      <c r="AC273" s="475">
        <f>INDEX(Input!$1:$1048576,AC$93,$C273*2+MIN($B273,2)+5)
+INDEX(Scenarios!AC$121:AC$200,MATCH($B273,Scenarios!$B$121:$B$200,0))</f>
        <v>0</v>
      </c>
      <c r="AD273" s="476">
        <f>INDEX(Input!$1:$1048576,AD$93,$C273*2+MIN($B273,2)+5)</f>
        <v>0.35</v>
      </c>
      <c r="AE273" s="475">
        <f>INDEX(Input!$1:$1048576,AE$93,$C273*2+MIN($B273,2)+5)
+INDEX(Scenarios!AE$121:AE$200,MATCH($B273,Scenarios!$B$121:$B$200,0))</f>
        <v>0</v>
      </c>
      <c r="AF273" s="476">
        <f>INDEX(Input!$1:$1048576,AF$93,$C273*2+MIN($B273,2)+5)</f>
        <v>1</v>
      </c>
      <c r="AG273" s="475">
        <f>INDEX(Input!$1:$1048576,AG$93,$C273*2+MIN($B273,2)+5)
+INDEX(Scenarios!AG$121:AG$200,MATCH($B273,Scenarios!$B$121:$B$200,0))</f>
        <v>0</v>
      </c>
      <c r="AH273" s="476">
        <f>INDEX(Input!$1:$1048576,AH$93,$C273*2+MIN($B273,2)+5)</f>
        <v>1</v>
      </c>
      <c r="AI273" s="475">
        <f>INDEX(Input!$1:$1048576,AI$93,$C273*2+MIN($B273,2)+5)
+INDEX(Scenarios!AI$121:AI$200,MATCH($B273,Scenarios!$B$121:$B$200,0))</f>
        <v>0</v>
      </c>
      <c r="AJ273" s="476">
        <f>INDEX(Input!$1:$1048576,AJ$93,$C273*2+MIN($B273,2)+5)</f>
        <v>0.35</v>
      </c>
      <c r="AK273" s="150">
        <f>ROUND(INDEX(Input!$1:$1048576,AK$93,$C272*2+MIN($B273,1)+5)+(Y273-VLOOKUP($C273*1000+1,$A:$HH,Y$92,FALSE)),0)</f>
        <v>4982</v>
      </c>
      <c r="AL273" s="150">
        <f>ROUND(INDEX(Input!$1:$1048576,AL$93,$C272*2+MIN($B273,1)+5)-(Y273-VLOOKUP($C273*1000+1,$A:$HH,Y$92,FALSE))/36,0)</f>
        <v>5102</v>
      </c>
      <c r="AM273" s="32" t="str">
        <f t="shared" si="916"/>
        <v>std/std/std/std</v>
      </c>
      <c r="AN273" s="32" t="str">
        <f t="shared" si="917"/>
        <v>$1000 + 0.9/0.9/0.9/2.9/3.9</v>
      </c>
      <c r="AO273" s="32" t="str">
        <f t="shared" si="918"/>
        <v>0.9/0.9/0.9/2.9/3.9</v>
      </c>
      <c r="AP273" s="32" t="str">
        <f t="shared" si="831"/>
        <v>0.9/1.9/2.9/3.9</v>
      </c>
      <c r="AQ273" s="536">
        <f t="shared" si="830"/>
        <v>0.3753265146311659</v>
      </c>
      <c r="AR273" s="32"/>
      <c r="AS273" s="302"/>
      <c r="AT273" s="3">
        <f t="shared" si="810"/>
        <v>73</v>
      </c>
      <c r="AU273" s="41" t="s">
        <v>121</v>
      </c>
      <c r="AV273" s="41" t="s">
        <v>116</v>
      </c>
      <c r="AW273" s="41" t="str">
        <f>INDEX(Input!$1:$1048576,AW$93,$C273*2+6)</f>
        <v>Kia</v>
      </c>
      <c r="AX273" s="41" t="str">
        <f>INDEX(Input!$1:$1048576,AX$93,$C273*2+6)</f>
        <v>Kia-LR - L2</v>
      </c>
      <c r="AY273" s="41" t="str">
        <f>IF(LEN(D273)=0,"",INDEX(Input!$1:$1048576,AY$93,$C273*2+6))</f>
        <v>Compact Conventional/Sporty Car (43)</v>
      </c>
      <c r="AZ273" s="41" t="str">
        <f>INDEX(Input!$1:$1048576,AZ$93,$C273*2+6)</f>
        <v>Kia Forte</v>
      </c>
      <c r="BA273" s="3">
        <f>INDEX(Input!$1:$1048576,BA$93,$C273*2+6)</f>
        <v>2020</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19695</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832"/>
        <v>1750</v>
      </c>
      <c r="CJ273" s="16" t="str">
        <f>INDEX(Input!$1:$1048576,CJ$93,$C273*2+6)</f>
        <v>N</v>
      </c>
      <c r="CK273" s="1" t="str">
        <f t="shared" si="833"/>
        <v>Market</v>
      </c>
      <c r="CL273" s="1" t="str">
        <f t="shared" si="834"/>
        <v>Market</v>
      </c>
      <c r="CM273" s="1" t="str">
        <f t="shared" si="835"/>
        <v>Market</v>
      </c>
      <c r="CN273" s="1" t="str">
        <f t="shared" si="836"/>
        <v>Market</v>
      </c>
      <c r="CO273" s="1" t="str">
        <f t="shared" si="837"/>
        <v>Market</v>
      </c>
      <c r="CP273" s="304">
        <f t="shared" si="838"/>
        <v>1000</v>
      </c>
      <c r="CQ273" s="1">
        <f t="shared" si="839"/>
        <v>9.0000000000000011E-3</v>
      </c>
      <c r="CR273" s="1">
        <f t="shared" si="840"/>
        <v>9.0000000000000011E-3</v>
      </c>
      <c r="CS273" s="1">
        <f t="shared" si="841"/>
        <v>9.0000000000000011E-3</v>
      </c>
      <c r="CT273" s="1">
        <f t="shared" si="842"/>
        <v>2.8999999999999998E-2</v>
      </c>
      <c r="CU273" s="1">
        <f t="shared" si="843"/>
        <v>3.9E-2</v>
      </c>
      <c r="CV273" s="304">
        <f t="shared" si="844"/>
        <v>1358</v>
      </c>
      <c r="CW273" s="20" t="s">
        <v>122</v>
      </c>
      <c r="CX273" s="20" t="s">
        <v>122</v>
      </c>
      <c r="CY273" s="20" t="s">
        <v>122</v>
      </c>
      <c r="CZ273" s="20" t="s">
        <v>122</v>
      </c>
      <c r="DA273" s="20" t="s">
        <v>122</v>
      </c>
      <c r="DB273" s="503">
        <f t="shared" si="845"/>
        <v>0</v>
      </c>
      <c r="DC273" s="127">
        <v>0</v>
      </c>
      <c r="DD273" s="127">
        <v>0</v>
      </c>
      <c r="DE273" s="127">
        <v>0</v>
      </c>
      <c r="DF273" s="127">
        <v>0</v>
      </c>
      <c r="DG273" s="127">
        <v>0</v>
      </c>
      <c r="DH273" s="127">
        <v>0</v>
      </c>
      <c r="DI273" s="127">
        <v>0</v>
      </c>
      <c r="DJ273" s="127">
        <v>0</v>
      </c>
      <c r="DK273" s="127">
        <v>0</v>
      </c>
      <c r="DL273" s="127">
        <v>0</v>
      </c>
      <c r="DM273" s="304">
        <f>INDEX(Input!$1:$1048576,DM$93,$C273*2+6)</f>
        <v>20731.578947368424</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3.0130098667693991E-2</v>
      </c>
      <c r="DZ273" s="7">
        <v>0</v>
      </c>
      <c r="EA273" s="7">
        <v>0.60862670030044863</v>
      </c>
      <c r="EB273" s="7">
        <v>0</v>
      </c>
      <c r="EC273" s="7">
        <v>0</v>
      </c>
      <c r="ED273" s="7">
        <v>0</v>
      </c>
      <c r="EE273" s="7">
        <v>0</v>
      </c>
      <c r="EF273" s="7">
        <v>0</v>
      </c>
      <c r="EG273" s="7">
        <v>0</v>
      </c>
      <c r="EH273" s="7">
        <v>2.0030669628537279E-2</v>
      </c>
      <c r="EI273" s="7">
        <v>3.0548977088403772E-2</v>
      </c>
      <c r="EJ273" s="7">
        <v>0.28815441091565946</v>
      </c>
      <c r="EK273" s="7">
        <v>0.5890206526018158</v>
      </c>
      <c r="EL273" s="7">
        <v>7.2245289765583781E-2</v>
      </c>
      <c r="EM273" s="7">
        <v>3.0039318883707613E-2</v>
      </c>
      <c r="EN273" s="7">
        <v>4.9723489323917243E-2</v>
      </c>
      <c r="EO273" s="7">
        <v>0.56162494111560612</v>
      </c>
      <c r="EP273" s="7">
        <v>0.28605001052833195</v>
      </c>
      <c r="EQ273" s="7">
        <v>6.3868140718559813E-2</v>
      </c>
      <c r="ER273" s="7">
        <v>3.8733418313584754E-2</v>
      </c>
      <c r="ES273" s="7">
        <v>0.33120388214814972</v>
      </c>
      <c r="ET273" s="7">
        <v>0.36124320103185736</v>
      </c>
      <c r="EU273" s="6">
        <v>2100</v>
      </c>
      <c r="EV273" s="6">
        <v>0</v>
      </c>
      <c r="EW273" s="6">
        <v>2100</v>
      </c>
      <c r="EX273" s="6">
        <v>0</v>
      </c>
      <c r="EY273" s="6">
        <v>3209.4111415918724</v>
      </c>
      <c r="EZ273" s="6">
        <v>2111</v>
      </c>
      <c r="FA273" s="6">
        <v>0</v>
      </c>
      <c r="FB273" s="6">
        <v>0</v>
      </c>
      <c r="FC273" s="6">
        <v>0</v>
      </c>
      <c r="FD273" s="6">
        <v>0</v>
      </c>
      <c r="FE273" s="6">
        <v>0</v>
      </c>
      <c r="FF273" s="6">
        <v>0</v>
      </c>
      <c r="FG273" s="6">
        <v>0</v>
      </c>
      <c r="FH273" s="6">
        <v>926.69550035366183</v>
      </c>
      <c r="FI273" s="6">
        <v>1232.116446530423</v>
      </c>
      <c r="FJ273" s="6">
        <v>1709.9775738488456</v>
      </c>
      <c r="FK273" s="6">
        <v>1266.3227157028186</v>
      </c>
      <c r="FL273" s="6">
        <v>893.9143356348934</v>
      </c>
      <c r="FM273" s="6">
        <v>1359.4111415918726</v>
      </c>
      <c r="FN273" s="6">
        <v>0</v>
      </c>
      <c r="FO273" s="6">
        <v>0</v>
      </c>
      <c r="FP273" s="6">
        <v>0</v>
      </c>
      <c r="FQ273" s="6">
        <v>0</v>
      </c>
      <c r="FR273" s="6">
        <v>0</v>
      </c>
      <c r="FS273" s="6">
        <v>0</v>
      </c>
      <c r="FT273" s="7">
        <v>0.63875679896814264</v>
      </c>
      <c r="FU273" s="7">
        <v>3.0039318883707613E-2</v>
      </c>
      <c r="FV273" s="7">
        <v>0.33120388214814972</v>
      </c>
      <c r="FW273" s="6">
        <v>2100</v>
      </c>
      <c r="FX273" s="6">
        <v>3209.4111415918724</v>
      </c>
      <c r="FY273" s="6">
        <v>2111</v>
      </c>
      <c r="FZ273" s="6">
        <v>2594.6978186474794</v>
      </c>
      <c r="GA273" s="6">
        <v>2136.969197759046</v>
      </c>
      <c r="GB273" s="6">
        <v>17558.030802240955</v>
      </c>
      <c r="GC273" s="7">
        <v>9.6947029492584935E-2</v>
      </c>
      <c r="GD273" s="7">
        <v>9.2361623270221183E-2</v>
      </c>
      <c r="GE273" s="7"/>
      <c r="GF273" s="7"/>
      <c r="GG273" s="7">
        <v>-4.7298057984483895E-2</v>
      </c>
      <c r="GH273" s="42">
        <v>2.0351256388476138</v>
      </c>
      <c r="GI273" s="6">
        <v>11814.504394628879</v>
      </c>
      <c r="GJ273" s="14">
        <v>0.5107463060103955</v>
      </c>
      <c r="GK273" s="14">
        <v>0.50829519786160993</v>
      </c>
      <c r="GL273" s="14">
        <v>0.48925369398960455</v>
      </c>
      <c r="GM273" s="14">
        <v>0.49170480213839068</v>
      </c>
      <c r="GO273" s="5">
        <v>338.16872463277008</v>
      </c>
      <c r="GP273" s="5">
        <v>298.1047308538179</v>
      </c>
      <c r="GQ273" s="5">
        <v>527.27910984145694</v>
      </c>
      <c r="GR273" s="5">
        <v>404.20319246551543</v>
      </c>
      <c r="GS273" s="5">
        <v>334.50205195691484</v>
      </c>
      <c r="GT273" s="5">
        <v>289.18266033348181</v>
      </c>
      <c r="GU273" s="5">
        <v>254.29573314828914</v>
      </c>
      <c r="GV273" s="39" t="s">
        <v>392</v>
      </c>
      <c r="GW273" s="5">
        <v>447.1315522792483</v>
      </c>
      <c r="GX273" s="5">
        <v>336.85261339557292</v>
      </c>
      <c r="GY273" s="5">
        <v>270.68882024685041</v>
      </c>
      <c r="GZ273" s="5">
        <v>240.49762667968707</v>
      </c>
      <c r="HA273" s="5">
        <v>216.26912746293837</v>
      </c>
      <c r="HB273" s="39">
        <v>254.52951950964408</v>
      </c>
      <c r="HC273" s="5">
        <v>190.75937499999998</v>
      </c>
      <c r="HD273" s="5">
        <v>173.28879751461983</v>
      </c>
      <c r="HE273" s="5">
        <v>178.94016109986501</v>
      </c>
      <c r="HF273" s="5">
        <v>168.88629934210525</v>
      </c>
      <c r="HG273" s="5">
        <v>167.11410087719298</v>
      </c>
      <c r="HH273" s="39">
        <v>175.25372172014326</v>
      </c>
      <c r="HI273" s="16"/>
      <c r="HJ273" s="19" t="str">
        <f t="shared" ref="HJ273:HK273" si="932">HJ272</f>
        <v>On</v>
      </c>
      <c r="HK273" s="1" t="str">
        <f t="shared" si="932"/>
        <v>On</v>
      </c>
      <c r="HL273" s="16"/>
      <c r="HM273" s="639">
        <f t="shared" si="861"/>
        <v>5.0961701597560354E-2</v>
      </c>
      <c r="HN273" s="639">
        <f t="shared" si="862"/>
        <v>3.112551654761847E-3</v>
      </c>
      <c r="HO273" s="639">
        <f t="shared" si="863"/>
        <v>3.1163314184693442E-2</v>
      </c>
      <c r="HP273" s="644">
        <f>(FT273*$GD273-HM273)/$JF273*INDEX(Input!$1:$1048576,$JG$93,$C273*2+6)</f>
        <v>150.91815109317537</v>
      </c>
      <c r="HQ273" s="644">
        <f>(FU273*$GD273-HN273)/$JF273*INDEX(Input!$1:$1048576,$JG$93,$C273*2+6)</f>
        <v>-6.3499267851579884</v>
      </c>
      <c r="HR273" s="644">
        <f>(FV273*$GD273-HO273)/$JF273*INDEX(Input!$1:$1048576,$JG$93,$C273*2+6)</f>
        <v>-10.758523586677834</v>
      </c>
      <c r="HS273" s="644">
        <f t="shared" si="926"/>
        <v>-18.78765531408477</v>
      </c>
      <c r="HT273" s="644">
        <f t="shared" si="865"/>
        <v>78.509590479439368</v>
      </c>
      <c r="HU273" s="644">
        <f t="shared" si="866"/>
        <v>36.222304996846269</v>
      </c>
      <c r="HV273" s="648">
        <f t="shared" si="867"/>
        <v>0</v>
      </c>
      <c r="HW273" s="648">
        <f t="shared" si="868"/>
        <v>0</v>
      </c>
      <c r="HX273" s="648">
        <f t="shared" si="869"/>
        <v>0</v>
      </c>
      <c r="HY273" s="644">
        <f>INDEX(Input!$1:$1048576,HY$93,$C273*2+6)*INDEX(Input!$1:$1048576,$JG$93,$C273*2+6)</f>
        <v>555</v>
      </c>
      <c r="HZ273" s="644">
        <f>INDEX(Input!$1:$1048576,HZ$93,$C273*2+6)*INDEX(Input!$1:$1048576,$JG$93,$C273*2+6)</f>
        <v>480</v>
      </c>
      <c r="IA273" s="644">
        <f>INDEX(Input!$1:$1048576,IA$93,$C273*2+6)*INDEX(Input!$1:$1048576,$JG$93,$C273*2+6)</f>
        <v>566</v>
      </c>
      <c r="IB273" s="644">
        <f t="shared" si="870"/>
        <v>687.13049577909078</v>
      </c>
      <c r="IC273" s="644">
        <f t="shared" si="871"/>
        <v>552.15966369428133</v>
      </c>
      <c r="ID273" s="644">
        <f>IF(AND(INDEX(Input!$1:$1048576,IA$93,$C273*2+7)="TOS",Y273&lt;=INDEX(Y:Y,MATCH(C273*1000+2,A:A))),0,1)*MAX(IA273+HR273+HU273+HX273,0%)</f>
        <v>591.46378141016839</v>
      </c>
      <c r="IE273" s="128">
        <f t="shared" ref="IE273:IE280" si="933">IB273/SUM($IB273:$ID273)</f>
        <v>0.3753265146311659</v>
      </c>
      <c r="IF273" s="128">
        <f t="shared" ref="IF273:IF280" si="934">IC273/SUM($IB273:$ID273)</f>
        <v>0.30160233517116092</v>
      </c>
      <c r="IG273" s="128">
        <f t="shared" si="874"/>
        <v>0.32307115019767318</v>
      </c>
      <c r="IH273" s="21"/>
      <c r="II273" s="19">
        <f t="shared" si="875"/>
        <v>1200</v>
      </c>
      <c r="IJ273" s="19">
        <f t="shared" si="876"/>
        <v>2226.7968732767699</v>
      </c>
      <c r="IK273" s="19">
        <f t="shared" si="877"/>
        <v>1786</v>
      </c>
      <c r="IL273" s="19">
        <f t="shared" si="878"/>
        <v>900</v>
      </c>
      <c r="IM273" s="19">
        <f t="shared" si="879"/>
        <v>982.61426831510244</v>
      </c>
      <c r="IN273" s="19">
        <f t="shared" si="880"/>
        <v>325</v>
      </c>
      <c r="IO273" s="39">
        <f t="shared" si="881"/>
        <v>0</v>
      </c>
      <c r="IP273" s="39">
        <f t="shared" si="882"/>
        <v>0</v>
      </c>
      <c r="IQ273" s="39">
        <f t="shared" si="883"/>
        <v>0</v>
      </c>
      <c r="IR273" s="39">
        <v>0</v>
      </c>
      <c r="IS273" s="39">
        <v>0</v>
      </c>
      <c r="IT273" s="39">
        <v>0</v>
      </c>
      <c r="IU273" s="39">
        <v>0</v>
      </c>
      <c r="IV273" s="39">
        <v>0</v>
      </c>
      <c r="IW273" s="39">
        <v>0</v>
      </c>
      <c r="IX273" s="39">
        <f>INDEX(Input!$1:$1048576,IX$93,$C273*2+6)+INDEX(Input!$1:$1048576,IX$94,$C273*2+6)</f>
        <v>1600</v>
      </c>
      <c r="IY273" s="39">
        <f>INDEX(Input!$1:$1048576,IY$93,$C273*2+6)+INDEX(Input!$1:$1048576,IY$94,$C273*2+6)</f>
        <v>2503.5492916397525</v>
      </c>
      <c r="IZ273" s="39">
        <f>INDEX(Input!$1:$1048576,IZ$93,$C273*2+6)+INDEX(Input!$1:$1048576,IZ$94,$C273*2+6)</f>
        <v>5773.7109265464023</v>
      </c>
      <c r="JA273" s="19">
        <f t="shared" si="884"/>
        <v>2500</v>
      </c>
      <c r="JB273" s="19">
        <f t="shared" si="885"/>
        <v>3486.1635599548549</v>
      </c>
      <c r="JC273" s="19">
        <f t="shared" si="886"/>
        <v>6098.7109265464023</v>
      </c>
      <c r="JD273" s="19">
        <f t="shared" si="887"/>
        <v>3960.0689108113697</v>
      </c>
      <c r="JE273" s="21"/>
      <c r="JF273" s="1">
        <f t="shared" si="888"/>
        <v>8.5237567437015646E-2</v>
      </c>
      <c r="JG273" s="15">
        <f>INDEX(Input!$1:$1048576,JG$93,$C273*2+6)/(1+VLOOKUP(C273*1000+INDEX(Input!$1:$1048576,JG$93+1,$C273*2+6),$A:$KK,$JK$92,FALSE))</f>
        <v>1601</v>
      </c>
      <c r="JH273" s="1">
        <f t="shared" si="889"/>
        <v>8.3578826184471933E-2</v>
      </c>
      <c r="JI273" s="1">
        <f t="shared" si="890"/>
        <v>5.9927695291818149E-2</v>
      </c>
      <c r="JJ273" s="1">
        <f t="shared" si="891"/>
        <v>0</v>
      </c>
      <c r="JK273" s="1">
        <f t="shared" si="892"/>
        <v>0.14350652147629009</v>
      </c>
      <c r="JL273" s="15">
        <f t="shared" si="893"/>
        <v>229.75394088354042</v>
      </c>
      <c r="JM273" s="15">
        <f t="shared" si="894"/>
        <v>1830.7539408835405</v>
      </c>
      <c r="JN273" s="21"/>
      <c r="JO273" s="19">
        <f>INDEX(Input!$1:$1048576,JO$93,$C273*2+6)</f>
        <v>5908.5</v>
      </c>
      <c r="JP273" s="19">
        <f>INDEX(Input!$1:$1048576,JP$93,$C273*2+6)</f>
        <v>3346.4235130620518</v>
      </c>
      <c r="JQ273" s="39">
        <f t="shared" si="895"/>
        <v>1948.4310891886303</v>
      </c>
      <c r="JR273" s="39">
        <f t="shared" si="896"/>
        <v>613.64539774931791</v>
      </c>
      <c r="JS273" s="39">
        <f t="shared" si="897"/>
        <v>7.2499117646383047</v>
      </c>
      <c r="JT273" s="39">
        <f t="shared" si="898"/>
        <v>1.89228772022596</v>
      </c>
      <c r="JU273" s="385">
        <f>(JQ273*JM273-INDEX(Input!$1:$1048576,Input!A$18,$C273*2+6)*JL273*INDEX(Input!$1:$1048576,Input!A$19,$C273*2+6))/1000000</f>
        <v>3.5670978950720942</v>
      </c>
      <c r="JV273" s="39">
        <f t="shared" si="899"/>
        <v>-0.53478656051556062</v>
      </c>
      <c r="JW273" s="1">
        <f t="shared" si="900"/>
        <v>-0.13037582269950718</v>
      </c>
      <c r="JX273" s="19">
        <f t="shared" si="901"/>
        <v>8236.1491295818014</v>
      </c>
      <c r="JZ273" s="341"/>
      <c r="KA273" s="342"/>
      <c r="KB273" s="469">
        <f t="shared" si="922"/>
        <v>2.4482969984810516</v>
      </c>
      <c r="KI273" s="473">
        <f t="shared" si="902"/>
        <v>132.13049577909078</v>
      </c>
      <c r="KJ273" s="473">
        <f t="shared" si="903"/>
        <v>72.159663694281335</v>
      </c>
      <c r="KK273" s="473">
        <f t="shared" si="904"/>
        <v>25.463781410168394</v>
      </c>
      <c r="KN273" s="544">
        <f t="shared" si="905"/>
        <v>2002</v>
      </c>
      <c r="KO273" s="541">
        <f t="shared" si="906"/>
        <v>5.9611945617917161E-2</v>
      </c>
      <c r="KP273" s="546">
        <f t="shared" si="907"/>
        <v>363.37723648134056</v>
      </c>
      <c r="KQ273" s="546">
        <f t="shared" si="908"/>
        <v>234.46533585483121</v>
      </c>
      <c r="KR273" s="548">
        <f t="shared" si="909"/>
        <v>2.6197755271044203</v>
      </c>
      <c r="KS273" s="548">
        <f t="shared" si="910"/>
        <v>4.0601600563678213</v>
      </c>
      <c r="KT273" s="473">
        <f t="shared" si="923"/>
        <v>528.59039248727379</v>
      </c>
      <c r="KU273" s="663">
        <f t="shared" si="911"/>
        <v>12.251862048015729</v>
      </c>
    </row>
    <row r="274" spans="1:307" s="26" customFormat="1" ht="15" outlineLevel="1">
      <c r="A274" s="561">
        <f t="shared" si="915"/>
        <v>2074</v>
      </c>
      <c r="B274" s="561">
        <f t="shared" si="920"/>
        <v>74</v>
      </c>
      <c r="C274" s="561">
        <f t="shared" si="857"/>
        <v>2</v>
      </c>
      <c r="D274" s="561" t="str">
        <f t="shared" si="859"/>
        <v xml:space="preserve">750 CC, 0.9/1.9/2.9/3.9, 1500 Combo, </v>
      </c>
      <c r="E274" s="475">
        <f>INDEX(Input!$1:$1048576,E$93,$C274*2+MIN($B274,2)+5)
+INDEX(Scenarios!E$121:E$200,MATCH($B274,Scenarios!$B$121:$B$200,0))</f>
        <v>2000</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1500</v>
      </c>
      <c r="R274" s="478">
        <f>IFERROR(MAX(0,INDEX(Input!$1:$1048576,R$93,$C274*2+MIN($B274,2)+5)
+INDEX(Scenarios!R$121:R$200,MATCH($B274,Scenarios!$B$121:$B$200,0)),),"Market")</f>
        <v>9.0000000000000011E-3</v>
      </c>
      <c r="S274" s="478">
        <f>IFERROR(MAX(0,INDEX(Input!$1:$1048576,S$93,$C274*2+MIN($B274,2)+5)
+INDEX(Scenarios!S$121:S$200,MATCH($B274,Scenarios!$B$121:$B$200,0)),),"Market")</f>
        <v>9.0000000000000011E-3</v>
      </c>
      <c r="T274" s="478">
        <f>IFERROR(MAX(0,INDEX(Input!$1:$1048576,T$93,$C274*2+MIN($B274,2)+5)
+INDEX(Scenarios!T$121:T$200,MATCH($B274,Scenarios!$B$121:$B$200,0)),),"Market")</f>
        <v>9.0000000000000011E-3</v>
      </c>
      <c r="U274" s="478">
        <f>IFERROR(MAX(0,INDEX(Input!$1:$1048576,U$93,$C274*2+MIN($B274,2)+5)
+INDEX(Scenarios!U$121:U$200,MATCH($B274,Scenarios!$B$121:$B$200,0)),),"Market")</f>
        <v>9.0000000000000011E-3</v>
      </c>
      <c r="V274" s="478">
        <f>IFERROR(MAX(0,INDEX(Input!$1:$1048576,V$93,$C274*2+MIN($B274,2)+5)
+INDEX(Scenarios!V$121:V$200,MATCH($B274,Scenarios!$B$121:$B$200,0)),),"Market")</f>
        <v>2.8999999999999998E-2</v>
      </c>
      <c r="W274" s="863">
        <f>IFERROR(MAX(0,INDEX(Input!$1:$1048576,W$93,$C274*2+MIN($B274,2)+5)-0%,),"Market")</f>
        <v>3.9E-2</v>
      </c>
      <c r="X274" s="476" t="str">
        <f>INDEX(Input!$1:$1048576,X$93,$C274*2+MIN($B274,2)+5)</f>
        <v>Y</v>
      </c>
      <c r="Y274" s="475">
        <f>INDEX(Input!$1:$1048576,Y$93,$C274*2+MIN($B274,2)+5)
++INDEX(Scenarios!Y$121:Y$200,MATCH($B274,Scenarios!$B$121:$B$200,0))</f>
        <v>1358</v>
      </c>
      <c r="Z274" s="477">
        <f>INDEX(Input!$1:$1048576,Z$93,$C274*2+MIN($B274,2)+5)
+INDEX(Scenarios!Z$121:Z$200,MATCH($B274,Scenarios!$B$121:$B$200,0))</f>
        <v>0</v>
      </c>
      <c r="AA274" s="475">
        <f>INDEX(Input!$1:$1048576,AA$93,$C274*2+MIN($B274,2)+5)</f>
        <v>0</v>
      </c>
      <c r="AB274" s="476">
        <f>INDEX(Input!$1:$1048576,AB$93,$C274*2+MIN($B274,2)+5)</f>
        <v>1</v>
      </c>
      <c r="AC274" s="475">
        <f>INDEX(Input!$1:$1048576,AC$93,$C274*2+MIN($B274,2)+5)
+INDEX(Scenarios!AC$121:AC$200,MATCH($B274,Scenarios!$B$121:$B$200,0))</f>
        <v>0</v>
      </c>
      <c r="AD274" s="476">
        <f>INDEX(Input!$1:$1048576,AD$93,$C274*2+MIN($B274,2)+5)</f>
        <v>0.35</v>
      </c>
      <c r="AE274" s="475">
        <f>INDEX(Input!$1:$1048576,AE$93,$C274*2+MIN($B274,2)+5)
+INDEX(Scenarios!AE$121:AE$200,MATCH($B274,Scenarios!$B$121:$B$200,0))</f>
        <v>0</v>
      </c>
      <c r="AF274" s="476">
        <f>INDEX(Input!$1:$1048576,AF$93,$C274*2+MIN($B274,2)+5)</f>
        <v>1</v>
      </c>
      <c r="AG274" s="475">
        <f>INDEX(Input!$1:$1048576,AG$93,$C274*2+MIN($B274,2)+5)
+INDEX(Scenarios!AG$121:AG$200,MATCH($B274,Scenarios!$B$121:$B$200,0))</f>
        <v>0</v>
      </c>
      <c r="AH274" s="476">
        <f>INDEX(Input!$1:$1048576,AH$93,$C274*2+MIN($B274,2)+5)</f>
        <v>1</v>
      </c>
      <c r="AI274" s="475">
        <f>INDEX(Input!$1:$1048576,AI$93,$C274*2+MIN($B274,2)+5)
+INDEX(Scenarios!AI$121:AI$200,MATCH($B274,Scenarios!$B$121:$B$200,0))</f>
        <v>0</v>
      </c>
      <c r="AJ274" s="476">
        <f>INDEX(Input!$1:$1048576,AJ$93,$C274*2+MIN($B274,2)+5)</f>
        <v>0.35</v>
      </c>
      <c r="AK274" s="150">
        <f>ROUND(INDEX(Input!$1:$1048576,AK$93,$C273*2+MIN($B274,1)+5)+(Y274-VLOOKUP($C274*1000+1,$A:$HH,Y$92,FALSE)),0)</f>
        <v>4982</v>
      </c>
      <c r="AL274" s="150">
        <f>ROUND(INDEX(Input!$1:$1048576,AL$93,$C273*2+MIN($B274,1)+5)-(Y274-VLOOKUP($C274*1000+1,$A:$HH,Y$92,FALSE))/36,0)</f>
        <v>5102</v>
      </c>
      <c r="AM274" s="32" t="str">
        <f t="shared" si="916"/>
        <v>std/std/std/std</v>
      </c>
      <c r="AN274" s="32" t="str">
        <f t="shared" si="917"/>
        <v>$1500 + 0.9/0.9/0.9/2.9/3.9</v>
      </c>
      <c r="AO274" s="32" t="str">
        <f t="shared" si="918"/>
        <v>0.9/0.9/0.9/2.9/3.9</v>
      </c>
      <c r="AP274" s="32" t="str">
        <f t="shared" si="831"/>
        <v>0.9/1.9/2.9/3.9</v>
      </c>
      <c r="AQ274" s="536">
        <f t="shared" si="830"/>
        <v>0.38203623466190034</v>
      </c>
      <c r="AR274" s="32"/>
      <c r="AS274" s="302"/>
      <c r="AT274" s="3">
        <f t="shared" si="810"/>
        <v>74</v>
      </c>
      <c r="AU274" s="41" t="s">
        <v>121</v>
      </c>
      <c r="AV274" s="41" t="s">
        <v>116</v>
      </c>
      <c r="AW274" s="41" t="str">
        <f>INDEX(Input!$1:$1048576,AW$93,$C274*2+6)</f>
        <v>Kia</v>
      </c>
      <c r="AX274" s="41" t="str">
        <f>INDEX(Input!$1:$1048576,AX$93,$C274*2+6)</f>
        <v>Kia-LR - L2</v>
      </c>
      <c r="AY274" s="41" t="str">
        <f>IF(LEN(D274)=0,"",INDEX(Input!$1:$1048576,AY$93,$C274*2+6))</f>
        <v>Compact Conventional/Sporty Car (43)</v>
      </c>
      <c r="AZ274" s="41" t="str">
        <f>INDEX(Input!$1:$1048576,AZ$93,$C274*2+6)</f>
        <v>Kia Forte</v>
      </c>
      <c r="BA274" s="3">
        <f>INDEX(Input!$1:$1048576,BA$93,$C274*2+6)</f>
        <v>2020</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19695</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832"/>
        <v>2000</v>
      </c>
      <c r="CJ274" s="16" t="str">
        <f>INDEX(Input!$1:$1048576,CJ$93,$C274*2+6)</f>
        <v>N</v>
      </c>
      <c r="CK274" s="1" t="str">
        <f t="shared" si="833"/>
        <v>Market</v>
      </c>
      <c r="CL274" s="1" t="str">
        <f t="shared" si="834"/>
        <v>Market</v>
      </c>
      <c r="CM274" s="1" t="str">
        <f t="shared" si="835"/>
        <v>Market</v>
      </c>
      <c r="CN274" s="1" t="str">
        <f t="shared" si="836"/>
        <v>Market</v>
      </c>
      <c r="CO274" s="1" t="str">
        <f t="shared" si="837"/>
        <v>Market</v>
      </c>
      <c r="CP274" s="304">
        <f t="shared" si="838"/>
        <v>1500</v>
      </c>
      <c r="CQ274" s="1">
        <f t="shared" si="839"/>
        <v>9.0000000000000011E-3</v>
      </c>
      <c r="CR274" s="1">
        <f t="shared" si="840"/>
        <v>9.0000000000000011E-3</v>
      </c>
      <c r="CS274" s="1">
        <f t="shared" si="841"/>
        <v>9.0000000000000011E-3</v>
      </c>
      <c r="CT274" s="1">
        <f t="shared" si="842"/>
        <v>2.8999999999999998E-2</v>
      </c>
      <c r="CU274" s="1">
        <f t="shared" si="843"/>
        <v>3.9E-2</v>
      </c>
      <c r="CV274" s="304">
        <f t="shared" si="844"/>
        <v>1358</v>
      </c>
      <c r="CW274" s="20" t="s">
        <v>122</v>
      </c>
      <c r="CX274" s="20" t="s">
        <v>122</v>
      </c>
      <c r="CY274" s="20" t="s">
        <v>122</v>
      </c>
      <c r="CZ274" s="20" t="s">
        <v>122</v>
      </c>
      <c r="DA274" s="20" t="s">
        <v>122</v>
      </c>
      <c r="DB274" s="503">
        <f t="shared" si="845"/>
        <v>0</v>
      </c>
      <c r="DC274" s="127">
        <v>0</v>
      </c>
      <c r="DD274" s="127">
        <v>0</v>
      </c>
      <c r="DE274" s="127">
        <v>0</v>
      </c>
      <c r="DF274" s="127">
        <v>0</v>
      </c>
      <c r="DG274" s="127">
        <v>0</v>
      </c>
      <c r="DH274" s="127">
        <v>0</v>
      </c>
      <c r="DI274" s="127">
        <v>0</v>
      </c>
      <c r="DJ274" s="127">
        <v>0</v>
      </c>
      <c r="DK274" s="127">
        <v>0</v>
      </c>
      <c r="DL274" s="127">
        <v>0</v>
      </c>
      <c r="DM274" s="304">
        <f>INDEX(Input!$1:$1048576,DM$93,$C274*2+6)</f>
        <v>20731.578947368424</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3.0899665081593787E-2</v>
      </c>
      <c r="DZ274" s="7">
        <v>0</v>
      </c>
      <c r="EA274" s="7">
        <v>0.62114314596156839</v>
      </c>
      <c r="EB274" s="7">
        <v>0</v>
      </c>
      <c r="EC274" s="7">
        <v>0</v>
      </c>
      <c r="ED274" s="7">
        <v>0</v>
      </c>
      <c r="EE274" s="7">
        <v>0</v>
      </c>
      <c r="EF274" s="7">
        <v>0</v>
      </c>
      <c r="EG274" s="7">
        <v>0</v>
      </c>
      <c r="EH274" s="7">
        <v>2.0042285379696205E-2</v>
      </c>
      <c r="EI274" s="7">
        <v>3.0575239801145002E-2</v>
      </c>
      <c r="EJ274" s="7">
        <v>0.28822726821917427</v>
      </c>
      <c r="EK274" s="7">
        <v>0.58892288952090543</v>
      </c>
      <c r="EL274" s="7">
        <v>7.2232317079078484E-2</v>
      </c>
      <c r="EM274" s="7">
        <v>3.301981905344565E-2</v>
      </c>
      <c r="EN274" s="7">
        <v>4.9717743874103527E-2</v>
      </c>
      <c r="EO274" s="7">
        <v>0.56160018228174335</v>
      </c>
      <c r="EP274" s="7">
        <v>0.28607719814712951</v>
      </c>
      <c r="EQ274" s="7">
        <v>6.3861758729089307E-2</v>
      </c>
      <c r="ER274" s="7">
        <v>3.8743116967934768E-2</v>
      </c>
      <c r="ES274" s="7">
        <v>0.31493736990339222</v>
      </c>
      <c r="ET274" s="7">
        <v>0.34795718895683786</v>
      </c>
      <c r="EU274" s="6">
        <v>2350</v>
      </c>
      <c r="EV274" s="6">
        <v>0</v>
      </c>
      <c r="EW274" s="6">
        <v>2350</v>
      </c>
      <c r="EX274" s="6">
        <v>0</v>
      </c>
      <c r="EY274" s="6">
        <v>3709.4433736217297</v>
      </c>
      <c r="EZ274" s="6">
        <v>2111</v>
      </c>
      <c r="FA274" s="6">
        <v>0</v>
      </c>
      <c r="FB274" s="6">
        <v>0</v>
      </c>
      <c r="FC274" s="6">
        <v>0</v>
      </c>
      <c r="FD274" s="6">
        <v>0</v>
      </c>
      <c r="FE274" s="6">
        <v>0</v>
      </c>
      <c r="FF274" s="6">
        <v>0</v>
      </c>
      <c r="FG274" s="6">
        <v>0</v>
      </c>
      <c r="FH274" s="6">
        <v>926.69154724545297</v>
      </c>
      <c r="FI274" s="6">
        <v>1232.1164465304234</v>
      </c>
      <c r="FJ274" s="6">
        <v>1709.9775738488461</v>
      </c>
      <c r="FK274" s="6">
        <v>1266.3227157028189</v>
      </c>
      <c r="FL274" s="6">
        <v>893.91433563489386</v>
      </c>
      <c r="FM274" s="6">
        <v>1359.4433736217297</v>
      </c>
      <c r="FN274" s="6">
        <v>0</v>
      </c>
      <c r="FO274" s="6">
        <v>0</v>
      </c>
      <c r="FP274" s="6">
        <v>0</v>
      </c>
      <c r="FQ274" s="6">
        <v>0</v>
      </c>
      <c r="FR274" s="6">
        <v>0</v>
      </c>
      <c r="FS274" s="6">
        <v>0</v>
      </c>
      <c r="FT274" s="7">
        <v>0.6520428110431622</v>
      </c>
      <c r="FU274" s="7">
        <v>3.301981905344565E-2</v>
      </c>
      <c r="FV274" s="7">
        <v>0.31493736990339222</v>
      </c>
      <c r="FW274" s="6">
        <v>2349.9999999999995</v>
      </c>
      <c r="FX274" s="6">
        <v>3709.4433736217297</v>
      </c>
      <c r="FY274" s="6">
        <v>2111</v>
      </c>
      <c r="FZ274" s="6">
        <v>2594.6978186474794</v>
      </c>
      <c r="GA274" s="6">
        <v>2319.6185428034842</v>
      </c>
      <c r="GB274" s="6">
        <v>17375.381457196516</v>
      </c>
      <c r="GC274" s="7">
        <v>9.6947029492584935E-2</v>
      </c>
      <c r="GD274" s="7">
        <v>9.4330961722466508E-2</v>
      </c>
      <c r="GE274" s="7"/>
      <c r="GF274" s="7"/>
      <c r="GG274" s="7">
        <v>-2.6984506733324087E-2</v>
      </c>
      <c r="GH274" s="42">
        <v>1.9320243536420494</v>
      </c>
      <c r="GI274" s="6">
        <v>12513.589422556133</v>
      </c>
      <c r="GJ274" s="14">
        <v>0.51074630601039561</v>
      </c>
      <c r="GK274" s="14">
        <v>0.50829519786160937</v>
      </c>
      <c r="GL274" s="14">
        <v>0.48925369398960428</v>
      </c>
      <c r="GM274" s="14">
        <v>0.49170480213839018</v>
      </c>
      <c r="GO274" s="5">
        <v>338.16872463277008</v>
      </c>
      <c r="GP274" s="5">
        <v>293.33520778489498</v>
      </c>
      <c r="GQ274" s="5">
        <v>527.27910984145694</v>
      </c>
      <c r="GR274" s="5">
        <v>404.20319246551543</v>
      </c>
      <c r="GS274" s="5">
        <v>334.50205195691484</v>
      </c>
      <c r="GT274" s="5">
        <v>289.18266033348181</v>
      </c>
      <c r="GU274" s="5">
        <v>254.29573314828914</v>
      </c>
      <c r="GV274" s="39" t="s">
        <v>392</v>
      </c>
      <c r="GW274" s="5">
        <v>433.04911228431121</v>
      </c>
      <c r="GX274" s="5">
        <v>326.24341641294012</v>
      </c>
      <c r="GY274" s="5">
        <v>262.1634566284809</v>
      </c>
      <c r="GZ274" s="5">
        <v>232.92313684693576</v>
      </c>
      <c r="HA274" s="5">
        <v>209.45771593376014</v>
      </c>
      <c r="HB274" s="39">
        <v>246.52030445327733</v>
      </c>
      <c r="HC274" s="5">
        <v>190.75937499999998</v>
      </c>
      <c r="HD274" s="5">
        <v>173.28879751461983</v>
      </c>
      <c r="HE274" s="5">
        <v>178.94016109986501</v>
      </c>
      <c r="HF274" s="5">
        <v>168.88629934210525</v>
      </c>
      <c r="HG274" s="5">
        <v>167.11410087719298</v>
      </c>
      <c r="HH274" s="39">
        <v>175.25374320138465</v>
      </c>
      <c r="HI274" s="16"/>
      <c r="HJ274" s="19" t="str">
        <f t="shared" ref="HJ274:HK274" si="935">HJ273</f>
        <v>On</v>
      </c>
      <c r="HK274" s="1" t="str">
        <f t="shared" si="935"/>
        <v>On</v>
      </c>
      <c r="HL274" s="16"/>
      <c r="HM274" s="639">
        <f t="shared" si="861"/>
        <v>5.0961701597560354E-2</v>
      </c>
      <c r="HN274" s="639">
        <f t="shared" si="862"/>
        <v>3.112551654761847E-3</v>
      </c>
      <c r="HO274" s="639">
        <f t="shared" si="863"/>
        <v>3.1163314184693442E-2</v>
      </c>
      <c r="HP274" s="644">
        <f>(FT274*$GD274-HM274)/$JF274*INDEX(Input!$1:$1048576,$JG$93,$C274*2+6)</f>
        <v>198.08571261852694</v>
      </c>
      <c r="HQ274" s="644">
        <f>(FU274*$GD274-HN274)/$JF274*INDEX(Input!$1:$1048576,$JG$93,$C274*2+6)</f>
        <v>4.2066563637085108E-2</v>
      </c>
      <c r="HR274" s="644">
        <f>(FV274*$GD274-HO274)/$JF274*INDEX(Input!$1:$1048576,$JG$93,$C274*2+6)</f>
        <v>-27.328392376991061</v>
      </c>
      <c r="HS274" s="644">
        <f t="shared" si="926"/>
        <v>-24.161018442740211</v>
      </c>
      <c r="HT274" s="644">
        <f t="shared" si="865"/>
        <v>120.88492930432537</v>
      </c>
      <c r="HU274" s="644">
        <f t="shared" si="866"/>
        <v>39.47554652895154</v>
      </c>
      <c r="HV274" s="648">
        <f t="shared" si="867"/>
        <v>0</v>
      </c>
      <c r="HW274" s="648">
        <f t="shared" si="868"/>
        <v>0</v>
      </c>
      <c r="HX274" s="648">
        <f t="shared" si="869"/>
        <v>0</v>
      </c>
      <c r="HY274" s="644">
        <f>INDEX(Input!$1:$1048576,HY$93,$C274*2+6)*INDEX(Input!$1:$1048576,$JG$93,$C274*2+6)</f>
        <v>555</v>
      </c>
      <c r="HZ274" s="644">
        <f>INDEX(Input!$1:$1048576,HZ$93,$C274*2+6)*INDEX(Input!$1:$1048576,$JG$93,$C274*2+6)</f>
        <v>480</v>
      </c>
      <c r="IA274" s="644">
        <f>INDEX(Input!$1:$1048576,IA$93,$C274*2+6)*INDEX(Input!$1:$1048576,$JG$93,$C274*2+6)</f>
        <v>566</v>
      </c>
      <c r="IB274" s="644">
        <f t="shared" si="870"/>
        <v>728.92469417578684</v>
      </c>
      <c r="IC274" s="644">
        <f t="shared" si="871"/>
        <v>600.92699586796243</v>
      </c>
      <c r="ID274" s="644">
        <f>IF(AND(INDEX(Input!$1:$1048576,IA$93,$C274*2+7)="TOS",Y274&lt;=INDEX(Y:Y,MATCH(C274*1000+2,A:A))),0,1)*MAX(IA274+HR274+HU274+HX274,0%)</f>
        <v>578.14715415196054</v>
      </c>
      <c r="IE274" s="128">
        <f t="shared" si="933"/>
        <v>0.38203623466190034</v>
      </c>
      <c r="IF274" s="128">
        <f t="shared" si="934"/>
        <v>0.31495144648333095</v>
      </c>
      <c r="IG274" s="128">
        <f t="shared" si="874"/>
        <v>0.3030123188547687</v>
      </c>
      <c r="IH274" s="21"/>
      <c r="II274" s="19">
        <f t="shared" si="875"/>
        <v>1200</v>
      </c>
      <c r="IJ274" s="19">
        <f t="shared" si="876"/>
        <v>2226.7968732767699</v>
      </c>
      <c r="IK274" s="19">
        <f t="shared" si="877"/>
        <v>1786</v>
      </c>
      <c r="IL274" s="19">
        <f t="shared" si="878"/>
        <v>1149.9999999999995</v>
      </c>
      <c r="IM274" s="19">
        <f t="shared" si="879"/>
        <v>1482.6465003449598</v>
      </c>
      <c r="IN274" s="19">
        <f t="shared" si="880"/>
        <v>325</v>
      </c>
      <c r="IO274" s="39">
        <f t="shared" si="881"/>
        <v>0</v>
      </c>
      <c r="IP274" s="39">
        <f t="shared" si="882"/>
        <v>0</v>
      </c>
      <c r="IQ274" s="39">
        <f t="shared" si="883"/>
        <v>0</v>
      </c>
      <c r="IR274" s="39">
        <v>0</v>
      </c>
      <c r="IS274" s="39">
        <v>0</v>
      </c>
      <c r="IT274" s="39">
        <v>0</v>
      </c>
      <c r="IU274" s="39">
        <v>0</v>
      </c>
      <c r="IV274" s="39">
        <v>0</v>
      </c>
      <c r="IW274" s="39">
        <v>0</v>
      </c>
      <c r="IX274" s="39">
        <f>INDEX(Input!$1:$1048576,IX$93,$C274*2+6)+INDEX(Input!$1:$1048576,IX$94,$C274*2+6)</f>
        <v>1600</v>
      </c>
      <c r="IY274" s="39">
        <f>INDEX(Input!$1:$1048576,IY$93,$C274*2+6)+INDEX(Input!$1:$1048576,IY$94,$C274*2+6)</f>
        <v>2503.5492916397525</v>
      </c>
      <c r="IZ274" s="39">
        <f>INDEX(Input!$1:$1048576,IZ$93,$C274*2+6)+INDEX(Input!$1:$1048576,IZ$94,$C274*2+6)</f>
        <v>5773.7109265464023</v>
      </c>
      <c r="JA274" s="19">
        <f t="shared" si="884"/>
        <v>2749.9999999999995</v>
      </c>
      <c r="JB274" s="19">
        <f t="shared" si="885"/>
        <v>3986.1957919847123</v>
      </c>
      <c r="JC274" s="19">
        <f t="shared" si="886"/>
        <v>6098.7109265464023</v>
      </c>
      <c r="JD274" s="19">
        <f t="shared" si="887"/>
        <v>4154.0423158493186</v>
      </c>
      <c r="JE274" s="21"/>
      <c r="JF274" s="1">
        <f t="shared" si="888"/>
        <v>8.5237567437015646E-2</v>
      </c>
      <c r="JG274" s="15">
        <f>INDEX(Input!$1:$1048576,JG$93,$C274*2+6)/(1+VLOOKUP(C274*1000+INDEX(Input!$1:$1048576,JG$93+1,$C274*2+6),$A:$KK,$JK$92,FALSE))</f>
        <v>1601</v>
      </c>
      <c r="JH274" s="1">
        <f t="shared" si="889"/>
        <v>0.10668293991578573</v>
      </c>
      <c r="JI274" s="1">
        <f t="shared" si="890"/>
        <v>8.5071491187093493E-2</v>
      </c>
      <c r="JJ274" s="1">
        <f t="shared" si="891"/>
        <v>0</v>
      </c>
      <c r="JK274" s="1">
        <f t="shared" si="892"/>
        <v>0.19175443110287921</v>
      </c>
      <c r="JL274" s="15">
        <f t="shared" si="893"/>
        <v>306.99884419570964</v>
      </c>
      <c r="JM274" s="15">
        <f t="shared" si="894"/>
        <v>1907.9988441957096</v>
      </c>
      <c r="JN274" s="21"/>
      <c r="JO274" s="19">
        <f>INDEX(Input!$1:$1048576,JO$93,$C274*2+6)</f>
        <v>5908.5</v>
      </c>
      <c r="JP274" s="19">
        <f>INDEX(Input!$1:$1048576,JP$93,$C274*2+6)</f>
        <v>3346.4235130620518</v>
      </c>
      <c r="JQ274" s="39">
        <f t="shared" si="895"/>
        <v>1754.4576841506814</v>
      </c>
      <c r="JR274" s="39">
        <f t="shared" si="896"/>
        <v>807.61880278726676</v>
      </c>
      <c r="JS274" s="39">
        <f t="shared" si="897"/>
        <v>7.9259079373805692</v>
      </c>
      <c r="JT274" s="39">
        <f t="shared" si="898"/>
        <v>2.5682838929682243</v>
      </c>
      <c r="JU274" s="385">
        <f>(JQ274*JM274-INDEX(Input!$1:$1048576,Input!A$18,$C274*2+6)*JL274*INDEX(Input!$1:$1048576,Input!A$19,$C274*2+6))/1000000</f>
        <v>3.3475032335497814</v>
      </c>
      <c r="JV274" s="39">
        <f t="shared" si="899"/>
        <v>-0.75438122203787339</v>
      </c>
      <c r="JW274" s="1">
        <f t="shared" si="900"/>
        <v>-0.18391089027635649</v>
      </c>
      <c r="JX274" s="19">
        <f t="shared" si="901"/>
        <v>8365.777075469905</v>
      </c>
      <c r="JZ274" s="341"/>
      <c r="KA274" s="342"/>
      <c r="KB274" s="469">
        <f t="shared" si="922"/>
        <v>2.4482969984810516</v>
      </c>
      <c r="KI274" s="473">
        <f t="shared" si="902"/>
        <v>173.92469417578673</v>
      </c>
      <c r="KJ274" s="473">
        <f t="shared" si="903"/>
        <v>120.92699586796232</v>
      </c>
      <c r="KK274" s="473">
        <f t="shared" si="904"/>
        <v>12.147154151960535</v>
      </c>
      <c r="KN274" s="544">
        <f t="shared" si="905"/>
        <v>2002</v>
      </c>
      <c r="KO274" s="541">
        <f t="shared" si="906"/>
        <v>0.10432009588314273</v>
      </c>
      <c r="KP274" s="546">
        <f t="shared" si="907"/>
        <v>627.5042424808795</v>
      </c>
      <c r="KQ274" s="546">
        <f t="shared" si="908"/>
        <v>428.43874089278006</v>
      </c>
      <c r="KR274" s="548">
        <f t="shared" si="909"/>
        <v>2.6548489292599684</v>
      </c>
      <c r="KS274" s="548">
        <f t="shared" si="910"/>
        <v>3.8883714455536635</v>
      </c>
      <c r="KT274" s="473">
        <f t="shared" si="923"/>
        <v>528.59039248727379</v>
      </c>
      <c r="KU274" s="663">
        <f t="shared" si="911"/>
        <v>12.372608864047242</v>
      </c>
    </row>
    <row r="275" spans="1:307" s="26" customFormat="1" ht="15" outlineLevel="1">
      <c r="A275" s="561">
        <f t="shared" si="915"/>
        <v>2075</v>
      </c>
      <c r="B275" s="561">
        <f t="shared" si="920"/>
        <v>75</v>
      </c>
      <c r="C275" s="561">
        <f t="shared" si="857"/>
        <v>2</v>
      </c>
      <c r="D275" s="561" t="str">
        <f t="shared" si="859"/>
        <v xml:space="preserve">500 CC, 0/1.8/2.8/3.9, 1000 Combo, </v>
      </c>
      <c r="E275" s="475">
        <f>INDEX(Input!$1:$1048576,E$93,$C275*2+MIN($B275,2)+5)
+INDEX(Scenarios!E$121:E$200,MATCH($B275,Scenarios!$B$121:$B$200,0))</f>
        <v>1750</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1000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2.7999999999999997E-2</v>
      </c>
      <c r="W275" s="863">
        <f>IFERROR(MAX(0,INDEX(Input!$1:$1048576,W$93,$C275*2+MIN($B275,2)+5)-0%,),"Market")</f>
        <v>3.9E-2</v>
      </c>
      <c r="X275" s="476" t="str">
        <f>INDEX(Input!$1:$1048576,X$93,$C275*2+MIN($B275,2)+5)</f>
        <v>Y</v>
      </c>
      <c r="Y275" s="475">
        <f>INDEX(Input!$1:$1048576,Y$93,$C275*2+MIN($B275,2)+5)
++INDEX(Scenarios!Y$121:Y$200,MATCH($B275,Scenarios!$B$121:$B$200,0))</f>
        <v>1358</v>
      </c>
      <c r="Z275" s="477">
        <f>INDEX(Input!$1:$1048576,Z$93,$C275*2+MIN($B275,2)+5)
+INDEX(Scenarios!Z$121:Z$200,MATCH($B275,Scenarios!$B$121:$B$200,0))</f>
        <v>0</v>
      </c>
      <c r="AA275" s="475">
        <f>INDEX(Input!$1:$1048576,AA$93,$C275*2+MIN($B275,2)+5)</f>
        <v>0</v>
      </c>
      <c r="AB275" s="476">
        <f>INDEX(Input!$1:$1048576,AB$93,$C275*2+MIN($B275,2)+5)</f>
        <v>1</v>
      </c>
      <c r="AC275" s="475">
        <f>INDEX(Input!$1:$1048576,AC$93,$C275*2+MIN($B275,2)+5)
+INDEX(Scenarios!AC$121:AC$200,MATCH($B275,Scenarios!$B$121:$B$200,0))</f>
        <v>0</v>
      </c>
      <c r="AD275" s="476">
        <f>INDEX(Input!$1:$1048576,AD$93,$C275*2+MIN($B275,2)+5)</f>
        <v>0.35</v>
      </c>
      <c r="AE275" s="475">
        <f>INDEX(Input!$1:$1048576,AE$93,$C275*2+MIN($B275,2)+5)
+INDEX(Scenarios!AE$121:AE$200,MATCH($B275,Scenarios!$B$121:$B$200,0))</f>
        <v>0</v>
      </c>
      <c r="AF275" s="476">
        <f>INDEX(Input!$1:$1048576,AF$93,$C275*2+MIN($B275,2)+5)</f>
        <v>1</v>
      </c>
      <c r="AG275" s="475">
        <f>INDEX(Input!$1:$1048576,AG$93,$C275*2+MIN($B275,2)+5)
+INDEX(Scenarios!AG$121:AG$200,MATCH($B275,Scenarios!$B$121:$B$200,0))</f>
        <v>0</v>
      </c>
      <c r="AH275" s="476">
        <f>INDEX(Input!$1:$1048576,AH$93,$C275*2+MIN($B275,2)+5)</f>
        <v>1</v>
      </c>
      <c r="AI275" s="475">
        <f>INDEX(Input!$1:$1048576,AI$93,$C275*2+MIN($B275,2)+5)
+INDEX(Scenarios!AI$121:AI$200,MATCH($B275,Scenarios!$B$121:$B$200,0))</f>
        <v>0</v>
      </c>
      <c r="AJ275" s="476">
        <f>INDEX(Input!$1:$1048576,AJ$93,$C275*2+MIN($B275,2)+5)</f>
        <v>0.35</v>
      </c>
      <c r="AK275" s="150">
        <f>ROUND(INDEX(Input!$1:$1048576,AK$93,$C274*2+MIN($B275,1)+5)+(Y275-VLOOKUP($C275*1000+1,$A:$HH,Y$92,FALSE)),0)</f>
        <v>4982</v>
      </c>
      <c r="AL275" s="150">
        <f>ROUND(INDEX(Input!$1:$1048576,AL$93,$C274*2+MIN($B275,1)+5)-(Y275-VLOOKUP($C275*1000+1,$A:$HH,Y$92,FALSE))/36,0)</f>
        <v>5102</v>
      </c>
      <c r="AM275" s="32" t="str">
        <f t="shared" si="916"/>
        <v>std/std/std/std</v>
      </c>
      <c r="AN275" s="32" t="str">
        <f t="shared" si="917"/>
        <v>$1000 + 0/0/0/2.8/3.9</v>
      </c>
      <c r="AO275" s="32" t="str">
        <f t="shared" si="918"/>
        <v>0/0/0/2.8/3.9</v>
      </c>
      <c r="AP275" s="32" t="str">
        <f t="shared" si="831"/>
        <v>0/1.8/2.8/3.9</v>
      </c>
      <c r="AQ275" s="536">
        <f t="shared" si="830"/>
        <v>0.36936795638985831</v>
      </c>
      <c r="AR275" s="32"/>
      <c r="AS275" s="302"/>
      <c r="AT275" s="3">
        <f t="shared" si="810"/>
        <v>75</v>
      </c>
      <c r="AU275" s="41" t="s">
        <v>121</v>
      </c>
      <c r="AV275" s="41" t="s">
        <v>116</v>
      </c>
      <c r="AW275" s="41" t="str">
        <f>INDEX(Input!$1:$1048576,AW$93,$C275*2+6)</f>
        <v>Kia</v>
      </c>
      <c r="AX275" s="41" t="str">
        <f>INDEX(Input!$1:$1048576,AX$93,$C275*2+6)</f>
        <v>Kia-LR - L2</v>
      </c>
      <c r="AY275" s="41" t="str">
        <f>IF(LEN(D275)=0,"",INDEX(Input!$1:$1048576,AY$93,$C275*2+6))</f>
        <v>Compact Conventional/Sporty Car (43)</v>
      </c>
      <c r="AZ275" s="41" t="str">
        <f>INDEX(Input!$1:$1048576,AZ$93,$C275*2+6)</f>
        <v>Kia Forte</v>
      </c>
      <c r="BA275" s="3">
        <f>INDEX(Input!$1:$1048576,BA$93,$C275*2+6)</f>
        <v>2020</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19695</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832"/>
        <v>1750</v>
      </c>
      <c r="CJ275" s="16" t="str">
        <f>INDEX(Input!$1:$1048576,CJ$93,$C275*2+6)</f>
        <v>N</v>
      </c>
      <c r="CK275" s="1" t="str">
        <f t="shared" si="833"/>
        <v>Market</v>
      </c>
      <c r="CL275" s="1" t="str">
        <f t="shared" si="834"/>
        <v>Market</v>
      </c>
      <c r="CM275" s="1" t="str">
        <f t="shared" si="835"/>
        <v>Market</v>
      </c>
      <c r="CN275" s="1" t="str">
        <f t="shared" si="836"/>
        <v>Market</v>
      </c>
      <c r="CO275" s="1" t="str">
        <f t="shared" si="837"/>
        <v>Market</v>
      </c>
      <c r="CP275" s="304">
        <f t="shared" si="838"/>
        <v>1000</v>
      </c>
      <c r="CQ275" s="1">
        <f t="shared" si="839"/>
        <v>0</v>
      </c>
      <c r="CR275" s="1">
        <f t="shared" si="840"/>
        <v>0</v>
      </c>
      <c r="CS275" s="1">
        <f t="shared" si="841"/>
        <v>0</v>
      </c>
      <c r="CT275" s="1">
        <f t="shared" si="842"/>
        <v>2.7999999999999997E-2</v>
      </c>
      <c r="CU275" s="1">
        <f t="shared" si="843"/>
        <v>3.9E-2</v>
      </c>
      <c r="CV275" s="304">
        <f t="shared" si="844"/>
        <v>1358</v>
      </c>
      <c r="CW275" s="20" t="s">
        <v>122</v>
      </c>
      <c r="CX275" s="20" t="s">
        <v>122</v>
      </c>
      <c r="CY275" s="20" t="s">
        <v>122</v>
      </c>
      <c r="CZ275" s="20" t="s">
        <v>122</v>
      </c>
      <c r="DA275" s="20" t="s">
        <v>122</v>
      </c>
      <c r="DB275" s="503">
        <f t="shared" si="845"/>
        <v>0</v>
      </c>
      <c r="DC275" s="127">
        <v>0</v>
      </c>
      <c r="DD275" s="127">
        <v>0</v>
      </c>
      <c r="DE275" s="127">
        <v>0</v>
      </c>
      <c r="DF275" s="127">
        <v>0</v>
      </c>
      <c r="DG275" s="127">
        <v>0</v>
      </c>
      <c r="DH275" s="127">
        <v>0</v>
      </c>
      <c r="DI275" s="127">
        <v>0</v>
      </c>
      <c r="DJ275" s="127">
        <v>0</v>
      </c>
      <c r="DK275" s="127">
        <v>0</v>
      </c>
      <c r="DL275" s="127">
        <v>0</v>
      </c>
      <c r="DM275" s="304">
        <f>INDEX(Input!$1:$1048576,DM$93,$C275*2+6)</f>
        <v>20731.578947368424</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2.9985707145629443E-2</v>
      </c>
      <c r="DZ275" s="7">
        <v>0</v>
      </c>
      <c r="EA275" s="7">
        <v>0.60578892505100213</v>
      </c>
      <c r="EB275" s="7">
        <v>0</v>
      </c>
      <c r="EC275" s="7">
        <v>0</v>
      </c>
      <c r="ED275" s="7">
        <v>0</v>
      </c>
      <c r="EE275" s="7">
        <v>0</v>
      </c>
      <c r="EF275" s="7">
        <v>0</v>
      </c>
      <c r="EG275" s="7">
        <v>0</v>
      </c>
      <c r="EH275" s="7">
        <v>2.1107137421554227E-2</v>
      </c>
      <c r="EI275" s="7">
        <v>3.4482492288898402E-2</v>
      </c>
      <c r="EJ275" s="7">
        <v>0.34617311312980503</v>
      </c>
      <c r="EK275" s="7">
        <v>0.53581018944043657</v>
      </c>
      <c r="EL275" s="7">
        <v>6.2427067719305736E-2</v>
      </c>
      <c r="EM275" s="7">
        <v>3.4592270438437697E-2</v>
      </c>
      <c r="EN275" s="7">
        <v>4.9722690742409169E-2</v>
      </c>
      <c r="EO275" s="7">
        <v>0.56162196719227042</v>
      </c>
      <c r="EP275" s="7">
        <v>0.2860538501057574</v>
      </c>
      <c r="EQ275" s="7">
        <v>6.3867507736548146E-2</v>
      </c>
      <c r="ER275" s="7">
        <v>3.8733984223014682E-2</v>
      </c>
      <c r="ES275" s="7">
        <v>0.3296330973649309</v>
      </c>
      <c r="ET275" s="7">
        <v>0.3642253678033685</v>
      </c>
      <c r="EU275" s="6">
        <v>2100</v>
      </c>
      <c r="EV275" s="6">
        <v>0</v>
      </c>
      <c r="EW275" s="6">
        <v>2100</v>
      </c>
      <c r="EX275" s="6">
        <v>0</v>
      </c>
      <c r="EY275" s="6">
        <v>3404.2941219815739</v>
      </c>
      <c r="EZ275" s="6">
        <v>2111</v>
      </c>
      <c r="FA275" s="6">
        <v>0</v>
      </c>
      <c r="FB275" s="6">
        <v>0</v>
      </c>
      <c r="FC275" s="6">
        <v>0</v>
      </c>
      <c r="FD275" s="6">
        <v>0</v>
      </c>
      <c r="FE275" s="6">
        <v>0</v>
      </c>
      <c r="FF275" s="6">
        <v>0</v>
      </c>
      <c r="FG275" s="6">
        <v>0</v>
      </c>
      <c r="FH275" s="6">
        <v>1154.7757746138807</v>
      </c>
      <c r="FI275" s="6">
        <v>1531.429990438063</v>
      </c>
      <c r="FJ275" s="6">
        <v>2070.7205842538219</v>
      </c>
      <c r="FK275" s="6">
        <v>1314.7946049255008</v>
      </c>
      <c r="FL275" s="6">
        <v>893.91433563489352</v>
      </c>
      <c r="FM275" s="6">
        <v>1554.2941219815737</v>
      </c>
      <c r="FN275" s="6">
        <v>0</v>
      </c>
      <c r="FO275" s="6">
        <v>0</v>
      </c>
      <c r="FP275" s="6">
        <v>0</v>
      </c>
      <c r="FQ275" s="6">
        <v>0</v>
      </c>
      <c r="FR275" s="6">
        <v>0</v>
      </c>
      <c r="FS275" s="6">
        <v>0</v>
      </c>
      <c r="FT275" s="7">
        <v>0.63577463219663155</v>
      </c>
      <c r="FU275" s="7">
        <v>3.4592270438437697E-2</v>
      </c>
      <c r="FV275" s="7">
        <v>0.3296330973649309</v>
      </c>
      <c r="FW275" s="6">
        <v>2100</v>
      </c>
      <c r="FX275" s="6">
        <v>3404.2941219815739</v>
      </c>
      <c r="FY275" s="6">
        <v>2111</v>
      </c>
      <c r="FZ275" s="6">
        <v>2594.6978186474794</v>
      </c>
      <c r="GA275" s="6">
        <v>2148.744459069866</v>
      </c>
      <c r="GB275" s="6">
        <v>17546.255540930135</v>
      </c>
      <c r="GC275" s="7">
        <v>9.6947029492584935E-2</v>
      </c>
      <c r="GD275" s="7">
        <v>9.2544897931736189E-2</v>
      </c>
      <c r="GE275" s="7"/>
      <c r="GF275" s="7"/>
      <c r="GG275" s="7">
        <v>-4.5407596126351105E-2</v>
      </c>
      <c r="GH275" s="42">
        <v>2.0053725047738795</v>
      </c>
      <c r="GI275" s="6">
        <v>11969.862457404419</v>
      </c>
      <c r="GJ275" s="14">
        <v>0.51074630601039528</v>
      </c>
      <c r="GK275" s="14">
        <v>0.5082951978616097</v>
      </c>
      <c r="GL275" s="14">
        <v>0.48925369398960417</v>
      </c>
      <c r="GM275" s="14">
        <v>0.49170480213839035</v>
      </c>
      <c r="GO275" s="5">
        <v>338.16872463277008</v>
      </c>
      <c r="GP275" s="5">
        <v>298.1047308538179</v>
      </c>
      <c r="GQ275" s="5">
        <v>527.27910984145694</v>
      </c>
      <c r="GR275" s="5">
        <v>404.20319246551543</v>
      </c>
      <c r="GS275" s="5">
        <v>334.50205195691484</v>
      </c>
      <c r="GT275" s="5">
        <v>289.18266033348181</v>
      </c>
      <c r="GU275" s="5">
        <v>254.29573314828914</v>
      </c>
      <c r="GV275" s="39" t="s">
        <v>392</v>
      </c>
      <c r="GW275" s="5">
        <v>440.98611111111109</v>
      </c>
      <c r="GX275" s="5">
        <v>330.73958333333331</v>
      </c>
      <c r="GY275" s="5">
        <v>264.59166666666664</v>
      </c>
      <c r="GZ275" s="5">
        <v>239.78936683672671</v>
      </c>
      <c r="HA275" s="5">
        <v>216.26912746293837</v>
      </c>
      <c r="HB275" s="39">
        <v>254.28983407466069</v>
      </c>
      <c r="HC275" s="5">
        <v>190.75937499999998</v>
      </c>
      <c r="HD275" s="5">
        <v>173.28879751461983</v>
      </c>
      <c r="HE275" s="5">
        <v>178.94016109986501</v>
      </c>
      <c r="HF275" s="5">
        <v>168.88629934210525</v>
      </c>
      <c r="HG275" s="5">
        <v>167.11410087719298</v>
      </c>
      <c r="HH275" s="39">
        <v>175.25372875969433</v>
      </c>
      <c r="HI275" s="16"/>
      <c r="HJ275" s="19" t="str">
        <f t="shared" ref="HJ275:HK275" si="936">HJ274</f>
        <v>On</v>
      </c>
      <c r="HK275" s="1" t="str">
        <f t="shared" si="936"/>
        <v>On</v>
      </c>
      <c r="HL275" s="16"/>
      <c r="HM275" s="639">
        <f t="shared" si="861"/>
        <v>5.0961701597560354E-2</v>
      </c>
      <c r="HN275" s="639">
        <f t="shared" si="862"/>
        <v>3.112551654761847E-3</v>
      </c>
      <c r="HO275" s="639">
        <f t="shared" si="863"/>
        <v>3.1163314184693442E-2</v>
      </c>
      <c r="HP275" s="644">
        <f>(FT275*$GD275-HM275)/$JF275*INDEX(Input!$1:$1048576,$JG$93,$C275*2+6)</f>
        <v>147.93325678641156</v>
      </c>
      <c r="HQ275" s="644">
        <f>(FU275*$GD275-HN275)/$JF275*INDEX(Input!$1:$1048576,$JG$93,$C275*2+6)</f>
        <v>1.6676585484662323</v>
      </c>
      <c r="HR275" s="644">
        <f>(FV275*$GD275-HO275)/$JF275*INDEX(Input!$1:$1048576,$JG$93,$C275*2+6)</f>
        <v>-12.348803691823836</v>
      </c>
      <c r="HS275" s="644">
        <f t="shared" si="926"/>
        <v>-18.920307032598274</v>
      </c>
      <c r="HT275" s="644">
        <f t="shared" si="865"/>
        <v>96.160259837696941</v>
      </c>
      <c r="HU275" s="644">
        <f t="shared" si="866"/>
        <v>36.354956715359776</v>
      </c>
      <c r="HV275" s="648">
        <f t="shared" si="867"/>
        <v>0</v>
      </c>
      <c r="HW275" s="648">
        <f t="shared" si="868"/>
        <v>0</v>
      </c>
      <c r="HX275" s="648">
        <f t="shared" si="869"/>
        <v>0</v>
      </c>
      <c r="HY275" s="644">
        <f>INDEX(Input!$1:$1048576,HY$93,$C275*2+6)*INDEX(Input!$1:$1048576,$JG$93,$C275*2+6)</f>
        <v>555</v>
      </c>
      <c r="HZ275" s="644">
        <f>INDEX(Input!$1:$1048576,HZ$93,$C275*2+6)*INDEX(Input!$1:$1048576,$JG$93,$C275*2+6)</f>
        <v>480</v>
      </c>
      <c r="IA275" s="644">
        <f>INDEX(Input!$1:$1048576,IA$93,$C275*2+6)*INDEX(Input!$1:$1048576,$JG$93,$C275*2+6)</f>
        <v>566</v>
      </c>
      <c r="IB275" s="644">
        <f t="shared" si="870"/>
        <v>684.01294975381325</v>
      </c>
      <c r="IC275" s="644">
        <f t="shared" si="871"/>
        <v>577.82791838616322</v>
      </c>
      <c r="ID275" s="644">
        <f>IF(AND(INDEX(Input!$1:$1048576,IA$93,$C275*2+7)="TOS",Y275&lt;=INDEX(Y:Y,MATCH(C275*1000+2,A:A))),0,1)*MAX(IA275+HR275+HU275+HX275,0%)</f>
        <v>590.00615302353594</v>
      </c>
      <c r="IE275" s="128">
        <f t="shared" si="933"/>
        <v>0.36936795638985831</v>
      </c>
      <c r="IF275" s="128">
        <f t="shared" si="934"/>
        <v>0.31202788987565233</v>
      </c>
      <c r="IG275" s="128">
        <f t="shared" si="874"/>
        <v>0.31860415373448941</v>
      </c>
      <c r="IH275" s="21"/>
      <c r="II275" s="19">
        <f t="shared" si="875"/>
        <v>1200</v>
      </c>
      <c r="IJ275" s="19">
        <f t="shared" si="876"/>
        <v>2226.7968732767699</v>
      </c>
      <c r="IK275" s="19">
        <f t="shared" si="877"/>
        <v>1786</v>
      </c>
      <c r="IL275" s="19">
        <f t="shared" si="878"/>
        <v>900</v>
      </c>
      <c r="IM275" s="19">
        <f t="shared" si="879"/>
        <v>1177.497248704804</v>
      </c>
      <c r="IN275" s="19">
        <f t="shared" si="880"/>
        <v>325</v>
      </c>
      <c r="IO275" s="39">
        <f t="shared" si="881"/>
        <v>0</v>
      </c>
      <c r="IP275" s="39">
        <f t="shared" si="882"/>
        <v>0</v>
      </c>
      <c r="IQ275" s="39">
        <f t="shared" si="883"/>
        <v>0</v>
      </c>
      <c r="IR275" s="39">
        <v>0</v>
      </c>
      <c r="IS275" s="39">
        <v>0</v>
      </c>
      <c r="IT275" s="39">
        <v>0</v>
      </c>
      <c r="IU275" s="39">
        <v>0</v>
      </c>
      <c r="IV275" s="39">
        <v>0</v>
      </c>
      <c r="IW275" s="39">
        <v>0</v>
      </c>
      <c r="IX275" s="39">
        <f>INDEX(Input!$1:$1048576,IX$93,$C275*2+6)+INDEX(Input!$1:$1048576,IX$94,$C275*2+6)</f>
        <v>1600</v>
      </c>
      <c r="IY275" s="39">
        <f>INDEX(Input!$1:$1048576,IY$93,$C275*2+6)+INDEX(Input!$1:$1048576,IY$94,$C275*2+6)</f>
        <v>2503.5492916397525</v>
      </c>
      <c r="IZ275" s="39">
        <f>INDEX(Input!$1:$1048576,IZ$93,$C275*2+6)+INDEX(Input!$1:$1048576,IZ$94,$C275*2+6)</f>
        <v>5773.7109265464023</v>
      </c>
      <c r="JA275" s="19">
        <f t="shared" si="884"/>
        <v>2500</v>
      </c>
      <c r="JB275" s="19">
        <f t="shared" si="885"/>
        <v>3681.0465403445564</v>
      </c>
      <c r="JC275" s="19">
        <f t="shared" si="886"/>
        <v>6098.7109265464023</v>
      </c>
      <c r="JD275" s="19">
        <f t="shared" si="887"/>
        <v>4015.0837091160283</v>
      </c>
      <c r="JE275" s="21"/>
      <c r="JF275" s="1">
        <f t="shared" si="888"/>
        <v>8.5237567437015646E-2</v>
      </c>
      <c r="JG275" s="15">
        <f>INDEX(Input!$1:$1048576,JG$93,$C275*2+6)/(1+VLOOKUP(C275*1000+INDEX(Input!$1:$1048576,JG$93+1,$C275*2+6),$A:$KK,$JK$92,FALSE))</f>
        <v>1601</v>
      </c>
      <c r="JH275" s="1">
        <f t="shared" si="889"/>
        <v>8.5728989158684543E-2</v>
      </c>
      <c r="JI275" s="1">
        <f t="shared" si="890"/>
        <v>7.0952473154564918E-2</v>
      </c>
      <c r="JJ275" s="1">
        <f t="shared" si="891"/>
        <v>0</v>
      </c>
      <c r="JK275" s="1">
        <f t="shared" si="892"/>
        <v>0.15668146231324948</v>
      </c>
      <c r="JL275" s="15">
        <f t="shared" si="893"/>
        <v>250.84702116351241</v>
      </c>
      <c r="JM275" s="15">
        <f t="shared" si="894"/>
        <v>1851.8470211635124</v>
      </c>
      <c r="JN275" s="21"/>
      <c r="JO275" s="19">
        <f>INDEX(Input!$1:$1048576,JO$93,$C275*2+6)</f>
        <v>5908.5</v>
      </c>
      <c r="JP275" s="19">
        <f>INDEX(Input!$1:$1048576,JP$93,$C275*2+6)</f>
        <v>3346.4235130620518</v>
      </c>
      <c r="JQ275" s="39">
        <f t="shared" si="895"/>
        <v>1893.4162908839717</v>
      </c>
      <c r="JR275" s="39">
        <f t="shared" si="896"/>
        <v>668.66019605397651</v>
      </c>
      <c r="JS275" s="39">
        <f t="shared" si="897"/>
        <v>7.4353208064486633</v>
      </c>
      <c r="JT275" s="39">
        <f t="shared" si="898"/>
        <v>2.0776967620363189</v>
      </c>
      <c r="JU275" s="385">
        <f>(JQ275*JM275-INDEX(Input!$1:$1048576,Input!A$18,$C275*2+6)*JL275*INDEX(Input!$1:$1048576,Input!A$19,$C275*2+6))/1000000</f>
        <v>3.5063173180959493</v>
      </c>
      <c r="JV275" s="39">
        <f t="shared" si="899"/>
        <v>-0.59556713749170553</v>
      </c>
      <c r="JW275" s="1">
        <f t="shared" si="900"/>
        <v>-0.14519354309954152</v>
      </c>
      <c r="JX275" s="19">
        <f t="shared" si="901"/>
        <v>8282.7244764528841</v>
      </c>
      <c r="JZ275" s="341"/>
      <c r="KA275" s="342"/>
      <c r="KB275" s="469">
        <f t="shared" si="922"/>
        <v>2.4482969984810516</v>
      </c>
      <c r="KI275" s="473">
        <f t="shared" si="902"/>
        <v>129.01294975381325</v>
      </c>
      <c r="KJ275" s="473">
        <f t="shared" si="903"/>
        <v>97.827918386163219</v>
      </c>
      <c r="KK275" s="473">
        <f t="shared" si="904"/>
        <v>24.006153023535944</v>
      </c>
      <c r="KN275" s="544">
        <f t="shared" si="905"/>
        <v>2002</v>
      </c>
      <c r="KO275" s="541">
        <f t="shared" si="906"/>
        <v>7.1820292865144353E-2</v>
      </c>
      <c r="KP275" s="546">
        <f t="shared" si="907"/>
        <v>427.28082653101313</v>
      </c>
      <c r="KQ275" s="546">
        <f t="shared" si="908"/>
        <v>289.48013415948981</v>
      </c>
      <c r="KR275" s="548">
        <f t="shared" si="909"/>
        <v>2.6842457159564677</v>
      </c>
      <c r="KS275" s="548">
        <f t="shared" si="910"/>
        <v>3.9620222349845551</v>
      </c>
      <c r="KT275" s="473">
        <f t="shared" si="923"/>
        <v>528.59039248727379</v>
      </c>
      <c r="KU275" s="663">
        <f t="shared" si="911"/>
        <v>12.27973080786612</v>
      </c>
    </row>
    <row r="276" spans="1:307" s="26" customFormat="1" ht="15" outlineLevel="1">
      <c r="A276" s="561">
        <f t="shared" si="915"/>
        <v>2076</v>
      </c>
      <c r="B276" s="561">
        <f t="shared" si="920"/>
        <v>76</v>
      </c>
      <c r="C276" s="561">
        <f t="shared" si="857"/>
        <v>2</v>
      </c>
      <c r="D276" s="561" t="str">
        <f t="shared" si="859"/>
        <v xml:space="preserve">750 CC, 0/1.8/2.8/3.9, 1500 Combo, </v>
      </c>
      <c r="E276" s="475">
        <f>INDEX(Input!$1:$1048576,E$93,$C276*2+MIN($B276,2)+5)
+INDEX(Scenarios!E$121:E$200,MATCH($B276,Scenarios!$B$121:$B$200,0))</f>
        <v>2000</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1500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2.7999999999999997E-2</v>
      </c>
      <c r="W276" s="863">
        <f>IFERROR(MAX(0,INDEX(Input!$1:$1048576,W$93,$C276*2+MIN($B276,2)+5)-0%,),"Market")</f>
        <v>3.9E-2</v>
      </c>
      <c r="X276" s="476" t="str">
        <f>INDEX(Input!$1:$1048576,X$93,$C276*2+MIN($B276,2)+5)</f>
        <v>Y</v>
      </c>
      <c r="Y276" s="475">
        <f>INDEX(Input!$1:$1048576,Y$93,$C276*2+MIN($B276,2)+5)
++INDEX(Scenarios!Y$121:Y$200,MATCH($B276,Scenarios!$B$121:$B$200,0))</f>
        <v>1358</v>
      </c>
      <c r="Z276" s="477">
        <f>INDEX(Input!$1:$1048576,Z$93,$C276*2+MIN($B276,2)+5)
+INDEX(Scenarios!Z$121:Z$200,MATCH($B276,Scenarios!$B$121:$B$200,0))</f>
        <v>0</v>
      </c>
      <c r="AA276" s="475">
        <f>INDEX(Input!$1:$1048576,AA$93,$C276*2+MIN($B276,2)+5)</f>
        <v>0</v>
      </c>
      <c r="AB276" s="476">
        <f>INDEX(Input!$1:$1048576,AB$93,$C276*2+MIN($B276,2)+5)</f>
        <v>1</v>
      </c>
      <c r="AC276" s="475">
        <f>INDEX(Input!$1:$1048576,AC$93,$C276*2+MIN($B276,2)+5)
+INDEX(Scenarios!AC$121:AC$200,MATCH($B276,Scenarios!$B$121:$B$200,0))</f>
        <v>0</v>
      </c>
      <c r="AD276" s="476">
        <f>INDEX(Input!$1:$1048576,AD$93,$C276*2+MIN($B276,2)+5)</f>
        <v>0.35</v>
      </c>
      <c r="AE276" s="475">
        <f>INDEX(Input!$1:$1048576,AE$93,$C276*2+MIN($B276,2)+5)
+INDEX(Scenarios!AE$121:AE$200,MATCH($B276,Scenarios!$B$121:$B$200,0))</f>
        <v>0</v>
      </c>
      <c r="AF276" s="476">
        <f>INDEX(Input!$1:$1048576,AF$93,$C276*2+MIN($B276,2)+5)</f>
        <v>1</v>
      </c>
      <c r="AG276" s="475">
        <f>INDEX(Input!$1:$1048576,AG$93,$C276*2+MIN($B276,2)+5)
+INDEX(Scenarios!AG$121:AG$200,MATCH($B276,Scenarios!$B$121:$B$200,0))</f>
        <v>0</v>
      </c>
      <c r="AH276" s="476">
        <f>INDEX(Input!$1:$1048576,AH$93,$C276*2+MIN($B276,2)+5)</f>
        <v>1</v>
      </c>
      <c r="AI276" s="475">
        <f>INDEX(Input!$1:$1048576,AI$93,$C276*2+MIN($B276,2)+5)
+INDEX(Scenarios!AI$121:AI$200,MATCH($B276,Scenarios!$B$121:$B$200,0))</f>
        <v>0</v>
      </c>
      <c r="AJ276" s="476">
        <f>INDEX(Input!$1:$1048576,AJ$93,$C276*2+MIN($B276,2)+5)</f>
        <v>0.35</v>
      </c>
      <c r="AK276" s="150">
        <f>ROUND(INDEX(Input!$1:$1048576,AK$93,$C275*2+MIN($B276,1)+5)+(Y276-VLOOKUP($C276*1000+1,$A:$HH,Y$92,FALSE)),0)</f>
        <v>4982</v>
      </c>
      <c r="AL276" s="150">
        <f>ROUND(INDEX(Input!$1:$1048576,AL$93,$C275*2+MIN($B276,1)+5)-(Y276-VLOOKUP($C276*1000+1,$A:$HH,Y$92,FALSE))/36,0)</f>
        <v>5102</v>
      </c>
      <c r="AM276" s="32" t="str">
        <f t="shared" si="916"/>
        <v>std/std/std/std</v>
      </c>
      <c r="AN276" s="32" t="str">
        <f t="shared" si="917"/>
        <v>$1500 + 0/0/0/2.8/3.9</v>
      </c>
      <c r="AO276" s="32" t="str">
        <f t="shared" si="918"/>
        <v>0/0/0/2.8/3.9</v>
      </c>
      <c r="AP276" s="32" t="str">
        <f t="shared" si="831"/>
        <v>0/1.8/2.8/3.9</v>
      </c>
      <c r="AQ276" s="536">
        <f t="shared" si="830"/>
        <v>0.37593387024702662</v>
      </c>
      <c r="AR276" s="32"/>
      <c r="AS276" s="302"/>
      <c r="AT276" s="3">
        <f t="shared" si="810"/>
        <v>76</v>
      </c>
      <c r="AU276" s="41" t="s">
        <v>121</v>
      </c>
      <c r="AV276" s="41" t="s">
        <v>116</v>
      </c>
      <c r="AW276" s="41" t="str">
        <f>INDEX(Input!$1:$1048576,AW$93,$C276*2+6)</f>
        <v>Kia</v>
      </c>
      <c r="AX276" s="41" t="str">
        <f>INDEX(Input!$1:$1048576,AX$93,$C276*2+6)</f>
        <v>Kia-LR - L2</v>
      </c>
      <c r="AY276" s="41" t="str">
        <f>IF(LEN(D276)=0,"",INDEX(Input!$1:$1048576,AY$93,$C276*2+6))</f>
        <v>Compact Conventional/Sporty Car (43)</v>
      </c>
      <c r="AZ276" s="41" t="str">
        <f>INDEX(Input!$1:$1048576,AZ$93,$C276*2+6)</f>
        <v>Kia Forte</v>
      </c>
      <c r="BA276" s="3">
        <f>INDEX(Input!$1:$1048576,BA$93,$C276*2+6)</f>
        <v>2020</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19695</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832"/>
        <v>2000</v>
      </c>
      <c r="CJ276" s="16" t="str">
        <f>INDEX(Input!$1:$1048576,CJ$93,$C276*2+6)</f>
        <v>N</v>
      </c>
      <c r="CK276" s="1" t="str">
        <f t="shared" si="833"/>
        <v>Market</v>
      </c>
      <c r="CL276" s="1" t="str">
        <f t="shared" si="834"/>
        <v>Market</v>
      </c>
      <c r="CM276" s="1" t="str">
        <f t="shared" si="835"/>
        <v>Market</v>
      </c>
      <c r="CN276" s="1" t="str">
        <f t="shared" si="836"/>
        <v>Market</v>
      </c>
      <c r="CO276" s="1" t="str">
        <f t="shared" si="837"/>
        <v>Market</v>
      </c>
      <c r="CP276" s="304">
        <f t="shared" si="838"/>
        <v>1500</v>
      </c>
      <c r="CQ276" s="1">
        <f t="shared" si="839"/>
        <v>0</v>
      </c>
      <c r="CR276" s="1">
        <f t="shared" si="840"/>
        <v>0</v>
      </c>
      <c r="CS276" s="1">
        <f t="shared" si="841"/>
        <v>0</v>
      </c>
      <c r="CT276" s="1">
        <f t="shared" si="842"/>
        <v>2.7999999999999997E-2</v>
      </c>
      <c r="CU276" s="1">
        <f t="shared" si="843"/>
        <v>3.9E-2</v>
      </c>
      <c r="CV276" s="304">
        <f t="shared" si="844"/>
        <v>1358</v>
      </c>
      <c r="CW276" s="20" t="s">
        <v>122</v>
      </c>
      <c r="CX276" s="20" t="s">
        <v>122</v>
      </c>
      <c r="CY276" s="20" t="s">
        <v>122</v>
      </c>
      <c r="CZ276" s="20" t="s">
        <v>122</v>
      </c>
      <c r="DA276" s="20" t="s">
        <v>122</v>
      </c>
      <c r="DB276" s="503">
        <f t="shared" si="845"/>
        <v>0</v>
      </c>
      <c r="DC276" s="127">
        <v>0</v>
      </c>
      <c r="DD276" s="127">
        <v>0</v>
      </c>
      <c r="DE276" s="127">
        <v>0</v>
      </c>
      <c r="DF276" s="127">
        <v>0</v>
      </c>
      <c r="DG276" s="127">
        <v>0</v>
      </c>
      <c r="DH276" s="127">
        <v>0</v>
      </c>
      <c r="DI276" s="127">
        <v>0</v>
      </c>
      <c r="DJ276" s="127">
        <v>0</v>
      </c>
      <c r="DK276" s="127">
        <v>0</v>
      </c>
      <c r="DL276" s="127">
        <v>0</v>
      </c>
      <c r="DM276" s="304">
        <f>INDEX(Input!$1:$1048576,DM$93,$C276*2+6)</f>
        <v>20731.578947368424</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3.0737048225488877E-2</v>
      </c>
      <c r="DZ276" s="7">
        <v>0</v>
      </c>
      <c r="EA276" s="7">
        <v>0.61796129454762094</v>
      </c>
      <c r="EB276" s="7">
        <v>0</v>
      </c>
      <c r="EC276" s="7">
        <v>0</v>
      </c>
      <c r="ED276" s="7">
        <v>0</v>
      </c>
      <c r="EE276" s="7">
        <v>0</v>
      </c>
      <c r="EF276" s="7">
        <v>0</v>
      </c>
      <c r="EG276" s="7">
        <v>0</v>
      </c>
      <c r="EH276" s="7">
        <v>2.1118704376937508E-2</v>
      </c>
      <c r="EI276" s="7">
        <v>3.4511176359312265E-2</v>
      </c>
      <c r="EJ276" s="7">
        <v>0.34624695050247156</v>
      </c>
      <c r="EK276" s="7">
        <v>0.53570861594710251</v>
      </c>
      <c r="EL276" s="7">
        <v>6.2414552814176461E-2</v>
      </c>
      <c r="EM276" s="7">
        <v>3.8006880456479673E-2</v>
      </c>
      <c r="EN276" s="7">
        <v>4.9716902671697524E-2</v>
      </c>
      <c r="EO276" s="7">
        <v>0.56159706708157875</v>
      </c>
      <c r="EP276" s="7">
        <v>0.2860812418642138</v>
      </c>
      <c r="EQ276" s="7">
        <v>6.386110259888253E-2</v>
      </c>
      <c r="ER276" s="7">
        <v>3.8743685783627545E-2</v>
      </c>
      <c r="ES276" s="7">
        <v>0.31329477677041051</v>
      </c>
      <c r="ET276" s="7">
        <v>0.35130165722689011</v>
      </c>
      <c r="EU276" s="6">
        <v>2350</v>
      </c>
      <c r="EV276" s="6">
        <v>0</v>
      </c>
      <c r="EW276" s="6">
        <v>2350</v>
      </c>
      <c r="EX276" s="6">
        <v>0</v>
      </c>
      <c r="EY276" s="6">
        <v>3904.3594668771652</v>
      </c>
      <c r="EZ276" s="6">
        <v>2111</v>
      </c>
      <c r="FA276" s="6">
        <v>0</v>
      </c>
      <c r="FB276" s="6">
        <v>0</v>
      </c>
      <c r="FC276" s="6">
        <v>0</v>
      </c>
      <c r="FD276" s="6">
        <v>0</v>
      </c>
      <c r="FE276" s="6">
        <v>0</v>
      </c>
      <c r="FF276" s="6">
        <v>0</v>
      </c>
      <c r="FG276" s="6">
        <v>0</v>
      </c>
      <c r="FH276" s="6">
        <v>1154.7709910213534</v>
      </c>
      <c r="FI276" s="6">
        <v>1531.4299904380625</v>
      </c>
      <c r="FJ276" s="6">
        <v>2070.7205842538237</v>
      </c>
      <c r="FK276" s="6">
        <v>1314.7946049255017</v>
      </c>
      <c r="FL276" s="6">
        <v>893.91433563489363</v>
      </c>
      <c r="FM276" s="6">
        <v>1554.3594668771652</v>
      </c>
      <c r="FN276" s="6">
        <v>0</v>
      </c>
      <c r="FO276" s="6">
        <v>0</v>
      </c>
      <c r="FP276" s="6">
        <v>0</v>
      </c>
      <c r="FQ276" s="6">
        <v>0</v>
      </c>
      <c r="FR276" s="6">
        <v>0</v>
      </c>
      <c r="FS276" s="6">
        <v>0</v>
      </c>
      <c r="FT276" s="7">
        <v>0.64869834277310978</v>
      </c>
      <c r="FU276" s="7">
        <v>3.8006880456479673E-2</v>
      </c>
      <c r="FV276" s="7">
        <v>0.31329477677041051</v>
      </c>
      <c r="FW276" s="6">
        <v>2350.0000000000005</v>
      </c>
      <c r="FX276" s="6">
        <v>3904.3594668771652</v>
      </c>
      <c r="FY276" s="6">
        <v>2111</v>
      </c>
      <c r="FZ276" s="6">
        <v>2594.6978186474794</v>
      </c>
      <c r="GA276" s="6">
        <v>2334.1989027958698</v>
      </c>
      <c r="GB276" s="6">
        <v>17360.80109720413</v>
      </c>
      <c r="GC276" s="7">
        <v>9.6947029492584935E-2</v>
      </c>
      <c r="GD276" s="7">
        <v>9.4536242077321433E-2</v>
      </c>
      <c r="GE276" s="7"/>
      <c r="GF276" s="7"/>
      <c r="GG276" s="7">
        <v>-2.4867058102568191E-2</v>
      </c>
      <c r="GH276" s="42">
        <v>1.8800719677814905</v>
      </c>
      <c r="GI276" s="6">
        <v>12809.861716512703</v>
      </c>
      <c r="GJ276" s="14">
        <v>0.51074630601039539</v>
      </c>
      <c r="GK276" s="14">
        <v>0.50829519786160937</v>
      </c>
      <c r="GL276" s="14">
        <v>0.48925369398960417</v>
      </c>
      <c r="GM276" s="14">
        <v>0.49170480213839024</v>
      </c>
      <c r="GO276" s="5">
        <v>338.16872463277008</v>
      </c>
      <c r="GP276" s="5">
        <v>293.33520778489498</v>
      </c>
      <c r="GQ276" s="5">
        <v>527.27910984145694</v>
      </c>
      <c r="GR276" s="5">
        <v>404.20319246551543</v>
      </c>
      <c r="GS276" s="5">
        <v>334.50205195691484</v>
      </c>
      <c r="GT276" s="5">
        <v>289.18266033348181</v>
      </c>
      <c r="GU276" s="5">
        <v>254.29573314828914</v>
      </c>
      <c r="GV276" s="39" t="s">
        <v>392</v>
      </c>
      <c r="GW276" s="5">
        <v>427.09722222222223</v>
      </c>
      <c r="GX276" s="5">
        <v>320.32291666666669</v>
      </c>
      <c r="GY276" s="5">
        <v>256.25833333333333</v>
      </c>
      <c r="GZ276" s="5">
        <v>232.23718369803106</v>
      </c>
      <c r="HA276" s="5">
        <v>209.45771593376014</v>
      </c>
      <c r="HB276" s="39">
        <v>246.28779702665707</v>
      </c>
      <c r="HC276" s="5">
        <v>190.75937499999998</v>
      </c>
      <c r="HD276" s="5">
        <v>173.28879751461983</v>
      </c>
      <c r="HE276" s="5">
        <v>178.94016109986501</v>
      </c>
      <c r="HF276" s="5">
        <v>168.88629934210525</v>
      </c>
      <c r="HG276" s="5">
        <v>167.11410087719298</v>
      </c>
      <c r="HH276" s="39">
        <v>175.25375073395591</v>
      </c>
      <c r="HI276" s="16"/>
      <c r="HJ276" s="19" t="str">
        <f t="shared" ref="HJ276:HK276" si="937">HJ275</f>
        <v>On</v>
      </c>
      <c r="HK276" s="1" t="str">
        <f t="shared" si="937"/>
        <v>On</v>
      </c>
      <c r="HL276" s="16"/>
      <c r="HM276" s="639">
        <f t="shared" si="861"/>
        <v>5.0961701597560354E-2</v>
      </c>
      <c r="HN276" s="639">
        <f t="shared" si="862"/>
        <v>3.112551654761847E-3</v>
      </c>
      <c r="HO276" s="639">
        <f t="shared" si="863"/>
        <v>3.1163314184693442E-2</v>
      </c>
      <c r="HP276" s="644">
        <f>(FT276*$GD276-HM276)/$JF276*INDEX(Input!$1:$1048576,$JG$93,$C276*2+6)</f>
        <v>194.66119755498124</v>
      </c>
      <c r="HQ276" s="644">
        <f>(FU276*$GD276-HN276)/$JF276*INDEX(Input!$1:$1048576,$JG$93,$C276*2+6)</f>
        <v>9.02468352638361</v>
      </c>
      <c r="HR276" s="644">
        <f>(FV276*$GD276-HO276)/$JF276*INDEX(Input!$1:$1048576,$JG$93,$C276*2+6)</f>
        <v>-29.030754864510943</v>
      </c>
      <c r="HS276" s="644">
        <f t="shared" si="926"/>
        <v>-24.293692700310434</v>
      </c>
      <c r="HT276" s="644">
        <f t="shared" si="865"/>
        <v>138.53859771485219</v>
      </c>
      <c r="HU276" s="644">
        <f t="shared" si="866"/>
        <v>39.608220786521748</v>
      </c>
      <c r="HV276" s="648">
        <f t="shared" si="867"/>
        <v>0</v>
      </c>
      <c r="HW276" s="648">
        <f t="shared" si="868"/>
        <v>0</v>
      </c>
      <c r="HX276" s="648">
        <f t="shared" si="869"/>
        <v>0</v>
      </c>
      <c r="HY276" s="644">
        <f>INDEX(Input!$1:$1048576,HY$93,$C276*2+6)*INDEX(Input!$1:$1048576,$JG$93,$C276*2+6)</f>
        <v>555</v>
      </c>
      <c r="HZ276" s="644">
        <f>INDEX(Input!$1:$1048576,HZ$93,$C276*2+6)*INDEX(Input!$1:$1048576,$JG$93,$C276*2+6)</f>
        <v>480</v>
      </c>
      <c r="IA276" s="644">
        <f>INDEX(Input!$1:$1048576,IA$93,$C276*2+6)*INDEX(Input!$1:$1048576,$JG$93,$C276*2+6)</f>
        <v>566</v>
      </c>
      <c r="IB276" s="644">
        <f t="shared" si="870"/>
        <v>725.36750485467087</v>
      </c>
      <c r="IC276" s="644">
        <f t="shared" si="871"/>
        <v>627.56328124123581</v>
      </c>
      <c r="ID276" s="644">
        <f>IF(AND(INDEX(Input!$1:$1048576,IA$93,$C276*2+7)="TOS",Y276&lt;=INDEX(Y:Y,MATCH(C276*1000+2,A:A))),0,1)*MAX(IA276+HR276+HU276+HX276,0%)</f>
        <v>576.57746592201079</v>
      </c>
      <c r="IE276" s="128">
        <f t="shared" si="933"/>
        <v>0.37593387024702662</v>
      </c>
      <c r="IF276" s="128">
        <f t="shared" si="934"/>
        <v>0.32524519166213356</v>
      </c>
      <c r="IG276" s="128">
        <f t="shared" si="874"/>
        <v>0.29882093809083987</v>
      </c>
      <c r="IH276" s="21"/>
      <c r="II276" s="19">
        <f t="shared" si="875"/>
        <v>1200</v>
      </c>
      <c r="IJ276" s="19">
        <f t="shared" si="876"/>
        <v>2226.7968732767699</v>
      </c>
      <c r="IK276" s="19">
        <f t="shared" si="877"/>
        <v>1786</v>
      </c>
      <c r="IL276" s="19">
        <f t="shared" si="878"/>
        <v>1150.0000000000005</v>
      </c>
      <c r="IM276" s="19">
        <f t="shared" si="879"/>
        <v>1677.5625936003953</v>
      </c>
      <c r="IN276" s="19">
        <f t="shared" si="880"/>
        <v>325</v>
      </c>
      <c r="IO276" s="39">
        <f t="shared" si="881"/>
        <v>0</v>
      </c>
      <c r="IP276" s="39">
        <f t="shared" si="882"/>
        <v>0</v>
      </c>
      <c r="IQ276" s="39">
        <f t="shared" si="883"/>
        <v>0</v>
      </c>
      <c r="IR276" s="39">
        <v>0</v>
      </c>
      <c r="IS276" s="39">
        <v>0</v>
      </c>
      <c r="IT276" s="39">
        <v>0</v>
      </c>
      <c r="IU276" s="39">
        <v>0</v>
      </c>
      <c r="IV276" s="39">
        <v>0</v>
      </c>
      <c r="IW276" s="39">
        <v>0</v>
      </c>
      <c r="IX276" s="39">
        <f>INDEX(Input!$1:$1048576,IX$93,$C276*2+6)+INDEX(Input!$1:$1048576,IX$94,$C276*2+6)</f>
        <v>1600</v>
      </c>
      <c r="IY276" s="39">
        <f>INDEX(Input!$1:$1048576,IY$93,$C276*2+6)+INDEX(Input!$1:$1048576,IY$94,$C276*2+6)</f>
        <v>2503.5492916397525</v>
      </c>
      <c r="IZ276" s="39">
        <f>INDEX(Input!$1:$1048576,IZ$93,$C276*2+6)+INDEX(Input!$1:$1048576,IZ$94,$C276*2+6)</f>
        <v>5773.7109265464023</v>
      </c>
      <c r="JA276" s="19">
        <f t="shared" si="884"/>
        <v>2750.0000000000005</v>
      </c>
      <c r="JB276" s="19">
        <f t="shared" si="885"/>
        <v>4181.1118852401478</v>
      </c>
      <c r="JC276" s="19">
        <f t="shared" si="886"/>
        <v>6098.7109265464023</v>
      </c>
      <c r="JD276" s="19">
        <f t="shared" si="887"/>
        <v>4216.1271998705306</v>
      </c>
      <c r="JE276" s="21"/>
      <c r="JF276" s="1">
        <f t="shared" si="888"/>
        <v>8.5237567437015646E-2</v>
      </c>
      <c r="JG276" s="15">
        <f>INDEX(Input!$1:$1048576,JG$93,$C276*2+6)/(1+VLOOKUP(C276*1000+INDEX(Input!$1:$1048576,JG$93+1,$C276*2+6),$A:$KK,$JK$92,FALSE))</f>
        <v>1601</v>
      </c>
      <c r="JH276" s="1">
        <f t="shared" si="889"/>
        <v>0.10909127184063329</v>
      </c>
      <c r="JI276" s="1">
        <f t="shared" si="890"/>
        <v>9.609814228673548E-2</v>
      </c>
      <c r="JJ276" s="1">
        <f t="shared" si="891"/>
        <v>0</v>
      </c>
      <c r="JK276" s="1">
        <f t="shared" si="892"/>
        <v>0.20518941412736877</v>
      </c>
      <c r="JL276" s="15">
        <f t="shared" si="893"/>
        <v>328.50825201791741</v>
      </c>
      <c r="JM276" s="15">
        <f t="shared" si="894"/>
        <v>1929.5082520179174</v>
      </c>
      <c r="JN276" s="21"/>
      <c r="JO276" s="19">
        <f>INDEX(Input!$1:$1048576,JO$93,$C276*2+6)</f>
        <v>5908.5</v>
      </c>
      <c r="JP276" s="19">
        <f>INDEX(Input!$1:$1048576,JP$93,$C276*2+6)</f>
        <v>3346.4235130620518</v>
      </c>
      <c r="JQ276" s="39">
        <f t="shared" si="895"/>
        <v>1692.3728001294694</v>
      </c>
      <c r="JR276" s="39">
        <f t="shared" si="896"/>
        <v>869.70368680847878</v>
      </c>
      <c r="JS276" s="39">
        <f t="shared" si="897"/>
        <v>8.135052223707385</v>
      </c>
      <c r="JT276" s="39">
        <f t="shared" si="898"/>
        <v>2.7774281792950397</v>
      </c>
      <c r="JU276" s="385">
        <f>(JQ276*JM276-INDEX(Input!$1:$1048576,Input!A$18,$C276*2+6)*JL276*INDEX(Input!$1:$1048576,Input!A$19,$C276*2+6))/1000000</f>
        <v>3.2654472833404808</v>
      </c>
      <c r="JV276" s="39">
        <f t="shared" si="899"/>
        <v>-0.83643717224717395</v>
      </c>
      <c r="JW276" s="1">
        <f t="shared" si="900"/>
        <v>-0.2039153421563997</v>
      </c>
      <c r="JX276" s="19">
        <f t="shared" si="901"/>
        <v>8454.667918489773</v>
      </c>
      <c r="JZ276" s="341"/>
      <c r="KA276" s="342"/>
      <c r="KB276" s="469">
        <f t="shared" si="922"/>
        <v>2.4482969984810516</v>
      </c>
      <c r="KI276" s="473">
        <f t="shared" si="902"/>
        <v>170.36750485467087</v>
      </c>
      <c r="KJ276" s="473">
        <f t="shared" si="903"/>
        <v>147.56328124123581</v>
      </c>
      <c r="KK276" s="473">
        <f t="shared" si="904"/>
        <v>10.577465922010788</v>
      </c>
      <c r="KN276" s="544">
        <f t="shared" si="905"/>
        <v>2002</v>
      </c>
      <c r="KO276" s="541">
        <f t="shared" si="906"/>
        <v>0.11676940704539507</v>
      </c>
      <c r="KP276" s="546">
        <f t="shared" si="907"/>
        <v>697.46734725284568</v>
      </c>
      <c r="KQ276" s="546">
        <f t="shared" si="908"/>
        <v>490.52362491399208</v>
      </c>
      <c r="KR276" s="548">
        <f t="shared" si="909"/>
        <v>2.673583155928263</v>
      </c>
      <c r="KS276" s="548">
        <f t="shared" si="910"/>
        <v>3.8015232227645259</v>
      </c>
      <c r="KT276" s="473">
        <f t="shared" si="923"/>
        <v>528.59039248727379</v>
      </c>
      <c r="KU276" s="663">
        <f t="shared" si="911"/>
        <v>12.380504798085578</v>
      </c>
    </row>
    <row r="277" spans="1:307" s="26" customFormat="1" ht="15" outlineLevel="1">
      <c r="A277" s="561">
        <f t="shared" si="915"/>
        <v>2077</v>
      </c>
      <c r="B277" s="561">
        <f t="shared" si="920"/>
        <v>77</v>
      </c>
      <c r="C277" s="561">
        <f t="shared" si="857"/>
        <v>2</v>
      </c>
      <c r="D277" s="561" t="str">
        <f t="shared" si="859"/>
        <v xml:space="preserve">1000 CC, 0/1.8/2.8/3.9, 2000 Combo, </v>
      </c>
      <c r="E277" s="475">
        <f>INDEX(Input!$1:$1048576,E$93,$C277*2+MIN($B277,2)+5)
+INDEX(Scenarios!E$121:E$200,MATCH($B277,Scenarios!$B$121:$B$200,0))</f>
        <v>2250</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2000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2.7999999999999997E-2</v>
      </c>
      <c r="W277" s="863">
        <f>IFERROR(MAX(0,INDEX(Input!$1:$1048576,W$93,$C277*2+MIN($B277,2)+5)-0%,),"Market")</f>
        <v>3.9E-2</v>
      </c>
      <c r="X277" s="476" t="str">
        <f>INDEX(Input!$1:$1048576,X$93,$C277*2+MIN($B277,2)+5)</f>
        <v>Y</v>
      </c>
      <c r="Y277" s="475">
        <f>INDEX(Input!$1:$1048576,Y$93,$C277*2+MIN($B277,2)+5)
++INDEX(Scenarios!Y$121:Y$200,MATCH($B277,Scenarios!$B$121:$B$200,0))</f>
        <v>1358</v>
      </c>
      <c r="Z277" s="477">
        <f>INDEX(Input!$1:$1048576,Z$93,$C277*2+MIN($B277,2)+5)
+INDEX(Scenarios!Z$121:Z$200,MATCH($B277,Scenarios!$B$121:$B$200,0))</f>
        <v>0</v>
      </c>
      <c r="AA277" s="475">
        <f>INDEX(Input!$1:$1048576,AA$93,$C277*2+MIN($B277,2)+5)</f>
        <v>0</v>
      </c>
      <c r="AB277" s="476">
        <f>INDEX(Input!$1:$1048576,AB$93,$C277*2+MIN($B277,2)+5)</f>
        <v>1</v>
      </c>
      <c r="AC277" s="475">
        <f>INDEX(Input!$1:$1048576,AC$93,$C277*2+MIN($B277,2)+5)
+INDEX(Scenarios!AC$121:AC$200,MATCH($B277,Scenarios!$B$121:$B$200,0))</f>
        <v>0</v>
      </c>
      <c r="AD277" s="476">
        <f>INDEX(Input!$1:$1048576,AD$93,$C277*2+MIN($B277,2)+5)</f>
        <v>0.35</v>
      </c>
      <c r="AE277" s="475">
        <f>INDEX(Input!$1:$1048576,AE$93,$C277*2+MIN($B277,2)+5)
+INDEX(Scenarios!AE$121:AE$200,MATCH($B277,Scenarios!$B$121:$B$200,0))</f>
        <v>0</v>
      </c>
      <c r="AF277" s="476">
        <f>INDEX(Input!$1:$1048576,AF$93,$C277*2+MIN($B277,2)+5)</f>
        <v>1</v>
      </c>
      <c r="AG277" s="475">
        <f>INDEX(Input!$1:$1048576,AG$93,$C277*2+MIN($B277,2)+5)
+INDEX(Scenarios!AG$121:AG$200,MATCH($B277,Scenarios!$B$121:$B$200,0))</f>
        <v>0</v>
      </c>
      <c r="AH277" s="476">
        <f>INDEX(Input!$1:$1048576,AH$93,$C277*2+MIN($B277,2)+5)</f>
        <v>1</v>
      </c>
      <c r="AI277" s="475">
        <f>INDEX(Input!$1:$1048576,AI$93,$C277*2+MIN($B277,2)+5)
+INDEX(Scenarios!AI$121:AI$200,MATCH($B277,Scenarios!$B$121:$B$200,0))</f>
        <v>0</v>
      </c>
      <c r="AJ277" s="476">
        <f>INDEX(Input!$1:$1048576,AJ$93,$C277*2+MIN($B277,2)+5)</f>
        <v>0.35</v>
      </c>
      <c r="AK277" s="150">
        <f>ROUND(INDEX(Input!$1:$1048576,AK$93,$C276*2+MIN($B277,1)+5)+(Y277-VLOOKUP($C277*1000+1,$A:$HH,Y$92,FALSE)),0)</f>
        <v>4982</v>
      </c>
      <c r="AL277" s="150">
        <f>ROUND(INDEX(Input!$1:$1048576,AL$93,$C276*2+MIN($B277,1)+5)-(Y277-VLOOKUP($C277*1000+1,$A:$HH,Y$92,FALSE))/36,0)</f>
        <v>5102</v>
      </c>
      <c r="AM277" s="32" t="str">
        <f t="shared" si="916"/>
        <v>std/std/std/std</v>
      </c>
      <c r="AN277" s="32" t="str">
        <f t="shared" si="917"/>
        <v>$2000 + 0/0/0/2.8/3.9</v>
      </c>
      <c r="AO277" s="32" t="str">
        <f t="shared" si="918"/>
        <v>0/0/0/2.8/3.9</v>
      </c>
      <c r="AP277" s="32" t="str">
        <f t="shared" si="831"/>
        <v>0/1.8/2.8/3.9</v>
      </c>
      <c r="AQ277" s="536">
        <f t="shared" si="830"/>
        <v>0.35158926152699393</v>
      </c>
      <c r="AR277" s="32"/>
      <c r="AS277" s="302"/>
      <c r="AT277" s="3">
        <f t="shared" si="810"/>
        <v>77</v>
      </c>
      <c r="AU277" s="41" t="s">
        <v>121</v>
      </c>
      <c r="AV277" s="41" t="s">
        <v>116</v>
      </c>
      <c r="AW277" s="41" t="str">
        <f>INDEX(Input!$1:$1048576,AW$93,$C277*2+6)</f>
        <v>Kia</v>
      </c>
      <c r="AX277" s="41" t="str">
        <f>INDEX(Input!$1:$1048576,AX$93,$C277*2+6)</f>
        <v>Kia-LR - L2</v>
      </c>
      <c r="AY277" s="41" t="str">
        <f>IF(LEN(D277)=0,"",INDEX(Input!$1:$1048576,AY$93,$C277*2+6))</f>
        <v>Compact Conventional/Sporty Car (43)</v>
      </c>
      <c r="AZ277" s="41" t="str">
        <f>INDEX(Input!$1:$1048576,AZ$93,$C277*2+6)</f>
        <v>Kia Forte</v>
      </c>
      <c r="BA277" s="3">
        <f>INDEX(Input!$1:$1048576,BA$93,$C277*2+6)</f>
        <v>2020</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19695</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832"/>
        <v>2250</v>
      </c>
      <c r="CJ277" s="16" t="str">
        <f>INDEX(Input!$1:$1048576,CJ$93,$C277*2+6)</f>
        <v>N</v>
      </c>
      <c r="CK277" s="1" t="str">
        <f t="shared" si="833"/>
        <v>Market</v>
      </c>
      <c r="CL277" s="1" t="str">
        <f t="shared" si="834"/>
        <v>Market</v>
      </c>
      <c r="CM277" s="1" t="str">
        <f t="shared" si="835"/>
        <v>Market</v>
      </c>
      <c r="CN277" s="1" t="str">
        <f t="shared" si="836"/>
        <v>Market</v>
      </c>
      <c r="CO277" s="1" t="str">
        <f t="shared" si="837"/>
        <v>Market</v>
      </c>
      <c r="CP277" s="304">
        <f t="shared" si="838"/>
        <v>2000</v>
      </c>
      <c r="CQ277" s="1">
        <f t="shared" si="839"/>
        <v>0</v>
      </c>
      <c r="CR277" s="1">
        <f t="shared" si="840"/>
        <v>0</v>
      </c>
      <c r="CS277" s="1">
        <f t="shared" si="841"/>
        <v>0</v>
      </c>
      <c r="CT277" s="1">
        <f t="shared" si="842"/>
        <v>2.7999999999999997E-2</v>
      </c>
      <c r="CU277" s="1">
        <f t="shared" si="843"/>
        <v>3.9E-2</v>
      </c>
      <c r="CV277" s="304">
        <f t="shared" si="844"/>
        <v>1358</v>
      </c>
      <c r="CW277" s="20" t="s">
        <v>122</v>
      </c>
      <c r="CX277" s="20" t="s">
        <v>122</v>
      </c>
      <c r="CY277" s="20" t="s">
        <v>122</v>
      </c>
      <c r="CZ277" s="20" t="s">
        <v>122</v>
      </c>
      <c r="DA277" s="20" t="s">
        <v>122</v>
      </c>
      <c r="DB277" s="503">
        <f t="shared" si="845"/>
        <v>0</v>
      </c>
      <c r="DC277" s="127">
        <v>0</v>
      </c>
      <c r="DD277" s="127">
        <v>0</v>
      </c>
      <c r="DE277" s="127">
        <v>0</v>
      </c>
      <c r="DF277" s="127">
        <v>0</v>
      </c>
      <c r="DG277" s="127">
        <v>0</v>
      </c>
      <c r="DH277" s="127">
        <v>0</v>
      </c>
      <c r="DI277" s="127">
        <v>0</v>
      </c>
      <c r="DJ277" s="127">
        <v>0</v>
      </c>
      <c r="DK277" s="127">
        <v>0</v>
      </c>
      <c r="DL277" s="127">
        <v>0</v>
      </c>
      <c r="DM277" s="304">
        <f>INDEX(Input!$1:$1048576,DM$93,$C277*2+6)</f>
        <v>20731.578947368424</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3.0711335207244592E-2</v>
      </c>
      <c r="DZ277" s="7">
        <v>0</v>
      </c>
      <c r="EA277" s="7">
        <v>0.59148410162640253</v>
      </c>
      <c r="EB277" s="7">
        <v>0</v>
      </c>
      <c r="EC277" s="7">
        <v>0</v>
      </c>
      <c r="ED277" s="7">
        <v>0</v>
      </c>
      <c r="EE277" s="7">
        <v>0</v>
      </c>
      <c r="EF277" s="7">
        <v>0</v>
      </c>
      <c r="EG277" s="7">
        <v>0</v>
      </c>
      <c r="EH277" s="7">
        <v>2.2598693766752834E-2</v>
      </c>
      <c r="EI277" s="7">
        <v>3.1075236930931657E-2</v>
      </c>
      <c r="EJ277" s="7">
        <v>0.25075859036239934</v>
      </c>
      <c r="EK277" s="7">
        <v>0.50151814622460222</v>
      </c>
      <c r="EL277" s="7">
        <v>0.19404933271531352</v>
      </c>
      <c r="EM277" s="7">
        <v>8.7365861317282148E-2</v>
      </c>
      <c r="EN277" s="7">
        <v>4.9708920474498819E-2</v>
      </c>
      <c r="EO277" s="7">
        <v>0.56156222510061349</v>
      </c>
      <c r="EP277" s="7">
        <v>0.28611915445631703</v>
      </c>
      <c r="EQ277" s="7">
        <v>6.3851919486544839E-2</v>
      </c>
      <c r="ER277" s="7">
        <v>3.8757780482026098E-2</v>
      </c>
      <c r="ES277" s="7">
        <v>0.29043870184907078</v>
      </c>
      <c r="ET277" s="7">
        <v>0.37780456316635286</v>
      </c>
      <c r="EU277" s="6">
        <v>2600</v>
      </c>
      <c r="EV277" s="6">
        <v>0</v>
      </c>
      <c r="EW277" s="6">
        <v>2600</v>
      </c>
      <c r="EX277" s="6">
        <v>0</v>
      </c>
      <c r="EY277" s="6">
        <v>4275.7014791864231</v>
      </c>
      <c r="EZ277" s="6">
        <v>2111</v>
      </c>
      <c r="FA277" s="6">
        <v>0</v>
      </c>
      <c r="FB277" s="6">
        <v>0</v>
      </c>
      <c r="FC277" s="6">
        <v>0</v>
      </c>
      <c r="FD277" s="6">
        <v>0</v>
      </c>
      <c r="FE277" s="6">
        <v>0</v>
      </c>
      <c r="FF277" s="6">
        <v>0</v>
      </c>
      <c r="FG277" s="6">
        <v>0</v>
      </c>
      <c r="FH277" s="6">
        <v>1150.6913476494974</v>
      </c>
      <c r="FI277" s="6">
        <v>1531.4299904380616</v>
      </c>
      <c r="FJ277" s="6">
        <v>2070.7205842538237</v>
      </c>
      <c r="FK277" s="6">
        <v>1314.7946049255017</v>
      </c>
      <c r="FL277" s="6">
        <v>893.9143356348934</v>
      </c>
      <c r="FM277" s="6">
        <v>1425.7014791864228</v>
      </c>
      <c r="FN277" s="6">
        <v>0</v>
      </c>
      <c r="FO277" s="6">
        <v>0</v>
      </c>
      <c r="FP277" s="6">
        <v>0</v>
      </c>
      <c r="FQ277" s="6">
        <v>0</v>
      </c>
      <c r="FR277" s="6">
        <v>0</v>
      </c>
      <c r="FS277" s="6">
        <v>0</v>
      </c>
      <c r="FT277" s="7">
        <v>0.62219543683364709</v>
      </c>
      <c r="FU277" s="7">
        <v>8.7365861317282148E-2</v>
      </c>
      <c r="FV277" s="7">
        <v>0.29043870184907078</v>
      </c>
      <c r="FW277" s="6">
        <v>2600.0000000000005</v>
      </c>
      <c r="FX277" s="6">
        <v>4275.7014791864231</v>
      </c>
      <c r="FY277" s="6">
        <v>2111</v>
      </c>
      <c r="FZ277" s="6">
        <v>2594.6978186474794</v>
      </c>
      <c r="GA277" s="6">
        <v>2604.3745778355706</v>
      </c>
      <c r="GB277" s="6">
        <v>17090.62542216443</v>
      </c>
      <c r="GC277" s="7">
        <v>9.6947029492584935E-2</v>
      </c>
      <c r="GD277" s="7">
        <v>9.7571612107069508E-2</v>
      </c>
      <c r="GE277" s="7"/>
      <c r="GF277" s="7"/>
      <c r="GG277" s="7">
        <v>6.4425142034119209E-3</v>
      </c>
      <c r="GH277" s="42">
        <v>13.1123772711375</v>
      </c>
      <c r="GI277" s="6">
        <v>4106.3905428087555</v>
      </c>
      <c r="GJ277" s="14">
        <v>0.5107463060103955</v>
      </c>
      <c r="GK277" s="14">
        <v>0.50829519786160993</v>
      </c>
      <c r="GL277" s="14">
        <v>0.48925369398960428</v>
      </c>
      <c r="GM277" s="14">
        <v>0.49170480213839002</v>
      </c>
      <c r="GO277" s="5">
        <v>338.16872463277008</v>
      </c>
      <c r="GP277" s="5">
        <v>288.56568471597211</v>
      </c>
      <c r="GQ277" s="5">
        <v>527.27910984145694</v>
      </c>
      <c r="GR277" s="5">
        <v>404.20319246551543</v>
      </c>
      <c r="GS277" s="5">
        <v>334.50205195691484</v>
      </c>
      <c r="GT277" s="5">
        <v>289.18266033348181</v>
      </c>
      <c r="GU277" s="5">
        <v>254.29573314828914</v>
      </c>
      <c r="GV277" s="39" t="s">
        <v>392</v>
      </c>
      <c r="GW277" s="5">
        <v>413.20833333333331</v>
      </c>
      <c r="GX277" s="5">
        <v>309.90625</v>
      </c>
      <c r="GY277" s="5">
        <v>247.92500000000001</v>
      </c>
      <c r="GZ277" s="5">
        <v>224.68500055933538</v>
      </c>
      <c r="HA277" s="5">
        <v>202.64630440458188</v>
      </c>
      <c r="HB277" s="39">
        <v>233.14468735951971</v>
      </c>
      <c r="HC277" s="5">
        <v>190.75937499999998</v>
      </c>
      <c r="HD277" s="5">
        <v>173.28879751461983</v>
      </c>
      <c r="HE277" s="5">
        <v>178.94016109986501</v>
      </c>
      <c r="HF277" s="5">
        <v>168.88629934210525</v>
      </c>
      <c r="HG277" s="5">
        <v>167.11410087719298</v>
      </c>
      <c r="HH277" s="39">
        <v>175.25377893635223</v>
      </c>
      <c r="HI277" s="16"/>
      <c r="HJ277" s="19" t="str">
        <f t="shared" ref="HJ277:HK277" si="938">HJ276</f>
        <v>On</v>
      </c>
      <c r="HK277" s="1" t="str">
        <f t="shared" si="938"/>
        <v>On</v>
      </c>
      <c r="HL277" s="16"/>
      <c r="HM277" s="639">
        <f t="shared" si="861"/>
        <v>5.0961701597560354E-2</v>
      </c>
      <c r="HN277" s="639">
        <f t="shared" si="862"/>
        <v>3.112551654761847E-3</v>
      </c>
      <c r="HO277" s="639">
        <f t="shared" si="863"/>
        <v>3.1163314184693442E-2</v>
      </c>
      <c r="HP277" s="644">
        <f>(FT277*$GD277-HM277)/$JF277*INDEX(Input!$1:$1048576,$JG$93,$C277*2+6)</f>
        <v>183.0742445071331</v>
      </c>
      <c r="HQ277" s="644">
        <f>(FU277*$GD277-HN277)/$JF277*INDEX(Input!$1:$1048576,$JG$93,$C277*2+6)</f>
        <v>101.65017820364613</v>
      </c>
      <c r="HR277" s="644">
        <f>(FV277*$GD277-HO277)/$JF277*INDEX(Input!$1:$1048576,$JG$93,$C277*2+6)</f>
        <v>-53.056554768070804</v>
      </c>
      <c r="HS277" s="644">
        <f t="shared" si="926"/>
        <v>-29.579459781493284</v>
      </c>
      <c r="HT277" s="644">
        <f t="shared" si="865"/>
        <v>169.25838553478312</v>
      </c>
      <c r="HU277" s="644">
        <f t="shared" si="866"/>
        <v>42.773866271154418</v>
      </c>
      <c r="HV277" s="648">
        <f t="shared" si="867"/>
        <v>0</v>
      </c>
      <c r="HW277" s="648">
        <f t="shared" si="868"/>
        <v>0</v>
      </c>
      <c r="HX277" s="648">
        <f t="shared" si="869"/>
        <v>0</v>
      </c>
      <c r="HY277" s="644">
        <f>INDEX(Input!$1:$1048576,HY$93,$C277*2+6)*INDEX(Input!$1:$1048576,$JG$93,$C277*2+6)</f>
        <v>555</v>
      </c>
      <c r="HZ277" s="644">
        <f>INDEX(Input!$1:$1048576,HZ$93,$C277*2+6)*INDEX(Input!$1:$1048576,$JG$93,$C277*2+6)</f>
        <v>480</v>
      </c>
      <c r="IA277" s="644">
        <f>INDEX(Input!$1:$1048576,IA$93,$C277*2+6)*INDEX(Input!$1:$1048576,$JG$93,$C277*2+6)</f>
        <v>566</v>
      </c>
      <c r="IB277" s="644">
        <f t="shared" si="870"/>
        <v>708.49478472563987</v>
      </c>
      <c r="IC277" s="644">
        <f t="shared" si="871"/>
        <v>750.90856373842928</v>
      </c>
      <c r="ID277" s="644">
        <f>IF(AND(INDEX(Input!$1:$1048576,IA$93,$C277*2+7)="TOS",Y277&lt;=INDEX(Y:Y,MATCH(C277*1000+2,A:A))),0,1)*MAX(IA277+HR277+HU277+HX277,0%)</f>
        <v>555.71731150308369</v>
      </c>
      <c r="IE277" s="128">
        <f t="shared" si="933"/>
        <v>0.35158926152699393</v>
      </c>
      <c r="IF277" s="128">
        <f t="shared" si="934"/>
        <v>0.37263702301115281</v>
      </c>
      <c r="IG277" s="128">
        <f t="shared" si="874"/>
        <v>0.27577371546185336</v>
      </c>
      <c r="IH277" s="21"/>
      <c r="II277" s="19">
        <f t="shared" si="875"/>
        <v>1200</v>
      </c>
      <c r="IJ277" s="19">
        <f t="shared" si="876"/>
        <v>2226.7968732767699</v>
      </c>
      <c r="IK277" s="19">
        <f t="shared" si="877"/>
        <v>1786</v>
      </c>
      <c r="IL277" s="19">
        <f t="shared" si="878"/>
        <v>1400.0000000000005</v>
      </c>
      <c r="IM277" s="19">
        <f t="shared" si="879"/>
        <v>2048.9046059096531</v>
      </c>
      <c r="IN277" s="19">
        <f t="shared" si="880"/>
        <v>325</v>
      </c>
      <c r="IO277" s="39">
        <f t="shared" si="881"/>
        <v>0</v>
      </c>
      <c r="IP277" s="39">
        <f t="shared" si="882"/>
        <v>0</v>
      </c>
      <c r="IQ277" s="39">
        <f t="shared" si="883"/>
        <v>0</v>
      </c>
      <c r="IR277" s="39">
        <v>0</v>
      </c>
      <c r="IS277" s="39">
        <v>0</v>
      </c>
      <c r="IT277" s="39">
        <v>0</v>
      </c>
      <c r="IU277" s="39">
        <v>0</v>
      </c>
      <c r="IV277" s="39">
        <v>0</v>
      </c>
      <c r="IW277" s="39">
        <v>0</v>
      </c>
      <c r="IX277" s="39">
        <f>INDEX(Input!$1:$1048576,IX$93,$C277*2+6)+INDEX(Input!$1:$1048576,IX$94,$C277*2+6)</f>
        <v>1600</v>
      </c>
      <c r="IY277" s="39">
        <f>INDEX(Input!$1:$1048576,IY$93,$C277*2+6)+INDEX(Input!$1:$1048576,IY$94,$C277*2+6)</f>
        <v>2503.5492916397525</v>
      </c>
      <c r="IZ277" s="39">
        <f>INDEX(Input!$1:$1048576,IZ$93,$C277*2+6)+INDEX(Input!$1:$1048576,IZ$94,$C277*2+6)</f>
        <v>5773.7109265464023</v>
      </c>
      <c r="JA277" s="19">
        <f t="shared" si="884"/>
        <v>3000.0000000000005</v>
      </c>
      <c r="JB277" s="19">
        <f t="shared" si="885"/>
        <v>4552.4538975494052</v>
      </c>
      <c r="JC277" s="19">
        <f t="shared" si="886"/>
        <v>6098.7109265464023</v>
      </c>
      <c r="JD277" s="19">
        <f t="shared" si="887"/>
        <v>4433.0448241008162</v>
      </c>
      <c r="JE277" s="21"/>
      <c r="JF277" s="1">
        <f t="shared" si="888"/>
        <v>8.5237567437015646E-2</v>
      </c>
      <c r="JG277" s="15">
        <f>INDEX(Input!$1:$1048576,JG$93,$C277*2+6)/(1+VLOOKUP(C277*1000+INDEX(Input!$1:$1048576,JG$93+1,$C277*2+6),$A:$KK,$JK$92,FALSE))</f>
        <v>1601</v>
      </c>
      <c r="JH277" s="1">
        <f t="shared" si="889"/>
        <v>0.14470197872748808</v>
      </c>
      <c r="JI277" s="1">
        <f t="shared" si="890"/>
        <v>0.11396176890970909</v>
      </c>
      <c r="JJ277" s="1">
        <f t="shared" si="891"/>
        <v>0</v>
      </c>
      <c r="JK277" s="1">
        <f t="shared" si="892"/>
        <v>0.25866374763719718</v>
      </c>
      <c r="JL277" s="15">
        <f t="shared" si="893"/>
        <v>414.12065996715268</v>
      </c>
      <c r="JM277" s="15">
        <f t="shared" si="894"/>
        <v>2015.1206599671527</v>
      </c>
      <c r="JN277" s="21"/>
      <c r="JO277" s="19">
        <f>INDEX(Input!$1:$1048576,JO$93,$C277*2+6)</f>
        <v>5908.5</v>
      </c>
      <c r="JP277" s="19">
        <f>INDEX(Input!$1:$1048576,JP$93,$C277*2+6)</f>
        <v>3346.4235130620518</v>
      </c>
      <c r="JQ277" s="39">
        <f t="shared" si="895"/>
        <v>1475.4551758991838</v>
      </c>
      <c r="JR277" s="39">
        <f t="shared" si="896"/>
        <v>1086.6213110387644</v>
      </c>
      <c r="JS277" s="39">
        <f t="shared" si="897"/>
        <v>8.9331202116060062</v>
      </c>
      <c r="JT277" s="39">
        <f t="shared" si="898"/>
        <v>3.5754961671936623</v>
      </c>
      <c r="JU277" s="385">
        <f>(JQ277*JM277-INDEX(Input!$1:$1048576,Input!A$18,$C277*2+6)*JL277*INDEX(Input!$1:$1048576,Input!A$19,$C277*2+6))/1000000</f>
        <v>2.973220207809915</v>
      </c>
      <c r="JV277" s="39">
        <f t="shared" si="899"/>
        <v>-1.1286642477777398</v>
      </c>
      <c r="JW277" s="1">
        <f t="shared" si="900"/>
        <v>-0.27515749407330448</v>
      </c>
      <c r="JX277" s="19">
        <f t="shared" si="901"/>
        <v>8633.9478148162525</v>
      </c>
      <c r="JZ277" s="341"/>
      <c r="KA277" s="342"/>
      <c r="KB277" s="469">
        <f t="shared" si="922"/>
        <v>2.4482969984810516</v>
      </c>
      <c r="KI277" s="473">
        <f t="shared" si="902"/>
        <v>153.49478472563987</v>
      </c>
      <c r="KJ277" s="473">
        <f t="shared" si="903"/>
        <v>270.90856373842928</v>
      </c>
      <c r="KK277" s="473">
        <f t="shared" si="904"/>
        <v>-10.282688496916307</v>
      </c>
      <c r="KN277" s="544">
        <f t="shared" si="905"/>
        <v>2002</v>
      </c>
      <c r="KO277" s="541">
        <f t="shared" si="906"/>
        <v>0.1663205390300373</v>
      </c>
      <c r="KP277" s="546">
        <f t="shared" si="907"/>
        <v>966.02741492896314</v>
      </c>
      <c r="KQ277" s="546">
        <f t="shared" si="908"/>
        <v>707.44124914427766</v>
      </c>
      <c r="KR277" s="548">
        <f t="shared" si="909"/>
        <v>2.7494443535982787</v>
      </c>
      <c r="KS277" s="548">
        <f t="shared" si="910"/>
        <v>3.7544299609477521</v>
      </c>
      <c r="KT277" s="473">
        <f t="shared" si="923"/>
        <v>528.59039248727379</v>
      </c>
      <c r="KU277" s="663">
        <f t="shared" si="911"/>
        <v>12.494274124052144</v>
      </c>
    </row>
    <row r="278" spans="1:307" s="26" customFormat="1" ht="15" outlineLevel="1">
      <c r="A278" s="561">
        <f t="shared" si="915"/>
        <v>2078</v>
      </c>
      <c r="B278" s="561">
        <f t="shared" si="920"/>
        <v>78</v>
      </c>
      <c r="C278" s="561">
        <f t="shared" si="857"/>
        <v>2</v>
      </c>
      <c r="D278" s="561" t="str">
        <f t="shared" si="859"/>
        <v xml:space="preserve">500 CC, 0/2.8/3.8/3.9, 1000 Combo, </v>
      </c>
      <c r="E278" s="475">
        <f>INDEX(Input!$1:$1048576,E$93,$C278*2+MIN($B278,2)+5)
+INDEX(Scenarios!E$121:E$200,MATCH($B278,Scenarios!$B$121:$B$200,0))</f>
        <v>1750</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1000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3.7999999999999999E-2</v>
      </c>
      <c r="W278" s="863">
        <f>IFERROR(MAX(0,INDEX(Input!$1:$1048576,W$93,$C278*2+MIN($B278,2)+5)-0%,),"Market")</f>
        <v>3.9E-2</v>
      </c>
      <c r="X278" s="476" t="str">
        <f>INDEX(Input!$1:$1048576,X$93,$C278*2+MIN($B278,2)+5)</f>
        <v>Y</v>
      </c>
      <c r="Y278" s="475">
        <f>INDEX(Input!$1:$1048576,Y$93,$C278*2+MIN($B278,2)+5)
++INDEX(Scenarios!Y$121:Y$200,MATCH($B278,Scenarios!$B$121:$B$200,0))</f>
        <v>1358</v>
      </c>
      <c r="Z278" s="477">
        <f>INDEX(Input!$1:$1048576,Z$93,$C278*2+MIN($B278,2)+5)
+INDEX(Scenarios!Z$121:Z$200,MATCH($B278,Scenarios!$B$121:$B$200,0))</f>
        <v>0</v>
      </c>
      <c r="AA278" s="475">
        <f>INDEX(Input!$1:$1048576,AA$93,$C278*2+MIN($B278,2)+5)</f>
        <v>0</v>
      </c>
      <c r="AB278" s="476">
        <f>INDEX(Input!$1:$1048576,AB$93,$C278*2+MIN($B278,2)+5)</f>
        <v>1</v>
      </c>
      <c r="AC278" s="475">
        <f>INDEX(Input!$1:$1048576,AC$93,$C278*2+MIN($B278,2)+5)
+INDEX(Scenarios!AC$121:AC$200,MATCH($B278,Scenarios!$B$121:$B$200,0))</f>
        <v>0</v>
      </c>
      <c r="AD278" s="476">
        <f>INDEX(Input!$1:$1048576,AD$93,$C278*2+MIN($B278,2)+5)</f>
        <v>0.35</v>
      </c>
      <c r="AE278" s="475">
        <f>INDEX(Input!$1:$1048576,AE$93,$C278*2+MIN($B278,2)+5)
+INDEX(Scenarios!AE$121:AE$200,MATCH($B278,Scenarios!$B$121:$B$200,0))</f>
        <v>0</v>
      </c>
      <c r="AF278" s="476">
        <f>INDEX(Input!$1:$1048576,AF$93,$C278*2+MIN($B278,2)+5)</f>
        <v>1</v>
      </c>
      <c r="AG278" s="475">
        <f>INDEX(Input!$1:$1048576,AG$93,$C278*2+MIN($B278,2)+5)
+INDEX(Scenarios!AG$121:AG$200,MATCH($B278,Scenarios!$B$121:$B$200,0))</f>
        <v>0</v>
      </c>
      <c r="AH278" s="476">
        <f>INDEX(Input!$1:$1048576,AH$93,$C278*2+MIN($B278,2)+5)</f>
        <v>1</v>
      </c>
      <c r="AI278" s="475">
        <f>INDEX(Input!$1:$1048576,AI$93,$C278*2+MIN($B278,2)+5)
+INDEX(Scenarios!AI$121:AI$200,MATCH($B278,Scenarios!$B$121:$B$200,0))</f>
        <v>0</v>
      </c>
      <c r="AJ278" s="476">
        <f>INDEX(Input!$1:$1048576,AJ$93,$C278*2+MIN($B278,2)+5)</f>
        <v>0.35</v>
      </c>
      <c r="AK278" s="150">
        <f>ROUND(INDEX(Input!$1:$1048576,AK$93,$C277*2+MIN($B278,1)+5)+(Y278-VLOOKUP($C278*1000+1,$A:$HH,Y$92,FALSE)),0)</f>
        <v>4982</v>
      </c>
      <c r="AL278" s="150">
        <f>ROUND(INDEX(Input!$1:$1048576,AL$93,$C277*2+MIN($B278,1)+5)-(Y278-VLOOKUP($C278*1000+1,$A:$HH,Y$92,FALSE))/36,0)</f>
        <v>5102</v>
      </c>
      <c r="AM278" s="32" t="str">
        <f t="shared" si="916"/>
        <v>std/std/std/std</v>
      </c>
      <c r="AN278" s="32" t="str">
        <f t="shared" si="917"/>
        <v>$1000 + 0/0/0/3.8/3.9</v>
      </c>
      <c r="AO278" s="32" t="str">
        <f t="shared" si="918"/>
        <v>0/0/0/3.8/3.9</v>
      </c>
      <c r="AP278" s="32" t="str">
        <f t="shared" si="831"/>
        <v>0/2.8/3.8/3.9</v>
      </c>
      <c r="AQ278" s="536">
        <f t="shared" si="830"/>
        <v>0.37546474517379014</v>
      </c>
      <c r="AR278" s="32"/>
      <c r="AS278" s="302"/>
      <c r="AT278" s="3">
        <f t="shared" si="810"/>
        <v>78</v>
      </c>
      <c r="AU278" s="41" t="s">
        <v>121</v>
      </c>
      <c r="AV278" s="41" t="s">
        <v>116</v>
      </c>
      <c r="AW278" s="41" t="str">
        <f>INDEX(Input!$1:$1048576,AW$93,$C278*2+6)</f>
        <v>Kia</v>
      </c>
      <c r="AX278" s="41" t="str">
        <f>INDEX(Input!$1:$1048576,AX$93,$C278*2+6)</f>
        <v>Kia-LR - L2</v>
      </c>
      <c r="AY278" s="41" t="str">
        <f>IF(LEN(D278)=0,"",INDEX(Input!$1:$1048576,AY$93,$C278*2+6))</f>
        <v>Compact Conventional/Sporty Car (43)</v>
      </c>
      <c r="AZ278" s="41" t="str">
        <f>INDEX(Input!$1:$1048576,AZ$93,$C278*2+6)</f>
        <v>Kia Forte</v>
      </c>
      <c r="BA278" s="3">
        <f>INDEX(Input!$1:$1048576,BA$93,$C278*2+6)</f>
        <v>2020</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19695</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832"/>
        <v>1750</v>
      </c>
      <c r="CJ278" s="16" t="str">
        <f>INDEX(Input!$1:$1048576,CJ$93,$C278*2+6)</f>
        <v>N</v>
      </c>
      <c r="CK278" s="1" t="str">
        <f t="shared" si="833"/>
        <v>Market</v>
      </c>
      <c r="CL278" s="1" t="str">
        <f t="shared" si="834"/>
        <v>Market</v>
      </c>
      <c r="CM278" s="1" t="str">
        <f t="shared" si="835"/>
        <v>Market</v>
      </c>
      <c r="CN278" s="1" t="str">
        <f t="shared" si="836"/>
        <v>Market</v>
      </c>
      <c r="CO278" s="1" t="str">
        <f t="shared" si="837"/>
        <v>Market</v>
      </c>
      <c r="CP278" s="304">
        <f t="shared" si="838"/>
        <v>1000</v>
      </c>
      <c r="CQ278" s="1">
        <f t="shared" si="839"/>
        <v>0</v>
      </c>
      <c r="CR278" s="1">
        <f t="shared" si="840"/>
        <v>0</v>
      </c>
      <c r="CS278" s="1">
        <f t="shared" si="841"/>
        <v>0</v>
      </c>
      <c r="CT278" s="1">
        <f t="shared" si="842"/>
        <v>3.7999999999999999E-2</v>
      </c>
      <c r="CU278" s="1">
        <f t="shared" si="843"/>
        <v>3.9E-2</v>
      </c>
      <c r="CV278" s="304">
        <f t="shared" si="844"/>
        <v>1358</v>
      </c>
      <c r="CW278" s="20" t="s">
        <v>122</v>
      </c>
      <c r="CX278" s="20" t="s">
        <v>122</v>
      </c>
      <c r="CY278" s="20" t="s">
        <v>122</v>
      </c>
      <c r="CZ278" s="20" t="s">
        <v>122</v>
      </c>
      <c r="DA278" s="20" t="s">
        <v>122</v>
      </c>
      <c r="DB278" s="503">
        <f t="shared" si="845"/>
        <v>0</v>
      </c>
      <c r="DC278" s="127">
        <v>0</v>
      </c>
      <c r="DD278" s="127">
        <v>0</v>
      </c>
      <c r="DE278" s="127">
        <v>0</v>
      </c>
      <c r="DF278" s="127">
        <v>0</v>
      </c>
      <c r="DG278" s="127">
        <v>0</v>
      </c>
      <c r="DH278" s="127">
        <v>0</v>
      </c>
      <c r="DI278" s="127">
        <v>0</v>
      </c>
      <c r="DJ278" s="127">
        <v>0</v>
      </c>
      <c r="DK278" s="127">
        <v>0</v>
      </c>
      <c r="DL278" s="127">
        <v>0</v>
      </c>
      <c r="DM278" s="304">
        <f>INDEX(Input!$1:$1048576,DM$93,$C278*2+6)</f>
        <v>20731.578947368424</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3.0242242885892674E-2</v>
      </c>
      <c r="DZ278" s="7">
        <v>0</v>
      </c>
      <c r="EA278" s="7">
        <v>0.61049661792171339</v>
      </c>
      <c r="EB278" s="7">
        <v>0</v>
      </c>
      <c r="EC278" s="7">
        <v>0</v>
      </c>
      <c r="ED278" s="7">
        <v>0</v>
      </c>
      <c r="EE278" s="7">
        <v>0</v>
      </c>
      <c r="EF278" s="7">
        <v>0</v>
      </c>
      <c r="EG278" s="7">
        <v>0</v>
      </c>
      <c r="EH278" s="7">
        <v>2.7391023048792852E-2</v>
      </c>
      <c r="EI278" s="7">
        <v>4.4743299921676277E-2</v>
      </c>
      <c r="EJ278" s="7">
        <v>0.44927243306276476</v>
      </c>
      <c r="EK278" s="7">
        <v>0.3975749125783547</v>
      </c>
      <c r="EL278" s="7">
        <v>8.1018331388411316E-2</v>
      </c>
      <c r="EM278" s="7">
        <v>2.6887608927858381E-2</v>
      </c>
      <c r="EN278" s="7">
        <v>4.9724424734857796E-2</v>
      </c>
      <c r="EO278" s="7">
        <v>0.56162843097922699</v>
      </c>
      <c r="EP278" s="7">
        <v>0.28604567910090145</v>
      </c>
      <c r="EQ278" s="7">
        <v>6.3868823128999816E-2</v>
      </c>
      <c r="ER278" s="7">
        <v>3.8732642056013594E-2</v>
      </c>
      <c r="ES278" s="7">
        <v>0.33237353026453553</v>
      </c>
      <c r="ET278" s="7">
        <v>0.359261139192394</v>
      </c>
      <c r="EU278" s="6">
        <v>2100</v>
      </c>
      <c r="EV278" s="6">
        <v>0</v>
      </c>
      <c r="EW278" s="6">
        <v>2100</v>
      </c>
      <c r="EX278" s="6">
        <v>0</v>
      </c>
      <c r="EY278" s="6">
        <v>3281.3028095617101</v>
      </c>
      <c r="EZ278" s="6">
        <v>2111</v>
      </c>
      <c r="FA278" s="6">
        <v>0</v>
      </c>
      <c r="FB278" s="6">
        <v>0</v>
      </c>
      <c r="FC278" s="6">
        <v>0</v>
      </c>
      <c r="FD278" s="6">
        <v>0</v>
      </c>
      <c r="FE278" s="6">
        <v>0</v>
      </c>
      <c r="FF278" s="6">
        <v>0</v>
      </c>
      <c r="FG278" s="6">
        <v>0</v>
      </c>
      <c r="FH278" s="6">
        <v>1154.776185182775</v>
      </c>
      <c r="FI278" s="6">
        <v>1531.4299904380632</v>
      </c>
      <c r="FJ278" s="6">
        <v>2070.7205842538206</v>
      </c>
      <c r="FK278" s="6">
        <v>826.03289024944377</v>
      </c>
      <c r="FL278" s="6">
        <v>893.91433563489352</v>
      </c>
      <c r="FM278" s="6">
        <v>1431.3028095617101</v>
      </c>
      <c r="FN278" s="6">
        <v>0</v>
      </c>
      <c r="FO278" s="6">
        <v>0</v>
      </c>
      <c r="FP278" s="6">
        <v>0</v>
      </c>
      <c r="FQ278" s="6">
        <v>0</v>
      </c>
      <c r="FR278" s="6">
        <v>0</v>
      </c>
      <c r="FS278" s="6">
        <v>0</v>
      </c>
      <c r="FT278" s="7">
        <v>0.64073886080760611</v>
      </c>
      <c r="FU278" s="7">
        <v>2.6887608927858381E-2</v>
      </c>
      <c r="FV278" s="7">
        <v>0.33237353026453553</v>
      </c>
      <c r="FW278" s="6">
        <v>2100</v>
      </c>
      <c r="FX278" s="6">
        <v>3281.3028095617101</v>
      </c>
      <c r="FY278" s="6">
        <v>2111</v>
      </c>
      <c r="FZ278" s="6">
        <v>2594.6978186474794</v>
      </c>
      <c r="GA278" s="6">
        <v>2135.4185168017857</v>
      </c>
      <c r="GB278" s="6">
        <v>17559.581483198213</v>
      </c>
      <c r="GC278" s="7">
        <v>9.6947029492584935E-2</v>
      </c>
      <c r="GD278" s="7">
        <v>9.2222790615724623E-2</v>
      </c>
      <c r="GE278" s="7"/>
      <c r="GF278" s="7"/>
      <c r="GG278" s="7">
        <v>-4.8730104486818228E-2</v>
      </c>
      <c r="GH278" s="42">
        <v>2.0896639670261763</v>
      </c>
      <c r="GI278" s="6">
        <v>11560.378850509487</v>
      </c>
      <c r="GJ278" s="14">
        <v>0.51074630601039528</v>
      </c>
      <c r="GK278" s="14">
        <v>0.5082951978616097</v>
      </c>
      <c r="GL278" s="14">
        <v>0.48925369398960428</v>
      </c>
      <c r="GM278" s="14">
        <v>0.49170480213839002</v>
      </c>
      <c r="GO278" s="5">
        <v>338.16872463277008</v>
      </c>
      <c r="GP278" s="5">
        <v>298.1047308538179</v>
      </c>
      <c r="GQ278" s="5">
        <v>527.27910984145694</v>
      </c>
      <c r="GR278" s="5">
        <v>404.20319246551543</v>
      </c>
      <c r="GS278" s="5">
        <v>334.50205195691484</v>
      </c>
      <c r="GT278" s="5">
        <v>289.18266033348181</v>
      </c>
      <c r="GU278" s="5">
        <v>254.29573314828914</v>
      </c>
      <c r="GV278" s="39" t="s">
        <v>392</v>
      </c>
      <c r="GW278" s="5">
        <v>440.98611111111109</v>
      </c>
      <c r="GX278" s="5">
        <v>330.73958333333331</v>
      </c>
      <c r="GY278" s="5">
        <v>264.59166666666664</v>
      </c>
      <c r="GZ278" s="5">
        <v>246.93103803700129</v>
      </c>
      <c r="HA278" s="5">
        <v>216.26912746293837</v>
      </c>
      <c r="HB278" s="39">
        <v>261.44653265647901</v>
      </c>
      <c r="HC278" s="5">
        <v>190.75937499999998</v>
      </c>
      <c r="HD278" s="5">
        <v>173.28879751461983</v>
      </c>
      <c r="HE278" s="5">
        <v>178.94016109986501</v>
      </c>
      <c r="HF278" s="5">
        <v>168.88629934210525</v>
      </c>
      <c r="HG278" s="5">
        <v>167.11410087719298</v>
      </c>
      <c r="HH278" s="39">
        <v>175.2537153726856</v>
      </c>
      <c r="HI278" s="16"/>
      <c r="HJ278" s="19" t="str">
        <f t="shared" ref="HJ278:HK278" si="939">HJ277</f>
        <v>On</v>
      </c>
      <c r="HK278" s="1" t="str">
        <f t="shared" si="939"/>
        <v>On</v>
      </c>
      <c r="HL278" s="16"/>
      <c r="HM278" s="639">
        <f t="shared" si="861"/>
        <v>5.0961701597560354E-2</v>
      </c>
      <c r="HN278" s="639">
        <f t="shared" si="862"/>
        <v>3.112551654761847E-3</v>
      </c>
      <c r="HO278" s="639">
        <f t="shared" si="863"/>
        <v>3.1163314184693442E-2</v>
      </c>
      <c r="HP278" s="644">
        <f>(FT278*$GD278-HM278)/$JF278*INDEX(Input!$1:$1048576,$JG$93,$C278*2+6)</f>
        <v>152.68581845804979</v>
      </c>
      <c r="HQ278" s="644">
        <f>(FU278*$GD278-HN278)/$JF278*INDEX(Input!$1:$1048576,$JG$93,$C278*2+6)</f>
        <v>-11.887657685631957</v>
      </c>
      <c r="HR278" s="644">
        <f>(FV278*$GD278-HO278)/$JF278*INDEX(Input!$1:$1048576,$JG$93,$C278*2+6)</f>
        <v>-9.5961257380797385</v>
      </c>
      <c r="HS278" s="644">
        <f t="shared" si="926"/>
        <v>-18.83659008142018</v>
      </c>
      <c r="HT278" s="644">
        <f t="shared" si="865"/>
        <v>85.02086231247371</v>
      </c>
      <c r="HU278" s="644">
        <f t="shared" si="866"/>
        <v>36.271239764181679</v>
      </c>
      <c r="HV278" s="648">
        <f t="shared" si="867"/>
        <v>0</v>
      </c>
      <c r="HW278" s="648">
        <f t="shared" si="868"/>
        <v>0</v>
      </c>
      <c r="HX278" s="648">
        <f t="shared" si="869"/>
        <v>0</v>
      </c>
      <c r="HY278" s="644">
        <f>INDEX(Input!$1:$1048576,HY$93,$C278*2+6)*INDEX(Input!$1:$1048576,$JG$93,$C278*2+6)</f>
        <v>555</v>
      </c>
      <c r="HZ278" s="644">
        <f>INDEX(Input!$1:$1048576,HZ$93,$C278*2+6)*INDEX(Input!$1:$1048576,$JG$93,$C278*2+6)</f>
        <v>480</v>
      </c>
      <c r="IA278" s="644">
        <f>INDEX(Input!$1:$1048576,IA$93,$C278*2+6)*INDEX(Input!$1:$1048576,$JG$93,$C278*2+6)</f>
        <v>566</v>
      </c>
      <c r="IB278" s="644">
        <f t="shared" si="870"/>
        <v>688.84922837662975</v>
      </c>
      <c r="IC278" s="644">
        <f t="shared" si="871"/>
        <v>553.1332046268418</v>
      </c>
      <c r="ID278" s="644">
        <f>IF(AND(INDEX(Input!$1:$1048576,IA$93,$C278*2+7)="TOS",Y278&lt;=INDEX(Y:Y,MATCH(C278*1000+2,A:A))),0,1)*MAX(IA278+HR278+HU278+HX278,0%)</f>
        <v>592.67511402610194</v>
      </c>
      <c r="IE278" s="128">
        <f t="shared" si="933"/>
        <v>0.37546474517379014</v>
      </c>
      <c r="IF278" s="128">
        <f t="shared" si="934"/>
        <v>0.30149125406122762</v>
      </c>
      <c r="IG278" s="128">
        <f t="shared" si="874"/>
        <v>0.32304400076498219</v>
      </c>
      <c r="IH278" s="21"/>
      <c r="II278" s="19">
        <f t="shared" si="875"/>
        <v>1200</v>
      </c>
      <c r="IJ278" s="19">
        <f t="shared" si="876"/>
        <v>2226.7968732767699</v>
      </c>
      <c r="IK278" s="19">
        <f t="shared" si="877"/>
        <v>1786</v>
      </c>
      <c r="IL278" s="19">
        <f t="shared" si="878"/>
        <v>900</v>
      </c>
      <c r="IM278" s="19">
        <f t="shared" si="879"/>
        <v>1054.5059362849402</v>
      </c>
      <c r="IN278" s="19">
        <f t="shared" si="880"/>
        <v>325</v>
      </c>
      <c r="IO278" s="39">
        <f t="shared" si="881"/>
        <v>0</v>
      </c>
      <c r="IP278" s="39">
        <f t="shared" si="882"/>
        <v>0</v>
      </c>
      <c r="IQ278" s="39">
        <f t="shared" si="883"/>
        <v>0</v>
      </c>
      <c r="IR278" s="39">
        <v>0</v>
      </c>
      <c r="IS278" s="39">
        <v>0</v>
      </c>
      <c r="IT278" s="39">
        <v>0</v>
      </c>
      <c r="IU278" s="39">
        <v>0</v>
      </c>
      <c r="IV278" s="39">
        <v>0</v>
      </c>
      <c r="IW278" s="39">
        <v>0</v>
      </c>
      <c r="IX278" s="39">
        <f>INDEX(Input!$1:$1048576,IX$93,$C278*2+6)+INDEX(Input!$1:$1048576,IX$94,$C278*2+6)</f>
        <v>1600</v>
      </c>
      <c r="IY278" s="39">
        <f>INDEX(Input!$1:$1048576,IY$93,$C278*2+6)+INDEX(Input!$1:$1048576,IY$94,$C278*2+6)</f>
        <v>2503.5492916397525</v>
      </c>
      <c r="IZ278" s="39">
        <f>INDEX(Input!$1:$1048576,IZ$93,$C278*2+6)+INDEX(Input!$1:$1048576,IZ$94,$C278*2+6)</f>
        <v>5773.7109265464023</v>
      </c>
      <c r="JA278" s="19">
        <f t="shared" si="884"/>
        <v>2500</v>
      </c>
      <c r="JB278" s="19">
        <f t="shared" si="885"/>
        <v>3558.0552279246926</v>
      </c>
      <c r="JC278" s="19">
        <f t="shared" si="886"/>
        <v>6098.7109265464023</v>
      </c>
      <c r="JD278" s="19">
        <f t="shared" si="887"/>
        <v>3981.536372841259</v>
      </c>
      <c r="JE278" s="21"/>
      <c r="JF278" s="1">
        <f t="shared" si="888"/>
        <v>8.5237567437015646E-2</v>
      </c>
      <c r="JG278" s="15">
        <f>INDEX(Input!$1:$1048576,JG$93,$C278*2+6)/(1+VLOOKUP(C278*1000+INDEX(Input!$1:$1048576,JG$93+1,$C278*2+6),$A:$KK,$JK$92,FALSE))</f>
        <v>1601</v>
      </c>
      <c r="JH278" s="1">
        <f t="shared" si="889"/>
        <v>8.1950053113265531E-2</v>
      </c>
      <c r="JI278" s="1">
        <f t="shared" si="890"/>
        <v>6.3994698310577899E-2</v>
      </c>
      <c r="JJ278" s="1">
        <f t="shared" si="891"/>
        <v>0</v>
      </c>
      <c r="JK278" s="1">
        <f t="shared" si="892"/>
        <v>0.14594475142384344</v>
      </c>
      <c r="JL278" s="15">
        <f t="shared" si="893"/>
        <v>233.65754702957335</v>
      </c>
      <c r="JM278" s="15">
        <f t="shared" si="894"/>
        <v>1834.6575470295734</v>
      </c>
      <c r="JN278" s="21"/>
      <c r="JO278" s="19">
        <f>INDEX(Input!$1:$1048576,JO$93,$C278*2+6)</f>
        <v>5908.5</v>
      </c>
      <c r="JP278" s="19">
        <f>INDEX(Input!$1:$1048576,JP$93,$C278*2+6)</f>
        <v>3346.4235130620518</v>
      </c>
      <c r="JQ278" s="39">
        <f t="shared" si="895"/>
        <v>1926.963627158741</v>
      </c>
      <c r="JR278" s="39">
        <f t="shared" si="896"/>
        <v>635.11285977920716</v>
      </c>
      <c r="JS278" s="39">
        <f t="shared" si="897"/>
        <v>7.304755755205969</v>
      </c>
      <c r="JT278" s="39">
        <f t="shared" si="898"/>
        <v>1.9471317107936246</v>
      </c>
      <c r="JU278" s="385">
        <f>(JQ278*JM278-INDEX(Input!$1:$1048576,Input!A$18,$C278*2+6)*JL278*INDEX(Input!$1:$1048576,Input!A$19,$C278*2+6))/1000000</f>
        <v>3.5353183614182653</v>
      </c>
      <c r="JV278" s="39">
        <f t="shared" si="899"/>
        <v>-0.56656609416938952</v>
      </c>
      <c r="JW278" s="1">
        <f t="shared" si="900"/>
        <v>-0.13812336751650911</v>
      </c>
      <c r="JX278" s="19">
        <f t="shared" si="901"/>
        <v>8333.271214848377</v>
      </c>
      <c r="JZ278" s="341"/>
      <c r="KA278" s="342"/>
      <c r="KB278" s="469">
        <f t="shared" si="922"/>
        <v>2.4482969984810516</v>
      </c>
      <c r="KI278" s="473">
        <f t="shared" si="902"/>
        <v>133.84922837662964</v>
      </c>
      <c r="KJ278" s="473">
        <f t="shared" si="903"/>
        <v>73.133204626841803</v>
      </c>
      <c r="KK278" s="473">
        <f t="shared" si="904"/>
        <v>26.675114026101824</v>
      </c>
      <c r="KN278" s="544">
        <f t="shared" si="905"/>
        <v>2002</v>
      </c>
      <c r="KO278" s="541">
        <f t="shared" si="906"/>
        <v>6.1871292224227048E-2</v>
      </c>
      <c r="KP278" s="546">
        <f t="shared" si="907"/>
        <v>385.05634486184647</v>
      </c>
      <c r="KQ278" s="546">
        <f t="shared" si="908"/>
        <v>255.93279788472046</v>
      </c>
      <c r="KR278" s="548">
        <f t="shared" si="909"/>
        <v>2.5659808130492956</v>
      </c>
      <c r="KS278" s="548">
        <f t="shared" si="910"/>
        <v>3.8605727793568518</v>
      </c>
      <c r="KT278" s="473">
        <f t="shared" si="923"/>
        <v>528.59039248727379</v>
      </c>
      <c r="KU278" s="663">
        <f t="shared" si="911"/>
        <v>12.222338621457268</v>
      </c>
    </row>
    <row r="279" spans="1:307" s="26" customFormat="1" ht="15" outlineLevel="1">
      <c r="A279" s="561">
        <f t="shared" si="915"/>
        <v>2079</v>
      </c>
      <c r="B279" s="561">
        <f t="shared" si="920"/>
        <v>79</v>
      </c>
      <c r="C279" s="561">
        <f t="shared" si="857"/>
        <v>2</v>
      </c>
      <c r="D279" s="561" t="str">
        <f t="shared" si="859"/>
        <v xml:space="preserve">750 CC, 0/2.8/3.8/3.9, 1500 Combo, </v>
      </c>
      <c r="E279" s="475">
        <f>INDEX(Input!$1:$1048576,E$93,$C279*2+MIN($B279,2)+5)
+INDEX(Scenarios!E$121:E$200,MATCH($B279,Scenarios!$B$121:$B$200,0))</f>
        <v>2000</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1500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0</v>
      </c>
      <c r="V279" s="478">
        <f>IFERROR(MAX(0,INDEX(Input!$1:$1048576,V$93,$C279*2+MIN($B279,2)+5)
+INDEX(Scenarios!V$121:V$200,MATCH($B279,Scenarios!$B$121:$B$200,0)),),"Market")</f>
        <v>3.7999999999999999E-2</v>
      </c>
      <c r="W279" s="863">
        <f>IFERROR(MAX(0,INDEX(Input!$1:$1048576,W$93,$C279*2+MIN($B279,2)+5)-0%,),"Market")</f>
        <v>3.9E-2</v>
      </c>
      <c r="X279" s="476" t="str">
        <f>INDEX(Input!$1:$1048576,X$93,$C279*2+MIN($B279,2)+5)</f>
        <v>Y</v>
      </c>
      <c r="Y279" s="475">
        <f>INDEX(Input!$1:$1048576,Y$93,$C279*2+MIN($B279,2)+5)
++INDEX(Scenarios!Y$121:Y$200,MATCH($B279,Scenarios!$B$121:$B$200,0))</f>
        <v>1358</v>
      </c>
      <c r="Z279" s="477">
        <f>INDEX(Input!$1:$1048576,Z$93,$C279*2+MIN($B279,2)+5)
+INDEX(Scenarios!Z$121:Z$200,MATCH($B279,Scenarios!$B$121:$B$200,0))</f>
        <v>0</v>
      </c>
      <c r="AA279" s="475">
        <f>INDEX(Input!$1:$1048576,AA$93,$C279*2+MIN($B279,2)+5)</f>
        <v>0</v>
      </c>
      <c r="AB279" s="476">
        <f>INDEX(Input!$1:$1048576,AB$93,$C279*2+MIN($B279,2)+5)</f>
        <v>1</v>
      </c>
      <c r="AC279" s="475">
        <f>INDEX(Input!$1:$1048576,AC$93,$C279*2+MIN($B279,2)+5)
+INDEX(Scenarios!AC$121:AC$200,MATCH($B279,Scenarios!$B$121:$B$200,0))</f>
        <v>0</v>
      </c>
      <c r="AD279" s="476">
        <f>INDEX(Input!$1:$1048576,AD$93,$C279*2+MIN($B279,2)+5)</f>
        <v>0.35</v>
      </c>
      <c r="AE279" s="475">
        <f>INDEX(Input!$1:$1048576,AE$93,$C279*2+MIN($B279,2)+5)
+INDEX(Scenarios!AE$121:AE$200,MATCH($B279,Scenarios!$B$121:$B$200,0))</f>
        <v>0</v>
      </c>
      <c r="AF279" s="476">
        <f>INDEX(Input!$1:$1048576,AF$93,$C279*2+MIN($B279,2)+5)</f>
        <v>1</v>
      </c>
      <c r="AG279" s="475">
        <f>INDEX(Input!$1:$1048576,AG$93,$C279*2+MIN($B279,2)+5)
+INDEX(Scenarios!AG$121:AG$200,MATCH($B279,Scenarios!$B$121:$B$200,0))</f>
        <v>0</v>
      </c>
      <c r="AH279" s="476">
        <f>INDEX(Input!$1:$1048576,AH$93,$C279*2+MIN($B279,2)+5)</f>
        <v>1</v>
      </c>
      <c r="AI279" s="475">
        <f>INDEX(Input!$1:$1048576,AI$93,$C279*2+MIN($B279,2)+5)
+INDEX(Scenarios!AI$121:AI$200,MATCH($B279,Scenarios!$B$121:$B$200,0))</f>
        <v>0</v>
      </c>
      <c r="AJ279" s="476">
        <f>INDEX(Input!$1:$1048576,AJ$93,$C279*2+MIN($B279,2)+5)</f>
        <v>0.35</v>
      </c>
      <c r="AK279" s="150">
        <f>ROUND(INDEX(Input!$1:$1048576,AK$93,$C278*2+MIN($B279,1)+5)+(Y279-VLOOKUP($C279*1000+1,$A:$HH,Y$92,FALSE)),0)</f>
        <v>4982</v>
      </c>
      <c r="AL279" s="150">
        <f>ROUND(INDEX(Input!$1:$1048576,AL$93,$C278*2+MIN($B279,1)+5)-(Y279-VLOOKUP($C279*1000+1,$A:$HH,Y$92,FALSE))/36,0)</f>
        <v>5102</v>
      </c>
      <c r="AM279" s="32" t="str">
        <f t="shared" si="916"/>
        <v>std/std/std/std</v>
      </c>
      <c r="AN279" s="32" t="str">
        <f t="shared" si="917"/>
        <v>$1500 + 0/0/0/3.8/3.9</v>
      </c>
      <c r="AO279" s="32" t="str">
        <f t="shared" si="918"/>
        <v>0/0/0/3.8/3.9</v>
      </c>
      <c r="AP279" s="32" t="str">
        <f t="shared" si="831"/>
        <v>0/2.8/3.8/3.9</v>
      </c>
      <c r="AQ279" s="536">
        <f t="shared" si="830"/>
        <v>0.38235760970937149</v>
      </c>
      <c r="AR279" s="32"/>
      <c r="AS279" s="302"/>
      <c r="AT279" s="3">
        <f t="shared" si="810"/>
        <v>79</v>
      </c>
      <c r="AU279" s="41" t="s">
        <v>121</v>
      </c>
      <c r="AV279" s="41" t="s">
        <v>116</v>
      </c>
      <c r="AW279" s="41" t="str">
        <f>INDEX(Input!$1:$1048576,AW$93,$C279*2+6)</f>
        <v>Kia</v>
      </c>
      <c r="AX279" s="41" t="str">
        <f>INDEX(Input!$1:$1048576,AX$93,$C279*2+6)</f>
        <v>Kia-LR - L2</v>
      </c>
      <c r="AY279" s="41" t="str">
        <f>IF(LEN(D279)=0,"",INDEX(Input!$1:$1048576,AY$93,$C279*2+6))</f>
        <v>Compact Conventional/Sporty Car (43)</v>
      </c>
      <c r="AZ279" s="41" t="str">
        <f>INDEX(Input!$1:$1048576,AZ$93,$C279*2+6)</f>
        <v>Kia Forte</v>
      </c>
      <c r="BA279" s="3">
        <f>INDEX(Input!$1:$1048576,BA$93,$C279*2+6)</f>
        <v>2020</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19695</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832"/>
        <v>2000</v>
      </c>
      <c r="CJ279" s="16" t="str">
        <f>INDEX(Input!$1:$1048576,CJ$93,$C279*2+6)</f>
        <v>N</v>
      </c>
      <c r="CK279" s="1" t="str">
        <f t="shared" si="833"/>
        <v>Market</v>
      </c>
      <c r="CL279" s="1" t="str">
        <f t="shared" si="834"/>
        <v>Market</v>
      </c>
      <c r="CM279" s="1" t="str">
        <f t="shared" si="835"/>
        <v>Market</v>
      </c>
      <c r="CN279" s="1" t="str">
        <f t="shared" si="836"/>
        <v>Market</v>
      </c>
      <c r="CO279" s="1" t="str">
        <f t="shared" si="837"/>
        <v>Market</v>
      </c>
      <c r="CP279" s="304">
        <f t="shared" si="838"/>
        <v>1500</v>
      </c>
      <c r="CQ279" s="1">
        <f t="shared" si="839"/>
        <v>0</v>
      </c>
      <c r="CR279" s="1">
        <f t="shared" si="840"/>
        <v>0</v>
      </c>
      <c r="CS279" s="1">
        <f t="shared" si="841"/>
        <v>0</v>
      </c>
      <c r="CT279" s="1">
        <f t="shared" si="842"/>
        <v>3.7999999999999999E-2</v>
      </c>
      <c r="CU279" s="1">
        <f t="shared" si="843"/>
        <v>3.9E-2</v>
      </c>
      <c r="CV279" s="304">
        <f t="shared" si="844"/>
        <v>1358</v>
      </c>
      <c r="CW279" s="20" t="s">
        <v>122</v>
      </c>
      <c r="CX279" s="20" t="s">
        <v>122</v>
      </c>
      <c r="CY279" s="20" t="s">
        <v>122</v>
      </c>
      <c r="CZ279" s="20" t="s">
        <v>122</v>
      </c>
      <c r="DA279" s="20" t="s">
        <v>122</v>
      </c>
      <c r="DB279" s="503">
        <f t="shared" si="845"/>
        <v>0</v>
      </c>
      <c r="DC279" s="127">
        <v>0</v>
      </c>
      <c r="DD279" s="127">
        <v>0</v>
      </c>
      <c r="DE279" s="127">
        <v>0</v>
      </c>
      <c r="DF279" s="127">
        <v>0</v>
      </c>
      <c r="DG279" s="127">
        <v>0</v>
      </c>
      <c r="DH279" s="127">
        <v>0</v>
      </c>
      <c r="DI279" s="127">
        <v>0</v>
      </c>
      <c r="DJ279" s="127">
        <v>0</v>
      </c>
      <c r="DK279" s="127">
        <v>0</v>
      </c>
      <c r="DL279" s="127">
        <v>0</v>
      </c>
      <c r="DM279" s="304">
        <f>INDEX(Input!$1:$1048576,DM$93,$C279*2+6)</f>
        <v>20731.578947368424</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3.1025834332973703E-2</v>
      </c>
      <c r="DZ279" s="7">
        <v>0</v>
      </c>
      <c r="EA279" s="7">
        <v>0.62324528147842717</v>
      </c>
      <c r="EB279" s="7">
        <v>0</v>
      </c>
      <c r="EC279" s="7">
        <v>0</v>
      </c>
      <c r="ED279" s="7">
        <v>0</v>
      </c>
      <c r="EE279" s="7">
        <v>0</v>
      </c>
      <c r="EF279" s="7">
        <v>0</v>
      </c>
      <c r="EG279" s="7">
        <v>0</v>
      </c>
      <c r="EH279" s="7">
        <v>2.7404044880675327E-2</v>
      </c>
      <c r="EI279" s="7">
        <v>4.4776870613692135E-2</v>
      </c>
      <c r="EJ279" s="7">
        <v>0.44933865054949429</v>
      </c>
      <c r="EK279" s="7">
        <v>0.39748390052497035</v>
      </c>
      <c r="EL279" s="7">
        <v>8.0996533431168125E-2</v>
      </c>
      <c r="EM279" s="7">
        <v>2.9568856131900259E-2</v>
      </c>
      <c r="EN279" s="7">
        <v>4.9718745271397011E-2</v>
      </c>
      <c r="EO279" s="7">
        <v>0.56160391230894657</v>
      </c>
      <c r="EP279" s="7">
        <v>0.28607255995723935</v>
      </c>
      <c r="EQ279" s="7">
        <v>6.3862486168751079E-2</v>
      </c>
      <c r="ER279" s="7">
        <v>3.8742296293665657E-2</v>
      </c>
      <c r="ES279" s="7">
        <v>0.31616002805669879</v>
      </c>
      <c r="ET279" s="7">
        <v>0.34572888418859909</v>
      </c>
      <c r="EU279" s="6">
        <v>2350</v>
      </c>
      <c r="EV279" s="6">
        <v>0</v>
      </c>
      <c r="EW279" s="6">
        <v>2350</v>
      </c>
      <c r="EX279" s="6">
        <v>0</v>
      </c>
      <c r="EY279" s="6">
        <v>3781.4115812573618</v>
      </c>
      <c r="EZ279" s="6">
        <v>2111</v>
      </c>
      <c r="FA279" s="6">
        <v>0</v>
      </c>
      <c r="FB279" s="6">
        <v>0</v>
      </c>
      <c r="FC279" s="6">
        <v>0</v>
      </c>
      <c r="FD279" s="6">
        <v>0</v>
      </c>
      <c r="FE279" s="6">
        <v>0</v>
      </c>
      <c r="FF279" s="6">
        <v>0</v>
      </c>
      <c r="FG279" s="6">
        <v>0</v>
      </c>
      <c r="FH279" s="6">
        <v>1154.7714330710576</v>
      </c>
      <c r="FI279" s="6">
        <v>1531.4299904380616</v>
      </c>
      <c r="FJ279" s="6">
        <v>2070.7205842538215</v>
      </c>
      <c r="FK279" s="6">
        <v>826.03289024944331</v>
      </c>
      <c r="FL279" s="6">
        <v>893.9143356348934</v>
      </c>
      <c r="FM279" s="6">
        <v>1431.4115812573621</v>
      </c>
      <c r="FN279" s="6">
        <v>0</v>
      </c>
      <c r="FO279" s="6">
        <v>0</v>
      </c>
      <c r="FP279" s="6">
        <v>0</v>
      </c>
      <c r="FQ279" s="6">
        <v>0</v>
      </c>
      <c r="FR279" s="6">
        <v>0</v>
      </c>
      <c r="FS279" s="6">
        <v>0</v>
      </c>
      <c r="FT279" s="7">
        <v>0.65427111581140085</v>
      </c>
      <c r="FU279" s="7">
        <v>2.9568856131900259E-2</v>
      </c>
      <c r="FV279" s="7">
        <v>0.31616002805669879</v>
      </c>
      <c r="FW279" s="6">
        <v>2350</v>
      </c>
      <c r="FX279" s="6">
        <v>3781.4115812573618</v>
      </c>
      <c r="FY279" s="6">
        <v>2111</v>
      </c>
      <c r="FZ279" s="6">
        <v>2594.6978186474794</v>
      </c>
      <c r="GA279" s="6">
        <v>2316.7629564061835</v>
      </c>
      <c r="GB279" s="6">
        <v>17378.237043593817</v>
      </c>
      <c r="GC279" s="7">
        <v>9.6947029492584935E-2</v>
      </c>
      <c r="GD279" s="7">
        <v>9.4175565610543285E-2</v>
      </c>
      <c r="GE279" s="7"/>
      <c r="GF279" s="7"/>
      <c r="GG279" s="7">
        <v>-2.8587403828124795E-2</v>
      </c>
      <c r="GH279" s="42">
        <v>2.0257585315299913</v>
      </c>
      <c r="GI279" s="6">
        <v>12039.047075394923</v>
      </c>
      <c r="GJ279" s="14">
        <v>0.51074630601039572</v>
      </c>
      <c r="GK279" s="14">
        <v>0.50829519786160982</v>
      </c>
      <c r="GL279" s="14">
        <v>0.4892536939896045</v>
      </c>
      <c r="GM279" s="14">
        <v>0.49170480213839052</v>
      </c>
      <c r="GO279" s="5">
        <v>338.16872463277008</v>
      </c>
      <c r="GP279" s="5">
        <v>293.33520778489498</v>
      </c>
      <c r="GQ279" s="5">
        <v>527.27910984145694</v>
      </c>
      <c r="GR279" s="5">
        <v>404.20319246551543</v>
      </c>
      <c r="GS279" s="5">
        <v>334.50205195691484</v>
      </c>
      <c r="GT279" s="5">
        <v>289.18266033348181</v>
      </c>
      <c r="GU279" s="5">
        <v>254.29573314828914</v>
      </c>
      <c r="GV279" s="39" t="s">
        <v>392</v>
      </c>
      <c r="GW279" s="5">
        <v>427.09722222222223</v>
      </c>
      <c r="GX279" s="5">
        <v>320.32291666666669</v>
      </c>
      <c r="GY279" s="5">
        <v>256.25833333333333</v>
      </c>
      <c r="GZ279" s="5">
        <v>239.15392745664155</v>
      </c>
      <c r="HA279" s="5">
        <v>209.45771593376014</v>
      </c>
      <c r="HB279" s="39">
        <v>253.21920773481247</v>
      </c>
      <c r="HC279" s="5">
        <v>190.75937499999998</v>
      </c>
      <c r="HD279" s="5">
        <v>173.28879751461983</v>
      </c>
      <c r="HE279" s="5">
        <v>178.94016109986501</v>
      </c>
      <c r="HF279" s="5">
        <v>168.88629934210525</v>
      </c>
      <c r="HG279" s="5">
        <v>167.11410087719298</v>
      </c>
      <c r="HH279" s="39">
        <v>175.25373634913893</v>
      </c>
      <c r="HI279" s="16"/>
      <c r="HJ279" s="19" t="str">
        <f t="shared" ref="HJ279:HK279" si="940">HJ278</f>
        <v>On</v>
      </c>
      <c r="HK279" s="1" t="str">
        <f t="shared" si="940"/>
        <v>On</v>
      </c>
      <c r="HL279" s="16"/>
      <c r="HM279" s="639">
        <f t="shared" si="861"/>
        <v>5.0961701597560354E-2</v>
      </c>
      <c r="HN279" s="639">
        <f t="shared" si="862"/>
        <v>3.112551654761847E-3</v>
      </c>
      <c r="HO279" s="639">
        <f t="shared" si="863"/>
        <v>3.1163314184693442E-2</v>
      </c>
      <c r="HP279" s="644">
        <f>(FT279*$GD279-HM279)/$JF279*INDEX(Input!$1:$1048576,$JG$93,$C279*2+6)</f>
        <v>200.12415227584546</v>
      </c>
      <c r="HQ279" s="644">
        <f>(FU279*$GD279-HN279)/$JF279*INDEX(Input!$1:$1048576,$JG$93,$C279*2+6)</f>
        <v>-6.1586522260311662</v>
      </c>
      <c r="HR279" s="644">
        <f>(FV279*$GD279-HO279)/$JF279*INDEX(Input!$1:$1048576,$JG$93,$C279*2+6)</f>
        <v>-26.084887004497265</v>
      </c>
      <c r="HS279" s="644">
        <f t="shared" si="926"/>
        <v>-24.210005308612821</v>
      </c>
      <c r="HT279" s="644">
        <f t="shared" si="865"/>
        <v>127.40313338116582</v>
      </c>
      <c r="HU279" s="644">
        <f t="shared" si="866"/>
        <v>39.524533394824147</v>
      </c>
      <c r="HV279" s="648">
        <f t="shared" si="867"/>
        <v>0</v>
      </c>
      <c r="HW279" s="648">
        <f t="shared" si="868"/>
        <v>0</v>
      </c>
      <c r="HX279" s="648">
        <f t="shared" si="869"/>
        <v>0</v>
      </c>
      <c r="HY279" s="644">
        <f>INDEX(Input!$1:$1048576,HY$93,$C279*2+6)*INDEX(Input!$1:$1048576,$JG$93,$C279*2+6)</f>
        <v>555</v>
      </c>
      <c r="HZ279" s="644">
        <f>INDEX(Input!$1:$1048576,HZ$93,$C279*2+6)*INDEX(Input!$1:$1048576,$JG$93,$C279*2+6)</f>
        <v>480</v>
      </c>
      <c r="IA279" s="644">
        <f>INDEX(Input!$1:$1048576,IA$93,$C279*2+6)*INDEX(Input!$1:$1048576,$JG$93,$C279*2+6)</f>
        <v>566</v>
      </c>
      <c r="IB279" s="644">
        <f t="shared" si="870"/>
        <v>730.91414696723257</v>
      </c>
      <c r="IC279" s="644">
        <f t="shared" si="871"/>
        <v>601.24448115513462</v>
      </c>
      <c r="ID279" s="644">
        <f>IF(AND(INDEX(Input!$1:$1048576,IA$93,$C279*2+7)="TOS",Y279&lt;=INDEX(Y:Y,MATCH(C279*1000+2,A:A))),0,1)*MAX(IA279+HR279+HU279+HX279,0%)</f>
        <v>579.43964639032686</v>
      </c>
      <c r="IE279" s="128">
        <f t="shared" si="933"/>
        <v>0.38235760970937149</v>
      </c>
      <c r="IF279" s="128">
        <f t="shared" si="934"/>
        <v>0.31452449459257037</v>
      </c>
      <c r="IG279" s="128">
        <f t="shared" si="874"/>
        <v>0.30311789569805825</v>
      </c>
      <c r="IH279" s="21"/>
      <c r="II279" s="19">
        <f t="shared" si="875"/>
        <v>1200</v>
      </c>
      <c r="IJ279" s="19">
        <f t="shared" si="876"/>
        <v>2226.7968732767699</v>
      </c>
      <c r="IK279" s="19">
        <f t="shared" si="877"/>
        <v>1786</v>
      </c>
      <c r="IL279" s="19">
        <f t="shared" si="878"/>
        <v>1150</v>
      </c>
      <c r="IM279" s="19">
        <f t="shared" si="879"/>
        <v>1554.6147079805919</v>
      </c>
      <c r="IN279" s="19">
        <f t="shared" si="880"/>
        <v>325</v>
      </c>
      <c r="IO279" s="39">
        <f t="shared" si="881"/>
        <v>0</v>
      </c>
      <c r="IP279" s="39">
        <f t="shared" si="882"/>
        <v>0</v>
      </c>
      <c r="IQ279" s="39">
        <f t="shared" si="883"/>
        <v>0</v>
      </c>
      <c r="IR279" s="39">
        <v>0</v>
      </c>
      <c r="IS279" s="39">
        <v>0</v>
      </c>
      <c r="IT279" s="39">
        <v>0</v>
      </c>
      <c r="IU279" s="39">
        <v>0</v>
      </c>
      <c r="IV279" s="39">
        <v>0</v>
      </c>
      <c r="IW279" s="39">
        <v>0</v>
      </c>
      <c r="IX279" s="39">
        <f>INDEX(Input!$1:$1048576,IX$93,$C279*2+6)+INDEX(Input!$1:$1048576,IX$94,$C279*2+6)</f>
        <v>1600</v>
      </c>
      <c r="IY279" s="39">
        <f>INDEX(Input!$1:$1048576,IY$93,$C279*2+6)+INDEX(Input!$1:$1048576,IY$94,$C279*2+6)</f>
        <v>2503.5492916397525</v>
      </c>
      <c r="IZ279" s="39">
        <f>INDEX(Input!$1:$1048576,IZ$93,$C279*2+6)+INDEX(Input!$1:$1048576,IZ$94,$C279*2+6)</f>
        <v>5773.7109265464023</v>
      </c>
      <c r="JA279" s="19">
        <f t="shared" si="884"/>
        <v>2750</v>
      </c>
      <c r="JB279" s="19">
        <f t="shared" si="885"/>
        <v>4058.1639996203444</v>
      </c>
      <c r="JC279" s="19">
        <f t="shared" si="886"/>
        <v>6098.7109265464023</v>
      </c>
      <c r="JD279" s="19">
        <f t="shared" si="887"/>
        <v>4176.5038301806244</v>
      </c>
      <c r="JE279" s="21"/>
      <c r="JF279" s="1">
        <f t="shared" si="888"/>
        <v>8.5237567437015646E-2</v>
      </c>
      <c r="JG279" s="15">
        <f>INDEX(Input!$1:$1048576,JG$93,$C279*2+6)/(1+VLOOKUP(C279*1000+INDEX(Input!$1:$1048576,JG$93+1,$C279*2+6),$A:$KK,$JK$92,FALSE))</f>
        <v>1601</v>
      </c>
      <c r="JH279" s="1">
        <f t="shared" si="889"/>
        <v>0.10485984574972956</v>
      </c>
      <c r="JI279" s="1">
        <f t="shared" si="890"/>
        <v>8.9142824152015701E-2</v>
      </c>
      <c r="JJ279" s="1">
        <f t="shared" si="891"/>
        <v>0</v>
      </c>
      <c r="JK279" s="1">
        <f t="shared" si="892"/>
        <v>0.19400266990174525</v>
      </c>
      <c r="JL279" s="15">
        <f t="shared" si="893"/>
        <v>310.59827451269416</v>
      </c>
      <c r="JM279" s="15">
        <f t="shared" si="894"/>
        <v>1911.5982745126942</v>
      </c>
      <c r="JN279" s="21"/>
      <c r="JO279" s="19">
        <f>INDEX(Input!$1:$1048576,JO$93,$C279*2+6)</f>
        <v>5908.5</v>
      </c>
      <c r="JP279" s="19">
        <f>INDEX(Input!$1:$1048576,JP$93,$C279*2+6)</f>
        <v>3346.4235130620518</v>
      </c>
      <c r="JQ279" s="39">
        <f t="shared" si="895"/>
        <v>1731.9961698193756</v>
      </c>
      <c r="JR279" s="39">
        <f t="shared" si="896"/>
        <v>830.08031711857257</v>
      </c>
      <c r="JS279" s="39">
        <f t="shared" si="897"/>
        <v>7.9837975152689395</v>
      </c>
      <c r="JT279" s="39">
        <f t="shared" si="898"/>
        <v>2.6261734708565947</v>
      </c>
      <c r="JU279" s="385">
        <f>(JQ279*JM279-INDEX(Input!$1:$1048576,Input!A$18,$C279*2+6)*JL279*INDEX(Input!$1:$1048576,Input!A$19,$C279*2+6))/1000000</f>
        <v>3.3108808896893138</v>
      </c>
      <c r="JV279" s="39">
        <f t="shared" si="899"/>
        <v>-0.79100356589834098</v>
      </c>
      <c r="JW279" s="1">
        <f t="shared" si="900"/>
        <v>-0.19283906566915185</v>
      </c>
      <c r="JX279" s="19">
        <f t="shared" si="901"/>
        <v>8455.2094662369509</v>
      </c>
      <c r="JZ279" s="341"/>
      <c r="KA279" s="342"/>
      <c r="KB279" s="469">
        <f t="shared" si="922"/>
        <v>2.4482969984810516</v>
      </c>
      <c r="KI279" s="473">
        <f t="shared" si="902"/>
        <v>175.91414696723268</v>
      </c>
      <c r="KJ279" s="473">
        <f t="shared" si="903"/>
        <v>121.24448115513474</v>
      </c>
      <c r="KK279" s="473">
        <f t="shared" si="904"/>
        <v>13.439646390326971</v>
      </c>
      <c r="KN279" s="544">
        <f t="shared" si="905"/>
        <v>2002</v>
      </c>
      <c r="KO279" s="541">
        <f t="shared" si="906"/>
        <v>0.10640339024407441</v>
      </c>
      <c r="KP279" s="546">
        <f t="shared" si="907"/>
        <v>649.91880537201564</v>
      </c>
      <c r="KQ279" s="546">
        <f t="shared" si="908"/>
        <v>450.90025522408587</v>
      </c>
      <c r="KR279" s="548">
        <f t="shared" si="909"/>
        <v>2.6144772327423271</v>
      </c>
      <c r="KS279" s="548">
        <f t="shared" si="910"/>
        <v>3.768456327290763</v>
      </c>
      <c r="KT279" s="473">
        <f t="shared" si="923"/>
        <v>528.59039248727379</v>
      </c>
      <c r="KU279" s="663">
        <f t="shared" si="911"/>
        <v>12.338184830913056</v>
      </c>
    </row>
    <row r="280" spans="1:307" s="26" customFormat="1" ht="15" outlineLevel="1">
      <c r="A280" s="561">
        <f t="shared" si="915"/>
        <v>2080</v>
      </c>
      <c r="B280" s="561">
        <f t="shared" si="920"/>
        <v>80</v>
      </c>
      <c r="C280" s="561">
        <f t="shared" si="857"/>
        <v>2</v>
      </c>
      <c r="D280" s="561" t="str">
        <f t="shared" si="859"/>
        <v xml:space="preserve">1000 CC, 0/2.8/3.8/3.9, 2000 Combo, </v>
      </c>
      <c r="E280" s="475">
        <f>INDEX(Input!$1:$1048576,E$93,$C280*2+MIN($B280,2)+5)
+INDEX(Scenarios!E$121:E$200,MATCH($B280,Scenarios!$B$121:$B$200,0))</f>
        <v>2250</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2000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0</v>
      </c>
      <c r="V280" s="478">
        <f>IFERROR(MAX(0,INDEX(Input!$1:$1048576,V$93,$C280*2+MIN($B280,2)+5)
+INDEX(Scenarios!V$121:V$200,MATCH($B280,Scenarios!$B$121:$B$200,0)),),"Market")</f>
        <v>3.7999999999999999E-2</v>
      </c>
      <c r="W280" s="863">
        <f>IFERROR(MAX(0,INDEX(Input!$1:$1048576,W$93,$C280*2+MIN($B280,2)+5)-0%,),"Market")</f>
        <v>3.9E-2</v>
      </c>
      <c r="X280" s="476" t="str">
        <f>INDEX(Input!$1:$1048576,X$93,$C280*2+MIN($B280,2)+5)</f>
        <v>Y</v>
      </c>
      <c r="Y280" s="475">
        <f>INDEX(Input!$1:$1048576,Y$93,$C280*2+MIN($B280,2)+5)
++INDEX(Scenarios!Y$121:Y$200,MATCH($B280,Scenarios!$B$121:$B$200,0))</f>
        <v>1358</v>
      </c>
      <c r="Z280" s="477">
        <f>INDEX(Input!$1:$1048576,Z$93,$C280*2+MIN($B280,2)+5)
+INDEX(Scenarios!Z$121:Z$200,MATCH($B280,Scenarios!$B$121:$B$200,0))</f>
        <v>0</v>
      </c>
      <c r="AA280" s="475">
        <f>INDEX(Input!$1:$1048576,AA$93,$C280*2+MIN($B280,2)+5)</f>
        <v>0</v>
      </c>
      <c r="AB280" s="476">
        <f>INDEX(Input!$1:$1048576,AB$93,$C280*2+MIN($B280,2)+5)</f>
        <v>1</v>
      </c>
      <c r="AC280" s="475">
        <f>INDEX(Input!$1:$1048576,AC$93,$C280*2+MIN($B280,2)+5)
+INDEX(Scenarios!AC$121:AC$200,MATCH($B280,Scenarios!$B$121:$B$200,0))</f>
        <v>0</v>
      </c>
      <c r="AD280" s="476">
        <f>INDEX(Input!$1:$1048576,AD$93,$C280*2+MIN($B280,2)+5)</f>
        <v>0.35</v>
      </c>
      <c r="AE280" s="475">
        <f>INDEX(Input!$1:$1048576,AE$93,$C280*2+MIN($B280,2)+5)
+INDEX(Scenarios!AE$121:AE$200,MATCH($B280,Scenarios!$B$121:$B$200,0))</f>
        <v>0</v>
      </c>
      <c r="AF280" s="476">
        <f>INDEX(Input!$1:$1048576,AF$93,$C280*2+MIN($B280,2)+5)</f>
        <v>1</v>
      </c>
      <c r="AG280" s="475">
        <f>INDEX(Input!$1:$1048576,AG$93,$C280*2+MIN($B280,2)+5)
+INDEX(Scenarios!AG$121:AG$200,MATCH($B280,Scenarios!$B$121:$B$200,0))</f>
        <v>0</v>
      </c>
      <c r="AH280" s="476">
        <f>INDEX(Input!$1:$1048576,AH$93,$C280*2+MIN($B280,2)+5)</f>
        <v>1</v>
      </c>
      <c r="AI280" s="475">
        <f>INDEX(Input!$1:$1048576,AI$93,$C280*2+MIN($B280,2)+5)
+INDEX(Scenarios!AI$121:AI$200,MATCH($B280,Scenarios!$B$121:$B$200,0))</f>
        <v>0</v>
      </c>
      <c r="AJ280" s="476">
        <f>INDEX(Input!$1:$1048576,AJ$93,$C280*2+MIN($B280,2)+5)</f>
        <v>0.35</v>
      </c>
      <c r="AK280" s="150">
        <f>ROUND(INDEX(Input!$1:$1048576,AK$93,$C279*2+MIN($B280,1)+5)+(Y280-VLOOKUP($C280*1000+1,$A:$HH,Y$92,FALSE)),0)</f>
        <v>4982</v>
      </c>
      <c r="AL280" s="150">
        <f>ROUND(INDEX(Input!$1:$1048576,AL$93,$C279*2+MIN($B280,1)+5)-(Y280-VLOOKUP($C280*1000+1,$A:$HH,Y$92,FALSE))/36,0)</f>
        <v>5102</v>
      </c>
      <c r="AM280" s="32" t="str">
        <f t="shared" si="916"/>
        <v>std/std/std/std</v>
      </c>
      <c r="AN280" s="32" t="str">
        <f t="shared" si="917"/>
        <v>$2000 + 0/0/0/3.8/3.9</v>
      </c>
      <c r="AO280" s="32" t="str">
        <f t="shared" si="918"/>
        <v>0/0/0/3.8/3.9</v>
      </c>
      <c r="AP280" s="32" t="str">
        <f t="shared" si="831"/>
        <v>0/2.8/3.8/3.9</v>
      </c>
      <c r="AQ280" s="536">
        <f t="shared" si="830"/>
        <v>0.35914052901216315</v>
      </c>
      <c r="AR280" s="32"/>
      <c r="AS280" s="302"/>
      <c r="AT280" s="3">
        <f t="shared" ref="AT280:AT300" si="941">AT279+1</f>
        <v>80</v>
      </c>
      <c r="AU280" s="41" t="s">
        <v>121</v>
      </c>
      <c r="AV280" s="41" t="s">
        <v>116</v>
      </c>
      <c r="AW280" s="41" t="str">
        <f>INDEX(Input!$1:$1048576,AW$93,$C280*2+6)</f>
        <v>Kia</v>
      </c>
      <c r="AX280" s="41" t="str">
        <f>INDEX(Input!$1:$1048576,AX$93,$C280*2+6)</f>
        <v>Kia-LR - L2</v>
      </c>
      <c r="AY280" s="41" t="str">
        <f>IF(LEN(D280)=0,"",INDEX(Input!$1:$1048576,AY$93,$C280*2+6))</f>
        <v>Compact Conventional/Sporty Car (43)</v>
      </c>
      <c r="AZ280" s="41" t="str">
        <f>INDEX(Input!$1:$1048576,AZ$93,$C280*2+6)</f>
        <v>Kia Forte</v>
      </c>
      <c r="BA280" s="3">
        <f>INDEX(Input!$1:$1048576,BA$93,$C280*2+6)</f>
        <v>2020</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19695</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832"/>
        <v>2250</v>
      </c>
      <c r="CJ280" s="16" t="str">
        <f>INDEX(Input!$1:$1048576,CJ$93,$C280*2+6)</f>
        <v>N</v>
      </c>
      <c r="CK280" s="1" t="str">
        <f t="shared" si="833"/>
        <v>Market</v>
      </c>
      <c r="CL280" s="1" t="str">
        <f t="shared" si="834"/>
        <v>Market</v>
      </c>
      <c r="CM280" s="1" t="str">
        <f t="shared" si="835"/>
        <v>Market</v>
      </c>
      <c r="CN280" s="1" t="str">
        <f t="shared" si="836"/>
        <v>Market</v>
      </c>
      <c r="CO280" s="1" t="str">
        <f t="shared" si="837"/>
        <v>Market</v>
      </c>
      <c r="CP280" s="304">
        <f t="shared" si="838"/>
        <v>2000</v>
      </c>
      <c r="CQ280" s="1">
        <f t="shared" si="839"/>
        <v>0</v>
      </c>
      <c r="CR280" s="1">
        <f t="shared" si="840"/>
        <v>0</v>
      </c>
      <c r="CS280" s="1">
        <f t="shared" si="841"/>
        <v>0</v>
      </c>
      <c r="CT280" s="1">
        <f t="shared" si="842"/>
        <v>3.7999999999999999E-2</v>
      </c>
      <c r="CU280" s="1">
        <f t="shared" si="843"/>
        <v>3.9E-2</v>
      </c>
      <c r="CV280" s="304">
        <f t="shared" si="844"/>
        <v>1358</v>
      </c>
      <c r="CW280" s="20" t="s">
        <v>122</v>
      </c>
      <c r="CX280" s="20" t="s">
        <v>122</v>
      </c>
      <c r="CY280" s="20" t="s">
        <v>122</v>
      </c>
      <c r="CZ280" s="20" t="s">
        <v>122</v>
      </c>
      <c r="DA280" s="20" t="s">
        <v>122</v>
      </c>
      <c r="DB280" s="503">
        <f t="shared" si="845"/>
        <v>0</v>
      </c>
      <c r="DC280" s="127">
        <v>0</v>
      </c>
      <c r="DD280" s="127">
        <v>0</v>
      </c>
      <c r="DE280" s="127">
        <v>0</v>
      </c>
      <c r="DF280" s="127">
        <v>0</v>
      </c>
      <c r="DG280" s="127">
        <v>0</v>
      </c>
      <c r="DH280" s="127">
        <v>0</v>
      </c>
      <c r="DI280" s="127">
        <v>0</v>
      </c>
      <c r="DJ280" s="127">
        <v>0</v>
      </c>
      <c r="DK280" s="127">
        <v>0</v>
      </c>
      <c r="DL280" s="127">
        <v>0</v>
      </c>
      <c r="DM280" s="304">
        <f>INDEX(Input!$1:$1048576,DM$93,$C280*2+6)</f>
        <v>20731.578947368424</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3.1020821549343484E-2</v>
      </c>
      <c r="DZ280" s="7">
        <v>0</v>
      </c>
      <c r="EA280" s="7">
        <v>0.596905905715861</v>
      </c>
      <c r="EB280" s="7">
        <v>0</v>
      </c>
      <c r="EC280" s="7">
        <v>0</v>
      </c>
      <c r="ED280" s="7">
        <v>0</v>
      </c>
      <c r="EE280" s="7">
        <v>0</v>
      </c>
      <c r="EF280" s="7">
        <v>0</v>
      </c>
      <c r="EG280" s="7">
        <v>0</v>
      </c>
      <c r="EH280" s="7">
        <v>2.5315276558254149E-2</v>
      </c>
      <c r="EI280" s="7">
        <v>3.4807692408019709E-2</v>
      </c>
      <c r="EJ280" s="7">
        <v>0.28093908631810227</v>
      </c>
      <c r="EK280" s="7">
        <v>0.44155936590707834</v>
      </c>
      <c r="EL280" s="7">
        <v>0.21737857880854516</v>
      </c>
      <c r="EM280" s="7">
        <v>7.8779407402224624E-2</v>
      </c>
      <c r="EN280" s="7">
        <v>4.9710815000041965E-2</v>
      </c>
      <c r="EO280" s="7">
        <v>0.56156922399804354</v>
      </c>
      <c r="EP280" s="7">
        <v>0.28611023070920422</v>
      </c>
      <c r="EQ280" s="7">
        <v>6.3853317724883341E-2</v>
      </c>
      <c r="ER280" s="7">
        <v>3.8756412567827296E-2</v>
      </c>
      <c r="ES280" s="7">
        <v>0.2932938653325709</v>
      </c>
      <c r="ET280" s="7">
        <v>0.37207327273479546</v>
      </c>
      <c r="EU280" s="6">
        <v>2600</v>
      </c>
      <c r="EV280" s="6">
        <v>0</v>
      </c>
      <c r="EW280" s="6">
        <v>2600</v>
      </c>
      <c r="EX280" s="6">
        <v>0</v>
      </c>
      <c r="EY280" s="6">
        <v>4073.2423754811939</v>
      </c>
      <c r="EZ280" s="6">
        <v>2111</v>
      </c>
      <c r="FA280" s="6">
        <v>0</v>
      </c>
      <c r="FB280" s="6">
        <v>0</v>
      </c>
      <c r="FC280" s="6">
        <v>0</v>
      </c>
      <c r="FD280" s="6">
        <v>0</v>
      </c>
      <c r="FE280" s="6">
        <v>0</v>
      </c>
      <c r="FF280" s="6">
        <v>0</v>
      </c>
      <c r="FG280" s="6">
        <v>0</v>
      </c>
      <c r="FH280" s="6">
        <v>1150.6923619177971</v>
      </c>
      <c r="FI280" s="6">
        <v>1531.4299904380621</v>
      </c>
      <c r="FJ280" s="6">
        <v>2070.7205842538219</v>
      </c>
      <c r="FK280" s="6">
        <v>826.03289024944422</v>
      </c>
      <c r="FL280" s="6">
        <v>893.9143356348934</v>
      </c>
      <c r="FM280" s="6">
        <v>1223.2423754811939</v>
      </c>
      <c r="FN280" s="6">
        <v>0</v>
      </c>
      <c r="FO280" s="6">
        <v>0</v>
      </c>
      <c r="FP280" s="6">
        <v>0</v>
      </c>
      <c r="FQ280" s="6">
        <v>0</v>
      </c>
      <c r="FR280" s="6">
        <v>0</v>
      </c>
      <c r="FS280" s="6">
        <v>0</v>
      </c>
      <c r="FT280" s="7">
        <v>0.62792672726520449</v>
      </c>
      <c r="FU280" s="7">
        <v>7.8779407402224624E-2</v>
      </c>
      <c r="FV280" s="7">
        <v>0.2932938653325709</v>
      </c>
      <c r="FW280" s="6">
        <v>2600</v>
      </c>
      <c r="FX280" s="6">
        <v>4073.2423754811939</v>
      </c>
      <c r="FY280" s="6">
        <v>2111</v>
      </c>
      <c r="FZ280" s="6">
        <v>2594.6978186474794</v>
      </c>
      <c r="GA280" s="6">
        <v>2572.6404611526268</v>
      </c>
      <c r="GB280" s="6">
        <v>17122.359538847373</v>
      </c>
      <c r="GC280" s="7">
        <v>9.6947029492584935E-2</v>
      </c>
      <c r="GD280" s="7">
        <v>9.7173449028042619E-2</v>
      </c>
      <c r="GE280" s="7"/>
      <c r="GF280" s="7"/>
      <c r="GG280" s="7">
        <v>2.3354974014443788E-3</v>
      </c>
      <c r="GH280" s="42">
        <v>-2.0853640936898863</v>
      </c>
      <c r="GI280" s="6">
        <v>-6871.7534744652203</v>
      </c>
      <c r="GJ280" s="14">
        <v>0.51074630601039561</v>
      </c>
      <c r="GK280" s="14">
        <v>0.50829519786160937</v>
      </c>
      <c r="GL280" s="14">
        <v>0.48925369398960405</v>
      </c>
      <c r="GM280" s="14">
        <v>0.49170480213838996</v>
      </c>
      <c r="GO280" s="5">
        <v>338.16872463277008</v>
      </c>
      <c r="GP280" s="5">
        <v>288.56568471597211</v>
      </c>
      <c r="GQ280" s="5">
        <v>527.27910984145694</v>
      </c>
      <c r="GR280" s="5">
        <v>404.20319246551543</v>
      </c>
      <c r="GS280" s="5">
        <v>334.50205195691484</v>
      </c>
      <c r="GT280" s="5">
        <v>289.18266033348181</v>
      </c>
      <c r="GU280" s="5">
        <v>254.29573314828914</v>
      </c>
      <c r="GV280" s="39" t="s">
        <v>392</v>
      </c>
      <c r="GW280" s="5">
        <v>413.20833333333331</v>
      </c>
      <c r="GX280" s="5">
        <v>309.90625</v>
      </c>
      <c r="GY280" s="5">
        <v>247.92500000000001</v>
      </c>
      <c r="GZ280" s="5">
        <v>231.37681687628188</v>
      </c>
      <c r="HA280" s="5">
        <v>202.64630440458188</v>
      </c>
      <c r="HB280" s="39">
        <v>237.116993833008</v>
      </c>
      <c r="HC280" s="5">
        <v>190.75937499999998</v>
      </c>
      <c r="HD280" s="5">
        <v>173.28879751461983</v>
      </c>
      <c r="HE280" s="5">
        <v>178.94016109986501</v>
      </c>
      <c r="HF280" s="5">
        <v>168.88629934210525</v>
      </c>
      <c r="HG280" s="5">
        <v>167.11410087719298</v>
      </c>
      <c r="HH280" s="39">
        <v>175.25376389418153</v>
      </c>
      <c r="HI280" s="16"/>
      <c r="HJ280" s="19" t="str">
        <f t="shared" ref="HJ280:HK281" si="942">HJ279</f>
        <v>On</v>
      </c>
      <c r="HK280" s="1" t="str">
        <f t="shared" si="942"/>
        <v>On</v>
      </c>
      <c r="HL280" s="16"/>
      <c r="HM280" s="639">
        <f t="shared" si="861"/>
        <v>5.0961701597560354E-2</v>
      </c>
      <c r="HN280" s="639">
        <f t="shared" si="862"/>
        <v>3.112551654761847E-3</v>
      </c>
      <c r="HO280" s="639">
        <f t="shared" si="863"/>
        <v>3.1163314184693442E-2</v>
      </c>
      <c r="HP280" s="644">
        <f>(FT280*$GD280-HM280)/$JF280*INDEX(Input!$1:$1048576,$JG$93,$C280*2+6)</f>
        <v>188.88177305657234</v>
      </c>
      <c r="HQ280" s="644">
        <f>(FU280*$GD280-HN280)/$JF280*INDEX(Input!$1:$1048576,$JG$93,$C280*2+6)</f>
        <v>85.324899027476832</v>
      </c>
      <c r="HR280" s="644">
        <f>(FV280*$GD280-HO280)/$JF280*INDEX(Input!$1:$1048576,$JG$93,$C280*2+6)</f>
        <v>-50.017420773532827</v>
      </c>
      <c r="HS280" s="644">
        <f t="shared" si="926"/>
        <v>-29.441651195122628</v>
      </c>
      <c r="HT280" s="644">
        <f t="shared" si="865"/>
        <v>150.92154210738744</v>
      </c>
      <c r="HU280" s="644">
        <f t="shared" si="866"/>
        <v>42.636057684783772</v>
      </c>
      <c r="HV280" s="648">
        <f t="shared" si="867"/>
        <v>0</v>
      </c>
      <c r="HW280" s="648">
        <f t="shared" si="868"/>
        <v>0</v>
      </c>
      <c r="HX280" s="648">
        <f t="shared" si="869"/>
        <v>0</v>
      </c>
      <c r="HY280" s="644">
        <f>INDEX(Input!$1:$1048576,HY$93,$C280*2+6)*INDEX(Input!$1:$1048576,$JG$93,$C280*2+6)</f>
        <v>555</v>
      </c>
      <c r="HZ280" s="644">
        <f>INDEX(Input!$1:$1048576,HZ$93,$C280*2+6)*INDEX(Input!$1:$1048576,$JG$93,$C280*2+6)</f>
        <v>480</v>
      </c>
      <c r="IA280" s="644">
        <f>INDEX(Input!$1:$1048576,IA$93,$C280*2+6)*INDEX(Input!$1:$1048576,$JG$93,$C280*2+6)</f>
        <v>566</v>
      </c>
      <c r="IB280" s="644">
        <f t="shared" si="870"/>
        <v>714.44012186144982</v>
      </c>
      <c r="IC280" s="644">
        <f t="shared" si="871"/>
        <v>716.2464411348642</v>
      </c>
      <c r="ID280" s="644">
        <f>IF(AND(INDEX(Input!$1:$1048576,IA$93,$C280*2+7)="TOS",Y280&lt;=INDEX(Y:Y,MATCH(C280*1000+2,A:A))),0,1)*MAX(IA280+HR280+HU280+HX280,0%)</f>
        <v>558.61863691125086</v>
      </c>
      <c r="IE280" s="128">
        <f t="shared" si="933"/>
        <v>0.35914052901216315</v>
      </c>
      <c r="IF280" s="128">
        <f t="shared" si="934"/>
        <v>0.36004854416916282</v>
      </c>
      <c r="IG280" s="128">
        <f t="shared" si="874"/>
        <v>0.28081092681867398</v>
      </c>
      <c r="IH280" s="21"/>
      <c r="II280" s="19">
        <f t="shared" si="875"/>
        <v>1200</v>
      </c>
      <c r="IJ280" s="19">
        <f t="shared" si="876"/>
        <v>2226.7968732767699</v>
      </c>
      <c r="IK280" s="19">
        <f t="shared" si="877"/>
        <v>1786</v>
      </c>
      <c r="IL280" s="19">
        <f t="shared" si="878"/>
        <v>1400</v>
      </c>
      <c r="IM280" s="19">
        <f t="shared" si="879"/>
        <v>1846.445502204424</v>
      </c>
      <c r="IN280" s="19">
        <f t="shared" si="880"/>
        <v>325</v>
      </c>
      <c r="IO280" s="39">
        <f t="shared" si="881"/>
        <v>0</v>
      </c>
      <c r="IP280" s="39">
        <f t="shared" si="882"/>
        <v>0</v>
      </c>
      <c r="IQ280" s="39">
        <f t="shared" si="883"/>
        <v>0</v>
      </c>
      <c r="IR280" s="39">
        <v>0</v>
      </c>
      <c r="IS280" s="39">
        <v>0</v>
      </c>
      <c r="IT280" s="39">
        <v>0</v>
      </c>
      <c r="IU280" s="39">
        <v>0</v>
      </c>
      <c r="IV280" s="39">
        <v>0</v>
      </c>
      <c r="IW280" s="39">
        <v>0</v>
      </c>
      <c r="IX280" s="39">
        <f>INDEX(Input!$1:$1048576,IX$93,$C280*2+6)+INDEX(Input!$1:$1048576,IX$94,$C280*2+6)</f>
        <v>1600</v>
      </c>
      <c r="IY280" s="39">
        <f>INDEX(Input!$1:$1048576,IY$93,$C280*2+6)+INDEX(Input!$1:$1048576,IY$94,$C280*2+6)</f>
        <v>2503.5492916397525</v>
      </c>
      <c r="IZ280" s="39">
        <f>INDEX(Input!$1:$1048576,IZ$93,$C280*2+6)+INDEX(Input!$1:$1048576,IZ$94,$C280*2+6)</f>
        <v>5773.7109265464023</v>
      </c>
      <c r="JA280" s="19">
        <f t="shared" si="884"/>
        <v>3000</v>
      </c>
      <c r="JB280" s="19">
        <f t="shared" si="885"/>
        <v>4349.9947938441765</v>
      </c>
      <c r="JC280" s="19">
        <f t="shared" si="886"/>
        <v>6098.7109265464023</v>
      </c>
      <c r="JD280" s="19">
        <f t="shared" si="887"/>
        <v>4356.2155473861912</v>
      </c>
      <c r="JE280" s="21"/>
      <c r="JF280" s="1">
        <f t="shared" si="888"/>
        <v>8.5237567437015646E-2</v>
      </c>
      <c r="JG280" s="15">
        <f>INDEX(Input!$1:$1048576,JG$93,$C280*2+6)/(1+VLOOKUP(C280*1000+INDEX(Input!$1:$1048576,JG$93+1,$C280*2+6),$A:$KK,$JK$92,FALSE))</f>
        <v>1601</v>
      </c>
      <c r="JH280" s="1">
        <f t="shared" si="889"/>
        <v>0.14003076284229629</v>
      </c>
      <c r="JI280" s="1">
        <f t="shared" si="890"/>
        <v>0.10250840012307844</v>
      </c>
      <c r="JJ280" s="1">
        <f t="shared" si="891"/>
        <v>0</v>
      </c>
      <c r="JK280" s="1">
        <f t="shared" si="892"/>
        <v>0.24253916296537473</v>
      </c>
      <c r="JL280" s="15">
        <f t="shared" si="893"/>
        <v>388.30519990756494</v>
      </c>
      <c r="JM280" s="15">
        <f t="shared" si="894"/>
        <v>1989.3051999075649</v>
      </c>
      <c r="JN280" s="21"/>
      <c r="JO280" s="19">
        <f>INDEX(Input!$1:$1048576,JO$93,$C280*2+6)</f>
        <v>5908.5</v>
      </c>
      <c r="JP280" s="19">
        <f>INDEX(Input!$1:$1048576,JP$93,$C280*2+6)</f>
        <v>3346.4235130620518</v>
      </c>
      <c r="JQ280" s="39">
        <f t="shared" si="895"/>
        <v>1552.2844526138088</v>
      </c>
      <c r="JR280" s="39">
        <f t="shared" si="896"/>
        <v>1009.7920343241394</v>
      </c>
      <c r="JS280" s="39">
        <f t="shared" si="897"/>
        <v>8.6658422403335287</v>
      </c>
      <c r="JT280" s="39">
        <f t="shared" si="898"/>
        <v>3.3082181959211847</v>
      </c>
      <c r="JU280" s="385">
        <f>(JQ280*JM280-INDEX(Input!$1:$1048576,Input!A$18,$C280*2+6)*JL280*INDEX(Input!$1:$1048576,Input!A$19,$C280*2+6))/1000000</f>
        <v>3.087967533320318</v>
      </c>
      <c r="JV280" s="39">
        <f t="shared" si="899"/>
        <v>-1.0139169222673368</v>
      </c>
      <c r="JW280" s="1">
        <f t="shared" si="900"/>
        <v>-0.24718319914793366</v>
      </c>
      <c r="JX280" s="19">
        <f t="shared" si="901"/>
        <v>8519.6340319642841</v>
      </c>
      <c r="JZ280" s="341"/>
      <c r="KA280" s="342"/>
      <c r="KB280" s="469">
        <f t="shared" si="922"/>
        <v>2.4482969984810516</v>
      </c>
      <c r="KI280" s="473">
        <f t="shared" si="902"/>
        <v>159.44012186144982</v>
      </c>
      <c r="KJ280" s="473">
        <f t="shared" si="903"/>
        <v>236.2464411348642</v>
      </c>
      <c r="KK280" s="473">
        <f t="shared" si="904"/>
        <v>-7.3813630887491399</v>
      </c>
      <c r="KN280" s="544">
        <f t="shared" si="905"/>
        <v>2002</v>
      </c>
      <c r="KO280" s="541">
        <f t="shared" si="906"/>
        <v>0.15137895171461668</v>
      </c>
      <c r="KP280" s="546">
        <f t="shared" si="907"/>
        <v>879.92653659838152</v>
      </c>
      <c r="KQ280" s="546">
        <f t="shared" si="908"/>
        <v>630.61197242965272</v>
      </c>
      <c r="KR280" s="548">
        <f t="shared" si="909"/>
        <v>2.7473094511770553</v>
      </c>
      <c r="KS280" s="548">
        <f t="shared" si="910"/>
        <v>3.8334674824270016</v>
      </c>
      <c r="KT280" s="473">
        <f t="shared" si="923"/>
        <v>528.59039248727379</v>
      </c>
      <c r="KU280" s="663">
        <f t="shared" si="911"/>
        <v>12.493829410801302</v>
      </c>
    </row>
    <row r="281" spans="1:307" s="26" customFormat="1" ht="15" outlineLevel="1">
      <c r="A281" s="561">
        <f t="shared" si="915"/>
        <v>2081</v>
      </c>
      <c r="B281" s="561">
        <f t="shared" si="920"/>
        <v>81</v>
      </c>
      <c r="C281" s="561">
        <f t="shared" si="857"/>
        <v>2</v>
      </c>
      <c r="D281" s="561" t="str">
        <f t="shared" si="859"/>
        <v xml:space="preserve">-500 Trim BC, </v>
      </c>
      <c r="E281" s="475">
        <f>INDEX(Input!$1:$1048576,E$93,$C281*2+MIN($B281,2)+5)
+INDEX(Scenarios!E$121:E$200,MATCH($B281,Scenarios!$B$121:$B$200,0))</f>
        <v>1250</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0</v>
      </c>
      <c r="V281" s="478">
        <f>IFERROR(MAX(0,INDEX(Input!$1:$1048576,V$93,$C281*2+MIN($B281,2)+5)
+INDEX(Scenarios!V$121:V$200,MATCH($B281,Scenarios!$B$121:$B$200,0)),),"Market")</f>
        <v>1.9E-2</v>
      </c>
      <c r="W281" s="863">
        <f>IFERROR(MAX(0,INDEX(Input!$1:$1048576,W$93,$C281*2+MIN($B281,2)+5)-0%,),"Market")</f>
        <v>3.9E-2</v>
      </c>
      <c r="X281" s="476" t="str">
        <f>INDEX(Input!$1:$1048576,X$93,$C281*2+MIN($B281,2)+5)</f>
        <v>Y</v>
      </c>
      <c r="Y281" s="475">
        <f>INDEX(Input!$1:$1048576,Y$93,$C281*2+MIN($B281,2)+5)
++INDEX(Scenarios!Y$121:Y$200,MATCH($B281,Scenarios!$B$121:$B$200,0))</f>
        <v>1358</v>
      </c>
      <c r="Z281" s="477">
        <f>INDEX(Input!$1:$1048576,Z$93,$C281*2+MIN($B281,2)+5)
+INDEX(Scenarios!Z$121:Z$200,MATCH($B281,Scenarios!$B$121:$B$200,0))</f>
        <v>0</v>
      </c>
      <c r="AA281" s="475">
        <f>INDEX(Input!$1:$1048576,AA$93,$C281*2+MIN($B281,2)+5)</f>
        <v>0</v>
      </c>
      <c r="AB281" s="476">
        <f>INDEX(Input!$1:$1048576,AB$93,$C281*2+MIN($B281,2)+5)</f>
        <v>1</v>
      </c>
      <c r="AC281" s="475">
        <f>INDEX(Input!$1:$1048576,AC$93,$C281*2+MIN($B281,2)+5)
+INDEX(Scenarios!AC$121:AC$200,MATCH($B281,Scenarios!$B$121:$B$200,0))</f>
        <v>0</v>
      </c>
      <c r="AD281" s="476">
        <f>INDEX(Input!$1:$1048576,AD$93,$C281*2+MIN($B281,2)+5)</f>
        <v>0.35</v>
      </c>
      <c r="AE281" s="475">
        <f>INDEX(Input!$1:$1048576,AE$93,$C281*2+MIN($B281,2)+5)
+INDEX(Scenarios!AE$121:AE$200,MATCH($B281,Scenarios!$B$121:$B$200,0))</f>
        <v>0</v>
      </c>
      <c r="AF281" s="476">
        <f>INDEX(Input!$1:$1048576,AF$93,$C281*2+MIN($B281,2)+5)</f>
        <v>1</v>
      </c>
      <c r="AG281" s="475">
        <f>INDEX(Input!$1:$1048576,AG$93,$C281*2+MIN($B281,2)+5)
+INDEX(Scenarios!AG$121:AG$200,MATCH($B281,Scenarios!$B$121:$B$200,0))</f>
        <v>-500</v>
      </c>
      <c r="AH281" s="476">
        <f>INDEX(Input!$1:$1048576,AH$93,$C281*2+MIN($B281,2)+5)</f>
        <v>1</v>
      </c>
      <c r="AI281" s="475">
        <f>INDEX(Input!$1:$1048576,AI$93,$C281*2+MIN($B281,2)+5)
+INDEX(Scenarios!AI$121:AI$200,MATCH($B281,Scenarios!$B$121:$B$200,0))</f>
        <v>0</v>
      </c>
      <c r="AJ281" s="476">
        <f>INDEX(Input!$1:$1048576,AJ$93,$C281*2+MIN($B281,2)+5)</f>
        <v>0.35</v>
      </c>
      <c r="AK281" s="150">
        <f>ROUND(INDEX(Input!$1:$1048576,AK$93,$C280*2+MIN($B281,1)+5)+(Y281-VLOOKUP($C281*1000+1,$A:$HH,Y$92,FALSE)),0)</f>
        <v>4982</v>
      </c>
      <c r="AL281" s="150">
        <f>ROUND(INDEX(Input!$1:$1048576,AL$93,$C280*2+MIN($B281,1)+5)-(Y281-VLOOKUP($C281*1000+1,$A:$HH,Y$92,FALSE))/36,0)</f>
        <v>5102</v>
      </c>
      <c r="AM281" s="32" t="str">
        <f t="shared" si="916"/>
        <v>std/std/std/std</v>
      </c>
      <c r="AN281" s="32" t="str">
        <f t="shared" si="917"/>
        <v>$0 + 0/0/0/1.9/3.9</v>
      </c>
      <c r="AO281" s="32" t="str">
        <f t="shared" si="918"/>
        <v>0/0/0/1.9/3.9</v>
      </c>
      <c r="AP281" s="32" t="str">
        <f t="shared" si="831"/>
        <v>0/0.9/1.9/3.9</v>
      </c>
      <c r="AQ281" s="536">
        <f t="shared" si="830"/>
        <v>0.35298275857995076</v>
      </c>
      <c r="AR281" s="32"/>
      <c r="AS281" s="302"/>
      <c r="AT281" s="3">
        <f t="shared" si="941"/>
        <v>81</v>
      </c>
      <c r="AU281" s="41" t="s">
        <v>121</v>
      </c>
      <c r="AV281" s="41" t="s">
        <v>116</v>
      </c>
      <c r="AW281" s="41" t="str">
        <f>INDEX(Input!$1:$1048576,AW$93,$C281*2+6)</f>
        <v>Kia</v>
      </c>
      <c r="AX281" s="41" t="str">
        <f>INDEX(Input!$1:$1048576,AX$93,$C281*2+6)</f>
        <v>Kia-LR - L2</v>
      </c>
      <c r="AY281" s="41" t="str">
        <f>IF(LEN(D281)=0,"",INDEX(Input!$1:$1048576,AY$93,$C281*2+6))</f>
        <v>Compact Conventional/Sporty Car (43)</v>
      </c>
      <c r="AZ281" s="41" t="str">
        <f>INDEX(Input!$1:$1048576,AZ$93,$C281*2+6)</f>
        <v>Kia Forte</v>
      </c>
      <c r="BA281" s="3">
        <f>INDEX(Input!$1:$1048576,BA$93,$C281*2+6)</f>
        <v>2020</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19695</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832"/>
        <v>1250</v>
      </c>
      <c r="CJ281" s="16" t="str">
        <f>INDEX(Input!$1:$1048576,CJ$93,$C281*2+6)</f>
        <v>N</v>
      </c>
      <c r="CK281" s="1" t="str">
        <f t="shared" si="833"/>
        <v>Market</v>
      </c>
      <c r="CL281" s="1" t="str">
        <f t="shared" si="834"/>
        <v>Market</v>
      </c>
      <c r="CM281" s="1" t="str">
        <f t="shared" si="835"/>
        <v>Market</v>
      </c>
      <c r="CN281" s="1" t="str">
        <f t="shared" si="836"/>
        <v>Market</v>
      </c>
      <c r="CO281" s="1" t="str">
        <f t="shared" si="837"/>
        <v>Market</v>
      </c>
      <c r="CP281" s="304">
        <f t="shared" si="838"/>
        <v>0</v>
      </c>
      <c r="CQ281" s="1">
        <f t="shared" si="839"/>
        <v>0</v>
      </c>
      <c r="CR281" s="1">
        <f t="shared" si="840"/>
        <v>0</v>
      </c>
      <c r="CS281" s="1">
        <f t="shared" si="841"/>
        <v>0</v>
      </c>
      <c r="CT281" s="1">
        <f t="shared" si="842"/>
        <v>1.9E-2</v>
      </c>
      <c r="CU281" s="1">
        <f t="shared" si="843"/>
        <v>3.9E-2</v>
      </c>
      <c r="CV281" s="304">
        <f t="shared" si="844"/>
        <v>1358</v>
      </c>
      <c r="CW281" s="20" t="s">
        <v>122</v>
      </c>
      <c r="CX281" s="20" t="s">
        <v>122</v>
      </c>
      <c r="CY281" s="20" t="s">
        <v>122</v>
      </c>
      <c r="CZ281" s="20" t="s">
        <v>122</v>
      </c>
      <c r="DA281" s="20" t="s">
        <v>122</v>
      </c>
      <c r="DB281" s="503">
        <f t="shared" si="845"/>
        <v>-500</v>
      </c>
      <c r="DC281" s="127">
        <v>0</v>
      </c>
      <c r="DD281" s="127">
        <v>0</v>
      </c>
      <c r="DE281" s="127">
        <v>0</v>
      </c>
      <c r="DF281" s="127">
        <v>0</v>
      </c>
      <c r="DG281" s="127">
        <v>0</v>
      </c>
      <c r="DH281" s="127">
        <v>0</v>
      </c>
      <c r="DI281" s="127">
        <v>0</v>
      </c>
      <c r="DJ281" s="127">
        <v>0</v>
      </c>
      <c r="DK281" s="127">
        <v>0</v>
      </c>
      <c r="DL281" s="127">
        <v>0</v>
      </c>
      <c r="DM281" s="304">
        <f>INDEX(Input!$1:$1048576,DM$93,$C281*2+6)</f>
        <v>20731.578947368424</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2.7923707178060333E-2</v>
      </c>
      <c r="DZ281" s="7">
        <v>0</v>
      </c>
      <c r="EA281" s="7">
        <v>0.57420406266153257</v>
      </c>
      <c r="EB281" s="7">
        <v>0</v>
      </c>
      <c r="EC281" s="7">
        <v>0</v>
      </c>
      <c r="ED281" s="7">
        <v>0</v>
      </c>
      <c r="EE281" s="7">
        <v>0</v>
      </c>
      <c r="EF281" s="7">
        <v>0</v>
      </c>
      <c r="EG281" s="7">
        <v>0</v>
      </c>
      <c r="EH281" s="7">
        <v>1.6190171155201438E-2</v>
      </c>
      <c r="EI281" s="7">
        <v>2.6439833152747502E-2</v>
      </c>
      <c r="EJ281" s="7">
        <v>0.26567787654660169</v>
      </c>
      <c r="EK281" s="7">
        <v>0.64373286440109567</v>
      </c>
      <c r="EL281" s="7">
        <v>4.7959254744352697E-2</v>
      </c>
      <c r="EM281" s="7">
        <v>3.6776861896411661E-2</v>
      </c>
      <c r="EN281" s="7">
        <v>4.8609646544956052E-2</v>
      </c>
      <c r="EO281" s="7">
        <v>0.56308690633528402</v>
      </c>
      <c r="EP281" s="7">
        <v>0.28361105671283909</v>
      </c>
      <c r="EQ281" s="7">
        <v>6.5253364281755211E-2</v>
      </c>
      <c r="ER281" s="7">
        <v>3.9439026125165505E-2</v>
      </c>
      <c r="ES281" s="7">
        <v>0.36109536826399552</v>
      </c>
      <c r="ET281" s="7">
        <v>0.39787223016040713</v>
      </c>
      <c r="EU281" s="6">
        <v>1100</v>
      </c>
      <c r="EV281" s="6">
        <v>0</v>
      </c>
      <c r="EW281" s="6">
        <v>1100</v>
      </c>
      <c r="EX281" s="6">
        <v>0</v>
      </c>
      <c r="EY281" s="6">
        <v>2126.7981380904839</v>
      </c>
      <c r="EZ281" s="6">
        <v>1611</v>
      </c>
      <c r="FA281" s="6">
        <v>0</v>
      </c>
      <c r="FB281" s="6">
        <v>0</v>
      </c>
      <c r="FC281" s="6">
        <v>0</v>
      </c>
      <c r="FD281" s="6">
        <v>0</v>
      </c>
      <c r="FE281" s="6">
        <v>0</v>
      </c>
      <c r="FF281" s="6">
        <v>0</v>
      </c>
      <c r="FG281" s="6">
        <v>0</v>
      </c>
      <c r="FH281" s="6">
        <v>1154.7850800530362</v>
      </c>
      <c r="FI281" s="6">
        <v>1531.4299904380618</v>
      </c>
      <c r="FJ281" s="6">
        <v>2070.720584253821</v>
      </c>
      <c r="FK281" s="6">
        <v>1746.9903521590436</v>
      </c>
      <c r="FL281" s="6">
        <v>893.9143356348934</v>
      </c>
      <c r="FM281" s="6">
        <v>1776.7981380904839</v>
      </c>
      <c r="FN281" s="6">
        <v>0</v>
      </c>
      <c r="FO281" s="6">
        <v>0</v>
      </c>
      <c r="FP281" s="6">
        <v>0</v>
      </c>
      <c r="FQ281" s="6">
        <v>0</v>
      </c>
      <c r="FR281" s="6">
        <v>0</v>
      </c>
      <c r="FS281" s="6">
        <v>0</v>
      </c>
      <c r="FT281" s="7">
        <v>0.60212776983959293</v>
      </c>
      <c r="FU281" s="7">
        <v>3.6776861896411661E-2</v>
      </c>
      <c r="FV281" s="7">
        <v>0.36109536826399552</v>
      </c>
      <c r="FW281" s="6">
        <v>1100</v>
      </c>
      <c r="FX281" s="6">
        <v>2126.7981380904839</v>
      </c>
      <c r="FY281" s="6">
        <v>1611</v>
      </c>
      <c r="FZ281" s="6">
        <v>2594.6978186474794</v>
      </c>
      <c r="GA281" s="6">
        <v>1322.2821465029483</v>
      </c>
      <c r="GB281" s="6">
        <v>18372.717853497052</v>
      </c>
      <c r="GC281" s="7">
        <v>9.6947029492584935E-2</v>
      </c>
      <c r="GD281" s="7">
        <v>8.3953312025405499E-2</v>
      </c>
      <c r="GE281" s="7"/>
      <c r="GF281" s="7"/>
      <c r="GG281" s="7">
        <v>-0.13402904178898303</v>
      </c>
      <c r="GH281" s="42">
        <v>2.0745594665500025</v>
      </c>
      <c r="GI281" s="6">
        <v>10815.863949078526</v>
      </c>
      <c r="GJ281" s="14">
        <v>0.51074630601039539</v>
      </c>
      <c r="GK281" s="14">
        <v>0.50829519786160915</v>
      </c>
      <c r="GL281" s="14">
        <v>0.48925369398960417</v>
      </c>
      <c r="GM281" s="14">
        <v>0.49170480213838985</v>
      </c>
      <c r="GO281" s="5">
        <v>338.16872463277008</v>
      </c>
      <c r="GP281" s="5">
        <v>317.18282312950942</v>
      </c>
      <c r="GQ281" s="5">
        <v>527.27910984145694</v>
      </c>
      <c r="GR281" s="5">
        <v>404.20319246551543</v>
      </c>
      <c r="GS281" s="5">
        <v>334.50205195691484</v>
      </c>
      <c r="GT281" s="5">
        <v>289.18266033348181</v>
      </c>
      <c r="GU281" s="5">
        <v>254.29573314828914</v>
      </c>
      <c r="GV281" s="39" t="s">
        <v>392</v>
      </c>
      <c r="GW281" s="5">
        <v>482.65277777777777</v>
      </c>
      <c r="GX281" s="5">
        <v>361.98958333333331</v>
      </c>
      <c r="GY281" s="5">
        <v>289.59166666666664</v>
      </c>
      <c r="GZ281" s="5">
        <v>255.53408606924114</v>
      </c>
      <c r="HA281" s="5">
        <v>236.70336205047309</v>
      </c>
      <c r="HB281" s="39">
        <v>270.17108034960495</v>
      </c>
      <c r="HC281" s="5">
        <v>212.63437499999998</v>
      </c>
      <c r="HD281" s="5">
        <v>188.21935307017537</v>
      </c>
      <c r="HE281" s="5">
        <v>192.80234058704451</v>
      </c>
      <c r="HF281" s="5">
        <v>180.44879934210525</v>
      </c>
      <c r="HG281" s="5">
        <v>176.69743421052632</v>
      </c>
      <c r="HH281" s="39">
        <v>189.74447655712603</v>
      </c>
      <c r="HI281" s="16"/>
      <c r="HJ281" s="19" t="str">
        <f t="shared" si="942"/>
        <v>On</v>
      </c>
      <c r="HK281" s="1" t="str">
        <f t="shared" si="942"/>
        <v>On</v>
      </c>
      <c r="HL281" s="16"/>
      <c r="HM281" s="639">
        <f t="shared" si="861"/>
        <v>5.0961701597560354E-2</v>
      </c>
      <c r="HN281" s="639">
        <f t="shared" si="862"/>
        <v>3.112551654761847E-3</v>
      </c>
      <c r="HO281" s="639">
        <f t="shared" si="863"/>
        <v>3.1163314184693442E-2</v>
      </c>
      <c r="HP281" s="644">
        <f>(FT281*$GD281-HM281)/$JF281*INDEX(Input!$1:$1048576,$JG$93,$C281*2+6)</f>
        <v>-7.7212524023765301</v>
      </c>
      <c r="HQ281" s="644">
        <f>(FU281*$GD281-HN281)/$JF281*INDEX(Input!$1:$1048576,$JG$93,$C281*2+6)</f>
        <v>-0.46980083721524762</v>
      </c>
      <c r="HR281" s="644">
        <f>(FV281*$GD281-HO281)/$JF281*INDEX(Input!$1:$1048576,$JG$93,$C281*2+6)</f>
        <v>-15.930856568628924</v>
      </c>
      <c r="HS281" s="644">
        <f t="shared" si="926"/>
        <v>2.081268245157196</v>
      </c>
      <c r="HT281" s="644">
        <f t="shared" si="865"/>
        <v>-7.891792806207687</v>
      </c>
      <c r="HU281" s="644">
        <f t="shared" si="866"/>
        <v>-14.730882069029057</v>
      </c>
      <c r="HV281" s="648">
        <f t="shared" si="867"/>
        <v>0</v>
      </c>
      <c r="HW281" s="648">
        <f t="shared" si="868"/>
        <v>0</v>
      </c>
      <c r="HX281" s="648">
        <f t="shared" si="869"/>
        <v>0</v>
      </c>
      <c r="HY281" s="644">
        <f>INDEX(Input!$1:$1048576,HY$93,$C281*2+6)*INDEX(Input!$1:$1048576,$JG$93,$C281*2+6)</f>
        <v>555</v>
      </c>
      <c r="HZ281" s="644">
        <f>INDEX(Input!$1:$1048576,HZ$93,$C281*2+6)*INDEX(Input!$1:$1048576,$JG$93,$C281*2+6)</f>
        <v>480</v>
      </c>
      <c r="IA281" s="644">
        <f>INDEX(Input!$1:$1048576,IA$93,$C281*2+6)*INDEX(Input!$1:$1048576,$JG$93,$C281*2+6)</f>
        <v>566</v>
      </c>
      <c r="IB281" s="644">
        <f t="shared" si="870"/>
        <v>549.36001584278074</v>
      </c>
      <c r="IC281" s="644">
        <f t="shared" si="871"/>
        <v>471.63840635657709</v>
      </c>
      <c r="ID281" s="644">
        <f>IF(AND(INDEX(Input!$1:$1048576,IA$93,$C281*2+7)="TOS",Y281&lt;=INDEX(Y:Y,MATCH(C281*1000+2,A:A))),0,1)*MAX(IA281+HR281+HU281+HX281,0%)</f>
        <v>535.33826136234211</v>
      </c>
      <c r="IE281" s="128">
        <f t="shared" ref="IE281" si="943">IB281/SUM($IB281:$ID281)</f>
        <v>0.35298275857995076</v>
      </c>
      <c r="IF281" s="128">
        <f t="shared" ref="IF281" si="944">IC281/SUM($IB281:$ID281)</f>
        <v>0.30304394372895299</v>
      </c>
      <c r="IG281" s="128">
        <f t="shared" si="874"/>
        <v>0.3439732976910963</v>
      </c>
      <c r="IH281" s="21"/>
      <c r="II281" s="19">
        <f t="shared" si="875"/>
        <v>1200</v>
      </c>
      <c r="IJ281" s="19">
        <f t="shared" si="876"/>
        <v>2226.7968732767699</v>
      </c>
      <c r="IK281" s="19">
        <f t="shared" si="877"/>
        <v>1786</v>
      </c>
      <c r="IL281" s="19">
        <f t="shared" si="878"/>
        <v>-100</v>
      </c>
      <c r="IM281" s="19">
        <f t="shared" si="879"/>
        <v>-99.998735186286012</v>
      </c>
      <c r="IN281" s="19">
        <f t="shared" si="880"/>
        <v>-175</v>
      </c>
      <c r="IO281" s="39">
        <f t="shared" si="881"/>
        <v>0</v>
      </c>
      <c r="IP281" s="39">
        <f t="shared" si="882"/>
        <v>0</v>
      </c>
      <c r="IQ281" s="39">
        <f t="shared" si="883"/>
        <v>0</v>
      </c>
      <c r="IR281" s="39">
        <v>0</v>
      </c>
      <c r="IS281" s="39">
        <v>0</v>
      </c>
      <c r="IT281" s="39">
        <v>0</v>
      </c>
      <c r="IU281" s="39">
        <v>0</v>
      </c>
      <c r="IV281" s="39">
        <v>0</v>
      </c>
      <c r="IW281" s="39">
        <v>0</v>
      </c>
      <c r="IX281" s="39">
        <f>INDEX(Input!$1:$1048576,IX$93,$C281*2+6)+INDEX(Input!$1:$1048576,IX$94,$C281*2+6)</f>
        <v>1600</v>
      </c>
      <c r="IY281" s="39">
        <f>INDEX(Input!$1:$1048576,IY$93,$C281*2+6)+INDEX(Input!$1:$1048576,IY$94,$C281*2+6)</f>
        <v>2503.5492916397525</v>
      </c>
      <c r="IZ281" s="39">
        <f>INDEX(Input!$1:$1048576,IZ$93,$C281*2+6)+INDEX(Input!$1:$1048576,IZ$94,$C281*2+6)</f>
        <v>5773.7109265464023</v>
      </c>
      <c r="JA281" s="19">
        <f t="shared" si="884"/>
        <v>1500</v>
      </c>
      <c r="JB281" s="19">
        <f t="shared" si="885"/>
        <v>2403.5505564534665</v>
      </c>
      <c r="JC281" s="19">
        <f t="shared" si="886"/>
        <v>5598.7109265464023</v>
      </c>
      <c r="JD281" s="19">
        <f t="shared" si="887"/>
        <v>3183.6626376728432</v>
      </c>
      <c r="JE281" s="21"/>
      <c r="JF281" s="1">
        <f t="shared" si="888"/>
        <v>8.5237567437015646E-2</v>
      </c>
      <c r="JG281" s="15">
        <f>INDEX(Input!$1:$1048576,JG$93,$C281*2+6)/(1+VLOOKUP(C281*1000+INDEX(Input!$1:$1048576,JG$93+1,$C281*2+6),$A:$KK,$JK$92,FALSE))</f>
        <v>1601</v>
      </c>
      <c r="JH281" s="1">
        <f t="shared" si="889"/>
        <v>-1.5066776894578826E-2</v>
      </c>
      <c r="JI281" s="1">
        <f t="shared" si="890"/>
        <v>-1.2830360168694285E-2</v>
      </c>
      <c r="JJ281" s="1">
        <f t="shared" si="891"/>
        <v>0</v>
      </c>
      <c r="JK281" s="1">
        <f t="shared" si="892"/>
        <v>-2.7897137063273111E-2</v>
      </c>
      <c r="JL281" s="15">
        <f t="shared" si="893"/>
        <v>-44.663316438300249</v>
      </c>
      <c r="JM281" s="15">
        <f t="shared" si="894"/>
        <v>1556.3366835616998</v>
      </c>
      <c r="JN281" s="21"/>
      <c r="JO281" s="19">
        <f>INDEX(Input!$1:$1048576,JO$93,$C281*2+6)</f>
        <v>5908.5</v>
      </c>
      <c r="JP281" s="19">
        <f>INDEX(Input!$1:$1048576,JP$93,$C281*2+6)</f>
        <v>3346.4235130620518</v>
      </c>
      <c r="JQ281" s="39">
        <f t="shared" si="895"/>
        <v>2724.8373623271568</v>
      </c>
      <c r="JR281" s="39">
        <f t="shared" si="896"/>
        <v>-162.76087538920865</v>
      </c>
      <c r="JS281" s="39">
        <f t="shared" si="897"/>
        <v>4.9548509510950467</v>
      </c>
      <c r="JT281" s="39">
        <f t="shared" si="898"/>
        <v>-0.40277309331729821</v>
      </c>
      <c r="JU281" s="385">
        <f>(JQ281*JM281-INDEX(Input!$1:$1048576,Input!A$18,$C281*2+6)*JL281*INDEX(Input!$1:$1048576,Input!A$19,$C281*2+6))/1000000</f>
        <v>4.240764343729257</v>
      </c>
      <c r="JV281" s="39">
        <f t="shared" si="899"/>
        <v>0.13887988814160224</v>
      </c>
      <c r="JW281" s="1">
        <f t="shared" si="900"/>
        <v>3.3857581715257178E-2</v>
      </c>
      <c r="JX281" s="19">
        <f t="shared" si="901"/>
        <v>9017.9844542826468</v>
      </c>
      <c r="JZ281" s="341"/>
      <c r="KA281" s="342"/>
      <c r="KB281" s="469">
        <f t="shared" si="922"/>
        <v>2.4482969984810516</v>
      </c>
      <c r="KI281" s="473">
        <f t="shared" si="902"/>
        <v>-5.6399841572192599</v>
      </c>
      <c r="KJ281" s="473">
        <f t="shared" si="903"/>
        <v>-8.361593643422907</v>
      </c>
      <c r="KK281" s="473">
        <f t="shared" si="904"/>
        <v>-30.661738637657891</v>
      </c>
      <c r="KN281" s="544">
        <f t="shared" si="905"/>
        <v>2002</v>
      </c>
      <c r="KO281" s="541">
        <f t="shared" si="906"/>
        <v>-9.9216500656843842E-2</v>
      </c>
      <c r="KP281" s="546">
        <f t="shared" si="907"/>
        <v>-500.00347974481849</v>
      </c>
      <c r="KQ281" s="546">
        <f t="shared" si="908"/>
        <v>-541.94093728369535</v>
      </c>
      <c r="KR281" s="548">
        <f t="shared" si="909"/>
        <v>3.1688332083275741</v>
      </c>
      <c r="KS281" s="548">
        <f t="shared" si="910"/>
        <v>2.9236168037723047</v>
      </c>
      <c r="KT281" s="473">
        <f t="shared" si="923"/>
        <v>528.59039248727379</v>
      </c>
      <c r="KU281" s="663">
        <f t="shared" si="911"/>
        <v>12.028141318291341</v>
      </c>
    </row>
    <row r="282" spans="1:307" s="26" customFormat="1" ht="15" outlineLevel="1">
      <c r="A282" s="561">
        <f t="shared" si="915"/>
        <v>2082</v>
      </c>
      <c r="B282" s="561">
        <f t="shared" si="920"/>
        <v>82</v>
      </c>
      <c r="C282" s="561">
        <f t="shared" si="857"/>
        <v>2</v>
      </c>
      <c r="D282" s="561" t="str">
        <f t="shared" si="859"/>
        <v xml:space="preserve">-500 BC, </v>
      </c>
      <c r="E282" s="475">
        <f>INDEX(Input!$1:$1048576,E$93,$C282*2+MIN($B282,2)+5)
+INDEX(Scenarios!E$121:E$200,MATCH($B282,Scenarios!$B$121:$B$200,0))</f>
        <v>1250</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0</v>
      </c>
      <c r="V282" s="478">
        <f>IFERROR(MAX(0,INDEX(Input!$1:$1048576,V$93,$C282*2+MIN($B282,2)+5)
+INDEX(Scenarios!V$121:V$200,MATCH($B282,Scenarios!$B$121:$B$200,0)),),"Market")</f>
        <v>1.9E-2</v>
      </c>
      <c r="W282" s="863">
        <f>IFERROR(MAX(0,INDEX(Input!$1:$1048576,W$93,$C282*2+MIN($B282,2)+5)-0%,),"Market")</f>
        <v>3.9E-2</v>
      </c>
      <c r="X282" s="476" t="str">
        <f>INDEX(Input!$1:$1048576,X$93,$C282*2+MIN($B282,2)+5)</f>
        <v>Y</v>
      </c>
      <c r="Y282" s="475">
        <f>INDEX(Input!$1:$1048576,Y$93,$C282*2+MIN($B282,2)+5)
++INDEX(Scenarios!Y$121:Y$200,MATCH($B282,Scenarios!$B$121:$B$200,0))</f>
        <v>1358</v>
      </c>
      <c r="Z282" s="477">
        <f>INDEX(Input!$1:$1048576,Z$93,$C282*2+MIN($B282,2)+5)
+INDEX(Scenarios!Z$121:Z$200,MATCH($B282,Scenarios!$B$121:$B$200,0))</f>
        <v>-500</v>
      </c>
      <c r="AA282" s="475">
        <f>INDEX(Input!$1:$1048576,AA$93,$C282*2+MIN($B282,2)+5)</f>
        <v>0</v>
      </c>
      <c r="AB282" s="476">
        <f>INDEX(Input!$1:$1048576,AB$93,$C282*2+MIN($B282,2)+5)</f>
        <v>1</v>
      </c>
      <c r="AC282" s="475">
        <f>INDEX(Input!$1:$1048576,AC$93,$C282*2+MIN($B282,2)+5)
+INDEX(Scenarios!AC$121:AC$200,MATCH($B282,Scenarios!$B$121:$B$200,0))</f>
        <v>0</v>
      </c>
      <c r="AD282" s="476">
        <f>INDEX(Input!$1:$1048576,AD$93,$C282*2+MIN($B282,2)+5)</f>
        <v>0.35</v>
      </c>
      <c r="AE282" s="475">
        <f>INDEX(Input!$1:$1048576,AE$93,$C282*2+MIN($B282,2)+5)
+INDEX(Scenarios!AE$121:AE$200,MATCH($B282,Scenarios!$B$121:$B$200,0))</f>
        <v>0</v>
      </c>
      <c r="AF282" s="476">
        <f>INDEX(Input!$1:$1048576,AF$93,$C282*2+MIN($B282,2)+5)</f>
        <v>1</v>
      </c>
      <c r="AG282" s="475">
        <f>INDEX(Input!$1:$1048576,AG$93,$C282*2+MIN($B282,2)+5)
+INDEX(Scenarios!AG$121:AG$200,MATCH($B282,Scenarios!$B$121:$B$200,0))</f>
        <v>0</v>
      </c>
      <c r="AH282" s="476">
        <f>INDEX(Input!$1:$1048576,AH$93,$C282*2+MIN($B282,2)+5)</f>
        <v>1</v>
      </c>
      <c r="AI282" s="475">
        <f>INDEX(Input!$1:$1048576,AI$93,$C282*2+MIN($B282,2)+5)
+INDEX(Scenarios!AI$121:AI$200,MATCH($B282,Scenarios!$B$121:$B$200,0))</f>
        <v>0</v>
      </c>
      <c r="AJ282" s="476">
        <f>INDEX(Input!$1:$1048576,AJ$93,$C282*2+MIN($B282,2)+5)</f>
        <v>0.35</v>
      </c>
      <c r="AK282" s="150">
        <f>ROUND(INDEX(Input!$1:$1048576,AK$93,$C281*2+MIN($B282,1)+5)+(Y282-VLOOKUP($C282*1000+1,$A:$HH,Y$92,FALSE)),0)</f>
        <v>4982</v>
      </c>
      <c r="AL282" s="150">
        <f>ROUND(INDEX(Input!$1:$1048576,AL$93,$C281*2+MIN($B282,1)+5)-(Y282-VLOOKUP($C282*1000+1,$A:$HH,Y$92,FALSE))/36,0)</f>
        <v>5102</v>
      </c>
      <c r="AM282" s="32" t="str">
        <f t="shared" si="916"/>
        <v>std/std/std/std</v>
      </c>
      <c r="AN282" s="32" t="str">
        <f t="shared" si="917"/>
        <v>$0 + 0/0/0/1.9/3.9</v>
      </c>
      <c r="AO282" s="32" t="str">
        <f t="shared" si="918"/>
        <v>0/0/0/1.9/3.9</v>
      </c>
      <c r="AP282" s="32" t="str">
        <f t="shared" si="831"/>
        <v>0/0.9/1.9/3.9</v>
      </c>
      <c r="AQ282" s="536">
        <f t="shared" si="830"/>
        <v>0.35298275857995076</v>
      </c>
      <c r="AR282" s="32"/>
      <c r="AS282" s="302"/>
      <c r="AT282" s="3">
        <f t="shared" si="941"/>
        <v>82</v>
      </c>
      <c r="AU282" s="41" t="s">
        <v>121</v>
      </c>
      <c r="AV282" s="41" t="s">
        <v>116</v>
      </c>
      <c r="AW282" s="41" t="str">
        <f>INDEX(Input!$1:$1048576,AW$93,$C282*2+6)</f>
        <v>Kia</v>
      </c>
      <c r="AX282" s="41" t="str">
        <f>INDEX(Input!$1:$1048576,AX$93,$C282*2+6)</f>
        <v>Kia-LR - L2</v>
      </c>
      <c r="AY282" s="41" t="str">
        <f>IF(LEN(D282)=0,"",INDEX(Input!$1:$1048576,AY$93,$C282*2+6))</f>
        <v>Compact Conventional/Sporty Car (43)</v>
      </c>
      <c r="AZ282" s="41" t="str">
        <f>INDEX(Input!$1:$1048576,AZ$93,$C282*2+6)</f>
        <v>Kia Forte</v>
      </c>
      <c r="BA282" s="3">
        <f>INDEX(Input!$1:$1048576,BA$93,$C282*2+6)</f>
        <v>2020</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19695</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832"/>
        <v>1250</v>
      </c>
      <c r="CJ282" s="16" t="str">
        <f>INDEX(Input!$1:$1048576,CJ$93,$C282*2+6)</f>
        <v>N</v>
      </c>
      <c r="CK282" s="1" t="str">
        <f t="shared" si="833"/>
        <v>Market</v>
      </c>
      <c r="CL282" s="1" t="str">
        <f t="shared" si="834"/>
        <v>Market</v>
      </c>
      <c r="CM282" s="1" t="str">
        <f t="shared" si="835"/>
        <v>Market</v>
      </c>
      <c r="CN282" s="1" t="str">
        <f t="shared" si="836"/>
        <v>Market</v>
      </c>
      <c r="CO282" s="1" t="str">
        <f t="shared" si="837"/>
        <v>Market</v>
      </c>
      <c r="CP282" s="304">
        <f t="shared" si="838"/>
        <v>0</v>
      </c>
      <c r="CQ282" s="1">
        <f t="shared" si="839"/>
        <v>0</v>
      </c>
      <c r="CR282" s="1">
        <f t="shared" si="840"/>
        <v>0</v>
      </c>
      <c r="CS282" s="1">
        <f t="shared" si="841"/>
        <v>0</v>
      </c>
      <c r="CT282" s="1">
        <f t="shared" si="842"/>
        <v>1.9E-2</v>
      </c>
      <c r="CU282" s="1">
        <f t="shared" si="843"/>
        <v>3.9E-2</v>
      </c>
      <c r="CV282" s="304">
        <f t="shared" si="844"/>
        <v>1358</v>
      </c>
      <c r="CW282" s="20" t="s">
        <v>122</v>
      </c>
      <c r="CX282" s="20" t="s">
        <v>122</v>
      </c>
      <c r="CY282" s="20" t="s">
        <v>122</v>
      </c>
      <c r="CZ282" s="20" t="s">
        <v>122</v>
      </c>
      <c r="DA282" s="20" t="s">
        <v>122</v>
      </c>
      <c r="DB282" s="503">
        <f t="shared" si="845"/>
        <v>-500</v>
      </c>
      <c r="DC282" s="127">
        <v>0</v>
      </c>
      <c r="DD282" s="127">
        <v>0</v>
      </c>
      <c r="DE282" s="127">
        <v>0</v>
      </c>
      <c r="DF282" s="127">
        <v>0</v>
      </c>
      <c r="DG282" s="127">
        <v>0</v>
      </c>
      <c r="DH282" s="127">
        <v>0</v>
      </c>
      <c r="DI282" s="127">
        <v>0</v>
      </c>
      <c r="DJ282" s="127">
        <v>0</v>
      </c>
      <c r="DK282" s="127">
        <v>0</v>
      </c>
      <c r="DL282" s="127">
        <v>0</v>
      </c>
      <c r="DM282" s="304">
        <f>INDEX(Input!$1:$1048576,DM$93,$C282*2+6)</f>
        <v>20731.578947368424</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2.7923707178060333E-2</v>
      </c>
      <c r="DZ282" s="7">
        <v>0</v>
      </c>
      <c r="EA282" s="7">
        <v>0.57420406266153257</v>
      </c>
      <c r="EB282" s="7">
        <v>0</v>
      </c>
      <c r="EC282" s="7">
        <v>0</v>
      </c>
      <c r="ED282" s="7">
        <v>0</v>
      </c>
      <c r="EE282" s="7">
        <v>0</v>
      </c>
      <c r="EF282" s="7">
        <v>0</v>
      </c>
      <c r="EG282" s="7">
        <v>0</v>
      </c>
      <c r="EH282" s="7">
        <v>1.6190171155201438E-2</v>
      </c>
      <c r="EI282" s="7">
        <v>2.6439833152747502E-2</v>
      </c>
      <c r="EJ282" s="7">
        <v>0.26567787654660169</v>
      </c>
      <c r="EK282" s="7">
        <v>0.64373286440109567</v>
      </c>
      <c r="EL282" s="7">
        <v>4.7959254744352697E-2</v>
      </c>
      <c r="EM282" s="7">
        <v>3.6776861896411661E-2</v>
      </c>
      <c r="EN282" s="7">
        <v>4.8609646544956052E-2</v>
      </c>
      <c r="EO282" s="7">
        <v>0.56308690633528402</v>
      </c>
      <c r="EP282" s="7">
        <v>0.28361105671283909</v>
      </c>
      <c r="EQ282" s="7">
        <v>6.5253364281755211E-2</v>
      </c>
      <c r="ER282" s="7">
        <v>3.9439026125165505E-2</v>
      </c>
      <c r="ES282" s="7">
        <v>0.36109536826399552</v>
      </c>
      <c r="ET282" s="7">
        <v>0.39787223016040713</v>
      </c>
      <c r="EU282" s="6">
        <v>1100</v>
      </c>
      <c r="EV282" s="6">
        <v>0</v>
      </c>
      <c r="EW282" s="6">
        <v>1100</v>
      </c>
      <c r="EX282" s="6">
        <v>0</v>
      </c>
      <c r="EY282" s="6">
        <v>2126.7981380904839</v>
      </c>
      <c r="EZ282" s="6">
        <v>1611</v>
      </c>
      <c r="FA282" s="6">
        <v>0</v>
      </c>
      <c r="FB282" s="6">
        <v>0</v>
      </c>
      <c r="FC282" s="6">
        <v>0</v>
      </c>
      <c r="FD282" s="6">
        <v>0</v>
      </c>
      <c r="FE282" s="6">
        <v>0</v>
      </c>
      <c r="FF282" s="6">
        <v>0</v>
      </c>
      <c r="FG282" s="6">
        <v>0</v>
      </c>
      <c r="FH282" s="6">
        <v>1154.7850800530362</v>
      </c>
      <c r="FI282" s="6">
        <v>1531.4299904380618</v>
      </c>
      <c r="FJ282" s="6">
        <v>2070.720584253821</v>
      </c>
      <c r="FK282" s="6">
        <v>1746.9903521590436</v>
      </c>
      <c r="FL282" s="6">
        <v>893.9143356348934</v>
      </c>
      <c r="FM282" s="6">
        <v>1776.7981380904839</v>
      </c>
      <c r="FN282" s="6">
        <v>0</v>
      </c>
      <c r="FO282" s="6">
        <v>0</v>
      </c>
      <c r="FP282" s="6">
        <v>0</v>
      </c>
      <c r="FQ282" s="6">
        <v>0</v>
      </c>
      <c r="FR282" s="6">
        <v>0</v>
      </c>
      <c r="FS282" s="6">
        <v>0</v>
      </c>
      <c r="FT282" s="7">
        <v>0.60212776983959293</v>
      </c>
      <c r="FU282" s="7">
        <v>3.6776861896411661E-2</v>
      </c>
      <c r="FV282" s="7">
        <v>0.36109536826399552</v>
      </c>
      <c r="FW282" s="6">
        <v>1100</v>
      </c>
      <c r="FX282" s="6">
        <v>2126.7981380904839</v>
      </c>
      <c r="FY282" s="6">
        <v>1611</v>
      </c>
      <c r="FZ282" s="6">
        <v>2594.6978186474794</v>
      </c>
      <c r="GA282" s="6">
        <v>1322.2821465029483</v>
      </c>
      <c r="GB282" s="6">
        <v>18372.717853497052</v>
      </c>
      <c r="GC282" s="7">
        <v>9.6947029492584935E-2</v>
      </c>
      <c r="GD282" s="7">
        <v>8.3953312025405499E-2</v>
      </c>
      <c r="GE282" s="7"/>
      <c r="GF282" s="7"/>
      <c r="GG282" s="7">
        <v>-0.13402904178898303</v>
      </c>
      <c r="GH282" s="42">
        <v>2.0745594665500025</v>
      </c>
      <c r="GI282" s="6">
        <v>10815.863949078526</v>
      </c>
      <c r="GJ282" s="14">
        <v>0.51074630601039539</v>
      </c>
      <c r="GK282" s="14">
        <v>0.50829519786160915</v>
      </c>
      <c r="GL282" s="14">
        <v>0.48925369398960417</v>
      </c>
      <c r="GM282" s="14">
        <v>0.49170480213838985</v>
      </c>
      <c r="GO282" s="5">
        <v>338.16872463277008</v>
      </c>
      <c r="GP282" s="5">
        <v>317.18282312950942</v>
      </c>
      <c r="GQ282" s="5">
        <v>527.27910984145694</v>
      </c>
      <c r="GR282" s="5">
        <v>404.20319246551543</v>
      </c>
      <c r="GS282" s="5">
        <v>334.50205195691484</v>
      </c>
      <c r="GT282" s="5">
        <v>289.18266033348181</v>
      </c>
      <c r="GU282" s="5">
        <v>254.29573314828914</v>
      </c>
      <c r="GV282" s="39" t="s">
        <v>392</v>
      </c>
      <c r="GW282" s="5">
        <v>482.65277777777777</v>
      </c>
      <c r="GX282" s="5">
        <v>361.98958333333331</v>
      </c>
      <c r="GY282" s="5">
        <v>289.59166666666664</v>
      </c>
      <c r="GZ282" s="5">
        <v>255.53408606924114</v>
      </c>
      <c r="HA282" s="5">
        <v>236.70336205047309</v>
      </c>
      <c r="HB282" s="39">
        <v>270.17108034960495</v>
      </c>
      <c r="HC282" s="5">
        <v>212.63437499999998</v>
      </c>
      <c r="HD282" s="5">
        <v>188.21935307017537</v>
      </c>
      <c r="HE282" s="5">
        <v>192.80234058704451</v>
      </c>
      <c r="HF282" s="5">
        <v>180.44879934210525</v>
      </c>
      <c r="HG282" s="5">
        <v>176.69743421052632</v>
      </c>
      <c r="HH282" s="39">
        <v>189.74447655712603</v>
      </c>
      <c r="HI282" s="16"/>
      <c r="HJ282" s="19" t="str">
        <f t="shared" ref="HJ282:HK287" si="945">HJ281</f>
        <v>On</v>
      </c>
      <c r="HK282" s="1" t="str">
        <f t="shared" si="945"/>
        <v>On</v>
      </c>
      <c r="HL282" s="16"/>
      <c r="HM282" s="889">
        <f t="shared" ref="HM282:HO287" si="946">VLOOKUP($C282*1000+1,$A:$HH,FT$92,FALSE)*$JF282</f>
        <v>5.0961701597560354E-2</v>
      </c>
      <c r="HN282" s="889">
        <f t="shared" si="946"/>
        <v>3.112551654761847E-3</v>
      </c>
      <c r="HO282" s="889">
        <f t="shared" si="946"/>
        <v>3.1163314184693442E-2</v>
      </c>
      <c r="HP282" s="890">
        <f>(FT282*$GD282-HM282)/$JF282*INDEX(Input!$1:$1048576,$JG$93,$C282*2+6)</f>
        <v>-7.7212524023765301</v>
      </c>
      <c r="HQ282" s="890">
        <f>(FU282*$GD282-HN282)/$JF282*INDEX(Input!$1:$1048576,$JG$93,$C282*2+6)</f>
        <v>-0.46980083721524762</v>
      </c>
      <c r="HR282" s="890">
        <f>(FV282*$GD282-HO282)/$JF282*INDEX(Input!$1:$1048576,$JG$93,$C282*2+6)</f>
        <v>-15.930856568628924</v>
      </c>
      <c r="HS282" s="890">
        <f t="shared" ref="HS282:HS287" si="947">IF(AND(HJ282="On",HK282="On"),IL282/1000*INDEX(KG:KG,MATCH(C282*1000+3,$KF:$KF,0))*SUM(HY282:IA282)*1.1
+INDEX(HR:HR,MATCH(C282*1000+4,$KF:$KF,0))/INDEX(IM:IM,MATCH(C282*1000+4,$KF:$KF,0))*IM282*20%,0)</f>
        <v>2.081268245157196</v>
      </c>
      <c r="HT282" s="890">
        <f t="shared" ref="HT282:HT287" si="948">IF(AND(HJ282="On",HK282="On"),IM282/1000*INDEX(KG:KG,MATCH(C282*1000+4,$KF:$KF,0))*SUM(HY282:IA282)*1.1
+INDEX(HR:HR,MATCH(C282*1000+3,$KF:$KF,0))/INDEX(IL:IL,MATCH(C282*1000+3,$KF:$KF,0))*IL282*20%,0)</f>
        <v>-7.891792806207687</v>
      </c>
      <c r="HU282" s="890">
        <f t="shared" ref="HU282:HU287" si="949">IF(HJ282="On",IN282/1000*INDEX(KG:KG,MATCH(C282*1000+5,$KF:$KF,0))*SUM(HY282:IA282)*1.1
-INDEX(HR:HR,MATCH(C282*1000+3,$KF:$KF,0))/INDEX(IL:IL,MATCH(C282*1000+3,$KF:$KF,0))*IL282*20%
-INDEX(HR:HR,MATCH(C282*1000+4,$KF:$KF,0))/INDEX(IM:IM,MATCH(C282*1000+4,$KF:$KF,0))*IM282*20%,0)</f>
        <v>-14.730882069029057</v>
      </c>
      <c r="HV282" s="891">
        <f t="shared" ref="HV282:HV287" si="950">IL282/1000*0+IM282/1000*0+IN282/1000*0
+(CP282-INDEX(CP:CP,MATCH(C282*1000+1,A:A,0)))/1000*0+IF(FU282&gt;0,0,0)</f>
        <v>0</v>
      </c>
      <c r="HW282" s="891">
        <f t="shared" ref="HW282:HW287" si="951">IL282/1000*0+IM282/1000*0+IN282/1000*0
+(CP282-INDEX(CP:CP,MATCH(C282*1000+1,A:A,0)))/1000*0+IF(FU282&gt;0,0,0)</f>
        <v>0</v>
      </c>
      <c r="HX282" s="891">
        <f t="shared" ref="HX282:HX287" si="952">IL282/1000*0+IM282/1000*0+IN282/1000*0
+(CP282-INDEX(CP:CP,MATCH(C282*1000+1,A:A,0)))/1000*0+IF(FU282&gt;0,0,0)</f>
        <v>0</v>
      </c>
      <c r="HY282" s="890">
        <f>INDEX(Input!$1:$1048576,HY$93,$C282*2+6)*INDEX(Input!$1:$1048576,$JG$93,$C282*2+6)</f>
        <v>555</v>
      </c>
      <c r="HZ282" s="890">
        <f>INDEX(Input!$1:$1048576,HZ$93,$C282*2+6)*INDEX(Input!$1:$1048576,$JG$93,$C282*2+6)</f>
        <v>480</v>
      </c>
      <c r="IA282" s="890">
        <f>INDEX(Input!$1:$1048576,IA$93,$C282*2+6)*INDEX(Input!$1:$1048576,$JG$93,$C282*2+6)</f>
        <v>566</v>
      </c>
      <c r="IB282" s="890">
        <f t="shared" ref="IB282:IB287" si="953">SUM(HP282:IA282)-IC282-ID282</f>
        <v>549.36001584278074</v>
      </c>
      <c r="IC282" s="890">
        <f t="shared" ref="IC282:IC287" si="954">MAX(HZ282+HQ282+HT282+HW282,0%)</f>
        <v>471.63840635657709</v>
      </c>
      <c r="ID282" s="890">
        <f>IF(AND(INDEX(Input!$1:$1048576,IA$93,$C282*2+7)="TOS",Y282&lt;=INDEX(Y:Y,MATCH(C282*1000+2,A:A))),0,1)*MAX(IA282+HR282+HU282+HX282,0%)</f>
        <v>535.33826136234211</v>
      </c>
      <c r="IE282" s="892">
        <f t="shared" ref="IE282:IG287" si="955">IB282/SUM($IB282:$ID282)</f>
        <v>0.35298275857995076</v>
      </c>
      <c r="IF282" s="892">
        <f t="shared" si="955"/>
        <v>0.30304394372895299</v>
      </c>
      <c r="IG282" s="892">
        <f t="shared" si="955"/>
        <v>0.3439732976910963</v>
      </c>
      <c r="IH282" s="21"/>
      <c r="II282" s="19">
        <f t="shared" ref="II282:II287" si="956">VLOOKUP($C282*1000+1,$A:$HH,FW$92,FALSE)-VLOOKUP($C282*1000+1,$A:$HH,FA$92,FALSE)*VLOOKUP($C282*1000+1,$A:$HH,DZ$92,FALSE)/VLOOKUP($C282*1000+1,$A:$HH,FT$92,FALSE)</f>
        <v>1200</v>
      </c>
      <c r="IJ282" s="19">
        <f t="shared" ref="IJ282:IK287" si="957">VLOOKUP($C282*1000+1,$A:$HH,FX$92,FALSE)</f>
        <v>2226.7968732767699</v>
      </c>
      <c r="IK282" s="19">
        <f t="shared" si="957"/>
        <v>1786</v>
      </c>
      <c r="IL282" s="19">
        <f t="shared" ref="IL282:IL287" si="958">(FW282-FA282*DZ282/FT282)-II282</f>
        <v>-100</v>
      </c>
      <c r="IM282" s="19">
        <f t="shared" ref="IM282:IN287" si="959">FX282-IJ282</f>
        <v>-99.998735186286012</v>
      </c>
      <c r="IN282" s="19">
        <f t="shared" si="959"/>
        <v>-175</v>
      </c>
      <c r="IO282" s="39">
        <f t="shared" ref="IO282:IQ287" si="960">(F282-VLOOKUP($C282*1000+1,$A:$HH,F$92,FALSE))*(1-$I282)</f>
        <v>0</v>
      </c>
      <c r="IP282" s="39">
        <f t="shared" si="960"/>
        <v>0</v>
      </c>
      <c r="IQ282" s="39">
        <f t="shared" si="960"/>
        <v>0</v>
      </c>
      <c r="IR282" s="39">
        <v>0</v>
      </c>
      <c r="IS282" s="39">
        <v>0</v>
      </c>
      <c r="IT282" s="39">
        <v>0</v>
      </c>
      <c r="IU282" s="39">
        <v>0</v>
      </c>
      <c r="IV282" s="39">
        <v>0</v>
      </c>
      <c r="IW282" s="39">
        <v>0</v>
      </c>
      <c r="IX282" s="39">
        <f>INDEX(Input!$1:$1048576,IX$93,$C282*2+6)+INDEX(Input!$1:$1048576,IX$94,$C282*2+6)</f>
        <v>1600</v>
      </c>
      <c r="IY282" s="39">
        <f>INDEX(Input!$1:$1048576,IY$93,$C282*2+6)+INDEX(Input!$1:$1048576,IY$94,$C282*2+6)</f>
        <v>2503.5492916397525</v>
      </c>
      <c r="IZ282" s="39">
        <f>INDEX(Input!$1:$1048576,IZ$93,$C282*2+6)+INDEX(Input!$1:$1048576,IZ$94,$C282*2+6)</f>
        <v>5773.7109265464023</v>
      </c>
      <c r="JA282" s="19">
        <f t="shared" ref="JA282:JC287" si="961">(IL282+IO282+IR282+IU282+IX282)</f>
        <v>1500</v>
      </c>
      <c r="JB282" s="19">
        <f t="shared" si="961"/>
        <v>2403.5505564534665</v>
      </c>
      <c r="JC282" s="19">
        <f t="shared" si="961"/>
        <v>5598.7109265464023</v>
      </c>
      <c r="JD282" s="19">
        <f t="shared" ref="JD282:JD287" si="962">SUMPRODUCT(IE282:IG282,JA282:JC282)</f>
        <v>3183.6626376728432</v>
      </c>
      <c r="JE282" s="21"/>
      <c r="JF282" s="1">
        <f t="shared" ref="JF282:JF287" si="963">VLOOKUP($C282*1000+1,$A:$HH,GD$92,FALSE)</f>
        <v>8.5237567437015646E-2</v>
      </c>
      <c r="JG282" s="15">
        <f>INDEX(Input!$1:$1048576,JG$93,$C282*2+6)/(1+VLOOKUP(C282*1000+INDEX(Input!$1:$1048576,JG$93+1,$C282*2+6),$A:$KK,$JK$92,FALSE))</f>
        <v>1601</v>
      </c>
      <c r="JH282" s="1">
        <f t="shared" ref="JH282:JH287" si="964">SUM(HP282:HR282)/SUM(HY282:IA282)</f>
        <v>-1.5066776894578826E-2</v>
      </c>
      <c r="JI282" s="1">
        <f t="shared" ref="JI282:JI287" si="965">SUM(HS282:HU282)/SUM(HY282:IA282)</f>
        <v>-1.2830360168694285E-2</v>
      </c>
      <c r="JJ282" s="1">
        <f t="shared" ref="JJ282:JJ287" si="966">SUM(HV282:HX282)/SUM(HY282:IA282)</f>
        <v>0</v>
      </c>
      <c r="JK282" s="1">
        <f t="shared" ref="JK282:JK287" si="967">SUM(JH282:JJ282)</f>
        <v>-2.7897137063273111E-2</v>
      </c>
      <c r="JL282" s="15">
        <f t="shared" ref="JL282:JL287" si="968">JG282*JK282</f>
        <v>-44.663316438300249</v>
      </c>
      <c r="JM282" s="15">
        <f t="shared" ref="JM282:JM287" si="969">JG282+JL282</f>
        <v>1556.3366835616998</v>
      </c>
      <c r="JN282" s="21"/>
      <c r="JO282" s="19">
        <f>INDEX(Input!$1:$1048576,JO$93,$C282*2+6)</f>
        <v>5908.5</v>
      </c>
      <c r="JP282" s="19">
        <f>INDEX(Input!$1:$1048576,JP$93,$C282*2+6)</f>
        <v>3346.4235130620518</v>
      </c>
      <c r="JQ282" s="39">
        <f t="shared" ref="JQ282:JQ287" si="970">JO282-JD282</f>
        <v>2724.8373623271568</v>
      </c>
      <c r="JR282" s="39">
        <f t="shared" ref="JR282:JR287" si="971">JD282-JP282</f>
        <v>-162.76087538920865</v>
      </c>
      <c r="JS282" s="39">
        <f t="shared" ref="JS282:JS287" si="972">JM282*JD282/1000000</f>
        <v>4.9548509510950467</v>
      </c>
      <c r="JT282" s="39">
        <f t="shared" ref="JT282:JT287" si="973">(JD282*JM282-JP282*JG282)/1000000</f>
        <v>-0.40277309331729821</v>
      </c>
      <c r="JU282" s="385">
        <f>(JQ282*JM282-INDEX(Input!$1:$1048576,Input!A$18,$C282*2+6)*JL282*INDEX(Input!$1:$1048576,Input!A$19,$C282*2+6))/1000000</f>
        <v>4.240764343729257</v>
      </c>
      <c r="JV282" s="39">
        <f t="shared" ref="JV282:JV287" si="974">JU282-(JO282-JP282)*JG282/1000000</f>
        <v>0.13887988814160224</v>
      </c>
      <c r="JW282" s="1">
        <f t="shared" ref="JW282:JW287" si="975">JV282/(JU282-JV282)</f>
        <v>3.3857581715257178E-2</v>
      </c>
      <c r="JX282" s="19">
        <f t="shared" ref="JX282:JX287" si="976">IF(JL282=0,0,JT282/JL282)*1000000</f>
        <v>9017.9844542826468</v>
      </c>
      <c r="JZ282" s="341"/>
      <c r="KA282" s="342"/>
      <c r="KB282" s="469">
        <f t="shared" ref="KB282:KB287" si="977">KB281</f>
        <v>2.4482969984810516</v>
      </c>
      <c r="KI282" s="473">
        <f t="shared" ref="KI282:KK287" si="978">$JM282*IE282-$JG282*HY282/SUM($HY282:$IA282)</f>
        <v>-5.6399841572192599</v>
      </c>
      <c r="KJ282" s="473">
        <f t="shared" si="978"/>
        <v>-8.361593643422907</v>
      </c>
      <c r="KK282" s="473">
        <f t="shared" si="978"/>
        <v>-30.661738637657891</v>
      </c>
      <c r="KN282" s="888">
        <f t="shared" ref="KN282:KN287" si="979">KM282+(KN281-KM281)</f>
        <v>2002</v>
      </c>
      <c r="KO282" s="893">
        <f t="shared" ref="KO282:KO287" si="980">JM282/INDEX(JM:JM,MATCH(KN282,A:A,0))-1</f>
        <v>-9.9216500656843842E-2</v>
      </c>
      <c r="KP282" s="894">
        <f t="shared" ref="KP282:KP287" si="981">(IL282-INDEX(IL:IL,MATCH(KN282,A:A,0)))*IE282
+(IM282-IF(HN282=0,INDEX(IX:IX,MATCH(KN282,A:A,0)),INDEX(IM:IM,MATCH(KN282,A:A,0))))*IF282
+(IN282-INDEX(IN:IN,MATCH(KN282,A:A,0)))*IG282</f>
        <v>-500.00347974481849</v>
      </c>
      <c r="KQ282" s="894">
        <f t="shared" ref="KQ282:KQ287" si="982">JD282-INDEX(JD:JD,MATCH(KN282,A:A,0))</f>
        <v>-541.94093728369535</v>
      </c>
      <c r="KR282" s="895">
        <f t="shared" ref="KR282:KR287" si="983">KO282/(KP282/(BX282-INDEX(JD:JD,MATCH(KN282,A:A,0))))</f>
        <v>3.1688332083275741</v>
      </c>
      <c r="KS282" s="895">
        <f t="shared" ref="KS282:KS287" si="984">KO282/(KQ282/(BX282-INDEX(JD:JD,MATCH(KN282,A:A,0))))</f>
        <v>2.9236168037723047</v>
      </c>
      <c r="KT282" s="896">
        <f t="shared" ref="KT282:KT287" si="985">KT281</f>
        <v>528.59039248727379</v>
      </c>
      <c r="KU282" s="663">
        <f t="shared" ref="KU282:KU287" si="986">IF(D282="",0,IFERROR((JM282/KT282-1)/(JD282/BX282)+B282*10^-6,0))</f>
        <v>12.028142318291343</v>
      </c>
    </row>
    <row r="283" spans="1:307" s="26" customFormat="1" ht="15" outlineLevel="1">
      <c r="A283" s="561">
        <f t="shared" si="915"/>
        <v>2083</v>
      </c>
      <c r="B283" s="561">
        <f t="shared" si="920"/>
        <v>83</v>
      </c>
      <c r="C283" s="561">
        <f t="shared" si="857"/>
        <v>2</v>
      </c>
      <c r="D283" s="561" t="str">
        <f t="shared" si="859"/>
        <v xml:space="preserve">-1000 Event (RBC), -500 Event (L), </v>
      </c>
      <c r="E283" s="475">
        <f>INDEX(Input!$1:$1048576,E$93,$C283*2+MIN($B283,2)+5)
+INDEX(Scenarios!E$121:E$200,MATCH($B283,Scenarios!$B$121:$B$200,0))</f>
        <v>1250</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0</v>
      </c>
      <c r="V283" s="478">
        <f>IFERROR(MAX(0,INDEX(Input!$1:$1048576,V$93,$C283*2+MIN($B283,2)+5)
+INDEX(Scenarios!V$121:V$200,MATCH($B283,Scenarios!$B$121:$B$200,0)),),"Market")</f>
        <v>1.9E-2</v>
      </c>
      <c r="W283" s="863">
        <f>IFERROR(MAX(0,INDEX(Input!$1:$1048576,W$93,$C283*2+MIN($B283,2)+5)-0%,),"Market")</f>
        <v>3.9E-2</v>
      </c>
      <c r="X283" s="476" t="str">
        <f>INDEX(Input!$1:$1048576,X$93,$C283*2+MIN($B283,2)+5)</f>
        <v>Y</v>
      </c>
      <c r="Y283" s="475">
        <f>INDEX(Input!$1:$1048576,Y$93,$C283*2+MIN($B283,2)+5)
++INDEX(Scenarios!Y$121:Y$200,MATCH($B283,Scenarios!$B$121:$B$200,0))</f>
        <v>1358</v>
      </c>
      <c r="Z283" s="477">
        <f>INDEX(Input!$1:$1048576,Z$93,$C283*2+MIN($B283,2)+5)
+INDEX(Scenarios!Z$121:Z$200,MATCH($B283,Scenarios!$B$121:$B$200,0))</f>
        <v>0</v>
      </c>
      <c r="AA283" s="475">
        <f>INDEX(Input!$1:$1048576,AA$93,$C283*2+MIN($B283,2)+5)</f>
        <v>0</v>
      </c>
      <c r="AB283" s="476">
        <f>INDEX(Input!$1:$1048576,AB$93,$C283*2+MIN($B283,2)+5)</f>
        <v>1</v>
      </c>
      <c r="AC283" s="475">
        <f>INDEX(Input!$1:$1048576,AC$93,$C283*2+MIN($B283,2)+5)
+INDEX(Scenarios!AC$121:AC$200,MATCH($B283,Scenarios!$B$121:$B$200,0))</f>
        <v>-1000</v>
      </c>
      <c r="AD283" s="476">
        <f>INDEX(Input!$1:$1048576,AD$93,$C283*2+MIN($B283,2)+5)</f>
        <v>0.35</v>
      </c>
      <c r="AE283" s="475">
        <f>INDEX(Input!$1:$1048576,AE$93,$C283*2+MIN($B283,2)+5)
+INDEX(Scenarios!AE$121:AE$200,MATCH($B283,Scenarios!$B$121:$B$200,0))</f>
        <v>0</v>
      </c>
      <c r="AF283" s="476">
        <f>INDEX(Input!$1:$1048576,AF$93,$C283*2+MIN($B283,2)+5)</f>
        <v>1</v>
      </c>
      <c r="AG283" s="475">
        <f>INDEX(Input!$1:$1048576,AG$93,$C283*2+MIN($B283,2)+5)
+INDEX(Scenarios!AG$121:AG$200,MATCH($B283,Scenarios!$B$121:$B$200,0))</f>
        <v>0</v>
      </c>
      <c r="AH283" s="476">
        <f>INDEX(Input!$1:$1048576,AH$93,$C283*2+MIN($B283,2)+5)</f>
        <v>1</v>
      </c>
      <c r="AI283" s="475">
        <f>INDEX(Input!$1:$1048576,AI$93,$C283*2+MIN($B283,2)+5)
+INDEX(Scenarios!AI$121:AI$200,MATCH($B283,Scenarios!$B$121:$B$200,0))</f>
        <v>-500</v>
      </c>
      <c r="AJ283" s="476">
        <f>INDEX(Input!$1:$1048576,AJ$93,$C283*2+MIN($B283,2)+5)</f>
        <v>0.35</v>
      </c>
      <c r="AK283" s="150">
        <f>ROUND(INDEX(Input!$1:$1048576,AK$93,$C282*2+MIN($B283,1)+5)+(Y283-VLOOKUP($C283*1000+1,$A:$HH,Y$92,FALSE)),0)</f>
        <v>4982</v>
      </c>
      <c r="AL283" s="150">
        <f>ROUND(INDEX(Input!$1:$1048576,AL$93,$C282*2+MIN($B283,1)+5)-(Y283-VLOOKUP($C283*1000+1,$A:$HH,Y$92,FALSE))/36,0)</f>
        <v>5102</v>
      </c>
      <c r="AM283" s="32" t="str">
        <f t="shared" si="916"/>
        <v>std/std/std/std</v>
      </c>
      <c r="AN283" s="32" t="str">
        <f t="shared" si="917"/>
        <v>$0 + 0/0/0/1.9/3.9</v>
      </c>
      <c r="AO283" s="32" t="str">
        <f t="shared" si="918"/>
        <v>0/0/0/1.9/3.9</v>
      </c>
      <c r="AP283" s="32" t="str">
        <f t="shared" si="831"/>
        <v>0/0.9/1.9/3.9</v>
      </c>
      <c r="AQ283" s="536">
        <f t="shared" si="830"/>
        <v>-849.66057820358583</v>
      </c>
      <c r="AR283" s="32"/>
      <c r="AS283" s="302"/>
      <c r="AT283" s="3">
        <f t="shared" si="941"/>
        <v>83</v>
      </c>
      <c r="AU283" s="41" t="s">
        <v>121</v>
      </c>
      <c r="AV283" s="41" t="s">
        <v>116</v>
      </c>
      <c r="AW283" s="41" t="str">
        <f>INDEX(Input!$1:$1048576,AW$93,$C283*2+6)</f>
        <v>Kia</v>
      </c>
      <c r="AX283" s="41" t="str">
        <f>INDEX(Input!$1:$1048576,AX$93,$C283*2+6)</f>
        <v>Kia-LR - L2</v>
      </c>
      <c r="AY283" s="41" t="str">
        <f>IF(LEN(D283)=0,"",INDEX(Input!$1:$1048576,AY$93,$C283*2+6))</f>
        <v>Compact Conventional/Sporty Car (43)</v>
      </c>
      <c r="AZ283" s="41" t="str">
        <f>INDEX(Input!$1:$1048576,AZ$93,$C283*2+6)</f>
        <v>Kia Forte</v>
      </c>
      <c r="BA283" s="3">
        <f>INDEX(Input!$1:$1048576,BA$93,$C283*2+6)</f>
        <v>2020</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19695</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832"/>
        <v>900</v>
      </c>
      <c r="CJ283" s="16" t="str">
        <f>INDEX(Input!$1:$1048576,CJ$93,$C283*2+6)</f>
        <v>N</v>
      </c>
      <c r="CK283" s="1" t="str">
        <f t="shared" si="833"/>
        <v>Market</v>
      </c>
      <c r="CL283" s="1" t="str">
        <f t="shared" si="834"/>
        <v>Market</v>
      </c>
      <c r="CM283" s="1" t="str">
        <f t="shared" si="835"/>
        <v>Market</v>
      </c>
      <c r="CN283" s="1" t="str">
        <f t="shared" si="836"/>
        <v>Market</v>
      </c>
      <c r="CO283" s="1" t="str">
        <f t="shared" si="837"/>
        <v>Market</v>
      </c>
      <c r="CP283" s="304">
        <f t="shared" si="838"/>
        <v>-350</v>
      </c>
      <c r="CQ283" s="1">
        <f t="shared" si="839"/>
        <v>0</v>
      </c>
      <c r="CR283" s="1">
        <f t="shared" si="840"/>
        <v>0</v>
      </c>
      <c r="CS283" s="1">
        <f t="shared" si="841"/>
        <v>0</v>
      </c>
      <c r="CT283" s="1">
        <f t="shared" si="842"/>
        <v>1.9E-2</v>
      </c>
      <c r="CU283" s="1">
        <f t="shared" si="843"/>
        <v>3.9E-2</v>
      </c>
      <c r="CV283" s="304">
        <f t="shared" si="844"/>
        <v>1183</v>
      </c>
      <c r="CW283" s="20" t="s">
        <v>122</v>
      </c>
      <c r="CX283" s="20" t="s">
        <v>122</v>
      </c>
      <c r="CY283" s="20" t="s">
        <v>122</v>
      </c>
      <c r="CZ283" s="20" t="s">
        <v>122</v>
      </c>
      <c r="DA283" s="20" t="s">
        <v>122</v>
      </c>
      <c r="DB283" s="503">
        <f t="shared" si="845"/>
        <v>0</v>
      </c>
      <c r="DC283" s="127">
        <v>0</v>
      </c>
      <c r="DD283" s="127">
        <v>0</v>
      </c>
      <c r="DE283" s="127">
        <v>0</v>
      </c>
      <c r="DF283" s="127">
        <v>0</v>
      </c>
      <c r="DG283" s="127">
        <v>0</v>
      </c>
      <c r="DH283" s="127">
        <v>0</v>
      </c>
      <c r="DI283" s="127">
        <v>0</v>
      </c>
      <c r="DJ283" s="127">
        <v>0</v>
      </c>
      <c r="DK283" s="127">
        <v>0</v>
      </c>
      <c r="DL283" s="127">
        <v>0</v>
      </c>
      <c r="DM283" s="304">
        <f>INDEX(Input!$1:$1048576,DM$93,$C283*2+6)</f>
        <v>20731.578947368424</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v>2.7505273404922065E-2</v>
      </c>
      <c r="DZ283" s="7">
        <v>0</v>
      </c>
      <c r="EA283" s="7">
        <v>0.56434840560746558</v>
      </c>
      <c r="EB283" s="7">
        <v>0</v>
      </c>
      <c r="EC283" s="7">
        <v>0</v>
      </c>
      <c r="ED283" s="7">
        <v>0</v>
      </c>
      <c r="EE283" s="7">
        <v>0</v>
      </c>
      <c r="EF283" s="7">
        <v>0</v>
      </c>
      <c r="EG283" s="7">
        <v>0</v>
      </c>
      <c r="EH283" s="7">
        <v>1.6185651107339976E-2</v>
      </c>
      <c r="EI283" s="7">
        <v>2.6427112501777945E-2</v>
      </c>
      <c r="EJ283" s="7">
        <v>0.26565215143778759</v>
      </c>
      <c r="EK283" s="7">
        <v>0.64377327273191209</v>
      </c>
      <c r="EL283" s="7">
        <v>4.7961812221182447E-2</v>
      </c>
      <c r="EM283" s="7">
        <v>3.6145913147699812E-2</v>
      </c>
      <c r="EN283" s="7">
        <v>4.9329646374582377E-2</v>
      </c>
      <c r="EO283" s="7">
        <v>0.56218877582883464</v>
      </c>
      <c r="EP283" s="7">
        <v>0.28514164521090002</v>
      </c>
      <c r="EQ283" s="7">
        <v>6.4372276166993925E-2</v>
      </c>
      <c r="ER283" s="7">
        <v>3.8967656418689357E-2</v>
      </c>
      <c r="ES283" s="7">
        <v>0.37200040783991256</v>
      </c>
      <c r="ET283" s="7">
        <v>0.40814632098761244</v>
      </c>
      <c r="EU283" s="6">
        <v>1250</v>
      </c>
      <c r="EV283" s="6">
        <v>0</v>
      </c>
      <c r="EW283" s="6">
        <v>1250</v>
      </c>
      <c r="EX283" s="6">
        <v>0</v>
      </c>
      <c r="EY283" s="6">
        <v>2276.7930747678702</v>
      </c>
      <c r="EZ283" s="6">
        <v>1936</v>
      </c>
      <c r="FA283" s="6">
        <v>0</v>
      </c>
      <c r="FB283" s="6">
        <v>0</v>
      </c>
      <c r="FC283" s="6">
        <v>0</v>
      </c>
      <c r="FD283" s="6">
        <v>0</v>
      </c>
      <c r="FE283" s="6">
        <v>0</v>
      </c>
      <c r="FF283" s="6">
        <v>0</v>
      </c>
      <c r="FG283" s="6">
        <v>0</v>
      </c>
      <c r="FH283" s="6">
        <v>1154.7867809842842</v>
      </c>
      <c r="FI283" s="6">
        <v>1531.4299904380625</v>
      </c>
      <c r="FJ283" s="6">
        <v>2070.7205842538219</v>
      </c>
      <c r="FK283" s="6">
        <v>1746.9903521590431</v>
      </c>
      <c r="FL283" s="6">
        <v>893.91433563489397</v>
      </c>
      <c r="FM283" s="6">
        <v>1776.7930747678702</v>
      </c>
      <c r="FN283" s="6">
        <v>0</v>
      </c>
      <c r="FO283" s="6">
        <v>0</v>
      </c>
      <c r="FP283" s="6">
        <v>0</v>
      </c>
      <c r="FQ283" s="6">
        <v>0</v>
      </c>
      <c r="FR283" s="6">
        <v>0</v>
      </c>
      <c r="FS283" s="6">
        <v>0</v>
      </c>
      <c r="FT283" s="7">
        <v>0.59185367901238761</v>
      </c>
      <c r="FU283" s="7">
        <v>3.6145913147699812E-2</v>
      </c>
      <c r="FV283" s="7">
        <v>0.37200040783991256</v>
      </c>
      <c r="FW283" s="6">
        <v>1250.0000000000002</v>
      </c>
      <c r="FX283" s="6">
        <v>2276.7930747678702</v>
      </c>
      <c r="FY283" s="6">
        <v>1936</v>
      </c>
      <c r="FZ283" s="6">
        <v>2594.6978186474794</v>
      </c>
      <c r="GA283" s="6">
        <v>1542.306653079399</v>
      </c>
      <c r="GB283" s="6">
        <v>18152.693346920601</v>
      </c>
      <c r="GC283" s="7">
        <v>9.6947029492584935E-2</v>
      </c>
      <c r="GD283" s="7">
        <v>8.6128183367128158E-2</v>
      </c>
      <c r="GE283" s="7"/>
      <c r="GF283" s="7"/>
      <c r="GG283" s="7">
        <v>-0.11159543703486309</v>
      </c>
      <c r="GH283" s="42">
        <v>2.0884555137967333</v>
      </c>
      <c r="GI283" s="6">
        <v>10972.720597686353</v>
      </c>
      <c r="GJ283" s="14">
        <v>0.51074630601039539</v>
      </c>
      <c r="GK283" s="14">
        <v>0.50829519786160993</v>
      </c>
      <c r="GL283" s="14">
        <v>0.48925369398960428</v>
      </c>
      <c r="GM283" s="14">
        <v>0.49170480213839063</v>
      </c>
      <c r="GO283" s="5">
        <v>338.16872463277008</v>
      </c>
      <c r="GP283" s="5">
        <v>314.32110928815564</v>
      </c>
      <c r="GQ283" s="5">
        <v>527.27910984145694</v>
      </c>
      <c r="GR283" s="5">
        <v>404.20319246551543</v>
      </c>
      <c r="GS283" s="5">
        <v>334.50205195691484</v>
      </c>
      <c r="GT283" s="5">
        <v>289.18266033348181</v>
      </c>
      <c r="GU283" s="5">
        <v>254.29573314828914</v>
      </c>
      <c r="GV283" s="39" t="s">
        <v>392</v>
      </c>
      <c r="GW283" s="5">
        <v>478.48611111111109</v>
      </c>
      <c r="GX283" s="5">
        <v>358.86458333333331</v>
      </c>
      <c r="GY283" s="5">
        <v>287.09166666666664</v>
      </c>
      <c r="GZ283" s="5">
        <v>253.32809988695078</v>
      </c>
      <c r="HA283" s="5">
        <v>234.65993859171965</v>
      </c>
      <c r="HB283" s="39">
        <v>267.8354587304155</v>
      </c>
      <c r="HC283" s="5">
        <v>198.41562499999995</v>
      </c>
      <c r="HD283" s="5">
        <v>178.51449195906429</v>
      </c>
      <c r="HE283" s="5">
        <v>183.79192392037783</v>
      </c>
      <c r="HF283" s="5">
        <v>172.93317434210525</v>
      </c>
      <c r="HG283" s="5">
        <v>170.46826754385964</v>
      </c>
      <c r="HH283" s="39">
        <v>180.32819881887076</v>
      </c>
      <c r="HI283" s="16"/>
      <c r="HJ283" s="19" t="str">
        <f t="shared" si="945"/>
        <v>On</v>
      </c>
      <c r="HK283" s="1" t="str">
        <f t="shared" si="945"/>
        <v>On</v>
      </c>
      <c r="HL283" s="16"/>
      <c r="HM283" s="889">
        <f t="shared" si="946"/>
        <v>5.0961701597560354E-2</v>
      </c>
      <c r="HN283" s="889">
        <f t="shared" si="946"/>
        <v>3.112551654761847E-3</v>
      </c>
      <c r="HO283" s="889">
        <f t="shared" si="946"/>
        <v>3.1163314184693442E-2</v>
      </c>
      <c r="HP283" s="890">
        <f>(FT283*$GD283-HM283)/$JF283*INDEX(Input!$1:$1048576,$JG$93,$C283*2+6)</f>
        <v>0.25508156947055843</v>
      </c>
      <c r="HQ283" s="890">
        <f>(FU283*$GD283-HN283)/$JF283*INDEX(Input!$1:$1048576,$JG$93,$C283*2+6)</f>
        <v>1.1836558503276525E-2</v>
      </c>
      <c r="HR283" s="890">
        <f>(FV283*$GD283-HO283)/$JF283*INDEX(Input!$1:$1048576,$JG$93,$C283*2+6)</f>
        <v>16.461340866087127</v>
      </c>
      <c r="HS283" s="890">
        <f t="shared" si="947"/>
        <v>-1.0406319674962237</v>
      </c>
      <c r="HT283" s="890">
        <f t="shared" si="948"/>
        <v>3.945609647327633</v>
      </c>
      <c r="HU283" s="890">
        <f t="shared" si="949"/>
        <v>12.186032616036416</v>
      </c>
      <c r="HV283" s="891">
        <f t="shared" si="950"/>
        <v>0</v>
      </c>
      <c r="HW283" s="891">
        <f t="shared" si="951"/>
        <v>0</v>
      </c>
      <c r="HX283" s="891">
        <f t="shared" si="952"/>
        <v>0</v>
      </c>
      <c r="HY283" s="890">
        <f>INDEX(Input!$1:$1048576,HY$93,$C283*2+6)*INDEX(Input!$1:$1048576,$JG$93,$C283*2+6)</f>
        <v>555</v>
      </c>
      <c r="HZ283" s="890">
        <f>INDEX(Input!$1:$1048576,HZ$93,$C283*2+6)*INDEX(Input!$1:$1048576,$JG$93,$C283*2+6)</f>
        <v>480</v>
      </c>
      <c r="IA283" s="890">
        <f>INDEX(Input!$1:$1048576,IA$93,$C283*2+6)*INDEX(Input!$1:$1048576,$JG$93,$C283*2+6)</f>
        <v>566</v>
      </c>
      <c r="IB283" s="890">
        <f t="shared" si="953"/>
        <v>554.21444960197448</v>
      </c>
      <c r="IC283" s="890">
        <f t="shared" si="954"/>
        <v>483.95744620583088</v>
      </c>
      <c r="ID283" s="890">
        <f>IF(AND(INDEX(Input!$1:$1048576,IA$93,$C283*2+7)="TOS",Y283&lt;=INDEX(Y:Y,MATCH(C283*1000+2,A:A))),0,1)*MAX(IA283+HR283+HU283+HX283,0%)</f>
        <v>594.6473734821235</v>
      </c>
      <c r="IE283" s="892">
        <f t="shared" si="955"/>
        <v>0.33942179641411763</v>
      </c>
      <c r="IF283" s="892">
        <f t="shared" si="955"/>
        <v>0.29639376219285529</v>
      </c>
      <c r="IG283" s="892">
        <f t="shared" si="955"/>
        <v>0.36418444139302714</v>
      </c>
      <c r="IH283" s="21"/>
      <c r="II283" s="19">
        <f t="shared" si="956"/>
        <v>1200</v>
      </c>
      <c r="IJ283" s="19">
        <f t="shared" si="957"/>
        <v>2226.7968732767699</v>
      </c>
      <c r="IK283" s="19">
        <f t="shared" si="957"/>
        <v>1786</v>
      </c>
      <c r="IL283" s="19">
        <f t="shared" si="958"/>
        <v>50.000000000000227</v>
      </c>
      <c r="IM283" s="19">
        <f t="shared" si="959"/>
        <v>49.996201491100237</v>
      </c>
      <c r="IN283" s="19">
        <f t="shared" si="959"/>
        <v>150</v>
      </c>
      <c r="IO283" s="39">
        <f t="shared" si="960"/>
        <v>0</v>
      </c>
      <c r="IP283" s="39">
        <f t="shared" si="960"/>
        <v>0</v>
      </c>
      <c r="IQ283" s="39">
        <f t="shared" si="960"/>
        <v>0</v>
      </c>
      <c r="IR283" s="39">
        <v>0</v>
      </c>
      <c r="IS283" s="39">
        <v>0</v>
      </c>
      <c r="IT283" s="39">
        <v>0</v>
      </c>
      <c r="IU283" s="39">
        <v>0</v>
      </c>
      <c r="IV283" s="39">
        <v>0</v>
      </c>
      <c r="IW283" s="39">
        <v>0</v>
      </c>
      <c r="IX283" s="39">
        <f>INDEX(Input!$1:$1048576,IX$93,$C283*2+6)+INDEX(Input!$1:$1048576,IX$94,$C283*2+6)</f>
        <v>1600</v>
      </c>
      <c r="IY283" s="39">
        <f>INDEX(Input!$1:$1048576,IY$93,$C283*2+6)+INDEX(Input!$1:$1048576,IY$94,$C283*2+6)</f>
        <v>2503.5492916397525</v>
      </c>
      <c r="IZ283" s="39">
        <f>INDEX(Input!$1:$1048576,IZ$93,$C283*2+6)+INDEX(Input!$1:$1048576,IZ$94,$C283*2+6)</f>
        <v>5773.7109265464023</v>
      </c>
      <c r="JA283" s="19">
        <f t="shared" si="961"/>
        <v>1650.0000000000002</v>
      </c>
      <c r="JB283" s="19">
        <f t="shared" si="961"/>
        <v>2553.5454931308527</v>
      </c>
      <c r="JC283" s="19">
        <f t="shared" si="961"/>
        <v>5923.7109265464023</v>
      </c>
      <c r="JD283" s="19">
        <f t="shared" si="962"/>
        <v>3474.2242744810301</v>
      </c>
      <c r="JE283" s="21"/>
      <c r="JF283" s="1">
        <f t="shared" si="963"/>
        <v>8.5237567437015646E-2</v>
      </c>
      <c r="JG283" s="15">
        <f>INDEX(Input!$1:$1048576,JG$93,$C283*2+6)/(1+VLOOKUP(C283*1000+INDEX(Input!$1:$1048576,JG$93+1,$C283*2+6),$A:$KK,$JK$92,FALSE))</f>
        <v>1601</v>
      </c>
      <c r="JH283" s="1">
        <f t="shared" si="964"/>
        <v>1.0448631476615216E-2</v>
      </c>
      <c r="JI283" s="1">
        <f t="shared" si="965"/>
        <v>9.4259901910479851E-3</v>
      </c>
      <c r="JJ283" s="1">
        <f t="shared" si="966"/>
        <v>0</v>
      </c>
      <c r="JK283" s="1">
        <f t="shared" si="967"/>
        <v>1.9874621667663201E-2</v>
      </c>
      <c r="JL283" s="15">
        <f t="shared" si="968"/>
        <v>31.819269289928783</v>
      </c>
      <c r="JM283" s="15">
        <f t="shared" si="969"/>
        <v>1632.8192692899288</v>
      </c>
      <c r="JN283" s="21"/>
      <c r="JO283" s="19">
        <f>INDEX(Input!$1:$1048576,JO$93,$C283*2+6)</f>
        <v>5908.5</v>
      </c>
      <c r="JP283" s="19">
        <f>INDEX(Input!$1:$1048576,JP$93,$C283*2+6)</f>
        <v>3346.4235130620518</v>
      </c>
      <c r="JQ283" s="39">
        <f t="shared" si="970"/>
        <v>2434.2757255189699</v>
      </c>
      <c r="JR283" s="39">
        <f t="shared" si="971"/>
        <v>127.80076141897825</v>
      </c>
      <c r="JS283" s="39">
        <f t="shared" si="972"/>
        <v>5.6727803412074485</v>
      </c>
      <c r="JT283" s="39">
        <f t="shared" si="973"/>
        <v>0.31515629679510371</v>
      </c>
      <c r="JU283" s="385">
        <f>(JQ283*JM283-INDEX(Input!$1:$1048576,Input!A$18,$C283*2+6)*JL283*INDEX(Input!$1:$1048576,Input!A$19,$C283*2+6))/1000000</f>
        <v>3.974732311392096</v>
      </c>
      <c r="JV283" s="39">
        <f t="shared" si="974"/>
        <v>-0.12715214419555876</v>
      </c>
      <c r="JW283" s="1">
        <f t="shared" si="975"/>
        <v>-3.0998470476746365E-2</v>
      </c>
      <c r="JX283" s="19">
        <f t="shared" si="976"/>
        <v>9904.5736696051281</v>
      </c>
      <c r="JZ283" s="341"/>
      <c r="KA283" s="342"/>
      <c r="KB283" s="469">
        <f t="shared" si="977"/>
        <v>2.4482969984810516</v>
      </c>
      <c r="KI283" s="473">
        <f t="shared" si="978"/>
        <v>-0.78555039802552074</v>
      </c>
      <c r="KJ283" s="473">
        <f t="shared" si="978"/>
        <v>3.9574462058308768</v>
      </c>
      <c r="KK283" s="473">
        <f t="shared" si="978"/>
        <v>28.647373482123498</v>
      </c>
      <c r="KN283" s="888">
        <f t="shared" si="979"/>
        <v>2002</v>
      </c>
      <c r="KO283" s="893">
        <f t="shared" si="980"/>
        <v>-5.4949567968846313E-2</v>
      </c>
      <c r="KP283" s="894">
        <f t="shared" si="981"/>
        <v>-286.27262687663006</v>
      </c>
      <c r="KQ283" s="894">
        <f t="shared" si="982"/>
        <v>-251.37930047550844</v>
      </c>
      <c r="KR283" s="895">
        <f t="shared" si="983"/>
        <v>3.0652998292342599</v>
      </c>
      <c r="KS283" s="895">
        <f t="shared" si="984"/>
        <v>3.4907863639507259</v>
      </c>
      <c r="KT283" s="896">
        <f t="shared" si="985"/>
        <v>528.59039248727379</v>
      </c>
      <c r="KU283" s="663">
        <f t="shared" si="986"/>
        <v>11.842435106544068</v>
      </c>
    </row>
    <row r="284" spans="1:307" s="26" customFormat="1" ht="15" outlineLevel="1">
      <c r="A284" s="561">
        <f t="shared" si="915"/>
        <v>2084</v>
      </c>
      <c r="B284" s="561">
        <f t="shared" si="920"/>
        <v>84</v>
      </c>
      <c r="C284" s="561">
        <f t="shared" si="857"/>
        <v>2</v>
      </c>
      <c r="D284" s="561" t="str">
        <f t="shared" si="859"/>
        <v xml:space="preserve">-250 CC, 0.9/1.9/2.9/3.9, </v>
      </c>
      <c r="E284" s="475">
        <f>INDEX(Input!$1:$1048576,E$93,$C284*2+MIN($B284,2)+5)
+INDEX(Scenarios!E$121:E$200,MATCH($B284,Scenarios!$B$121:$B$200,0))</f>
        <v>1000</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0</v>
      </c>
      <c r="R284" s="478">
        <f>IFERROR(MAX(0,INDEX(Input!$1:$1048576,R$93,$C284*2+MIN($B284,2)+5)
+INDEX(Scenarios!R$121:R$200,MATCH($B284,Scenarios!$B$121:$B$200,0)),),"Market")</f>
        <v>0</v>
      </c>
      <c r="S284" s="478">
        <f>IFERROR(MAX(0,INDEX(Input!$1:$1048576,S$93,$C284*2+MIN($B284,2)+5)
+INDEX(Scenarios!S$121:S$200,MATCH($B284,Scenarios!$B$121:$B$200,0)),),"Market")</f>
        <v>0</v>
      </c>
      <c r="T284" s="478">
        <f>IFERROR(MAX(0,INDEX(Input!$1:$1048576,T$93,$C284*2+MIN($B284,2)+5)
+INDEX(Scenarios!T$121:T$200,MATCH($B284,Scenarios!$B$121:$B$200,0)),),"Market")</f>
        <v>0</v>
      </c>
      <c r="U284" s="478">
        <f>IFERROR(MAX(0,INDEX(Input!$1:$1048576,U$93,$C284*2+MIN($B284,2)+5)
+INDEX(Scenarios!U$121:U$200,MATCH($B284,Scenarios!$B$121:$B$200,0)),),"Market")</f>
        <v>9.0000000000000011E-3</v>
      </c>
      <c r="V284" s="478">
        <f>IFERROR(MAX(0,INDEX(Input!$1:$1048576,V$93,$C284*2+MIN($B284,2)+5)
+INDEX(Scenarios!V$121:V$200,MATCH($B284,Scenarios!$B$121:$B$200,0)),),"Market")</f>
        <v>2.8999999999999998E-2</v>
      </c>
      <c r="W284" s="863">
        <f>IFERROR(MAX(0,INDEX(Input!$1:$1048576,W$93,$C284*2+MIN($B284,2)+5)-0%,),"Market")</f>
        <v>3.9E-2</v>
      </c>
      <c r="X284" s="476" t="str">
        <f>INDEX(Input!$1:$1048576,X$93,$C284*2+MIN($B284,2)+5)</f>
        <v>Y</v>
      </c>
      <c r="Y284" s="475">
        <f>INDEX(Input!$1:$1048576,Y$93,$C284*2+MIN($B284,2)+5)
++INDEX(Scenarios!Y$121:Y$200,MATCH($B284,Scenarios!$B$121:$B$200,0))</f>
        <v>1358</v>
      </c>
      <c r="Z284" s="477">
        <f>INDEX(Input!$1:$1048576,Z$93,$C284*2+MIN($B284,2)+5)
+INDEX(Scenarios!Z$121:Z$200,MATCH($B284,Scenarios!$B$121:$B$200,0))</f>
        <v>0</v>
      </c>
      <c r="AA284" s="475">
        <f>INDEX(Input!$1:$1048576,AA$93,$C284*2+MIN($B284,2)+5)</f>
        <v>0</v>
      </c>
      <c r="AB284" s="476">
        <f>INDEX(Input!$1:$1048576,AB$93,$C284*2+MIN($B284,2)+5)</f>
        <v>1</v>
      </c>
      <c r="AC284" s="475">
        <f>INDEX(Input!$1:$1048576,AC$93,$C284*2+MIN($B284,2)+5)
+INDEX(Scenarios!AC$121:AC$200,MATCH($B284,Scenarios!$B$121:$B$200,0))</f>
        <v>0</v>
      </c>
      <c r="AD284" s="476">
        <f>INDEX(Input!$1:$1048576,AD$93,$C284*2+MIN($B284,2)+5)</f>
        <v>0.35</v>
      </c>
      <c r="AE284" s="475">
        <f>INDEX(Input!$1:$1048576,AE$93,$C284*2+MIN($B284,2)+5)
+INDEX(Scenarios!AE$121:AE$200,MATCH($B284,Scenarios!$B$121:$B$200,0))</f>
        <v>0</v>
      </c>
      <c r="AF284" s="476">
        <f>INDEX(Input!$1:$1048576,AF$93,$C284*2+MIN($B284,2)+5)</f>
        <v>1</v>
      </c>
      <c r="AG284" s="475">
        <f>INDEX(Input!$1:$1048576,AG$93,$C284*2+MIN($B284,2)+5)
+INDEX(Scenarios!AG$121:AG$200,MATCH($B284,Scenarios!$B$121:$B$200,0))</f>
        <v>0</v>
      </c>
      <c r="AH284" s="476">
        <f>INDEX(Input!$1:$1048576,AH$93,$C284*2+MIN($B284,2)+5)</f>
        <v>1</v>
      </c>
      <c r="AI284" s="475">
        <f>INDEX(Input!$1:$1048576,AI$93,$C284*2+MIN($B284,2)+5)
+INDEX(Scenarios!AI$121:AI$200,MATCH($B284,Scenarios!$B$121:$B$200,0))</f>
        <v>0</v>
      </c>
      <c r="AJ284" s="476">
        <f>INDEX(Input!$1:$1048576,AJ$93,$C284*2+MIN($B284,2)+5)</f>
        <v>0.35</v>
      </c>
      <c r="AK284" s="150">
        <f>ROUND(INDEX(Input!$1:$1048576,AK$93,$C283*2+MIN($B284,1)+5)+(Y284-VLOOKUP($C284*1000+1,$A:$HH,Y$92,FALSE)),0)</f>
        <v>4982</v>
      </c>
      <c r="AL284" s="150">
        <f>ROUND(INDEX(Input!$1:$1048576,AL$93,$C283*2+MIN($B284,1)+5)-(Y284-VLOOKUP($C284*1000+1,$A:$HH,Y$92,FALSE))/36,0)</f>
        <v>5102</v>
      </c>
      <c r="AM284" s="32" t="str">
        <f t="shared" si="916"/>
        <v>std/std/std/std</v>
      </c>
      <c r="AN284" s="32" t="str">
        <f t="shared" si="917"/>
        <v>$0 + 0/0/0.9/2.9/3.9</v>
      </c>
      <c r="AO284" s="32" t="str">
        <f t="shared" si="918"/>
        <v>0/0/0.9/2.9/3.9</v>
      </c>
      <c r="AP284" s="32" t="str">
        <f t="shared" si="831"/>
        <v>0.9/1.9/2.9/3.9</v>
      </c>
      <c r="AQ284" s="536">
        <f t="shared" si="830"/>
        <v>0.34075696320080462</v>
      </c>
      <c r="AR284" s="32"/>
      <c r="AS284" s="302"/>
      <c r="AT284" s="3">
        <f t="shared" si="941"/>
        <v>84</v>
      </c>
      <c r="AU284" s="41" t="s">
        <v>121</v>
      </c>
      <c r="AV284" s="41" t="s">
        <v>116</v>
      </c>
      <c r="AW284" s="41" t="str">
        <f>INDEX(Input!$1:$1048576,AW$93,$C284*2+6)</f>
        <v>Kia</v>
      </c>
      <c r="AX284" s="41" t="str">
        <f>INDEX(Input!$1:$1048576,AX$93,$C284*2+6)</f>
        <v>Kia-LR - L2</v>
      </c>
      <c r="AY284" s="41" t="str">
        <f>IF(LEN(D284)=0,"",INDEX(Input!$1:$1048576,AY$93,$C284*2+6))</f>
        <v>Compact Conventional/Sporty Car (43)</v>
      </c>
      <c r="AZ284" s="41" t="str">
        <f>INDEX(Input!$1:$1048576,AZ$93,$C284*2+6)</f>
        <v>Kia Forte</v>
      </c>
      <c r="BA284" s="3">
        <f>INDEX(Input!$1:$1048576,BA$93,$C284*2+6)</f>
        <v>2020</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19695</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832"/>
        <v>1000</v>
      </c>
      <c r="CJ284" s="16" t="str">
        <f>INDEX(Input!$1:$1048576,CJ$93,$C284*2+6)</f>
        <v>N</v>
      </c>
      <c r="CK284" s="1" t="str">
        <f t="shared" si="833"/>
        <v>Market</v>
      </c>
      <c r="CL284" s="1" t="str">
        <f t="shared" si="834"/>
        <v>Market</v>
      </c>
      <c r="CM284" s="1" t="str">
        <f t="shared" si="835"/>
        <v>Market</v>
      </c>
      <c r="CN284" s="1" t="str">
        <f t="shared" si="836"/>
        <v>Market</v>
      </c>
      <c r="CO284" s="1" t="str">
        <f t="shared" si="837"/>
        <v>Market</v>
      </c>
      <c r="CP284" s="304">
        <f t="shared" si="838"/>
        <v>0</v>
      </c>
      <c r="CQ284" s="1">
        <f t="shared" si="839"/>
        <v>0</v>
      </c>
      <c r="CR284" s="1">
        <f t="shared" si="840"/>
        <v>0</v>
      </c>
      <c r="CS284" s="1">
        <f t="shared" si="841"/>
        <v>9.0000000000000011E-3</v>
      </c>
      <c r="CT284" s="1">
        <f t="shared" si="842"/>
        <v>2.8999999999999998E-2</v>
      </c>
      <c r="CU284" s="1">
        <f t="shared" si="843"/>
        <v>3.9E-2</v>
      </c>
      <c r="CV284" s="304">
        <f t="shared" si="844"/>
        <v>1358</v>
      </c>
      <c r="CW284" s="20" t="s">
        <v>122</v>
      </c>
      <c r="CX284" s="20" t="s">
        <v>122</v>
      </c>
      <c r="CY284" s="20" t="s">
        <v>122</v>
      </c>
      <c r="CZ284" s="20" t="s">
        <v>122</v>
      </c>
      <c r="DA284" s="20" t="s">
        <v>122</v>
      </c>
      <c r="DB284" s="503">
        <f t="shared" si="845"/>
        <v>0</v>
      </c>
      <c r="DC284" s="127">
        <v>0</v>
      </c>
      <c r="DD284" s="127">
        <v>0</v>
      </c>
      <c r="DE284" s="127">
        <v>0</v>
      </c>
      <c r="DF284" s="127">
        <v>0</v>
      </c>
      <c r="DG284" s="127">
        <v>0</v>
      </c>
      <c r="DH284" s="127">
        <v>0</v>
      </c>
      <c r="DI284" s="127">
        <v>0</v>
      </c>
      <c r="DJ284" s="127">
        <v>0</v>
      </c>
      <c r="DK284" s="127">
        <v>0</v>
      </c>
      <c r="DL284" s="127">
        <v>0</v>
      </c>
      <c r="DM284" s="304">
        <f>INDEX(Input!$1:$1048576,DM$93,$C284*2+6)</f>
        <v>20731.578947368424</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v>2.7621006785075959E-2</v>
      </c>
      <c r="DZ284" s="7">
        <v>0</v>
      </c>
      <c r="EA284" s="7">
        <v>0.56538713271595054</v>
      </c>
      <c r="EB284" s="7">
        <v>0</v>
      </c>
      <c r="EC284" s="7">
        <v>0</v>
      </c>
      <c r="ED284" s="7">
        <v>0</v>
      </c>
      <c r="EE284" s="7">
        <v>0</v>
      </c>
      <c r="EF284" s="7">
        <v>0</v>
      </c>
      <c r="EG284" s="7">
        <v>0</v>
      </c>
      <c r="EH284" s="7">
        <v>2.4058765122058609E-2</v>
      </c>
      <c r="EI284" s="7">
        <v>3.9274770446051002E-2</v>
      </c>
      <c r="EJ284" s="7">
        <v>0.28403644277409923</v>
      </c>
      <c r="EK284" s="7">
        <v>0.5813322039060862</v>
      </c>
      <c r="EL284" s="7">
        <v>7.1297817751705059E-2</v>
      </c>
      <c r="EM284" s="7">
        <v>2.6238330180048397E-2</v>
      </c>
      <c r="EN284" s="7">
        <v>4.9741029481323959E-2</v>
      </c>
      <c r="EO284" s="7">
        <v>0.56170068339974355</v>
      </c>
      <c r="EP284" s="7">
        <v>0.28596723132403568</v>
      </c>
      <c r="EQ284" s="7">
        <v>6.3887633244987183E-2</v>
      </c>
      <c r="ER284" s="7">
        <v>3.8703422549909577E-2</v>
      </c>
      <c r="ES284" s="7">
        <v>0.38075353031892517</v>
      </c>
      <c r="ET284" s="7">
        <v>0.40699186049897346</v>
      </c>
      <c r="EU284" s="6">
        <v>1350</v>
      </c>
      <c r="EV284" s="6">
        <v>0</v>
      </c>
      <c r="EW284" s="6">
        <v>1350</v>
      </c>
      <c r="EX284" s="6">
        <v>0</v>
      </c>
      <c r="EY284" s="6">
        <v>2223.513563471322</v>
      </c>
      <c r="EZ284" s="6">
        <v>2111</v>
      </c>
      <c r="FA284" s="6">
        <v>0</v>
      </c>
      <c r="FB284" s="6">
        <v>0</v>
      </c>
      <c r="FC284" s="6">
        <v>0</v>
      </c>
      <c r="FD284" s="6">
        <v>0</v>
      </c>
      <c r="FE284" s="6">
        <v>0</v>
      </c>
      <c r="FF284" s="6">
        <v>0</v>
      </c>
      <c r="FG284" s="6">
        <v>0</v>
      </c>
      <c r="FH284" s="6">
        <v>1154.7865461345821</v>
      </c>
      <c r="FI284" s="6">
        <v>1531.4299904380618</v>
      </c>
      <c r="FJ284" s="6">
        <v>1709.9775738488459</v>
      </c>
      <c r="FK284" s="6">
        <v>1266.3227157028186</v>
      </c>
      <c r="FL284" s="6">
        <v>893.91433563489352</v>
      </c>
      <c r="FM284" s="6">
        <v>1373.513563471322</v>
      </c>
      <c r="FN284" s="6">
        <v>0</v>
      </c>
      <c r="FO284" s="6">
        <v>0</v>
      </c>
      <c r="FP284" s="6">
        <v>0</v>
      </c>
      <c r="FQ284" s="6">
        <v>0</v>
      </c>
      <c r="FR284" s="6">
        <v>0</v>
      </c>
      <c r="FS284" s="6">
        <v>0</v>
      </c>
      <c r="FT284" s="7">
        <v>0.59300813950102649</v>
      </c>
      <c r="FU284" s="7">
        <v>2.6238330180048397E-2</v>
      </c>
      <c r="FV284" s="7">
        <v>0.38075353031892517</v>
      </c>
      <c r="FW284" s="6">
        <v>1350</v>
      </c>
      <c r="FX284" s="6">
        <v>2223.513563471322</v>
      </c>
      <c r="FY284" s="6">
        <v>2111</v>
      </c>
      <c r="FZ284" s="6">
        <v>2594.6978186474794</v>
      </c>
      <c r="GA284" s="6">
        <v>1662.6729738678134</v>
      </c>
      <c r="GB284" s="6">
        <v>18032.327026132185</v>
      </c>
      <c r="GC284" s="7">
        <v>9.6947029492584935E-2</v>
      </c>
      <c r="GD284" s="7">
        <v>8.7090298730901947E-2</v>
      </c>
      <c r="GE284" s="7"/>
      <c r="GF284" s="7"/>
      <c r="GG284" s="7">
        <v>-0.10167130249655446</v>
      </c>
      <c r="GH284" s="42">
        <v>2.1484580737147825</v>
      </c>
      <c r="GI284" s="6">
        <v>10829.712461841829</v>
      </c>
      <c r="GJ284" s="14">
        <v>0.51074630601039539</v>
      </c>
      <c r="GK284" s="14">
        <v>0.5082951978616097</v>
      </c>
      <c r="GL284" s="14">
        <v>0.48925369398960417</v>
      </c>
      <c r="GM284" s="14">
        <v>0.49170480213839018</v>
      </c>
      <c r="GO284" s="5">
        <v>338.16872463277008</v>
      </c>
      <c r="GP284" s="5">
        <v>312.41330006058649</v>
      </c>
      <c r="GQ284" s="5">
        <v>527.27910984145694</v>
      </c>
      <c r="GR284" s="5">
        <v>404.20319246551543</v>
      </c>
      <c r="GS284" s="5">
        <v>334.50205195691484</v>
      </c>
      <c r="GT284" s="5">
        <v>289.18266033348181</v>
      </c>
      <c r="GU284" s="5">
        <v>254.29573314828914</v>
      </c>
      <c r="GV284" s="39" t="s">
        <v>392</v>
      </c>
      <c r="GW284" s="5">
        <v>468.76388888888891</v>
      </c>
      <c r="GX284" s="5">
        <v>351.57291666666669</v>
      </c>
      <c r="GY284" s="5">
        <v>287.73954748358943</v>
      </c>
      <c r="GZ284" s="5">
        <v>255.64660634518972</v>
      </c>
      <c r="HA284" s="5">
        <v>229.89195052129486</v>
      </c>
      <c r="HB284" s="39">
        <v>271.82074288889231</v>
      </c>
      <c r="HC284" s="5">
        <v>190.75937499999998</v>
      </c>
      <c r="HD284" s="5">
        <v>173.28879751461983</v>
      </c>
      <c r="HE284" s="5">
        <v>178.94016109986501</v>
      </c>
      <c r="HF284" s="5">
        <v>168.88629934210525</v>
      </c>
      <c r="HG284" s="5">
        <v>167.11410087719298</v>
      </c>
      <c r="HH284" s="39">
        <v>175.25365974037072</v>
      </c>
      <c r="HI284" s="16"/>
      <c r="HJ284" s="19" t="str">
        <f t="shared" si="945"/>
        <v>On</v>
      </c>
      <c r="HK284" s="1" t="str">
        <f t="shared" si="945"/>
        <v>On</v>
      </c>
      <c r="HL284" s="16"/>
      <c r="HM284" s="889">
        <f t="shared" si="946"/>
        <v>5.0961701597560354E-2</v>
      </c>
      <c r="HN284" s="889">
        <f t="shared" si="946"/>
        <v>3.112551654761847E-3</v>
      </c>
      <c r="HO284" s="889">
        <f t="shared" si="946"/>
        <v>3.1163314184693442E-2</v>
      </c>
      <c r="HP284" s="890">
        <f>(FT284*$GD284-HM284)/$JF284*INDEX(Input!$1:$1048576,$JG$93,$C284*2+6)</f>
        <v>12.839064530258595</v>
      </c>
      <c r="HQ284" s="890">
        <f>(FU284*$GD284-HN284)/$JF284*INDEX(Input!$1:$1048576,$JG$93,$C284*2+6)</f>
        <v>-15.54178179134802</v>
      </c>
      <c r="HR284" s="890">
        <f>(FV284*$GD284-HO284)/$JF284*INDEX(Input!$1:$1048576,$JG$93,$C284*2+6)</f>
        <v>37.502194659406904</v>
      </c>
      <c r="HS284" s="890">
        <f t="shared" si="947"/>
        <v>-3.0175677421317397</v>
      </c>
      <c r="HT284" s="890">
        <f t="shared" si="948"/>
        <v>-2.0451010009581414</v>
      </c>
      <c r="HU284" s="890">
        <f t="shared" si="949"/>
        <v>26.812582214543795</v>
      </c>
      <c r="HV284" s="891">
        <f t="shared" si="950"/>
        <v>0</v>
      </c>
      <c r="HW284" s="891">
        <f t="shared" si="951"/>
        <v>0</v>
      </c>
      <c r="HX284" s="891">
        <f t="shared" si="952"/>
        <v>0</v>
      </c>
      <c r="HY284" s="890">
        <f>INDEX(Input!$1:$1048576,HY$93,$C284*2+6)*INDEX(Input!$1:$1048576,$JG$93,$C284*2+6)</f>
        <v>555</v>
      </c>
      <c r="HZ284" s="890">
        <f>INDEX(Input!$1:$1048576,HZ$93,$C284*2+6)*INDEX(Input!$1:$1048576,$JG$93,$C284*2+6)</f>
        <v>480</v>
      </c>
      <c r="IA284" s="890">
        <f>INDEX(Input!$1:$1048576,IA$93,$C284*2+6)*INDEX(Input!$1:$1048576,$JG$93,$C284*2+6)</f>
        <v>566</v>
      </c>
      <c r="IB284" s="890">
        <f t="shared" si="953"/>
        <v>564.82149678812675</v>
      </c>
      <c r="IC284" s="890">
        <f t="shared" si="954"/>
        <v>462.41311720769386</v>
      </c>
      <c r="ID284" s="890">
        <f>IF(AND(INDEX(Input!$1:$1048576,IA$93,$C284*2+7)="TOS",Y284&lt;=INDEX(Y:Y,MATCH(C284*1000+2,A:A))),0,1)*MAX(IA284+HR284+HU284+HX284,0%)</f>
        <v>630.31477687395068</v>
      </c>
      <c r="IE284" s="892">
        <f t="shared" si="955"/>
        <v>0.34075696320080462</v>
      </c>
      <c r="IF284" s="892">
        <f t="shared" si="955"/>
        <v>0.27897395984384532</v>
      </c>
      <c r="IG284" s="892">
        <f t="shared" si="955"/>
        <v>0.38026907695535006</v>
      </c>
      <c r="IH284" s="21"/>
      <c r="II284" s="19">
        <f t="shared" si="956"/>
        <v>1200</v>
      </c>
      <c r="IJ284" s="19">
        <f t="shared" si="957"/>
        <v>2226.7968732767699</v>
      </c>
      <c r="IK284" s="19">
        <f t="shared" si="957"/>
        <v>1786</v>
      </c>
      <c r="IL284" s="19">
        <f t="shared" si="958"/>
        <v>150</v>
      </c>
      <c r="IM284" s="19">
        <f t="shared" si="959"/>
        <v>-3.2833098054479706</v>
      </c>
      <c r="IN284" s="19">
        <f t="shared" si="959"/>
        <v>325</v>
      </c>
      <c r="IO284" s="39">
        <f t="shared" si="960"/>
        <v>0</v>
      </c>
      <c r="IP284" s="39">
        <f t="shared" si="960"/>
        <v>0</v>
      </c>
      <c r="IQ284" s="39">
        <f t="shared" si="960"/>
        <v>0</v>
      </c>
      <c r="IR284" s="39">
        <v>0</v>
      </c>
      <c r="IS284" s="39">
        <v>0</v>
      </c>
      <c r="IT284" s="39">
        <v>0</v>
      </c>
      <c r="IU284" s="39">
        <v>0</v>
      </c>
      <c r="IV284" s="39">
        <v>0</v>
      </c>
      <c r="IW284" s="39">
        <v>0</v>
      </c>
      <c r="IX284" s="39">
        <f>INDEX(Input!$1:$1048576,IX$93,$C284*2+6)+INDEX(Input!$1:$1048576,IX$94,$C284*2+6)</f>
        <v>1600</v>
      </c>
      <c r="IY284" s="39">
        <f>INDEX(Input!$1:$1048576,IY$93,$C284*2+6)+INDEX(Input!$1:$1048576,IY$94,$C284*2+6)</f>
        <v>2503.5492916397525</v>
      </c>
      <c r="IZ284" s="39">
        <f>INDEX(Input!$1:$1048576,IZ$93,$C284*2+6)+INDEX(Input!$1:$1048576,IZ$94,$C284*2+6)</f>
        <v>5773.7109265464023</v>
      </c>
      <c r="JA284" s="19">
        <f t="shared" si="961"/>
        <v>1750</v>
      </c>
      <c r="JB284" s="19">
        <f t="shared" si="961"/>
        <v>2500.2659818343045</v>
      </c>
      <c r="JC284" s="19">
        <f t="shared" si="961"/>
        <v>6098.7109265464023</v>
      </c>
      <c r="JD284" s="19">
        <f t="shared" si="962"/>
        <v>3612.9849618718922</v>
      </c>
      <c r="JE284" s="21"/>
      <c r="JF284" s="1">
        <f t="shared" si="963"/>
        <v>8.5237567437015646E-2</v>
      </c>
      <c r="JG284" s="15">
        <f>INDEX(Input!$1:$1048576,JG$93,$C284*2+6)/(1+VLOOKUP(C284*1000+INDEX(Input!$1:$1048576,JG$93+1,$C284*2+6),$A:$KK,$JK$92,FALSE))</f>
        <v>1601</v>
      </c>
      <c r="JH284" s="1">
        <f t="shared" si="964"/>
        <v>2.1736088318749205E-2</v>
      </c>
      <c r="JI284" s="1">
        <f t="shared" si="965"/>
        <v>1.3585205166429679E-2</v>
      </c>
      <c r="JJ284" s="1">
        <f t="shared" si="966"/>
        <v>0</v>
      </c>
      <c r="JK284" s="1">
        <f t="shared" si="967"/>
        <v>3.5321293485178887E-2</v>
      </c>
      <c r="JL284" s="15">
        <f t="shared" si="968"/>
        <v>56.549390869771401</v>
      </c>
      <c r="JM284" s="15">
        <f t="shared" si="969"/>
        <v>1657.5493908697713</v>
      </c>
      <c r="JN284" s="21"/>
      <c r="JO284" s="19">
        <f>INDEX(Input!$1:$1048576,JO$93,$C284*2+6)</f>
        <v>5908.5</v>
      </c>
      <c r="JP284" s="19">
        <f>INDEX(Input!$1:$1048576,JP$93,$C284*2+6)</f>
        <v>3346.4235130620518</v>
      </c>
      <c r="JQ284" s="39">
        <f t="shared" si="970"/>
        <v>2295.5150381281078</v>
      </c>
      <c r="JR284" s="39">
        <f t="shared" si="971"/>
        <v>266.56144880984039</v>
      </c>
      <c r="JS284" s="39">
        <f t="shared" si="972"/>
        <v>5.9887010227723989</v>
      </c>
      <c r="JT284" s="39">
        <f t="shared" si="973"/>
        <v>0.63107697836005405</v>
      </c>
      <c r="JU284" s="385">
        <f>(JQ284*JM284-INDEX(Input!$1:$1048576,Input!A$18,$C284*2+6)*JL284*INDEX(Input!$1:$1048576,Input!A$19,$C284*2+6))/1000000</f>
        <v>3.8049295531816449</v>
      </c>
      <c r="JV284" s="39">
        <f t="shared" si="974"/>
        <v>-0.29695490240600986</v>
      </c>
      <c r="JW284" s="1">
        <f t="shared" si="975"/>
        <v>-7.2394750661855675E-2</v>
      </c>
      <c r="JX284" s="19">
        <f t="shared" si="976"/>
        <v>11159.748472151936</v>
      </c>
      <c r="JZ284" s="341"/>
      <c r="KA284" s="342"/>
      <c r="KB284" s="469">
        <f t="shared" si="977"/>
        <v>2.4482969984810516</v>
      </c>
      <c r="KI284" s="473">
        <f t="shared" si="978"/>
        <v>9.8214967881267512</v>
      </c>
      <c r="KJ284" s="473">
        <f t="shared" si="978"/>
        <v>-17.586882792306142</v>
      </c>
      <c r="KK284" s="473">
        <f t="shared" si="978"/>
        <v>64.314776873950677</v>
      </c>
      <c r="KN284" s="888">
        <f t="shared" si="979"/>
        <v>2002</v>
      </c>
      <c r="KO284" s="893">
        <f t="shared" si="980"/>
        <v>-4.063615770796869E-2</v>
      </c>
      <c r="KP284" s="894">
        <f t="shared" si="981"/>
        <v>-197.6983388834837</v>
      </c>
      <c r="KQ284" s="894">
        <f t="shared" si="982"/>
        <v>-112.61861308464631</v>
      </c>
      <c r="KR284" s="895">
        <f t="shared" si="983"/>
        <v>3.2824499957563953</v>
      </c>
      <c r="KS284" s="895">
        <f t="shared" si="984"/>
        <v>5.762234979233722</v>
      </c>
      <c r="KT284" s="896">
        <f t="shared" si="985"/>
        <v>528.59039248727379</v>
      </c>
      <c r="KU284" s="663">
        <f t="shared" si="986"/>
        <v>11.6426507203473</v>
      </c>
    </row>
    <row r="285" spans="1:307" s="26" customFormat="1" ht="15" outlineLevel="1">
      <c r="A285" s="561">
        <f t="shared" si="915"/>
        <v>2085</v>
      </c>
      <c r="B285" s="561">
        <f t="shared" si="920"/>
        <v>85</v>
      </c>
      <c r="C285" s="561">
        <f t="shared" si="857"/>
        <v>2</v>
      </c>
      <c r="D285" s="561" t="str">
        <f t="shared" ref="D285:D300" si="987">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-180 Lease, </v>
      </c>
      <c r="E285" s="475">
        <f>INDEX(Input!$1:$1048576,E$93,$C285*2+MIN($B285,2)+5)
+INDEX(Scenarios!E$121:E$200,MATCH($B285,Scenarios!$B$121:$B$200,0))</f>
        <v>1250</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0</v>
      </c>
      <c r="S285" s="478">
        <f>IFERROR(MAX(0,INDEX(Input!$1:$1048576,S$93,$C285*2+MIN($B285,2)+5)
+INDEX(Scenarios!S$121:S$200,MATCH($B285,Scenarios!$B$121:$B$200,0)),),"Market")</f>
        <v>0</v>
      </c>
      <c r="T285" s="478">
        <f>IFERROR(MAX(0,INDEX(Input!$1:$1048576,T$93,$C285*2+MIN($B285,2)+5)
+INDEX(Scenarios!T$121:T$200,MATCH($B285,Scenarios!$B$121:$B$200,0)),),"Market")</f>
        <v>0</v>
      </c>
      <c r="U285" s="478">
        <f>IFERROR(MAX(0,INDEX(Input!$1:$1048576,U$93,$C285*2+MIN($B285,2)+5)
+INDEX(Scenarios!U$121:U$200,MATCH($B285,Scenarios!$B$121:$B$200,0)),),"Market")</f>
        <v>0</v>
      </c>
      <c r="V285" s="478">
        <f>IFERROR(MAX(0,INDEX(Input!$1:$1048576,V$93,$C285*2+MIN($B285,2)+5)
+INDEX(Scenarios!V$121:V$200,MATCH($B285,Scenarios!$B$121:$B$200,0)),),"Market")</f>
        <v>1.9E-2</v>
      </c>
      <c r="W285" s="863">
        <f>IFERROR(MAX(0,INDEX(Input!$1:$1048576,W$93,$C285*2+MIN($B285,2)+5)-0%,),"Market")</f>
        <v>3.9E-2</v>
      </c>
      <c r="X285" s="476" t="str">
        <f>INDEX(Input!$1:$1048576,X$93,$C285*2+MIN($B285,2)+5)</f>
        <v>Y</v>
      </c>
      <c r="Y285" s="475">
        <f>INDEX(Input!$1:$1048576,Y$93,$C285*2+MIN($B285,2)+5)
++INDEX(Scenarios!Y$121:Y$200,MATCH($B285,Scenarios!$B$121:$B$200,0))</f>
        <v>1178</v>
      </c>
      <c r="Z285" s="477">
        <f>INDEX(Input!$1:$1048576,Z$93,$C285*2+MIN($B285,2)+5)
+INDEX(Scenarios!Z$121:Z$200,MATCH($B285,Scenarios!$B$121:$B$200,0))</f>
        <v>0</v>
      </c>
      <c r="AA285" s="475">
        <f>INDEX(Input!$1:$1048576,AA$93,$C285*2+MIN($B285,2)+5)</f>
        <v>0</v>
      </c>
      <c r="AB285" s="476">
        <f>INDEX(Input!$1:$1048576,AB$93,$C285*2+MIN($B285,2)+5)</f>
        <v>1</v>
      </c>
      <c r="AC285" s="475">
        <f>INDEX(Input!$1:$1048576,AC$93,$C285*2+MIN($B285,2)+5)
+INDEX(Scenarios!AC$121:AC$200,MATCH($B285,Scenarios!$B$121:$B$200,0))</f>
        <v>0</v>
      </c>
      <c r="AD285" s="476">
        <f>INDEX(Input!$1:$1048576,AD$93,$C285*2+MIN($B285,2)+5)</f>
        <v>0.35</v>
      </c>
      <c r="AE285" s="475">
        <f>INDEX(Input!$1:$1048576,AE$93,$C285*2+MIN($B285,2)+5)
+INDEX(Scenarios!AE$121:AE$200,MATCH($B285,Scenarios!$B$121:$B$200,0))</f>
        <v>0</v>
      </c>
      <c r="AF285" s="476">
        <f>INDEX(Input!$1:$1048576,AF$93,$C285*2+MIN($B285,2)+5)</f>
        <v>1</v>
      </c>
      <c r="AG285" s="475">
        <f>INDEX(Input!$1:$1048576,AG$93,$C285*2+MIN($B285,2)+5)
+INDEX(Scenarios!AG$121:AG$200,MATCH($B285,Scenarios!$B$121:$B$200,0))</f>
        <v>0</v>
      </c>
      <c r="AH285" s="476">
        <f>INDEX(Input!$1:$1048576,AH$93,$C285*2+MIN($B285,2)+5)</f>
        <v>1</v>
      </c>
      <c r="AI285" s="475">
        <f>INDEX(Input!$1:$1048576,AI$93,$C285*2+MIN($B285,2)+5)
+INDEX(Scenarios!AI$121:AI$200,MATCH($B285,Scenarios!$B$121:$B$200,0))</f>
        <v>0</v>
      </c>
      <c r="AJ285" s="476">
        <f>INDEX(Input!$1:$1048576,AJ$93,$C285*2+MIN($B285,2)+5)</f>
        <v>0.35</v>
      </c>
      <c r="AK285" s="150">
        <f>ROUND(INDEX(Input!$1:$1048576,AK$93,$C284*2+MIN($B285,1)+5)+(Y285-VLOOKUP($C285*1000+1,$A:$HH,Y$92,FALSE)),0)</f>
        <v>4802</v>
      </c>
      <c r="AL285" s="150">
        <f>ROUND(INDEX(Input!$1:$1048576,AL$93,$C284*2+MIN($B285,1)+5)-(Y285-VLOOKUP($C285*1000+1,$A:$HH,Y$92,FALSE))/36,0)</f>
        <v>5107</v>
      </c>
      <c r="AM285" s="32" t="str">
        <f t="shared" si="916"/>
        <v>std/std/std/std</v>
      </c>
      <c r="AN285" s="32" t="str">
        <f t="shared" si="917"/>
        <v>$0 + 0/0/0/1.9/3.9</v>
      </c>
      <c r="AO285" s="32" t="str">
        <f t="shared" si="918"/>
        <v>0/0/0/1.9/3.9</v>
      </c>
      <c r="AP285" s="32" t="str">
        <f t="shared" si="831"/>
        <v>0/0.9/1.9/3.9</v>
      </c>
      <c r="AQ285" s="536">
        <f t="shared" si="830"/>
        <v>0.35833421326936354</v>
      </c>
      <c r="AR285" s="32"/>
      <c r="AS285" s="302"/>
      <c r="AT285" s="3">
        <f t="shared" si="941"/>
        <v>85</v>
      </c>
      <c r="AU285" s="41" t="s">
        <v>121</v>
      </c>
      <c r="AV285" s="41" t="s">
        <v>116</v>
      </c>
      <c r="AW285" s="41" t="str">
        <f>INDEX(Input!$1:$1048576,AW$93,$C285*2+6)</f>
        <v>Kia</v>
      </c>
      <c r="AX285" s="41" t="str">
        <f>INDEX(Input!$1:$1048576,AX$93,$C285*2+6)</f>
        <v>Kia-LR - L2</v>
      </c>
      <c r="AY285" s="41" t="str">
        <f>IF(LEN(D285)=0,"",INDEX(Input!$1:$1048576,AY$93,$C285*2+6))</f>
        <v>Compact Conventional/Sporty Car (43)</v>
      </c>
      <c r="AZ285" s="41" t="str">
        <f>INDEX(Input!$1:$1048576,AZ$93,$C285*2+6)</f>
        <v>Kia Forte</v>
      </c>
      <c r="BA285" s="3">
        <f>INDEX(Input!$1:$1048576,BA$93,$C285*2+6)</f>
        <v>2020</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19695</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832"/>
        <v>1250</v>
      </c>
      <c r="CJ285" s="16" t="str">
        <f>INDEX(Input!$1:$1048576,CJ$93,$C285*2+6)</f>
        <v>N</v>
      </c>
      <c r="CK285" s="1" t="str">
        <f t="shared" si="833"/>
        <v>Market</v>
      </c>
      <c r="CL285" s="1" t="str">
        <f t="shared" si="834"/>
        <v>Market</v>
      </c>
      <c r="CM285" s="1" t="str">
        <f t="shared" si="835"/>
        <v>Market</v>
      </c>
      <c r="CN285" s="1" t="str">
        <f t="shared" si="836"/>
        <v>Market</v>
      </c>
      <c r="CO285" s="1" t="str">
        <f t="shared" si="837"/>
        <v>Market</v>
      </c>
      <c r="CP285" s="304">
        <f t="shared" si="838"/>
        <v>0</v>
      </c>
      <c r="CQ285" s="1">
        <f t="shared" si="839"/>
        <v>0</v>
      </c>
      <c r="CR285" s="1">
        <f t="shared" si="840"/>
        <v>0</v>
      </c>
      <c r="CS285" s="1">
        <f t="shared" si="841"/>
        <v>0</v>
      </c>
      <c r="CT285" s="1">
        <f t="shared" si="842"/>
        <v>1.9E-2</v>
      </c>
      <c r="CU285" s="1">
        <f t="shared" si="843"/>
        <v>3.9E-2</v>
      </c>
      <c r="CV285" s="304">
        <f t="shared" si="844"/>
        <v>1178</v>
      </c>
      <c r="CW285" s="20" t="s">
        <v>122</v>
      </c>
      <c r="CX285" s="20" t="s">
        <v>122</v>
      </c>
      <c r="CY285" s="20" t="s">
        <v>122</v>
      </c>
      <c r="CZ285" s="20" t="s">
        <v>122</v>
      </c>
      <c r="DA285" s="20" t="s">
        <v>122</v>
      </c>
      <c r="DB285" s="503">
        <f t="shared" si="845"/>
        <v>0</v>
      </c>
      <c r="DC285" s="127">
        <v>0</v>
      </c>
      <c r="DD285" s="127">
        <v>0</v>
      </c>
      <c r="DE285" s="127">
        <v>0</v>
      </c>
      <c r="DF285" s="127">
        <v>0</v>
      </c>
      <c r="DG285" s="127">
        <v>0</v>
      </c>
      <c r="DH285" s="127">
        <v>0</v>
      </c>
      <c r="DI285" s="127">
        <v>0</v>
      </c>
      <c r="DJ285" s="127">
        <v>0</v>
      </c>
      <c r="DK285" s="127">
        <v>0</v>
      </c>
      <c r="DL285" s="127">
        <v>0</v>
      </c>
      <c r="DM285" s="304">
        <f>INDEX(Input!$1:$1048576,DM$93,$C285*2+6)</f>
        <v>20731.578947368424</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v>2.8688956139511838E-2</v>
      </c>
      <c r="DZ285" s="7">
        <v>0</v>
      </c>
      <c r="EA285" s="7">
        <v>0.58518017141635659</v>
      </c>
      <c r="EB285" s="7">
        <v>0</v>
      </c>
      <c r="EC285" s="7">
        <v>0</v>
      </c>
      <c r="ED285" s="7">
        <v>0</v>
      </c>
      <c r="EE285" s="7">
        <v>0</v>
      </c>
      <c r="EF285" s="7">
        <v>0</v>
      </c>
      <c r="EG285" s="7">
        <v>0</v>
      </c>
      <c r="EH285" s="7">
        <v>1.6197303944093036E-2</v>
      </c>
      <c r="EI285" s="7">
        <v>2.6454084784727303E-2</v>
      </c>
      <c r="EJ285" s="7">
        <v>0.26575376651810767</v>
      </c>
      <c r="EK285" s="7">
        <v>0.64363912148571056</v>
      </c>
      <c r="EL285" s="7">
        <v>4.7955723267361493E-2</v>
      </c>
      <c r="EM285" s="7">
        <v>3.7503279236514413E-2</v>
      </c>
      <c r="EN285" s="7">
        <v>4.9309978955607701E-2</v>
      </c>
      <c r="EO285" s="7">
        <v>0.56216720470289994</v>
      </c>
      <c r="EP285" s="7">
        <v>0.2851566176496626</v>
      </c>
      <c r="EQ285" s="7">
        <v>6.4376868958041386E-2</v>
      </c>
      <c r="ER285" s="7">
        <v>3.8989329733788498E-2</v>
      </c>
      <c r="ES285" s="7">
        <v>0.34862759320761705</v>
      </c>
      <c r="ET285" s="7">
        <v>0.38613087244413158</v>
      </c>
      <c r="EU285" s="6">
        <v>1600</v>
      </c>
      <c r="EV285" s="6">
        <v>0</v>
      </c>
      <c r="EW285" s="6">
        <v>1600</v>
      </c>
      <c r="EX285" s="6">
        <v>0</v>
      </c>
      <c r="EY285" s="6">
        <v>2626.8183835074669</v>
      </c>
      <c r="EZ285" s="6">
        <v>1931</v>
      </c>
      <c r="FA285" s="6">
        <v>0</v>
      </c>
      <c r="FB285" s="6">
        <v>0</v>
      </c>
      <c r="FC285" s="6">
        <v>0</v>
      </c>
      <c r="FD285" s="6">
        <v>0</v>
      </c>
      <c r="FE285" s="6">
        <v>0</v>
      </c>
      <c r="FF285" s="6">
        <v>0</v>
      </c>
      <c r="FG285" s="6">
        <v>0</v>
      </c>
      <c r="FH285" s="6">
        <v>1154.7826773506504</v>
      </c>
      <c r="FI285" s="6">
        <v>1531.4299904380623</v>
      </c>
      <c r="FJ285" s="6">
        <v>2070.7205842538228</v>
      </c>
      <c r="FK285" s="6">
        <v>1746.9903521590427</v>
      </c>
      <c r="FL285" s="6">
        <v>893.91433563489363</v>
      </c>
      <c r="FM285" s="6">
        <v>1776.8183835074672</v>
      </c>
      <c r="FN285" s="6">
        <v>0</v>
      </c>
      <c r="FO285" s="6">
        <v>0</v>
      </c>
      <c r="FP285" s="6">
        <v>0</v>
      </c>
      <c r="FQ285" s="6">
        <v>0</v>
      </c>
      <c r="FR285" s="6">
        <v>0</v>
      </c>
      <c r="FS285" s="6">
        <v>0</v>
      </c>
      <c r="FT285" s="7">
        <v>0.61386912755586842</v>
      </c>
      <c r="FU285" s="7">
        <v>3.7503279236514413E-2</v>
      </c>
      <c r="FV285" s="7">
        <v>0.34862759320761705</v>
      </c>
      <c r="FW285" s="6">
        <v>1600</v>
      </c>
      <c r="FX285" s="6">
        <v>2626.8183835074669</v>
      </c>
      <c r="FY285" s="6">
        <v>1931</v>
      </c>
      <c r="FZ285" s="6">
        <v>2594.6978186474794</v>
      </c>
      <c r="GA285" s="6">
        <v>1753.904789913588</v>
      </c>
      <c r="GB285" s="6">
        <v>17941.095210086412</v>
      </c>
      <c r="GC285" s="7">
        <v>9.6947029492584935E-2</v>
      </c>
      <c r="GD285" s="7">
        <v>8.8471438559346818E-2</v>
      </c>
      <c r="GE285" s="7"/>
      <c r="GF285" s="7"/>
      <c r="GG285" s="7">
        <v>-8.742496781591827E-2</v>
      </c>
      <c r="GH285" s="42">
        <v>2.0478699064945105</v>
      </c>
      <c r="GI285" s="6">
        <v>11371.214921548552</v>
      </c>
      <c r="GJ285" s="14">
        <v>0.5107463060103955</v>
      </c>
      <c r="GK285" s="14">
        <v>0.50829519786160982</v>
      </c>
      <c r="GL285" s="14">
        <v>0.48925369398960422</v>
      </c>
      <c r="GM285" s="14">
        <v>0.49170480213839007</v>
      </c>
      <c r="GO285" s="5">
        <v>338.16872463277008</v>
      </c>
      <c r="GP285" s="5">
        <v>307.64377699166363</v>
      </c>
      <c r="GQ285" s="5">
        <v>527.27910984145694</v>
      </c>
      <c r="GR285" s="5">
        <v>404.20319246551543</v>
      </c>
      <c r="GS285" s="5">
        <v>334.50205195691484</v>
      </c>
      <c r="GT285" s="5">
        <v>289.18266033348181</v>
      </c>
      <c r="GU285" s="5">
        <v>254.29573314828914</v>
      </c>
      <c r="GV285" s="39" t="s">
        <v>392</v>
      </c>
      <c r="GW285" s="5">
        <v>468.76388888888891</v>
      </c>
      <c r="GX285" s="5">
        <v>351.57291666666669</v>
      </c>
      <c r="GY285" s="5">
        <v>281.25833333333333</v>
      </c>
      <c r="GZ285" s="5">
        <v>248.18079879493993</v>
      </c>
      <c r="HA285" s="5">
        <v>229.89195052129486</v>
      </c>
      <c r="HB285" s="39">
        <v>262.40221844639126</v>
      </c>
      <c r="HC285" s="5">
        <v>198.63437499999998</v>
      </c>
      <c r="HD285" s="5">
        <v>178.66379751461983</v>
      </c>
      <c r="HE285" s="5">
        <v>183.93054571524965</v>
      </c>
      <c r="HF285" s="5">
        <v>173.04879934210524</v>
      </c>
      <c r="HG285" s="5">
        <v>170.56410087719297</v>
      </c>
      <c r="HH285" s="39">
        <v>180.47311662856742</v>
      </c>
      <c r="HI285" s="16"/>
      <c r="HJ285" s="19" t="str">
        <f t="shared" si="945"/>
        <v>On</v>
      </c>
      <c r="HK285" s="1" t="str">
        <f t="shared" si="945"/>
        <v>On</v>
      </c>
      <c r="HL285" s="16"/>
      <c r="HM285" s="889">
        <f t="shared" si="946"/>
        <v>5.0961701597560354E-2</v>
      </c>
      <c r="HN285" s="889">
        <f t="shared" si="946"/>
        <v>3.112551654761847E-3</v>
      </c>
      <c r="HO285" s="889">
        <f t="shared" si="946"/>
        <v>3.1163314184693442E-2</v>
      </c>
      <c r="HP285" s="890">
        <f>(FT285*$GD285-HM285)/$JF285*INDEX(Input!$1:$1048576,$JG$93,$C285*2+6)</f>
        <v>62.888248357521988</v>
      </c>
      <c r="HQ285" s="890">
        <f>(FU285*$GD285-HN285)/$JF285*INDEX(Input!$1:$1048576,$JG$93,$C285*2+6)</f>
        <v>3.8583136904950166</v>
      </c>
      <c r="HR285" s="890">
        <f>(FV285*$GD285-HO285)/$JF285*INDEX(Input!$1:$1048576,$JG$93,$C285*2+6)</f>
        <v>-6.0054144234330771</v>
      </c>
      <c r="HS285" s="890">
        <f t="shared" si="947"/>
        <v>-8.3250910657787109</v>
      </c>
      <c r="HT285" s="890">
        <f t="shared" si="948"/>
        <v>31.569577639200933</v>
      </c>
      <c r="HU285" s="890">
        <f t="shared" si="949"/>
        <v>16.116673980220305</v>
      </c>
      <c r="HV285" s="891">
        <f t="shared" si="950"/>
        <v>0</v>
      </c>
      <c r="HW285" s="891">
        <f t="shared" si="951"/>
        <v>0</v>
      </c>
      <c r="HX285" s="891">
        <f t="shared" si="952"/>
        <v>0</v>
      </c>
      <c r="HY285" s="890">
        <f>INDEX(Input!$1:$1048576,HY$93,$C285*2+6)*INDEX(Input!$1:$1048576,$JG$93,$C285*2+6)</f>
        <v>555</v>
      </c>
      <c r="HZ285" s="890">
        <f>INDEX(Input!$1:$1048576,HZ$93,$C285*2+6)*INDEX(Input!$1:$1048576,$JG$93,$C285*2+6)</f>
        <v>480</v>
      </c>
      <c r="IA285" s="890">
        <f>INDEX(Input!$1:$1048576,IA$93,$C285*2+6)*INDEX(Input!$1:$1048576,$JG$93,$C285*2+6)</f>
        <v>566</v>
      </c>
      <c r="IB285" s="890">
        <f t="shared" si="953"/>
        <v>609.56315729174321</v>
      </c>
      <c r="IC285" s="890">
        <f t="shared" si="954"/>
        <v>515.42789132969597</v>
      </c>
      <c r="ID285" s="890">
        <f>IF(AND(INDEX(Input!$1:$1048576,IA$93,$C285*2+7)="TOS",Y285&lt;=INDEX(Y:Y,MATCH(C285*1000+2,A:A))),0,1)*MAX(IA285+HR285+HU285+HX285,0%)</f>
        <v>576.11125955678722</v>
      </c>
      <c r="IE285" s="892">
        <f t="shared" si="955"/>
        <v>0.35833421326936354</v>
      </c>
      <c r="IF285" s="892">
        <f t="shared" si="955"/>
        <v>0.30299640935863925</v>
      </c>
      <c r="IG285" s="892">
        <f t="shared" si="955"/>
        <v>0.3386693773719972</v>
      </c>
      <c r="IH285" s="21"/>
      <c r="II285" s="19">
        <f t="shared" si="956"/>
        <v>1200</v>
      </c>
      <c r="IJ285" s="19">
        <f t="shared" si="957"/>
        <v>2226.7968732767699</v>
      </c>
      <c r="IK285" s="19">
        <f t="shared" si="957"/>
        <v>1786</v>
      </c>
      <c r="IL285" s="19">
        <f t="shared" si="958"/>
        <v>400</v>
      </c>
      <c r="IM285" s="19">
        <f t="shared" si="959"/>
        <v>400.021510230697</v>
      </c>
      <c r="IN285" s="19">
        <f t="shared" si="959"/>
        <v>145</v>
      </c>
      <c r="IO285" s="39">
        <f t="shared" si="960"/>
        <v>0</v>
      </c>
      <c r="IP285" s="39">
        <f t="shared" si="960"/>
        <v>0</v>
      </c>
      <c r="IQ285" s="39">
        <f t="shared" si="960"/>
        <v>0</v>
      </c>
      <c r="IR285" s="39">
        <v>0</v>
      </c>
      <c r="IS285" s="39">
        <v>0</v>
      </c>
      <c r="IT285" s="39">
        <v>0</v>
      </c>
      <c r="IU285" s="39">
        <v>0</v>
      </c>
      <c r="IV285" s="39">
        <v>0</v>
      </c>
      <c r="IW285" s="39">
        <v>0</v>
      </c>
      <c r="IX285" s="39">
        <f>INDEX(Input!$1:$1048576,IX$93,$C285*2+6)+INDEX(Input!$1:$1048576,IX$94,$C285*2+6)</f>
        <v>1600</v>
      </c>
      <c r="IY285" s="39">
        <f>INDEX(Input!$1:$1048576,IY$93,$C285*2+6)+INDEX(Input!$1:$1048576,IY$94,$C285*2+6)</f>
        <v>2503.5492916397525</v>
      </c>
      <c r="IZ285" s="39">
        <f>INDEX(Input!$1:$1048576,IZ$93,$C285*2+6)+INDEX(Input!$1:$1048576,IZ$94,$C285*2+6)</f>
        <v>5773.7109265464023</v>
      </c>
      <c r="JA285" s="19">
        <f t="shared" si="961"/>
        <v>2000</v>
      </c>
      <c r="JB285" s="19">
        <f t="shared" si="961"/>
        <v>2903.5708018704495</v>
      </c>
      <c r="JC285" s="19">
        <f t="shared" si="961"/>
        <v>5918.7109265464023</v>
      </c>
      <c r="JD285" s="19">
        <f t="shared" si="962"/>
        <v>3600.9260981623647</v>
      </c>
      <c r="JE285" s="21"/>
      <c r="JF285" s="1">
        <f t="shared" si="963"/>
        <v>8.5237567437015646E-2</v>
      </c>
      <c r="JG285" s="15">
        <f>INDEX(Input!$1:$1048576,JG$93,$C285*2+6)/(1+VLOOKUP(C285*1000+INDEX(Input!$1:$1048576,JG$93+1,$C285*2+6),$A:$KK,$JK$92,FALSE))</f>
        <v>1601</v>
      </c>
      <c r="JH285" s="1">
        <f t="shared" si="964"/>
        <v>3.7939505074693271E-2</v>
      </c>
      <c r="JI285" s="1">
        <f t="shared" si="965"/>
        <v>2.4585359496341365E-2</v>
      </c>
      <c r="JJ285" s="1">
        <f t="shared" si="966"/>
        <v>0</v>
      </c>
      <c r="JK285" s="1">
        <f t="shared" si="967"/>
        <v>6.2524864571034636E-2</v>
      </c>
      <c r="JL285" s="15">
        <f t="shared" si="968"/>
        <v>100.10230817822645</v>
      </c>
      <c r="JM285" s="15">
        <f t="shared" si="969"/>
        <v>1701.1023081782264</v>
      </c>
      <c r="JN285" s="21"/>
      <c r="JO285" s="19">
        <f>INDEX(Input!$1:$1048576,JO$93,$C285*2+6)</f>
        <v>5908.5</v>
      </c>
      <c r="JP285" s="19">
        <f>INDEX(Input!$1:$1048576,JP$93,$C285*2+6)</f>
        <v>3346.4235130620518</v>
      </c>
      <c r="JQ285" s="39">
        <f t="shared" si="970"/>
        <v>2307.5739018376353</v>
      </c>
      <c r="JR285" s="39">
        <f t="shared" si="971"/>
        <v>254.5025851003129</v>
      </c>
      <c r="JS285" s="39">
        <f t="shared" si="972"/>
        <v>6.1255436971632129</v>
      </c>
      <c r="JT285" s="39">
        <f t="shared" si="973"/>
        <v>0.76791965275086838</v>
      </c>
      <c r="JU285" s="385">
        <f>(JQ285*JM285-INDEX(Input!$1:$1048576,Input!A$18,$C285*2+6)*JL285*INDEX(Input!$1:$1048576,Input!A$19,$C285*2+6))/1000000</f>
        <v>3.9254192907078371</v>
      </c>
      <c r="JV285" s="39">
        <f t="shared" si="974"/>
        <v>-0.17646516487981767</v>
      </c>
      <c r="JW285" s="1">
        <f t="shared" si="975"/>
        <v>-4.3020510887242062E-2</v>
      </c>
      <c r="JX285" s="19">
        <f t="shared" si="976"/>
        <v>7671.3481110108987</v>
      </c>
      <c r="JZ285" s="341"/>
      <c r="KA285" s="342"/>
      <c r="KB285" s="469">
        <f t="shared" si="977"/>
        <v>2.4482969984810516</v>
      </c>
      <c r="KI285" s="473">
        <f t="shared" si="978"/>
        <v>54.563157291743209</v>
      </c>
      <c r="KJ285" s="473">
        <f t="shared" si="978"/>
        <v>35.427891329695967</v>
      </c>
      <c r="KK285" s="473">
        <f t="shared" si="978"/>
        <v>10.111259556787218</v>
      </c>
      <c r="KN285" s="888">
        <f t="shared" si="979"/>
        <v>2002</v>
      </c>
      <c r="KO285" s="893">
        <f t="shared" si="980"/>
        <v>-1.5428405636012887E-2</v>
      </c>
      <c r="KP285" s="894">
        <f t="shared" si="981"/>
        <v>-60.957832837306036</v>
      </c>
      <c r="KQ285" s="894">
        <f t="shared" si="982"/>
        <v>-124.6774767941738</v>
      </c>
      <c r="KR285" s="895">
        <f t="shared" si="983"/>
        <v>4.0418485096976617</v>
      </c>
      <c r="KS285" s="895">
        <f t="shared" si="984"/>
        <v>1.9761574595755542</v>
      </c>
      <c r="KT285" s="896">
        <f t="shared" si="985"/>
        <v>528.59039248727379</v>
      </c>
      <c r="KU285" s="663">
        <f t="shared" si="986"/>
        <v>12.13229101549428</v>
      </c>
    </row>
    <row r="286" spans="1:307" s="26" customFormat="1" ht="15" outlineLevel="1">
      <c r="A286" s="561">
        <f t="shared" si="915"/>
        <v>2086</v>
      </c>
      <c r="B286" s="561">
        <f t="shared" si="920"/>
        <v>86</v>
      </c>
      <c r="C286" s="561">
        <f t="shared" si="857"/>
        <v>2</v>
      </c>
      <c r="D286" s="561" t="str">
        <f t="shared" si="987"/>
        <v xml:space="preserve">-250 CC, 0.9/1.9/2.9/3.9, -180 Lease, </v>
      </c>
      <c r="E286" s="475">
        <f>INDEX(Input!$1:$1048576,E$93,$C286*2+MIN($B286,2)+5)
+INDEX(Scenarios!E$121:E$200,MATCH($B286,Scenarios!$B$121:$B$200,0))</f>
        <v>1000</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9.0000000000000011E-3</v>
      </c>
      <c r="V286" s="478">
        <f>IFERROR(MAX(0,INDEX(Input!$1:$1048576,V$93,$C286*2+MIN($B286,2)+5)
+INDEX(Scenarios!V$121:V$200,MATCH($B286,Scenarios!$B$121:$B$200,0)),),"Market")</f>
        <v>2.8999999999999998E-2</v>
      </c>
      <c r="W286" s="863">
        <f>IFERROR(MAX(0,INDEX(Input!$1:$1048576,W$93,$C286*2+MIN($B286,2)+5)-0%,),"Market")</f>
        <v>3.9E-2</v>
      </c>
      <c r="X286" s="476" t="str">
        <f>INDEX(Input!$1:$1048576,X$93,$C286*2+MIN($B286,2)+5)</f>
        <v>Y</v>
      </c>
      <c r="Y286" s="475">
        <f>INDEX(Input!$1:$1048576,Y$93,$C286*2+MIN($B286,2)+5)
++INDEX(Scenarios!Y$121:Y$200,MATCH($B286,Scenarios!$B$121:$B$200,0))</f>
        <v>1178</v>
      </c>
      <c r="Z286" s="477">
        <f>INDEX(Input!$1:$1048576,Z$93,$C286*2+MIN($B286,2)+5)
+INDEX(Scenarios!Z$121:Z$200,MATCH($B286,Scenarios!$B$121:$B$200,0))</f>
        <v>0</v>
      </c>
      <c r="AA286" s="475">
        <f>INDEX(Input!$1:$1048576,AA$93,$C286*2+MIN($B286,2)+5)</f>
        <v>0</v>
      </c>
      <c r="AB286" s="476">
        <f>INDEX(Input!$1:$1048576,AB$93,$C286*2+MIN($B286,2)+5)</f>
        <v>1</v>
      </c>
      <c r="AC286" s="475">
        <f>INDEX(Input!$1:$1048576,AC$93,$C286*2+MIN($B286,2)+5)
+INDEX(Scenarios!AC$121:AC$200,MATCH($B286,Scenarios!$B$121:$B$200,0))</f>
        <v>0</v>
      </c>
      <c r="AD286" s="476">
        <f>INDEX(Input!$1:$1048576,AD$93,$C286*2+MIN($B286,2)+5)</f>
        <v>0.35</v>
      </c>
      <c r="AE286" s="475">
        <f>INDEX(Input!$1:$1048576,AE$93,$C286*2+MIN($B286,2)+5)
+INDEX(Scenarios!AE$121:AE$200,MATCH($B286,Scenarios!$B$121:$B$200,0))</f>
        <v>0</v>
      </c>
      <c r="AF286" s="476">
        <f>INDEX(Input!$1:$1048576,AF$93,$C286*2+MIN($B286,2)+5)</f>
        <v>1</v>
      </c>
      <c r="AG286" s="475">
        <f>INDEX(Input!$1:$1048576,AG$93,$C286*2+MIN($B286,2)+5)
+INDEX(Scenarios!AG$121:AG$200,MATCH($B286,Scenarios!$B$121:$B$200,0))</f>
        <v>0</v>
      </c>
      <c r="AH286" s="476">
        <f>INDEX(Input!$1:$1048576,AH$93,$C286*2+MIN($B286,2)+5)</f>
        <v>1</v>
      </c>
      <c r="AI286" s="475">
        <f>INDEX(Input!$1:$1048576,AI$93,$C286*2+MIN($B286,2)+5)
+INDEX(Scenarios!AI$121:AI$200,MATCH($B286,Scenarios!$B$121:$B$200,0))</f>
        <v>0</v>
      </c>
      <c r="AJ286" s="476">
        <f>INDEX(Input!$1:$1048576,AJ$93,$C286*2+MIN($B286,2)+5)</f>
        <v>0.35</v>
      </c>
      <c r="AK286" s="150">
        <f>ROUND(INDEX(Input!$1:$1048576,AK$93,$C285*2+MIN($B286,1)+5)+(Y286-VLOOKUP($C286*1000+1,$A:$HH,Y$92,FALSE)),0)</f>
        <v>4802</v>
      </c>
      <c r="AL286" s="150">
        <f>ROUND(INDEX(Input!$1:$1048576,AL$93,$C285*2+MIN($B286,1)+5)-(Y286-VLOOKUP($C286*1000+1,$A:$HH,Y$92,FALSE))/36,0)</f>
        <v>5107</v>
      </c>
      <c r="AM286" s="32" t="str">
        <f t="shared" si="916"/>
        <v>std/std/std/std</v>
      </c>
      <c r="AN286" s="32" t="str">
        <f t="shared" si="917"/>
        <v>$0 + 0/0/0.9/2.9/3.9</v>
      </c>
      <c r="AO286" s="32" t="str">
        <f t="shared" si="918"/>
        <v>0/0/0.9/2.9/3.9</v>
      </c>
      <c r="AP286" s="32" t="str">
        <f t="shared" si="831"/>
        <v>0.9/1.9/2.9/3.9</v>
      </c>
      <c r="AQ286" s="536">
        <f t="shared" si="830"/>
        <v>0.35294664563161604</v>
      </c>
      <c r="AR286" s="32"/>
      <c r="AS286" s="302"/>
      <c r="AT286" s="3">
        <f t="shared" si="941"/>
        <v>86</v>
      </c>
      <c r="AU286" s="41" t="s">
        <v>121</v>
      </c>
      <c r="AV286" s="41" t="s">
        <v>116</v>
      </c>
      <c r="AW286" s="41" t="str">
        <f>INDEX(Input!$1:$1048576,AW$93,$C286*2+6)</f>
        <v>Kia</v>
      </c>
      <c r="AX286" s="41" t="str">
        <f>INDEX(Input!$1:$1048576,AX$93,$C286*2+6)</f>
        <v>Kia-LR - L2</v>
      </c>
      <c r="AY286" s="41" t="str">
        <f>IF(LEN(D286)=0,"",INDEX(Input!$1:$1048576,AY$93,$C286*2+6))</f>
        <v>Compact Conventional/Sporty Car (43)</v>
      </c>
      <c r="AZ286" s="41" t="str">
        <f>INDEX(Input!$1:$1048576,AZ$93,$C286*2+6)</f>
        <v>Kia Forte</v>
      </c>
      <c r="BA286" s="3">
        <f>INDEX(Input!$1:$1048576,BA$93,$C286*2+6)</f>
        <v>2020</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19695</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832"/>
        <v>1000</v>
      </c>
      <c r="CJ286" s="16" t="str">
        <f>INDEX(Input!$1:$1048576,CJ$93,$C286*2+6)</f>
        <v>N</v>
      </c>
      <c r="CK286" s="1" t="str">
        <f t="shared" si="833"/>
        <v>Market</v>
      </c>
      <c r="CL286" s="1" t="str">
        <f t="shared" si="834"/>
        <v>Market</v>
      </c>
      <c r="CM286" s="1" t="str">
        <f t="shared" si="835"/>
        <v>Market</v>
      </c>
      <c r="CN286" s="1" t="str">
        <f t="shared" si="836"/>
        <v>Market</v>
      </c>
      <c r="CO286" s="1" t="str">
        <f t="shared" si="837"/>
        <v>Market</v>
      </c>
      <c r="CP286" s="304">
        <f t="shared" si="838"/>
        <v>0</v>
      </c>
      <c r="CQ286" s="1">
        <f t="shared" si="839"/>
        <v>0</v>
      </c>
      <c r="CR286" s="1">
        <f t="shared" si="840"/>
        <v>0</v>
      </c>
      <c r="CS286" s="1">
        <f t="shared" si="841"/>
        <v>9.0000000000000011E-3</v>
      </c>
      <c r="CT286" s="1">
        <f t="shared" si="842"/>
        <v>2.8999999999999998E-2</v>
      </c>
      <c r="CU286" s="1">
        <f t="shared" si="843"/>
        <v>3.9E-2</v>
      </c>
      <c r="CV286" s="304">
        <f t="shared" si="844"/>
        <v>1178</v>
      </c>
      <c r="CW286" s="20" t="s">
        <v>122</v>
      </c>
      <c r="CX286" s="20" t="s">
        <v>122</v>
      </c>
      <c r="CY286" s="20" t="s">
        <v>122</v>
      </c>
      <c r="CZ286" s="20" t="s">
        <v>122</v>
      </c>
      <c r="DA286" s="20" t="s">
        <v>122</v>
      </c>
      <c r="DB286" s="503">
        <f t="shared" si="845"/>
        <v>0</v>
      </c>
      <c r="DC286" s="127">
        <v>0</v>
      </c>
      <c r="DD286" s="127">
        <v>0</v>
      </c>
      <c r="DE286" s="127">
        <v>0</v>
      </c>
      <c r="DF286" s="127">
        <v>0</v>
      </c>
      <c r="DG286" s="127">
        <v>0</v>
      </c>
      <c r="DH286" s="127">
        <v>0</v>
      </c>
      <c r="DI286" s="127">
        <v>0</v>
      </c>
      <c r="DJ286" s="127">
        <v>0</v>
      </c>
      <c r="DK286" s="127">
        <v>0</v>
      </c>
      <c r="DL286" s="127">
        <v>0</v>
      </c>
      <c r="DM286" s="304">
        <f>INDEX(Input!$1:$1048576,DM$93,$C286*2+6)</f>
        <v>20731.578947368424</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v>2.8156096775863334E-2</v>
      </c>
      <c r="DZ286" s="7">
        <v>0</v>
      </c>
      <c r="EA286" s="7">
        <v>0.57624116396884917</v>
      </c>
      <c r="EB286" s="7">
        <v>0</v>
      </c>
      <c r="EC286" s="7">
        <v>0</v>
      </c>
      <c r="ED286" s="7">
        <v>0</v>
      </c>
      <c r="EE286" s="7">
        <v>0</v>
      </c>
      <c r="EF286" s="7">
        <v>0</v>
      </c>
      <c r="EG286" s="7">
        <v>0</v>
      </c>
      <c r="EH286" s="7">
        <v>2.4066283760588593E-2</v>
      </c>
      <c r="EI286" s="7">
        <v>3.9294420462205396E-2</v>
      </c>
      <c r="EJ286" s="7">
        <v>0.28407373282783754</v>
      </c>
      <c r="EK286" s="7">
        <v>0.58127371017592311</v>
      </c>
      <c r="EL286" s="7">
        <v>7.129185277344513E-2</v>
      </c>
      <c r="EM286" s="7">
        <v>2.67468137426463E-2</v>
      </c>
      <c r="EN286" s="7">
        <v>4.9318054078143062E-2</v>
      </c>
      <c r="EO286" s="7">
        <v>0.5622011484625371</v>
      </c>
      <c r="EP286" s="7">
        <v>0.28511838123924543</v>
      </c>
      <c r="EQ286" s="7">
        <v>6.4385281368177019E-2</v>
      </c>
      <c r="ER286" s="7">
        <v>3.8977134851897174E-2</v>
      </c>
      <c r="ES286" s="7">
        <v>0.36885592551264118</v>
      </c>
      <c r="ET286" s="7">
        <v>0.39560273925528749</v>
      </c>
      <c r="EU286" s="6">
        <v>1350</v>
      </c>
      <c r="EV286" s="6">
        <v>0</v>
      </c>
      <c r="EW286" s="6">
        <v>1350</v>
      </c>
      <c r="EX286" s="6">
        <v>0</v>
      </c>
      <c r="EY286" s="6">
        <v>2223.5366528749955</v>
      </c>
      <c r="EZ286" s="6">
        <v>1931</v>
      </c>
      <c r="FA286" s="6">
        <v>0</v>
      </c>
      <c r="FB286" s="6">
        <v>0</v>
      </c>
      <c r="FC286" s="6">
        <v>0</v>
      </c>
      <c r="FD286" s="6">
        <v>0</v>
      </c>
      <c r="FE286" s="6">
        <v>0</v>
      </c>
      <c r="FF286" s="6">
        <v>0</v>
      </c>
      <c r="FG286" s="6">
        <v>0</v>
      </c>
      <c r="FH286" s="6">
        <v>1154.7846064995067</v>
      </c>
      <c r="FI286" s="6">
        <v>1531.4299904380628</v>
      </c>
      <c r="FJ286" s="6">
        <v>1709.9775738488465</v>
      </c>
      <c r="FK286" s="6">
        <v>1266.3227157028191</v>
      </c>
      <c r="FL286" s="6">
        <v>893.91433563489386</v>
      </c>
      <c r="FM286" s="6">
        <v>1373.5366528749955</v>
      </c>
      <c r="FN286" s="6">
        <v>0</v>
      </c>
      <c r="FO286" s="6">
        <v>0</v>
      </c>
      <c r="FP286" s="6">
        <v>0</v>
      </c>
      <c r="FQ286" s="6">
        <v>0</v>
      </c>
      <c r="FR286" s="6">
        <v>0</v>
      </c>
      <c r="FS286" s="6">
        <v>0</v>
      </c>
      <c r="FT286" s="7">
        <v>0.60439726074471245</v>
      </c>
      <c r="FU286" s="7">
        <v>2.67468137426463E-2</v>
      </c>
      <c r="FV286" s="7">
        <v>0.36885592551264118</v>
      </c>
      <c r="FW286" s="6">
        <v>1350.0000000000002</v>
      </c>
      <c r="FX286" s="6">
        <v>2223.5366528749955</v>
      </c>
      <c r="FY286" s="6">
        <v>1931</v>
      </c>
      <c r="FZ286" s="6">
        <v>2594.6978186474794</v>
      </c>
      <c r="GA286" s="6">
        <v>1587.6696148746666</v>
      </c>
      <c r="GB286" s="6">
        <v>18107.330385125333</v>
      </c>
      <c r="GC286" s="7">
        <v>9.6947029492584935E-2</v>
      </c>
      <c r="GD286" s="7">
        <v>8.6386366966498207E-2</v>
      </c>
      <c r="GE286" s="7"/>
      <c r="GF286" s="7"/>
      <c r="GG286" s="7">
        <v>-0.10893229613491631</v>
      </c>
      <c r="GH286" s="42">
        <v>2.1304483472651454</v>
      </c>
      <c r="GI286" s="6">
        <v>10832.202590894693</v>
      </c>
      <c r="GJ286" s="14">
        <v>0.51074630601039517</v>
      </c>
      <c r="GK286" s="14">
        <v>0.50829519786160937</v>
      </c>
      <c r="GL286" s="14">
        <v>0.48925369398960411</v>
      </c>
      <c r="GM286" s="14">
        <v>0.49170480213839013</v>
      </c>
      <c r="GO286" s="5">
        <v>338.16872463277008</v>
      </c>
      <c r="GP286" s="5">
        <v>312.41330006058649</v>
      </c>
      <c r="GQ286" s="5">
        <v>527.27910984145694</v>
      </c>
      <c r="GR286" s="5">
        <v>404.20319246551543</v>
      </c>
      <c r="GS286" s="5">
        <v>334.50205195691484</v>
      </c>
      <c r="GT286" s="5">
        <v>289.18266033348181</v>
      </c>
      <c r="GU286" s="5">
        <v>254.29573314828914</v>
      </c>
      <c r="GV286" s="39" t="s">
        <v>392</v>
      </c>
      <c r="GW286" s="5">
        <v>468.76388888888891</v>
      </c>
      <c r="GX286" s="5">
        <v>351.57291666666669</v>
      </c>
      <c r="GY286" s="5">
        <v>287.73954748358943</v>
      </c>
      <c r="GZ286" s="5">
        <v>255.64660634518972</v>
      </c>
      <c r="HA286" s="5">
        <v>229.89195052129486</v>
      </c>
      <c r="HB286" s="39">
        <v>271.82558056771342</v>
      </c>
      <c r="HC286" s="5">
        <v>198.63437499999998</v>
      </c>
      <c r="HD286" s="5">
        <v>178.66379751461983</v>
      </c>
      <c r="HE286" s="5">
        <v>183.93054571524965</v>
      </c>
      <c r="HF286" s="5">
        <v>173.04879934210524</v>
      </c>
      <c r="HG286" s="5">
        <v>170.56410087719297</v>
      </c>
      <c r="HH286" s="39">
        <v>180.47312805105821</v>
      </c>
      <c r="HI286" s="16"/>
      <c r="HJ286" s="19" t="str">
        <f t="shared" si="945"/>
        <v>On</v>
      </c>
      <c r="HK286" s="1" t="str">
        <f t="shared" si="945"/>
        <v>On</v>
      </c>
      <c r="HL286" s="16"/>
      <c r="HM286" s="889">
        <f t="shared" si="946"/>
        <v>5.0961701597560354E-2</v>
      </c>
      <c r="HN286" s="889">
        <f t="shared" si="946"/>
        <v>3.112551654761847E-3</v>
      </c>
      <c r="HO286" s="889">
        <f t="shared" si="946"/>
        <v>3.1163314184693442E-2</v>
      </c>
      <c r="HP286" s="890">
        <f>(FT286*$GD286-HM286)/$JF286*INDEX(Input!$1:$1048576,$JG$93,$C286*2+6)</f>
        <v>23.478158544673612</v>
      </c>
      <c r="HQ286" s="890">
        <f>(FU286*$GD286-HN286)/$JF286*INDEX(Input!$1:$1048576,$JG$93,$C286*2+6)</f>
        <v>-15.063645882485106</v>
      </c>
      <c r="HR286" s="890">
        <f>(FV286*$GD286-HO286)/$JF286*INDEX(Input!$1:$1048576,$JG$93,$C286*2+6)</f>
        <v>13.16315669188632</v>
      </c>
      <c r="HS286" s="890">
        <f t="shared" si="947"/>
        <v>-3.0175834584814769</v>
      </c>
      <c r="HT286" s="890">
        <f t="shared" si="948"/>
        <v>-2.0430097797077997</v>
      </c>
      <c r="HU286" s="890">
        <f t="shared" si="949"/>
        <v>12.929287969473254</v>
      </c>
      <c r="HV286" s="891">
        <f t="shared" si="950"/>
        <v>0</v>
      </c>
      <c r="HW286" s="891">
        <f t="shared" si="951"/>
        <v>0</v>
      </c>
      <c r="HX286" s="891">
        <f t="shared" si="952"/>
        <v>0</v>
      </c>
      <c r="HY286" s="890">
        <f>INDEX(Input!$1:$1048576,HY$93,$C286*2+6)*INDEX(Input!$1:$1048576,$JG$93,$C286*2+6)</f>
        <v>555</v>
      </c>
      <c r="HZ286" s="890">
        <f>INDEX(Input!$1:$1048576,HZ$93,$C286*2+6)*INDEX(Input!$1:$1048576,$JG$93,$C286*2+6)</f>
        <v>480</v>
      </c>
      <c r="IA286" s="890">
        <f>INDEX(Input!$1:$1048576,IA$93,$C286*2+6)*INDEX(Input!$1:$1048576,$JG$93,$C286*2+6)</f>
        <v>566</v>
      </c>
      <c r="IB286" s="890">
        <f t="shared" si="953"/>
        <v>575.46057508619197</v>
      </c>
      <c r="IC286" s="890">
        <f t="shared" si="954"/>
        <v>462.89334433780709</v>
      </c>
      <c r="ID286" s="890">
        <f>IF(AND(INDEX(Input!$1:$1048576,IA$93,$C286*2+7)="TOS",Y286&lt;=INDEX(Y:Y,MATCH(C286*1000+2,A:A))),0,1)*MAX(IA286+HR286+HU286+HX286,0%)</f>
        <v>592.09244466135965</v>
      </c>
      <c r="IE286" s="892">
        <f t="shared" si="955"/>
        <v>0.35294664563161604</v>
      </c>
      <c r="IF286" s="892">
        <f t="shared" si="955"/>
        <v>0.28390590119011927</v>
      </c>
      <c r="IG286" s="892">
        <f t="shared" si="955"/>
        <v>0.36314745317826463</v>
      </c>
      <c r="IH286" s="21"/>
      <c r="II286" s="19">
        <f t="shared" si="956"/>
        <v>1200</v>
      </c>
      <c r="IJ286" s="19">
        <f t="shared" si="957"/>
        <v>2226.7968732767699</v>
      </c>
      <c r="IK286" s="19">
        <f t="shared" si="957"/>
        <v>1786</v>
      </c>
      <c r="IL286" s="19">
        <f t="shared" si="958"/>
        <v>150.00000000000023</v>
      </c>
      <c r="IM286" s="19">
        <f t="shared" si="959"/>
        <v>-3.2602204017744043</v>
      </c>
      <c r="IN286" s="19">
        <f t="shared" si="959"/>
        <v>145</v>
      </c>
      <c r="IO286" s="39">
        <f t="shared" si="960"/>
        <v>0</v>
      </c>
      <c r="IP286" s="39">
        <f t="shared" si="960"/>
        <v>0</v>
      </c>
      <c r="IQ286" s="39">
        <f t="shared" si="960"/>
        <v>0</v>
      </c>
      <c r="IR286" s="39">
        <v>0</v>
      </c>
      <c r="IS286" s="39">
        <v>0</v>
      </c>
      <c r="IT286" s="39">
        <v>0</v>
      </c>
      <c r="IU286" s="39">
        <v>0</v>
      </c>
      <c r="IV286" s="39">
        <v>0</v>
      </c>
      <c r="IW286" s="39">
        <v>0</v>
      </c>
      <c r="IX286" s="39">
        <f>INDEX(Input!$1:$1048576,IX$93,$C286*2+6)+INDEX(Input!$1:$1048576,IX$94,$C286*2+6)</f>
        <v>1600</v>
      </c>
      <c r="IY286" s="39">
        <f>INDEX(Input!$1:$1048576,IY$93,$C286*2+6)+INDEX(Input!$1:$1048576,IY$94,$C286*2+6)</f>
        <v>2503.5492916397525</v>
      </c>
      <c r="IZ286" s="39">
        <f>INDEX(Input!$1:$1048576,IZ$93,$C286*2+6)+INDEX(Input!$1:$1048576,IZ$94,$C286*2+6)</f>
        <v>5773.7109265464023</v>
      </c>
      <c r="JA286" s="19">
        <f t="shared" si="961"/>
        <v>1750.0000000000002</v>
      </c>
      <c r="JB286" s="19">
        <f t="shared" si="961"/>
        <v>2500.2890712379781</v>
      </c>
      <c r="JC286" s="19">
        <f t="shared" si="961"/>
        <v>5918.7109265464023</v>
      </c>
      <c r="JD286" s="19">
        <f t="shared" si="962"/>
        <v>3476.8682509346459</v>
      </c>
      <c r="JE286" s="21"/>
      <c r="JF286" s="1">
        <f t="shared" si="963"/>
        <v>8.5237567437015646E-2</v>
      </c>
      <c r="JG286" s="15">
        <f>INDEX(Input!$1:$1048576,JG$93,$C286*2+6)/(1+VLOOKUP(C286*1000+INDEX(Input!$1:$1048576,JG$93+1,$C286*2+6),$A:$KK,$JK$92,FALSE))</f>
        <v>1601</v>
      </c>
      <c r="JH286" s="1">
        <f t="shared" si="964"/>
        <v>1.3477619833900577E-2</v>
      </c>
      <c r="JI286" s="1">
        <f t="shared" si="965"/>
        <v>4.91486241804121E-3</v>
      </c>
      <c r="JJ286" s="1">
        <f t="shared" si="966"/>
        <v>0</v>
      </c>
      <c r="JK286" s="1">
        <f t="shared" si="967"/>
        <v>1.8392482251941789E-2</v>
      </c>
      <c r="JL286" s="15">
        <f t="shared" si="968"/>
        <v>29.446364085358802</v>
      </c>
      <c r="JM286" s="15">
        <f t="shared" si="969"/>
        <v>1630.4463640853587</v>
      </c>
      <c r="JN286" s="21"/>
      <c r="JO286" s="19">
        <f>INDEX(Input!$1:$1048576,JO$93,$C286*2+6)</f>
        <v>5908.5</v>
      </c>
      <c r="JP286" s="19">
        <f>INDEX(Input!$1:$1048576,JP$93,$C286*2+6)</f>
        <v>3346.4235130620518</v>
      </c>
      <c r="JQ286" s="39">
        <f t="shared" si="970"/>
        <v>2431.6317490653541</v>
      </c>
      <c r="JR286" s="39">
        <f t="shared" si="971"/>
        <v>130.44473787259403</v>
      </c>
      <c r="JS286" s="39">
        <f t="shared" si="972"/>
        <v>5.668847198140214</v>
      </c>
      <c r="JT286" s="39">
        <f t="shared" si="973"/>
        <v>0.31122315372786952</v>
      </c>
      <c r="JU286" s="385">
        <f>(JQ286*JM286-INDEX(Input!$1:$1048576,Input!A$18,$C286*2+6)*JL286*INDEX(Input!$1:$1048576,Input!A$19,$C286*2+6))/1000000</f>
        <v>3.9646451440581281</v>
      </c>
      <c r="JV286" s="39">
        <f t="shared" si="974"/>
        <v>-0.13723931152952673</v>
      </c>
      <c r="JW286" s="1">
        <f t="shared" si="975"/>
        <v>-3.345762490763899E-2</v>
      </c>
      <c r="JX286" s="19">
        <f t="shared" si="976"/>
        <v>10569.153897088931</v>
      </c>
      <c r="JZ286" s="341"/>
      <c r="KA286" s="342"/>
      <c r="KB286" s="469">
        <f t="shared" si="977"/>
        <v>2.4482969984810516</v>
      </c>
      <c r="KI286" s="473">
        <f t="shared" si="978"/>
        <v>20.460575086191966</v>
      </c>
      <c r="KJ286" s="473">
        <f t="shared" si="978"/>
        <v>-17.106655662192907</v>
      </c>
      <c r="KK286" s="473">
        <f t="shared" si="978"/>
        <v>26.09244466135965</v>
      </c>
      <c r="KN286" s="888">
        <f t="shared" si="979"/>
        <v>2002</v>
      </c>
      <c r="KO286" s="893">
        <f t="shared" si="980"/>
        <v>-5.6322968645164395E-2</v>
      </c>
      <c r="KP286" s="894">
        <f t="shared" si="981"/>
        <v>-268.09477834490701</v>
      </c>
      <c r="KQ286" s="894">
        <f t="shared" si="982"/>
        <v>-248.73532402189267</v>
      </c>
      <c r="KR286" s="895">
        <f t="shared" si="983"/>
        <v>3.3549471559374364</v>
      </c>
      <c r="KS286" s="895">
        <f t="shared" si="984"/>
        <v>3.6160678732175491</v>
      </c>
      <c r="KT286" s="896">
        <f t="shared" si="985"/>
        <v>528.59039248727379</v>
      </c>
      <c r="KU286" s="663">
        <f t="shared" si="986"/>
        <v>11.808003641006858</v>
      </c>
    </row>
    <row r="287" spans="1:307" s="26" customFormat="1" ht="15" outlineLevel="1">
      <c r="A287" s="561">
        <f t="shared" si="915"/>
        <v>2087</v>
      </c>
      <c r="B287" s="561">
        <f t="shared" si="920"/>
        <v>87</v>
      </c>
      <c r="C287" s="561">
        <f t="shared" si="857"/>
        <v>2</v>
      </c>
      <c r="D287" s="561" t="str">
        <f t="shared" si="987"/>
        <v xml:space="preserve">250 CC, -180 Lease, </v>
      </c>
      <c r="E287" s="475">
        <f>INDEX(Input!$1:$1048576,E$93,$C287*2+MIN($B287,2)+5)
+INDEX(Scenarios!E$121:E$200,MATCH($B287,Scenarios!$B$121:$B$200,0))</f>
        <v>1500</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0</v>
      </c>
      <c r="V287" s="478">
        <f>IFERROR(MAX(0,INDEX(Input!$1:$1048576,V$93,$C287*2+MIN($B287,2)+5)
+INDEX(Scenarios!V$121:V$200,MATCH($B287,Scenarios!$B$121:$B$200,0)),),"Market")</f>
        <v>1.9E-2</v>
      </c>
      <c r="W287" s="863">
        <f>IFERROR(MAX(0,INDEX(Input!$1:$1048576,W$93,$C287*2+MIN($B287,2)+5)-0%,),"Market")</f>
        <v>3.9E-2</v>
      </c>
      <c r="X287" s="476" t="str">
        <f>INDEX(Input!$1:$1048576,X$93,$C287*2+MIN($B287,2)+5)</f>
        <v>Y</v>
      </c>
      <c r="Y287" s="475">
        <f>INDEX(Input!$1:$1048576,Y$93,$C287*2+MIN($B287,2)+5)
++INDEX(Scenarios!Y$121:Y$200,MATCH($B287,Scenarios!$B$121:$B$200,0))</f>
        <v>1178</v>
      </c>
      <c r="Z287" s="477">
        <f>INDEX(Input!$1:$1048576,Z$93,$C287*2+MIN($B287,2)+5)
+INDEX(Scenarios!Z$121:Z$200,MATCH($B287,Scenarios!$B$121:$B$200,0))</f>
        <v>0</v>
      </c>
      <c r="AA287" s="475">
        <f>INDEX(Input!$1:$1048576,AA$93,$C287*2+MIN($B287,2)+5)</f>
        <v>0</v>
      </c>
      <c r="AB287" s="476">
        <f>INDEX(Input!$1:$1048576,AB$93,$C287*2+MIN($B287,2)+5)</f>
        <v>1</v>
      </c>
      <c r="AC287" s="475">
        <f>INDEX(Input!$1:$1048576,AC$93,$C287*2+MIN($B287,2)+5)
+INDEX(Scenarios!AC$121:AC$200,MATCH($B287,Scenarios!$B$121:$B$200,0))</f>
        <v>0</v>
      </c>
      <c r="AD287" s="476">
        <f>INDEX(Input!$1:$1048576,AD$93,$C287*2+MIN($B287,2)+5)</f>
        <v>0.35</v>
      </c>
      <c r="AE287" s="475">
        <f>INDEX(Input!$1:$1048576,AE$93,$C287*2+MIN($B287,2)+5)
+INDEX(Scenarios!AE$121:AE$200,MATCH($B287,Scenarios!$B$121:$B$200,0))</f>
        <v>0</v>
      </c>
      <c r="AF287" s="476">
        <f>INDEX(Input!$1:$1048576,AF$93,$C287*2+MIN($B287,2)+5)</f>
        <v>1</v>
      </c>
      <c r="AG287" s="475">
        <f>INDEX(Input!$1:$1048576,AG$93,$C287*2+MIN($B287,2)+5)
+INDEX(Scenarios!AG$121:AG$200,MATCH($B287,Scenarios!$B$121:$B$200,0))</f>
        <v>0</v>
      </c>
      <c r="AH287" s="476">
        <f>INDEX(Input!$1:$1048576,AH$93,$C287*2+MIN($B287,2)+5)</f>
        <v>1</v>
      </c>
      <c r="AI287" s="475">
        <f>INDEX(Input!$1:$1048576,AI$93,$C287*2+MIN($B287,2)+5)
+INDEX(Scenarios!AI$121:AI$200,MATCH($B287,Scenarios!$B$121:$B$200,0))</f>
        <v>0</v>
      </c>
      <c r="AJ287" s="476">
        <f>INDEX(Input!$1:$1048576,AJ$93,$C287*2+MIN($B287,2)+5)</f>
        <v>0.35</v>
      </c>
      <c r="AK287" s="150">
        <f>ROUND(INDEX(Input!$1:$1048576,AK$93,$C286*2+MIN($B287,1)+5)+(Y287-VLOOKUP($C287*1000+1,$A:$HH,Y$92,FALSE)),0)</f>
        <v>4802</v>
      </c>
      <c r="AL287" s="150">
        <f>ROUND(INDEX(Input!$1:$1048576,AL$93,$C286*2+MIN($B287,1)+5)-(Y287-VLOOKUP($C287*1000+1,$A:$HH,Y$92,FALSE))/36,0)</f>
        <v>5107</v>
      </c>
      <c r="AM287" s="32" t="str">
        <f t="shared" si="916"/>
        <v>std/std/std/std</v>
      </c>
      <c r="AN287" s="32" t="str">
        <f t="shared" si="917"/>
        <v>$0 + 0/0/0/1.9/3.9</v>
      </c>
      <c r="AO287" s="32" t="str">
        <f t="shared" si="918"/>
        <v>0/0/0/1.9/3.9</v>
      </c>
      <c r="AP287" s="32" t="str">
        <f t="shared" si="831"/>
        <v>0/0.9/1.9/3.9</v>
      </c>
      <c r="AQ287" s="536">
        <f t="shared" si="830"/>
        <v>0.377767826280349</v>
      </c>
      <c r="AR287" s="32"/>
      <c r="AS287" s="302"/>
      <c r="AT287" s="3">
        <f t="shared" si="941"/>
        <v>87</v>
      </c>
      <c r="AU287" s="41" t="s">
        <v>121</v>
      </c>
      <c r="AV287" s="41" t="s">
        <v>116</v>
      </c>
      <c r="AW287" s="41" t="str">
        <f>INDEX(Input!$1:$1048576,AW$93,$C287*2+6)</f>
        <v>Kia</v>
      </c>
      <c r="AX287" s="41" t="str">
        <f>INDEX(Input!$1:$1048576,AX$93,$C287*2+6)</f>
        <v>Kia-LR - L2</v>
      </c>
      <c r="AY287" s="41" t="str">
        <f>IF(LEN(D287)=0,"",INDEX(Input!$1:$1048576,AY$93,$C287*2+6))</f>
        <v>Compact Conventional/Sporty Car (43)</v>
      </c>
      <c r="AZ287" s="41" t="str">
        <f>INDEX(Input!$1:$1048576,AZ$93,$C287*2+6)</f>
        <v>Kia Forte</v>
      </c>
      <c r="BA287" s="3">
        <f>INDEX(Input!$1:$1048576,BA$93,$C287*2+6)</f>
        <v>2020</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19695</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832"/>
        <v>1500</v>
      </c>
      <c r="CJ287" s="16" t="str">
        <f>INDEX(Input!$1:$1048576,CJ$93,$C287*2+6)</f>
        <v>N</v>
      </c>
      <c r="CK287" s="1" t="str">
        <f t="shared" si="833"/>
        <v>Market</v>
      </c>
      <c r="CL287" s="1" t="str">
        <f t="shared" si="834"/>
        <v>Market</v>
      </c>
      <c r="CM287" s="1" t="str">
        <f t="shared" si="835"/>
        <v>Market</v>
      </c>
      <c r="CN287" s="1" t="str">
        <f t="shared" si="836"/>
        <v>Market</v>
      </c>
      <c r="CO287" s="1" t="str">
        <f t="shared" si="837"/>
        <v>Market</v>
      </c>
      <c r="CP287" s="304">
        <f t="shared" si="838"/>
        <v>0</v>
      </c>
      <c r="CQ287" s="1">
        <f t="shared" si="839"/>
        <v>0</v>
      </c>
      <c r="CR287" s="1">
        <f t="shared" si="840"/>
        <v>0</v>
      </c>
      <c r="CS287" s="1">
        <f t="shared" si="841"/>
        <v>0</v>
      </c>
      <c r="CT287" s="1">
        <f t="shared" si="842"/>
        <v>1.9E-2</v>
      </c>
      <c r="CU287" s="1">
        <f t="shared" si="843"/>
        <v>3.9E-2</v>
      </c>
      <c r="CV287" s="304">
        <f t="shared" si="844"/>
        <v>1178</v>
      </c>
      <c r="CW287" s="20" t="s">
        <v>122</v>
      </c>
      <c r="CX287" s="20" t="s">
        <v>122</v>
      </c>
      <c r="CY287" s="20" t="s">
        <v>122</v>
      </c>
      <c r="CZ287" s="20" t="s">
        <v>122</v>
      </c>
      <c r="DA287" s="20" t="s">
        <v>122</v>
      </c>
      <c r="DB287" s="503">
        <f t="shared" si="845"/>
        <v>0</v>
      </c>
      <c r="DC287" s="127">
        <v>0</v>
      </c>
      <c r="DD287" s="127">
        <v>0</v>
      </c>
      <c r="DE287" s="127">
        <v>0</v>
      </c>
      <c r="DF287" s="127">
        <v>0</v>
      </c>
      <c r="DG287" s="127">
        <v>0</v>
      </c>
      <c r="DH287" s="127">
        <v>0</v>
      </c>
      <c r="DI287" s="127">
        <v>0</v>
      </c>
      <c r="DJ287" s="127">
        <v>0</v>
      </c>
      <c r="DK287" s="127">
        <v>0</v>
      </c>
      <c r="DL287" s="127">
        <v>0</v>
      </c>
      <c r="DM287" s="304">
        <f>INDEX(Input!$1:$1048576,DM$93,$C287*2+6)</f>
        <v>20731.578947368424</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v>2.9586133726020689E-2</v>
      </c>
      <c r="DZ287" s="7">
        <v>0</v>
      </c>
      <c r="EA287" s="7">
        <v>0.60124032402759964</v>
      </c>
      <c r="EB287" s="7">
        <v>0</v>
      </c>
      <c r="EC287" s="7">
        <v>0</v>
      </c>
      <c r="ED287" s="7">
        <v>0</v>
      </c>
      <c r="EE287" s="7">
        <v>0</v>
      </c>
      <c r="EF287" s="7">
        <v>0</v>
      </c>
      <c r="EG287" s="7">
        <v>0</v>
      </c>
      <c r="EH287" s="7">
        <v>1.6203290934446495E-2</v>
      </c>
      <c r="EI287" s="7">
        <v>2.6466980263620685E-2</v>
      </c>
      <c r="EJ287" s="7">
        <v>0.26581770518857217</v>
      </c>
      <c r="EK287" s="7">
        <v>0.64355846396182992</v>
      </c>
      <c r="EL287" s="7">
        <v>4.7953559651530427E-2</v>
      </c>
      <c r="EM287" s="7">
        <v>3.5813243598272662E-2</v>
      </c>
      <c r="EN287" s="7">
        <v>4.9304773221308079E-2</v>
      </c>
      <c r="EO287" s="7">
        <v>0.56214423342787068</v>
      </c>
      <c r="EP287" s="7">
        <v>0.28518123867749667</v>
      </c>
      <c r="EQ287" s="7">
        <v>6.4370804543889409E-2</v>
      </c>
      <c r="ER287" s="7">
        <v>3.8998950129435425E-2</v>
      </c>
      <c r="ES287" s="7">
        <v>0.33336029864810701</v>
      </c>
      <c r="ET287" s="7">
        <v>0.36917354224637972</v>
      </c>
      <c r="EU287" s="6">
        <v>1850</v>
      </c>
      <c r="EV287" s="6">
        <v>0</v>
      </c>
      <c r="EW287" s="6">
        <v>1850</v>
      </c>
      <c r="EX287" s="6">
        <v>0</v>
      </c>
      <c r="EY287" s="6">
        <v>2626.834583595095</v>
      </c>
      <c r="EZ287" s="6">
        <v>1931</v>
      </c>
      <c r="FA287" s="6">
        <v>0</v>
      </c>
      <c r="FB287" s="6">
        <v>0</v>
      </c>
      <c r="FC287" s="6">
        <v>0</v>
      </c>
      <c r="FD287" s="6">
        <v>0</v>
      </c>
      <c r="FE287" s="6">
        <v>0</v>
      </c>
      <c r="FF287" s="6">
        <v>0</v>
      </c>
      <c r="FG287" s="6">
        <v>0</v>
      </c>
      <c r="FH287" s="6">
        <v>1154.7814907987952</v>
      </c>
      <c r="FI287" s="6">
        <v>1531.4299904380618</v>
      </c>
      <c r="FJ287" s="6">
        <v>2070.7205842538215</v>
      </c>
      <c r="FK287" s="6">
        <v>1746.990352159045</v>
      </c>
      <c r="FL287" s="6">
        <v>893.91433563489363</v>
      </c>
      <c r="FM287" s="6">
        <v>1776.8345835950952</v>
      </c>
      <c r="FN287" s="6">
        <v>0</v>
      </c>
      <c r="FO287" s="6">
        <v>0</v>
      </c>
      <c r="FP287" s="6">
        <v>0</v>
      </c>
      <c r="FQ287" s="6">
        <v>0</v>
      </c>
      <c r="FR287" s="6">
        <v>0</v>
      </c>
      <c r="FS287" s="6">
        <v>0</v>
      </c>
      <c r="FT287" s="7">
        <v>0.63082645775362034</v>
      </c>
      <c r="FU287" s="7">
        <v>3.5813243598272662E-2</v>
      </c>
      <c r="FV287" s="7">
        <v>0.33336029864810701</v>
      </c>
      <c r="FW287" s="6">
        <v>1850</v>
      </c>
      <c r="FX287" s="6">
        <v>2626.834583595095</v>
      </c>
      <c r="FY287" s="6">
        <v>1931</v>
      </c>
      <c r="FZ287" s="6">
        <v>2594.6978186474794</v>
      </c>
      <c r="GA287" s="6">
        <v>1904.8231503683505</v>
      </c>
      <c r="GB287" s="6">
        <v>17790.176849631651</v>
      </c>
      <c r="GC287" s="7">
        <v>9.6947029492584935E-2</v>
      </c>
      <c r="GD287" s="7">
        <v>9.0157085892503014E-2</v>
      </c>
      <c r="GE287" s="7"/>
      <c r="GF287" s="7"/>
      <c r="GG287" s="7">
        <v>-7.0037665265455656E-2</v>
      </c>
      <c r="GH287" s="42">
        <v>1.999481762164133</v>
      </c>
      <c r="GI287" s="6">
        <v>11754.875485270957</v>
      </c>
      <c r="GJ287" s="14">
        <v>0.51074630601039517</v>
      </c>
      <c r="GK287" s="14">
        <v>0.50829519786160948</v>
      </c>
      <c r="GL287" s="14">
        <v>0.48925369398960422</v>
      </c>
      <c r="GM287" s="14">
        <v>0.49170480213839018</v>
      </c>
      <c r="GO287" s="5">
        <v>338.16872463277008</v>
      </c>
      <c r="GP287" s="5">
        <v>302.87425392274076</v>
      </c>
      <c r="GQ287" s="5">
        <v>527.27910984145694</v>
      </c>
      <c r="GR287" s="5">
        <v>404.20319246551543</v>
      </c>
      <c r="GS287" s="5">
        <v>334.50205195691484</v>
      </c>
      <c r="GT287" s="5">
        <v>289.18266033348181</v>
      </c>
      <c r="GU287" s="5">
        <v>254.29573314828914</v>
      </c>
      <c r="GV287" s="39" t="s">
        <v>392</v>
      </c>
      <c r="GW287" s="5">
        <v>468.76388888888891</v>
      </c>
      <c r="GX287" s="5">
        <v>351.57291666666669</v>
      </c>
      <c r="GY287" s="5">
        <v>281.25833333333333</v>
      </c>
      <c r="GZ287" s="5">
        <v>248.18079879493993</v>
      </c>
      <c r="HA287" s="5">
        <v>229.89195052129486</v>
      </c>
      <c r="HB287" s="39">
        <v>262.40702686971969</v>
      </c>
      <c r="HC287" s="5">
        <v>198.63437499999998</v>
      </c>
      <c r="HD287" s="5">
        <v>178.66379751461983</v>
      </c>
      <c r="HE287" s="5">
        <v>183.93054571524965</v>
      </c>
      <c r="HF287" s="5">
        <v>173.04879934210524</v>
      </c>
      <c r="HG287" s="5">
        <v>170.56410087719297</v>
      </c>
      <c r="HH287" s="39">
        <v>180.47309846918941</v>
      </c>
      <c r="HI287" s="16"/>
      <c r="HJ287" s="19" t="str">
        <f t="shared" si="945"/>
        <v>On</v>
      </c>
      <c r="HK287" s="1" t="str">
        <f t="shared" si="945"/>
        <v>On</v>
      </c>
      <c r="HL287" s="16"/>
      <c r="HM287" s="889">
        <f t="shared" si="946"/>
        <v>5.0961701597560354E-2</v>
      </c>
      <c r="HN287" s="889">
        <f t="shared" si="946"/>
        <v>3.112551654761847E-3</v>
      </c>
      <c r="HO287" s="889">
        <f t="shared" si="946"/>
        <v>3.1163314184693442E-2</v>
      </c>
      <c r="HP287" s="890">
        <f>(FT287*$GD287-HM287)/$JF287*INDEX(Input!$1:$1048576,$JG$93,$C287*2+6)</f>
        <v>111.03964739919529</v>
      </c>
      <c r="HQ287" s="890">
        <f>(FU287*$GD287-HN287)/$JF287*INDEX(Input!$1:$1048576,$JG$93,$C287*2+6)</f>
        <v>2.1838012356320466</v>
      </c>
      <c r="HR287" s="890">
        <f>(FV287*$GD287-HO287)/$JF287*INDEX(Input!$1:$1048576,$JG$93,$C287*2+6)</f>
        <v>-20.821127873442592</v>
      </c>
      <c r="HS287" s="890">
        <f t="shared" si="947"/>
        <v>-13.358106434004767</v>
      </c>
      <c r="HT287" s="890">
        <f t="shared" si="948"/>
        <v>28.658162146229458</v>
      </c>
      <c r="HU287" s="890">
        <f t="shared" si="949"/>
        <v>19.029567751896177</v>
      </c>
      <c r="HV287" s="891">
        <f t="shared" si="950"/>
        <v>0</v>
      </c>
      <c r="HW287" s="891">
        <f t="shared" si="951"/>
        <v>0</v>
      </c>
      <c r="HX287" s="891">
        <f t="shared" si="952"/>
        <v>0</v>
      </c>
      <c r="HY287" s="890">
        <f>INDEX(Input!$1:$1048576,HY$93,$C287*2+6)*INDEX(Input!$1:$1048576,$JG$93,$C287*2+6)</f>
        <v>555</v>
      </c>
      <c r="HZ287" s="890">
        <f>INDEX(Input!$1:$1048576,HZ$93,$C287*2+6)*INDEX(Input!$1:$1048576,$JG$93,$C287*2+6)</f>
        <v>480</v>
      </c>
      <c r="IA287" s="890">
        <f>INDEX(Input!$1:$1048576,IA$93,$C287*2+6)*INDEX(Input!$1:$1048576,$JG$93,$C287*2+6)</f>
        <v>566</v>
      </c>
      <c r="IB287" s="890">
        <f t="shared" si="953"/>
        <v>652.68154096519049</v>
      </c>
      <c r="IC287" s="890">
        <f t="shared" si="954"/>
        <v>510.84196338186155</v>
      </c>
      <c r="ID287" s="890">
        <f>IF(AND(INDEX(Input!$1:$1048576,IA$93,$C287*2+7)="TOS",Y287&lt;=INDEX(Y:Y,MATCH(C287*1000+2,A:A))),0,1)*MAX(IA287+HR287+HU287+HX287,0%)</f>
        <v>564.20843987845353</v>
      </c>
      <c r="IE287" s="892">
        <f t="shared" si="955"/>
        <v>0.377767826280349</v>
      </c>
      <c r="IF287" s="892">
        <f t="shared" si="955"/>
        <v>0.29567200229712592</v>
      </c>
      <c r="IG287" s="892">
        <f t="shared" si="955"/>
        <v>0.32656017142252497</v>
      </c>
      <c r="IH287" s="21"/>
      <c r="II287" s="19">
        <f t="shared" si="956"/>
        <v>1200</v>
      </c>
      <c r="IJ287" s="19">
        <f t="shared" si="957"/>
        <v>2226.7968732767699</v>
      </c>
      <c r="IK287" s="19">
        <f t="shared" si="957"/>
        <v>1786</v>
      </c>
      <c r="IL287" s="19">
        <f t="shared" si="958"/>
        <v>650</v>
      </c>
      <c r="IM287" s="19">
        <f t="shared" si="959"/>
        <v>400.03771031832503</v>
      </c>
      <c r="IN287" s="19">
        <f t="shared" si="959"/>
        <v>145</v>
      </c>
      <c r="IO287" s="39">
        <f t="shared" si="960"/>
        <v>0</v>
      </c>
      <c r="IP287" s="39">
        <f t="shared" si="960"/>
        <v>0</v>
      </c>
      <c r="IQ287" s="39">
        <f t="shared" si="960"/>
        <v>0</v>
      </c>
      <c r="IR287" s="39">
        <v>0</v>
      </c>
      <c r="IS287" s="39">
        <v>0</v>
      </c>
      <c r="IT287" s="39">
        <v>0</v>
      </c>
      <c r="IU287" s="39">
        <v>0</v>
      </c>
      <c r="IV287" s="39">
        <v>0</v>
      </c>
      <c r="IW287" s="39">
        <v>0</v>
      </c>
      <c r="IX287" s="39">
        <f>INDEX(Input!$1:$1048576,IX$93,$C287*2+6)+INDEX(Input!$1:$1048576,IX$94,$C287*2+6)</f>
        <v>1600</v>
      </c>
      <c r="IY287" s="39">
        <f>INDEX(Input!$1:$1048576,IY$93,$C287*2+6)+INDEX(Input!$1:$1048576,IY$94,$C287*2+6)</f>
        <v>2503.5492916397525</v>
      </c>
      <c r="IZ287" s="39">
        <f>INDEX(Input!$1:$1048576,IZ$93,$C287*2+6)+INDEX(Input!$1:$1048576,IZ$94,$C287*2+6)</f>
        <v>5773.7109265464023</v>
      </c>
      <c r="JA287" s="19">
        <f t="shared" si="961"/>
        <v>2250</v>
      </c>
      <c r="JB287" s="19">
        <f t="shared" si="961"/>
        <v>2903.5870019580775</v>
      </c>
      <c r="JC287" s="19">
        <f t="shared" si="961"/>
        <v>5918.7109265464023</v>
      </c>
      <c r="JD287" s="19">
        <f t="shared" si="962"/>
        <v>3641.3022466170037</v>
      </c>
      <c r="JE287" s="21"/>
      <c r="JF287" s="1">
        <f t="shared" si="963"/>
        <v>8.5237567437015646E-2</v>
      </c>
      <c r="JG287" s="15">
        <f>INDEX(Input!$1:$1048576,JG$93,$C287*2+6)/(1+VLOOKUP(C287*1000+INDEX(Input!$1:$1048576,JG$93+1,$C287*2+6),$A:$KK,$JK$92,FALSE))</f>
        <v>1601</v>
      </c>
      <c r="JH287" s="1">
        <f t="shared" si="964"/>
        <v>5.7715378364387719E-2</v>
      </c>
      <c r="JI287" s="1">
        <f t="shared" si="965"/>
        <v>2.1442613031930589E-2</v>
      </c>
      <c r="JJ287" s="1">
        <f t="shared" si="966"/>
        <v>0</v>
      </c>
      <c r="JK287" s="1">
        <f t="shared" si="967"/>
        <v>7.9157991396318308E-2</v>
      </c>
      <c r="JL287" s="15">
        <f t="shared" si="968"/>
        <v>126.73194422550561</v>
      </c>
      <c r="JM287" s="15">
        <f t="shared" si="969"/>
        <v>1727.7319442255057</v>
      </c>
      <c r="JN287" s="21"/>
      <c r="JO287" s="19">
        <f>INDEX(Input!$1:$1048576,JO$93,$C287*2+6)</f>
        <v>5908.5</v>
      </c>
      <c r="JP287" s="19">
        <f>INDEX(Input!$1:$1048576,JP$93,$C287*2+6)</f>
        <v>3346.4235130620518</v>
      </c>
      <c r="JQ287" s="39">
        <f t="shared" si="970"/>
        <v>2267.1977533829963</v>
      </c>
      <c r="JR287" s="39">
        <f t="shared" si="971"/>
        <v>294.87873355495185</v>
      </c>
      <c r="JS287" s="39">
        <f t="shared" si="972"/>
        <v>6.2911942100602971</v>
      </c>
      <c r="JT287" s="39">
        <f t="shared" si="973"/>
        <v>0.93357016564795281</v>
      </c>
      <c r="JU287" s="385">
        <f>(JQ287*JM287-INDEX(Input!$1:$1048576,Input!A$18,$C287*2+6)*JL287*INDEX(Input!$1:$1048576,Input!A$19,$C287*2+6))/1000000</f>
        <v>3.9171099823961031</v>
      </c>
      <c r="JV287" s="39">
        <f t="shared" si="974"/>
        <v>-0.18477447319155171</v>
      </c>
      <c r="JW287" s="1">
        <f t="shared" si="975"/>
        <v>-4.5046240378577428E-2</v>
      </c>
      <c r="JX287" s="19">
        <f t="shared" si="976"/>
        <v>7366.4944647796692</v>
      </c>
      <c r="JZ287" s="341"/>
      <c r="KA287" s="342"/>
      <c r="KB287" s="469">
        <f t="shared" si="977"/>
        <v>2.4482969984810516</v>
      </c>
      <c r="KI287" s="473">
        <f t="shared" si="978"/>
        <v>97.681540965190493</v>
      </c>
      <c r="KJ287" s="473">
        <f t="shared" si="978"/>
        <v>30.841963381861547</v>
      </c>
      <c r="KK287" s="473">
        <f t="shared" si="978"/>
        <v>-1.7915601215464676</v>
      </c>
      <c r="KN287" s="888">
        <f t="shared" si="979"/>
        <v>2002</v>
      </c>
      <c r="KO287" s="893">
        <f t="shared" si="980"/>
        <v>-1.5585904740378353E-5</v>
      </c>
      <c r="KP287" s="894">
        <f t="shared" si="981"/>
        <v>35.66850653389443</v>
      </c>
      <c r="KQ287" s="894">
        <f t="shared" si="982"/>
        <v>-84.301328339534848</v>
      </c>
      <c r="KR287" s="895">
        <f t="shared" si="983"/>
        <v>-6.9780743750946835E-3</v>
      </c>
      <c r="KS287" s="895">
        <f t="shared" si="984"/>
        <v>2.9524741346850215E-3</v>
      </c>
      <c r="KT287" s="896">
        <f t="shared" si="985"/>
        <v>528.59039248727379</v>
      </c>
      <c r="KU287" s="663">
        <f t="shared" si="986"/>
        <v>12.270253131813911</v>
      </c>
    </row>
    <row r="288" spans="1:307" s="26" customFormat="1" ht="15" outlineLevel="1">
      <c r="A288" s="561">
        <f t="shared" si="915"/>
        <v>2088</v>
      </c>
      <c r="B288" s="561">
        <f t="shared" si="920"/>
        <v>88</v>
      </c>
      <c r="C288" s="561">
        <f t="shared" si="857"/>
        <v>2</v>
      </c>
      <c r="D288" s="561" t="str">
        <f t="shared" si="987"/>
        <v/>
      </c>
      <c r="E288" s="475">
        <f>INDEX(Input!$1:$1048576,E$93,$C288*2+MIN($B288,2)+5)
+INDEX(Scenarios!E$121:E$200,MATCH($B288,Scenarios!$B$121:$B$200,0))</f>
        <v>1250</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0</v>
      </c>
      <c r="V288" s="478">
        <f>IFERROR(MAX(0,INDEX(Input!$1:$1048576,V$93,$C288*2+MIN($B288,2)+5)
+INDEX(Scenarios!V$121:V$200,MATCH($B288,Scenarios!$B$121:$B$200,0)),),"Market")</f>
        <v>1.9E-2</v>
      </c>
      <c r="W288" s="863">
        <f>IFERROR(MAX(0,INDEX(Input!$1:$1048576,W$93,$C288*2+MIN($B288,2)+5)-0%,),"Market")</f>
        <v>3.9E-2</v>
      </c>
      <c r="X288" s="476" t="str">
        <f>INDEX(Input!$1:$1048576,X$93,$C288*2+MIN($B288,2)+5)</f>
        <v>Y</v>
      </c>
      <c r="Y288" s="475">
        <f>INDEX(Input!$1:$1048576,Y$93,$C288*2+MIN($B288,2)+5)
++INDEX(Scenarios!Y$121:Y$200,MATCH($B288,Scenarios!$B$121:$B$200,0))</f>
        <v>1358</v>
      </c>
      <c r="Z288" s="477">
        <f>INDEX(Input!$1:$1048576,Z$93,$C288*2+MIN($B288,2)+5)
+INDEX(Scenarios!Z$121:Z$200,MATCH($B288,Scenarios!$B$121:$B$200,0))</f>
        <v>0</v>
      </c>
      <c r="AA288" s="475">
        <f>INDEX(Input!$1:$1048576,AA$93,$C288*2+MIN($B288,2)+5)</f>
        <v>0</v>
      </c>
      <c r="AB288" s="476">
        <f>INDEX(Input!$1:$1048576,AB$93,$C288*2+MIN($B288,2)+5)</f>
        <v>1</v>
      </c>
      <c r="AC288" s="475">
        <f>INDEX(Input!$1:$1048576,AC$93,$C288*2+MIN($B288,2)+5)
+INDEX(Scenarios!AC$121:AC$200,MATCH($B288,Scenarios!$B$121:$B$200,0))</f>
        <v>0</v>
      </c>
      <c r="AD288" s="476">
        <f>INDEX(Input!$1:$1048576,AD$93,$C288*2+MIN($B288,2)+5)</f>
        <v>0.35</v>
      </c>
      <c r="AE288" s="475">
        <f>INDEX(Input!$1:$1048576,AE$93,$C288*2+MIN($B288,2)+5)
+INDEX(Scenarios!AE$121:AE$200,MATCH($B288,Scenarios!$B$121:$B$200,0))</f>
        <v>0</v>
      </c>
      <c r="AF288" s="476">
        <f>INDEX(Input!$1:$1048576,AF$93,$C288*2+MIN($B288,2)+5)</f>
        <v>1</v>
      </c>
      <c r="AG288" s="475">
        <f>INDEX(Input!$1:$1048576,AG$93,$C288*2+MIN($B288,2)+5)
+INDEX(Scenarios!AG$121:AG$200,MATCH($B288,Scenarios!$B$121:$B$200,0))</f>
        <v>0</v>
      </c>
      <c r="AH288" s="476">
        <f>INDEX(Input!$1:$1048576,AH$93,$C288*2+MIN($B288,2)+5)</f>
        <v>1</v>
      </c>
      <c r="AI288" s="475">
        <f>INDEX(Input!$1:$1048576,AI$93,$C288*2+MIN($B288,2)+5)
+INDEX(Scenarios!AI$121:AI$200,MATCH($B288,Scenarios!$B$121:$B$200,0))</f>
        <v>0</v>
      </c>
      <c r="AJ288" s="476">
        <f>INDEX(Input!$1:$1048576,AJ$93,$C288*2+MIN($B288,2)+5)</f>
        <v>0.35</v>
      </c>
      <c r="AK288" s="150">
        <f>ROUND(INDEX(Input!$1:$1048576,AK$93,$C287*2+MIN($B288,1)+5)+(Y288-VLOOKUP($C288*1000+1,$A:$HH,Y$92,FALSE)),0)</f>
        <v>4982</v>
      </c>
      <c r="AL288" s="150">
        <f>ROUND(INDEX(Input!$1:$1048576,AL$93,$C287*2+MIN($B288,1)+5)-(Y288-VLOOKUP($C288*1000+1,$A:$HH,Y$92,FALSE))/36,0)</f>
        <v>5102</v>
      </c>
      <c r="AM288" s="32" t="str">
        <f t="shared" si="916"/>
        <v>std/std/std/std</v>
      </c>
      <c r="AN288" s="32" t="str">
        <f t="shared" si="917"/>
        <v>$0 + 0/0/0/1.9/3.9</v>
      </c>
      <c r="AO288" s="32" t="str">
        <f t="shared" si="918"/>
        <v>0/0/0/1.9/3.9</v>
      </c>
      <c r="AP288" s="32" t="str">
        <f t="shared" si="831"/>
        <v>0/0.9/1.9/3.9</v>
      </c>
      <c r="AQ288" s="536">
        <f t="shared" si="830"/>
        <v>0</v>
      </c>
      <c r="AR288" s="32"/>
      <c r="AS288" s="302"/>
      <c r="AT288" s="3">
        <f t="shared" si="941"/>
        <v>88</v>
      </c>
      <c r="AU288" s="41" t="s">
        <v>121</v>
      </c>
      <c r="AV288" s="41" t="s">
        <v>116</v>
      </c>
      <c r="AW288" s="41" t="str">
        <f>INDEX(Input!$1:$1048576,AW$93,$C288*2+6)</f>
        <v>Kia</v>
      </c>
      <c r="AX288" s="41" t="str">
        <f>INDEX(Input!$1:$1048576,AX$93,$C288*2+6)</f>
        <v>Kia-LR - L2</v>
      </c>
      <c r="AY288" s="41" t="str">
        <f>IF(LEN(D288)=0,"",INDEX(Input!$1:$1048576,AY$93,$C288*2+6))</f>
        <v/>
      </c>
      <c r="AZ288" s="41" t="str">
        <f>INDEX(Input!$1:$1048576,AZ$93,$C288*2+6)</f>
        <v>Kia Forte</v>
      </c>
      <c r="BA288" s="3">
        <f>INDEX(Input!$1:$1048576,BA$93,$C288*2+6)</f>
        <v>2020</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19695</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832"/>
        <v>1250</v>
      </c>
      <c r="CJ288" s="16" t="str">
        <f>INDEX(Input!$1:$1048576,CJ$93,$C288*2+6)</f>
        <v>N</v>
      </c>
      <c r="CK288" s="1" t="str">
        <f t="shared" si="833"/>
        <v>Market</v>
      </c>
      <c r="CL288" s="1" t="str">
        <f t="shared" si="834"/>
        <v>Market</v>
      </c>
      <c r="CM288" s="1" t="str">
        <f t="shared" si="835"/>
        <v>Market</v>
      </c>
      <c r="CN288" s="1" t="str">
        <f t="shared" si="836"/>
        <v>Market</v>
      </c>
      <c r="CO288" s="1" t="str">
        <f t="shared" si="837"/>
        <v>Market</v>
      </c>
      <c r="CP288" s="304">
        <f t="shared" si="838"/>
        <v>0</v>
      </c>
      <c r="CQ288" s="1">
        <f t="shared" si="839"/>
        <v>0</v>
      </c>
      <c r="CR288" s="1">
        <f t="shared" si="840"/>
        <v>0</v>
      </c>
      <c r="CS288" s="1">
        <f t="shared" si="841"/>
        <v>0</v>
      </c>
      <c r="CT288" s="1">
        <f t="shared" si="842"/>
        <v>1.9E-2</v>
      </c>
      <c r="CU288" s="1">
        <f t="shared" si="843"/>
        <v>3.9E-2</v>
      </c>
      <c r="CV288" s="304">
        <f t="shared" si="844"/>
        <v>1358</v>
      </c>
      <c r="CW288" s="20" t="s">
        <v>122</v>
      </c>
      <c r="CX288" s="20" t="s">
        <v>122</v>
      </c>
      <c r="CY288" s="20" t="s">
        <v>122</v>
      </c>
      <c r="CZ288" s="20" t="s">
        <v>122</v>
      </c>
      <c r="DA288" s="20" t="s">
        <v>122</v>
      </c>
      <c r="DB288" s="503">
        <f t="shared" si="845"/>
        <v>0</v>
      </c>
      <c r="DC288" s="127">
        <v>0</v>
      </c>
      <c r="DD288" s="127">
        <v>0</v>
      </c>
      <c r="DE288" s="127">
        <v>0</v>
      </c>
      <c r="DF288" s="127">
        <v>0</v>
      </c>
      <c r="DG288" s="127">
        <v>0</v>
      </c>
      <c r="DH288" s="127">
        <v>0</v>
      </c>
      <c r="DI288" s="127">
        <v>0</v>
      </c>
      <c r="DJ288" s="127">
        <v>0</v>
      </c>
      <c r="DK288" s="127">
        <v>0</v>
      </c>
      <c r="DL288" s="127">
        <v>0</v>
      </c>
      <c r="DM288" s="304">
        <f>INDEX(Input!$1:$1048576,DM$93,$C288*2+6)</f>
        <v>20731.578947368424</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c r="DZ288" s="7"/>
      <c r="EA288" s="7"/>
      <c r="EB288" s="7"/>
      <c r="EC288" s="7"/>
      <c r="ED288" s="7"/>
      <c r="EE288" s="7"/>
      <c r="EF288" s="7"/>
      <c r="EG288" s="7"/>
      <c r="EH288" s="7"/>
      <c r="EI288" s="7"/>
      <c r="EJ288" s="7"/>
      <c r="EK288" s="7"/>
      <c r="EL288" s="7"/>
      <c r="EM288" s="7"/>
      <c r="EN288" s="7"/>
      <c r="EO288" s="7"/>
      <c r="EP288" s="7"/>
      <c r="EQ288" s="7"/>
      <c r="ER288" s="7"/>
      <c r="ES288" s="7"/>
      <c r="ET288" s="7"/>
      <c r="EU288" s="6"/>
      <c r="EV288" s="6"/>
      <c r="EW288" s="6"/>
      <c r="EX288" s="6"/>
      <c r="EY288" s="6"/>
      <c r="EZ288" s="6"/>
      <c r="FA288" s="6"/>
      <c r="FB288" s="6"/>
      <c r="FC288" s="6"/>
      <c r="FD288" s="6"/>
      <c r="FE288" s="6"/>
      <c r="FF288" s="6"/>
      <c r="FG288" s="6"/>
      <c r="FH288" s="6"/>
      <c r="FI288" s="6"/>
      <c r="FJ288" s="6"/>
      <c r="FK288" s="6"/>
      <c r="FL288" s="6"/>
      <c r="FM288" s="6"/>
      <c r="FN288" s="6"/>
      <c r="FO288" s="6"/>
      <c r="FP288" s="6"/>
      <c r="FQ288" s="6"/>
      <c r="FR288" s="6"/>
      <c r="FS288" s="6"/>
      <c r="FT288" s="7"/>
      <c r="FU288" s="7"/>
      <c r="FV288" s="7"/>
      <c r="FW288" s="6"/>
      <c r="FX288" s="6"/>
      <c r="FY288" s="6"/>
      <c r="FZ288" s="6"/>
      <c r="GA288" s="6"/>
      <c r="GB288" s="6"/>
      <c r="GC288" s="7"/>
      <c r="GD288" s="7"/>
      <c r="GE288" s="7"/>
      <c r="GF288" s="7"/>
      <c r="GG288" s="7"/>
      <c r="GH288" s="42"/>
      <c r="GI288" s="6"/>
      <c r="GJ288" s="14"/>
      <c r="GK288" s="14"/>
      <c r="GL288" s="14"/>
      <c r="GM288" s="14"/>
      <c r="GO288" s="5"/>
      <c r="GP288" s="5"/>
      <c r="GQ288" s="5"/>
      <c r="GR288" s="5"/>
      <c r="GS288" s="5"/>
      <c r="GT288" s="5"/>
      <c r="GU288" s="5"/>
      <c r="GV288" s="39"/>
      <c r="GW288" s="5"/>
      <c r="GX288" s="5"/>
      <c r="GY288" s="5"/>
      <c r="GZ288" s="5"/>
      <c r="HA288" s="5"/>
      <c r="HB288" s="39"/>
      <c r="HC288" s="5"/>
      <c r="HD288" s="5"/>
      <c r="HE288" s="5"/>
      <c r="HF288" s="5"/>
      <c r="HG288" s="5"/>
      <c r="HH288" s="39"/>
      <c r="HI288" s="16"/>
      <c r="HJ288" s="19"/>
      <c r="HK288" s="1"/>
      <c r="HL288" s="16"/>
      <c r="HM288" s="1"/>
      <c r="HN288" s="1"/>
      <c r="HO288" s="1"/>
      <c r="HP288" s="1"/>
      <c r="HQ288" s="1"/>
      <c r="HR288" s="1"/>
      <c r="HS288" s="1"/>
      <c r="HT288" s="1"/>
      <c r="HU288" s="1"/>
      <c r="HV288" s="1"/>
      <c r="HW288" s="1"/>
      <c r="HX288" s="1"/>
      <c r="HY288" s="1"/>
      <c r="HZ288" s="1"/>
      <c r="IA288" s="1"/>
      <c r="IB288" s="1"/>
      <c r="IC288" s="1"/>
      <c r="ID288" s="1"/>
      <c r="IE288" s="1"/>
      <c r="IF288" s="1"/>
      <c r="IG288" s="1"/>
      <c r="IH288" s="21"/>
      <c r="II288" s="19"/>
      <c r="IJ288" s="19"/>
      <c r="IK288" s="19"/>
      <c r="IL288" s="19"/>
      <c r="IM288" s="19"/>
      <c r="IN288" s="19"/>
      <c r="IO288" s="39"/>
      <c r="IP288" s="39"/>
      <c r="IQ288" s="39"/>
      <c r="IR288" s="39"/>
      <c r="IS288" s="39"/>
      <c r="IT288" s="39"/>
      <c r="IU288" s="39"/>
      <c r="IV288" s="39"/>
      <c r="IW288" s="39"/>
      <c r="IX288" s="39"/>
      <c r="IY288" s="39"/>
      <c r="IZ288" s="39"/>
      <c r="JA288" s="19"/>
      <c r="JB288" s="19"/>
      <c r="JC288" s="19"/>
      <c r="JD288" s="19"/>
      <c r="JE288" s="21"/>
      <c r="JF288" s="1"/>
      <c r="JG288" s="15"/>
      <c r="JH288" s="1"/>
      <c r="JI288" s="1"/>
      <c r="JJ288" s="1"/>
      <c r="JK288" s="1"/>
      <c r="JL288" s="15"/>
      <c r="JM288" s="15"/>
      <c r="JN288" s="21"/>
      <c r="JO288" s="19"/>
      <c r="JP288" s="19"/>
      <c r="JQ288" s="39"/>
      <c r="JR288" s="39"/>
      <c r="JS288" s="39"/>
      <c r="JT288" s="39"/>
      <c r="JU288" s="385"/>
      <c r="JV288" s="39"/>
      <c r="JW288" s="1"/>
      <c r="JX288" s="19"/>
      <c r="JZ288" s="341"/>
      <c r="KA288" s="342"/>
      <c r="KB288" s="469"/>
      <c r="KI288" s="473"/>
      <c r="KJ288" s="473"/>
      <c r="KK288" s="473"/>
    </row>
    <row r="289" spans="1:310" s="26" customFormat="1" ht="15" outlineLevel="1">
      <c r="A289" s="561">
        <f t="shared" si="915"/>
        <v>2089</v>
      </c>
      <c r="B289" s="561">
        <f t="shared" si="920"/>
        <v>89</v>
      </c>
      <c r="C289" s="561">
        <f t="shared" si="857"/>
        <v>2</v>
      </c>
      <c r="D289" s="561" t="str">
        <f t="shared" si="987"/>
        <v/>
      </c>
      <c r="E289" s="475">
        <f>INDEX(Input!$1:$1048576,E$93,$C289*2+MIN($B289,2)+5)
+INDEX(Scenarios!E$121:E$200,MATCH($B289,Scenarios!$B$121:$B$200,0))</f>
        <v>1250</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0</v>
      </c>
      <c r="V289" s="478">
        <f>IFERROR(MAX(0,INDEX(Input!$1:$1048576,V$93,$C289*2+MIN($B289,2)+5)
+INDEX(Scenarios!V$121:V$200,MATCH($B289,Scenarios!$B$121:$B$200,0)),),"Market")</f>
        <v>1.9E-2</v>
      </c>
      <c r="W289" s="863">
        <f>IFERROR(MAX(0,INDEX(Input!$1:$1048576,W$93,$C289*2+MIN($B289,2)+5)-0%,),"Market")</f>
        <v>3.9E-2</v>
      </c>
      <c r="X289" s="476" t="str">
        <f>INDEX(Input!$1:$1048576,X$93,$C289*2+MIN($B289,2)+5)</f>
        <v>Y</v>
      </c>
      <c r="Y289" s="475">
        <f>INDEX(Input!$1:$1048576,Y$93,$C289*2+MIN($B289,2)+5)
++INDEX(Scenarios!Y$121:Y$200,MATCH($B289,Scenarios!$B$121:$B$200,0))</f>
        <v>1358</v>
      </c>
      <c r="Z289" s="477">
        <f>INDEX(Input!$1:$1048576,Z$93,$C289*2+MIN($B289,2)+5)
+INDEX(Scenarios!Z$121:Z$200,MATCH($B289,Scenarios!$B$121:$B$200,0))</f>
        <v>0</v>
      </c>
      <c r="AA289" s="475">
        <f>INDEX(Input!$1:$1048576,AA$93,$C289*2+MIN($B289,2)+5)</f>
        <v>0</v>
      </c>
      <c r="AB289" s="476">
        <f>INDEX(Input!$1:$1048576,AB$93,$C289*2+MIN($B289,2)+5)</f>
        <v>1</v>
      </c>
      <c r="AC289" s="475">
        <f>INDEX(Input!$1:$1048576,AC$93,$C289*2+MIN($B289,2)+5)
+INDEX(Scenarios!AC$121:AC$200,MATCH($B289,Scenarios!$B$121:$B$200,0))</f>
        <v>0</v>
      </c>
      <c r="AD289" s="476">
        <f>INDEX(Input!$1:$1048576,AD$93,$C289*2+MIN($B289,2)+5)</f>
        <v>0.35</v>
      </c>
      <c r="AE289" s="475">
        <f>INDEX(Input!$1:$1048576,AE$93,$C289*2+MIN($B289,2)+5)
+INDEX(Scenarios!AE$121:AE$200,MATCH($B289,Scenarios!$B$121:$B$200,0))</f>
        <v>0</v>
      </c>
      <c r="AF289" s="476">
        <f>INDEX(Input!$1:$1048576,AF$93,$C289*2+MIN($B289,2)+5)</f>
        <v>1</v>
      </c>
      <c r="AG289" s="475">
        <f>INDEX(Input!$1:$1048576,AG$93,$C289*2+MIN($B289,2)+5)
+INDEX(Scenarios!AG$121:AG$200,MATCH($B289,Scenarios!$B$121:$B$200,0))</f>
        <v>0</v>
      </c>
      <c r="AH289" s="476">
        <f>INDEX(Input!$1:$1048576,AH$93,$C289*2+MIN($B289,2)+5)</f>
        <v>1</v>
      </c>
      <c r="AI289" s="475">
        <f>INDEX(Input!$1:$1048576,AI$93,$C289*2+MIN($B289,2)+5)
+INDEX(Scenarios!AI$121:AI$200,MATCH($B289,Scenarios!$B$121:$B$200,0))</f>
        <v>0</v>
      </c>
      <c r="AJ289" s="476">
        <f>INDEX(Input!$1:$1048576,AJ$93,$C289*2+MIN($B289,2)+5)</f>
        <v>0.35</v>
      </c>
      <c r="AK289" s="150">
        <f>ROUND(INDEX(Input!$1:$1048576,AK$93,$C288*2+MIN($B289,1)+5)+(Y289-VLOOKUP($C289*1000+1,$A:$HH,Y$92,FALSE)),0)</f>
        <v>4982</v>
      </c>
      <c r="AL289" s="150">
        <f>ROUND(INDEX(Input!$1:$1048576,AL$93,$C288*2+MIN($B289,1)+5)-(Y289-VLOOKUP($C289*1000+1,$A:$HH,Y$92,FALSE))/36,0)</f>
        <v>5102</v>
      </c>
      <c r="AM289" s="32" t="str">
        <f t="shared" si="916"/>
        <v>std/std/std/std</v>
      </c>
      <c r="AN289" s="32" t="str">
        <f t="shared" si="917"/>
        <v>$0 + 0/0/0/1.9/3.9</v>
      </c>
      <c r="AO289" s="32" t="str">
        <f t="shared" si="918"/>
        <v>0/0/0/1.9/3.9</v>
      </c>
      <c r="AP289" s="32" t="str">
        <f t="shared" si="831"/>
        <v>0/0.9/1.9/3.9</v>
      </c>
      <c r="AQ289" s="536">
        <f t="shared" si="830"/>
        <v>0</v>
      </c>
      <c r="AR289" s="32"/>
      <c r="AS289" s="302"/>
      <c r="AT289" s="3">
        <f t="shared" si="941"/>
        <v>89</v>
      </c>
      <c r="AU289" s="41" t="s">
        <v>121</v>
      </c>
      <c r="AV289" s="41" t="s">
        <v>116</v>
      </c>
      <c r="AW289" s="41" t="str">
        <f>INDEX(Input!$1:$1048576,AW$93,$C289*2+6)</f>
        <v>Kia</v>
      </c>
      <c r="AX289" s="41" t="str">
        <f>INDEX(Input!$1:$1048576,AX$93,$C289*2+6)</f>
        <v>Kia-LR - L2</v>
      </c>
      <c r="AY289" s="41" t="str">
        <f>IF(LEN(D289)=0,"",INDEX(Input!$1:$1048576,AY$93,$C289*2+6))</f>
        <v/>
      </c>
      <c r="AZ289" s="41" t="str">
        <f>INDEX(Input!$1:$1048576,AZ$93,$C289*2+6)</f>
        <v>Kia Forte</v>
      </c>
      <c r="BA289" s="3">
        <f>INDEX(Input!$1:$1048576,BA$93,$C289*2+6)</f>
        <v>2020</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19695</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832"/>
        <v>1250</v>
      </c>
      <c r="CJ289" s="16" t="str">
        <f>INDEX(Input!$1:$1048576,CJ$93,$C289*2+6)</f>
        <v>N</v>
      </c>
      <c r="CK289" s="1" t="str">
        <f t="shared" si="833"/>
        <v>Market</v>
      </c>
      <c r="CL289" s="1" t="str">
        <f t="shared" si="834"/>
        <v>Market</v>
      </c>
      <c r="CM289" s="1" t="str">
        <f t="shared" si="835"/>
        <v>Market</v>
      </c>
      <c r="CN289" s="1" t="str">
        <f t="shared" si="836"/>
        <v>Market</v>
      </c>
      <c r="CO289" s="1" t="str">
        <f t="shared" si="837"/>
        <v>Market</v>
      </c>
      <c r="CP289" s="304">
        <f t="shared" si="838"/>
        <v>0</v>
      </c>
      <c r="CQ289" s="1">
        <f t="shared" si="839"/>
        <v>0</v>
      </c>
      <c r="CR289" s="1">
        <f t="shared" si="840"/>
        <v>0</v>
      </c>
      <c r="CS289" s="1">
        <f t="shared" si="841"/>
        <v>0</v>
      </c>
      <c r="CT289" s="1">
        <f t="shared" si="842"/>
        <v>1.9E-2</v>
      </c>
      <c r="CU289" s="1">
        <f t="shared" si="843"/>
        <v>3.9E-2</v>
      </c>
      <c r="CV289" s="304">
        <f t="shared" si="844"/>
        <v>1358</v>
      </c>
      <c r="CW289" s="20" t="s">
        <v>122</v>
      </c>
      <c r="CX289" s="20" t="s">
        <v>122</v>
      </c>
      <c r="CY289" s="20" t="s">
        <v>122</v>
      </c>
      <c r="CZ289" s="20" t="s">
        <v>122</v>
      </c>
      <c r="DA289" s="20" t="s">
        <v>122</v>
      </c>
      <c r="DB289" s="503">
        <f t="shared" si="845"/>
        <v>0</v>
      </c>
      <c r="DC289" s="127">
        <v>0</v>
      </c>
      <c r="DD289" s="127">
        <v>0</v>
      </c>
      <c r="DE289" s="127">
        <v>0</v>
      </c>
      <c r="DF289" s="127">
        <v>0</v>
      </c>
      <c r="DG289" s="127">
        <v>0</v>
      </c>
      <c r="DH289" s="127">
        <v>0</v>
      </c>
      <c r="DI289" s="127">
        <v>0</v>
      </c>
      <c r="DJ289" s="127">
        <v>0</v>
      </c>
      <c r="DK289" s="127">
        <v>0</v>
      </c>
      <c r="DL289" s="127">
        <v>0</v>
      </c>
      <c r="DM289" s="304">
        <f>INDEX(Input!$1:$1048576,DM$93,$C289*2+6)</f>
        <v>20731.578947368424</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c r="DZ289" s="7"/>
      <c r="EA289" s="7"/>
      <c r="EB289" s="7"/>
      <c r="EC289" s="7"/>
      <c r="ED289" s="7"/>
      <c r="EE289" s="7"/>
      <c r="EF289" s="7"/>
      <c r="EG289" s="7"/>
      <c r="EH289" s="7"/>
      <c r="EI289" s="7"/>
      <c r="EJ289" s="7"/>
      <c r="EK289" s="7"/>
      <c r="EL289" s="7"/>
      <c r="EM289" s="7"/>
      <c r="EN289" s="7"/>
      <c r="EO289" s="7"/>
      <c r="EP289" s="7"/>
      <c r="EQ289" s="7"/>
      <c r="ER289" s="7"/>
      <c r="ES289" s="7"/>
      <c r="ET289" s="7"/>
      <c r="EU289" s="6"/>
      <c r="EV289" s="6"/>
      <c r="EW289" s="6"/>
      <c r="EX289" s="6"/>
      <c r="EY289" s="6"/>
      <c r="EZ289" s="6"/>
      <c r="FA289" s="6"/>
      <c r="FB289" s="6"/>
      <c r="FC289" s="6"/>
      <c r="FD289" s="6"/>
      <c r="FE289" s="6"/>
      <c r="FF289" s="6"/>
      <c r="FG289" s="6"/>
      <c r="FH289" s="6"/>
      <c r="FI289" s="6"/>
      <c r="FJ289" s="6"/>
      <c r="FK289" s="6"/>
      <c r="FL289" s="6"/>
      <c r="FM289" s="6"/>
      <c r="FN289" s="6"/>
      <c r="FO289" s="6"/>
      <c r="FP289" s="6"/>
      <c r="FQ289" s="6"/>
      <c r="FR289" s="6"/>
      <c r="FS289" s="6"/>
      <c r="FT289" s="7"/>
      <c r="FU289" s="7"/>
      <c r="FV289" s="7"/>
      <c r="FW289" s="6"/>
      <c r="FX289" s="6"/>
      <c r="FY289" s="6"/>
      <c r="FZ289" s="6"/>
      <c r="GA289" s="6"/>
      <c r="GB289" s="6"/>
      <c r="GC289" s="7"/>
      <c r="GD289" s="7"/>
      <c r="GE289" s="7"/>
      <c r="GF289" s="7"/>
      <c r="GG289" s="7"/>
      <c r="GH289" s="42"/>
      <c r="GI289" s="6"/>
      <c r="GJ289" s="14"/>
      <c r="GK289" s="14"/>
      <c r="GL289" s="14"/>
      <c r="GM289" s="14"/>
      <c r="GO289" s="5"/>
      <c r="GP289" s="5"/>
      <c r="GQ289" s="5"/>
      <c r="GR289" s="5"/>
      <c r="GS289" s="5"/>
      <c r="GT289" s="5"/>
      <c r="GU289" s="5"/>
      <c r="GV289" s="39"/>
      <c r="GW289" s="5"/>
      <c r="GX289" s="5"/>
      <c r="GY289" s="5"/>
      <c r="GZ289" s="5"/>
      <c r="HA289" s="5"/>
      <c r="HB289" s="39"/>
      <c r="HC289" s="5"/>
      <c r="HD289" s="5"/>
      <c r="HE289" s="5"/>
      <c r="HF289" s="5"/>
      <c r="HG289" s="5"/>
      <c r="HH289" s="39"/>
      <c r="HI289" s="16"/>
      <c r="HJ289" s="19"/>
      <c r="HK289" s="1"/>
      <c r="HL289" s="16"/>
      <c r="HM289" s="1"/>
      <c r="HN289" s="1"/>
      <c r="HO289" s="1"/>
      <c r="HP289" s="1"/>
      <c r="HQ289" s="1"/>
      <c r="HR289" s="1"/>
      <c r="HS289" s="1"/>
      <c r="HT289" s="1"/>
      <c r="HU289" s="1"/>
      <c r="HV289" s="1"/>
      <c r="HW289" s="1"/>
      <c r="HX289" s="1"/>
      <c r="HY289" s="1"/>
      <c r="HZ289" s="1"/>
      <c r="IA289" s="1"/>
      <c r="IB289" s="1"/>
      <c r="IC289" s="1"/>
      <c r="ID289" s="1"/>
      <c r="IE289" s="1"/>
      <c r="IF289" s="1"/>
      <c r="IG289" s="1"/>
      <c r="IH289" s="21"/>
      <c r="II289" s="19"/>
      <c r="IJ289" s="19"/>
      <c r="IK289" s="19"/>
      <c r="IL289" s="19"/>
      <c r="IM289" s="19"/>
      <c r="IN289" s="19"/>
      <c r="IO289" s="39"/>
      <c r="IP289" s="39"/>
      <c r="IQ289" s="39"/>
      <c r="IR289" s="39"/>
      <c r="IS289" s="39"/>
      <c r="IT289" s="39"/>
      <c r="IU289" s="39"/>
      <c r="IV289" s="39"/>
      <c r="IW289" s="39"/>
      <c r="IX289" s="39"/>
      <c r="IY289" s="39"/>
      <c r="IZ289" s="39"/>
      <c r="JA289" s="19"/>
      <c r="JB289" s="19"/>
      <c r="JC289" s="19"/>
      <c r="JD289" s="19"/>
      <c r="JE289" s="21"/>
      <c r="JF289" s="1"/>
      <c r="JG289" s="15"/>
      <c r="JH289" s="1"/>
      <c r="JI289" s="1"/>
      <c r="JJ289" s="1"/>
      <c r="JK289" s="1"/>
      <c r="JL289" s="15"/>
      <c r="JM289" s="15"/>
      <c r="JN289" s="21"/>
      <c r="JO289" s="19"/>
      <c r="JP289" s="19"/>
      <c r="JQ289" s="39"/>
      <c r="JR289" s="39"/>
      <c r="JS289" s="39"/>
      <c r="JT289" s="39"/>
      <c r="JU289" s="385"/>
      <c r="JV289" s="39"/>
      <c r="JW289" s="1"/>
      <c r="JX289" s="19"/>
      <c r="JZ289" s="341"/>
      <c r="KA289" s="342"/>
      <c r="KB289" s="469"/>
      <c r="KI289" s="473"/>
      <c r="KJ289" s="473"/>
      <c r="KK289" s="473"/>
    </row>
    <row r="290" spans="1:310" s="26" customFormat="1" ht="15" outlineLevel="1">
      <c r="A290" s="561">
        <f t="shared" si="915"/>
        <v>2090</v>
      </c>
      <c r="B290" s="561">
        <f t="shared" si="920"/>
        <v>90</v>
      </c>
      <c r="C290" s="561">
        <f t="shared" si="857"/>
        <v>2</v>
      </c>
      <c r="D290" s="561" t="str">
        <f t="shared" si="987"/>
        <v/>
      </c>
      <c r="E290" s="475">
        <f>INDEX(Input!$1:$1048576,E$93,$C290*2+MIN($B290,2)+5)
+INDEX(Scenarios!E$121:E$200,MATCH($B290,Scenarios!$B$121:$B$200,0))</f>
        <v>1250</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0</v>
      </c>
      <c r="V290" s="478">
        <f>IFERROR(MAX(0,INDEX(Input!$1:$1048576,V$93,$C290*2+MIN($B290,2)+5)
+INDEX(Scenarios!V$121:V$200,MATCH($B290,Scenarios!$B$121:$B$200,0)),),"Market")</f>
        <v>1.9E-2</v>
      </c>
      <c r="W290" s="863">
        <f>IFERROR(MAX(0,INDEX(Input!$1:$1048576,W$93,$C290*2+MIN($B290,2)+5)-0%,),"Market")</f>
        <v>3.9E-2</v>
      </c>
      <c r="X290" s="476" t="str">
        <f>INDEX(Input!$1:$1048576,X$93,$C290*2+MIN($B290,2)+5)</f>
        <v>Y</v>
      </c>
      <c r="Y290" s="475">
        <f>INDEX(Input!$1:$1048576,Y$93,$C290*2+MIN($B290,2)+5)
++INDEX(Scenarios!Y$121:Y$200,MATCH($B290,Scenarios!$B$121:$B$200,0))</f>
        <v>1358</v>
      </c>
      <c r="Z290" s="477">
        <f>INDEX(Input!$1:$1048576,Z$93,$C290*2+MIN($B290,2)+5)
+INDEX(Scenarios!Z$121:Z$200,MATCH($B290,Scenarios!$B$121:$B$200,0))</f>
        <v>0</v>
      </c>
      <c r="AA290" s="475">
        <f>INDEX(Input!$1:$1048576,AA$93,$C290*2+MIN($B290,2)+5)</f>
        <v>0</v>
      </c>
      <c r="AB290" s="476">
        <f>INDEX(Input!$1:$1048576,AB$93,$C290*2+MIN($B290,2)+5)</f>
        <v>1</v>
      </c>
      <c r="AC290" s="475">
        <f>INDEX(Input!$1:$1048576,AC$93,$C290*2+MIN($B290,2)+5)
+INDEX(Scenarios!AC$121:AC$200,MATCH($B290,Scenarios!$B$121:$B$200,0))</f>
        <v>0</v>
      </c>
      <c r="AD290" s="476">
        <f>INDEX(Input!$1:$1048576,AD$93,$C290*2+MIN($B290,2)+5)</f>
        <v>0.35</v>
      </c>
      <c r="AE290" s="475">
        <f>INDEX(Input!$1:$1048576,AE$93,$C290*2+MIN($B290,2)+5)
+INDEX(Scenarios!AE$121:AE$200,MATCH($B290,Scenarios!$B$121:$B$200,0))</f>
        <v>0</v>
      </c>
      <c r="AF290" s="476">
        <f>INDEX(Input!$1:$1048576,AF$93,$C290*2+MIN($B290,2)+5)</f>
        <v>1</v>
      </c>
      <c r="AG290" s="475">
        <f>INDEX(Input!$1:$1048576,AG$93,$C290*2+MIN($B290,2)+5)
+INDEX(Scenarios!AG$121:AG$200,MATCH($B290,Scenarios!$B$121:$B$200,0))</f>
        <v>0</v>
      </c>
      <c r="AH290" s="476">
        <f>INDEX(Input!$1:$1048576,AH$93,$C290*2+MIN($B290,2)+5)</f>
        <v>1</v>
      </c>
      <c r="AI290" s="475">
        <f>INDEX(Input!$1:$1048576,AI$93,$C290*2+MIN($B290,2)+5)
+INDEX(Scenarios!AI$121:AI$200,MATCH($B290,Scenarios!$B$121:$B$200,0))</f>
        <v>0</v>
      </c>
      <c r="AJ290" s="476">
        <f>INDEX(Input!$1:$1048576,AJ$93,$C290*2+MIN($B290,2)+5)</f>
        <v>0.35</v>
      </c>
      <c r="AK290" s="150">
        <f>ROUND(INDEX(Input!$1:$1048576,AK$93,$C289*2+MIN($B290,1)+5)+(Y290-VLOOKUP($C290*1000+1,$A:$HH,Y$92,FALSE)),0)</f>
        <v>4982</v>
      </c>
      <c r="AL290" s="150">
        <f>ROUND(INDEX(Input!$1:$1048576,AL$93,$C289*2+MIN($B290,1)+5)-(Y290-VLOOKUP($C290*1000+1,$A:$HH,Y$92,FALSE))/36,0)</f>
        <v>5102</v>
      </c>
      <c r="AM290" s="32" t="str">
        <f t="shared" si="916"/>
        <v>std/std/std/std</v>
      </c>
      <c r="AN290" s="32" t="str">
        <f t="shared" si="917"/>
        <v>$0 + 0/0/0/1.9/3.9</v>
      </c>
      <c r="AO290" s="32" t="str">
        <f t="shared" si="918"/>
        <v>0/0/0/1.9/3.9</v>
      </c>
      <c r="AP290" s="32" t="str">
        <f t="shared" si="831"/>
        <v>0/0.9/1.9/3.9</v>
      </c>
      <c r="AQ290" s="536">
        <f t="shared" si="830"/>
        <v>0</v>
      </c>
      <c r="AR290" s="32"/>
      <c r="AS290" s="302"/>
      <c r="AT290" s="3">
        <f t="shared" si="941"/>
        <v>90</v>
      </c>
      <c r="AU290" s="41" t="s">
        <v>121</v>
      </c>
      <c r="AV290" s="41" t="s">
        <v>116</v>
      </c>
      <c r="AW290" s="41" t="str">
        <f>INDEX(Input!$1:$1048576,AW$93,$C290*2+6)</f>
        <v>Kia</v>
      </c>
      <c r="AX290" s="41" t="str">
        <f>INDEX(Input!$1:$1048576,AX$93,$C290*2+6)</f>
        <v>Kia-LR - L2</v>
      </c>
      <c r="AY290" s="41" t="str">
        <f>IF(LEN(D290)=0,"",INDEX(Input!$1:$1048576,AY$93,$C290*2+6))</f>
        <v/>
      </c>
      <c r="AZ290" s="41" t="str">
        <f>INDEX(Input!$1:$1048576,AZ$93,$C290*2+6)</f>
        <v>Kia Forte</v>
      </c>
      <c r="BA290" s="3">
        <f>INDEX(Input!$1:$1048576,BA$93,$C290*2+6)</f>
        <v>2020</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19695</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832"/>
        <v>1250</v>
      </c>
      <c r="CJ290" s="16" t="str">
        <f>INDEX(Input!$1:$1048576,CJ$93,$C290*2+6)</f>
        <v>N</v>
      </c>
      <c r="CK290" s="1" t="str">
        <f t="shared" si="833"/>
        <v>Market</v>
      </c>
      <c r="CL290" s="1" t="str">
        <f t="shared" si="834"/>
        <v>Market</v>
      </c>
      <c r="CM290" s="1" t="str">
        <f t="shared" si="835"/>
        <v>Market</v>
      </c>
      <c r="CN290" s="1" t="str">
        <f t="shared" si="836"/>
        <v>Market</v>
      </c>
      <c r="CO290" s="1" t="str">
        <f t="shared" si="837"/>
        <v>Market</v>
      </c>
      <c r="CP290" s="304">
        <f t="shared" si="838"/>
        <v>0</v>
      </c>
      <c r="CQ290" s="1">
        <f t="shared" si="839"/>
        <v>0</v>
      </c>
      <c r="CR290" s="1">
        <f t="shared" si="840"/>
        <v>0</v>
      </c>
      <c r="CS290" s="1">
        <f t="shared" si="841"/>
        <v>0</v>
      </c>
      <c r="CT290" s="1">
        <f t="shared" si="842"/>
        <v>1.9E-2</v>
      </c>
      <c r="CU290" s="1">
        <f t="shared" si="843"/>
        <v>3.9E-2</v>
      </c>
      <c r="CV290" s="304">
        <f t="shared" si="844"/>
        <v>1358</v>
      </c>
      <c r="CW290" s="20" t="s">
        <v>122</v>
      </c>
      <c r="CX290" s="20" t="s">
        <v>122</v>
      </c>
      <c r="CY290" s="20" t="s">
        <v>122</v>
      </c>
      <c r="CZ290" s="20" t="s">
        <v>122</v>
      </c>
      <c r="DA290" s="20" t="s">
        <v>122</v>
      </c>
      <c r="DB290" s="503">
        <f t="shared" si="845"/>
        <v>0</v>
      </c>
      <c r="DC290" s="127">
        <v>0</v>
      </c>
      <c r="DD290" s="127">
        <v>0</v>
      </c>
      <c r="DE290" s="127">
        <v>0</v>
      </c>
      <c r="DF290" s="127">
        <v>0</v>
      </c>
      <c r="DG290" s="127">
        <v>0</v>
      </c>
      <c r="DH290" s="127">
        <v>0</v>
      </c>
      <c r="DI290" s="127">
        <v>0</v>
      </c>
      <c r="DJ290" s="127">
        <v>0</v>
      </c>
      <c r="DK290" s="127">
        <v>0</v>
      </c>
      <c r="DL290" s="127">
        <v>0</v>
      </c>
      <c r="DM290" s="304">
        <f>INDEX(Input!$1:$1048576,DM$93,$C290*2+6)</f>
        <v>20731.578947368424</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c r="DZ290" s="7"/>
      <c r="EA290" s="7"/>
      <c r="EB290" s="7"/>
      <c r="EC290" s="7"/>
      <c r="ED290" s="7"/>
      <c r="EE290" s="7"/>
      <c r="EF290" s="7"/>
      <c r="EG290" s="7"/>
      <c r="EH290" s="7"/>
      <c r="EI290" s="7"/>
      <c r="EJ290" s="7"/>
      <c r="EK290" s="7"/>
      <c r="EL290" s="7"/>
      <c r="EM290" s="7"/>
      <c r="EN290" s="7"/>
      <c r="EO290" s="7"/>
      <c r="EP290" s="7"/>
      <c r="EQ290" s="7"/>
      <c r="ER290" s="7"/>
      <c r="ES290" s="7"/>
      <c r="ET290" s="7"/>
      <c r="EU290" s="6"/>
      <c r="EV290" s="6"/>
      <c r="EW290" s="6"/>
      <c r="EX290" s="6"/>
      <c r="EY290" s="6"/>
      <c r="EZ290" s="6"/>
      <c r="FA290" s="6"/>
      <c r="FB290" s="6"/>
      <c r="FC290" s="6"/>
      <c r="FD290" s="6"/>
      <c r="FE290" s="6"/>
      <c r="FF290" s="6"/>
      <c r="FG290" s="6"/>
      <c r="FH290" s="6"/>
      <c r="FI290" s="6"/>
      <c r="FJ290" s="6"/>
      <c r="FK290" s="6"/>
      <c r="FL290" s="6"/>
      <c r="FM290" s="6"/>
      <c r="FN290" s="6"/>
      <c r="FO290" s="6"/>
      <c r="FP290" s="6"/>
      <c r="FQ290" s="6"/>
      <c r="FR290" s="6"/>
      <c r="FS290" s="6"/>
      <c r="FT290" s="7"/>
      <c r="FU290" s="7"/>
      <c r="FV290" s="7"/>
      <c r="FW290" s="6"/>
      <c r="FX290" s="6"/>
      <c r="FY290" s="6"/>
      <c r="FZ290" s="6"/>
      <c r="GA290" s="6"/>
      <c r="GB290" s="6"/>
      <c r="GC290" s="7"/>
      <c r="GD290" s="7"/>
      <c r="GE290" s="7"/>
      <c r="GF290" s="7"/>
      <c r="GG290" s="7"/>
      <c r="GH290" s="42"/>
      <c r="GI290" s="6"/>
      <c r="GJ290" s="14"/>
      <c r="GK290" s="14"/>
      <c r="GL290" s="14"/>
      <c r="GM290" s="14"/>
      <c r="GO290" s="5"/>
      <c r="GP290" s="5"/>
      <c r="GQ290" s="5"/>
      <c r="GR290" s="5"/>
      <c r="GS290" s="5"/>
      <c r="GT290" s="5"/>
      <c r="GU290" s="5"/>
      <c r="GV290" s="39"/>
      <c r="GW290" s="5"/>
      <c r="GX290" s="5"/>
      <c r="GY290" s="5"/>
      <c r="GZ290" s="5"/>
      <c r="HA290" s="5"/>
      <c r="HB290" s="39"/>
      <c r="HC290" s="5"/>
      <c r="HD290" s="5"/>
      <c r="HE290" s="5"/>
      <c r="HF290" s="5"/>
      <c r="HG290" s="5"/>
      <c r="HH290" s="39"/>
      <c r="HI290" s="16"/>
      <c r="HJ290" s="19"/>
      <c r="HK290" s="1"/>
      <c r="HL290" s="16"/>
      <c r="HM290" s="1"/>
      <c r="HN290" s="1"/>
      <c r="HO290" s="1"/>
      <c r="HP290" s="1"/>
      <c r="HQ290" s="1"/>
      <c r="HR290" s="1"/>
      <c r="HS290" s="1"/>
      <c r="HT290" s="1"/>
      <c r="HU290" s="1"/>
      <c r="HV290" s="1"/>
      <c r="HW290" s="1"/>
      <c r="HX290" s="1"/>
      <c r="HY290" s="1"/>
      <c r="HZ290" s="1"/>
      <c r="IA290" s="1"/>
      <c r="IB290" s="1"/>
      <c r="IC290" s="1"/>
      <c r="ID290" s="1"/>
      <c r="IE290" s="1"/>
      <c r="IF290" s="1"/>
      <c r="IG290" s="1"/>
      <c r="IH290" s="21"/>
      <c r="II290" s="19"/>
      <c r="IJ290" s="19"/>
      <c r="IK290" s="19"/>
      <c r="IL290" s="19"/>
      <c r="IM290" s="19"/>
      <c r="IN290" s="19"/>
      <c r="IO290" s="39"/>
      <c r="IP290" s="39"/>
      <c r="IQ290" s="39"/>
      <c r="IR290" s="39"/>
      <c r="IS290" s="39"/>
      <c r="IT290" s="39"/>
      <c r="IU290" s="39"/>
      <c r="IV290" s="39"/>
      <c r="IW290" s="39"/>
      <c r="IX290" s="39"/>
      <c r="IY290" s="39"/>
      <c r="IZ290" s="39"/>
      <c r="JA290" s="19"/>
      <c r="JB290" s="19"/>
      <c r="JC290" s="19"/>
      <c r="JD290" s="19"/>
      <c r="JE290" s="21"/>
      <c r="JF290" s="1"/>
      <c r="JG290" s="15"/>
      <c r="JH290" s="1"/>
      <c r="JI290" s="1"/>
      <c r="JJ290" s="1"/>
      <c r="JK290" s="1"/>
      <c r="JL290" s="15"/>
      <c r="JM290" s="15"/>
      <c r="JN290" s="21"/>
      <c r="JO290" s="19"/>
      <c r="JP290" s="19"/>
      <c r="JQ290" s="39"/>
      <c r="JR290" s="39"/>
      <c r="JS290" s="39"/>
      <c r="JT290" s="39"/>
      <c r="JU290" s="385"/>
      <c r="JV290" s="39"/>
      <c r="JW290" s="1"/>
      <c r="JX290" s="19"/>
      <c r="JZ290" s="341"/>
      <c r="KA290" s="342"/>
      <c r="KB290" s="469"/>
      <c r="KI290" s="473"/>
      <c r="KJ290" s="473"/>
      <c r="KK290" s="473"/>
    </row>
    <row r="291" spans="1:310" s="26" customFormat="1" ht="15" outlineLevel="1">
      <c r="A291" s="561">
        <f t="shared" si="915"/>
        <v>2091</v>
      </c>
      <c r="B291" s="561">
        <f t="shared" si="920"/>
        <v>91</v>
      </c>
      <c r="C291" s="561">
        <f t="shared" si="857"/>
        <v>2</v>
      </c>
      <c r="D291" s="561" t="str">
        <f t="shared" si="987"/>
        <v/>
      </c>
      <c r="E291" s="475">
        <f>INDEX(Input!$1:$1048576,E$93,$C291*2+MIN($B291,2)+5)
+INDEX(Scenarios!E$121:E$200,MATCH($B291,Scenarios!$B$121:$B$200,0))</f>
        <v>1250</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0</v>
      </c>
      <c r="V291" s="478">
        <f>IFERROR(MAX(0,INDEX(Input!$1:$1048576,V$93,$C291*2+MIN($B291,2)+5)
+INDEX(Scenarios!V$121:V$200,MATCH($B291,Scenarios!$B$121:$B$200,0)),),"Market")</f>
        <v>1.9E-2</v>
      </c>
      <c r="W291" s="863">
        <f>IFERROR(MAX(0,INDEX(Input!$1:$1048576,W$93,$C291*2+MIN($B291,2)+5)-0%,),"Market")</f>
        <v>3.9E-2</v>
      </c>
      <c r="X291" s="476" t="str">
        <f>INDEX(Input!$1:$1048576,X$93,$C291*2+MIN($B291,2)+5)</f>
        <v>Y</v>
      </c>
      <c r="Y291" s="475">
        <f>INDEX(Input!$1:$1048576,Y$93,$C291*2+MIN($B291,2)+5)
++INDEX(Scenarios!Y$121:Y$200,MATCH($B291,Scenarios!$B$121:$B$200,0))</f>
        <v>1358</v>
      </c>
      <c r="Z291" s="477">
        <f>INDEX(Input!$1:$1048576,Z$93,$C291*2+MIN($B291,2)+5)
+INDEX(Scenarios!Z$121:Z$200,MATCH($B291,Scenarios!$B$121:$B$200,0))</f>
        <v>0</v>
      </c>
      <c r="AA291" s="475">
        <f>INDEX(Input!$1:$1048576,AA$93,$C291*2+MIN($B291,2)+5)</f>
        <v>0</v>
      </c>
      <c r="AB291" s="476">
        <f>INDEX(Input!$1:$1048576,AB$93,$C291*2+MIN($B291,2)+5)</f>
        <v>1</v>
      </c>
      <c r="AC291" s="475">
        <f>INDEX(Input!$1:$1048576,AC$93,$C291*2+MIN($B291,2)+5)
+INDEX(Scenarios!AC$121:AC$200,MATCH($B291,Scenarios!$B$121:$B$200,0))</f>
        <v>0</v>
      </c>
      <c r="AD291" s="476">
        <f>INDEX(Input!$1:$1048576,AD$93,$C291*2+MIN($B291,2)+5)</f>
        <v>0.35</v>
      </c>
      <c r="AE291" s="475">
        <f>INDEX(Input!$1:$1048576,AE$93,$C291*2+MIN($B291,2)+5)
+INDEX(Scenarios!AE$121:AE$200,MATCH($B291,Scenarios!$B$121:$B$200,0))</f>
        <v>0</v>
      </c>
      <c r="AF291" s="476">
        <f>INDEX(Input!$1:$1048576,AF$93,$C291*2+MIN($B291,2)+5)</f>
        <v>1</v>
      </c>
      <c r="AG291" s="475">
        <f>INDEX(Input!$1:$1048576,AG$93,$C291*2+MIN($B291,2)+5)
+INDEX(Scenarios!AG$121:AG$200,MATCH($B291,Scenarios!$B$121:$B$200,0))</f>
        <v>0</v>
      </c>
      <c r="AH291" s="476">
        <f>INDEX(Input!$1:$1048576,AH$93,$C291*2+MIN($B291,2)+5)</f>
        <v>1</v>
      </c>
      <c r="AI291" s="475">
        <f>INDEX(Input!$1:$1048576,AI$93,$C291*2+MIN($B291,2)+5)
+INDEX(Scenarios!AI$121:AI$200,MATCH($B291,Scenarios!$B$121:$B$200,0))</f>
        <v>0</v>
      </c>
      <c r="AJ291" s="476">
        <f>INDEX(Input!$1:$1048576,AJ$93,$C291*2+MIN($B291,2)+5)</f>
        <v>0.35</v>
      </c>
      <c r="AK291" s="150">
        <f>ROUND(INDEX(Input!$1:$1048576,AK$93,$C290*2+MIN($B291,1)+5)+(Y291-VLOOKUP($C291*1000+1,$A:$HH,Y$92,FALSE)),0)</f>
        <v>4982</v>
      </c>
      <c r="AL291" s="150">
        <f>ROUND(INDEX(Input!$1:$1048576,AL$93,$C290*2+MIN($B291,1)+5)-(Y291-VLOOKUP($C291*1000+1,$A:$HH,Y$92,FALSE))/36,0)</f>
        <v>5102</v>
      </c>
      <c r="AM291" s="32" t="str">
        <f t="shared" si="916"/>
        <v>std/std/std/std</v>
      </c>
      <c r="AN291" s="32" t="str">
        <f t="shared" si="917"/>
        <v>$0 + 0/0/0/1.9/3.9</v>
      </c>
      <c r="AO291" s="32" t="str">
        <f t="shared" si="918"/>
        <v>0/0/0/1.9/3.9</v>
      </c>
      <c r="AP291" s="32" t="str">
        <f t="shared" si="831"/>
        <v>0/0.9/1.9/3.9</v>
      </c>
      <c r="AQ291" s="536">
        <f t="shared" si="830"/>
        <v>0</v>
      </c>
      <c r="AR291" s="32"/>
      <c r="AS291" s="302"/>
      <c r="AT291" s="3">
        <f t="shared" si="941"/>
        <v>91</v>
      </c>
      <c r="AU291" s="41" t="s">
        <v>121</v>
      </c>
      <c r="AV291" s="41" t="s">
        <v>116</v>
      </c>
      <c r="AW291" s="41" t="str">
        <f>INDEX(Input!$1:$1048576,AW$93,$C291*2+6)</f>
        <v>Kia</v>
      </c>
      <c r="AX291" s="41" t="str">
        <f>INDEX(Input!$1:$1048576,AX$93,$C291*2+6)</f>
        <v>Kia-LR - L2</v>
      </c>
      <c r="AY291" s="41" t="str">
        <f>IF(LEN(D291)=0,"",INDEX(Input!$1:$1048576,AY$93,$C291*2+6))</f>
        <v/>
      </c>
      <c r="AZ291" s="41" t="str">
        <f>INDEX(Input!$1:$1048576,AZ$93,$C291*2+6)</f>
        <v>Kia Forte</v>
      </c>
      <c r="BA291" s="3">
        <f>INDEX(Input!$1:$1048576,BA$93,$C291*2+6)</f>
        <v>2020</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19695</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832"/>
        <v>1250</v>
      </c>
      <c r="CJ291" s="16" t="str">
        <f>INDEX(Input!$1:$1048576,CJ$93,$C291*2+6)</f>
        <v>N</v>
      </c>
      <c r="CK291" s="1" t="str">
        <f t="shared" si="833"/>
        <v>Market</v>
      </c>
      <c r="CL291" s="1" t="str">
        <f t="shared" si="834"/>
        <v>Market</v>
      </c>
      <c r="CM291" s="1" t="str">
        <f t="shared" si="835"/>
        <v>Market</v>
      </c>
      <c r="CN291" s="1" t="str">
        <f t="shared" si="836"/>
        <v>Market</v>
      </c>
      <c r="CO291" s="1" t="str">
        <f t="shared" si="837"/>
        <v>Market</v>
      </c>
      <c r="CP291" s="304">
        <f t="shared" si="838"/>
        <v>0</v>
      </c>
      <c r="CQ291" s="1">
        <f t="shared" si="839"/>
        <v>0</v>
      </c>
      <c r="CR291" s="1">
        <f t="shared" si="840"/>
        <v>0</v>
      </c>
      <c r="CS291" s="1">
        <f t="shared" si="841"/>
        <v>0</v>
      </c>
      <c r="CT291" s="1">
        <f t="shared" si="842"/>
        <v>1.9E-2</v>
      </c>
      <c r="CU291" s="1">
        <f t="shared" si="843"/>
        <v>3.9E-2</v>
      </c>
      <c r="CV291" s="304">
        <f t="shared" si="844"/>
        <v>1358</v>
      </c>
      <c r="CW291" s="20" t="s">
        <v>122</v>
      </c>
      <c r="CX291" s="20" t="s">
        <v>122</v>
      </c>
      <c r="CY291" s="20" t="s">
        <v>122</v>
      </c>
      <c r="CZ291" s="20" t="s">
        <v>122</v>
      </c>
      <c r="DA291" s="20" t="s">
        <v>122</v>
      </c>
      <c r="DB291" s="503">
        <f t="shared" si="845"/>
        <v>0</v>
      </c>
      <c r="DC291" s="127">
        <v>0</v>
      </c>
      <c r="DD291" s="127">
        <v>0</v>
      </c>
      <c r="DE291" s="127">
        <v>0</v>
      </c>
      <c r="DF291" s="127">
        <v>0</v>
      </c>
      <c r="DG291" s="127">
        <v>0</v>
      </c>
      <c r="DH291" s="127">
        <v>0</v>
      </c>
      <c r="DI291" s="127">
        <v>0</v>
      </c>
      <c r="DJ291" s="127">
        <v>0</v>
      </c>
      <c r="DK291" s="127">
        <v>0</v>
      </c>
      <c r="DL291" s="127">
        <v>0</v>
      </c>
      <c r="DM291" s="304">
        <f>INDEX(Input!$1:$1048576,DM$93,$C291*2+6)</f>
        <v>20731.578947368424</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c r="DZ291" s="7"/>
      <c r="EA291" s="7"/>
      <c r="EB291" s="7"/>
      <c r="EC291" s="7"/>
      <c r="ED291" s="7"/>
      <c r="EE291" s="7"/>
      <c r="EF291" s="7"/>
      <c r="EG291" s="7"/>
      <c r="EH291" s="7"/>
      <c r="EI291" s="7"/>
      <c r="EJ291" s="7"/>
      <c r="EK291" s="7"/>
      <c r="EL291" s="7"/>
      <c r="EM291" s="7"/>
      <c r="EN291" s="7"/>
      <c r="EO291" s="7"/>
      <c r="EP291" s="7"/>
      <c r="EQ291" s="7"/>
      <c r="ER291" s="7"/>
      <c r="ES291" s="7"/>
      <c r="ET291" s="7"/>
      <c r="EU291" s="6"/>
      <c r="EV291" s="6"/>
      <c r="EW291" s="6"/>
      <c r="EX291" s="6"/>
      <c r="EY291" s="6"/>
      <c r="EZ291" s="6"/>
      <c r="FA291" s="6"/>
      <c r="FB291" s="6"/>
      <c r="FC291" s="6"/>
      <c r="FD291" s="6"/>
      <c r="FE291" s="6"/>
      <c r="FF291" s="6"/>
      <c r="FG291" s="6"/>
      <c r="FH291" s="6"/>
      <c r="FI291" s="6"/>
      <c r="FJ291" s="6"/>
      <c r="FK291" s="6"/>
      <c r="FL291" s="6"/>
      <c r="FM291" s="6"/>
      <c r="FN291" s="6"/>
      <c r="FO291" s="6"/>
      <c r="FP291" s="6"/>
      <c r="FQ291" s="6"/>
      <c r="FR291" s="6"/>
      <c r="FS291" s="6"/>
      <c r="FT291" s="7"/>
      <c r="FU291" s="7"/>
      <c r="FV291" s="7"/>
      <c r="FW291" s="6"/>
      <c r="FX291" s="6"/>
      <c r="FY291" s="6"/>
      <c r="FZ291" s="6"/>
      <c r="GA291" s="6"/>
      <c r="GB291" s="6"/>
      <c r="GC291" s="7"/>
      <c r="GD291" s="7"/>
      <c r="GE291" s="7"/>
      <c r="GF291" s="7"/>
      <c r="GG291" s="7"/>
      <c r="GH291" s="42"/>
      <c r="GI291" s="6"/>
      <c r="GJ291" s="14"/>
      <c r="GK291" s="14"/>
      <c r="GL291" s="14"/>
      <c r="GM291" s="14"/>
      <c r="GO291" s="5"/>
      <c r="GP291" s="5"/>
      <c r="GQ291" s="5"/>
      <c r="GR291" s="5"/>
      <c r="GS291" s="5"/>
      <c r="GT291" s="5"/>
      <c r="GU291" s="5"/>
      <c r="GV291" s="39"/>
      <c r="GW291" s="5"/>
      <c r="GX291" s="5"/>
      <c r="GY291" s="5"/>
      <c r="GZ291" s="5"/>
      <c r="HA291" s="5"/>
      <c r="HB291" s="39"/>
      <c r="HC291" s="5"/>
      <c r="HD291" s="5"/>
      <c r="HE291" s="5"/>
      <c r="HF291" s="5"/>
      <c r="HG291" s="5"/>
      <c r="HH291" s="39"/>
      <c r="HI291" s="16"/>
      <c r="HJ291" s="19"/>
      <c r="HK291" s="1"/>
      <c r="HL291" s="16"/>
      <c r="HM291" s="1"/>
      <c r="HN291" s="1"/>
      <c r="HO291" s="1"/>
      <c r="HP291" s="1"/>
      <c r="HQ291" s="1"/>
      <c r="HR291" s="1"/>
      <c r="HS291" s="1"/>
      <c r="HT291" s="1"/>
      <c r="HU291" s="1"/>
      <c r="HV291" s="1"/>
      <c r="HW291" s="1"/>
      <c r="HX291" s="1"/>
      <c r="HY291" s="1"/>
      <c r="HZ291" s="1"/>
      <c r="IA291" s="1"/>
      <c r="IB291" s="1"/>
      <c r="IC291" s="1"/>
      <c r="ID291" s="1"/>
      <c r="IE291" s="1"/>
      <c r="IF291" s="1"/>
      <c r="IG291" s="1"/>
      <c r="IH291" s="21"/>
      <c r="II291" s="19"/>
      <c r="IJ291" s="19"/>
      <c r="IK291" s="19"/>
      <c r="IL291" s="19"/>
      <c r="IM291" s="19"/>
      <c r="IN291" s="19"/>
      <c r="IO291" s="39"/>
      <c r="IP291" s="39"/>
      <c r="IQ291" s="39"/>
      <c r="IR291" s="39"/>
      <c r="IS291" s="39"/>
      <c r="IT291" s="39"/>
      <c r="IU291" s="39"/>
      <c r="IV291" s="39"/>
      <c r="IW291" s="39"/>
      <c r="IX291" s="39"/>
      <c r="IY291" s="39"/>
      <c r="IZ291" s="39"/>
      <c r="JA291" s="19"/>
      <c r="JB291" s="19"/>
      <c r="JC291" s="19"/>
      <c r="JD291" s="19"/>
      <c r="JE291" s="21"/>
      <c r="JF291" s="1"/>
      <c r="JG291" s="15"/>
      <c r="JH291" s="1"/>
      <c r="JI291" s="1"/>
      <c r="JJ291" s="1"/>
      <c r="JK291" s="1"/>
      <c r="JL291" s="15"/>
      <c r="JM291" s="15"/>
      <c r="JN291" s="21"/>
      <c r="JO291" s="19"/>
      <c r="JP291" s="19"/>
      <c r="JQ291" s="39"/>
      <c r="JR291" s="39"/>
      <c r="JS291" s="39"/>
      <c r="JT291" s="39"/>
      <c r="JU291" s="385"/>
      <c r="JV291" s="39"/>
      <c r="JW291" s="1"/>
      <c r="JX291" s="19"/>
      <c r="JZ291" s="341"/>
      <c r="KA291" s="342"/>
      <c r="KB291" s="469"/>
      <c r="KI291" s="473"/>
      <c r="KJ291" s="473"/>
      <c r="KK291" s="473"/>
    </row>
    <row r="292" spans="1:310" s="26" customFormat="1" ht="15" outlineLevel="1">
      <c r="A292" s="561">
        <f t="shared" si="915"/>
        <v>2092</v>
      </c>
      <c r="B292" s="561">
        <f t="shared" si="920"/>
        <v>92</v>
      </c>
      <c r="C292" s="561">
        <f t="shared" si="857"/>
        <v>2</v>
      </c>
      <c r="D292" s="561" t="str">
        <f t="shared" si="987"/>
        <v/>
      </c>
      <c r="E292" s="475">
        <f>INDEX(Input!$1:$1048576,E$93,$C292*2+MIN($B292,2)+5)
+INDEX(Scenarios!E$121:E$200,MATCH($B292,Scenarios!$B$121:$B$200,0))</f>
        <v>1250</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0</v>
      </c>
      <c r="V292" s="478">
        <f>IFERROR(MAX(0,INDEX(Input!$1:$1048576,V$93,$C292*2+MIN($B292,2)+5)
+INDEX(Scenarios!V$121:V$200,MATCH($B292,Scenarios!$B$121:$B$200,0)),),"Market")</f>
        <v>1.9E-2</v>
      </c>
      <c r="W292" s="863">
        <f>IFERROR(MAX(0,INDEX(Input!$1:$1048576,W$93,$C292*2+MIN($B292,2)+5)-0%,),"Market")</f>
        <v>3.9E-2</v>
      </c>
      <c r="X292" s="476" t="str">
        <f>INDEX(Input!$1:$1048576,X$93,$C292*2+MIN($B292,2)+5)</f>
        <v>Y</v>
      </c>
      <c r="Y292" s="475">
        <f>INDEX(Input!$1:$1048576,Y$93,$C292*2+MIN($B292,2)+5)
++INDEX(Scenarios!Y$121:Y$200,MATCH($B292,Scenarios!$B$121:$B$200,0))</f>
        <v>1358</v>
      </c>
      <c r="Z292" s="477">
        <f>INDEX(Input!$1:$1048576,Z$93,$C292*2+MIN($B292,2)+5)
+INDEX(Scenarios!Z$121:Z$200,MATCH($B292,Scenarios!$B$121:$B$200,0))</f>
        <v>0</v>
      </c>
      <c r="AA292" s="475">
        <f>INDEX(Input!$1:$1048576,AA$93,$C292*2+MIN($B292,2)+5)</f>
        <v>0</v>
      </c>
      <c r="AB292" s="476">
        <f>INDEX(Input!$1:$1048576,AB$93,$C292*2+MIN($B292,2)+5)</f>
        <v>1</v>
      </c>
      <c r="AC292" s="475">
        <f>INDEX(Input!$1:$1048576,AC$93,$C292*2+MIN($B292,2)+5)
+INDEX(Scenarios!AC$121:AC$200,MATCH($B292,Scenarios!$B$121:$B$200,0))</f>
        <v>0</v>
      </c>
      <c r="AD292" s="476">
        <f>INDEX(Input!$1:$1048576,AD$93,$C292*2+MIN($B292,2)+5)</f>
        <v>0.35</v>
      </c>
      <c r="AE292" s="475">
        <f>INDEX(Input!$1:$1048576,AE$93,$C292*2+MIN($B292,2)+5)
+INDEX(Scenarios!AE$121:AE$200,MATCH($B292,Scenarios!$B$121:$B$200,0))</f>
        <v>0</v>
      </c>
      <c r="AF292" s="476">
        <f>INDEX(Input!$1:$1048576,AF$93,$C292*2+MIN($B292,2)+5)</f>
        <v>1</v>
      </c>
      <c r="AG292" s="475">
        <f>INDEX(Input!$1:$1048576,AG$93,$C292*2+MIN($B292,2)+5)
+INDEX(Scenarios!AG$121:AG$200,MATCH($B292,Scenarios!$B$121:$B$200,0))</f>
        <v>0</v>
      </c>
      <c r="AH292" s="476">
        <f>INDEX(Input!$1:$1048576,AH$93,$C292*2+MIN($B292,2)+5)</f>
        <v>1</v>
      </c>
      <c r="AI292" s="475">
        <f>INDEX(Input!$1:$1048576,AI$93,$C292*2+MIN($B292,2)+5)
+INDEX(Scenarios!AI$121:AI$200,MATCH($B292,Scenarios!$B$121:$B$200,0))</f>
        <v>0</v>
      </c>
      <c r="AJ292" s="476">
        <f>INDEX(Input!$1:$1048576,AJ$93,$C292*2+MIN($B292,2)+5)</f>
        <v>0.35</v>
      </c>
      <c r="AK292" s="150">
        <f>ROUND(INDEX(Input!$1:$1048576,AK$93,$C291*2+MIN($B292,1)+5)+(Y292-VLOOKUP($C292*1000+1,$A:$HH,Y$92,FALSE)),0)</f>
        <v>4982</v>
      </c>
      <c r="AL292" s="150">
        <f>ROUND(INDEX(Input!$1:$1048576,AL$93,$C291*2+MIN($B292,1)+5)-(Y292-VLOOKUP($C292*1000+1,$A:$HH,Y$92,FALSE))/36,0)</f>
        <v>5102</v>
      </c>
      <c r="AM292" s="32" t="str">
        <f t="shared" si="916"/>
        <v>std/std/std/std</v>
      </c>
      <c r="AN292" s="32" t="str">
        <f t="shared" si="917"/>
        <v>$0 + 0/0/0/1.9/3.9</v>
      </c>
      <c r="AO292" s="32" t="str">
        <f t="shared" si="918"/>
        <v>0/0/0/1.9/3.9</v>
      </c>
      <c r="AP292" s="32" t="str">
        <f t="shared" si="831"/>
        <v>0/0.9/1.9/3.9</v>
      </c>
      <c r="AQ292" s="536">
        <f t="shared" si="830"/>
        <v>0</v>
      </c>
      <c r="AR292" s="32"/>
      <c r="AS292" s="302"/>
      <c r="AT292" s="3">
        <f t="shared" si="941"/>
        <v>92</v>
      </c>
      <c r="AU292" s="41" t="s">
        <v>121</v>
      </c>
      <c r="AV292" s="41" t="s">
        <v>116</v>
      </c>
      <c r="AW292" s="41" t="str">
        <f>INDEX(Input!$1:$1048576,AW$93,$C292*2+6)</f>
        <v>Kia</v>
      </c>
      <c r="AX292" s="41" t="str">
        <f>INDEX(Input!$1:$1048576,AX$93,$C292*2+6)</f>
        <v>Kia-LR - L2</v>
      </c>
      <c r="AY292" s="41" t="str">
        <f>IF(LEN(D292)=0,"",INDEX(Input!$1:$1048576,AY$93,$C292*2+6))</f>
        <v/>
      </c>
      <c r="AZ292" s="41" t="str">
        <f>INDEX(Input!$1:$1048576,AZ$93,$C292*2+6)</f>
        <v>Kia Forte</v>
      </c>
      <c r="BA292" s="3">
        <f>INDEX(Input!$1:$1048576,BA$93,$C292*2+6)</f>
        <v>2020</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19695</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832"/>
        <v>1250</v>
      </c>
      <c r="CJ292" s="16" t="str">
        <f>INDEX(Input!$1:$1048576,CJ$93,$C292*2+6)</f>
        <v>N</v>
      </c>
      <c r="CK292" s="1" t="str">
        <f t="shared" si="833"/>
        <v>Market</v>
      </c>
      <c r="CL292" s="1" t="str">
        <f t="shared" si="834"/>
        <v>Market</v>
      </c>
      <c r="CM292" s="1" t="str">
        <f t="shared" si="835"/>
        <v>Market</v>
      </c>
      <c r="CN292" s="1" t="str">
        <f t="shared" si="836"/>
        <v>Market</v>
      </c>
      <c r="CO292" s="1" t="str">
        <f t="shared" si="837"/>
        <v>Market</v>
      </c>
      <c r="CP292" s="304">
        <f t="shared" si="838"/>
        <v>0</v>
      </c>
      <c r="CQ292" s="1">
        <f t="shared" si="839"/>
        <v>0</v>
      </c>
      <c r="CR292" s="1">
        <f t="shared" si="840"/>
        <v>0</v>
      </c>
      <c r="CS292" s="1">
        <f t="shared" si="841"/>
        <v>0</v>
      </c>
      <c r="CT292" s="1">
        <f t="shared" si="842"/>
        <v>1.9E-2</v>
      </c>
      <c r="CU292" s="1">
        <f t="shared" si="843"/>
        <v>3.9E-2</v>
      </c>
      <c r="CV292" s="304">
        <f t="shared" si="844"/>
        <v>1358</v>
      </c>
      <c r="CW292" s="20" t="s">
        <v>122</v>
      </c>
      <c r="CX292" s="20" t="s">
        <v>122</v>
      </c>
      <c r="CY292" s="20" t="s">
        <v>122</v>
      </c>
      <c r="CZ292" s="20" t="s">
        <v>122</v>
      </c>
      <c r="DA292" s="20" t="s">
        <v>122</v>
      </c>
      <c r="DB292" s="503">
        <f t="shared" si="845"/>
        <v>0</v>
      </c>
      <c r="DC292" s="127">
        <v>0</v>
      </c>
      <c r="DD292" s="127">
        <v>0</v>
      </c>
      <c r="DE292" s="127">
        <v>0</v>
      </c>
      <c r="DF292" s="127">
        <v>0</v>
      </c>
      <c r="DG292" s="127">
        <v>0</v>
      </c>
      <c r="DH292" s="127">
        <v>0</v>
      </c>
      <c r="DI292" s="127">
        <v>0</v>
      </c>
      <c r="DJ292" s="127">
        <v>0</v>
      </c>
      <c r="DK292" s="127">
        <v>0</v>
      </c>
      <c r="DL292" s="127">
        <v>0</v>
      </c>
      <c r="DM292" s="304">
        <f>INDEX(Input!$1:$1048576,DM$93,$C292*2+6)</f>
        <v>20731.578947368424</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c r="DZ292" s="7"/>
      <c r="EA292" s="7"/>
      <c r="EB292" s="7"/>
      <c r="EC292" s="7"/>
      <c r="ED292" s="7"/>
      <c r="EE292" s="7"/>
      <c r="EF292" s="7"/>
      <c r="EG292" s="7"/>
      <c r="EH292" s="7"/>
      <c r="EI292" s="7"/>
      <c r="EJ292" s="7"/>
      <c r="EK292" s="7"/>
      <c r="EL292" s="7"/>
      <c r="EM292" s="7"/>
      <c r="EN292" s="7"/>
      <c r="EO292" s="7"/>
      <c r="EP292" s="7"/>
      <c r="EQ292" s="7"/>
      <c r="ER292" s="7"/>
      <c r="ES292" s="7"/>
      <c r="ET292" s="7"/>
      <c r="EU292" s="6"/>
      <c r="EV292" s="6"/>
      <c r="EW292" s="6"/>
      <c r="EX292" s="6"/>
      <c r="EY292" s="6"/>
      <c r="EZ292" s="6"/>
      <c r="FA292" s="6"/>
      <c r="FB292" s="6"/>
      <c r="FC292" s="6"/>
      <c r="FD292" s="6"/>
      <c r="FE292" s="6"/>
      <c r="FF292" s="6"/>
      <c r="FG292" s="6"/>
      <c r="FH292" s="6"/>
      <c r="FI292" s="6"/>
      <c r="FJ292" s="6"/>
      <c r="FK292" s="6"/>
      <c r="FL292" s="6"/>
      <c r="FM292" s="6"/>
      <c r="FN292" s="6"/>
      <c r="FO292" s="6"/>
      <c r="FP292" s="6"/>
      <c r="FQ292" s="6"/>
      <c r="FR292" s="6"/>
      <c r="FS292" s="6"/>
      <c r="FT292" s="7"/>
      <c r="FU292" s="7"/>
      <c r="FV292" s="7"/>
      <c r="FW292" s="6"/>
      <c r="FX292" s="6"/>
      <c r="FY292" s="6"/>
      <c r="FZ292" s="6"/>
      <c r="GA292" s="6"/>
      <c r="GB292" s="6"/>
      <c r="GC292" s="7"/>
      <c r="GD292" s="7"/>
      <c r="GE292" s="7"/>
      <c r="GF292" s="7"/>
      <c r="GG292" s="7"/>
      <c r="GH292" s="42"/>
      <c r="GI292" s="6"/>
      <c r="GJ292" s="14"/>
      <c r="GK292" s="14"/>
      <c r="GL292" s="14"/>
      <c r="GM292" s="14"/>
      <c r="GO292" s="5"/>
      <c r="GP292" s="5"/>
      <c r="GQ292" s="5"/>
      <c r="GR292" s="5"/>
      <c r="GS292" s="5"/>
      <c r="GT292" s="5"/>
      <c r="GU292" s="5"/>
      <c r="GV292" s="39"/>
      <c r="GW292" s="5"/>
      <c r="GX292" s="5"/>
      <c r="GY292" s="5"/>
      <c r="GZ292" s="5"/>
      <c r="HA292" s="5"/>
      <c r="HB292" s="39"/>
      <c r="HC292" s="5"/>
      <c r="HD292" s="5"/>
      <c r="HE292" s="5"/>
      <c r="HF292" s="5"/>
      <c r="HG292" s="5"/>
      <c r="HH292" s="39"/>
      <c r="HI292" s="16"/>
      <c r="HJ292" s="19"/>
      <c r="HK292" s="1"/>
      <c r="HL292" s="16"/>
      <c r="HM292" s="1"/>
      <c r="HN292" s="1"/>
      <c r="HO292" s="1"/>
      <c r="HP292" s="1"/>
      <c r="HQ292" s="1"/>
      <c r="HR292" s="1"/>
      <c r="HS292" s="1"/>
      <c r="HT292" s="1"/>
      <c r="HU292" s="1"/>
      <c r="HV292" s="1"/>
      <c r="HW292" s="1"/>
      <c r="HX292" s="1"/>
      <c r="HY292" s="1"/>
      <c r="HZ292" s="1"/>
      <c r="IA292" s="1"/>
      <c r="IB292" s="1"/>
      <c r="IC292" s="1"/>
      <c r="ID292" s="1"/>
      <c r="IE292" s="1"/>
      <c r="IF292" s="1"/>
      <c r="IG292" s="1"/>
      <c r="IH292" s="21"/>
      <c r="II292" s="19"/>
      <c r="IJ292" s="19"/>
      <c r="IK292" s="19"/>
      <c r="IL292" s="19"/>
      <c r="IM292" s="19"/>
      <c r="IN292" s="19"/>
      <c r="IO292" s="39"/>
      <c r="IP292" s="39"/>
      <c r="IQ292" s="39"/>
      <c r="IR292" s="39"/>
      <c r="IS292" s="39"/>
      <c r="IT292" s="39"/>
      <c r="IU292" s="39"/>
      <c r="IV292" s="39"/>
      <c r="IW292" s="39"/>
      <c r="IX292" s="39"/>
      <c r="IY292" s="39"/>
      <c r="IZ292" s="39"/>
      <c r="JA292" s="19"/>
      <c r="JB292" s="19"/>
      <c r="JC292" s="19"/>
      <c r="JD292" s="19"/>
      <c r="JE292" s="21"/>
      <c r="JF292" s="1"/>
      <c r="JG292" s="15"/>
      <c r="JH292" s="1"/>
      <c r="JI292" s="1"/>
      <c r="JJ292" s="1"/>
      <c r="JK292" s="1"/>
      <c r="JL292" s="15"/>
      <c r="JM292" s="15"/>
      <c r="JN292" s="21"/>
      <c r="JO292" s="19"/>
      <c r="JP292" s="19"/>
      <c r="JQ292" s="39"/>
      <c r="JR292" s="39"/>
      <c r="JS292" s="39"/>
      <c r="JT292" s="39"/>
      <c r="JU292" s="385"/>
      <c r="JV292" s="39"/>
      <c r="JW292" s="1"/>
      <c r="JX292" s="19"/>
      <c r="JZ292" s="341"/>
      <c r="KA292" s="342"/>
      <c r="KB292" s="469"/>
      <c r="KI292" s="473"/>
      <c r="KJ292" s="473"/>
      <c r="KK292" s="473"/>
    </row>
    <row r="293" spans="1:310" s="26" customFormat="1" ht="15" outlineLevel="1">
      <c r="A293" s="561">
        <f t="shared" si="915"/>
        <v>2093</v>
      </c>
      <c r="B293" s="561">
        <f t="shared" si="920"/>
        <v>93</v>
      </c>
      <c r="C293" s="561">
        <f t="shared" si="857"/>
        <v>2</v>
      </c>
      <c r="D293" s="561" t="str">
        <f t="shared" si="987"/>
        <v/>
      </c>
      <c r="E293" s="475">
        <f>INDEX(Input!$1:$1048576,E$93,$C293*2+MIN($B293,2)+5)
+INDEX(Scenarios!E$121:E$200,MATCH($B293,Scenarios!$B$121:$B$200,0))</f>
        <v>1250</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1.9E-2</v>
      </c>
      <c r="W293" s="863">
        <f>IFERROR(MAX(0,INDEX(Input!$1:$1048576,W$93,$C293*2+MIN($B293,2)+5)-0%,),"Market")</f>
        <v>3.9E-2</v>
      </c>
      <c r="X293" s="476" t="str">
        <f>INDEX(Input!$1:$1048576,X$93,$C293*2+MIN($B293,2)+5)</f>
        <v>Y</v>
      </c>
      <c r="Y293" s="475">
        <f>INDEX(Input!$1:$1048576,Y$93,$C293*2+MIN($B293,2)+5)
++INDEX(Scenarios!Y$121:Y$200,MATCH($B293,Scenarios!$B$121:$B$200,0))</f>
        <v>1358</v>
      </c>
      <c r="Z293" s="477">
        <f>INDEX(Input!$1:$1048576,Z$93,$C293*2+MIN($B293,2)+5)
+INDEX(Scenarios!Z$121:Z$200,MATCH($B293,Scenarios!$B$121:$B$200,0))</f>
        <v>0</v>
      </c>
      <c r="AA293" s="475">
        <f>INDEX(Input!$1:$1048576,AA$93,$C293*2+MIN($B293,2)+5)</f>
        <v>0</v>
      </c>
      <c r="AB293" s="476">
        <f>INDEX(Input!$1:$1048576,AB$93,$C293*2+MIN($B293,2)+5)</f>
        <v>1</v>
      </c>
      <c r="AC293" s="475">
        <f>INDEX(Input!$1:$1048576,AC$93,$C293*2+MIN($B293,2)+5)
+INDEX(Scenarios!AC$121:AC$200,MATCH($B293,Scenarios!$B$121:$B$200,0))</f>
        <v>0</v>
      </c>
      <c r="AD293" s="476">
        <f>INDEX(Input!$1:$1048576,AD$93,$C293*2+MIN($B293,2)+5)</f>
        <v>0.35</v>
      </c>
      <c r="AE293" s="475">
        <f>INDEX(Input!$1:$1048576,AE$93,$C293*2+MIN($B293,2)+5)
+INDEX(Scenarios!AE$121:AE$200,MATCH($B293,Scenarios!$B$121:$B$200,0))</f>
        <v>0</v>
      </c>
      <c r="AF293" s="476">
        <f>INDEX(Input!$1:$1048576,AF$93,$C293*2+MIN($B293,2)+5)</f>
        <v>1</v>
      </c>
      <c r="AG293" s="475">
        <f>INDEX(Input!$1:$1048576,AG$93,$C293*2+MIN($B293,2)+5)
+INDEX(Scenarios!AG$121:AG$200,MATCH($B293,Scenarios!$B$121:$B$200,0))</f>
        <v>0</v>
      </c>
      <c r="AH293" s="476">
        <f>INDEX(Input!$1:$1048576,AH$93,$C293*2+MIN($B293,2)+5)</f>
        <v>1</v>
      </c>
      <c r="AI293" s="475">
        <f>INDEX(Input!$1:$1048576,AI$93,$C293*2+MIN($B293,2)+5)
+INDEX(Scenarios!AI$121:AI$200,MATCH($B293,Scenarios!$B$121:$B$200,0))</f>
        <v>0</v>
      </c>
      <c r="AJ293" s="476">
        <f>INDEX(Input!$1:$1048576,AJ$93,$C293*2+MIN($B293,2)+5)</f>
        <v>0.35</v>
      </c>
      <c r="AK293" s="150">
        <f>ROUND(INDEX(Input!$1:$1048576,AK$93,$C292*2+MIN($B293,1)+5)+(Y293-VLOOKUP($C293*1000+1,$A:$HH,Y$92,FALSE)),0)</f>
        <v>4982</v>
      </c>
      <c r="AL293" s="150">
        <f>ROUND(INDEX(Input!$1:$1048576,AL$93,$C292*2+MIN($B293,1)+5)-(Y293-VLOOKUP($C293*1000+1,$A:$HH,Y$92,FALSE))/36,0)</f>
        <v>5102</v>
      </c>
      <c r="AM293" s="32" t="str">
        <f t="shared" si="916"/>
        <v>std/std/std/std</v>
      </c>
      <c r="AN293" s="32" t="str">
        <f t="shared" si="917"/>
        <v>$0 + 0/0/0/1.9/3.9</v>
      </c>
      <c r="AO293" s="32" t="str">
        <f t="shared" si="918"/>
        <v>0/0/0/1.9/3.9</v>
      </c>
      <c r="AP293" s="32" t="str">
        <f t="shared" si="831"/>
        <v>0/0.9/1.9/3.9</v>
      </c>
      <c r="AQ293" s="536">
        <f t="shared" ref="AQ293:AQ356" si="988">SUM(IE293,G293*IF293,H293*IG293,AC293*AD293,AE293*AF293,AI293)</f>
        <v>0</v>
      </c>
      <c r="AR293" s="32"/>
      <c r="AS293" s="302"/>
      <c r="AT293" s="3">
        <f t="shared" si="941"/>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Forte</v>
      </c>
      <c r="BA293" s="3">
        <f>INDEX(Input!$1:$1048576,BA$93,$C293*2+6)</f>
        <v>2020</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19695</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832"/>
        <v>1250</v>
      </c>
      <c r="CJ293" s="16" t="str">
        <f>INDEX(Input!$1:$1048576,CJ$93,$C293*2+6)</f>
        <v>N</v>
      </c>
      <c r="CK293" s="1" t="str">
        <f t="shared" si="833"/>
        <v>Market</v>
      </c>
      <c r="CL293" s="1" t="str">
        <f t="shared" si="834"/>
        <v>Market</v>
      </c>
      <c r="CM293" s="1" t="str">
        <f t="shared" si="835"/>
        <v>Market</v>
      </c>
      <c r="CN293" s="1" t="str">
        <f t="shared" si="836"/>
        <v>Market</v>
      </c>
      <c r="CO293" s="1" t="str">
        <f t="shared" si="837"/>
        <v>Market</v>
      </c>
      <c r="CP293" s="304">
        <f t="shared" si="838"/>
        <v>0</v>
      </c>
      <c r="CQ293" s="1">
        <f t="shared" si="839"/>
        <v>0</v>
      </c>
      <c r="CR293" s="1">
        <f t="shared" si="840"/>
        <v>0</v>
      </c>
      <c r="CS293" s="1">
        <f t="shared" si="841"/>
        <v>0</v>
      </c>
      <c r="CT293" s="1">
        <f t="shared" si="842"/>
        <v>1.9E-2</v>
      </c>
      <c r="CU293" s="1">
        <f t="shared" si="843"/>
        <v>3.9E-2</v>
      </c>
      <c r="CV293" s="304">
        <f t="shared" si="844"/>
        <v>1358</v>
      </c>
      <c r="CW293" s="20" t="s">
        <v>122</v>
      </c>
      <c r="CX293" s="20" t="s">
        <v>122</v>
      </c>
      <c r="CY293" s="20" t="s">
        <v>122</v>
      </c>
      <c r="CZ293" s="20" t="s">
        <v>122</v>
      </c>
      <c r="DA293" s="20" t="s">
        <v>122</v>
      </c>
      <c r="DB293" s="503">
        <f t="shared" si="845"/>
        <v>0</v>
      </c>
      <c r="DC293" s="127">
        <v>0</v>
      </c>
      <c r="DD293" s="127">
        <v>0</v>
      </c>
      <c r="DE293" s="127">
        <v>0</v>
      </c>
      <c r="DF293" s="127">
        <v>0</v>
      </c>
      <c r="DG293" s="127">
        <v>0</v>
      </c>
      <c r="DH293" s="127">
        <v>0</v>
      </c>
      <c r="DI293" s="127">
        <v>0</v>
      </c>
      <c r="DJ293" s="127">
        <v>0</v>
      </c>
      <c r="DK293" s="127">
        <v>0</v>
      </c>
      <c r="DL293" s="127">
        <v>0</v>
      </c>
      <c r="DM293" s="304">
        <f>INDEX(Input!$1:$1048576,DM$93,$C293*2+6)</f>
        <v>20731.578947368424</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915"/>
        <v>2094</v>
      </c>
      <c r="B294" s="561">
        <f t="shared" si="920"/>
        <v>94</v>
      </c>
      <c r="C294" s="561">
        <f t="shared" si="857"/>
        <v>2</v>
      </c>
      <c r="D294" s="561" t="str">
        <f t="shared" si="987"/>
        <v/>
      </c>
      <c r="E294" s="475">
        <f>INDEX(Input!$1:$1048576,E$93,$C294*2+MIN($B294,2)+5)
+INDEX(Scenarios!E$121:E$200,MATCH($B294,Scenarios!$B$121:$B$200,0))</f>
        <v>1250</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1.9E-2</v>
      </c>
      <c r="W294" s="863">
        <f>IFERROR(MAX(0,INDEX(Input!$1:$1048576,W$93,$C294*2+MIN($B294,2)+5)-0%,),"Market")</f>
        <v>3.9E-2</v>
      </c>
      <c r="X294" s="476" t="str">
        <f>INDEX(Input!$1:$1048576,X$93,$C294*2+MIN($B294,2)+5)</f>
        <v>Y</v>
      </c>
      <c r="Y294" s="475">
        <f>INDEX(Input!$1:$1048576,Y$93,$C294*2+MIN($B294,2)+5)
++INDEX(Scenarios!Y$121:Y$200,MATCH($B294,Scenarios!$B$121:$B$200,0))</f>
        <v>1358</v>
      </c>
      <c r="Z294" s="477">
        <f>INDEX(Input!$1:$1048576,Z$93,$C294*2+MIN($B294,2)+5)
+INDEX(Scenarios!Z$121:Z$200,MATCH($B294,Scenarios!$B$121:$B$200,0))</f>
        <v>0</v>
      </c>
      <c r="AA294" s="475">
        <f>INDEX(Input!$1:$1048576,AA$93,$C294*2+MIN($B294,2)+5)</f>
        <v>0</v>
      </c>
      <c r="AB294" s="476">
        <f>INDEX(Input!$1:$1048576,AB$93,$C294*2+MIN($B294,2)+5)</f>
        <v>1</v>
      </c>
      <c r="AC294" s="475">
        <f>INDEX(Input!$1:$1048576,AC$93,$C294*2+MIN($B294,2)+5)
+INDEX(Scenarios!AC$121:AC$200,MATCH($B294,Scenarios!$B$121:$B$200,0))</f>
        <v>0</v>
      </c>
      <c r="AD294" s="476">
        <f>INDEX(Input!$1:$1048576,AD$93,$C294*2+MIN($B294,2)+5)</f>
        <v>0.35</v>
      </c>
      <c r="AE294" s="475">
        <f>INDEX(Input!$1:$1048576,AE$93,$C294*2+MIN($B294,2)+5)
+INDEX(Scenarios!AE$121:AE$200,MATCH($B294,Scenarios!$B$121:$B$200,0))</f>
        <v>0</v>
      </c>
      <c r="AF294" s="476">
        <f>INDEX(Input!$1:$1048576,AF$93,$C294*2+MIN($B294,2)+5)</f>
        <v>1</v>
      </c>
      <c r="AG294" s="475">
        <f>INDEX(Input!$1:$1048576,AG$93,$C294*2+MIN($B294,2)+5)
+INDEX(Scenarios!AG$121:AG$200,MATCH($B294,Scenarios!$B$121:$B$200,0))</f>
        <v>0</v>
      </c>
      <c r="AH294" s="476">
        <f>INDEX(Input!$1:$1048576,AH$93,$C294*2+MIN($B294,2)+5)</f>
        <v>1</v>
      </c>
      <c r="AI294" s="475">
        <f>INDEX(Input!$1:$1048576,AI$93,$C294*2+MIN($B294,2)+5)
+INDEX(Scenarios!AI$121:AI$200,MATCH($B294,Scenarios!$B$121:$B$200,0))</f>
        <v>0</v>
      </c>
      <c r="AJ294" s="476">
        <f>INDEX(Input!$1:$1048576,AJ$93,$C294*2+MIN($B294,2)+5)</f>
        <v>0.35</v>
      </c>
      <c r="AK294" s="150">
        <f>ROUND(INDEX(Input!$1:$1048576,AK$93,$C293*2+MIN($B294,1)+5)+(Y294-VLOOKUP($C294*1000+1,$A:$HH,Y$92,FALSE)),0)</f>
        <v>4982</v>
      </c>
      <c r="AL294" s="150">
        <f>ROUND(INDEX(Input!$1:$1048576,AL$93,$C293*2+MIN($B294,1)+5)-(Y294-VLOOKUP($C294*1000+1,$A:$HH,Y$92,FALSE))/36,0)</f>
        <v>5102</v>
      </c>
      <c r="AM294" s="32" t="str">
        <f t="shared" si="916"/>
        <v>std/std/std/std</v>
      </c>
      <c r="AN294" s="32" t="str">
        <f t="shared" si="917"/>
        <v>$0 + 0/0/0/1.9/3.9</v>
      </c>
      <c r="AO294" s="32" t="str">
        <f t="shared" si="918"/>
        <v>0/0/0/1.9/3.9</v>
      </c>
      <c r="AP294" s="32" t="str">
        <f t="shared" ref="AP294:AP357" si="989">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0/0.9/1.9/3.9</v>
      </c>
      <c r="AQ294" s="536">
        <f t="shared" si="988"/>
        <v>0</v>
      </c>
      <c r="AR294" s="32"/>
      <c r="AS294" s="302"/>
      <c r="AT294" s="3">
        <f t="shared" si="941"/>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Forte</v>
      </c>
      <c r="BA294" s="3">
        <f>INDEX(Input!$1:$1048576,BA$93,$C294*2+6)</f>
        <v>2020</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19695</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990">E294+F294*I294+AA210*AB210+AC294*AD294</f>
        <v>1250</v>
      </c>
      <c r="CJ294" s="16" t="str">
        <f>INDEX(Input!$1:$1048576,CJ$93,$C294*2+6)</f>
        <v>N</v>
      </c>
      <c r="CK294" s="1" t="str">
        <f t="shared" ref="CK294:CK357" si="991">K294</f>
        <v>Market</v>
      </c>
      <c r="CL294" s="1" t="str">
        <f t="shared" ref="CL294:CL357" si="992">L294</f>
        <v>Market</v>
      </c>
      <c r="CM294" s="1" t="str">
        <f t="shared" ref="CM294:CM357" si="993">M294</f>
        <v>Market</v>
      </c>
      <c r="CN294" s="1" t="str">
        <f t="shared" ref="CN294:CN357" si="994">N294</f>
        <v>Market</v>
      </c>
      <c r="CO294" s="1" t="str">
        <f t="shared" ref="CO294:CO357" si="995">O294</f>
        <v>Market</v>
      </c>
      <c r="CP294" s="304">
        <f t="shared" ref="CP294:CP357" si="996">Q294+G294*I294+AA294*AB294+AC294*AD294</f>
        <v>0</v>
      </c>
      <c r="CQ294" s="1">
        <f t="shared" ref="CQ294:CQ357" si="997">S294</f>
        <v>0</v>
      </c>
      <c r="CR294" s="1">
        <f t="shared" ref="CR294:CR357" si="998">T294</f>
        <v>0</v>
      </c>
      <c r="CS294" s="1">
        <f t="shared" ref="CS294:CS357" si="999">U294</f>
        <v>0</v>
      </c>
      <c r="CT294" s="1">
        <f t="shared" ref="CT294:CT357" si="1000">V294</f>
        <v>1.9E-2</v>
      </c>
      <c r="CU294" s="1">
        <f t="shared" ref="CU294:CU357" si="1001">W294</f>
        <v>3.9E-2</v>
      </c>
      <c r="CV294" s="304">
        <f t="shared" ref="CV294:CV357" si="1002">Y294+H294*I294+AE294*AF294+AI294*AJ294</f>
        <v>1358</v>
      </c>
      <c r="CW294" s="20" t="s">
        <v>122</v>
      </c>
      <c r="CX294" s="20" t="s">
        <v>122</v>
      </c>
      <c r="CY294" s="20" t="s">
        <v>122</v>
      </c>
      <c r="CZ294" s="20" t="s">
        <v>122</v>
      </c>
      <c r="DA294" s="20" t="s">
        <v>122</v>
      </c>
      <c r="DB294" s="503">
        <f t="shared" ref="DB294:DB357" si="1003">Z294+AG294*AH294</f>
        <v>0</v>
      </c>
      <c r="DC294" s="127">
        <v>0</v>
      </c>
      <c r="DD294" s="127">
        <v>0</v>
      </c>
      <c r="DE294" s="127">
        <v>0</v>
      </c>
      <c r="DF294" s="127">
        <v>0</v>
      </c>
      <c r="DG294" s="127">
        <v>0</v>
      </c>
      <c r="DH294" s="127">
        <v>0</v>
      </c>
      <c r="DI294" s="127">
        <v>0</v>
      </c>
      <c r="DJ294" s="127">
        <v>0</v>
      </c>
      <c r="DK294" s="127">
        <v>0</v>
      </c>
      <c r="DL294" s="127">
        <v>0</v>
      </c>
      <c r="DM294" s="304">
        <f>INDEX(Input!$1:$1048576,DM$93,$C294*2+6)</f>
        <v>20731.578947368424</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915"/>
        <v>2095</v>
      </c>
      <c r="B295" s="561">
        <f t="shared" si="920"/>
        <v>95</v>
      </c>
      <c r="C295" s="561">
        <f t="shared" si="857"/>
        <v>2</v>
      </c>
      <c r="D295" s="561" t="str">
        <f t="shared" si="987"/>
        <v/>
      </c>
      <c r="E295" s="475">
        <f>INDEX(Input!$1:$1048576,E$93,$C295*2+MIN($B295,2)+5)
+INDEX(Scenarios!E$121:E$200,MATCH($B295,Scenarios!$B$121:$B$200,0))</f>
        <v>1250</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1.9E-2</v>
      </c>
      <c r="W295" s="863">
        <f>IFERROR(MAX(0,INDEX(Input!$1:$1048576,W$93,$C295*2+MIN($B295,2)+5)-0%,),"Market")</f>
        <v>3.9E-2</v>
      </c>
      <c r="X295" s="476" t="str">
        <f>INDEX(Input!$1:$1048576,X$93,$C295*2+MIN($B295,2)+5)</f>
        <v>Y</v>
      </c>
      <c r="Y295" s="475">
        <f>INDEX(Input!$1:$1048576,Y$93,$C295*2+MIN($B295,2)+5)
++INDEX(Scenarios!Y$121:Y$200,MATCH($B295,Scenarios!$B$121:$B$200,0))</f>
        <v>1358</v>
      </c>
      <c r="Z295" s="477">
        <f>INDEX(Input!$1:$1048576,Z$93,$C295*2+MIN($B295,2)+5)
+INDEX(Scenarios!Z$121:Z$200,MATCH($B295,Scenarios!$B$121:$B$200,0))</f>
        <v>0</v>
      </c>
      <c r="AA295" s="475">
        <f>INDEX(Input!$1:$1048576,AA$93,$C295*2+MIN($B295,2)+5)</f>
        <v>0</v>
      </c>
      <c r="AB295" s="476">
        <f>INDEX(Input!$1:$1048576,AB$93,$C295*2+MIN($B295,2)+5)</f>
        <v>1</v>
      </c>
      <c r="AC295" s="475">
        <f>INDEX(Input!$1:$1048576,AC$93,$C295*2+MIN($B295,2)+5)
+INDEX(Scenarios!AC$121:AC$200,MATCH($B295,Scenarios!$B$121:$B$200,0))</f>
        <v>0</v>
      </c>
      <c r="AD295" s="476">
        <f>INDEX(Input!$1:$1048576,AD$93,$C295*2+MIN($B295,2)+5)</f>
        <v>0.35</v>
      </c>
      <c r="AE295" s="475">
        <f>INDEX(Input!$1:$1048576,AE$93,$C295*2+MIN($B295,2)+5)
+INDEX(Scenarios!AE$121:AE$200,MATCH($B295,Scenarios!$B$121:$B$200,0))</f>
        <v>0</v>
      </c>
      <c r="AF295" s="476">
        <f>INDEX(Input!$1:$1048576,AF$93,$C295*2+MIN($B295,2)+5)</f>
        <v>1</v>
      </c>
      <c r="AG295" s="475">
        <f>INDEX(Input!$1:$1048576,AG$93,$C295*2+MIN($B295,2)+5)
+INDEX(Scenarios!AG$121:AG$200,MATCH($B295,Scenarios!$B$121:$B$200,0))</f>
        <v>0</v>
      </c>
      <c r="AH295" s="476">
        <f>INDEX(Input!$1:$1048576,AH$93,$C295*2+MIN($B295,2)+5)</f>
        <v>1</v>
      </c>
      <c r="AI295" s="475">
        <f>INDEX(Input!$1:$1048576,AI$93,$C295*2+MIN($B295,2)+5)
+INDEX(Scenarios!AI$121:AI$200,MATCH($B295,Scenarios!$B$121:$B$200,0))</f>
        <v>0</v>
      </c>
      <c r="AJ295" s="476">
        <f>INDEX(Input!$1:$1048576,AJ$93,$C295*2+MIN($B295,2)+5)</f>
        <v>0.35</v>
      </c>
      <c r="AK295" s="150">
        <f>ROUND(INDEX(Input!$1:$1048576,AK$93,$C294*2+MIN($B295,1)+5)+(Y295-VLOOKUP($C295*1000+1,$A:$HH,Y$92,FALSE)),0)</f>
        <v>4982</v>
      </c>
      <c r="AL295" s="150">
        <f>ROUND(INDEX(Input!$1:$1048576,AL$93,$C294*2+MIN($B295,1)+5)-(Y295-VLOOKUP($C295*1000+1,$A:$HH,Y$92,FALSE))/36,0)</f>
        <v>5102</v>
      </c>
      <c r="AM295" s="32" t="str">
        <f t="shared" si="916"/>
        <v>std/std/std/std</v>
      </c>
      <c r="AN295" s="32" t="str">
        <f t="shared" si="917"/>
        <v>$0 + 0/0/0/1.9/3.9</v>
      </c>
      <c r="AO295" s="32" t="str">
        <f t="shared" si="918"/>
        <v>0/0/0/1.9/3.9</v>
      </c>
      <c r="AP295" s="32" t="str">
        <f t="shared" si="989"/>
        <v>0/0.9/1.9/3.9</v>
      </c>
      <c r="AQ295" s="536">
        <f t="shared" si="988"/>
        <v>0</v>
      </c>
      <c r="AR295" s="32"/>
      <c r="AS295" s="302"/>
      <c r="AT295" s="3">
        <f t="shared" si="941"/>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Forte</v>
      </c>
      <c r="BA295" s="3">
        <f>INDEX(Input!$1:$1048576,BA$93,$C295*2+6)</f>
        <v>2020</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19695</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990"/>
        <v>1250</v>
      </c>
      <c r="CJ295" s="16" t="str">
        <f>INDEX(Input!$1:$1048576,CJ$93,$C295*2+6)</f>
        <v>N</v>
      </c>
      <c r="CK295" s="1" t="str">
        <f t="shared" si="991"/>
        <v>Market</v>
      </c>
      <c r="CL295" s="1" t="str">
        <f t="shared" si="992"/>
        <v>Market</v>
      </c>
      <c r="CM295" s="1" t="str">
        <f t="shared" si="993"/>
        <v>Market</v>
      </c>
      <c r="CN295" s="1" t="str">
        <f t="shared" si="994"/>
        <v>Market</v>
      </c>
      <c r="CO295" s="1" t="str">
        <f t="shared" si="995"/>
        <v>Market</v>
      </c>
      <c r="CP295" s="304">
        <f t="shared" si="996"/>
        <v>0</v>
      </c>
      <c r="CQ295" s="1">
        <f t="shared" si="997"/>
        <v>0</v>
      </c>
      <c r="CR295" s="1">
        <f t="shared" si="998"/>
        <v>0</v>
      </c>
      <c r="CS295" s="1">
        <f t="shared" si="999"/>
        <v>0</v>
      </c>
      <c r="CT295" s="1">
        <f t="shared" si="1000"/>
        <v>1.9E-2</v>
      </c>
      <c r="CU295" s="1">
        <f t="shared" si="1001"/>
        <v>3.9E-2</v>
      </c>
      <c r="CV295" s="304">
        <f t="shared" si="1002"/>
        <v>1358</v>
      </c>
      <c r="CW295" s="20" t="s">
        <v>122</v>
      </c>
      <c r="CX295" s="20" t="s">
        <v>122</v>
      </c>
      <c r="CY295" s="20" t="s">
        <v>122</v>
      </c>
      <c r="CZ295" s="20" t="s">
        <v>122</v>
      </c>
      <c r="DA295" s="20" t="s">
        <v>122</v>
      </c>
      <c r="DB295" s="503">
        <f t="shared" si="1003"/>
        <v>0</v>
      </c>
      <c r="DC295" s="127">
        <v>0</v>
      </c>
      <c r="DD295" s="127">
        <v>0</v>
      </c>
      <c r="DE295" s="127">
        <v>0</v>
      </c>
      <c r="DF295" s="127">
        <v>0</v>
      </c>
      <c r="DG295" s="127">
        <v>0</v>
      </c>
      <c r="DH295" s="127">
        <v>0</v>
      </c>
      <c r="DI295" s="127">
        <v>0</v>
      </c>
      <c r="DJ295" s="127">
        <v>0</v>
      </c>
      <c r="DK295" s="127">
        <v>0</v>
      </c>
      <c r="DL295" s="127">
        <v>0</v>
      </c>
      <c r="DM295" s="304">
        <f>INDEX(Input!$1:$1048576,DM$93,$C295*2+6)</f>
        <v>20731.578947368424</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915"/>
        <v>2096</v>
      </c>
      <c r="B296" s="561">
        <f t="shared" si="920"/>
        <v>96</v>
      </c>
      <c r="C296" s="561">
        <f t="shared" si="857"/>
        <v>2</v>
      </c>
      <c r="D296" s="561" t="str">
        <f t="shared" si="987"/>
        <v/>
      </c>
      <c r="E296" s="475">
        <f>INDEX(Input!$1:$1048576,E$93,$C296*2+MIN($B296,2)+5)
+INDEX(Scenarios!E$121:E$200,MATCH($B296,Scenarios!$B$121:$B$200,0))</f>
        <v>1250</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1.9E-2</v>
      </c>
      <c r="W296" s="863">
        <f>IFERROR(MAX(0,INDEX(Input!$1:$1048576,W$93,$C296*2+MIN($B296,2)+5)-0%,),"Market")</f>
        <v>3.9E-2</v>
      </c>
      <c r="X296" s="476" t="str">
        <f>INDEX(Input!$1:$1048576,X$93,$C296*2+MIN($B296,2)+5)</f>
        <v>Y</v>
      </c>
      <c r="Y296" s="475">
        <f>INDEX(Input!$1:$1048576,Y$93,$C296*2+MIN($B296,2)+5)
++INDEX(Scenarios!Y$121:Y$200,MATCH($B296,Scenarios!$B$121:$B$200,0))</f>
        <v>1358</v>
      </c>
      <c r="Z296" s="477">
        <f>INDEX(Input!$1:$1048576,Z$93,$C296*2+MIN($B296,2)+5)
+INDEX(Scenarios!Z$121:Z$200,MATCH($B296,Scenarios!$B$121:$B$200,0))</f>
        <v>0</v>
      </c>
      <c r="AA296" s="475">
        <f>INDEX(Input!$1:$1048576,AA$93,$C296*2+MIN($B296,2)+5)</f>
        <v>0</v>
      </c>
      <c r="AB296" s="476">
        <f>INDEX(Input!$1:$1048576,AB$93,$C296*2+MIN($B296,2)+5)</f>
        <v>1</v>
      </c>
      <c r="AC296" s="475">
        <f>INDEX(Input!$1:$1048576,AC$93,$C296*2+MIN($B296,2)+5)
+INDEX(Scenarios!AC$121:AC$200,MATCH($B296,Scenarios!$B$121:$B$200,0))</f>
        <v>0</v>
      </c>
      <c r="AD296" s="476">
        <f>INDEX(Input!$1:$1048576,AD$93,$C296*2+MIN($B296,2)+5)</f>
        <v>0.35</v>
      </c>
      <c r="AE296" s="475">
        <f>INDEX(Input!$1:$1048576,AE$93,$C296*2+MIN($B296,2)+5)
+INDEX(Scenarios!AE$121:AE$200,MATCH($B296,Scenarios!$B$121:$B$200,0))</f>
        <v>0</v>
      </c>
      <c r="AF296" s="476">
        <f>INDEX(Input!$1:$1048576,AF$93,$C296*2+MIN($B296,2)+5)</f>
        <v>1</v>
      </c>
      <c r="AG296" s="475">
        <f>INDEX(Input!$1:$1048576,AG$93,$C296*2+MIN($B296,2)+5)
+INDEX(Scenarios!AG$121:AG$200,MATCH($B296,Scenarios!$B$121:$B$200,0))</f>
        <v>0</v>
      </c>
      <c r="AH296" s="476">
        <f>INDEX(Input!$1:$1048576,AH$93,$C296*2+MIN($B296,2)+5)</f>
        <v>1</v>
      </c>
      <c r="AI296" s="475">
        <f>INDEX(Input!$1:$1048576,AI$93,$C296*2+MIN($B296,2)+5)
+INDEX(Scenarios!AI$121:AI$200,MATCH($B296,Scenarios!$B$121:$B$200,0))</f>
        <v>0</v>
      </c>
      <c r="AJ296" s="476">
        <f>INDEX(Input!$1:$1048576,AJ$93,$C296*2+MIN($B296,2)+5)</f>
        <v>0.35</v>
      </c>
      <c r="AK296" s="150">
        <f>ROUND(INDEX(Input!$1:$1048576,AK$93,$C295*2+MIN($B296,1)+5)+(Y296-VLOOKUP($C296*1000+1,$A:$HH,Y$92,FALSE)),0)</f>
        <v>4982</v>
      </c>
      <c r="AL296" s="150">
        <f>ROUND(INDEX(Input!$1:$1048576,AL$93,$C295*2+MIN($B296,1)+5)-(Y296-VLOOKUP($C296*1000+1,$A:$HH,Y$92,FALSE))/36,0)</f>
        <v>5102</v>
      </c>
      <c r="AM296" s="32" t="str">
        <f t="shared" si="916"/>
        <v>std/std/std/std</v>
      </c>
      <c r="AN296" s="32" t="str">
        <f t="shared" si="917"/>
        <v>$0 + 0/0/0/1.9/3.9</v>
      </c>
      <c r="AO296" s="32" t="str">
        <f t="shared" si="918"/>
        <v>0/0/0/1.9/3.9</v>
      </c>
      <c r="AP296" s="32" t="str">
        <f t="shared" si="989"/>
        <v>0/0.9/1.9/3.9</v>
      </c>
      <c r="AQ296" s="536">
        <f t="shared" si="988"/>
        <v>0</v>
      </c>
      <c r="AR296" s="32"/>
      <c r="AS296" s="302"/>
      <c r="AT296" s="3">
        <f t="shared" si="941"/>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Forte</v>
      </c>
      <c r="BA296" s="3">
        <f>INDEX(Input!$1:$1048576,BA$93,$C296*2+6)</f>
        <v>2020</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19695</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990"/>
        <v>1250</v>
      </c>
      <c r="CJ296" s="16" t="str">
        <f>INDEX(Input!$1:$1048576,CJ$93,$C296*2+6)</f>
        <v>N</v>
      </c>
      <c r="CK296" s="1" t="str">
        <f t="shared" si="991"/>
        <v>Market</v>
      </c>
      <c r="CL296" s="1" t="str">
        <f t="shared" si="992"/>
        <v>Market</v>
      </c>
      <c r="CM296" s="1" t="str">
        <f t="shared" si="993"/>
        <v>Market</v>
      </c>
      <c r="CN296" s="1" t="str">
        <f t="shared" si="994"/>
        <v>Market</v>
      </c>
      <c r="CO296" s="1" t="str">
        <f t="shared" si="995"/>
        <v>Market</v>
      </c>
      <c r="CP296" s="304">
        <f t="shared" si="996"/>
        <v>0</v>
      </c>
      <c r="CQ296" s="1">
        <f t="shared" si="997"/>
        <v>0</v>
      </c>
      <c r="CR296" s="1">
        <f t="shared" si="998"/>
        <v>0</v>
      </c>
      <c r="CS296" s="1">
        <f t="shared" si="999"/>
        <v>0</v>
      </c>
      <c r="CT296" s="1">
        <f t="shared" si="1000"/>
        <v>1.9E-2</v>
      </c>
      <c r="CU296" s="1">
        <f t="shared" si="1001"/>
        <v>3.9E-2</v>
      </c>
      <c r="CV296" s="304">
        <f t="shared" si="1002"/>
        <v>1358</v>
      </c>
      <c r="CW296" s="20" t="s">
        <v>122</v>
      </c>
      <c r="CX296" s="20" t="s">
        <v>122</v>
      </c>
      <c r="CY296" s="20" t="s">
        <v>122</v>
      </c>
      <c r="CZ296" s="20" t="s">
        <v>122</v>
      </c>
      <c r="DA296" s="20" t="s">
        <v>122</v>
      </c>
      <c r="DB296" s="503">
        <f t="shared" si="1003"/>
        <v>0</v>
      </c>
      <c r="DC296" s="127">
        <v>0</v>
      </c>
      <c r="DD296" s="127">
        <v>0</v>
      </c>
      <c r="DE296" s="127">
        <v>0</v>
      </c>
      <c r="DF296" s="127">
        <v>0</v>
      </c>
      <c r="DG296" s="127">
        <v>0</v>
      </c>
      <c r="DH296" s="127">
        <v>0</v>
      </c>
      <c r="DI296" s="127">
        <v>0</v>
      </c>
      <c r="DJ296" s="127">
        <v>0</v>
      </c>
      <c r="DK296" s="127">
        <v>0</v>
      </c>
      <c r="DL296" s="127">
        <v>0</v>
      </c>
      <c r="DM296" s="304">
        <f>INDEX(Input!$1:$1048576,DM$93,$C296*2+6)</f>
        <v>20731.578947368424</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915"/>
        <v>2097</v>
      </c>
      <c r="B297" s="561">
        <f t="shared" si="920"/>
        <v>97</v>
      </c>
      <c r="C297" s="561">
        <f t="shared" si="857"/>
        <v>2</v>
      </c>
      <c r="D297" s="561" t="str">
        <f t="shared" si="987"/>
        <v/>
      </c>
      <c r="E297" s="475">
        <f>INDEX(Input!$1:$1048576,E$93,$C297*2+MIN($B297,2)+5)
+INDEX(Scenarios!E$121:E$200,MATCH($B297,Scenarios!$B$121:$B$200,0))</f>
        <v>1250</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1.9E-2</v>
      </c>
      <c r="W297" s="863">
        <f>IFERROR(MAX(0,INDEX(Input!$1:$1048576,W$93,$C297*2+MIN($B297,2)+5)-0%,),"Market")</f>
        <v>3.9E-2</v>
      </c>
      <c r="X297" s="476" t="str">
        <f>INDEX(Input!$1:$1048576,X$93,$C297*2+MIN($B297,2)+5)</f>
        <v>Y</v>
      </c>
      <c r="Y297" s="475">
        <f>INDEX(Input!$1:$1048576,Y$93,$C297*2+MIN($B297,2)+5)
++INDEX(Scenarios!Y$121:Y$200,MATCH($B297,Scenarios!$B$121:$B$200,0))</f>
        <v>1358</v>
      </c>
      <c r="Z297" s="477">
        <f>INDEX(Input!$1:$1048576,Z$93,$C297*2+MIN($B297,2)+5)
+INDEX(Scenarios!Z$121:Z$200,MATCH($B297,Scenarios!$B$121:$B$200,0))</f>
        <v>0</v>
      </c>
      <c r="AA297" s="475">
        <f>INDEX(Input!$1:$1048576,AA$93,$C297*2+MIN($B297,2)+5)</f>
        <v>0</v>
      </c>
      <c r="AB297" s="476">
        <f>INDEX(Input!$1:$1048576,AB$93,$C297*2+MIN($B297,2)+5)</f>
        <v>1</v>
      </c>
      <c r="AC297" s="475">
        <f>INDEX(Input!$1:$1048576,AC$93,$C297*2+MIN($B297,2)+5)
+INDEX(Scenarios!AC$121:AC$200,MATCH($B297,Scenarios!$B$121:$B$200,0))</f>
        <v>0</v>
      </c>
      <c r="AD297" s="476">
        <f>INDEX(Input!$1:$1048576,AD$93,$C297*2+MIN($B297,2)+5)</f>
        <v>0.35</v>
      </c>
      <c r="AE297" s="475">
        <f>INDEX(Input!$1:$1048576,AE$93,$C297*2+MIN($B297,2)+5)
+INDEX(Scenarios!AE$121:AE$200,MATCH($B297,Scenarios!$B$121:$B$200,0))</f>
        <v>0</v>
      </c>
      <c r="AF297" s="476">
        <f>INDEX(Input!$1:$1048576,AF$93,$C297*2+MIN($B297,2)+5)</f>
        <v>1</v>
      </c>
      <c r="AG297" s="475">
        <f>INDEX(Input!$1:$1048576,AG$93,$C297*2+MIN($B297,2)+5)
+INDEX(Scenarios!AG$121:AG$200,MATCH($B297,Scenarios!$B$121:$B$200,0))</f>
        <v>0</v>
      </c>
      <c r="AH297" s="476">
        <f>INDEX(Input!$1:$1048576,AH$93,$C297*2+MIN($B297,2)+5)</f>
        <v>1</v>
      </c>
      <c r="AI297" s="475">
        <f>INDEX(Input!$1:$1048576,AI$93,$C297*2+MIN($B297,2)+5)
+INDEX(Scenarios!AI$121:AI$200,MATCH($B297,Scenarios!$B$121:$B$200,0))</f>
        <v>0</v>
      </c>
      <c r="AJ297" s="476">
        <f>INDEX(Input!$1:$1048576,AJ$93,$C297*2+MIN($B297,2)+5)</f>
        <v>0.35</v>
      </c>
      <c r="AK297" s="150">
        <f>ROUND(INDEX(Input!$1:$1048576,AK$93,$C296*2+MIN($B297,1)+5)+(Y297-VLOOKUP($C297*1000+1,$A:$HH,Y$92,FALSE)),0)</f>
        <v>4982</v>
      </c>
      <c r="AL297" s="150">
        <f>ROUND(INDEX(Input!$1:$1048576,AL$93,$C296*2+MIN($B297,1)+5)-(Y297-VLOOKUP($C297*1000+1,$A:$HH,Y$92,FALSE))/36,0)</f>
        <v>5102</v>
      </c>
      <c r="AM297" s="32" t="str">
        <f t="shared" si="916"/>
        <v>std/std/std/std</v>
      </c>
      <c r="AN297" s="32" t="str">
        <f t="shared" si="917"/>
        <v>$0 + 0/0/0/1.9/3.9</v>
      </c>
      <c r="AO297" s="32" t="str">
        <f t="shared" si="918"/>
        <v>0/0/0/1.9/3.9</v>
      </c>
      <c r="AP297" s="32" t="str">
        <f t="shared" si="989"/>
        <v>0/0.9/1.9/3.9</v>
      </c>
      <c r="AQ297" s="536">
        <f t="shared" si="988"/>
        <v>0</v>
      </c>
      <c r="AR297" s="32"/>
      <c r="AS297" s="302"/>
      <c r="AT297" s="3">
        <f t="shared" si="941"/>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Forte</v>
      </c>
      <c r="BA297" s="3">
        <f>INDEX(Input!$1:$1048576,BA$93,$C297*2+6)</f>
        <v>2020</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19695</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990"/>
        <v>1250</v>
      </c>
      <c r="CJ297" s="16" t="str">
        <f>INDEX(Input!$1:$1048576,CJ$93,$C297*2+6)</f>
        <v>N</v>
      </c>
      <c r="CK297" s="1" t="str">
        <f t="shared" si="991"/>
        <v>Market</v>
      </c>
      <c r="CL297" s="1" t="str">
        <f t="shared" si="992"/>
        <v>Market</v>
      </c>
      <c r="CM297" s="1" t="str">
        <f t="shared" si="993"/>
        <v>Market</v>
      </c>
      <c r="CN297" s="1" t="str">
        <f t="shared" si="994"/>
        <v>Market</v>
      </c>
      <c r="CO297" s="1" t="str">
        <f t="shared" si="995"/>
        <v>Market</v>
      </c>
      <c r="CP297" s="304">
        <f t="shared" si="996"/>
        <v>0</v>
      </c>
      <c r="CQ297" s="1">
        <f t="shared" si="997"/>
        <v>0</v>
      </c>
      <c r="CR297" s="1">
        <f t="shared" si="998"/>
        <v>0</v>
      </c>
      <c r="CS297" s="1">
        <f t="shared" si="999"/>
        <v>0</v>
      </c>
      <c r="CT297" s="1">
        <f t="shared" si="1000"/>
        <v>1.9E-2</v>
      </c>
      <c r="CU297" s="1">
        <f t="shared" si="1001"/>
        <v>3.9E-2</v>
      </c>
      <c r="CV297" s="304">
        <f t="shared" si="1002"/>
        <v>1358</v>
      </c>
      <c r="CW297" s="20" t="s">
        <v>122</v>
      </c>
      <c r="CX297" s="20" t="s">
        <v>122</v>
      </c>
      <c r="CY297" s="20" t="s">
        <v>122</v>
      </c>
      <c r="CZ297" s="20" t="s">
        <v>122</v>
      </c>
      <c r="DA297" s="20" t="s">
        <v>122</v>
      </c>
      <c r="DB297" s="503">
        <f t="shared" si="1003"/>
        <v>0</v>
      </c>
      <c r="DC297" s="127">
        <v>0</v>
      </c>
      <c r="DD297" s="127">
        <v>0</v>
      </c>
      <c r="DE297" s="127">
        <v>0</v>
      </c>
      <c r="DF297" s="127">
        <v>0</v>
      </c>
      <c r="DG297" s="127">
        <v>0</v>
      </c>
      <c r="DH297" s="127">
        <v>0</v>
      </c>
      <c r="DI297" s="127">
        <v>0</v>
      </c>
      <c r="DJ297" s="127">
        <v>0</v>
      </c>
      <c r="DK297" s="127">
        <v>0</v>
      </c>
      <c r="DL297" s="127">
        <v>0</v>
      </c>
      <c r="DM297" s="304">
        <f>INDEX(Input!$1:$1048576,DM$93,$C297*2+6)</f>
        <v>20731.578947368424</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915"/>
        <v>2098</v>
      </c>
      <c r="B298" s="561">
        <f t="shared" si="920"/>
        <v>98</v>
      </c>
      <c r="C298" s="561">
        <f t="shared" si="857"/>
        <v>2</v>
      </c>
      <c r="D298" s="561" t="str">
        <f t="shared" si="987"/>
        <v/>
      </c>
      <c r="E298" s="475">
        <f>INDEX(Input!$1:$1048576,E$93,$C298*2+MIN($B298,2)+5)
+INDEX(Scenarios!E$121:E$200,MATCH($B298,Scenarios!$B$121:$B$200,0))</f>
        <v>1250</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1.9E-2</v>
      </c>
      <c r="W298" s="863">
        <f>IFERROR(MAX(0,INDEX(Input!$1:$1048576,W$93,$C298*2+MIN($B298,2)+5)-0%,),"Market")</f>
        <v>3.9E-2</v>
      </c>
      <c r="X298" s="476" t="str">
        <f>INDEX(Input!$1:$1048576,X$93,$C298*2+MIN($B298,2)+5)</f>
        <v>Y</v>
      </c>
      <c r="Y298" s="475">
        <f>INDEX(Input!$1:$1048576,Y$93,$C298*2+MIN($B298,2)+5)
++INDEX(Scenarios!Y$121:Y$200,MATCH($B298,Scenarios!$B$121:$B$200,0))</f>
        <v>1358</v>
      </c>
      <c r="Z298" s="477">
        <f>INDEX(Input!$1:$1048576,Z$93,$C298*2+MIN($B298,2)+5)
+INDEX(Scenarios!Z$121:Z$200,MATCH($B298,Scenarios!$B$121:$B$200,0))</f>
        <v>0</v>
      </c>
      <c r="AA298" s="475">
        <f>INDEX(Input!$1:$1048576,AA$93,$C298*2+MIN($B298,2)+5)</f>
        <v>0</v>
      </c>
      <c r="AB298" s="476">
        <f>INDEX(Input!$1:$1048576,AB$93,$C298*2+MIN($B298,2)+5)</f>
        <v>1</v>
      </c>
      <c r="AC298" s="475">
        <f>INDEX(Input!$1:$1048576,AC$93,$C298*2+MIN($B298,2)+5)
+INDEX(Scenarios!AC$121:AC$200,MATCH($B298,Scenarios!$B$121:$B$200,0))</f>
        <v>0</v>
      </c>
      <c r="AD298" s="476">
        <f>INDEX(Input!$1:$1048576,AD$93,$C298*2+MIN($B298,2)+5)</f>
        <v>0.35</v>
      </c>
      <c r="AE298" s="475">
        <f>INDEX(Input!$1:$1048576,AE$93,$C298*2+MIN($B298,2)+5)
+INDEX(Scenarios!AE$121:AE$200,MATCH($B298,Scenarios!$B$121:$B$200,0))</f>
        <v>0</v>
      </c>
      <c r="AF298" s="476">
        <f>INDEX(Input!$1:$1048576,AF$93,$C298*2+MIN($B298,2)+5)</f>
        <v>1</v>
      </c>
      <c r="AG298" s="475">
        <f>INDEX(Input!$1:$1048576,AG$93,$C298*2+MIN($B298,2)+5)
+INDEX(Scenarios!AG$121:AG$200,MATCH($B298,Scenarios!$B$121:$B$200,0))</f>
        <v>0</v>
      </c>
      <c r="AH298" s="476">
        <f>INDEX(Input!$1:$1048576,AH$93,$C298*2+MIN($B298,2)+5)</f>
        <v>1</v>
      </c>
      <c r="AI298" s="475">
        <f>INDEX(Input!$1:$1048576,AI$93,$C298*2+MIN($B298,2)+5)
+INDEX(Scenarios!AI$121:AI$200,MATCH($B298,Scenarios!$B$121:$B$200,0))</f>
        <v>0</v>
      </c>
      <c r="AJ298" s="476">
        <f>INDEX(Input!$1:$1048576,AJ$93,$C298*2+MIN($B298,2)+5)</f>
        <v>0.35</v>
      </c>
      <c r="AK298" s="150">
        <f>ROUND(INDEX(Input!$1:$1048576,AK$93,$C297*2+MIN($B298,1)+5)+(Y298-VLOOKUP($C298*1000+1,$A:$HH,Y$92,FALSE)),0)</f>
        <v>4982</v>
      </c>
      <c r="AL298" s="150">
        <f>ROUND(INDEX(Input!$1:$1048576,AL$93,$C297*2+MIN($B298,1)+5)-(Y298-VLOOKUP($C298*1000+1,$A:$HH,Y$92,FALSE))/36,0)</f>
        <v>5102</v>
      </c>
      <c r="AM298" s="32" t="str">
        <f t="shared" si="916"/>
        <v>std/std/std/std</v>
      </c>
      <c r="AN298" s="32" t="str">
        <f t="shared" si="917"/>
        <v>$0 + 0/0/0/1.9/3.9</v>
      </c>
      <c r="AO298" s="32" t="str">
        <f t="shared" si="918"/>
        <v>0/0/0/1.9/3.9</v>
      </c>
      <c r="AP298" s="32" t="str">
        <f t="shared" si="989"/>
        <v>0/0.9/1.9/3.9</v>
      </c>
      <c r="AQ298" s="536">
        <f t="shared" si="988"/>
        <v>0</v>
      </c>
      <c r="AR298" s="32"/>
      <c r="AS298" s="302"/>
      <c r="AT298" s="3">
        <f t="shared" si="941"/>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Forte</v>
      </c>
      <c r="BA298" s="3">
        <f>INDEX(Input!$1:$1048576,BA$93,$C298*2+6)</f>
        <v>2020</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19695</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990"/>
        <v>1250</v>
      </c>
      <c r="CJ298" s="16" t="str">
        <f>INDEX(Input!$1:$1048576,CJ$93,$C298*2+6)</f>
        <v>N</v>
      </c>
      <c r="CK298" s="1" t="str">
        <f t="shared" si="991"/>
        <v>Market</v>
      </c>
      <c r="CL298" s="1" t="str">
        <f t="shared" si="992"/>
        <v>Market</v>
      </c>
      <c r="CM298" s="1" t="str">
        <f t="shared" si="993"/>
        <v>Market</v>
      </c>
      <c r="CN298" s="1" t="str">
        <f t="shared" si="994"/>
        <v>Market</v>
      </c>
      <c r="CO298" s="1" t="str">
        <f t="shared" si="995"/>
        <v>Market</v>
      </c>
      <c r="CP298" s="304">
        <f t="shared" si="996"/>
        <v>0</v>
      </c>
      <c r="CQ298" s="1">
        <f t="shared" si="997"/>
        <v>0</v>
      </c>
      <c r="CR298" s="1">
        <f t="shared" si="998"/>
        <v>0</v>
      </c>
      <c r="CS298" s="1">
        <f t="shared" si="999"/>
        <v>0</v>
      </c>
      <c r="CT298" s="1">
        <f t="shared" si="1000"/>
        <v>1.9E-2</v>
      </c>
      <c r="CU298" s="1">
        <f t="shared" si="1001"/>
        <v>3.9E-2</v>
      </c>
      <c r="CV298" s="304">
        <f t="shared" si="1002"/>
        <v>1358</v>
      </c>
      <c r="CW298" s="20" t="s">
        <v>122</v>
      </c>
      <c r="CX298" s="20" t="s">
        <v>122</v>
      </c>
      <c r="CY298" s="20" t="s">
        <v>122</v>
      </c>
      <c r="CZ298" s="20" t="s">
        <v>122</v>
      </c>
      <c r="DA298" s="20" t="s">
        <v>122</v>
      </c>
      <c r="DB298" s="503">
        <f t="shared" si="1003"/>
        <v>0</v>
      </c>
      <c r="DC298" s="127">
        <v>0</v>
      </c>
      <c r="DD298" s="127">
        <v>0</v>
      </c>
      <c r="DE298" s="127">
        <v>0</v>
      </c>
      <c r="DF298" s="127">
        <v>0</v>
      </c>
      <c r="DG298" s="127">
        <v>0</v>
      </c>
      <c r="DH298" s="127">
        <v>0</v>
      </c>
      <c r="DI298" s="127">
        <v>0</v>
      </c>
      <c r="DJ298" s="127">
        <v>0</v>
      </c>
      <c r="DK298" s="127">
        <v>0</v>
      </c>
      <c r="DL298" s="127">
        <v>0</v>
      </c>
      <c r="DM298" s="304">
        <f>INDEX(Input!$1:$1048576,DM$93,$C298*2+6)</f>
        <v>20731.578947368424</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915"/>
        <v>2099</v>
      </c>
      <c r="B299" s="561">
        <f t="shared" si="920"/>
        <v>99</v>
      </c>
      <c r="C299" s="561">
        <f t="shared" si="857"/>
        <v>2</v>
      </c>
      <c r="D299" s="561" t="str">
        <f t="shared" si="987"/>
        <v/>
      </c>
      <c r="E299" s="475">
        <f>INDEX(Input!$1:$1048576,E$93,$C299*2+MIN($B299,2)+5)
+INDEX(Scenarios!E$121:E$200,MATCH($B299,Scenarios!$B$121:$B$200,0))</f>
        <v>1250</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1.9E-2</v>
      </c>
      <c r="W299" s="863">
        <f>IFERROR(MAX(0,INDEX(Input!$1:$1048576,W$93,$C299*2+MIN($B299,2)+5)-0%,),"Market")</f>
        <v>3.9E-2</v>
      </c>
      <c r="X299" s="476" t="str">
        <f>INDEX(Input!$1:$1048576,X$93,$C299*2+MIN($B299,2)+5)</f>
        <v>Y</v>
      </c>
      <c r="Y299" s="475">
        <f>INDEX(Input!$1:$1048576,Y$93,$C299*2+MIN($B299,2)+5)
++INDEX(Scenarios!Y$121:Y$200,MATCH($B299,Scenarios!$B$121:$B$200,0))</f>
        <v>1358</v>
      </c>
      <c r="Z299" s="477">
        <f>INDEX(Input!$1:$1048576,Z$93,$C299*2+MIN($B299,2)+5)
+INDEX(Scenarios!Z$121:Z$200,MATCH($B299,Scenarios!$B$121:$B$200,0))</f>
        <v>0</v>
      </c>
      <c r="AA299" s="475">
        <f>INDEX(Input!$1:$1048576,AA$93,$C299*2+MIN($B299,2)+5)</f>
        <v>0</v>
      </c>
      <c r="AB299" s="476">
        <f>INDEX(Input!$1:$1048576,AB$93,$C299*2+MIN($B299,2)+5)</f>
        <v>1</v>
      </c>
      <c r="AC299" s="475">
        <f>INDEX(Input!$1:$1048576,AC$93,$C299*2+MIN($B299,2)+5)
+INDEX(Scenarios!AC$121:AC$200,MATCH($B299,Scenarios!$B$121:$B$200,0))</f>
        <v>0</v>
      </c>
      <c r="AD299" s="476">
        <f>INDEX(Input!$1:$1048576,AD$93,$C299*2+MIN($B299,2)+5)</f>
        <v>0.35</v>
      </c>
      <c r="AE299" s="475">
        <f>INDEX(Input!$1:$1048576,AE$93,$C299*2+MIN($B299,2)+5)
+INDEX(Scenarios!AE$121:AE$200,MATCH($B299,Scenarios!$B$121:$B$200,0))</f>
        <v>0</v>
      </c>
      <c r="AF299" s="476">
        <f>INDEX(Input!$1:$1048576,AF$93,$C299*2+MIN($B299,2)+5)</f>
        <v>1</v>
      </c>
      <c r="AG299" s="475">
        <f>INDEX(Input!$1:$1048576,AG$93,$C299*2+MIN($B299,2)+5)
+INDEX(Scenarios!AG$121:AG$200,MATCH($B299,Scenarios!$B$121:$B$200,0))</f>
        <v>0</v>
      </c>
      <c r="AH299" s="476">
        <f>INDEX(Input!$1:$1048576,AH$93,$C299*2+MIN($B299,2)+5)</f>
        <v>1</v>
      </c>
      <c r="AI299" s="475">
        <f>INDEX(Input!$1:$1048576,AI$93,$C299*2+MIN($B299,2)+5)
+INDEX(Scenarios!AI$121:AI$200,MATCH($B299,Scenarios!$B$121:$B$200,0))</f>
        <v>0</v>
      </c>
      <c r="AJ299" s="476">
        <f>INDEX(Input!$1:$1048576,AJ$93,$C299*2+MIN($B299,2)+5)</f>
        <v>0.35</v>
      </c>
      <c r="AK299" s="150">
        <f>ROUND(INDEX(Input!$1:$1048576,AK$93,$C298*2+MIN($B299,1)+5)+(Y299-VLOOKUP($C299*1000+1,$A:$HH,Y$92,FALSE)),0)</f>
        <v>4982</v>
      </c>
      <c r="AL299" s="150">
        <f>ROUND(INDEX(Input!$1:$1048576,AL$93,$C298*2+MIN($B299,1)+5)-(Y299-VLOOKUP($C299*1000+1,$A:$HH,Y$92,FALSE))/36,0)</f>
        <v>5102</v>
      </c>
      <c r="AM299" s="32" t="str">
        <f t="shared" si="916"/>
        <v>std/std/std/std</v>
      </c>
      <c r="AN299" s="32" t="str">
        <f t="shared" si="917"/>
        <v>$0 + 0/0/0/1.9/3.9</v>
      </c>
      <c r="AO299" s="32" t="str">
        <f t="shared" si="918"/>
        <v>0/0/0/1.9/3.9</v>
      </c>
      <c r="AP299" s="32" t="str">
        <f t="shared" si="989"/>
        <v>0/0.9/1.9/3.9</v>
      </c>
      <c r="AQ299" s="536">
        <f t="shared" si="988"/>
        <v>0</v>
      </c>
      <c r="AR299" s="32"/>
      <c r="AS299" s="302"/>
      <c r="AT299" s="3">
        <f t="shared" si="941"/>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Forte</v>
      </c>
      <c r="BA299" s="3">
        <f>INDEX(Input!$1:$1048576,BA$93,$C299*2+6)</f>
        <v>2020</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19695</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990"/>
        <v>1250</v>
      </c>
      <c r="CJ299" s="16" t="str">
        <f>INDEX(Input!$1:$1048576,CJ$93,$C299*2+6)</f>
        <v>N</v>
      </c>
      <c r="CK299" s="1" t="str">
        <f t="shared" si="991"/>
        <v>Market</v>
      </c>
      <c r="CL299" s="1" t="str">
        <f t="shared" si="992"/>
        <v>Market</v>
      </c>
      <c r="CM299" s="1" t="str">
        <f t="shared" si="993"/>
        <v>Market</v>
      </c>
      <c r="CN299" s="1" t="str">
        <f t="shared" si="994"/>
        <v>Market</v>
      </c>
      <c r="CO299" s="1" t="str">
        <f t="shared" si="995"/>
        <v>Market</v>
      </c>
      <c r="CP299" s="304">
        <f t="shared" si="996"/>
        <v>0</v>
      </c>
      <c r="CQ299" s="1">
        <f t="shared" si="997"/>
        <v>0</v>
      </c>
      <c r="CR299" s="1">
        <f t="shared" si="998"/>
        <v>0</v>
      </c>
      <c r="CS299" s="1">
        <f t="shared" si="999"/>
        <v>0</v>
      </c>
      <c r="CT299" s="1">
        <f t="shared" si="1000"/>
        <v>1.9E-2</v>
      </c>
      <c r="CU299" s="1">
        <f t="shared" si="1001"/>
        <v>3.9E-2</v>
      </c>
      <c r="CV299" s="304">
        <f t="shared" si="1002"/>
        <v>1358</v>
      </c>
      <c r="CW299" s="20" t="s">
        <v>122</v>
      </c>
      <c r="CX299" s="20" t="s">
        <v>122</v>
      </c>
      <c r="CY299" s="20" t="s">
        <v>122</v>
      </c>
      <c r="CZ299" s="20" t="s">
        <v>122</v>
      </c>
      <c r="DA299" s="20" t="s">
        <v>122</v>
      </c>
      <c r="DB299" s="503">
        <f t="shared" si="1003"/>
        <v>0</v>
      </c>
      <c r="DC299" s="127">
        <v>0</v>
      </c>
      <c r="DD299" s="127">
        <v>0</v>
      </c>
      <c r="DE299" s="127">
        <v>0</v>
      </c>
      <c r="DF299" s="127">
        <v>0</v>
      </c>
      <c r="DG299" s="127">
        <v>0</v>
      </c>
      <c r="DH299" s="127">
        <v>0</v>
      </c>
      <c r="DI299" s="127">
        <v>0</v>
      </c>
      <c r="DJ299" s="127">
        <v>0</v>
      </c>
      <c r="DK299" s="127">
        <v>0</v>
      </c>
      <c r="DL299" s="127">
        <v>0</v>
      </c>
      <c r="DM299" s="304">
        <f>INDEX(Input!$1:$1048576,DM$93,$C299*2+6)</f>
        <v>20731.578947368424</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915"/>
        <v>2100</v>
      </c>
      <c r="B300" s="561">
        <f t="shared" si="920"/>
        <v>100</v>
      </c>
      <c r="C300" s="561">
        <f t="shared" si="857"/>
        <v>2</v>
      </c>
      <c r="D300" s="561" t="str">
        <f t="shared" si="987"/>
        <v/>
      </c>
      <c r="E300" s="475">
        <f>INDEX(Input!$1:$1048576,E$93,$C300*2+MIN($B300,2)+5)
+INDEX(Scenarios!E$121:E$200,MATCH($B300,Scenarios!$B$121:$B$200,0))</f>
        <v>1250</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1.9E-2</v>
      </c>
      <c r="W300" s="863">
        <f>IFERROR(MAX(0,INDEX(Input!$1:$1048576,W$93,$C300*2+MIN($B300,2)+5)-0%,),"Market")</f>
        <v>3.9E-2</v>
      </c>
      <c r="X300" s="476" t="str">
        <f>INDEX(Input!$1:$1048576,X$93,$C300*2+MIN($B300,2)+5)</f>
        <v>Y</v>
      </c>
      <c r="Y300" s="475">
        <f>INDEX(Input!$1:$1048576,Y$93,$C300*2+MIN($B300,2)+5)
++INDEX(Scenarios!Y$121:Y$200,MATCH($B300,Scenarios!$B$121:$B$200,0))</f>
        <v>1358</v>
      </c>
      <c r="Z300" s="477">
        <f>INDEX(Input!$1:$1048576,Z$93,$C300*2+MIN($B300,2)+5)
+INDEX(Scenarios!Z$121:Z$200,MATCH($B300,Scenarios!$B$121:$B$200,0))</f>
        <v>0</v>
      </c>
      <c r="AA300" s="475">
        <f>INDEX(Input!$1:$1048576,AA$93,$C300*2+MIN($B300,2)+5)</f>
        <v>0</v>
      </c>
      <c r="AB300" s="476">
        <f>INDEX(Input!$1:$1048576,AB$93,$C300*2+MIN($B300,2)+5)</f>
        <v>1</v>
      </c>
      <c r="AC300" s="475">
        <f>INDEX(Input!$1:$1048576,AC$93,$C300*2+MIN($B300,2)+5)
+INDEX(Scenarios!AC$121:AC$200,MATCH($B300,Scenarios!$B$121:$B$200,0))</f>
        <v>0</v>
      </c>
      <c r="AD300" s="476">
        <f>INDEX(Input!$1:$1048576,AD$93,$C300*2+MIN($B300,2)+5)</f>
        <v>0.35</v>
      </c>
      <c r="AE300" s="475">
        <f>INDEX(Input!$1:$1048576,AE$93,$C300*2+MIN($B300,2)+5)
+INDEX(Scenarios!AE$121:AE$200,MATCH($B300,Scenarios!$B$121:$B$200,0))</f>
        <v>0</v>
      </c>
      <c r="AF300" s="476">
        <f>INDEX(Input!$1:$1048576,AF$93,$C300*2+MIN($B300,2)+5)</f>
        <v>1</v>
      </c>
      <c r="AG300" s="475">
        <f>INDEX(Input!$1:$1048576,AG$93,$C300*2+MIN($B300,2)+5)
+INDEX(Scenarios!AG$121:AG$200,MATCH($B300,Scenarios!$B$121:$B$200,0))</f>
        <v>0</v>
      </c>
      <c r="AH300" s="476">
        <f>INDEX(Input!$1:$1048576,AH$93,$C300*2+MIN($B300,2)+5)</f>
        <v>1</v>
      </c>
      <c r="AI300" s="475">
        <f>INDEX(Input!$1:$1048576,AI$93,$C300*2+MIN($B300,2)+5)
+INDEX(Scenarios!AI$121:AI$200,MATCH($B300,Scenarios!$B$121:$B$200,0))</f>
        <v>0</v>
      </c>
      <c r="AJ300" s="476">
        <f>INDEX(Input!$1:$1048576,AJ$93,$C300*2+MIN($B300,2)+5)</f>
        <v>0.35</v>
      </c>
      <c r="AK300" s="150">
        <f>ROUND(INDEX(Input!$1:$1048576,AK$93,$C299*2+MIN($B300,1)+5)+(Y300-VLOOKUP($C300*1000+1,$A:$HH,Y$92,FALSE)),0)</f>
        <v>4982</v>
      </c>
      <c r="AL300" s="150">
        <f>ROUND(INDEX(Input!$1:$1048576,AL$93,$C299*2+MIN($B300,1)+5)-(Y300-VLOOKUP($C300*1000+1,$A:$HH,Y$92,FALSE))/36,0)</f>
        <v>5102</v>
      </c>
      <c r="AM300" s="32" t="str">
        <f t="shared" si="916"/>
        <v>std/std/std/std</v>
      </c>
      <c r="AN300" s="32" t="str">
        <f t="shared" si="917"/>
        <v>$0 + 0/0/0/1.9/3.9</v>
      </c>
      <c r="AO300" s="32" t="str">
        <f t="shared" si="918"/>
        <v>0/0/0/1.9/3.9</v>
      </c>
      <c r="AP300" s="32" t="str">
        <f t="shared" si="989"/>
        <v>0/0.9/1.9/3.9</v>
      </c>
      <c r="AQ300" s="536">
        <f t="shared" si="988"/>
        <v>0</v>
      </c>
      <c r="AR300" s="32"/>
      <c r="AS300" s="302"/>
      <c r="AT300" s="3">
        <f t="shared" si="941"/>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Forte</v>
      </c>
      <c r="BA300" s="3">
        <f>INDEX(Input!$1:$1048576,BA$93,$C300*2+6)</f>
        <v>2020</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19695</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990"/>
        <v>1250</v>
      </c>
      <c r="CJ300" s="16" t="str">
        <f>INDEX(Input!$1:$1048576,CJ$93,$C300*2+6)</f>
        <v>N</v>
      </c>
      <c r="CK300" s="1" t="str">
        <f t="shared" si="991"/>
        <v>Market</v>
      </c>
      <c r="CL300" s="1" t="str">
        <f t="shared" si="992"/>
        <v>Market</v>
      </c>
      <c r="CM300" s="1" t="str">
        <f t="shared" si="993"/>
        <v>Market</v>
      </c>
      <c r="CN300" s="1" t="str">
        <f t="shared" si="994"/>
        <v>Market</v>
      </c>
      <c r="CO300" s="1" t="str">
        <f t="shared" si="995"/>
        <v>Market</v>
      </c>
      <c r="CP300" s="304">
        <f t="shared" si="996"/>
        <v>0</v>
      </c>
      <c r="CQ300" s="1">
        <f t="shared" si="997"/>
        <v>0</v>
      </c>
      <c r="CR300" s="1">
        <f t="shared" si="998"/>
        <v>0</v>
      </c>
      <c r="CS300" s="1">
        <f t="shared" si="999"/>
        <v>0</v>
      </c>
      <c r="CT300" s="1">
        <f t="shared" si="1000"/>
        <v>1.9E-2</v>
      </c>
      <c r="CU300" s="1">
        <f t="shared" si="1001"/>
        <v>3.9E-2</v>
      </c>
      <c r="CV300" s="304">
        <f t="shared" si="1002"/>
        <v>1358</v>
      </c>
      <c r="CW300" s="20" t="s">
        <v>122</v>
      </c>
      <c r="CX300" s="20" t="s">
        <v>122</v>
      </c>
      <c r="CY300" s="20" t="s">
        <v>122</v>
      </c>
      <c r="CZ300" s="20" t="s">
        <v>122</v>
      </c>
      <c r="DA300" s="20" t="s">
        <v>122</v>
      </c>
      <c r="DB300" s="503">
        <f t="shared" si="1003"/>
        <v>0</v>
      </c>
      <c r="DC300" s="127">
        <v>0</v>
      </c>
      <c r="DD300" s="127">
        <v>0</v>
      </c>
      <c r="DE300" s="127">
        <v>0</v>
      </c>
      <c r="DF300" s="127">
        <v>0</v>
      </c>
      <c r="DG300" s="127">
        <v>0</v>
      </c>
      <c r="DH300" s="127">
        <v>0</v>
      </c>
      <c r="DI300" s="127">
        <v>0</v>
      </c>
      <c r="DJ300" s="127">
        <v>0</v>
      </c>
      <c r="DK300" s="127">
        <v>0</v>
      </c>
      <c r="DL300" s="127">
        <v>0</v>
      </c>
      <c r="DM300" s="304">
        <f>INDEX(Input!$1:$1048576,DM$93,$C300*2+6)</f>
        <v>20731.578947368424</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750</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1.9E-2</v>
      </c>
      <c r="W301" s="22">
        <f>INDEX(Input!$1:$1048576,W$93,$C301*2+MIN($B301,1)+5)</f>
        <v>3.9000000000000007E-2</v>
      </c>
      <c r="X301" s="367" t="str">
        <f>INDEX(Input!$1:$1048576,X$93,$C301*2+MIN($B301,1)+5)</f>
        <v>Y</v>
      </c>
      <c r="Y301" s="49">
        <f>INDEX(Input!$1:$1048576,Y$93,$C301*2+MIN($B301,1)+5)</f>
        <v>4225</v>
      </c>
      <c r="Z301" s="584">
        <f>INDEX(Input!$1:$1048576,Z$93,$C301*2+MIN($B301,1)+5)</f>
        <v>0</v>
      </c>
      <c r="AA301" s="49">
        <f>INDEX(Input!$1:$1048576,AA$93,$C301*2+MIN($B301,1)+5)</f>
        <v>0</v>
      </c>
      <c r="AB301" s="367">
        <f>INDEX(Input!$1:$1048576,AB$93,$C301*2+MIN($B301,1)+5)</f>
        <v>0.62</v>
      </c>
      <c r="AC301" s="49">
        <f>INDEX(Input!$1:$1048576,AC$93,$C301*2+MIN($B301,1)+5)</f>
        <v>1000</v>
      </c>
      <c r="AD301" s="367">
        <f>INDEX(Input!$1:$1048576,AD$93,$C301*2+MIN($B301,1)+5)</f>
        <v>0.35</v>
      </c>
      <c r="AE301" s="49">
        <f>INDEX(Input!$1:$1048576,AE$93,$C301*2+MIN($B301,1)+5)</f>
        <v>0</v>
      </c>
      <c r="AF301" s="367">
        <f>INDEX(Input!$1:$1048576,AF$93,$C301*2+MIN($B301,1)+5)</f>
        <v>0.97</v>
      </c>
      <c r="AG301" s="49">
        <f>INDEX(Input!$1:$1048576,AG$93,$C301*2+MIN($B301,1)+5)</f>
        <v>500</v>
      </c>
      <c r="AH301" s="367">
        <f>INDEX(Input!$1:$1048576,AH$93,$C301*2+MIN($B301,1)+5)</f>
        <v>1</v>
      </c>
      <c r="AI301" s="49">
        <f>INDEX(Input!$1:$1048576,AI$93,$C301*2+MIN($B301,1)+5)</f>
        <v>500</v>
      </c>
      <c r="AJ301" s="367">
        <f>INDEX(Input!$1:$1048576,AJ$93,$C301*2+MIN($B301,1)+5)</f>
        <v>0.35</v>
      </c>
      <c r="AK301" s="298">
        <f>ROUND(INDEX(Input!$1:$1048576,AK$93,$C301*2+MIN($B301,1)+5),0)</f>
        <v>5099</v>
      </c>
      <c r="AL301" s="49">
        <f>ROUND(INDEX(Input!$1:$1048576,AL$93,$C301*2+MIN($B301,1)+5),0)</f>
        <v>5099</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+ 0/0/0/1.9/3.9</v>
      </c>
      <c r="AO301" s="44" t="str">
        <f>IF(S301="market","std",ROUND(S301*1000,0)/10)&amp;"/"&amp;IF(T301="market","std",ROUND(T301*1000,0)/10)&amp;"/"&amp;IF(U301="market","std",ROUND(U301*1000,0)/10)&amp;"/"&amp;IF(V301="market","std",ROUND(V301*1000,0)/10)&amp;IF(X301="N","","/"&amp;IF(W301="market","std",ROUND(W301*1000,0)/10))</f>
        <v>0/0/0/1.9/3.9</v>
      </c>
      <c r="AP301" s="44" t="str">
        <f t="shared" si="989"/>
        <v>0/0.9/1.9/3.9</v>
      </c>
      <c r="AQ301" s="507">
        <f t="shared" si="988"/>
        <v>850.25389408099682</v>
      </c>
      <c r="AR301" s="44"/>
      <c r="AS301" s="368"/>
      <c r="AT301" s="579">
        <v>1</v>
      </c>
      <c r="AU301" s="45" t="s">
        <v>121</v>
      </c>
      <c r="AV301" s="45" t="s">
        <v>116</v>
      </c>
      <c r="AW301" s="45" t="str">
        <f>INDEX(Input!$1:$1048576,AW$93,$C301*2+6)</f>
        <v>Kia</v>
      </c>
      <c r="AX301" s="45" t="str">
        <f>INDEX(Input!$1:$1048576,AX$93,$C301*2+6)</f>
        <v>Kia-LR - L3</v>
      </c>
      <c r="AY301" s="10" t="str">
        <f>IF(LEN(D301)=0,"",INDEX(Input!$1:$1048576,AY$93,$C301*2+6))</f>
        <v>Compact Conventional/Sporty Car (43)</v>
      </c>
      <c r="AZ301" s="45" t="str">
        <f>INDEX(Input!$1:$1048576,AZ$93,$C301*2+6)</f>
        <v>Kia Forte</v>
      </c>
      <c r="BA301" s="50">
        <f>INDEX(Input!$1:$1048576,BA$93,$C301*2+6)</f>
        <v>2020</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19695</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990"/>
        <v>1100</v>
      </c>
      <c r="CJ301" s="46" t="str">
        <f>INDEX(Input!$1:$1048576,CJ$93,$C301*2+6)</f>
        <v>N</v>
      </c>
      <c r="CK301" s="38" t="str">
        <f t="shared" si="991"/>
        <v>Market</v>
      </c>
      <c r="CL301" s="38" t="str">
        <f t="shared" si="992"/>
        <v>Market</v>
      </c>
      <c r="CM301" s="38" t="str">
        <f t="shared" si="993"/>
        <v>Market</v>
      </c>
      <c r="CN301" s="38" t="str">
        <f t="shared" si="994"/>
        <v>Market</v>
      </c>
      <c r="CO301" s="38" t="str">
        <f t="shared" si="995"/>
        <v>Market</v>
      </c>
      <c r="CP301" s="49">
        <f t="shared" si="996"/>
        <v>350</v>
      </c>
      <c r="CQ301" s="38">
        <f t="shared" si="997"/>
        <v>0</v>
      </c>
      <c r="CR301" s="38">
        <f t="shared" si="998"/>
        <v>0</v>
      </c>
      <c r="CS301" s="38">
        <f t="shared" si="999"/>
        <v>0</v>
      </c>
      <c r="CT301" s="38">
        <f t="shared" si="1000"/>
        <v>1.9E-2</v>
      </c>
      <c r="CU301" s="38">
        <f t="shared" si="1001"/>
        <v>3.9000000000000007E-2</v>
      </c>
      <c r="CV301" s="49">
        <f t="shared" si="1002"/>
        <v>4400</v>
      </c>
      <c r="CW301" s="22" t="s">
        <v>122</v>
      </c>
      <c r="CX301" s="22" t="s">
        <v>122</v>
      </c>
      <c r="CY301" s="22" t="s">
        <v>122</v>
      </c>
      <c r="CZ301" s="22" t="s">
        <v>122</v>
      </c>
      <c r="DA301" s="22" t="s">
        <v>122</v>
      </c>
      <c r="DB301" s="502">
        <f t="shared" si="1003"/>
        <v>500</v>
      </c>
      <c r="DC301" s="29">
        <v>0</v>
      </c>
      <c r="DD301" s="29">
        <v>0</v>
      </c>
      <c r="DE301" s="29">
        <v>0</v>
      </c>
      <c r="DF301" s="49">
        <v>0</v>
      </c>
      <c r="DG301" s="49">
        <v>0</v>
      </c>
      <c r="DH301" s="49">
        <v>0</v>
      </c>
      <c r="DI301" s="49">
        <v>0</v>
      </c>
      <c r="DJ301" s="49">
        <v>0</v>
      </c>
      <c r="DK301" s="29">
        <v>0</v>
      </c>
      <c r="DL301" s="29">
        <v>0</v>
      </c>
      <c r="DM301" s="49">
        <f>INDEX(Input!$1:$1048576,DM$93,$C301*2+6)</f>
        <v>20731.578947368424</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3.2975792978253461E-2</v>
      </c>
      <c r="DZ301" s="37">
        <v>0</v>
      </c>
      <c r="EA301" s="37">
        <v>0.58740339591563651</v>
      </c>
      <c r="EB301" s="37">
        <v>0</v>
      </c>
      <c r="EC301" s="37">
        <v>0</v>
      </c>
      <c r="ED301" s="37">
        <v>0</v>
      </c>
      <c r="EE301" s="37">
        <v>0</v>
      </c>
      <c r="EF301" s="37">
        <v>0</v>
      </c>
      <c r="EG301" s="37">
        <v>0</v>
      </c>
      <c r="EH301" s="37">
        <v>1.4116398829823767E-2</v>
      </c>
      <c r="EI301" s="37">
        <v>1.790433876777011E-2</v>
      </c>
      <c r="EJ301" s="37">
        <v>0.2570924532227829</v>
      </c>
      <c r="EK301" s="37">
        <v>0.6598952693267659</v>
      </c>
      <c r="EL301" s="37">
        <v>5.0991539852857225E-2</v>
      </c>
      <c r="EM301" s="37">
        <v>4.6757971625580041E-2</v>
      </c>
      <c r="EN301" s="37">
        <v>5.8252483499235452E-2</v>
      </c>
      <c r="EO301" s="37">
        <v>0.56871370370336849</v>
      </c>
      <c r="EP301" s="37">
        <v>0.27314368217405027</v>
      </c>
      <c r="EQ301" s="37">
        <v>5.929620369437439E-2</v>
      </c>
      <c r="ER301" s="37">
        <v>4.0593926928971714E-2</v>
      </c>
      <c r="ES301" s="37">
        <v>0.33286283948053014</v>
      </c>
      <c r="ET301" s="37">
        <v>0.37962081110611001</v>
      </c>
      <c r="EU301" s="36">
        <v>1200</v>
      </c>
      <c r="EV301" s="36">
        <v>0</v>
      </c>
      <c r="EW301" s="36">
        <v>1200</v>
      </c>
      <c r="EX301" s="36">
        <v>0</v>
      </c>
      <c r="EY301" s="36">
        <v>2224.493581030405</v>
      </c>
      <c r="EZ301" s="36">
        <v>3451.75</v>
      </c>
      <c r="FA301" s="36">
        <v>0</v>
      </c>
      <c r="FB301" s="36">
        <v>0</v>
      </c>
      <c r="FC301" s="36">
        <v>0</v>
      </c>
      <c r="FD301" s="36">
        <v>0</v>
      </c>
      <c r="FE301" s="36">
        <v>0</v>
      </c>
      <c r="FF301" s="36">
        <v>0</v>
      </c>
      <c r="FG301" s="36">
        <v>0</v>
      </c>
      <c r="FH301" s="36">
        <v>1154.3289130867206</v>
      </c>
      <c r="FI301" s="36">
        <v>1531.4299904380621</v>
      </c>
      <c r="FJ301" s="36">
        <v>2070.7205842538219</v>
      </c>
      <c r="FK301" s="36">
        <v>1746.9903521590438</v>
      </c>
      <c r="FL301" s="36">
        <v>893.91433563489375</v>
      </c>
      <c r="FM301" s="36">
        <v>1774.4935810304053</v>
      </c>
      <c r="FN301" s="36">
        <v>0</v>
      </c>
      <c r="FO301" s="36">
        <v>0</v>
      </c>
      <c r="FP301" s="36">
        <v>0</v>
      </c>
      <c r="FQ301" s="36">
        <v>0</v>
      </c>
      <c r="FR301" s="36">
        <v>0</v>
      </c>
      <c r="FS301" s="36">
        <v>0</v>
      </c>
      <c r="FT301" s="37">
        <v>0.62037918889388999</v>
      </c>
      <c r="FU301" s="37">
        <v>4.6757971625580041E-2</v>
      </c>
      <c r="FV301" s="37">
        <v>0.33286283948053014</v>
      </c>
      <c r="FW301" s="36">
        <v>1200</v>
      </c>
      <c r="FX301" s="36">
        <v>2224.493581030405</v>
      </c>
      <c r="FY301" s="36">
        <v>3451.75</v>
      </c>
      <c r="FZ301" s="36">
        <v>2202.331475193394</v>
      </c>
      <c r="GA301" s="36">
        <v>1997.4271405926925</v>
      </c>
      <c r="GB301" s="36">
        <v>17697.572859407308</v>
      </c>
      <c r="GC301" s="37">
        <v>4.8391397220736806E-2</v>
      </c>
      <c r="GD301" s="37">
        <v>4.6698303040990354E-2</v>
      </c>
      <c r="GE301" s="37"/>
      <c r="GF301" s="37"/>
      <c r="GG301" s="37">
        <v>-3.4987503502397814E-2</v>
      </c>
      <c r="GH301" s="35">
        <v>3.3629297438852994</v>
      </c>
      <c r="GI301" s="36">
        <v>7853.9277219119294</v>
      </c>
      <c r="GJ301" s="34">
        <v>0.5107463060103955</v>
      </c>
      <c r="GK301" s="34">
        <v>0.50829519786160982</v>
      </c>
      <c r="GL301" s="34">
        <v>0.48925369398960428</v>
      </c>
      <c r="GM301" s="33">
        <v>0.49170480213839035</v>
      </c>
      <c r="GN301" s="61"/>
      <c r="GO301" s="13">
        <v>338.16872463277008</v>
      </c>
      <c r="GP301" s="27">
        <v>315.27501390194027</v>
      </c>
      <c r="GQ301" s="27">
        <v>527.27910984145694</v>
      </c>
      <c r="GR301" s="27">
        <v>404.20319246551543</v>
      </c>
      <c r="GS301" s="27">
        <v>334.50205195691484</v>
      </c>
      <c r="GT301" s="27">
        <v>289.18266033348181</v>
      </c>
      <c r="GU301" s="27">
        <v>254.29573314828914</v>
      </c>
      <c r="GV301" s="29" t="s">
        <v>392</v>
      </c>
      <c r="GW301" s="27">
        <v>479.875</v>
      </c>
      <c r="GX301" s="27">
        <v>359.90625</v>
      </c>
      <c r="GY301" s="27">
        <v>287.92500000000001</v>
      </c>
      <c r="GZ301" s="27">
        <v>254.06342861438094</v>
      </c>
      <c r="HA301" s="27">
        <v>235.34107974463737</v>
      </c>
      <c r="HB301" s="29">
        <v>266.89699360565083</v>
      </c>
      <c r="HC301" s="27">
        <v>132.10156249999997</v>
      </c>
      <c r="HD301" s="27">
        <v>133.25251279239762</v>
      </c>
      <c r="HE301" s="27">
        <v>141.76872680499321</v>
      </c>
      <c r="HF301" s="27">
        <v>137.88145559210525</v>
      </c>
      <c r="HG301" s="27">
        <v>141.41639254385964</v>
      </c>
      <c r="HH301" s="12">
        <v>136.11749980629276</v>
      </c>
      <c r="HI301" s="94"/>
      <c r="HJ301" s="335" t="s">
        <v>353</v>
      </c>
      <c r="HK301" s="335" t="s">
        <v>353</v>
      </c>
      <c r="HL301" s="94"/>
      <c r="HM301" s="640">
        <f t="shared" ref="HM301:HM364" si="1004">VLOOKUP($C301*1000+1,$A:$HH,FT$92,FALSE)*$JF301</f>
        <v>2.8970655363290673E-2</v>
      </c>
      <c r="HN301" s="22">
        <f t="shared" ref="HN301:HN364" si="1005">VLOOKUP($C301*1000+1,$A:$HH,FU$92,FALSE)*$JF301</f>
        <v>2.1835179285533651E-3</v>
      </c>
      <c r="HO301" s="638">
        <f t="shared" ref="HO301:HO364" si="1006">VLOOKUP($C301*1000+1,$A:$HH,FV$92,FALSE)*$JF301</f>
        <v>1.5544129749146325E-2</v>
      </c>
      <c r="HP301" s="649">
        <f>(FT301*$GD301-HM301)/$JF301*INDEX(Input!$1:$1048576,$JG$93,$C301*2+6)</f>
        <v>0</v>
      </c>
      <c r="HQ301" s="650">
        <f>(FU301*$GD301-HN301)/$JF301*INDEX(Input!$1:$1048576,$JG$93,$C301*2+6)</f>
        <v>0</v>
      </c>
      <c r="HR301" s="651">
        <f>(FV301*$GD301-HO301)/$JF301*INDEX(Input!$1:$1048576,$JG$93,$C301*2+6)</f>
        <v>0</v>
      </c>
      <c r="HS301" s="650">
        <f t="shared" ref="HS301:HS318" si="1007">IF(AND(HJ301="On",HK301="On"),IL301/1000*INDEX(KG:KG,MATCH(C301*1000+3,$KF:$KF,0))*SUM(HY301:IA301)*1.1
+INDEX(HR:HR,MATCH(C301*1000+4,$KF:$KF,0))/INDEX(IM:IM,MATCH(C301*1000+4,$KF:$KF,0))*IM301*20%,0)</f>
        <v>0</v>
      </c>
      <c r="HT301" s="650">
        <f t="shared" ref="HT301:HT364" si="1008">IF(AND(HJ301="On",HK301="On"),IM301/1000*INDEX(KG:KG,MATCH(C301*1000+4,$KF:$KF,0))*SUM(HY301:IA301)*1.1
+INDEX(HR:HR,MATCH(C301*1000+3,$KF:$KF,0))/INDEX(IL:IL,MATCH(C301*1000+3,$KF:$KF,0))*IL301*20%,0)</f>
        <v>0</v>
      </c>
      <c r="HU301" s="651">
        <f t="shared" ref="HU301:HU364" si="1009">IF(HJ301="On",IN301/1000*INDEX(KG:KG,MATCH(C301*1000+5,$KF:$KF,0))*SUM(HY301:IA301)*1.1
-INDEX(HR:HR,MATCH(C301*1000+3,$KF:$KF,0))/INDEX(IL:IL,MATCH(C301*1000+3,$KF:$KF,0))*IL301*20%
-INDEX(HR:HR,MATCH(C301*1000+4,$KF:$KF,0))/INDEX(IM:IM,MATCH(C301*1000+4,$KF:$KF,0))*IM301*20%,0)</f>
        <v>0</v>
      </c>
      <c r="HV301" s="649">
        <f t="shared" ref="HV301:HV364" si="1010">IL301/1000*0+IM301/1000*0+IN301/1000*0
+(CP301-INDEX(CP:CP,MATCH(C301*1000+1,A:A,0)))/1000*0+IF(FU301&gt;0,0,0)</f>
        <v>0</v>
      </c>
      <c r="HW301" s="650">
        <f t="shared" ref="HW301:HW364" si="1011">IL301/1000*0+IM301/1000*0+IN301/1000*0
+(CP301-INDEX(CP:CP,MATCH(C301*1000+1,A:A,0)))/1000*0+IF(FU301&gt;0,0,0)</f>
        <v>0</v>
      </c>
      <c r="HX301" s="651">
        <f t="shared" ref="HX301:HX364" si="1012">IL301/1000*0+IM301/1000*0+IN301/1000*0
+(CP301-INDEX(CP:CP,MATCH(C301*1000+1,A:A,0)))/1000*0+IF(FU301&gt;0,0,0)</f>
        <v>0</v>
      </c>
      <c r="HY301" s="641">
        <f>INDEX(Input!$1:$1048576,HY$93,$C301*2+6)*INDEX(Input!$1:$1048576,$JG$93,$C301*2+6)</f>
        <v>488.99999999999994</v>
      </c>
      <c r="HZ301" s="641">
        <f>INDEX(Input!$1:$1048576,HZ$93,$C301*2+6)*INDEX(Input!$1:$1048576,$JG$93,$C301*2+6)</f>
        <v>734</v>
      </c>
      <c r="IA301" s="642">
        <f>INDEX(Input!$1:$1048576,IA$93,$C301*2+6)*INDEX(Input!$1:$1048576,$JG$93,$C301*2+6)</f>
        <v>703</v>
      </c>
      <c r="IB301" s="649">
        <f>SUM(HP301:IA301)-IC301-ID301</f>
        <v>489</v>
      </c>
      <c r="IC301" s="650">
        <f>IF(FU301=0,0,1)*MAX(HZ301+HQ301+HT301+HW301,0%)</f>
        <v>734</v>
      </c>
      <c r="ID301" s="651">
        <f>IF(AND(INDEX(Input!$1:$1048576,IA$93,$C301*2+7)="TOS",Y301&lt;=INDEX(Y:Y,MATCH(C301*1000+2,A:A))),0,1)*MAX(IA301+HR301+HU301+HX301,0%)</f>
        <v>703</v>
      </c>
      <c r="IE301" s="129">
        <f>IB301/SUM($IB301:$ID301)</f>
        <v>0.25389408099688471</v>
      </c>
      <c r="IF301" s="652">
        <f t="shared" ref="IF301:IF302" si="1013">IC301/SUM($IB301:$ID301)</f>
        <v>0.38110072689511942</v>
      </c>
      <c r="IG301" s="653">
        <f t="shared" ref="IG301:IG364" si="1014">ID301/SUM($IB301:$ID301)</f>
        <v>0.36500519210799587</v>
      </c>
      <c r="IH301" s="95"/>
      <c r="II301" s="298">
        <f t="shared" ref="II301:II364" si="1015">VLOOKUP($C301*1000+1,$A:$HH,FW$92,FALSE)-VLOOKUP($C301*1000+1,$A:$HH,FA$92,FALSE)*VLOOKUP($C301*1000+1,$A:$HH,DZ$92,FALSE)/VLOOKUP($C301*1000+1,$A:$HH,FT$92,FALSE)</f>
        <v>1200</v>
      </c>
      <c r="IJ301" s="49">
        <f t="shared" ref="IJ301:IJ364" si="1016">VLOOKUP($C301*1000+1,$A:$HH,FX$92,FALSE)</f>
        <v>2224.493581030405</v>
      </c>
      <c r="IK301" s="40">
        <f t="shared" ref="IK301:IK364" si="1017">VLOOKUP($C301*1000+1,$A:$HH,FY$92,FALSE)</f>
        <v>3451.75</v>
      </c>
      <c r="IL301" s="298">
        <f>(FW301-FA301*DZ301/FT301)-II301</f>
        <v>0</v>
      </c>
      <c r="IM301" s="49">
        <f t="shared" ref="IM301:IM364" si="1018">FX301-IJ301</f>
        <v>0</v>
      </c>
      <c r="IN301" s="40">
        <f t="shared" ref="IN301:IN364" si="1019">FY301-IK301</f>
        <v>0</v>
      </c>
      <c r="IO301" s="25">
        <f t="shared" ref="IO301:IO364" si="1020">(F301-VLOOKUP($C301*1000+1,$A:$HH,F$92,FALSE))*(1-$I301)</f>
        <v>0</v>
      </c>
      <c r="IP301" s="29">
        <f t="shared" ref="IP301:IP364" si="1021">(G301-VLOOKUP($C301*1000+1,$A:$HH,G$92,FALSE))*(1-$I301)</f>
        <v>0</v>
      </c>
      <c r="IQ301" s="29">
        <f t="shared" ref="IQ301:IQ364" si="1022">(H301-VLOOKUP($C301*1000+1,$A:$HH,H$92,FALSE))*(1-$I301)</f>
        <v>0</v>
      </c>
      <c r="IR301" s="17">
        <v>0</v>
      </c>
      <c r="IS301" s="29">
        <v>0</v>
      </c>
      <c r="IT301" s="12">
        <v>0</v>
      </c>
      <c r="IU301" s="25">
        <v>0</v>
      </c>
      <c r="IV301" s="29">
        <v>0</v>
      </c>
      <c r="IW301" s="12">
        <v>0</v>
      </c>
      <c r="IX301" s="372">
        <f>INDEX(Input!$1:$1048576,IX$93,$C301*2+6)+INDEX(Input!$1:$1048576,IX$94,$C301*2+6)</f>
        <v>1600</v>
      </c>
      <c r="IY301" s="373">
        <f>INDEX(Input!$1:$1048576,IY$93,$C301*2+6)+INDEX(Input!$1:$1048576,IY$94,$C301*2+6)</f>
        <v>2503.5492916397525</v>
      </c>
      <c r="IZ301" s="374">
        <f>INDEX(Input!$1:$1048576,IZ$93,$C301*2+6)+INDEX(Input!$1:$1048576,IZ$94,$C301*2+6)</f>
        <v>5773.7109265464023</v>
      </c>
      <c r="JA301" s="298">
        <f>(IL301+IO301+IR301+IU301+IX301)</f>
        <v>1600</v>
      </c>
      <c r="JB301" s="49">
        <f>(IM301+IP301+IS301+IV301+IY301)</f>
        <v>2503.5492916397525</v>
      </c>
      <c r="JC301" s="49">
        <f>(IN301+IQ301+IT301+IW301+IZ301)</f>
        <v>5773.7109265464023</v>
      </c>
      <c r="JD301" s="40">
        <f>SUMPRODUCT(IE301:IG301,JA301:JC301)</f>
        <v>3467.7694503767907</v>
      </c>
      <c r="JE301" s="95"/>
      <c r="JF301" s="28">
        <f t="shared" ref="JF301:JF364" si="1023">VLOOKUP($C301*1000+1,$A:$HH,GD$92,FALSE)</f>
        <v>4.6698303040990354E-2</v>
      </c>
      <c r="JG301" s="23">
        <f>INDEX(Input!$1:$1048576,JG$93,$C301*2+6)/(1+VLOOKUP(C301*1000+INDEX(Input!$1:$1048576,JG$93+1,$C301*2+6),$A:$KK,$JK$92,FALSE))</f>
        <v>1926</v>
      </c>
      <c r="JH301" s="38">
        <f>SUM(HP301:HR301)/SUM(HY301:IA301)</f>
        <v>0</v>
      </c>
      <c r="JI301" s="38">
        <f>SUM(HS301:HU301)/SUM(HY301:IA301)</f>
        <v>0</v>
      </c>
      <c r="JJ301" s="11">
        <f>SUM(HV301:HX301)/SUM(HY301:IA301)</f>
        <v>0</v>
      </c>
      <c r="JK301" s="2">
        <f>SUM(JH301:JJ301)</f>
        <v>0</v>
      </c>
      <c r="JL301" s="9">
        <f>JG301*JK301</f>
        <v>0</v>
      </c>
      <c r="JM301" s="8">
        <f>JG301+JL301</f>
        <v>1926</v>
      </c>
      <c r="JN301" s="95"/>
      <c r="JO301" s="375">
        <f>INDEX(Input!$1:$1048576,JO$93,$C301*2+6)</f>
        <v>5908.5</v>
      </c>
      <c r="JP301" s="375">
        <f>INDEX(Input!$1:$1048576,JP$93,$C301*2+6)</f>
        <v>3467.7694503767912</v>
      </c>
      <c r="JQ301" s="25">
        <f>JO301-JD301</f>
        <v>2440.7305496232093</v>
      </c>
      <c r="JR301" s="29">
        <f t="shared" ref="JR301" si="1024">JD301-JP301</f>
        <v>0</v>
      </c>
      <c r="JS301" s="29">
        <f t="shared" ref="JS301" si="1025">JM301*JD301/1000000</f>
        <v>6.6789239614256992</v>
      </c>
      <c r="JT301" s="29">
        <f>(JD301*JM301-JP301*JG301)/1000000</f>
        <v>-9.3132257461547847E-16</v>
      </c>
      <c r="JU301" s="376">
        <f>(JQ301*JM301-INDEX(Input!$1:$1048576,Input!A$18,$C301*2+6)*JL301*INDEX(Input!$1:$1048576,Input!A$19,$C301*2+6))/1000000</f>
        <v>4.7008470385743006</v>
      </c>
      <c r="JV301" s="29">
        <f t="shared" ref="JV301:JV312" si="1026">JU301-(JO301-JP301)*JG301/1000000</f>
        <v>0</v>
      </c>
      <c r="JW301" s="38">
        <f>JV301/(JU301-JV301)</f>
        <v>0</v>
      </c>
      <c r="JX301" s="40">
        <f>IF(JL301=0,0,JT301/JL301)*1000000</f>
        <v>0</v>
      </c>
      <c r="JZ301" s="377"/>
      <c r="KA301" s="378"/>
      <c r="KB301" s="474">
        <f>KA306</f>
        <v>2.7822247002359868</v>
      </c>
      <c r="KC301" s="379"/>
      <c r="KD301" s="379"/>
      <c r="KE301" s="379"/>
      <c r="KF301" s="379"/>
      <c r="KG301" s="380"/>
      <c r="KI301" s="381"/>
      <c r="KJ301" s="379"/>
      <c r="KK301" s="379"/>
      <c r="KL301" s="380"/>
      <c r="KN301" s="542">
        <f>C301*1000+$KN$97</f>
        <v>3002</v>
      </c>
      <c r="KO301" s="540">
        <f t="shared" ref="KO301:KO364" si="1027">JM301/INDEX(JM:JM,MATCH(KN301,A:A,0))-1</f>
        <v>-6.5082170032927711E-2</v>
      </c>
      <c r="KP301" s="545">
        <f t="shared" ref="KP301:KP364" si="1028">(IL301-INDEX(IL:IL,MATCH(KN301,A:A,0)))*IE301
+(IM301-IF(HN301=0,INDEX(IX:IX,MATCH(KN301,A:A,0)),INDEX(IM:IM,MATCH(KN301,A:A,0))))*IF301
+(IN301-INDEX(IN:IN,MATCH(KN301,A:A,0)))*IG301</f>
        <v>-321.28806213757429</v>
      </c>
      <c r="KQ301" s="545">
        <f t="shared" ref="KQ301:KQ364" si="1029">JD301-INDEX(JD:JD,MATCH(KN301,A:A,0))</f>
        <v>-253.3117679485822</v>
      </c>
      <c r="KR301" s="549">
        <f t="shared" ref="KR301:KR364" si="1030">KO301/(KP301/(BX301-INDEX(JD:JD,MATCH(KN301,A:A,0))))</f>
        <v>3.2357794165286022</v>
      </c>
      <c r="KS301" s="549">
        <f t="shared" ref="KS301:KS364" si="1031">KO301/(KQ301/(BX301-INDEX(JD:JD,MATCH(KN301,A:A,0))))</f>
        <v>4.1041018609611122</v>
      </c>
      <c r="KT301" s="661">
        <f>(1+JK306/(JD306-JD301)*(0-JD301))*JM301</f>
        <v>527.01264777847621</v>
      </c>
      <c r="KU301" s="662">
        <f>IF(D301="",0,IFERROR((JM301/KT301-1)/(JD301/BX301)+B301*10^-6,0))</f>
        <v>15.076431119081192</v>
      </c>
      <c r="KV301" s="568"/>
      <c r="KW301" s="26"/>
    </row>
    <row r="302" spans="1:310" s="60" customFormat="1" ht="15.75" thickBot="1">
      <c r="A302" s="560">
        <f t="shared" ref="A302:A365" si="1032">C302*1000+B302</f>
        <v>3002</v>
      </c>
      <c r="B302" s="560">
        <f>B301+1</f>
        <v>2</v>
      </c>
      <c r="C302" s="560">
        <f>C301</f>
        <v>3</v>
      </c>
      <c r="D302" s="560" t="s">
        <v>567</v>
      </c>
      <c r="E302" s="365">
        <f>INDEX(Input!$1:$1048576,E$93,$C302*2+MIN($B302,2)+5)</f>
        <v>1250</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1.9E-2</v>
      </c>
      <c r="W302" s="22">
        <f>INDEX(Input!$1:$1048576,W$93,$C302*2+MIN($B302,2)+5)</f>
        <v>3.9000000000000007E-2</v>
      </c>
      <c r="X302" s="367" t="str">
        <f>INDEX(Input!$1:$1048576,X$93,$C302*2+MIN($B302,2)+5)</f>
        <v>Y</v>
      </c>
      <c r="Y302" s="49">
        <f>INDEX(Input!$1:$1048576,Y$93,$C302*2+MIN($B302,2)+5)</f>
        <v>4108</v>
      </c>
      <c r="Z302" s="584">
        <f>INDEX(Input!$1:$1048576,Z$93,$C302*2+MIN($B302,2)+5)</f>
        <v>0</v>
      </c>
      <c r="AA302" s="49">
        <f>INDEX(Input!$1:$1048576,AA$93,$C302*2+MIN($B302,2)+5)</f>
        <v>500</v>
      </c>
      <c r="AB302" s="367">
        <f>INDEX(Input!$1:$1048576,AB$93,$C302*2+MIN($B302,2)+5)</f>
        <v>0.62</v>
      </c>
      <c r="AC302" s="49">
        <f>INDEX(Input!$1:$1048576,AC$93,$C302*2+MIN($B302,2)+5)</f>
        <v>0</v>
      </c>
      <c r="AD302" s="367">
        <f>INDEX(Input!$1:$1048576,AD$93,$C302*2+MIN($B302,2)+5)</f>
        <v>0.35</v>
      </c>
      <c r="AE302" s="49">
        <f>INDEX(Input!$1:$1048576,AE$93,$C302*2+MIN($B302,2)+5)</f>
        <v>500</v>
      </c>
      <c r="AF302" s="367">
        <f>INDEX(Input!$1:$1048576,AF$93,$C302*2+MIN($B302,2)+5)</f>
        <v>0.97</v>
      </c>
      <c r="AG302" s="49">
        <f>INDEX(Input!$1:$1048576,AG$93,$C302*2+MIN($B302,2)+5)</f>
        <v>0</v>
      </c>
      <c r="AH302" s="367">
        <f>INDEX(Input!$1:$1048576,AH$93,$C302*2+MIN($B302,2)+5)</f>
        <v>1</v>
      </c>
      <c r="AI302" s="49">
        <f>INDEX(Input!$1:$1048576,AI$93,$C302*2+MIN($B302,2)+5)</f>
        <v>0</v>
      </c>
      <c r="AJ302" s="367">
        <f>INDEX(Input!$1:$1048576,AJ$93,$C302*2+MIN($B302,2)+5)</f>
        <v>0.35</v>
      </c>
      <c r="AK302" s="298">
        <f>ROUND(INDEX(Input!$1:$1048576,AK$93,$C302*2+MIN($B302,2)+5),0)</f>
        <v>4982</v>
      </c>
      <c r="AL302" s="49">
        <f>ROUND(INDEX(Input!$1:$1048576,AL$93,$C301*2+6)-(Y302-VLOOKUP($C302*1000+1,$A:$HH,Y$92,FALSE))/36,0)</f>
        <v>5102</v>
      </c>
      <c r="AM302" s="46" t="str">
        <f t="shared" ref="AM302:AM365" si="1033">IF(K302="market","std",ROUND(K302*1000,0)/10)&amp;"/"&amp;IF(L302="market","std",ROUND(L302*1000,0)/10)&amp;"/"&amp;IF(M302="market","std",ROUND(M302*1000,0)/10)&amp;"/"&amp;IF(N302="market","std",ROUND(N302*1000,0)/10)&amp;IF(P302="N","","/"&amp;IF(O302="market","std",ROUND(O302*1000,0)/10))</f>
        <v>std/std/std/std</v>
      </c>
      <c r="AN302" s="46" t="str">
        <f t="shared" ref="AN302:AN365" si="1034">"$"&amp;ROUND(Q302,0)&amp;" + "&amp;IF(S302="market","std",ROUND(S302*1000,0)/10)&amp;"/"&amp;IF(T302="market","std",ROUND(T302*1000,0)/10)&amp;"/"&amp;IF(U302="market","std",ROUND(U302*1000,0)/10)&amp;"/"&amp;IF(V302="market","std",ROUND(V302*1000,0)/10)&amp;IF(X302="N","","/"&amp;IF(W302="market","std",ROUND(W302*1000,0)/10))</f>
        <v>$0 + 0/0/0/1.9/3.9</v>
      </c>
      <c r="AO302" s="44" t="str">
        <f t="shared" ref="AO302:AO365" si="1035">IF(S302="market","std",ROUND(S302*1000,0)/10)&amp;"/"&amp;IF(T302="market","std",ROUND(T302*1000,0)/10)&amp;"/"&amp;IF(U302="market","std",ROUND(U302*1000,0)/10)&amp;"/"&amp;IF(V302="market","std",ROUND(V302*1000,0)/10)&amp;IF(X302="N","","/"&amp;IF(W302="market","std",ROUND(W302*1000,0)/10))</f>
        <v>0/0/0/1.9/3.9</v>
      </c>
      <c r="AP302" s="44" t="str">
        <f t="shared" si="989"/>
        <v>0/0.9/1.9/3.9</v>
      </c>
      <c r="AQ302" s="507">
        <f t="shared" si="988"/>
        <v>485.26062758565024</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Compact Conventional/Sporty Car (43)</v>
      </c>
      <c r="AZ302" s="45" t="str">
        <f>INDEX(Input!$1:$1048576,AZ$93,$C302*2+6)</f>
        <v>Kia Forte</v>
      </c>
      <c r="BA302" s="50">
        <f>INDEX(Input!$1:$1048576,BA$93,$C302*2+6)</f>
        <v>2020</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19695</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990"/>
        <v>1250</v>
      </c>
      <c r="CJ302" s="46" t="str">
        <f>INDEX(Input!$1:$1048576,CJ$93,$C302*2+6)</f>
        <v>N</v>
      </c>
      <c r="CK302" s="38" t="str">
        <f t="shared" si="991"/>
        <v>Market</v>
      </c>
      <c r="CL302" s="38" t="str">
        <f t="shared" si="992"/>
        <v>Market</v>
      </c>
      <c r="CM302" s="38" t="str">
        <f t="shared" si="993"/>
        <v>Market</v>
      </c>
      <c r="CN302" s="38" t="str">
        <f t="shared" si="994"/>
        <v>Market</v>
      </c>
      <c r="CO302" s="38" t="str">
        <f t="shared" si="995"/>
        <v>Market</v>
      </c>
      <c r="CP302" s="49">
        <f t="shared" si="996"/>
        <v>310</v>
      </c>
      <c r="CQ302" s="38">
        <f t="shared" si="997"/>
        <v>0</v>
      </c>
      <c r="CR302" s="38">
        <f t="shared" si="998"/>
        <v>0</v>
      </c>
      <c r="CS302" s="38">
        <f t="shared" si="999"/>
        <v>0</v>
      </c>
      <c r="CT302" s="38">
        <f t="shared" si="1000"/>
        <v>1.9E-2</v>
      </c>
      <c r="CU302" s="38">
        <f t="shared" si="1001"/>
        <v>3.9000000000000007E-2</v>
      </c>
      <c r="CV302" s="49">
        <f t="shared" si="1002"/>
        <v>4593</v>
      </c>
      <c r="CW302" s="22" t="s">
        <v>122</v>
      </c>
      <c r="CX302" s="22" t="s">
        <v>122</v>
      </c>
      <c r="CY302" s="22" t="s">
        <v>122</v>
      </c>
      <c r="CZ302" s="22" t="s">
        <v>122</v>
      </c>
      <c r="DA302" s="22" t="s">
        <v>122</v>
      </c>
      <c r="DB302" s="502">
        <f t="shared" si="1003"/>
        <v>0</v>
      </c>
      <c r="DC302" s="29">
        <v>0</v>
      </c>
      <c r="DD302" s="29">
        <v>0</v>
      </c>
      <c r="DE302" s="29">
        <v>0</v>
      </c>
      <c r="DF302" s="49">
        <v>0</v>
      </c>
      <c r="DG302" s="49">
        <v>0</v>
      </c>
      <c r="DH302" s="49">
        <v>0</v>
      </c>
      <c r="DI302" s="49">
        <v>0</v>
      </c>
      <c r="DJ302" s="49">
        <v>0</v>
      </c>
      <c r="DK302" s="29">
        <v>0</v>
      </c>
      <c r="DL302" s="29">
        <v>0</v>
      </c>
      <c r="DM302" s="49">
        <f>INDEX(Input!$1:$1048576,DM$93,$C302*2+6)</f>
        <v>20731.578947368424</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3.378239052297663E-2</v>
      </c>
      <c r="DZ302" s="37">
        <v>0</v>
      </c>
      <c r="EA302" s="37">
        <v>0.59770169784981975</v>
      </c>
      <c r="EB302" s="37">
        <v>0</v>
      </c>
      <c r="EC302" s="37">
        <v>0</v>
      </c>
      <c r="ED302" s="37">
        <v>0</v>
      </c>
      <c r="EE302" s="37">
        <v>0</v>
      </c>
      <c r="EF302" s="37">
        <v>0</v>
      </c>
      <c r="EG302" s="37">
        <v>0</v>
      </c>
      <c r="EH302" s="37">
        <v>1.4122908789219516E-2</v>
      </c>
      <c r="EI302" s="37">
        <v>1.7904918896494613E-2</v>
      </c>
      <c r="EJ302" s="37">
        <v>0.25729943568688957</v>
      </c>
      <c r="EK302" s="37">
        <v>0.65972401609207376</v>
      </c>
      <c r="EL302" s="37">
        <v>5.0948720535322567E-2</v>
      </c>
      <c r="EM302" s="37">
        <v>4.7707900281236372E-2</v>
      </c>
      <c r="EN302" s="37">
        <v>5.8903840649550725E-2</v>
      </c>
      <c r="EO302" s="37">
        <v>0.5680644908961251</v>
      </c>
      <c r="EP302" s="37">
        <v>0.2741070959193187</v>
      </c>
      <c r="EQ302" s="37">
        <v>5.8713575146425355E-2</v>
      </c>
      <c r="ER302" s="37">
        <v>4.0210997388580257E-2</v>
      </c>
      <c r="ES302" s="37">
        <v>0.32080801134596715</v>
      </c>
      <c r="ET302" s="37">
        <v>0.3685159116272036</v>
      </c>
      <c r="EU302" s="36">
        <v>1600</v>
      </c>
      <c r="EV302" s="36">
        <v>0</v>
      </c>
      <c r="EW302" s="36">
        <v>1600</v>
      </c>
      <c r="EX302" s="36">
        <v>0</v>
      </c>
      <c r="EY302" s="36">
        <v>2624.5931146502526</v>
      </c>
      <c r="EZ302" s="36">
        <v>3636</v>
      </c>
      <c r="FA302" s="36">
        <v>0</v>
      </c>
      <c r="FB302" s="36">
        <v>0</v>
      </c>
      <c r="FC302" s="36">
        <v>0</v>
      </c>
      <c r="FD302" s="36">
        <v>0</v>
      </c>
      <c r="FE302" s="36">
        <v>0</v>
      </c>
      <c r="FF302" s="36">
        <v>0</v>
      </c>
      <c r="FG302" s="36">
        <v>0</v>
      </c>
      <c r="FH302" s="36">
        <v>1154.3276570091737</v>
      </c>
      <c r="FI302" s="36">
        <v>1531.4299904380618</v>
      </c>
      <c r="FJ302" s="36">
        <v>2070.7205842538219</v>
      </c>
      <c r="FK302" s="36">
        <v>1746.9903521590434</v>
      </c>
      <c r="FL302" s="36">
        <v>893.91433563489363</v>
      </c>
      <c r="FM302" s="36">
        <v>1774.5931146502528</v>
      </c>
      <c r="FN302" s="36">
        <v>0</v>
      </c>
      <c r="FO302" s="36">
        <v>0</v>
      </c>
      <c r="FP302" s="36">
        <v>0</v>
      </c>
      <c r="FQ302" s="36">
        <v>0</v>
      </c>
      <c r="FR302" s="36">
        <v>0</v>
      </c>
      <c r="FS302" s="36">
        <v>0</v>
      </c>
      <c r="FT302" s="37">
        <v>0.63148408837279635</v>
      </c>
      <c r="FU302" s="37">
        <v>4.7707900281236372E-2</v>
      </c>
      <c r="FV302" s="37">
        <v>0.32080801134596715</v>
      </c>
      <c r="FW302" s="36">
        <v>1600</v>
      </c>
      <c r="FX302" s="36">
        <v>2624.5931146502526</v>
      </c>
      <c r="FY302" s="36">
        <v>3636</v>
      </c>
      <c r="FZ302" s="36">
        <v>2202.331475193394</v>
      </c>
      <c r="GA302" s="36">
        <v>2302.0462972429646</v>
      </c>
      <c r="GB302" s="36">
        <v>17392.953702757037</v>
      </c>
      <c r="GC302" s="37">
        <v>4.8391397220736806E-2</v>
      </c>
      <c r="GD302" s="37">
        <v>4.8794856554774328E-2</v>
      </c>
      <c r="GE302" s="37"/>
      <c r="GF302" s="37"/>
      <c r="GG302" s="37">
        <v>8.3374185745690825E-3</v>
      </c>
      <c r="GH302" s="35">
        <v>1.6467507583226466</v>
      </c>
      <c r="GI302" s="36">
        <v>14261.961846370161</v>
      </c>
      <c r="GJ302" s="34">
        <v>0.5107463060103955</v>
      </c>
      <c r="GK302" s="34">
        <v>0.50829519786160982</v>
      </c>
      <c r="GL302" s="34">
        <v>0.48925369398960444</v>
      </c>
      <c r="GM302" s="33">
        <v>0.49170480213839024</v>
      </c>
      <c r="GN302" s="61"/>
      <c r="GO302" s="13">
        <v>338.16872463277008</v>
      </c>
      <c r="GP302" s="27">
        <v>307.64377699166363</v>
      </c>
      <c r="GQ302" s="27">
        <v>527.27910984145694</v>
      </c>
      <c r="GR302" s="27">
        <v>404.20319246551543</v>
      </c>
      <c r="GS302" s="27">
        <v>334.50205195691484</v>
      </c>
      <c r="GT302" s="27">
        <v>289.18266033348181</v>
      </c>
      <c r="GU302" s="27">
        <v>254.29573314828914</v>
      </c>
      <c r="GV302" s="29" t="s">
        <v>392</v>
      </c>
      <c r="GW302" s="27">
        <v>468.76388888888891</v>
      </c>
      <c r="GX302" s="27">
        <v>351.57291666666669</v>
      </c>
      <c r="GY302" s="27">
        <v>281.25833333333333</v>
      </c>
      <c r="GZ302" s="27">
        <v>248.18079879493993</v>
      </c>
      <c r="HA302" s="27">
        <v>229.8919505212948</v>
      </c>
      <c r="HB302" s="29">
        <v>260.72633869284635</v>
      </c>
      <c r="HC302" s="27">
        <v>124.04062499999996</v>
      </c>
      <c r="HD302" s="27">
        <v>127.75060307017539</v>
      </c>
      <c r="HE302" s="27">
        <v>136.66051366396758</v>
      </c>
      <c r="HF302" s="27">
        <v>133.62067434210525</v>
      </c>
      <c r="HG302" s="27">
        <v>137.88493421052632</v>
      </c>
      <c r="HH302" s="12">
        <v>130.72650526464059</v>
      </c>
      <c r="HI302" s="94"/>
      <c r="HJ302" s="370" t="str">
        <f>HJ301</f>
        <v>On</v>
      </c>
      <c r="HK302" s="371" t="str">
        <f>HK301</f>
        <v>On</v>
      </c>
      <c r="HL302" s="94"/>
      <c r="HM302" s="640">
        <f t="shared" si="1004"/>
        <v>2.8970655363290673E-2</v>
      </c>
      <c r="HN302" s="22">
        <f t="shared" si="1005"/>
        <v>2.1835179285533651E-3</v>
      </c>
      <c r="HO302" s="638">
        <f t="shared" si="1006"/>
        <v>1.5544129749146325E-2</v>
      </c>
      <c r="HP302" s="650">
        <f>(FT302*$GD302-HM302)/$JF302*INDEX(Input!$1:$1048576,$JG$93,$C302*2+6)</f>
        <v>75.991921956652007</v>
      </c>
      <c r="HQ302" s="650">
        <f>(FU302*$GD302-HN302)/$JF302*INDEX(Input!$1:$1048576,$JG$93,$C302*2+6)</f>
        <v>5.954823662677069</v>
      </c>
      <c r="HR302" s="651">
        <f>(FV302*$GD302-HO302)/$JF302*INDEX(Input!$1:$1048576,$JG$93,$C302*2+6)</f>
        <v>4.5223936126361641</v>
      </c>
      <c r="HS302" s="650">
        <f t="shared" si="1007"/>
        <v>-28.079785004475308</v>
      </c>
      <c r="HT302" s="650">
        <f t="shared" si="1008"/>
        <v>53.175669854266594</v>
      </c>
      <c r="HU302" s="651">
        <f t="shared" si="1009"/>
        <v>22.509068277604847</v>
      </c>
      <c r="HV302" s="645">
        <f t="shared" si="1010"/>
        <v>0</v>
      </c>
      <c r="HW302" s="646">
        <f t="shared" si="1011"/>
        <v>0</v>
      </c>
      <c r="HX302" s="647">
        <f t="shared" si="1012"/>
        <v>0</v>
      </c>
      <c r="HY302" s="643">
        <f>INDEX(Input!$1:$1048576,HY$93,$C302*2+6)*INDEX(Input!$1:$1048576,$JG$93,$C302*2+6)</f>
        <v>488.99999999999994</v>
      </c>
      <c r="HZ302" s="641">
        <f>INDEX(Input!$1:$1048576,HZ$93,$C302*2+6)*INDEX(Input!$1:$1048576,$JG$93,$C302*2+6)</f>
        <v>734</v>
      </c>
      <c r="IA302" s="642">
        <f>INDEX(Input!$1:$1048576,IA$93,$C302*2+6)*INDEX(Input!$1:$1048576,$JG$93,$C302*2+6)</f>
        <v>703</v>
      </c>
      <c r="IB302" s="649">
        <f t="shared" ref="IB302:IB365" si="1036">SUM(HP302:IA302)-IC302-ID302</f>
        <v>536.91213695217652</v>
      </c>
      <c r="IC302" s="650">
        <f t="shared" ref="IC302:IC365" si="1037">MAX(HZ302+HQ302+HT302+HW302,0%)</f>
        <v>793.13049351694372</v>
      </c>
      <c r="ID302" s="651">
        <f>IF(AND(INDEX(Input!$1:$1048576,IA$93,$C302*2+7)="TOS",Y302&lt;=INDEX(Y:Y,MATCH(C302*1000+2,A:A))),0,1)*MAX(IA302+HR302+HU302+HX302,0%)</f>
        <v>730.03146189024096</v>
      </c>
      <c r="IE302" s="129">
        <f t="shared" ref="IE302" si="1038">IB302/SUM($IB302:$ID302)</f>
        <v>0.2606275856502141</v>
      </c>
      <c r="IF302" s="652">
        <f t="shared" si="1013"/>
        <v>0.38500095528534484</v>
      </c>
      <c r="IG302" s="653">
        <f t="shared" si="1014"/>
        <v>0.35437145906444106</v>
      </c>
      <c r="IH302" s="95"/>
      <c r="II302" s="298">
        <f t="shared" si="1015"/>
        <v>1200</v>
      </c>
      <c r="IJ302" s="49">
        <f t="shared" si="1016"/>
        <v>2224.493581030405</v>
      </c>
      <c r="IK302" s="40">
        <f t="shared" si="1017"/>
        <v>3451.75</v>
      </c>
      <c r="IL302" s="298">
        <f t="shared" ref="IL302:IL365" si="1039">(FW302-FA302*DZ302/FT302)-II302</f>
        <v>400</v>
      </c>
      <c r="IM302" s="49">
        <f t="shared" si="1018"/>
        <v>400.09953361984753</v>
      </c>
      <c r="IN302" s="40">
        <f t="shared" si="1019"/>
        <v>184.25</v>
      </c>
      <c r="IO302" s="25">
        <f t="shared" si="1020"/>
        <v>0</v>
      </c>
      <c r="IP302" s="29">
        <f t="shared" si="1021"/>
        <v>0</v>
      </c>
      <c r="IQ302" s="29">
        <f t="shared" si="1022"/>
        <v>0</v>
      </c>
      <c r="IR302" s="17">
        <v>0</v>
      </c>
      <c r="IS302" s="29">
        <v>0</v>
      </c>
      <c r="IT302" s="12">
        <v>0</v>
      </c>
      <c r="IU302" s="25">
        <v>0</v>
      </c>
      <c r="IV302" s="29">
        <v>0</v>
      </c>
      <c r="IW302" s="12">
        <v>-83</v>
      </c>
      <c r="IX302" s="372">
        <f>INDEX(Input!$1:$1048576,IX$93,$C302*2+6)+INDEX(Input!$1:$1048576,IX$94,$C302*2+6)</f>
        <v>1600</v>
      </c>
      <c r="IY302" s="373">
        <f>INDEX(Input!$1:$1048576,IY$93,$C302*2+6)+INDEX(Input!$1:$1048576,IY$94,$C302*2+6)</f>
        <v>2503.5492916397525</v>
      </c>
      <c r="IZ302" s="374">
        <f>INDEX(Input!$1:$1048576,IZ$93,$C302*2+6)+INDEX(Input!$1:$1048576,IZ$94,$C302*2+6)</f>
        <v>5773.7109265464023</v>
      </c>
      <c r="JA302" s="298">
        <f t="shared" ref="JA302:JA365" si="1040">(IL302+IO302+IR302+IU302+IX302)</f>
        <v>2000</v>
      </c>
      <c r="JB302" s="49">
        <f t="shared" ref="JB302:JB365" si="1041">(IM302+IP302+IS302+IV302+IY302)</f>
        <v>2903.6488252596</v>
      </c>
      <c r="JC302" s="49">
        <f t="shared" ref="JC302:JC365" si="1042">(IN302+IQ302+IT302+IW302+IZ302)</f>
        <v>5874.9609265464023</v>
      </c>
      <c r="JD302" s="40">
        <f t="shared" ref="JD302:JD365" si="1043">SUMPRODUCT(IE302:IG302,JA302:JC302)</f>
        <v>3721.0812183253729</v>
      </c>
      <c r="JE302" s="382"/>
      <c r="JF302" s="28">
        <f t="shared" si="1023"/>
        <v>4.6698303040990354E-2</v>
      </c>
      <c r="JG302" s="23">
        <f>INDEX(Input!$1:$1048576,JG$93,$C302*2+6)/(1+VLOOKUP(C302*1000+INDEX(Input!$1:$1048576,JG$93+1,$C302*2+6),$A:$KK,$JK$92,FALSE))</f>
        <v>1926</v>
      </c>
      <c r="JH302" s="38">
        <f t="shared" ref="JH302:JH365" si="1044">SUM(HP302:HR302)/SUM(HY302:IA302)</f>
        <v>4.4895710920023493E-2</v>
      </c>
      <c r="JI302" s="38">
        <f t="shared" ref="JI302:JI365" si="1045">SUM(HS302:HU302)/SUM(HY302:IA302)</f>
        <v>2.4717005777464243E-2</v>
      </c>
      <c r="JJ302" s="11">
        <f t="shared" ref="JJ302:JJ312" si="1046">SUM(HV302:HX302)/SUM(HY302:IA302)</f>
        <v>0</v>
      </c>
      <c r="JK302" s="2">
        <f t="shared" ref="JK302:JK304" si="1047">SUM(JH302:JJ302)</f>
        <v>6.9612716697487739E-2</v>
      </c>
      <c r="JL302" s="9">
        <f t="shared" ref="JL302:JL365" si="1048">JG302*JK302</f>
        <v>134.07409235936137</v>
      </c>
      <c r="JM302" s="8">
        <f t="shared" ref="JM302:JM305" si="1049">JG302+JL302</f>
        <v>2060.0740923593612</v>
      </c>
      <c r="JN302" s="95"/>
      <c r="JO302" s="375">
        <f>INDEX(Input!$1:$1048576,JO$93,$C302*2+6)</f>
        <v>5908.5</v>
      </c>
      <c r="JP302" s="375">
        <f>INDEX(Input!$1:$1048576,JP$93,$C302*2+6)</f>
        <v>3467.7694503767912</v>
      </c>
      <c r="JQ302" s="25">
        <f>JO302-JD302</f>
        <v>2187.4187816746271</v>
      </c>
      <c r="JR302" s="29">
        <f>JD302-JP302</f>
        <v>253.31176794858175</v>
      </c>
      <c r="JS302" s="29">
        <f>JM302*JD302/1000000</f>
        <v>7.665703013437108</v>
      </c>
      <c r="JT302" s="29">
        <f t="shared" ref="JT302:JT365" si="1050">(JD302*JM302-JP302*JG302)/1000000</f>
        <v>0.98677905201140792</v>
      </c>
      <c r="JU302" s="376">
        <f>(JQ302*JM302-INDEX(Input!$1:$1048576,Input!A$18,$C302*2+6)*JL302*INDEX(Input!$1:$1048576,Input!A$19,$C302*2+6))/1000000</f>
        <v>4.5062447612681771</v>
      </c>
      <c r="JV302" s="29">
        <f t="shared" si="1026"/>
        <v>-0.19460227730612267</v>
      </c>
      <c r="JW302" s="38">
        <f>JV302/(JU302-JV302)</f>
        <v>-4.1397279194419989E-2</v>
      </c>
      <c r="JX302" s="40">
        <f>IF(JL302=0,0,JT302/JL302)*1000000</f>
        <v>7359.9532515687297</v>
      </c>
      <c r="JZ302" s="377"/>
      <c r="KA302" s="378"/>
      <c r="KB302" s="474">
        <f>KB301</f>
        <v>2.7822247002359868</v>
      </c>
      <c r="KC302" s="379"/>
      <c r="KD302" s="379"/>
      <c r="KE302" s="379"/>
      <c r="KF302" s="379"/>
      <c r="KG302" s="380"/>
      <c r="KI302" s="513">
        <f>$JM302*IE302-$JG302*HY302/SUM($HY302:$IA302)</f>
        <v>47.912136952176581</v>
      </c>
      <c r="KJ302" s="514">
        <f t="shared" ref="KJ302:KJ315" si="1051">$JM302*IF302-$JG302*HZ302/SUM($HY302:$IA302)</f>
        <v>59.130493516943716</v>
      </c>
      <c r="KK302" s="514">
        <f t="shared" ref="KK302:KK365" si="1052">$JM302*IG302-$JG302*IA302/SUM($HY302:$IA302)</f>
        <v>27.031461890240962</v>
      </c>
      <c r="KL302" s="380"/>
      <c r="KN302" s="543">
        <f>KM302+(KN301-KM301)</f>
        <v>3002</v>
      </c>
      <c r="KO302" s="540">
        <f t="shared" si="1027"/>
        <v>0</v>
      </c>
      <c r="KP302" s="545">
        <f t="shared" si="1028"/>
        <v>0</v>
      </c>
      <c r="KQ302" s="545">
        <f t="shared" si="1029"/>
        <v>0</v>
      </c>
      <c r="KR302" s="547" t="e">
        <f t="shared" si="1030"/>
        <v>#DIV/0!</v>
      </c>
      <c r="KS302" s="547" t="e">
        <f t="shared" si="1031"/>
        <v>#DIV/0!</v>
      </c>
      <c r="KT302" s="661">
        <f>KT301</f>
        <v>527.01264777847621</v>
      </c>
      <c r="KU302" s="662">
        <f t="shared" ref="KU302:KU365" si="1053">IF(D302="",0,IFERROR((JM302/KT302-1)/(JD302/BX302)+B302*10^-6,0))</f>
        <v>15.396620875612545</v>
      </c>
      <c r="KV302" s="568"/>
      <c r="KW302" s="26"/>
      <c r="KX302" s="582"/>
    </row>
    <row r="303" spans="1:310" s="26" customFormat="1" ht="15">
      <c r="A303" s="561">
        <f t="shared" si="1032"/>
        <v>3003</v>
      </c>
      <c r="B303" s="561">
        <f t="shared" ref="B303:B366" si="1054">B302+1</f>
        <v>3</v>
      </c>
      <c r="C303" s="561">
        <f t="shared" ref="C303:C366" si="1055">C302</f>
        <v>3</v>
      </c>
      <c r="D303" s="561" t="s">
        <v>740</v>
      </c>
      <c r="E303" s="475">
        <f>INDEX(Input!$1:$1048576,E$93,$C303*2+MIN($B303,1)+5)+500</f>
        <v>1250</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1.9E-2</v>
      </c>
      <c r="W303" s="862">
        <f>INDEX(Input!$1:$1048576,W$93,$C303*2+MIN($B303,1)+5)</f>
        <v>3.9000000000000007E-2</v>
      </c>
      <c r="X303" s="118" t="str">
        <f>INDEX(Input!$1:$1048576,X$93,$C303*2+MIN($B303,1)+5)</f>
        <v>Y</v>
      </c>
      <c r="Y303" s="150">
        <f>INDEX(Input!$1:$1048576,Y$93,$C303*2+MIN($B303,1)+5)</f>
        <v>4225</v>
      </c>
      <c r="Z303" s="30">
        <f>INDEX(Input!$1:$1048576,Z$93,$C303*2+MIN($B303,1)+5)</f>
        <v>0</v>
      </c>
      <c r="AA303" s="115">
        <f>INDEX(Input!$1:$1048576,AA$93,$C303*2+MIN($B303,1)+5)</f>
        <v>0</v>
      </c>
      <c r="AB303" s="118">
        <f>INDEX(Input!$1:$1048576,AB$93,$C303*2+MIN($B303,1)+5)</f>
        <v>0.62</v>
      </c>
      <c r="AC303" s="115">
        <f>INDEX(Input!$1:$1048576,AC$93,$C303*2+MIN($B303,1)+5)</f>
        <v>1000</v>
      </c>
      <c r="AD303" s="118">
        <f>INDEX(Input!$1:$1048576,AD$93,$C303*2+MIN($B303,1)+5)</f>
        <v>0.35</v>
      </c>
      <c r="AE303" s="115">
        <f>INDEX(Input!$1:$1048576,AE$93,$C303*2+MIN($B303,1)+5)</f>
        <v>0</v>
      </c>
      <c r="AF303" s="118">
        <f>INDEX(Input!$1:$1048576,AF$93,$C303*2+MIN($B303,1)+5)</f>
        <v>0.97</v>
      </c>
      <c r="AG303" s="115">
        <f>INDEX(Input!$1:$1048576,AG$93,$C303*2+MIN($B303,1)+5)</f>
        <v>500</v>
      </c>
      <c r="AH303" s="118">
        <f>INDEX(Input!$1:$1048576,AH$93,$C303*2+MIN($B303,1)+5)</f>
        <v>1</v>
      </c>
      <c r="AI303" s="115">
        <f>INDEX(Input!$1:$1048576,AI$93,$C303*2+MIN($B303,1)+5)</f>
        <v>500</v>
      </c>
      <c r="AJ303" s="118">
        <f>INDEX(Input!$1:$1048576,AJ$93,$C303*2+MIN($B303,1)+5)</f>
        <v>0.35</v>
      </c>
      <c r="AK303" s="150">
        <f>ROUND(INDEX(Input!$1:$1048576,AK$93,$C302*2+MIN($B303,1)+5)+(Y303-VLOOKUP($C303*1000+1,$A:$HH,Y$92,FALSE)),0)</f>
        <v>5099</v>
      </c>
      <c r="AL303" s="150">
        <f>ROUND(INDEX(Input!$1:$1048576,AL$93,$C302*2+MIN($B303,1)+5)-(Y303-VLOOKUP($C303*1000+1,$A:$HH,Y$92,FALSE))/36,0)</f>
        <v>5099</v>
      </c>
      <c r="AM303" s="32" t="str">
        <f t="shared" si="1033"/>
        <v>std/std/std/std</v>
      </c>
      <c r="AN303" s="32" t="str">
        <f t="shared" si="1034"/>
        <v>$0 + 0/0/0/1.9/3.9</v>
      </c>
      <c r="AO303" s="32" t="str">
        <f t="shared" si="1035"/>
        <v>0/0/0/1.9/3.9</v>
      </c>
      <c r="AP303" s="32" t="str">
        <f t="shared" si="989"/>
        <v>0/0.9/1.9/3.9</v>
      </c>
      <c r="AQ303" s="536">
        <f t="shared" si="988"/>
        <v>850.28933070125493</v>
      </c>
      <c r="AR303" s="32"/>
      <c r="AS303" s="302"/>
      <c r="AT303" s="3">
        <f t="shared" ref="AT303:AT366" si="1056">AT302+1</f>
        <v>3</v>
      </c>
      <c r="AU303" s="41" t="s">
        <v>121</v>
      </c>
      <c r="AV303" s="41" t="s">
        <v>116</v>
      </c>
      <c r="AW303" s="41" t="str">
        <f>INDEX(Input!$1:$1048576,AW$93,$C303*2+6)</f>
        <v>Kia</v>
      </c>
      <c r="AX303" s="41" t="str">
        <f>INDEX(Input!$1:$1048576,AX$93,$C303*2+6)</f>
        <v>Kia-LR - L3</v>
      </c>
      <c r="AY303" s="41" t="str">
        <f>IF(LEN(D303)=0,"",INDEX(Input!$1:$1048576,AY$93,$C303*2+6))</f>
        <v>Compact Conventional/Sporty Car (43)</v>
      </c>
      <c r="AZ303" s="41" t="str">
        <f>INDEX(Input!$1:$1048576,AZ$93,$C303*2+6)</f>
        <v>Kia Forte</v>
      </c>
      <c r="BA303" s="3">
        <f>INDEX(Input!$1:$1048576,BA$93,$C303*2+6)</f>
        <v>2020</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19695</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990"/>
        <v>1600</v>
      </c>
      <c r="CJ303" s="16" t="str">
        <f>INDEX(Input!$1:$1048576,CJ$93,$C303*2+6)</f>
        <v>N</v>
      </c>
      <c r="CK303" s="1" t="str">
        <f t="shared" si="991"/>
        <v>Market</v>
      </c>
      <c r="CL303" s="1" t="str">
        <f t="shared" si="992"/>
        <v>Market</v>
      </c>
      <c r="CM303" s="1" t="str">
        <f t="shared" si="993"/>
        <v>Market</v>
      </c>
      <c r="CN303" s="1" t="str">
        <f t="shared" si="994"/>
        <v>Market</v>
      </c>
      <c r="CO303" s="1" t="str">
        <f t="shared" si="995"/>
        <v>Market</v>
      </c>
      <c r="CP303" s="304">
        <f t="shared" si="996"/>
        <v>350</v>
      </c>
      <c r="CQ303" s="1">
        <f t="shared" si="997"/>
        <v>0</v>
      </c>
      <c r="CR303" s="1">
        <f t="shared" si="998"/>
        <v>0</v>
      </c>
      <c r="CS303" s="1">
        <f t="shared" si="999"/>
        <v>0</v>
      </c>
      <c r="CT303" s="1">
        <f t="shared" si="1000"/>
        <v>1.9E-2</v>
      </c>
      <c r="CU303" s="1">
        <f t="shared" si="1001"/>
        <v>3.9000000000000007E-2</v>
      </c>
      <c r="CV303" s="304">
        <f t="shared" si="1002"/>
        <v>4400</v>
      </c>
      <c r="CW303" s="20" t="s">
        <v>122</v>
      </c>
      <c r="CX303" s="20" t="s">
        <v>122</v>
      </c>
      <c r="CY303" s="20" t="s">
        <v>122</v>
      </c>
      <c r="CZ303" s="20" t="s">
        <v>122</v>
      </c>
      <c r="DA303" s="20" t="s">
        <v>122</v>
      </c>
      <c r="DB303" s="503">
        <f t="shared" si="1003"/>
        <v>500</v>
      </c>
      <c r="DC303" s="127">
        <v>0</v>
      </c>
      <c r="DD303" s="127">
        <v>0</v>
      </c>
      <c r="DE303" s="127">
        <v>0</v>
      </c>
      <c r="DF303" s="127">
        <v>0</v>
      </c>
      <c r="DG303" s="127">
        <v>0</v>
      </c>
      <c r="DH303" s="127">
        <v>0</v>
      </c>
      <c r="DI303" s="127">
        <v>0</v>
      </c>
      <c r="DJ303" s="127">
        <v>0</v>
      </c>
      <c r="DK303" s="127">
        <v>0</v>
      </c>
      <c r="DL303" s="127">
        <v>0</v>
      </c>
      <c r="DM303" s="304">
        <f>INDEX(Input!$1:$1048576,DM$93,$C303*2+6)</f>
        <v>20731.578947368424</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3.4960583819623685E-2</v>
      </c>
      <c r="DZ303" s="7">
        <v>0</v>
      </c>
      <c r="EA303" s="7">
        <v>0.61810872522551186</v>
      </c>
      <c r="EB303" s="7">
        <v>0</v>
      </c>
      <c r="EC303" s="7">
        <v>0</v>
      </c>
      <c r="ED303" s="7">
        <v>0</v>
      </c>
      <c r="EE303" s="7">
        <v>0</v>
      </c>
      <c r="EF303" s="7">
        <v>0</v>
      </c>
      <c r="EG303" s="7">
        <v>0</v>
      </c>
      <c r="EH303" s="7">
        <v>1.413400371411107E-2</v>
      </c>
      <c r="EI303" s="7">
        <v>1.7905907609977199E-2</v>
      </c>
      <c r="EJ303" s="7">
        <v>0.25765219593522992</v>
      </c>
      <c r="EK303" s="7">
        <v>0.65943214917542536</v>
      </c>
      <c r="EL303" s="7">
        <v>5.0875743565256544E-2</v>
      </c>
      <c r="EM303" s="7">
        <v>4.2734823677612312E-2</v>
      </c>
      <c r="EN303" s="7">
        <v>5.8252483499235452E-2</v>
      </c>
      <c r="EO303" s="7">
        <v>0.56871370370336827</v>
      </c>
      <c r="EP303" s="7">
        <v>0.27314368217405027</v>
      </c>
      <c r="EQ303" s="7">
        <v>5.9296203694374404E-2</v>
      </c>
      <c r="ER303" s="7">
        <v>4.0593926928971714E-2</v>
      </c>
      <c r="ES303" s="7">
        <v>0.30419586727725223</v>
      </c>
      <c r="ET303" s="7">
        <v>0.3469306909548644</v>
      </c>
      <c r="EU303" s="6">
        <v>1700</v>
      </c>
      <c r="EV303" s="6">
        <v>0</v>
      </c>
      <c r="EW303" s="6">
        <v>1700</v>
      </c>
      <c r="EX303" s="6">
        <v>0</v>
      </c>
      <c r="EY303" s="6">
        <v>2224.762749815276</v>
      </c>
      <c r="EZ303" s="6">
        <v>3451.75</v>
      </c>
      <c r="FA303" s="6">
        <v>0</v>
      </c>
      <c r="FB303" s="6">
        <v>0</v>
      </c>
      <c r="FC303" s="6">
        <v>0</v>
      </c>
      <c r="FD303" s="6">
        <v>0</v>
      </c>
      <c r="FE303" s="6">
        <v>0</v>
      </c>
      <c r="FF303" s="6">
        <v>0</v>
      </c>
      <c r="FG303" s="6">
        <v>0</v>
      </c>
      <c r="FH303" s="6">
        <v>1154.325518942431</v>
      </c>
      <c r="FI303" s="6">
        <v>1531.4299904380623</v>
      </c>
      <c r="FJ303" s="6">
        <v>2070.7205842538224</v>
      </c>
      <c r="FK303" s="6">
        <v>1746.9903521590434</v>
      </c>
      <c r="FL303" s="6">
        <v>893.91433563489352</v>
      </c>
      <c r="FM303" s="6">
        <v>1774.762749815276</v>
      </c>
      <c r="FN303" s="6">
        <v>0</v>
      </c>
      <c r="FO303" s="6">
        <v>0</v>
      </c>
      <c r="FP303" s="6">
        <v>0</v>
      </c>
      <c r="FQ303" s="6">
        <v>0</v>
      </c>
      <c r="FR303" s="6">
        <v>0</v>
      </c>
      <c r="FS303" s="6">
        <v>0</v>
      </c>
      <c r="FT303" s="7">
        <v>0.65306930904513549</v>
      </c>
      <c r="FU303" s="7">
        <v>4.2734823677612312E-2</v>
      </c>
      <c r="FV303" s="7">
        <v>0.30419586727725223</v>
      </c>
      <c r="FW303" s="6">
        <v>1700</v>
      </c>
      <c r="FX303" s="6">
        <v>2224.762749815276</v>
      </c>
      <c r="FY303" s="6">
        <v>3451.75</v>
      </c>
      <c r="FZ303" s="6">
        <v>2202.331475193394</v>
      </c>
      <c r="GA303" s="6">
        <v>2255.3007540888616</v>
      </c>
      <c r="GB303" s="6">
        <v>17439.699245911139</v>
      </c>
      <c r="GC303" s="7">
        <v>4.8391397220736806E-2</v>
      </c>
      <c r="GD303" s="7">
        <v>4.8690018246775893E-2</v>
      </c>
      <c r="GE303" s="7"/>
      <c r="GF303" s="7"/>
      <c r="GG303" s="7">
        <v>6.1709527558572045E-3</v>
      </c>
      <c r="GH303" s="42">
        <v>2.2944793106671337</v>
      </c>
      <c r="GI303" s="6">
        <v>10838.947557281685</v>
      </c>
      <c r="GJ303" s="14">
        <v>0.5107463060103955</v>
      </c>
      <c r="GK303" s="14">
        <v>0.5082951978616097</v>
      </c>
      <c r="GL303" s="14">
        <v>0.48925369398960422</v>
      </c>
      <c r="GM303" s="14">
        <v>0.4917048021383903</v>
      </c>
      <c r="GO303" s="5">
        <v>338.16872463277008</v>
      </c>
      <c r="GP303" s="5">
        <v>305.73596776409454</v>
      </c>
      <c r="GQ303" s="5">
        <v>527.27910984145694</v>
      </c>
      <c r="GR303" s="5">
        <v>404.20319246551543</v>
      </c>
      <c r="GS303" s="5">
        <v>334.50205195691484</v>
      </c>
      <c r="GT303" s="5">
        <v>289.18266033348181</v>
      </c>
      <c r="GU303" s="5">
        <v>254.29573314828914</v>
      </c>
      <c r="GV303" s="39" t="s">
        <v>392</v>
      </c>
      <c r="GW303" s="5">
        <v>479.875</v>
      </c>
      <c r="GX303" s="5">
        <v>359.90625</v>
      </c>
      <c r="GY303" s="5">
        <v>287.92500000000001</v>
      </c>
      <c r="GZ303" s="5">
        <v>254.06342861438094</v>
      </c>
      <c r="HA303" s="5">
        <v>235.34107974463737</v>
      </c>
      <c r="HB303" s="39">
        <v>266.92225678923074</v>
      </c>
      <c r="HC303" s="5">
        <v>132.10156249999997</v>
      </c>
      <c r="HD303" s="5">
        <v>133.25251279239762</v>
      </c>
      <c r="HE303" s="5">
        <v>141.76872680499321</v>
      </c>
      <c r="HF303" s="5">
        <v>137.88145559210525</v>
      </c>
      <c r="HG303" s="5">
        <v>141.41639254385964</v>
      </c>
      <c r="HH303" s="39">
        <v>136.11749980629273</v>
      </c>
      <c r="HI303" s="16"/>
      <c r="HJ303" s="19" t="str">
        <f t="shared" ref="HJ303:HK318" si="1057">HJ302</f>
        <v>On</v>
      </c>
      <c r="HK303" s="1" t="str">
        <f t="shared" si="1057"/>
        <v>On</v>
      </c>
      <c r="HL303" s="16"/>
      <c r="HM303" s="639">
        <f t="shared" si="1004"/>
        <v>2.8970655363290673E-2</v>
      </c>
      <c r="HN303" s="639">
        <f t="shared" si="1005"/>
        <v>2.1835179285533651E-3</v>
      </c>
      <c r="HO303" s="639">
        <f t="shared" si="1006"/>
        <v>1.5544129749146325E-2</v>
      </c>
      <c r="HP303" s="644">
        <f>(FT303*$GD303-HM303)/$JF303*INDEX(Input!$1:$1048576,$JG$93,$C303*2+6)</f>
        <v>116.6077089930627</v>
      </c>
      <c r="HQ303" s="644">
        <f>(FU303*$GD303-HN303)/$JF303*INDEX(Input!$1:$1048576,$JG$93,$C303*2+6)</f>
        <v>-4.2381204398736463</v>
      </c>
      <c r="HR303" s="644">
        <f>(FV303*$GD303-HO303)/$JF303*INDEX(Input!$1:$1048576,$JG$93,$C303*2+6)</f>
        <v>-30.224344796134844</v>
      </c>
      <c r="HS303" s="644">
        <f t="shared" si="1007"/>
        <v>-34.584672961268048</v>
      </c>
      <c r="HT303" s="644">
        <f t="shared" si="1008"/>
        <v>-6.0058414144456291</v>
      </c>
      <c r="HU303" s="644">
        <f t="shared" si="1009"/>
        <v>6.0451463147528131</v>
      </c>
      <c r="HV303" s="648">
        <f t="shared" si="1010"/>
        <v>0</v>
      </c>
      <c r="HW303" s="648">
        <f t="shared" si="1011"/>
        <v>0</v>
      </c>
      <c r="HX303" s="648">
        <f t="shared" si="1012"/>
        <v>0</v>
      </c>
      <c r="HY303" s="644">
        <f>INDEX(Input!$1:$1048576,HY$93,$C303*2+6)*INDEX(Input!$1:$1048576,$JG$93,$C303*2+6)</f>
        <v>488.99999999999994</v>
      </c>
      <c r="HZ303" s="644">
        <f>INDEX(Input!$1:$1048576,HZ$93,$C303*2+6)*INDEX(Input!$1:$1048576,$JG$93,$C303*2+6)</f>
        <v>734</v>
      </c>
      <c r="IA303" s="644">
        <f>INDEX(Input!$1:$1048576,IA$93,$C303*2+6)*INDEX(Input!$1:$1048576,$JG$93,$C303*2+6)</f>
        <v>703</v>
      </c>
      <c r="IB303" s="644">
        <f t="shared" si="1036"/>
        <v>571.02303603179439</v>
      </c>
      <c r="IC303" s="644">
        <f t="shared" si="1037"/>
        <v>723.75603814568069</v>
      </c>
      <c r="ID303" s="644">
        <f>IF(AND(INDEX(Input!$1:$1048576,IA$93,$C303*2+7)="TOS",Y303&lt;=INDEX(Y:Y,MATCH(C303*1000+2,A:A))),0,1)*MAX(IA303+HR303+HU303+HX303,0%)</f>
        <v>678.82080151861805</v>
      </c>
      <c r="IE303" s="128">
        <f t="shared" ref="IE303:IE304" si="1058">IB303/SUM($IB303:$ID303)</f>
        <v>0.28933070125493054</v>
      </c>
      <c r="IF303" s="128">
        <f t="shared" ref="IF303:IF318" si="1059">IC303/SUM($IB303:$ID303)</f>
        <v>0.36671872908910186</v>
      </c>
      <c r="IG303" s="128">
        <f t="shared" si="1014"/>
        <v>0.34395056965596754</v>
      </c>
      <c r="IH303" s="21"/>
      <c r="II303" s="19">
        <f t="shared" si="1015"/>
        <v>1200</v>
      </c>
      <c r="IJ303" s="19">
        <f t="shared" si="1016"/>
        <v>2224.493581030405</v>
      </c>
      <c r="IK303" s="19">
        <f t="shared" si="1017"/>
        <v>3451.75</v>
      </c>
      <c r="IL303" s="19">
        <f t="shared" si="1039"/>
        <v>500</v>
      </c>
      <c r="IM303" s="19">
        <f t="shared" si="1018"/>
        <v>0.26916878487099893</v>
      </c>
      <c r="IN303" s="19">
        <f t="shared" si="1019"/>
        <v>0</v>
      </c>
      <c r="IO303" s="39">
        <f t="shared" si="1020"/>
        <v>0</v>
      </c>
      <c r="IP303" s="39">
        <f t="shared" si="1021"/>
        <v>0</v>
      </c>
      <c r="IQ303" s="39">
        <f t="shared" si="1022"/>
        <v>0</v>
      </c>
      <c r="IR303" s="39">
        <v>0</v>
      </c>
      <c r="IS303" s="39">
        <v>0</v>
      </c>
      <c r="IT303" s="39">
        <v>0</v>
      </c>
      <c r="IU303" s="39">
        <v>0</v>
      </c>
      <c r="IV303" s="39">
        <v>0</v>
      </c>
      <c r="IW303" s="39">
        <v>0</v>
      </c>
      <c r="IX303" s="39">
        <f>INDEX(Input!$1:$1048576,IX$93,$C303*2+6)+INDEX(Input!$1:$1048576,IX$94,$C303*2+6)</f>
        <v>1600</v>
      </c>
      <c r="IY303" s="39">
        <f>INDEX(Input!$1:$1048576,IY$93,$C303*2+6)+INDEX(Input!$1:$1048576,IY$94,$C303*2+6)</f>
        <v>2503.5492916397525</v>
      </c>
      <c r="IZ303" s="39">
        <f>INDEX(Input!$1:$1048576,IZ$93,$C303*2+6)+INDEX(Input!$1:$1048576,IZ$94,$C303*2+6)</f>
        <v>5773.7109265464023</v>
      </c>
      <c r="JA303" s="19">
        <f t="shared" si="1040"/>
        <v>2100</v>
      </c>
      <c r="JB303" s="19">
        <f t="shared" si="1041"/>
        <v>2503.8184604246235</v>
      </c>
      <c r="JC303" s="19">
        <f t="shared" si="1042"/>
        <v>5773.7109265464023</v>
      </c>
      <c r="JD303" s="19">
        <f t="shared" si="1043"/>
        <v>3511.6627585266228</v>
      </c>
      <c r="JE303" s="21"/>
      <c r="JF303" s="1">
        <f t="shared" si="1023"/>
        <v>4.6698303040990354E-2</v>
      </c>
      <c r="JG303" s="15">
        <f>INDEX(Input!$1:$1048576,JG$93,$C303*2+6)/(1+VLOOKUP(C303*1000+INDEX(Input!$1:$1048576,JG$93+1,$C303*2+6),$A:$KK,$JK$92,FALSE))</f>
        <v>1926</v>
      </c>
      <c r="JH303" s="1">
        <f t="shared" si="1044"/>
        <v>4.2650697693174568E-2</v>
      </c>
      <c r="JI303" s="1">
        <f t="shared" si="1045"/>
        <v>-1.7936328172876874E-2</v>
      </c>
      <c r="JJ303" s="1">
        <f t="shared" si="1046"/>
        <v>0</v>
      </c>
      <c r="JK303" s="1">
        <f t="shared" si="1047"/>
        <v>2.4714369520297694E-2</v>
      </c>
      <c r="JL303" s="15">
        <f t="shared" si="1048"/>
        <v>47.599875696093356</v>
      </c>
      <c r="JM303" s="15">
        <f t="shared" si="1049"/>
        <v>1973.5998756960932</v>
      </c>
      <c r="JN303" s="21"/>
      <c r="JO303" s="19">
        <f>INDEX(Input!$1:$1048576,JO$93,$C303*2+6)</f>
        <v>5908.5</v>
      </c>
      <c r="JP303" s="19">
        <f>INDEX(Input!$1:$1048576,JP$93,$C303*2+6)</f>
        <v>3467.7694503767912</v>
      </c>
      <c r="JQ303" s="39">
        <f t="shared" ref="JQ303:JQ366" si="1060">JO303-JD303</f>
        <v>2396.8372414733772</v>
      </c>
      <c r="JR303" s="39">
        <f t="shared" ref="JR303:JR305" si="1061">JD303-JP303</f>
        <v>43.893308149831682</v>
      </c>
      <c r="JS303" s="39">
        <f t="shared" ref="JS303:JS366" si="1062">JM303*JD303/1000000</f>
        <v>6.9306171837147428</v>
      </c>
      <c r="JT303" s="39">
        <f t="shared" si="1050"/>
        <v>0.25169322228904256</v>
      </c>
      <c r="JU303" s="385">
        <f>(JQ303*JM303-INDEX(Input!$1:$1048576,Input!A$18,$C303*2+6)*JL303*INDEX(Input!$1:$1048576,Input!A$19,$C303*2+6))/1000000</f>
        <v>4.7303976818356244</v>
      </c>
      <c r="JV303" s="39">
        <f t="shared" si="1026"/>
        <v>2.9550643261324616E-2</v>
      </c>
      <c r="JW303" s="1">
        <f>JV303/(JU303-JV303)</f>
        <v>6.2862379947352864E-3</v>
      </c>
      <c r="JX303" s="19">
        <f>IF(JL303=0,0,JT303/JL303)*1000000</f>
        <v>5287.6865455701118</v>
      </c>
      <c r="JZ303" s="468">
        <f>(HY303+HP303)/SUM(HP303:HR303,HY303:IA303)*IL303</f>
        <v>150.78782545131708</v>
      </c>
      <c r="KA303" s="469">
        <f>JH303/(JZ303/BX303)</f>
        <v>5.5707779361688248</v>
      </c>
      <c r="KB303" s="469">
        <f t="shared" ref="KB303:KB366" si="1063">KB302</f>
        <v>2.7822247002359868</v>
      </c>
      <c r="KC303" s="469">
        <f>MIN(AVERAGE(KB303*0.8,VLOOKUP(AZ301,Lookup!$B:$E,4,FALSE)*0.8),$KC$97)</f>
        <v>2.7508898800943946</v>
      </c>
      <c r="KD303" s="469">
        <f>AVERAGE(KB303,VLOOKUP(AZ301,Lookup!$B:$E,4,FALSE))</f>
        <v>3.4386123501179933</v>
      </c>
      <c r="KE303" s="469">
        <f>MIN(MAX(KA303,KC303),KD303)</f>
        <v>3.4386123501179933</v>
      </c>
      <c r="KF303" s="470">
        <f>A303</f>
        <v>3003</v>
      </c>
      <c r="KG303" s="471">
        <f>(JH303/KA303*KE303-JH303)/MAX(IL303:IN303)*1000</f>
        <v>-3.2648348537470215E-2</v>
      </c>
      <c r="KH303" s="472"/>
      <c r="KI303" s="473">
        <f t="shared" ref="KI303:KI314" si="1064">$JM303*IE303-$JG303*HY303/SUM($HY303:$IA303)</f>
        <v>82.023036031794447</v>
      </c>
      <c r="KJ303" s="473">
        <f t="shared" si="1051"/>
        <v>-10.243961854319309</v>
      </c>
      <c r="KK303" s="473">
        <f t="shared" si="1052"/>
        <v>-24.179198481381945</v>
      </c>
      <c r="KL303" s="472" t="str">
        <f>IF(OR(KJ303&gt;0,KK303&gt;0),"Error - Adjust TR","ok")</f>
        <v>ok</v>
      </c>
      <c r="KN303" s="544">
        <f>KM303+(KN302-KM302)</f>
        <v>3002</v>
      </c>
      <c r="KO303" s="541">
        <f t="shared" si="1027"/>
        <v>-4.1976265312006711E-2</v>
      </c>
      <c r="KP303" s="546">
        <f t="shared" si="1028"/>
        <v>-181.06510557713349</v>
      </c>
      <c r="KQ303" s="546">
        <f t="shared" si="1029"/>
        <v>-209.41845979875006</v>
      </c>
      <c r="KR303" s="548">
        <f t="shared" si="1030"/>
        <v>3.7032284642298356</v>
      </c>
      <c r="KS303" s="548">
        <f t="shared" si="1031"/>
        <v>3.2018450211905494</v>
      </c>
      <c r="KT303" s="473">
        <f t="shared" ref="KT303:KT366" si="1065">KT302</f>
        <v>527.01264777847621</v>
      </c>
      <c r="KU303" s="663">
        <f t="shared" si="1053"/>
        <v>15.394544957357514</v>
      </c>
      <c r="KV303" s="117"/>
    </row>
    <row r="304" spans="1:310" s="26" customFormat="1" ht="15">
      <c r="A304" s="561">
        <f t="shared" si="1032"/>
        <v>3004</v>
      </c>
      <c r="B304" s="561">
        <f t="shared" si="1054"/>
        <v>4</v>
      </c>
      <c r="C304" s="561">
        <f t="shared" si="1055"/>
        <v>3</v>
      </c>
      <c r="D304" s="561" t="s">
        <v>741</v>
      </c>
      <c r="E304" s="115">
        <f>INDEX(Input!$1:$1048576,E$93,$C304*2+MIN($B304,1)+5)</f>
        <v>750</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1.9E-2</v>
      </c>
      <c r="W304" s="863">
        <f>INDEX(Input!$1:$1048576,W$93,$C304*2+MIN($B304,1)+5)</f>
        <v>3.9000000000000007E-2</v>
      </c>
      <c r="X304" s="476" t="str">
        <f>INDEX(Input!$1:$1048576,X$93,$C304*2+MIN($B304,1)+5)</f>
        <v>Y</v>
      </c>
      <c r="Y304" s="150">
        <f>INDEX(Input!$1:$1048576,Y$93,$C304*2+MIN($B304,1)+5)</f>
        <v>4225</v>
      </c>
      <c r="Z304" s="30">
        <f>INDEX(Input!$1:$1048576,Z$93,$C304*2+MIN($B304,1)+5)</f>
        <v>0</v>
      </c>
      <c r="AA304" s="115">
        <f>INDEX(Input!$1:$1048576,AA$93,$C304*2+MIN($B304,1)+5)</f>
        <v>0</v>
      </c>
      <c r="AB304" s="118">
        <f>INDEX(Input!$1:$1048576,AB$93,$C304*2+MIN($B304,1)+5)</f>
        <v>0.62</v>
      </c>
      <c r="AC304" s="115">
        <f>INDEX(Input!$1:$1048576,AC$93,$C304*2+MIN($B304,1)+5)</f>
        <v>1000</v>
      </c>
      <c r="AD304" s="118">
        <f>INDEX(Input!$1:$1048576,AD$93,$C304*2+MIN($B304,1)+5)</f>
        <v>0.35</v>
      </c>
      <c r="AE304" s="115">
        <f>INDEX(Input!$1:$1048576,AE$93,$C304*2+MIN($B304,1)+5)</f>
        <v>0</v>
      </c>
      <c r="AF304" s="118">
        <f>INDEX(Input!$1:$1048576,AF$93,$C304*2+MIN($B304,1)+5)</f>
        <v>0.97</v>
      </c>
      <c r="AG304" s="115">
        <f>INDEX(Input!$1:$1048576,AG$93,$C304*2+MIN($B304,1)+5)</f>
        <v>500</v>
      </c>
      <c r="AH304" s="118">
        <f>INDEX(Input!$1:$1048576,AH$93,$C304*2+MIN($B304,1)+5)</f>
        <v>1</v>
      </c>
      <c r="AI304" s="115">
        <f>INDEX(Input!$1:$1048576,AI$93,$C304*2+MIN($B304,1)+5)</f>
        <v>500</v>
      </c>
      <c r="AJ304" s="118">
        <f>INDEX(Input!$1:$1048576,AJ$93,$C304*2+MIN($B304,1)+5)</f>
        <v>0.35</v>
      </c>
      <c r="AK304" s="150">
        <f>ROUND(INDEX(Input!$1:$1048576,AK$93,$C303*2+MIN($B304,1)+5)+(Y304-VLOOKUP($C304*1000+1,$A:$HH,Y$92,FALSE)),0)</f>
        <v>5099</v>
      </c>
      <c r="AL304" s="150">
        <f>ROUND(INDEX(Input!$1:$1048576,AL$93,$C303*2+MIN($B304,1)+5)-(Y304-VLOOKUP($C304*1000+1,$A:$HH,Y$92,FALSE))/36,0)</f>
        <v>5099</v>
      </c>
      <c r="AM304" s="32" t="str">
        <f t="shared" si="1033"/>
        <v>3.5/4/4.5/4.5</v>
      </c>
      <c r="AN304" s="32" t="str">
        <f t="shared" si="1034"/>
        <v>$500 + 0/0/0/1.9/3.9</v>
      </c>
      <c r="AO304" s="32" t="str">
        <f t="shared" si="1035"/>
        <v>0/0/0/1.9/3.9</v>
      </c>
      <c r="AP304" s="32" t="str">
        <f t="shared" si="989"/>
        <v>0/0.9/1.9/3.9</v>
      </c>
      <c r="AQ304" s="536">
        <f t="shared" si="988"/>
        <v>850.24098379542818</v>
      </c>
      <c r="AR304" s="32"/>
      <c r="AS304" s="302"/>
      <c r="AT304" s="3">
        <f t="shared" si="1056"/>
        <v>4</v>
      </c>
      <c r="AU304" s="41" t="s">
        <v>121</v>
      </c>
      <c r="AV304" s="41" t="s">
        <v>116</v>
      </c>
      <c r="AW304" s="41" t="str">
        <f>INDEX(Input!$1:$1048576,AW$93,$C304*2+6)</f>
        <v>Kia</v>
      </c>
      <c r="AX304" s="41" t="str">
        <f>INDEX(Input!$1:$1048576,AX$93,$C304*2+6)</f>
        <v>Kia-LR - L3</v>
      </c>
      <c r="AY304" s="41" t="str">
        <f>IF(LEN(D304)=0,"",INDEX(Input!$1:$1048576,AY$93,$C304*2+6))</f>
        <v>Compact Conventional/Sporty Car (43)</v>
      </c>
      <c r="AZ304" s="41" t="str">
        <f>INDEX(Input!$1:$1048576,AZ$93,$C304*2+6)</f>
        <v>Kia Forte</v>
      </c>
      <c r="BA304" s="3">
        <f>INDEX(Input!$1:$1048576,BA$93,$C304*2+6)</f>
        <v>2020</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19695</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990"/>
        <v>1100</v>
      </c>
      <c r="CJ304" s="16" t="str">
        <f>INDEX(Input!$1:$1048576,CJ$93,$C304*2+6)</f>
        <v>N</v>
      </c>
      <c r="CK304" s="1">
        <f t="shared" si="991"/>
        <v>3.4999999999999996E-2</v>
      </c>
      <c r="CL304" s="1">
        <f t="shared" si="992"/>
        <v>0.04</v>
      </c>
      <c r="CM304" s="1">
        <f t="shared" si="993"/>
        <v>4.4499999999999998E-2</v>
      </c>
      <c r="CN304" s="1">
        <f t="shared" si="994"/>
        <v>4.4499999999999998E-2</v>
      </c>
      <c r="CO304" s="1" t="str">
        <f t="shared" si="995"/>
        <v>Market</v>
      </c>
      <c r="CP304" s="304">
        <f t="shared" si="996"/>
        <v>850</v>
      </c>
      <c r="CQ304" s="1">
        <f t="shared" si="997"/>
        <v>0</v>
      </c>
      <c r="CR304" s="1">
        <f t="shared" si="998"/>
        <v>0</v>
      </c>
      <c r="CS304" s="1">
        <f t="shared" si="999"/>
        <v>0</v>
      </c>
      <c r="CT304" s="1">
        <f t="shared" si="1000"/>
        <v>1.9E-2</v>
      </c>
      <c r="CU304" s="1">
        <f t="shared" si="1001"/>
        <v>3.9000000000000007E-2</v>
      </c>
      <c r="CV304" s="304">
        <f t="shared" si="1002"/>
        <v>4400</v>
      </c>
      <c r="CW304" s="20" t="s">
        <v>122</v>
      </c>
      <c r="CX304" s="20" t="s">
        <v>122</v>
      </c>
      <c r="CY304" s="20" t="s">
        <v>122</v>
      </c>
      <c r="CZ304" s="20" t="s">
        <v>122</v>
      </c>
      <c r="DA304" s="20" t="s">
        <v>122</v>
      </c>
      <c r="DB304" s="503">
        <f t="shared" si="1003"/>
        <v>500</v>
      </c>
      <c r="DC304" s="127">
        <v>0</v>
      </c>
      <c r="DD304" s="127">
        <v>0</v>
      </c>
      <c r="DE304" s="127">
        <v>0</v>
      </c>
      <c r="DF304" s="127">
        <v>0</v>
      </c>
      <c r="DG304" s="127">
        <v>0</v>
      </c>
      <c r="DH304" s="127">
        <v>0</v>
      </c>
      <c r="DI304" s="127">
        <v>0</v>
      </c>
      <c r="DJ304" s="127">
        <v>0</v>
      </c>
      <c r="DK304" s="127">
        <v>0</v>
      </c>
      <c r="DL304" s="127">
        <v>0</v>
      </c>
      <c r="DM304" s="304">
        <f>INDEX(Input!$1:$1048576,DM$93,$C304*2+6)</f>
        <v>20731.578947368424</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3.276799944486132E-2</v>
      </c>
      <c r="DZ304" s="7">
        <v>0</v>
      </c>
      <c r="EA304" s="7">
        <v>0.58293157727617129</v>
      </c>
      <c r="EB304" s="7">
        <v>0</v>
      </c>
      <c r="EC304" s="7">
        <v>0</v>
      </c>
      <c r="ED304" s="7">
        <v>0</v>
      </c>
      <c r="EE304" s="7">
        <v>0</v>
      </c>
      <c r="EF304" s="7">
        <v>0</v>
      </c>
      <c r="EG304" s="7">
        <v>0</v>
      </c>
      <c r="EH304" s="7">
        <v>1.4112804397281275E-2</v>
      </c>
      <c r="EI304" s="7">
        <v>1.7904018453396495E-2</v>
      </c>
      <c r="EJ304" s="7">
        <v>0.2569781691759121</v>
      </c>
      <c r="EK304" s="7">
        <v>0.65998982570759179</v>
      </c>
      <c r="EL304" s="7">
        <v>5.1015182265818311E-2</v>
      </c>
      <c r="EM304" s="7">
        <v>5.3751159322187769E-2</v>
      </c>
      <c r="EN304" s="7">
        <v>5.8252483499235432E-2</v>
      </c>
      <c r="EO304" s="7">
        <v>0.56871370370336816</v>
      </c>
      <c r="EP304" s="7">
        <v>0.27314368217405022</v>
      </c>
      <c r="EQ304" s="7">
        <v>5.9296203694374376E-2</v>
      </c>
      <c r="ER304" s="7">
        <v>4.0593926928971701E-2</v>
      </c>
      <c r="ES304" s="7">
        <v>0.33054926395677969</v>
      </c>
      <c r="ET304" s="7">
        <v>0.38430042327896746</v>
      </c>
      <c r="EU304" s="6">
        <v>1200</v>
      </c>
      <c r="EV304" s="6">
        <v>0</v>
      </c>
      <c r="EW304" s="6">
        <v>1200</v>
      </c>
      <c r="EX304" s="6">
        <v>0</v>
      </c>
      <c r="EY304" s="6">
        <v>2724.4386241772977</v>
      </c>
      <c r="EZ304" s="6">
        <v>3451.75</v>
      </c>
      <c r="FA304" s="6">
        <v>0</v>
      </c>
      <c r="FB304" s="6">
        <v>0</v>
      </c>
      <c r="FC304" s="6">
        <v>0</v>
      </c>
      <c r="FD304" s="6">
        <v>0</v>
      </c>
      <c r="FE304" s="6">
        <v>0</v>
      </c>
      <c r="FF304" s="6">
        <v>0</v>
      </c>
      <c r="FG304" s="6">
        <v>0</v>
      </c>
      <c r="FH304" s="6">
        <v>1154.3296071184766</v>
      </c>
      <c r="FI304" s="6">
        <v>1531.4299904380621</v>
      </c>
      <c r="FJ304" s="6">
        <v>2070.7205842538215</v>
      </c>
      <c r="FK304" s="6">
        <v>1746.9903521590443</v>
      </c>
      <c r="FL304" s="6">
        <v>893.91433563489397</v>
      </c>
      <c r="FM304" s="6">
        <v>1774.4386241772977</v>
      </c>
      <c r="FN304" s="6">
        <v>0</v>
      </c>
      <c r="FO304" s="6">
        <v>0</v>
      </c>
      <c r="FP304" s="6">
        <v>0</v>
      </c>
      <c r="FQ304" s="6">
        <v>0</v>
      </c>
      <c r="FR304" s="6">
        <v>0</v>
      </c>
      <c r="FS304" s="6">
        <v>0</v>
      </c>
      <c r="FT304" s="7">
        <v>0.61569957672103259</v>
      </c>
      <c r="FU304" s="7">
        <v>5.3751159322187769E-2</v>
      </c>
      <c r="FV304" s="7">
        <v>0.33054926395677969</v>
      </c>
      <c r="FW304" s="6">
        <v>1200</v>
      </c>
      <c r="FX304" s="6">
        <v>2724.4386241772977</v>
      </c>
      <c r="FY304" s="6">
        <v>3451.75</v>
      </c>
      <c r="FZ304" s="6">
        <v>2202.331475193394</v>
      </c>
      <c r="GA304" s="6">
        <v>2026.2546484797294</v>
      </c>
      <c r="GB304" s="6">
        <v>17668.745351520272</v>
      </c>
      <c r="GC304" s="7">
        <v>4.8391397220736806E-2</v>
      </c>
      <c r="GD304" s="7">
        <v>4.6836217850798993E-2</v>
      </c>
      <c r="GE304" s="7"/>
      <c r="GF304" s="7"/>
      <c r="GG304" s="7">
        <v>-3.2137517394752631E-2</v>
      </c>
      <c r="GH304" s="42">
        <v>3.5947286017310573</v>
      </c>
      <c r="GI304" s="6">
        <v>7505.1105461171201</v>
      </c>
      <c r="GJ304" s="14">
        <v>0.51074630601039561</v>
      </c>
      <c r="GK304" s="14">
        <v>0.5082951978616097</v>
      </c>
      <c r="GL304" s="14">
        <v>0.4892536939896045</v>
      </c>
      <c r="GM304" s="14">
        <v>0.49170480213839041</v>
      </c>
      <c r="GO304" s="5">
        <v>338.16872463277008</v>
      </c>
      <c r="GP304" s="5">
        <v>315.27501390194027</v>
      </c>
      <c r="GQ304" s="5">
        <v>519.39401419935825</v>
      </c>
      <c r="GR304" s="5">
        <v>400.22503305126548</v>
      </c>
      <c r="GS304" s="5">
        <v>330.05398937228341</v>
      </c>
      <c r="GT304" s="5">
        <v>280.96783041547633</v>
      </c>
      <c r="GU304" s="5">
        <v>254.29573314828914</v>
      </c>
      <c r="GV304" s="39" t="s">
        <v>392</v>
      </c>
      <c r="GW304" s="5">
        <v>465.98611111111109</v>
      </c>
      <c r="GX304" s="5">
        <v>349.48958333333331</v>
      </c>
      <c r="GY304" s="5">
        <v>279.59166666666664</v>
      </c>
      <c r="GZ304" s="5">
        <v>246.7101413400797</v>
      </c>
      <c r="HA304" s="5">
        <v>228.52966821545914</v>
      </c>
      <c r="HB304" s="39">
        <v>259.16725926456581</v>
      </c>
      <c r="HC304" s="5">
        <v>132.10156249999997</v>
      </c>
      <c r="HD304" s="5">
        <v>133.25251279239762</v>
      </c>
      <c r="HE304" s="5">
        <v>141.76872680499321</v>
      </c>
      <c r="HF304" s="5">
        <v>137.88145559210525</v>
      </c>
      <c r="HG304" s="5">
        <v>141.41639254385964</v>
      </c>
      <c r="HH304" s="39">
        <v>136.1174998062927</v>
      </c>
      <c r="HI304" s="16"/>
      <c r="HJ304" s="19" t="str">
        <f t="shared" si="1057"/>
        <v>On</v>
      </c>
      <c r="HK304" s="1" t="str">
        <f t="shared" si="1057"/>
        <v>On</v>
      </c>
      <c r="HL304" s="16"/>
      <c r="HM304" s="639">
        <f t="shared" si="1004"/>
        <v>2.8970655363290673E-2</v>
      </c>
      <c r="HN304" s="639">
        <f t="shared" si="1005"/>
        <v>2.1835179285533651E-3</v>
      </c>
      <c r="HO304" s="639">
        <f t="shared" si="1006"/>
        <v>1.5544129749146325E-2</v>
      </c>
      <c r="HP304" s="644">
        <f>(FT304*$GD304-HM304)/$JF304*INDEX(Input!$1:$1048576,$JG$93,$C304*2+6)</f>
        <v>-5.5107814305436023</v>
      </c>
      <c r="HQ304" s="644">
        <f>(FU304*$GD304-HN304)/$JF304*INDEX(Input!$1:$1048576,$JG$93,$C304*2+6)</f>
        <v>13.774620674380779</v>
      </c>
      <c r="HR304" s="644">
        <f>(FV304*$GD304-HO304)/$JF304*INDEX(Input!$1:$1048576,$JG$93,$C304*2+6)</f>
        <v>-2.5757541016796006</v>
      </c>
      <c r="HS304" s="644">
        <f t="shared" si="1007"/>
        <v>-0.51515082033592019</v>
      </c>
      <c r="HT304" s="644">
        <f t="shared" si="1008"/>
        <v>72.488448350263084</v>
      </c>
      <c r="HU304" s="644">
        <f t="shared" si="1009"/>
        <v>0.51515082033592019</v>
      </c>
      <c r="HV304" s="648">
        <f t="shared" si="1010"/>
        <v>0</v>
      </c>
      <c r="HW304" s="648">
        <f t="shared" si="1011"/>
        <v>0</v>
      </c>
      <c r="HX304" s="648">
        <f t="shared" si="1012"/>
        <v>0</v>
      </c>
      <c r="HY304" s="644">
        <f>INDEX(Input!$1:$1048576,HY$93,$C304*2+6)*INDEX(Input!$1:$1048576,$JG$93,$C304*2+6)</f>
        <v>488.99999999999994</v>
      </c>
      <c r="HZ304" s="644">
        <f>INDEX(Input!$1:$1048576,HZ$93,$C304*2+6)*INDEX(Input!$1:$1048576,$JG$93,$C304*2+6)</f>
        <v>734</v>
      </c>
      <c r="IA304" s="644">
        <f>INDEX(Input!$1:$1048576,IA$93,$C304*2+6)*INDEX(Input!$1:$1048576,$JG$93,$C304*2+6)</f>
        <v>703</v>
      </c>
      <c r="IB304" s="644">
        <f t="shared" si="1036"/>
        <v>482.97406774912065</v>
      </c>
      <c r="IC304" s="644">
        <f t="shared" si="1037"/>
        <v>820.26306902464387</v>
      </c>
      <c r="ID304" s="644">
        <f>IF(AND(INDEX(Input!$1:$1048576,IA$93,$C304*2+7)="TOS",Y304&lt;=INDEX(Y:Y,MATCH(C304*1000+2,A:A))),0,1)*MAX(IA304+HR304+HU304+HX304,0%)</f>
        <v>700.93939671865633</v>
      </c>
      <c r="IE304" s="128">
        <f t="shared" si="1058"/>
        <v>0.24098379542819204</v>
      </c>
      <c r="IF304" s="128">
        <f t="shared" si="1059"/>
        <v>0.40927685526547741</v>
      </c>
      <c r="IG304" s="128">
        <f t="shared" si="1014"/>
        <v>0.34973934930633044</v>
      </c>
      <c r="IH304" s="21"/>
      <c r="II304" s="19">
        <f t="shared" si="1015"/>
        <v>1200</v>
      </c>
      <c r="IJ304" s="19">
        <f t="shared" si="1016"/>
        <v>2224.493581030405</v>
      </c>
      <c r="IK304" s="19">
        <f t="shared" si="1017"/>
        <v>3451.75</v>
      </c>
      <c r="IL304" s="19">
        <f t="shared" si="1039"/>
        <v>0</v>
      </c>
      <c r="IM304" s="19">
        <f t="shared" si="1018"/>
        <v>499.94504314689266</v>
      </c>
      <c r="IN304" s="19">
        <f t="shared" si="1019"/>
        <v>0</v>
      </c>
      <c r="IO304" s="39">
        <f t="shared" si="1020"/>
        <v>0</v>
      </c>
      <c r="IP304" s="39">
        <f t="shared" si="1021"/>
        <v>0</v>
      </c>
      <c r="IQ304" s="39">
        <f t="shared" si="1022"/>
        <v>0</v>
      </c>
      <c r="IR304" s="39">
        <v>0</v>
      </c>
      <c r="IS304" s="39">
        <v>0</v>
      </c>
      <c r="IT304" s="39">
        <v>0</v>
      </c>
      <c r="IU304" s="39">
        <v>0</v>
      </c>
      <c r="IV304" s="39">
        <v>0</v>
      </c>
      <c r="IW304" s="39">
        <v>0</v>
      </c>
      <c r="IX304" s="39">
        <f>INDEX(Input!$1:$1048576,IX$93,$C304*2+6)+INDEX(Input!$1:$1048576,IX$94,$C304*2+6)</f>
        <v>1600</v>
      </c>
      <c r="IY304" s="39">
        <f>INDEX(Input!$1:$1048576,IY$93,$C304*2+6)+INDEX(Input!$1:$1048576,IY$94,$C304*2+6)</f>
        <v>2503.5492916397525</v>
      </c>
      <c r="IZ304" s="39">
        <f>INDEX(Input!$1:$1048576,IZ$93,$C304*2+6)+INDEX(Input!$1:$1048576,IZ$94,$C304*2+6)</f>
        <v>5773.7109265464023</v>
      </c>
      <c r="JA304" s="19">
        <f t="shared" si="1040"/>
        <v>1600</v>
      </c>
      <c r="JB304" s="19">
        <f t="shared" si="1041"/>
        <v>3003.4943347866451</v>
      </c>
      <c r="JC304" s="19">
        <f t="shared" si="1042"/>
        <v>5773.7109265464023</v>
      </c>
      <c r="JD304" s="19">
        <f t="shared" si="1043"/>
        <v>3634.1286913674512</v>
      </c>
      <c r="JE304" s="21"/>
      <c r="JF304" s="1">
        <f t="shared" si="1023"/>
        <v>4.6698303040990354E-2</v>
      </c>
      <c r="JG304" s="15">
        <f>INDEX(Input!$1:$1048576,JG$93,$C304*2+6)/(1+VLOOKUP(C304*1000+INDEX(Input!$1:$1048576,JG$93+1,$C304*2+6),$A:$KK,$JK$92,FALSE))</f>
        <v>1926</v>
      </c>
      <c r="JH304" s="1">
        <f t="shared" si="1044"/>
        <v>2.9533152347650969E-3</v>
      </c>
      <c r="JI304" s="1">
        <f t="shared" si="1045"/>
        <v>3.7636785228589348E-2</v>
      </c>
      <c r="JJ304" s="1">
        <f t="shared" si="1046"/>
        <v>0</v>
      </c>
      <c r="JK304" s="1">
        <f t="shared" si="1047"/>
        <v>4.0590100463354442E-2</v>
      </c>
      <c r="JL304" s="15">
        <f t="shared" si="1048"/>
        <v>78.17653349242066</v>
      </c>
      <c r="JM304" s="15">
        <f t="shared" si="1049"/>
        <v>2004.1765334924207</v>
      </c>
      <c r="JN304" s="21"/>
      <c r="JO304" s="19">
        <f>INDEX(Input!$1:$1048576,JO$93,$C304*2+6)</f>
        <v>5908.5</v>
      </c>
      <c r="JP304" s="19">
        <f>INDEX(Input!$1:$1048576,JP$93,$C304*2+6)</f>
        <v>3467.7694503767912</v>
      </c>
      <c r="JQ304" s="39">
        <f t="shared" si="1060"/>
        <v>2274.3713086325488</v>
      </c>
      <c r="JR304" s="39">
        <f t="shared" si="1061"/>
        <v>166.35924099066006</v>
      </c>
      <c r="JS304" s="39">
        <f t="shared" si="1062"/>
        <v>7.2834354429301653</v>
      </c>
      <c r="JT304" s="39">
        <f t="shared" si="1050"/>
        <v>0.60451148150446543</v>
      </c>
      <c r="JU304" s="385">
        <f>(JQ304*JM304-INDEX(Input!$1:$1048576,Input!A$18,$C304*2+6)*JL304*INDEX(Input!$1:$1048576,Input!A$19,$C304*2+6))/1000000</f>
        <v>4.558241605209802</v>
      </c>
      <c r="JV304" s="39">
        <f t="shared" si="1026"/>
        <v>-0.14260543336449771</v>
      </c>
      <c r="JW304" s="1">
        <f>JV304/(JU304-JV304)</f>
        <v>-3.033611436285915E-2</v>
      </c>
      <c r="JX304" s="19">
        <f t="shared" ref="JX304:JX367" si="1066">IF(JL304=0,0,JT304/JL304)*1000000</f>
        <v>7732.6462878156881</v>
      </c>
      <c r="JZ304" s="468">
        <f>(HZ304+HQ304)/SUM(HP304:HR304,HY304:IA304)*IM304</f>
        <v>193.5334269920148</v>
      </c>
      <c r="KA304" s="469">
        <f>JH304/(JZ304/BX304)</f>
        <v>0.30054520530501688</v>
      </c>
      <c r="KB304" s="469">
        <f t="shared" si="1063"/>
        <v>2.7822247002359868</v>
      </c>
      <c r="KC304" s="469">
        <f>MIN(KE303+0.5,KE303*1.1)</f>
        <v>3.782473585129793</v>
      </c>
      <c r="KD304" s="469">
        <f>KC304+2</f>
        <v>5.782473585129793</v>
      </c>
      <c r="KE304" s="469">
        <f>MIN(MAX(KA304,KC304),KD304)</f>
        <v>3.782473585129793</v>
      </c>
      <c r="KF304" s="470">
        <f>A304</f>
        <v>3004</v>
      </c>
      <c r="KG304" s="471">
        <f>IF(HK304="Off",0,(JH304/KA304*KE304-JH304)/MAX(IL304:IN304)*1000)</f>
        <v>6.8438040876153933E-2</v>
      </c>
      <c r="KH304" s="472"/>
      <c r="KI304" s="473">
        <f t="shared" si="1064"/>
        <v>-6.0259322508793502</v>
      </c>
      <c r="KJ304" s="473">
        <f t="shared" si="1051"/>
        <v>86.263069024643755</v>
      </c>
      <c r="KK304" s="473">
        <f t="shared" si="1052"/>
        <v>-2.0606032813437878</v>
      </c>
      <c r="KL304" s="472" t="str">
        <f>IF(OR(KI304&gt;0,KK304&gt;0),"Error - Adjust TR","ok")</f>
        <v>ok</v>
      </c>
      <c r="KN304" s="544">
        <f t="shared" ref="KN304:KN367" si="1067">KM304+(KN303-KM303)</f>
        <v>3002</v>
      </c>
      <c r="KO304" s="541">
        <f t="shared" si="1027"/>
        <v>-2.71337613895829E-2</v>
      </c>
      <c r="KP304" s="546">
        <f t="shared" si="1028"/>
        <v>-119.9685371293599</v>
      </c>
      <c r="KQ304" s="546">
        <f t="shared" si="1029"/>
        <v>-86.952526957921691</v>
      </c>
      <c r="KR304" s="548">
        <f t="shared" si="1030"/>
        <v>3.6128847700391118</v>
      </c>
      <c r="KS304" s="548">
        <f t="shared" si="1031"/>
        <v>4.9847027549674774</v>
      </c>
      <c r="KT304" s="473">
        <f t="shared" si="1065"/>
        <v>527.01264777847621</v>
      </c>
      <c r="KU304" s="663">
        <f t="shared" si="1053"/>
        <v>15.190198195866474</v>
      </c>
      <c r="KV304" s="117"/>
    </row>
    <row r="305" spans="1:308" s="26" customFormat="1" ht="15">
      <c r="A305" s="561">
        <f t="shared" si="1032"/>
        <v>3005</v>
      </c>
      <c r="B305" s="561">
        <f t="shared" si="1054"/>
        <v>5</v>
      </c>
      <c r="C305" s="561">
        <f t="shared" si="1055"/>
        <v>3</v>
      </c>
      <c r="D305" s="561" t="s">
        <v>568</v>
      </c>
      <c r="E305" s="115">
        <f>INDEX(Input!$1:$1048576,E$93,$C305*2+MIN($B305,1)+5)</f>
        <v>750</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1.9E-2</v>
      </c>
      <c r="W305" s="862">
        <f>INDEX(Input!$1:$1048576,W$93,$C305*2+MIN($B305,1)+5)</f>
        <v>3.9000000000000007E-2</v>
      </c>
      <c r="X305" s="118" t="str">
        <f>INDEX(Input!$1:$1048576,X$93,$C305*2+MIN($B305,1)+5)</f>
        <v>Y</v>
      </c>
      <c r="Y305" s="475">
        <f>INDEX(Input!$1:$1048576,Y$93,$C305*2+MIN($B305,1)+5)+500</f>
        <v>4725</v>
      </c>
      <c r="Z305" s="30">
        <f>INDEX(Input!$1:$1048576,Z$93,$C305*2+MIN($B305,1)+5)</f>
        <v>0</v>
      </c>
      <c r="AA305" s="115">
        <f>INDEX(Input!$1:$1048576,AA$93,$C305*2+MIN($B305,1)+5)</f>
        <v>0</v>
      </c>
      <c r="AB305" s="118">
        <f>INDEX(Input!$1:$1048576,AB$93,$C305*2+MIN($B305,1)+5)</f>
        <v>0.62</v>
      </c>
      <c r="AC305" s="115">
        <f>INDEX(Input!$1:$1048576,AC$93,$C305*2+MIN($B305,1)+5)</f>
        <v>1000</v>
      </c>
      <c r="AD305" s="118">
        <f>INDEX(Input!$1:$1048576,AD$93,$C305*2+MIN($B305,1)+5)</f>
        <v>0.35</v>
      </c>
      <c r="AE305" s="115">
        <f>INDEX(Input!$1:$1048576,AE$93,$C305*2+MIN($B305,1)+5)</f>
        <v>0</v>
      </c>
      <c r="AF305" s="118">
        <f>INDEX(Input!$1:$1048576,AF$93,$C305*2+MIN($B305,1)+5)</f>
        <v>0.97</v>
      </c>
      <c r="AG305" s="115">
        <f>INDEX(Input!$1:$1048576,AG$93,$C305*2+MIN($B305,1)+5)</f>
        <v>500</v>
      </c>
      <c r="AH305" s="118">
        <f>INDEX(Input!$1:$1048576,AH$93,$C305*2+MIN($B305,1)+5)</f>
        <v>1</v>
      </c>
      <c r="AI305" s="115">
        <f>INDEX(Input!$1:$1048576,AI$93,$C305*2+MIN($B305,1)+5)</f>
        <v>500</v>
      </c>
      <c r="AJ305" s="118">
        <f>INDEX(Input!$1:$1048576,AJ$93,$C305*2+MIN($B305,1)+5)</f>
        <v>0.35</v>
      </c>
      <c r="AK305" s="150">
        <f>ROUND(INDEX(Input!$1:$1048576,AK$93,$C304*2+MIN($B305,1)+5)+(Y305-VLOOKUP($C305*1000+1,$A:$HH,Y$92,FALSE)),0)</f>
        <v>5599</v>
      </c>
      <c r="AL305" s="150">
        <f>ROUND(INDEX(Input!$1:$1048576,AL$93,$C304*2+MIN($B305,1)+5)-(Y305-VLOOKUP($C305*1000+1,$A:$HH,Y$92,FALSE))/36,0)</f>
        <v>5085</v>
      </c>
      <c r="AM305" s="32" t="str">
        <f t="shared" si="1033"/>
        <v>std/std/std/std</v>
      </c>
      <c r="AN305" s="32" t="str">
        <f t="shared" si="1034"/>
        <v>$0 + 0/0/0/1.9/3.9</v>
      </c>
      <c r="AO305" s="32" t="str">
        <f t="shared" si="1035"/>
        <v>0/0/0/1.9/3.9</v>
      </c>
      <c r="AP305" s="32" t="str">
        <f t="shared" si="989"/>
        <v>0/0.9/1.9/3.9</v>
      </c>
      <c r="AQ305" s="536">
        <f t="shared" si="988"/>
        <v>850.22438102995966</v>
      </c>
      <c r="AR305" s="32"/>
      <c r="AS305" s="302"/>
      <c r="AT305" s="3">
        <f t="shared" si="1056"/>
        <v>5</v>
      </c>
      <c r="AU305" s="41" t="s">
        <v>121</v>
      </c>
      <c r="AV305" s="41" t="s">
        <v>116</v>
      </c>
      <c r="AW305" s="41" t="str">
        <f>INDEX(Input!$1:$1048576,AW$93,$C305*2+6)</f>
        <v>Kia</v>
      </c>
      <c r="AX305" s="41" t="str">
        <f>INDEX(Input!$1:$1048576,AX$93,$C305*2+6)</f>
        <v>Kia-LR - L3</v>
      </c>
      <c r="AY305" s="41" t="str">
        <f>IF(LEN(D305)=0,"",INDEX(Input!$1:$1048576,AY$93,$C305*2+6))</f>
        <v>Compact Conventional/Sporty Car (43)</v>
      </c>
      <c r="AZ305" s="41" t="str">
        <f>INDEX(Input!$1:$1048576,AZ$93,$C305*2+6)</f>
        <v>Kia Forte</v>
      </c>
      <c r="BA305" s="3">
        <f>INDEX(Input!$1:$1048576,BA$93,$C305*2+6)</f>
        <v>2020</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19695</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990"/>
        <v>1100</v>
      </c>
      <c r="CJ305" s="16" t="str">
        <f>INDEX(Input!$1:$1048576,CJ$93,$C305*2+6)</f>
        <v>N</v>
      </c>
      <c r="CK305" s="1" t="str">
        <f t="shared" si="991"/>
        <v>Market</v>
      </c>
      <c r="CL305" s="1" t="str">
        <f t="shared" si="992"/>
        <v>Market</v>
      </c>
      <c r="CM305" s="1" t="str">
        <f t="shared" si="993"/>
        <v>Market</v>
      </c>
      <c r="CN305" s="1" t="str">
        <f t="shared" si="994"/>
        <v>Market</v>
      </c>
      <c r="CO305" s="1" t="str">
        <f t="shared" si="995"/>
        <v>Market</v>
      </c>
      <c r="CP305" s="304">
        <f t="shared" si="996"/>
        <v>350</v>
      </c>
      <c r="CQ305" s="1">
        <f t="shared" si="997"/>
        <v>0</v>
      </c>
      <c r="CR305" s="1">
        <f t="shared" si="998"/>
        <v>0</v>
      </c>
      <c r="CS305" s="1">
        <f t="shared" si="999"/>
        <v>0</v>
      </c>
      <c r="CT305" s="1">
        <f t="shared" si="1000"/>
        <v>1.9E-2</v>
      </c>
      <c r="CU305" s="1">
        <f t="shared" si="1001"/>
        <v>3.9000000000000007E-2</v>
      </c>
      <c r="CV305" s="304">
        <f t="shared" si="1002"/>
        <v>4900</v>
      </c>
      <c r="CW305" s="20" t="s">
        <v>122</v>
      </c>
      <c r="CX305" s="20" t="s">
        <v>122</v>
      </c>
      <c r="CY305" s="20" t="s">
        <v>122</v>
      </c>
      <c r="CZ305" s="20" t="s">
        <v>122</v>
      </c>
      <c r="DA305" s="20" t="s">
        <v>122</v>
      </c>
      <c r="DB305" s="503">
        <f t="shared" si="1003"/>
        <v>500</v>
      </c>
      <c r="DC305" s="127">
        <v>0</v>
      </c>
      <c r="DD305" s="127">
        <v>0</v>
      </c>
      <c r="DE305" s="127">
        <v>0</v>
      </c>
      <c r="DF305" s="127">
        <v>0</v>
      </c>
      <c r="DG305" s="127">
        <v>0</v>
      </c>
      <c r="DH305" s="127">
        <v>0</v>
      </c>
      <c r="DI305" s="127">
        <v>0</v>
      </c>
      <c r="DJ305" s="127">
        <v>0</v>
      </c>
      <c r="DK305" s="127">
        <v>0</v>
      </c>
      <c r="DL305" s="127">
        <v>0</v>
      </c>
      <c r="DM305" s="304">
        <f>INDEX(Input!$1:$1048576,DM$93,$C305*2+6)</f>
        <v>20731.578947368424</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3.1174345710286509E-2</v>
      </c>
      <c r="DZ305" s="7">
        <v>0</v>
      </c>
      <c r="EA305" s="7">
        <v>0.55553056885751928</v>
      </c>
      <c r="EB305" s="7">
        <v>0</v>
      </c>
      <c r="EC305" s="7">
        <v>0</v>
      </c>
      <c r="ED305" s="7">
        <v>0</v>
      </c>
      <c r="EE305" s="7">
        <v>0</v>
      </c>
      <c r="EF305" s="7">
        <v>0</v>
      </c>
      <c r="EG305" s="7">
        <v>0</v>
      </c>
      <c r="EH305" s="7">
        <v>1.4101859281946639E-2</v>
      </c>
      <c r="EI305" s="7">
        <v>1.7903043090047435E-2</v>
      </c>
      <c r="EJ305" s="7">
        <v>0.25663017208343031</v>
      </c>
      <c r="EK305" s="7">
        <v>0.66027775168242353</v>
      </c>
      <c r="EL305" s="7">
        <v>5.1087173862152037E-2</v>
      </c>
      <c r="EM305" s="7">
        <v>4.3953010170854734E-2</v>
      </c>
      <c r="EN305" s="7">
        <v>6.0098116793632604E-2</v>
      </c>
      <c r="EO305" s="7">
        <v>0.56691151399113804</v>
      </c>
      <c r="EP305" s="7">
        <v>0.27577454230215592</v>
      </c>
      <c r="EQ305" s="7">
        <v>5.7686072119100505E-2</v>
      </c>
      <c r="ER305" s="7">
        <v>3.9529754793972915E-2</v>
      </c>
      <c r="ES305" s="7">
        <v>0.36934207526133955</v>
      </c>
      <c r="ET305" s="7">
        <v>0.41329508543219423</v>
      </c>
      <c r="EU305" s="6">
        <v>1200</v>
      </c>
      <c r="EV305" s="6">
        <v>0</v>
      </c>
      <c r="EW305" s="6">
        <v>1200</v>
      </c>
      <c r="EX305" s="6">
        <v>0</v>
      </c>
      <c r="EY305" s="6">
        <v>2224.2712795161897</v>
      </c>
      <c r="EZ305" s="6">
        <v>3951.75</v>
      </c>
      <c r="FA305" s="6">
        <v>0</v>
      </c>
      <c r="FB305" s="6">
        <v>0</v>
      </c>
      <c r="FC305" s="6">
        <v>0</v>
      </c>
      <c r="FD305" s="6">
        <v>0</v>
      </c>
      <c r="FE305" s="6">
        <v>0</v>
      </c>
      <c r="FF305" s="6">
        <v>0</v>
      </c>
      <c r="FG305" s="6">
        <v>0</v>
      </c>
      <c r="FH305" s="6">
        <v>1154.3317226372819</v>
      </c>
      <c r="FI305" s="6">
        <v>1531.4299904380621</v>
      </c>
      <c r="FJ305" s="6">
        <v>2070.7205842538219</v>
      </c>
      <c r="FK305" s="6">
        <v>1746.9903521590436</v>
      </c>
      <c r="FL305" s="6">
        <v>893.91433563489352</v>
      </c>
      <c r="FM305" s="6">
        <v>1774.2712795161897</v>
      </c>
      <c r="FN305" s="6">
        <v>0</v>
      </c>
      <c r="FO305" s="6">
        <v>0</v>
      </c>
      <c r="FP305" s="6">
        <v>0</v>
      </c>
      <c r="FQ305" s="6">
        <v>0</v>
      </c>
      <c r="FR305" s="6">
        <v>0</v>
      </c>
      <c r="FS305" s="6">
        <v>0</v>
      </c>
      <c r="FT305" s="7">
        <v>0.58670491456780582</v>
      </c>
      <c r="FU305" s="7">
        <v>4.3953010170854734E-2</v>
      </c>
      <c r="FV305" s="7">
        <v>0.36934207526133955</v>
      </c>
      <c r="FW305" s="6">
        <v>1199.9999999999998</v>
      </c>
      <c r="FX305" s="6">
        <v>2224.2712795161897</v>
      </c>
      <c r="FY305" s="6">
        <v>3951.75</v>
      </c>
      <c r="FZ305" s="6">
        <v>2202.331475193394</v>
      </c>
      <c r="GA305" s="6">
        <v>2261.3568615666809</v>
      </c>
      <c r="GB305" s="6">
        <v>17433.643138433319</v>
      </c>
      <c r="GC305" s="7">
        <v>4.8391397220736806E-2</v>
      </c>
      <c r="GD305" s="7">
        <v>4.79374566426094E-2</v>
      </c>
      <c r="GE305" s="7"/>
      <c r="GF305" s="7"/>
      <c r="GG305" s="7">
        <v>-9.3806049049743739E-3</v>
      </c>
      <c r="GH305" s="42">
        <v>-3.1300263319764228</v>
      </c>
      <c r="GI305" s="6">
        <v>-4030.9224712924174</v>
      </c>
      <c r="GJ305" s="14">
        <v>0.5107463060103955</v>
      </c>
      <c r="GK305" s="14">
        <v>0.5082951978616097</v>
      </c>
      <c r="GL305" s="14">
        <v>0.4892536939896045</v>
      </c>
      <c r="GM305" s="14">
        <v>0.49170480213839035</v>
      </c>
      <c r="GO305" s="5">
        <v>338.16872463277008</v>
      </c>
      <c r="GP305" s="5">
        <v>315.27501390194027</v>
      </c>
      <c r="GQ305" s="5">
        <v>527.27910984145694</v>
      </c>
      <c r="GR305" s="5">
        <v>404.20319246551543</v>
      </c>
      <c r="GS305" s="5">
        <v>334.50205195691484</v>
      </c>
      <c r="GT305" s="5">
        <v>289.18266033348181</v>
      </c>
      <c r="GU305" s="5">
        <v>254.29573314828914</v>
      </c>
      <c r="GV305" s="39" t="s">
        <v>392</v>
      </c>
      <c r="GW305" s="5">
        <v>479.875</v>
      </c>
      <c r="GX305" s="5">
        <v>359.90625</v>
      </c>
      <c r="GY305" s="5">
        <v>287.92500000000001</v>
      </c>
      <c r="GZ305" s="5">
        <v>254.06342861438094</v>
      </c>
      <c r="HA305" s="5">
        <v>235.34107974463737</v>
      </c>
      <c r="HB305" s="39">
        <v>266.87612921022543</v>
      </c>
      <c r="HC305" s="5">
        <v>110.22656249999997</v>
      </c>
      <c r="HD305" s="5">
        <v>118.32195723684205</v>
      </c>
      <c r="HE305" s="5">
        <v>127.90654731781373</v>
      </c>
      <c r="HF305" s="5">
        <v>126.31895559210524</v>
      </c>
      <c r="HG305" s="5">
        <v>131.8330592105263</v>
      </c>
      <c r="HH305" s="39">
        <v>121.47403117306466</v>
      </c>
      <c r="HI305" s="16"/>
      <c r="HJ305" s="19" t="str">
        <f t="shared" si="1057"/>
        <v>On</v>
      </c>
      <c r="HK305" s="1" t="str">
        <f t="shared" si="1057"/>
        <v>On</v>
      </c>
      <c r="HL305" s="16"/>
      <c r="HM305" s="639">
        <f t="shared" si="1004"/>
        <v>2.8970655363290673E-2</v>
      </c>
      <c r="HN305" s="639">
        <f t="shared" si="1005"/>
        <v>2.1835179285533651E-3</v>
      </c>
      <c r="HO305" s="639">
        <f t="shared" si="1006"/>
        <v>1.5544129749146325E-2</v>
      </c>
      <c r="HP305" s="644">
        <f>(FT305*$GD305-HM305)/$JF305*INDEX(Input!$1:$1048576,$JG$93,$C305*2+6)</f>
        <v>-34.871928514655842</v>
      </c>
      <c r="HQ305" s="644">
        <f>(FU305*$GD305-HN305)/$JF305*INDEX(Input!$1:$1048576,$JG$93,$C305*2+6)</f>
        <v>-3.1560495879970705</v>
      </c>
      <c r="HR305" s="644">
        <f>(FV305*$GD305-HO305)/$JF305*INDEX(Input!$1:$1048576,$JG$93,$C305*2+6)</f>
        <v>89.134970890450361</v>
      </c>
      <c r="HS305" s="644">
        <f t="shared" si="1007"/>
        <v>2.2906279196034001E-4</v>
      </c>
      <c r="HT305" s="644">
        <f t="shared" si="1008"/>
        <v>-3.2232126415244262E-2</v>
      </c>
      <c r="HU305" s="644">
        <f t="shared" si="1009"/>
        <v>46.840760327551941</v>
      </c>
      <c r="HV305" s="648">
        <f t="shared" si="1010"/>
        <v>0</v>
      </c>
      <c r="HW305" s="648">
        <f t="shared" si="1011"/>
        <v>0</v>
      </c>
      <c r="HX305" s="648">
        <f t="shared" si="1012"/>
        <v>0</v>
      </c>
      <c r="HY305" s="644">
        <f>INDEX(Input!$1:$1048576,HY$93,$C305*2+6)*INDEX(Input!$1:$1048576,$JG$93,$C305*2+6)</f>
        <v>488.99999999999994</v>
      </c>
      <c r="HZ305" s="644">
        <f>INDEX(Input!$1:$1048576,HZ$93,$C305*2+6)*INDEX(Input!$1:$1048576,$JG$93,$C305*2+6)</f>
        <v>734</v>
      </c>
      <c r="IA305" s="644">
        <f>INDEX(Input!$1:$1048576,IA$93,$C305*2+6)*INDEX(Input!$1:$1048576,$JG$93,$C305*2+6)</f>
        <v>703</v>
      </c>
      <c r="IB305" s="644">
        <f t="shared" si="1036"/>
        <v>454.12830054813583</v>
      </c>
      <c r="IC305" s="644">
        <f t="shared" si="1037"/>
        <v>730.81171828558774</v>
      </c>
      <c r="ID305" s="644">
        <f>IF(AND(INDEX(Input!$1:$1048576,IA$93,$C305*2+7)="TOS",Y305&lt;=INDEX(Y:Y,MATCH(C305*1000+2,A:A))),0,1)*MAX(IA305+HR305+HU305+HX305,0%)</f>
        <v>838.97573121800235</v>
      </c>
      <c r="IE305" s="128">
        <f t="shared" ref="IE305:IE306" si="1068">IB305/SUM($IB305:$ID305)</f>
        <v>0.22438102995963619</v>
      </c>
      <c r="IF305" s="128">
        <f t="shared" si="1059"/>
        <v>0.36108801380043126</v>
      </c>
      <c r="IG305" s="128">
        <f t="shared" si="1014"/>
        <v>0.41453095623993264</v>
      </c>
      <c r="IH305" s="21"/>
      <c r="II305" s="19">
        <f t="shared" si="1015"/>
        <v>1200</v>
      </c>
      <c r="IJ305" s="19">
        <f t="shared" si="1016"/>
        <v>2224.493581030405</v>
      </c>
      <c r="IK305" s="19">
        <f t="shared" si="1017"/>
        <v>3451.75</v>
      </c>
      <c r="IL305" s="19">
        <f t="shared" si="1039"/>
        <v>0</v>
      </c>
      <c r="IM305" s="19">
        <f t="shared" si="1018"/>
        <v>-0.22230151421535993</v>
      </c>
      <c r="IN305" s="19">
        <f t="shared" si="1019"/>
        <v>500</v>
      </c>
      <c r="IO305" s="39">
        <f t="shared" si="1020"/>
        <v>0</v>
      </c>
      <c r="IP305" s="39">
        <f t="shared" si="1021"/>
        <v>0</v>
      </c>
      <c r="IQ305" s="39">
        <f t="shared" si="1022"/>
        <v>0</v>
      </c>
      <c r="IR305" s="39">
        <v>0</v>
      </c>
      <c r="IS305" s="39">
        <v>0</v>
      </c>
      <c r="IT305" s="39">
        <v>0</v>
      </c>
      <c r="IU305" s="39">
        <v>0</v>
      </c>
      <c r="IV305" s="39">
        <v>0</v>
      </c>
      <c r="IW305" s="39">
        <v>0</v>
      </c>
      <c r="IX305" s="39">
        <f>INDEX(Input!$1:$1048576,IX$93,$C305*2+6)+INDEX(Input!$1:$1048576,IX$94,$C305*2+6)</f>
        <v>1600</v>
      </c>
      <c r="IY305" s="39">
        <f>INDEX(Input!$1:$1048576,IY$93,$C305*2+6)+INDEX(Input!$1:$1048576,IY$94,$C305*2+6)</f>
        <v>2503.5492916397525</v>
      </c>
      <c r="IZ305" s="39">
        <f>INDEX(Input!$1:$1048576,IZ$93,$C305*2+6)+INDEX(Input!$1:$1048576,IZ$94,$C305*2+6)</f>
        <v>5773.7109265464023</v>
      </c>
      <c r="JA305" s="19">
        <f t="shared" si="1040"/>
        <v>1600</v>
      </c>
      <c r="JB305" s="19">
        <f t="shared" si="1041"/>
        <v>2503.3269901255371</v>
      </c>
      <c r="JC305" s="19">
        <f t="shared" si="1042"/>
        <v>6273.7109265464023</v>
      </c>
      <c r="JD305" s="19">
        <f t="shared" si="1043"/>
        <v>3863.5784082470536</v>
      </c>
      <c r="JE305" s="21"/>
      <c r="JF305" s="1">
        <f t="shared" si="1023"/>
        <v>4.6698303040990354E-2</v>
      </c>
      <c r="JG305" s="15">
        <f>INDEX(Input!$1:$1048576,JG$93,$C305*2+6)/(1+VLOOKUP(C305*1000+INDEX(Input!$1:$1048576,JG$93+1,$C305*2+6),$A:$KK,$JK$92,FALSE))</f>
        <v>1926</v>
      </c>
      <c r="JH305" s="1">
        <f t="shared" si="1044"/>
        <v>2.6535302589718302E-2</v>
      </c>
      <c r="JI305" s="1">
        <f t="shared" si="1045"/>
        <v>2.4303612286567317E-2</v>
      </c>
      <c r="JJ305" s="1">
        <f t="shared" si="1046"/>
        <v>0</v>
      </c>
      <c r="JK305" s="1">
        <f>SUM(JH305:JJ305)</f>
        <v>5.0838914876285619E-2</v>
      </c>
      <c r="JL305" s="15">
        <f t="shared" si="1048"/>
        <v>97.915750051726107</v>
      </c>
      <c r="JM305" s="15">
        <f t="shared" si="1049"/>
        <v>2023.915750051726</v>
      </c>
      <c r="JN305" s="21"/>
      <c r="JO305" s="19">
        <f>INDEX(Input!$1:$1048576,JO$93,$C305*2+6)</f>
        <v>5908.5</v>
      </c>
      <c r="JP305" s="19">
        <f>INDEX(Input!$1:$1048576,JP$93,$C305*2+6)</f>
        <v>3467.7694503767912</v>
      </c>
      <c r="JQ305" s="39">
        <f t="shared" si="1060"/>
        <v>2044.9215917529464</v>
      </c>
      <c r="JR305" s="39">
        <f t="shared" si="1061"/>
        <v>395.80895787026247</v>
      </c>
      <c r="JS305" s="39">
        <f t="shared" si="1062"/>
        <v>7.819557192010989</v>
      </c>
      <c r="JT305" s="39">
        <f t="shared" si="1050"/>
        <v>1.1406332305852891</v>
      </c>
      <c r="JU305" s="385">
        <f>(JQ305*JM305-INDEX(Input!$1:$1048576,Input!A$18,$C305*2+6)*JL305*INDEX(Input!$1:$1048576,Input!A$19,$C305*2+6))/1000000</f>
        <v>4.1387490171696335</v>
      </c>
      <c r="JV305" s="39">
        <f t="shared" si="1026"/>
        <v>-0.56209802140466625</v>
      </c>
      <c r="JW305" s="1">
        <f t="shared" ref="JW305" si="1069">JV305/(JU305-JV305)</f>
        <v>-0.11957377400119418</v>
      </c>
      <c r="JX305" s="19">
        <f t="shared" si="1066"/>
        <v>11649.129276778505</v>
      </c>
      <c r="JZ305" s="468">
        <f>(IA305+HR305)/SUM(HP305:HR305,HY305:IA305)*IN305</f>
        <v>200.32678397781331</v>
      </c>
      <c r="KA305" s="469">
        <f>JH305/(JZ305/BX305)</f>
        <v>2.6088013501099416</v>
      </c>
      <c r="KB305" s="469">
        <f>KB304</f>
        <v>2.7822247002359868</v>
      </c>
      <c r="KC305" s="469">
        <f>MIN(KE304+1)</f>
        <v>4.782473585129793</v>
      </c>
      <c r="KD305" s="469">
        <f>KC305+2</f>
        <v>6.782473585129793</v>
      </c>
      <c r="KE305" s="469">
        <f>MIN(MAX(KA305,KC305),KD305)</f>
        <v>4.782473585129793</v>
      </c>
      <c r="KF305" s="470">
        <f>A305</f>
        <v>3005</v>
      </c>
      <c r="KG305" s="471">
        <f>(JH305/KA305*KE305-JH305)/MAX(IL305:IN305)*1000</f>
        <v>4.4218813735810346E-2</v>
      </c>
      <c r="KH305" s="472"/>
      <c r="KI305" s="473">
        <f t="shared" si="1064"/>
        <v>-34.87169945186406</v>
      </c>
      <c r="KJ305" s="473">
        <f t="shared" si="1051"/>
        <v>-3.1882817144121418</v>
      </c>
      <c r="KK305" s="473">
        <f t="shared" si="1052"/>
        <v>135.97573121800247</v>
      </c>
      <c r="KL305" s="472" t="str">
        <f>IF(OR(KI305&gt;0,KJ305&gt;0),"Error - Adjust TR","ok")</f>
        <v>ok</v>
      </c>
      <c r="KN305" s="544">
        <f t="shared" si="1067"/>
        <v>3002</v>
      </c>
      <c r="KO305" s="541">
        <f t="shared" si="1027"/>
        <v>-1.7551962058910076E-2</v>
      </c>
      <c r="KP305" s="546">
        <f t="shared" si="1028"/>
        <v>-103.41567888059822</v>
      </c>
      <c r="KQ305" s="546">
        <f t="shared" si="1029"/>
        <v>142.49718992168073</v>
      </c>
      <c r="KR305" s="548">
        <f t="shared" si="1030"/>
        <v>2.7111325808901583</v>
      </c>
      <c r="KS305" s="548">
        <f t="shared" si="1031"/>
        <v>-1.9675729503309012</v>
      </c>
      <c r="KT305" s="473">
        <f t="shared" si="1065"/>
        <v>527.01264777847621</v>
      </c>
      <c r="KU305" s="663">
        <f t="shared" si="1053"/>
        <v>14.479016241120233</v>
      </c>
      <c r="KV305" s="117"/>
    </row>
    <row r="306" spans="1:308" s="26" customFormat="1" ht="15">
      <c r="A306" s="561">
        <f t="shared" si="1032"/>
        <v>3006</v>
      </c>
      <c r="B306" s="561">
        <f t="shared" si="1054"/>
        <v>6</v>
      </c>
      <c r="C306" s="561">
        <f t="shared" si="1055"/>
        <v>3</v>
      </c>
      <c r="D306" s="561" t="s">
        <v>742</v>
      </c>
      <c r="E306" s="115">
        <f>INDEX(Input!$1:$1048576,E$93,$C306*2+MIN($B306,1)+5)</f>
        <v>750</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1.9E-2</v>
      </c>
      <c r="W306" s="862">
        <f>INDEX(Input!$1:$1048576,W$93,$C306*2+MIN($B306,1)+5)</f>
        <v>3.9000000000000007E-2</v>
      </c>
      <c r="X306" s="118" t="str">
        <f>INDEX(Input!$1:$1048576,X$93,$C306*2+MIN($B306,1)+5)</f>
        <v>Y</v>
      </c>
      <c r="Y306" s="150">
        <f>INDEX(Input!$1:$1048576,Y$93,$C306*2+MIN($B306,1)+5)</f>
        <v>4225</v>
      </c>
      <c r="Z306" s="477">
        <f>INDEX(Input!$1:$1048576,Z$93,$C306*2+MIN($B306,1)+5)+500</f>
        <v>500</v>
      </c>
      <c r="AA306" s="115">
        <f>INDEX(Input!$1:$1048576,AA$93,$C306*2+MIN($B306,1)+5)</f>
        <v>0</v>
      </c>
      <c r="AB306" s="118">
        <f>INDEX(Input!$1:$1048576,AB$93,$C306*2+MIN($B306,1)+5)</f>
        <v>0.62</v>
      </c>
      <c r="AC306" s="115">
        <f>INDEX(Input!$1:$1048576,AC$93,$C306*2+MIN($B306,1)+5)</f>
        <v>1000</v>
      </c>
      <c r="AD306" s="118">
        <f>INDEX(Input!$1:$1048576,AD$93,$C306*2+MIN($B306,1)+5)</f>
        <v>0.35</v>
      </c>
      <c r="AE306" s="115">
        <f>INDEX(Input!$1:$1048576,AE$93,$C306*2+MIN($B306,1)+5)</f>
        <v>0</v>
      </c>
      <c r="AF306" s="118">
        <f>INDEX(Input!$1:$1048576,AF$93,$C306*2+MIN($B306,1)+5)</f>
        <v>0.97</v>
      </c>
      <c r="AG306" s="115">
        <f>INDEX(Input!$1:$1048576,AG$93,$C306*2+MIN($B306,1)+5)</f>
        <v>500</v>
      </c>
      <c r="AH306" s="118">
        <f>INDEX(Input!$1:$1048576,AH$93,$C306*2+MIN($B306,1)+5)</f>
        <v>1</v>
      </c>
      <c r="AI306" s="115">
        <f>INDEX(Input!$1:$1048576,AI$93,$C306*2+MIN($B306,1)+5)</f>
        <v>500</v>
      </c>
      <c r="AJ306" s="118">
        <f>INDEX(Input!$1:$1048576,AJ$93,$C306*2+MIN($B306,1)+5)</f>
        <v>0.35</v>
      </c>
      <c r="AK306" s="150">
        <f>ROUND(INDEX(Input!$1:$1048576,AK$93,$C305*2+MIN($B306,1)+5)+(Y306-VLOOKUP($C306*1000+1,$A:$HH,Y$92,FALSE)),0)</f>
        <v>5099</v>
      </c>
      <c r="AL306" s="150">
        <f>ROUND(INDEX(Input!$1:$1048576,AL$93,$C305*2+MIN($B306,1)+5)-(Y306-VLOOKUP($C306*1000+1,$A:$HH,Y$92,FALSE))/36,0)</f>
        <v>5099</v>
      </c>
      <c r="AM306" s="32" t="str">
        <f t="shared" si="1033"/>
        <v>std/std/std/std</v>
      </c>
      <c r="AN306" s="32" t="str">
        <f t="shared" si="1034"/>
        <v>$0 + 0/0/0/1.9/3.9</v>
      </c>
      <c r="AO306" s="32" t="str">
        <f t="shared" si="1035"/>
        <v>0/0/0/1.9/3.9</v>
      </c>
      <c r="AP306" s="32" t="str">
        <f t="shared" si="989"/>
        <v>0/0.9/1.9/3.9</v>
      </c>
      <c r="AQ306" s="536">
        <f t="shared" si="988"/>
        <v>850.24693130685239</v>
      </c>
      <c r="AR306" s="32"/>
      <c r="AS306" s="302"/>
      <c r="AT306" s="3">
        <f t="shared" si="1056"/>
        <v>6</v>
      </c>
      <c r="AU306" s="41" t="s">
        <v>121</v>
      </c>
      <c r="AV306" s="41" t="s">
        <v>116</v>
      </c>
      <c r="AW306" s="41" t="str">
        <f>INDEX(Input!$1:$1048576,AW$93,$C306*2+6)</f>
        <v>Kia</v>
      </c>
      <c r="AX306" s="41" t="str">
        <f>INDEX(Input!$1:$1048576,AX$93,$C306*2+6)</f>
        <v>Kia-LR - L3</v>
      </c>
      <c r="AY306" s="41" t="str">
        <f>IF(LEN(D306)=0,"",INDEX(Input!$1:$1048576,AY$93,$C306*2+6))</f>
        <v>Compact Conventional/Sporty Car (43)</v>
      </c>
      <c r="AZ306" s="41" t="str">
        <f>INDEX(Input!$1:$1048576,AZ$93,$C306*2+6)</f>
        <v>Kia Forte</v>
      </c>
      <c r="BA306" s="3">
        <f>INDEX(Input!$1:$1048576,BA$93,$C306*2+6)</f>
        <v>2020</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19695</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990"/>
        <v>1100</v>
      </c>
      <c r="CJ306" s="16" t="str">
        <f>INDEX(Input!$1:$1048576,CJ$93,$C306*2+6)</f>
        <v>N</v>
      </c>
      <c r="CK306" s="1" t="str">
        <f t="shared" si="991"/>
        <v>Market</v>
      </c>
      <c r="CL306" s="1" t="str">
        <f t="shared" si="992"/>
        <v>Market</v>
      </c>
      <c r="CM306" s="1" t="str">
        <f t="shared" si="993"/>
        <v>Market</v>
      </c>
      <c r="CN306" s="1" t="str">
        <f t="shared" si="994"/>
        <v>Market</v>
      </c>
      <c r="CO306" s="1" t="str">
        <f t="shared" si="995"/>
        <v>Market</v>
      </c>
      <c r="CP306" s="304">
        <f t="shared" si="996"/>
        <v>350</v>
      </c>
      <c r="CQ306" s="1">
        <f t="shared" si="997"/>
        <v>0</v>
      </c>
      <c r="CR306" s="1">
        <f t="shared" si="998"/>
        <v>0</v>
      </c>
      <c r="CS306" s="1">
        <f t="shared" si="999"/>
        <v>0</v>
      </c>
      <c r="CT306" s="1">
        <f t="shared" si="1000"/>
        <v>1.9E-2</v>
      </c>
      <c r="CU306" s="1">
        <f t="shared" si="1001"/>
        <v>3.9000000000000007E-2</v>
      </c>
      <c r="CV306" s="304">
        <f t="shared" si="1002"/>
        <v>4400</v>
      </c>
      <c r="CW306" s="20" t="s">
        <v>122</v>
      </c>
      <c r="CX306" s="20" t="s">
        <v>122</v>
      </c>
      <c r="CY306" s="20" t="s">
        <v>122</v>
      </c>
      <c r="CZ306" s="20" t="s">
        <v>122</v>
      </c>
      <c r="DA306" s="20" t="s">
        <v>122</v>
      </c>
      <c r="DB306" s="503">
        <f t="shared" si="1003"/>
        <v>1000</v>
      </c>
      <c r="DC306" s="127">
        <v>0</v>
      </c>
      <c r="DD306" s="127">
        <v>0</v>
      </c>
      <c r="DE306" s="127">
        <v>0</v>
      </c>
      <c r="DF306" s="127">
        <v>0</v>
      </c>
      <c r="DG306" s="127">
        <v>0</v>
      </c>
      <c r="DH306" s="127">
        <v>0</v>
      </c>
      <c r="DI306" s="127">
        <v>0</v>
      </c>
      <c r="DJ306" s="127">
        <v>0</v>
      </c>
      <c r="DK306" s="127">
        <v>0</v>
      </c>
      <c r="DL306" s="127">
        <v>0</v>
      </c>
      <c r="DM306" s="304">
        <f>INDEX(Input!$1:$1048576,DM$93,$C306*2+6)</f>
        <v>20731.578947368424</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3.3022634250284046E-2</v>
      </c>
      <c r="DZ306" s="7">
        <v>0</v>
      </c>
      <c r="EA306" s="7">
        <v>0.58338689326062265</v>
      </c>
      <c r="EB306" s="7">
        <v>0</v>
      </c>
      <c r="EC306" s="7">
        <v>0</v>
      </c>
      <c r="ED306" s="7">
        <v>0</v>
      </c>
      <c r="EE306" s="7">
        <v>0</v>
      </c>
      <c r="EF306" s="7">
        <v>0</v>
      </c>
      <c r="EG306" s="7">
        <v>0</v>
      </c>
      <c r="EH306" s="7">
        <v>1.4116933065184863E-2</v>
      </c>
      <c r="EI306" s="7">
        <v>1.7904386375636738E-2</v>
      </c>
      <c r="EJ306" s="7">
        <v>0.25710943909699951</v>
      </c>
      <c r="EK306" s="7">
        <v>0.65988121554730095</v>
      </c>
      <c r="EL306" s="7">
        <v>5.0988025914877874E-2</v>
      </c>
      <c r="EM306" s="7">
        <v>4.6448654023522586E-2</v>
      </c>
      <c r="EN306" s="7">
        <v>6.0098116793632597E-2</v>
      </c>
      <c r="EO306" s="7">
        <v>0.56691151399113793</v>
      </c>
      <c r="EP306" s="7">
        <v>0.27577454230215592</v>
      </c>
      <c r="EQ306" s="7">
        <v>5.7686072119100505E-2</v>
      </c>
      <c r="ER306" s="7">
        <v>3.9529754793972915E-2</v>
      </c>
      <c r="ES306" s="7">
        <v>0.33714181846557068</v>
      </c>
      <c r="ET306" s="7">
        <v>0.38359047248909323</v>
      </c>
      <c r="EU306" s="6">
        <v>1700</v>
      </c>
      <c r="EV306" s="6">
        <v>0</v>
      </c>
      <c r="EW306" s="6">
        <v>1700</v>
      </c>
      <c r="EX306" s="6">
        <v>0</v>
      </c>
      <c r="EY306" s="6">
        <v>2724.5017491887775</v>
      </c>
      <c r="EZ306" s="6">
        <v>3951.75</v>
      </c>
      <c r="FA306" s="6">
        <v>0</v>
      </c>
      <c r="FB306" s="6">
        <v>0</v>
      </c>
      <c r="FC306" s="6">
        <v>0</v>
      </c>
      <c r="FD306" s="6">
        <v>0</v>
      </c>
      <c r="FE306" s="6">
        <v>0</v>
      </c>
      <c r="FF306" s="6">
        <v>0</v>
      </c>
      <c r="FG306" s="6">
        <v>0</v>
      </c>
      <c r="FH306" s="6">
        <v>1154.3288099639428</v>
      </c>
      <c r="FI306" s="6">
        <v>1531.4299904380621</v>
      </c>
      <c r="FJ306" s="6">
        <v>2070.7205842538219</v>
      </c>
      <c r="FK306" s="6">
        <v>1746.9903521590438</v>
      </c>
      <c r="FL306" s="6">
        <v>893.91433563489375</v>
      </c>
      <c r="FM306" s="6">
        <v>1774.5017491887777</v>
      </c>
      <c r="FN306" s="6">
        <v>0</v>
      </c>
      <c r="FO306" s="6">
        <v>0</v>
      </c>
      <c r="FP306" s="6">
        <v>0</v>
      </c>
      <c r="FQ306" s="6">
        <v>0</v>
      </c>
      <c r="FR306" s="6">
        <v>0</v>
      </c>
      <c r="FS306" s="6">
        <v>0</v>
      </c>
      <c r="FT306" s="7">
        <v>0.61640952751090672</v>
      </c>
      <c r="FU306" s="7">
        <v>4.6448654023522586E-2</v>
      </c>
      <c r="FV306" s="7">
        <v>0.33714181846557068</v>
      </c>
      <c r="FW306" s="6">
        <v>1700</v>
      </c>
      <c r="FX306" s="6">
        <v>2724.5017491887775</v>
      </c>
      <c r="FY306" s="6">
        <v>3951.75</v>
      </c>
      <c r="FZ306" s="6">
        <v>2202.331475193394</v>
      </c>
      <c r="GA306" s="6">
        <v>2506.7458170244117</v>
      </c>
      <c r="GB306" s="6">
        <v>17188.254182975586</v>
      </c>
      <c r="GC306" s="7">
        <v>4.8391397220736806E-2</v>
      </c>
      <c r="GD306" s="7">
        <v>4.9996733408589976E-2</v>
      </c>
      <c r="GE306" s="7"/>
      <c r="GF306" s="7"/>
      <c r="GG306" s="7">
        <v>3.3173999513393809E-2</v>
      </c>
      <c r="GH306" s="42">
        <v>2.1462915199277184</v>
      </c>
      <c r="GI306" s="6">
        <v>11683.038886785631</v>
      </c>
      <c r="GJ306" s="14">
        <v>0.51074630601039539</v>
      </c>
      <c r="GK306" s="14">
        <v>0.5082951978616097</v>
      </c>
      <c r="GL306" s="14">
        <v>0.4892536939896045</v>
      </c>
      <c r="GM306" s="14">
        <v>0.4917048021383903</v>
      </c>
      <c r="GO306" s="5">
        <v>338.16872463277008</v>
      </c>
      <c r="GP306" s="5">
        <v>305.73596776409454</v>
      </c>
      <c r="GQ306" s="5">
        <v>527.27910984145694</v>
      </c>
      <c r="GR306" s="5">
        <v>404.20319246551543</v>
      </c>
      <c r="GS306" s="5">
        <v>334.50205195691484</v>
      </c>
      <c r="GT306" s="5">
        <v>289.18266033348181</v>
      </c>
      <c r="GU306" s="5">
        <v>254.29573314828914</v>
      </c>
      <c r="GV306" s="39" t="s">
        <v>392</v>
      </c>
      <c r="GW306" s="5">
        <v>465.98611111111109</v>
      </c>
      <c r="GX306" s="5">
        <v>349.48958333333331</v>
      </c>
      <c r="GY306" s="5">
        <v>279.59166666666664</v>
      </c>
      <c r="GZ306" s="5">
        <v>246.7101413400797</v>
      </c>
      <c r="HA306" s="5">
        <v>228.52966821545914</v>
      </c>
      <c r="HB306" s="39">
        <v>259.17301246761002</v>
      </c>
      <c r="HC306" s="5">
        <v>110.22656249999997</v>
      </c>
      <c r="HD306" s="5">
        <v>118.32195723684205</v>
      </c>
      <c r="HE306" s="5">
        <v>127.90654731781373</v>
      </c>
      <c r="HF306" s="5">
        <v>126.31895559210524</v>
      </c>
      <c r="HG306" s="5">
        <v>131.8330592105263</v>
      </c>
      <c r="HH306" s="39">
        <v>121.47403117306465</v>
      </c>
      <c r="HI306" s="16"/>
      <c r="HJ306" s="19" t="str">
        <f t="shared" si="1057"/>
        <v>On</v>
      </c>
      <c r="HK306" s="1" t="str">
        <f t="shared" si="1057"/>
        <v>On</v>
      </c>
      <c r="HL306" s="16"/>
      <c r="HM306" s="639">
        <f t="shared" si="1004"/>
        <v>2.8970655363290673E-2</v>
      </c>
      <c r="HN306" s="639">
        <f t="shared" si="1005"/>
        <v>2.1835179285533651E-3</v>
      </c>
      <c r="HO306" s="639">
        <f t="shared" si="1006"/>
        <v>1.5544129749146325E-2</v>
      </c>
      <c r="HP306" s="644">
        <f>(FT306*$GD306-HM306)/$JF306*INDEX(Input!$1:$1048576,$JG$93,$C306*2+6)</f>
        <v>76.209988907741717</v>
      </c>
      <c r="HQ306" s="644">
        <f>(FU306*$GD306-HN306)/$JF306*INDEX(Input!$1:$1048576,$JG$93,$C306*2+6)</f>
        <v>5.7230692562354211</v>
      </c>
      <c r="HR306" s="644">
        <f>(FV306*$GD306-HO306)/$JF306*INDEX(Input!$1:$1048576,$JG$93,$C306*2+6)</f>
        <v>54.105651474370411</v>
      </c>
      <c r="HS306" s="644">
        <f t="shared" si="1007"/>
        <v>-35.09961147103035</v>
      </c>
      <c r="HT306" s="644">
        <f t="shared" si="1008"/>
        <v>66.452732065308979</v>
      </c>
      <c r="HU306" s="644">
        <f t="shared" si="1009"/>
        <v>53.401074214859015</v>
      </c>
      <c r="HV306" s="648">
        <f t="shared" si="1010"/>
        <v>0</v>
      </c>
      <c r="HW306" s="648">
        <f t="shared" si="1011"/>
        <v>0</v>
      </c>
      <c r="HX306" s="648">
        <f t="shared" si="1012"/>
        <v>0</v>
      </c>
      <c r="HY306" s="644">
        <f>INDEX(Input!$1:$1048576,HY$93,$C306*2+6)*INDEX(Input!$1:$1048576,$JG$93,$C306*2+6)</f>
        <v>488.99999999999994</v>
      </c>
      <c r="HZ306" s="644">
        <f>INDEX(Input!$1:$1048576,HZ$93,$C306*2+6)*INDEX(Input!$1:$1048576,$JG$93,$C306*2+6)</f>
        <v>734</v>
      </c>
      <c r="IA306" s="644">
        <f>INDEX(Input!$1:$1048576,IA$93,$C306*2+6)*INDEX(Input!$1:$1048576,$JG$93,$C306*2+6)</f>
        <v>703</v>
      </c>
      <c r="IB306" s="644">
        <f t="shared" si="1036"/>
        <v>530.11037743671102</v>
      </c>
      <c r="IC306" s="644">
        <f t="shared" si="1037"/>
        <v>806.17580132154444</v>
      </c>
      <c r="ID306" s="644">
        <f>IF(AND(INDEX(Input!$1:$1048576,IA$93,$C306*2+7)="TOS",Y306&lt;=INDEX(Y:Y,MATCH(C306*1000+2,A:A))),0,1)*MAX(IA306+HR306+HU306+HX306,0%)</f>
        <v>810.50672568922948</v>
      </c>
      <c r="IE306" s="128">
        <f t="shared" si="1068"/>
        <v>0.24693130685241588</v>
      </c>
      <c r="IF306" s="128">
        <f t="shared" si="1059"/>
        <v>0.37552565021591033</v>
      </c>
      <c r="IG306" s="128">
        <f t="shared" si="1014"/>
        <v>0.37754304293167379</v>
      </c>
      <c r="IH306" s="21"/>
      <c r="II306" s="19">
        <f t="shared" si="1015"/>
        <v>1200</v>
      </c>
      <c r="IJ306" s="19">
        <f t="shared" si="1016"/>
        <v>2224.493581030405</v>
      </c>
      <c r="IK306" s="19">
        <f t="shared" si="1017"/>
        <v>3451.75</v>
      </c>
      <c r="IL306" s="19">
        <f t="shared" si="1039"/>
        <v>500</v>
      </c>
      <c r="IM306" s="19">
        <f t="shared" si="1018"/>
        <v>500.00816815837243</v>
      </c>
      <c r="IN306" s="19">
        <f t="shared" si="1019"/>
        <v>500</v>
      </c>
      <c r="IO306" s="39">
        <f t="shared" si="1020"/>
        <v>0</v>
      </c>
      <c r="IP306" s="39">
        <f t="shared" si="1021"/>
        <v>0</v>
      </c>
      <c r="IQ306" s="39">
        <f t="shared" si="1022"/>
        <v>0</v>
      </c>
      <c r="IR306" s="39">
        <v>0</v>
      </c>
      <c r="IS306" s="39">
        <v>0</v>
      </c>
      <c r="IT306" s="39">
        <v>0</v>
      </c>
      <c r="IU306" s="39">
        <v>0</v>
      </c>
      <c r="IV306" s="39">
        <v>0</v>
      </c>
      <c r="IW306" s="39">
        <v>0</v>
      </c>
      <c r="IX306" s="39">
        <f>INDEX(Input!$1:$1048576,IX$93,$C306*2+6)+INDEX(Input!$1:$1048576,IX$94,$C306*2+6)</f>
        <v>1600</v>
      </c>
      <c r="IY306" s="39">
        <f>INDEX(Input!$1:$1048576,IY$93,$C306*2+6)+INDEX(Input!$1:$1048576,IY$94,$C306*2+6)</f>
        <v>2503.5492916397525</v>
      </c>
      <c r="IZ306" s="39">
        <f>INDEX(Input!$1:$1048576,IZ$93,$C306*2+6)+INDEX(Input!$1:$1048576,IZ$94,$C306*2+6)</f>
        <v>5773.7109265464023</v>
      </c>
      <c r="JA306" s="19">
        <f t="shared" si="1040"/>
        <v>2100</v>
      </c>
      <c r="JB306" s="19">
        <f t="shared" si="1041"/>
        <v>3003.5574597981249</v>
      </c>
      <c r="JC306" s="19">
        <f t="shared" si="1042"/>
        <v>6273.7109265464023</v>
      </c>
      <c r="JD306" s="19">
        <f t="shared" si="1043"/>
        <v>4015.0645261236314</v>
      </c>
      <c r="JE306" s="21"/>
      <c r="JF306" s="1">
        <f t="shared" si="1023"/>
        <v>4.6698303040990354E-2</v>
      </c>
      <c r="JG306" s="15">
        <f>INDEX(Input!$1:$1048576,JG$93,$C306*2+6)/(1+VLOOKUP(C306*1000+INDEX(Input!$1:$1048576,JG$93+1,$C306*2+6),$A:$KK,$JK$92,FALSE))</f>
        <v>1926</v>
      </c>
      <c r="JH306" s="1">
        <f t="shared" si="1044"/>
        <v>7.0632767205787927E-2</v>
      </c>
      <c r="JI306" s="1">
        <f t="shared" si="1045"/>
        <v>4.400529325500397E-2</v>
      </c>
      <c r="JJ306" s="1">
        <f t="shared" si="1046"/>
        <v>0</v>
      </c>
      <c r="JK306" s="1">
        <f t="shared" ref="JK306:JK307" si="1070">SUM(JH306:JJ306)</f>
        <v>0.11463806046079189</v>
      </c>
      <c r="JL306" s="15">
        <f t="shared" si="1048"/>
        <v>220.79290444748517</v>
      </c>
      <c r="JM306" s="15">
        <f>JG306+JL306</f>
        <v>2146.7929044474849</v>
      </c>
      <c r="JN306" s="21"/>
      <c r="JO306" s="19">
        <f>INDEX(Input!$1:$1048576,JO$93,$C306*2+6)</f>
        <v>5908.5</v>
      </c>
      <c r="JP306" s="19">
        <f>INDEX(Input!$1:$1048576,JP$93,$C306*2+6)</f>
        <v>3467.7694503767912</v>
      </c>
      <c r="JQ306" s="39">
        <f t="shared" si="1060"/>
        <v>1893.4354738763686</v>
      </c>
      <c r="JR306" s="39">
        <f>JD306-JP306</f>
        <v>547.29507574684021</v>
      </c>
      <c r="JS306" s="39">
        <f t="shared" si="1062"/>
        <v>8.6195120355810158</v>
      </c>
      <c r="JT306" s="39">
        <f t="shared" si="1050"/>
        <v>1.9405880741553148</v>
      </c>
      <c r="JU306" s="385">
        <f>(JQ306*JM306-INDEX(Input!$1:$1048576,Input!A$18,$C306*2+6)*JL306*INDEX(Input!$1:$1048576,Input!A$19,$C306*2+6))/1000000</f>
        <v>4.0648138403469494</v>
      </c>
      <c r="JV306" s="39">
        <f t="shared" si="1026"/>
        <v>-0.63603319822735038</v>
      </c>
      <c r="JW306" s="1">
        <f>JV306/(JU306-JV306)</f>
        <v>-0.13530182816164343</v>
      </c>
      <c r="JX306" s="19">
        <f t="shared" si="1066"/>
        <v>8789.1777093628352</v>
      </c>
      <c r="JZ306" s="468">
        <f>DB306-DB301</f>
        <v>500</v>
      </c>
      <c r="KA306" s="469">
        <f>JH306/(JZ306/BX306)</f>
        <v>2.7822247002359868</v>
      </c>
      <c r="KB306" s="469">
        <f t="shared" si="1063"/>
        <v>2.7822247002359868</v>
      </c>
      <c r="KI306" s="473">
        <f t="shared" si="1064"/>
        <v>41.110377436711076</v>
      </c>
      <c r="KJ306" s="473">
        <f t="shared" si="1051"/>
        <v>72.175801321544441</v>
      </c>
      <c r="KK306" s="473">
        <f t="shared" si="1052"/>
        <v>107.50672568922948</v>
      </c>
      <c r="KN306" s="544">
        <f t="shared" si="1067"/>
        <v>3002</v>
      </c>
      <c r="KO306" s="541">
        <f t="shared" si="1027"/>
        <v>4.2094996684709729E-2</v>
      </c>
      <c r="KP306" s="546">
        <f t="shared" si="1028"/>
        <v>181.42060143818088</v>
      </c>
      <c r="KQ306" s="546">
        <f t="shared" si="1029"/>
        <v>293.98330779825847</v>
      </c>
      <c r="KR306" s="548">
        <f t="shared" si="1030"/>
        <v>3.7064261325665595</v>
      </c>
      <c r="KS306" s="548">
        <f t="shared" si="1031"/>
        <v>2.2872797207175286</v>
      </c>
      <c r="KT306" s="473">
        <f t="shared" si="1065"/>
        <v>527.01264777847621</v>
      </c>
      <c r="KU306" s="663">
        <f t="shared" si="1053"/>
        <v>15.07643611908119</v>
      </c>
      <c r="KV306" s="117"/>
    </row>
    <row r="307" spans="1:308" s="26" customFormat="1" ht="15">
      <c r="A307" s="561">
        <f t="shared" si="1032"/>
        <v>3007</v>
      </c>
      <c r="B307" s="561">
        <f t="shared" si="1054"/>
        <v>7</v>
      </c>
      <c r="C307" s="561">
        <f t="shared" si="1055"/>
        <v>3</v>
      </c>
      <c r="D307" s="561" t="s">
        <v>634</v>
      </c>
      <c r="E307" s="475">
        <f>INDEX(Input!$1:$1048576,E$93,$C307*2+MIN($B307,1)+5)</f>
        <v>750</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1.9E-2</v>
      </c>
      <c r="W307" s="863">
        <f>IFERROR(MAX(0,INDEX(Input!$1:$1048576,W$93,$C307*2+MIN($B307,1)+5)-0%),"Market")</f>
        <v>3.9000000000000007E-2</v>
      </c>
      <c r="X307" s="476" t="str">
        <f>INDEX(Input!$1:$1048576,X$93,$C307*2+MIN($B307,1)+5)</f>
        <v>Y</v>
      </c>
      <c r="Y307" s="475">
        <f>INDEX(Input!$1:$1048576,Y$93,$C307*2+MIN($B307,1)+5)</f>
        <v>4225</v>
      </c>
      <c r="Z307" s="477">
        <f>INDEX(Input!$1:$1048576,Z$93,$C307*2+MIN($B307,1)+5)</f>
        <v>0</v>
      </c>
      <c r="AA307" s="475">
        <f>INDEX(Input!$1:$1048576,AA$93,$C307*2+MIN($B307,1)+5)</f>
        <v>0</v>
      </c>
      <c r="AB307" s="476">
        <f>INDEX(Input!$1:$1048576,AB$93,$C307*2+MIN($B307,1)+5)</f>
        <v>0.62</v>
      </c>
      <c r="AC307" s="475">
        <f>INDEX(Input!$1:$1048576,AC$93,$C307*2+MIN($B307,1)+5)</f>
        <v>1000</v>
      </c>
      <c r="AD307" s="476">
        <f>INDEX(Input!$1:$1048576,AD$93,$C307*2+MIN($B307,1)+5)</f>
        <v>0.35</v>
      </c>
      <c r="AE307" s="475">
        <f>INDEX(Input!$1:$1048576,AE$93,$C307*2+MIN($B307,1)+5)</f>
        <v>0</v>
      </c>
      <c r="AF307" s="476">
        <f>INDEX(Input!$1:$1048576,AF$93,$C307*2+MIN($B307,1)+5)</f>
        <v>0.97</v>
      </c>
      <c r="AG307" s="475">
        <f>INDEX(Input!$1:$1048576,AG$93,$C307*2+MIN($B307,1)+5)</f>
        <v>500</v>
      </c>
      <c r="AH307" s="476">
        <f>INDEX(Input!$1:$1048576,AH$93,$C307*2+MIN($B307,1)+5)</f>
        <v>1</v>
      </c>
      <c r="AI307" s="475">
        <f>INDEX(Input!$1:$1048576,AI$93,$C307*2+MIN($B307,1)+5)</f>
        <v>500</v>
      </c>
      <c r="AJ307" s="476">
        <f>INDEX(Input!$1:$1048576,AJ$93,$C307*2+MIN($B307,1)+5)</f>
        <v>0.35</v>
      </c>
      <c r="AK307" s="150">
        <f>ROUND(INDEX(Input!$1:$1048576,AK$93,$C306*2+MIN($B307,1)+5)+(Y307-VLOOKUP($C307*1000+1,$A:$HH,Y$92,FALSE)),0)</f>
        <v>5099</v>
      </c>
      <c r="AL307" s="150">
        <f>ROUND(INDEX(Input!$1:$1048576,AL$93,$C306*2+MIN($B307,1)+5)-(Y307-VLOOKUP($C307*1000+1,$A:$HH,Y$92,FALSE))/36,0)</f>
        <v>5099</v>
      </c>
      <c r="AM307" s="32" t="str">
        <f t="shared" si="1033"/>
        <v>std/std/std/std</v>
      </c>
      <c r="AN307" s="32" t="str">
        <f t="shared" si="1034"/>
        <v>$0 + 0/0/0/1.9/3.9</v>
      </c>
      <c r="AO307" s="32" t="str">
        <f t="shared" si="1035"/>
        <v>0/0/0/1.9/3.9</v>
      </c>
      <c r="AP307" s="32" t="str">
        <f t="shared" si="989"/>
        <v>0/0.9/1.9/3.9</v>
      </c>
      <c r="AQ307" s="536">
        <f t="shared" si="988"/>
        <v>850.25389408099682</v>
      </c>
      <c r="AR307" s="32"/>
      <c r="AS307" s="302"/>
      <c r="AT307" s="3">
        <f t="shared" si="1056"/>
        <v>7</v>
      </c>
      <c r="AU307" s="41" t="s">
        <v>121</v>
      </c>
      <c r="AV307" s="41" t="s">
        <v>116</v>
      </c>
      <c r="AW307" s="41" t="str">
        <f>INDEX(Input!$1:$1048576,AW$93,$C307*2+6)</f>
        <v>Kia</v>
      </c>
      <c r="AX307" s="41" t="str">
        <f>INDEX(Input!$1:$1048576,AX$93,$C307*2+6)</f>
        <v>Kia-LR - L3</v>
      </c>
      <c r="AY307" s="41" t="str">
        <f>IF(LEN(D307)=0,"",INDEX(Input!$1:$1048576,AY$93,$C307*2+6))</f>
        <v>Compact Conventional/Sporty Car (43)</v>
      </c>
      <c r="AZ307" s="41" t="str">
        <f>INDEX(Input!$1:$1048576,AZ$93,$C307*2+6)</f>
        <v>Kia Forte</v>
      </c>
      <c r="BA307" s="3">
        <f>INDEX(Input!$1:$1048576,BA$93,$C307*2+6)</f>
        <v>2020</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19695</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990"/>
        <v>1100</v>
      </c>
      <c r="CJ307" s="16" t="str">
        <f>INDEX(Input!$1:$1048576,CJ$93,$C307*2+6)</f>
        <v>N</v>
      </c>
      <c r="CK307" s="1" t="str">
        <f t="shared" si="991"/>
        <v>Market</v>
      </c>
      <c r="CL307" s="1" t="str">
        <f t="shared" si="992"/>
        <v>Market</v>
      </c>
      <c r="CM307" s="1" t="str">
        <f t="shared" si="993"/>
        <v>Market</v>
      </c>
      <c r="CN307" s="1" t="str">
        <f t="shared" si="994"/>
        <v>Market</v>
      </c>
      <c r="CO307" s="1" t="str">
        <f t="shared" si="995"/>
        <v>Market</v>
      </c>
      <c r="CP307" s="304">
        <f t="shared" si="996"/>
        <v>350</v>
      </c>
      <c r="CQ307" s="1">
        <f t="shared" si="997"/>
        <v>0</v>
      </c>
      <c r="CR307" s="1">
        <f t="shared" si="998"/>
        <v>0</v>
      </c>
      <c r="CS307" s="1">
        <f t="shared" si="999"/>
        <v>0</v>
      </c>
      <c r="CT307" s="1">
        <f t="shared" si="1000"/>
        <v>1.9E-2</v>
      </c>
      <c r="CU307" s="1">
        <f t="shared" si="1001"/>
        <v>3.9000000000000007E-2</v>
      </c>
      <c r="CV307" s="304">
        <f t="shared" si="1002"/>
        <v>4400</v>
      </c>
      <c r="CW307" s="20" t="s">
        <v>122</v>
      </c>
      <c r="CX307" s="20" t="s">
        <v>122</v>
      </c>
      <c r="CY307" s="20" t="s">
        <v>122</v>
      </c>
      <c r="CZ307" s="20" t="s">
        <v>122</v>
      </c>
      <c r="DA307" s="20" t="s">
        <v>122</v>
      </c>
      <c r="DB307" s="503">
        <f t="shared" si="1003"/>
        <v>500</v>
      </c>
      <c r="DC307" s="127">
        <v>0</v>
      </c>
      <c r="DD307" s="127">
        <v>0</v>
      </c>
      <c r="DE307" s="127">
        <v>0</v>
      </c>
      <c r="DF307" s="127">
        <v>0</v>
      </c>
      <c r="DG307" s="127">
        <v>0</v>
      </c>
      <c r="DH307" s="127">
        <v>0</v>
      </c>
      <c r="DI307" s="127">
        <v>0</v>
      </c>
      <c r="DJ307" s="127">
        <v>0</v>
      </c>
      <c r="DK307" s="127">
        <v>0</v>
      </c>
      <c r="DL307" s="127">
        <v>0</v>
      </c>
      <c r="DM307" s="304">
        <f>INDEX(Input!$1:$1048576,DM$93,$C307*2+6)</f>
        <v>20731.578947368424</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3.2975792978253461E-2</v>
      </c>
      <c r="DZ307" s="7">
        <v>0</v>
      </c>
      <c r="EA307" s="7">
        <v>0.58740339591563651</v>
      </c>
      <c r="EB307" s="7">
        <v>0</v>
      </c>
      <c r="EC307" s="7">
        <v>0</v>
      </c>
      <c r="ED307" s="7">
        <v>0</v>
      </c>
      <c r="EE307" s="7">
        <v>0</v>
      </c>
      <c r="EF307" s="7">
        <v>0</v>
      </c>
      <c r="EG307" s="7">
        <v>0</v>
      </c>
      <c r="EH307" s="7">
        <v>1.4116398829823767E-2</v>
      </c>
      <c r="EI307" s="7">
        <v>1.790433876777011E-2</v>
      </c>
      <c r="EJ307" s="7">
        <v>0.2570924532227829</v>
      </c>
      <c r="EK307" s="7">
        <v>0.6598952693267659</v>
      </c>
      <c r="EL307" s="7">
        <v>5.0991539852857225E-2</v>
      </c>
      <c r="EM307" s="7">
        <v>4.6757971625580041E-2</v>
      </c>
      <c r="EN307" s="7">
        <v>5.8252483499235452E-2</v>
      </c>
      <c r="EO307" s="7">
        <v>0.56871370370336849</v>
      </c>
      <c r="EP307" s="7">
        <v>0.27314368217405027</v>
      </c>
      <c r="EQ307" s="7">
        <v>5.929620369437439E-2</v>
      </c>
      <c r="ER307" s="7">
        <v>4.0593926928971714E-2</v>
      </c>
      <c r="ES307" s="7">
        <v>0.33286283948053014</v>
      </c>
      <c r="ET307" s="7">
        <v>0.37962081110611001</v>
      </c>
      <c r="EU307" s="6">
        <v>1200</v>
      </c>
      <c r="EV307" s="6">
        <v>0</v>
      </c>
      <c r="EW307" s="6">
        <v>1200</v>
      </c>
      <c r="EX307" s="6">
        <v>0</v>
      </c>
      <c r="EY307" s="6">
        <v>2224.493581030405</v>
      </c>
      <c r="EZ307" s="6">
        <v>3451.75</v>
      </c>
      <c r="FA307" s="6">
        <v>0</v>
      </c>
      <c r="FB307" s="6">
        <v>0</v>
      </c>
      <c r="FC307" s="6">
        <v>0</v>
      </c>
      <c r="FD307" s="6">
        <v>0</v>
      </c>
      <c r="FE307" s="6">
        <v>0</v>
      </c>
      <c r="FF307" s="6">
        <v>0</v>
      </c>
      <c r="FG307" s="6">
        <v>0</v>
      </c>
      <c r="FH307" s="6">
        <v>1154.3289130867206</v>
      </c>
      <c r="FI307" s="6">
        <v>1531.4299904380621</v>
      </c>
      <c r="FJ307" s="6">
        <v>2070.7205842538219</v>
      </c>
      <c r="FK307" s="6">
        <v>1746.9903521590438</v>
      </c>
      <c r="FL307" s="6">
        <v>893.91433563489375</v>
      </c>
      <c r="FM307" s="6">
        <v>1774.4935810304053</v>
      </c>
      <c r="FN307" s="6">
        <v>0</v>
      </c>
      <c r="FO307" s="6">
        <v>0</v>
      </c>
      <c r="FP307" s="6">
        <v>0</v>
      </c>
      <c r="FQ307" s="6">
        <v>0</v>
      </c>
      <c r="FR307" s="6">
        <v>0</v>
      </c>
      <c r="FS307" s="6">
        <v>0</v>
      </c>
      <c r="FT307" s="7">
        <v>0.62037918889388999</v>
      </c>
      <c r="FU307" s="7">
        <v>4.6757971625580041E-2</v>
      </c>
      <c r="FV307" s="7">
        <v>0.33286283948053014</v>
      </c>
      <c r="FW307" s="6">
        <v>1200</v>
      </c>
      <c r="FX307" s="6">
        <v>2224.493581030405</v>
      </c>
      <c r="FY307" s="6">
        <v>3451.75</v>
      </c>
      <c r="FZ307" s="6">
        <v>2202.331475193394</v>
      </c>
      <c r="GA307" s="6">
        <v>1997.4271405926925</v>
      </c>
      <c r="GB307" s="6">
        <v>17697.572859407308</v>
      </c>
      <c r="GC307" s="7">
        <v>4.8391397220736806E-2</v>
      </c>
      <c r="GD307" s="7">
        <v>4.6698303040990354E-2</v>
      </c>
      <c r="GE307" s="7"/>
      <c r="GF307" s="7"/>
      <c r="GG307" s="7">
        <v>-3.4987503502397814E-2</v>
      </c>
      <c r="GH307" s="42">
        <v>3.3629297438852994</v>
      </c>
      <c r="GI307" s="6">
        <v>7853.9277219119294</v>
      </c>
      <c r="GJ307" s="14">
        <v>0.5107463060103955</v>
      </c>
      <c r="GK307" s="14">
        <v>0.50829519786160982</v>
      </c>
      <c r="GL307" s="14">
        <v>0.48925369398960428</v>
      </c>
      <c r="GM307" s="14">
        <v>0.49170480213839035</v>
      </c>
      <c r="GO307" s="5">
        <v>338.16872463277008</v>
      </c>
      <c r="GP307" s="5">
        <v>315.27501390194027</v>
      </c>
      <c r="GQ307" s="5">
        <v>527.27910984145694</v>
      </c>
      <c r="GR307" s="5">
        <v>404.20319246551543</v>
      </c>
      <c r="GS307" s="5">
        <v>334.50205195691484</v>
      </c>
      <c r="GT307" s="5">
        <v>289.18266033348181</v>
      </c>
      <c r="GU307" s="5">
        <v>254.29573314828914</v>
      </c>
      <c r="GV307" s="39" t="s">
        <v>392</v>
      </c>
      <c r="GW307" s="5">
        <v>479.875</v>
      </c>
      <c r="GX307" s="5">
        <v>359.90625</v>
      </c>
      <c r="GY307" s="5">
        <v>287.92500000000001</v>
      </c>
      <c r="GZ307" s="5">
        <v>254.06342861438094</v>
      </c>
      <c r="HA307" s="5">
        <v>235.34107974463737</v>
      </c>
      <c r="HB307" s="39">
        <v>266.89699360565083</v>
      </c>
      <c r="HC307" s="5">
        <v>132.10156249999997</v>
      </c>
      <c r="HD307" s="5">
        <v>133.25251279239762</v>
      </c>
      <c r="HE307" s="5">
        <v>141.76872680499321</v>
      </c>
      <c r="HF307" s="5">
        <v>137.88145559210525</v>
      </c>
      <c r="HG307" s="5">
        <v>141.41639254385964</v>
      </c>
      <c r="HH307" s="39">
        <v>136.11749980629276</v>
      </c>
      <c r="HI307" s="16"/>
      <c r="HJ307" s="19" t="str">
        <f t="shared" si="1057"/>
        <v>On</v>
      </c>
      <c r="HK307" s="1" t="str">
        <f t="shared" si="1057"/>
        <v>On</v>
      </c>
      <c r="HL307" s="16"/>
      <c r="HM307" s="639">
        <f t="shared" si="1004"/>
        <v>2.8970655363290673E-2</v>
      </c>
      <c r="HN307" s="639">
        <f t="shared" si="1005"/>
        <v>2.1835179285533651E-3</v>
      </c>
      <c r="HO307" s="639">
        <f t="shared" si="1006"/>
        <v>1.5544129749146325E-2</v>
      </c>
      <c r="HP307" s="644">
        <f>(FT307*$GD307-HM307)/$JF307*INDEX(Input!$1:$1048576,$JG$93,$C307*2+6)</f>
        <v>0</v>
      </c>
      <c r="HQ307" s="644">
        <f>(FU307*$GD307-HN307)/$JF307*INDEX(Input!$1:$1048576,$JG$93,$C307*2+6)</f>
        <v>0</v>
      </c>
      <c r="HR307" s="644">
        <f>(FV307*$GD307-HO307)/$JF307*INDEX(Input!$1:$1048576,$JG$93,$C307*2+6)</f>
        <v>0</v>
      </c>
      <c r="HS307" s="644">
        <f t="shared" si="1007"/>
        <v>0</v>
      </c>
      <c r="HT307" s="644">
        <f t="shared" si="1008"/>
        <v>0</v>
      </c>
      <c r="HU307" s="644">
        <f t="shared" si="1009"/>
        <v>0</v>
      </c>
      <c r="HV307" s="648">
        <f t="shared" si="1010"/>
        <v>0</v>
      </c>
      <c r="HW307" s="648">
        <f t="shared" si="1011"/>
        <v>0</v>
      </c>
      <c r="HX307" s="648">
        <f t="shared" si="1012"/>
        <v>0</v>
      </c>
      <c r="HY307" s="644">
        <f>INDEX(Input!$1:$1048576,HY$93,$C307*2+6)*INDEX(Input!$1:$1048576,$JG$93,$C307*2+6)</f>
        <v>488.99999999999994</v>
      </c>
      <c r="HZ307" s="644">
        <f>INDEX(Input!$1:$1048576,HZ$93,$C307*2+6)*INDEX(Input!$1:$1048576,$JG$93,$C307*2+6)</f>
        <v>734</v>
      </c>
      <c r="IA307" s="644">
        <f>INDEX(Input!$1:$1048576,IA$93,$C307*2+6)*INDEX(Input!$1:$1048576,$JG$93,$C307*2+6)</f>
        <v>703</v>
      </c>
      <c r="IB307" s="644">
        <f t="shared" si="1036"/>
        <v>489</v>
      </c>
      <c r="IC307" s="644">
        <f t="shared" si="1037"/>
        <v>734</v>
      </c>
      <c r="ID307" s="644">
        <f>IF(AND(INDEX(Input!$1:$1048576,IA$93,$C307*2+7)="TOS",Y307&lt;=INDEX(Y:Y,MATCH(C307*1000+2,A:A))),0,1)*MAX(IA307+HR307+HU307+HX307,0%)</f>
        <v>703</v>
      </c>
      <c r="IE307" s="128">
        <f t="shared" ref="IE307" si="1071">IB307/SUM($IB307:$ID307)</f>
        <v>0.25389408099688471</v>
      </c>
      <c r="IF307" s="128">
        <f t="shared" si="1059"/>
        <v>0.38110072689511942</v>
      </c>
      <c r="IG307" s="128">
        <f t="shared" si="1014"/>
        <v>0.36500519210799587</v>
      </c>
      <c r="IH307" s="21"/>
      <c r="II307" s="19">
        <f t="shared" si="1015"/>
        <v>1200</v>
      </c>
      <c r="IJ307" s="19">
        <f t="shared" si="1016"/>
        <v>2224.493581030405</v>
      </c>
      <c r="IK307" s="19">
        <f t="shared" si="1017"/>
        <v>3451.75</v>
      </c>
      <c r="IL307" s="19">
        <f t="shared" si="1039"/>
        <v>0</v>
      </c>
      <c r="IM307" s="19">
        <f t="shared" si="1018"/>
        <v>0</v>
      </c>
      <c r="IN307" s="19">
        <f t="shared" si="1019"/>
        <v>0</v>
      </c>
      <c r="IO307" s="39">
        <f t="shared" si="1020"/>
        <v>0</v>
      </c>
      <c r="IP307" s="39">
        <f t="shared" si="1021"/>
        <v>0</v>
      </c>
      <c r="IQ307" s="39">
        <f t="shared" si="1022"/>
        <v>0</v>
      </c>
      <c r="IR307" s="39">
        <v>0</v>
      </c>
      <c r="IS307" s="39">
        <v>0</v>
      </c>
      <c r="IT307" s="39">
        <v>0</v>
      </c>
      <c r="IU307" s="39">
        <v>0</v>
      </c>
      <c r="IV307" s="39">
        <v>0</v>
      </c>
      <c r="IW307" s="39">
        <v>0</v>
      </c>
      <c r="IX307" s="39">
        <f>INDEX(Input!$1:$1048576,IX$93,$C307*2+6)+INDEX(Input!$1:$1048576,IX$94,$C307*2+6)</f>
        <v>1600</v>
      </c>
      <c r="IY307" s="39">
        <f>INDEX(Input!$1:$1048576,IY$93,$C307*2+6)+INDEX(Input!$1:$1048576,IY$94,$C307*2+6)</f>
        <v>2503.5492916397525</v>
      </c>
      <c r="IZ307" s="39">
        <f>INDEX(Input!$1:$1048576,IZ$93,$C307*2+6)+INDEX(Input!$1:$1048576,IZ$94,$C307*2+6)</f>
        <v>5773.7109265464023</v>
      </c>
      <c r="JA307" s="19">
        <f t="shared" si="1040"/>
        <v>1600</v>
      </c>
      <c r="JB307" s="19">
        <f t="shared" si="1041"/>
        <v>2503.5492916397525</v>
      </c>
      <c r="JC307" s="19">
        <f t="shared" si="1042"/>
        <v>5773.7109265464023</v>
      </c>
      <c r="JD307" s="19">
        <f t="shared" si="1043"/>
        <v>3467.7694503767907</v>
      </c>
      <c r="JE307" s="21"/>
      <c r="JF307" s="1">
        <f t="shared" si="1023"/>
        <v>4.6698303040990354E-2</v>
      </c>
      <c r="JG307" s="15">
        <f>INDEX(Input!$1:$1048576,JG$93,$C307*2+6)/(1+VLOOKUP(C307*1000+INDEX(Input!$1:$1048576,JG$93+1,$C307*2+6),$A:$KK,$JK$92,FALSE))</f>
        <v>1926</v>
      </c>
      <c r="JH307" s="1">
        <f t="shared" si="1044"/>
        <v>0</v>
      </c>
      <c r="JI307" s="1">
        <f t="shared" si="1045"/>
        <v>0</v>
      </c>
      <c r="JJ307" s="1">
        <f t="shared" si="1046"/>
        <v>0</v>
      </c>
      <c r="JK307" s="1">
        <f t="shared" si="1070"/>
        <v>0</v>
      </c>
      <c r="JL307" s="15">
        <f t="shared" si="1048"/>
        <v>0</v>
      </c>
      <c r="JM307" s="15">
        <f>JG307+JL307</f>
        <v>1926</v>
      </c>
      <c r="JN307" s="21"/>
      <c r="JO307" s="19">
        <f>INDEX(Input!$1:$1048576,JO$93,$C307*2+6)</f>
        <v>5908.5</v>
      </c>
      <c r="JP307" s="19">
        <f>INDEX(Input!$1:$1048576,JP$93,$C307*2+6)</f>
        <v>3467.7694503767912</v>
      </c>
      <c r="JQ307" s="39">
        <f t="shared" si="1060"/>
        <v>2440.7305496232093</v>
      </c>
      <c r="JR307" s="39">
        <f>JD307-JP307</f>
        <v>0</v>
      </c>
      <c r="JS307" s="39">
        <f t="shared" si="1062"/>
        <v>6.6789239614256992</v>
      </c>
      <c r="JT307" s="39">
        <f t="shared" si="1050"/>
        <v>-9.3132257461547847E-16</v>
      </c>
      <c r="JU307" s="385">
        <f>(JQ307*JM307-INDEX(Input!$1:$1048576,Input!A$18,$C307*2+6)*JL307*INDEX(Input!$1:$1048576,Input!A$19,$C307*2+6))/1000000</f>
        <v>4.7008470385743006</v>
      </c>
      <c r="JV307" s="39">
        <f t="shared" si="1026"/>
        <v>0</v>
      </c>
      <c r="JW307" s="1">
        <f>JV307/(JU307-JV307)</f>
        <v>0</v>
      </c>
      <c r="JX307" s="19">
        <f t="shared" si="1066"/>
        <v>0</v>
      </c>
      <c r="JZ307" s="468"/>
      <c r="KA307" s="469"/>
      <c r="KB307" s="469">
        <f t="shared" si="1063"/>
        <v>2.7822247002359868</v>
      </c>
      <c r="KI307" s="473">
        <f t="shared" si="1064"/>
        <v>0</v>
      </c>
      <c r="KJ307" s="473">
        <f t="shared" si="1051"/>
        <v>0</v>
      </c>
      <c r="KK307" s="473">
        <f t="shared" si="1052"/>
        <v>0</v>
      </c>
      <c r="KN307" s="544">
        <f t="shared" si="1067"/>
        <v>3002</v>
      </c>
      <c r="KO307" s="541">
        <f t="shared" si="1027"/>
        <v>-6.5082170032927711E-2</v>
      </c>
      <c r="KP307" s="546">
        <f t="shared" si="1028"/>
        <v>-321.28806213757429</v>
      </c>
      <c r="KQ307" s="546">
        <f t="shared" si="1029"/>
        <v>-253.3117679485822</v>
      </c>
      <c r="KR307" s="548">
        <f t="shared" si="1030"/>
        <v>3.2357794165286022</v>
      </c>
      <c r="KS307" s="548">
        <f t="shared" si="1031"/>
        <v>4.1041018609611122</v>
      </c>
      <c r="KT307" s="473">
        <f t="shared" si="1065"/>
        <v>527.01264777847621</v>
      </c>
      <c r="KU307" s="663">
        <f t="shared" si="1053"/>
        <v>15.076437119081193</v>
      </c>
      <c r="KV307" s="117"/>
    </row>
    <row r="308" spans="1:308" s="26" customFormat="1" ht="15">
      <c r="A308" s="561">
        <f t="shared" si="1032"/>
        <v>3008</v>
      </c>
      <c r="B308" s="561">
        <f t="shared" si="1054"/>
        <v>8</v>
      </c>
      <c r="C308" s="561">
        <f t="shared" si="1055"/>
        <v>3</v>
      </c>
      <c r="D308" s="561" t="s">
        <v>569</v>
      </c>
      <c r="E308" s="475">
        <f>INDEX(Input!$1:$1048576,E$93,$C308*2+MIN($B308,2)+5)</f>
        <v>1250</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1.9E-2</v>
      </c>
      <c r="W308" s="863">
        <f>IFERROR(MAX(0,INDEX(Input!$1:$1048576,W$93,$C308*2+MIN($B308,2)+5)-0%,),"Market")</f>
        <v>3.9000000000000007E-2</v>
      </c>
      <c r="X308" s="476" t="str">
        <f>INDEX(Input!$1:$1048576,X$93,$C308*2+MIN($B308,2)+5)</f>
        <v>Y</v>
      </c>
      <c r="Y308" s="475">
        <f>INDEX(Input!$1:$1048576,Y$93,$C308*2+MIN($B308,2)+5)</f>
        <v>4108</v>
      </c>
      <c r="Z308" s="477">
        <f>INDEX(Input!$1:$1048576,Z$93,$C308*2+MIN($B308,2)+5)</f>
        <v>0</v>
      </c>
      <c r="AA308" s="475">
        <f>INDEX(Input!$1:$1048576,AA$93,$C308*2+MIN($B308,2)+5)</f>
        <v>500</v>
      </c>
      <c r="AB308" s="476">
        <f>INDEX(Input!$1:$1048576,AB$93,$C308*2+MIN($B308,2)+5)</f>
        <v>0.62</v>
      </c>
      <c r="AC308" s="475">
        <f>INDEX(Input!$1:$1048576,AC$93,$C308*2+MIN($B308,2)+5)</f>
        <v>0</v>
      </c>
      <c r="AD308" s="476">
        <f>INDEX(Input!$1:$1048576,AD$93,$C308*2+MIN($B308,2)+5)</f>
        <v>0.35</v>
      </c>
      <c r="AE308" s="475">
        <f>INDEX(Input!$1:$1048576,AE$93,$C308*2+MIN($B308,2)+5)</f>
        <v>500</v>
      </c>
      <c r="AF308" s="476">
        <f>INDEX(Input!$1:$1048576,AF$93,$C308*2+MIN($B308,2)+5)</f>
        <v>0.97</v>
      </c>
      <c r="AG308" s="475">
        <f>INDEX(Input!$1:$1048576,AG$93,$C308*2+MIN($B308,2)+5)</f>
        <v>0</v>
      </c>
      <c r="AH308" s="476">
        <f>INDEX(Input!$1:$1048576,AH$93,$C308*2+MIN($B308,2)+5)</f>
        <v>1</v>
      </c>
      <c r="AI308" s="475">
        <f>INDEX(Input!$1:$1048576,AI$93,$C308*2+MIN($B308,2)+5)</f>
        <v>0</v>
      </c>
      <c r="AJ308" s="476">
        <f>INDEX(Input!$1:$1048576,AJ$93,$C308*2+MIN($B308,2)+5)</f>
        <v>0.35</v>
      </c>
      <c r="AK308" s="150">
        <f>ROUND(INDEX(Input!$1:$1048576,AK$93,$C307*2+MIN($B308,1)+5)+(Y308-VLOOKUP($C308*1000+1,$A:$HH,Y$92,FALSE)),0)</f>
        <v>4982</v>
      </c>
      <c r="AL308" s="150">
        <f>ROUND(INDEX(Input!$1:$1048576,AL$93,$C307*2+MIN($B308,1)+5)-(Y308-VLOOKUP($C308*1000+1,$A:$HH,Y$92,FALSE))/36,0)</f>
        <v>5102</v>
      </c>
      <c r="AM308" s="32" t="str">
        <f t="shared" si="1033"/>
        <v>std/std/std/std</v>
      </c>
      <c r="AN308" s="32" t="str">
        <f t="shared" si="1034"/>
        <v>$0 + 0/0/0/1.9/3.9</v>
      </c>
      <c r="AO308" s="32" t="str">
        <f t="shared" si="1035"/>
        <v>0/0/0/1.9/3.9</v>
      </c>
      <c r="AP308" s="32" t="str">
        <f t="shared" si="989"/>
        <v>0/0.9/1.9/3.9</v>
      </c>
      <c r="AQ308" s="536">
        <f t="shared" si="988"/>
        <v>485.26062758565024</v>
      </c>
      <c r="AR308" s="32"/>
      <c r="AS308" s="302"/>
      <c r="AT308" s="3">
        <f t="shared" si="1056"/>
        <v>8</v>
      </c>
      <c r="AU308" s="41" t="s">
        <v>121</v>
      </c>
      <c r="AV308" s="41" t="s">
        <v>116</v>
      </c>
      <c r="AW308" s="41" t="str">
        <f>INDEX(Input!$1:$1048576,AW$93,$C308*2+6)</f>
        <v>Kia</v>
      </c>
      <c r="AX308" s="41" t="str">
        <f>INDEX(Input!$1:$1048576,AX$93,$C308*2+6)</f>
        <v>Kia-LR - L3</v>
      </c>
      <c r="AY308" s="41" t="str">
        <f>IF(LEN(D308)=0,"",INDEX(Input!$1:$1048576,AY$93,$C308*2+6))</f>
        <v>Compact Conventional/Sporty Car (43)</v>
      </c>
      <c r="AZ308" s="41" t="str">
        <f>INDEX(Input!$1:$1048576,AZ$93,$C308*2+6)</f>
        <v>Kia Forte</v>
      </c>
      <c r="BA308" s="3">
        <f>INDEX(Input!$1:$1048576,BA$93,$C308*2+6)</f>
        <v>2020</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19695</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990"/>
        <v>1250</v>
      </c>
      <c r="CJ308" s="16" t="str">
        <f>INDEX(Input!$1:$1048576,CJ$93,$C308*2+6)</f>
        <v>N</v>
      </c>
      <c r="CK308" s="1" t="str">
        <f t="shared" si="991"/>
        <v>Market</v>
      </c>
      <c r="CL308" s="1" t="str">
        <f t="shared" si="992"/>
        <v>Market</v>
      </c>
      <c r="CM308" s="1" t="str">
        <f t="shared" si="993"/>
        <v>Market</v>
      </c>
      <c r="CN308" s="1" t="str">
        <f t="shared" si="994"/>
        <v>Market</v>
      </c>
      <c r="CO308" s="1" t="str">
        <f t="shared" si="995"/>
        <v>Market</v>
      </c>
      <c r="CP308" s="304">
        <f t="shared" si="996"/>
        <v>310</v>
      </c>
      <c r="CQ308" s="1">
        <f t="shared" si="997"/>
        <v>0</v>
      </c>
      <c r="CR308" s="1">
        <f t="shared" si="998"/>
        <v>0</v>
      </c>
      <c r="CS308" s="1">
        <f t="shared" si="999"/>
        <v>0</v>
      </c>
      <c r="CT308" s="1">
        <f t="shared" si="1000"/>
        <v>1.9E-2</v>
      </c>
      <c r="CU308" s="1">
        <f t="shared" si="1001"/>
        <v>3.9000000000000007E-2</v>
      </c>
      <c r="CV308" s="304">
        <f t="shared" si="1002"/>
        <v>4593</v>
      </c>
      <c r="CW308" s="20" t="s">
        <v>122</v>
      </c>
      <c r="CX308" s="20" t="s">
        <v>122</v>
      </c>
      <c r="CY308" s="20" t="s">
        <v>122</v>
      </c>
      <c r="CZ308" s="20" t="s">
        <v>122</v>
      </c>
      <c r="DA308" s="20" t="s">
        <v>122</v>
      </c>
      <c r="DB308" s="503">
        <f t="shared" si="1003"/>
        <v>0</v>
      </c>
      <c r="DC308" s="127">
        <v>0</v>
      </c>
      <c r="DD308" s="127">
        <v>0</v>
      </c>
      <c r="DE308" s="127">
        <v>0</v>
      </c>
      <c r="DF308" s="127">
        <v>0</v>
      </c>
      <c r="DG308" s="127">
        <v>0</v>
      </c>
      <c r="DH308" s="127">
        <v>0</v>
      </c>
      <c r="DI308" s="127">
        <v>0</v>
      </c>
      <c r="DJ308" s="127">
        <v>0</v>
      </c>
      <c r="DK308" s="127">
        <v>0</v>
      </c>
      <c r="DL308" s="127">
        <v>0</v>
      </c>
      <c r="DM308" s="304">
        <f>INDEX(Input!$1:$1048576,DM$93,$C308*2+6)</f>
        <v>20731.578947368424</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3.378239052297663E-2</v>
      </c>
      <c r="DZ308" s="7">
        <v>0</v>
      </c>
      <c r="EA308" s="7">
        <v>0.59770169784981975</v>
      </c>
      <c r="EB308" s="7">
        <v>0</v>
      </c>
      <c r="EC308" s="7">
        <v>0</v>
      </c>
      <c r="ED308" s="7">
        <v>0</v>
      </c>
      <c r="EE308" s="7">
        <v>0</v>
      </c>
      <c r="EF308" s="7">
        <v>0</v>
      </c>
      <c r="EG308" s="7">
        <v>0</v>
      </c>
      <c r="EH308" s="7">
        <v>1.4122908789219516E-2</v>
      </c>
      <c r="EI308" s="7">
        <v>1.7904918896494613E-2</v>
      </c>
      <c r="EJ308" s="7">
        <v>0.25729943568688957</v>
      </c>
      <c r="EK308" s="7">
        <v>0.65972401609207376</v>
      </c>
      <c r="EL308" s="7">
        <v>5.0948720535322567E-2</v>
      </c>
      <c r="EM308" s="7">
        <v>4.7707900281236372E-2</v>
      </c>
      <c r="EN308" s="7">
        <v>5.8903840649550725E-2</v>
      </c>
      <c r="EO308" s="7">
        <v>0.5680644908961251</v>
      </c>
      <c r="EP308" s="7">
        <v>0.2741070959193187</v>
      </c>
      <c r="EQ308" s="7">
        <v>5.8713575146425355E-2</v>
      </c>
      <c r="ER308" s="7">
        <v>4.0210997388580257E-2</v>
      </c>
      <c r="ES308" s="7">
        <v>0.32080801134596715</v>
      </c>
      <c r="ET308" s="7">
        <v>0.3685159116272036</v>
      </c>
      <c r="EU308" s="6">
        <v>1600</v>
      </c>
      <c r="EV308" s="6">
        <v>0</v>
      </c>
      <c r="EW308" s="6">
        <v>1600</v>
      </c>
      <c r="EX308" s="6">
        <v>0</v>
      </c>
      <c r="EY308" s="6">
        <v>2624.5931146502526</v>
      </c>
      <c r="EZ308" s="6">
        <v>3636</v>
      </c>
      <c r="FA308" s="6">
        <v>0</v>
      </c>
      <c r="FB308" s="6">
        <v>0</v>
      </c>
      <c r="FC308" s="6">
        <v>0</v>
      </c>
      <c r="FD308" s="6">
        <v>0</v>
      </c>
      <c r="FE308" s="6">
        <v>0</v>
      </c>
      <c r="FF308" s="6">
        <v>0</v>
      </c>
      <c r="FG308" s="6">
        <v>0</v>
      </c>
      <c r="FH308" s="6">
        <v>1154.3276570091737</v>
      </c>
      <c r="FI308" s="6">
        <v>1531.4299904380618</v>
      </c>
      <c r="FJ308" s="6">
        <v>2070.7205842538219</v>
      </c>
      <c r="FK308" s="6">
        <v>1746.9903521590434</v>
      </c>
      <c r="FL308" s="6">
        <v>893.91433563489363</v>
      </c>
      <c r="FM308" s="6">
        <v>1774.5931146502528</v>
      </c>
      <c r="FN308" s="6">
        <v>0</v>
      </c>
      <c r="FO308" s="6">
        <v>0</v>
      </c>
      <c r="FP308" s="6">
        <v>0</v>
      </c>
      <c r="FQ308" s="6">
        <v>0</v>
      </c>
      <c r="FR308" s="6">
        <v>0</v>
      </c>
      <c r="FS308" s="6">
        <v>0</v>
      </c>
      <c r="FT308" s="7">
        <v>0.63148408837279635</v>
      </c>
      <c r="FU308" s="7">
        <v>4.7707900281236372E-2</v>
      </c>
      <c r="FV308" s="7">
        <v>0.32080801134596715</v>
      </c>
      <c r="FW308" s="6">
        <v>1600</v>
      </c>
      <c r="FX308" s="6">
        <v>2624.5931146502526</v>
      </c>
      <c r="FY308" s="6">
        <v>3636</v>
      </c>
      <c r="FZ308" s="6">
        <v>2202.331475193394</v>
      </c>
      <c r="GA308" s="6">
        <v>2302.0462972429646</v>
      </c>
      <c r="GB308" s="6">
        <v>17392.953702757037</v>
      </c>
      <c r="GC308" s="7">
        <v>4.8391397220736806E-2</v>
      </c>
      <c r="GD308" s="7">
        <v>4.8794856554774328E-2</v>
      </c>
      <c r="GE308" s="7"/>
      <c r="GF308" s="7"/>
      <c r="GG308" s="7">
        <v>8.3374185745690825E-3</v>
      </c>
      <c r="GH308" s="42">
        <v>1.6467507583226466</v>
      </c>
      <c r="GI308" s="6">
        <v>14261.961846370161</v>
      </c>
      <c r="GJ308" s="14">
        <v>0.5107463060103955</v>
      </c>
      <c r="GK308" s="14">
        <v>0.50829519786160982</v>
      </c>
      <c r="GL308" s="14">
        <v>0.48925369398960444</v>
      </c>
      <c r="GM308" s="14">
        <v>0.49170480213839024</v>
      </c>
      <c r="GO308" s="5">
        <v>338.16872463277008</v>
      </c>
      <c r="GP308" s="5">
        <v>307.64377699166363</v>
      </c>
      <c r="GQ308" s="5">
        <v>527.27910984145694</v>
      </c>
      <c r="GR308" s="5">
        <v>404.20319246551543</v>
      </c>
      <c r="GS308" s="5">
        <v>334.50205195691484</v>
      </c>
      <c r="GT308" s="5">
        <v>289.18266033348181</v>
      </c>
      <c r="GU308" s="5">
        <v>254.29573314828914</v>
      </c>
      <c r="GV308" s="39" t="s">
        <v>392</v>
      </c>
      <c r="GW308" s="5">
        <v>468.76388888888891</v>
      </c>
      <c r="GX308" s="5">
        <v>351.57291666666669</v>
      </c>
      <c r="GY308" s="5">
        <v>281.25833333333333</v>
      </c>
      <c r="GZ308" s="5">
        <v>248.18079879493993</v>
      </c>
      <c r="HA308" s="5">
        <v>229.8919505212948</v>
      </c>
      <c r="HB308" s="39">
        <v>260.72633869284635</v>
      </c>
      <c r="HC308" s="5">
        <v>124.04062499999996</v>
      </c>
      <c r="HD308" s="5">
        <v>127.75060307017539</v>
      </c>
      <c r="HE308" s="5">
        <v>136.66051366396758</v>
      </c>
      <c r="HF308" s="5">
        <v>133.62067434210525</v>
      </c>
      <c r="HG308" s="5">
        <v>137.88493421052632</v>
      </c>
      <c r="HH308" s="39">
        <v>130.72650526464059</v>
      </c>
      <c r="HI308" s="16"/>
      <c r="HJ308" s="19" t="str">
        <f t="shared" si="1057"/>
        <v>On</v>
      </c>
      <c r="HK308" s="1" t="str">
        <f t="shared" si="1057"/>
        <v>On</v>
      </c>
      <c r="HL308" s="16"/>
      <c r="HM308" s="639">
        <f t="shared" si="1004"/>
        <v>2.8970655363290673E-2</v>
      </c>
      <c r="HN308" s="639">
        <f t="shared" si="1005"/>
        <v>2.1835179285533651E-3</v>
      </c>
      <c r="HO308" s="639">
        <f t="shared" si="1006"/>
        <v>1.5544129749146325E-2</v>
      </c>
      <c r="HP308" s="644">
        <f>(FT308*$GD308-HM308)/$JF308*INDEX(Input!$1:$1048576,$JG$93,$C308*2+6)</f>
        <v>75.991921956652007</v>
      </c>
      <c r="HQ308" s="644">
        <f>(FU308*$GD308-HN308)/$JF308*INDEX(Input!$1:$1048576,$JG$93,$C308*2+6)</f>
        <v>5.954823662677069</v>
      </c>
      <c r="HR308" s="644">
        <f>(FV308*$GD308-HO308)/$JF308*INDEX(Input!$1:$1048576,$JG$93,$C308*2+6)</f>
        <v>4.5223936126361641</v>
      </c>
      <c r="HS308" s="644">
        <f t="shared" si="1007"/>
        <v>-28.079785004475308</v>
      </c>
      <c r="HT308" s="644">
        <f t="shared" si="1008"/>
        <v>53.175669854266594</v>
      </c>
      <c r="HU308" s="644">
        <f t="shared" si="1009"/>
        <v>22.509068277604847</v>
      </c>
      <c r="HV308" s="648">
        <f t="shared" si="1010"/>
        <v>0</v>
      </c>
      <c r="HW308" s="648">
        <f t="shared" si="1011"/>
        <v>0</v>
      </c>
      <c r="HX308" s="648">
        <f t="shared" si="1012"/>
        <v>0</v>
      </c>
      <c r="HY308" s="644">
        <f>INDEX(Input!$1:$1048576,HY$93,$C308*2+6)*INDEX(Input!$1:$1048576,$JG$93,$C308*2+6)</f>
        <v>488.99999999999994</v>
      </c>
      <c r="HZ308" s="644">
        <f>INDEX(Input!$1:$1048576,HZ$93,$C308*2+6)*INDEX(Input!$1:$1048576,$JG$93,$C308*2+6)</f>
        <v>734</v>
      </c>
      <c r="IA308" s="644">
        <f>INDEX(Input!$1:$1048576,IA$93,$C308*2+6)*INDEX(Input!$1:$1048576,$JG$93,$C308*2+6)</f>
        <v>703</v>
      </c>
      <c r="IB308" s="644">
        <f t="shared" si="1036"/>
        <v>536.91213695217652</v>
      </c>
      <c r="IC308" s="644">
        <f t="shared" si="1037"/>
        <v>793.13049351694372</v>
      </c>
      <c r="ID308" s="644">
        <f>IF(AND(INDEX(Input!$1:$1048576,IA$93,$C308*2+7)="TOS",Y308&lt;=INDEX(Y:Y,MATCH(C308*1000+2,A:A))),0,1)*MAX(IA308+HR308+HU308+HX308,0%)</f>
        <v>730.03146189024096</v>
      </c>
      <c r="IE308" s="128">
        <f t="shared" ref="IE308:IE311" si="1072">IB308/SUM($IB308:$ID308)</f>
        <v>0.2606275856502141</v>
      </c>
      <c r="IF308" s="128">
        <f t="shared" si="1059"/>
        <v>0.38500095528534484</v>
      </c>
      <c r="IG308" s="128">
        <f t="shared" si="1014"/>
        <v>0.35437145906444106</v>
      </c>
      <c r="IH308" s="21"/>
      <c r="II308" s="19">
        <f t="shared" si="1015"/>
        <v>1200</v>
      </c>
      <c r="IJ308" s="19">
        <f t="shared" si="1016"/>
        <v>2224.493581030405</v>
      </c>
      <c r="IK308" s="19">
        <f t="shared" si="1017"/>
        <v>3451.75</v>
      </c>
      <c r="IL308" s="19">
        <f t="shared" si="1039"/>
        <v>400</v>
      </c>
      <c r="IM308" s="19">
        <f t="shared" si="1018"/>
        <v>400.09953361984753</v>
      </c>
      <c r="IN308" s="19">
        <f t="shared" si="1019"/>
        <v>184.25</v>
      </c>
      <c r="IO308" s="39">
        <f t="shared" si="1020"/>
        <v>0</v>
      </c>
      <c r="IP308" s="39">
        <f t="shared" si="1021"/>
        <v>0</v>
      </c>
      <c r="IQ308" s="39">
        <f t="shared" si="1022"/>
        <v>0</v>
      </c>
      <c r="IR308" s="39">
        <v>0</v>
      </c>
      <c r="IS308" s="39">
        <v>0</v>
      </c>
      <c r="IT308" s="39">
        <v>0</v>
      </c>
      <c r="IU308" s="39">
        <v>0</v>
      </c>
      <c r="IV308" s="39">
        <v>0</v>
      </c>
      <c r="IW308" s="39">
        <v>0</v>
      </c>
      <c r="IX308" s="39">
        <f>INDEX(Input!$1:$1048576,IX$93,$C308*2+6)+INDEX(Input!$1:$1048576,IX$94,$C308*2+6)</f>
        <v>1600</v>
      </c>
      <c r="IY308" s="39">
        <f>INDEX(Input!$1:$1048576,IY$93,$C308*2+6)+INDEX(Input!$1:$1048576,IY$94,$C308*2+6)</f>
        <v>2503.5492916397525</v>
      </c>
      <c r="IZ308" s="39">
        <f>INDEX(Input!$1:$1048576,IZ$93,$C308*2+6)+INDEX(Input!$1:$1048576,IZ$94,$C308*2+6)</f>
        <v>5773.7109265464023</v>
      </c>
      <c r="JA308" s="19">
        <f t="shared" si="1040"/>
        <v>2000</v>
      </c>
      <c r="JB308" s="19">
        <f t="shared" si="1041"/>
        <v>2903.6488252596</v>
      </c>
      <c r="JC308" s="19">
        <f t="shared" si="1042"/>
        <v>5957.9609265464023</v>
      </c>
      <c r="JD308" s="19">
        <f t="shared" si="1043"/>
        <v>3750.4940494277216</v>
      </c>
      <c r="JE308" s="21"/>
      <c r="JF308" s="1">
        <f t="shared" si="1023"/>
        <v>4.6698303040990354E-2</v>
      </c>
      <c r="JG308" s="15">
        <f>INDEX(Input!$1:$1048576,JG$93,$C308*2+6)/(1+VLOOKUP(C308*1000+INDEX(Input!$1:$1048576,JG$93+1,$C308*2+6),$A:$KK,$JK$92,FALSE))</f>
        <v>1926</v>
      </c>
      <c r="JH308" s="1">
        <f t="shared" si="1044"/>
        <v>4.4895710920023493E-2</v>
      </c>
      <c r="JI308" s="1">
        <f t="shared" si="1045"/>
        <v>2.4717005777464243E-2</v>
      </c>
      <c r="JJ308" s="1">
        <f t="shared" si="1046"/>
        <v>0</v>
      </c>
      <c r="JK308" s="1">
        <f t="shared" ref="JK308:JK311" si="1073">SUM(JH308:JJ308)</f>
        <v>6.9612716697487739E-2</v>
      </c>
      <c r="JL308" s="15">
        <f t="shared" si="1048"/>
        <v>134.07409235936137</v>
      </c>
      <c r="JM308" s="15">
        <f t="shared" ref="JM308:JM371" si="1074">JG308+JL308</f>
        <v>2060.0740923593612</v>
      </c>
      <c r="JN308" s="21"/>
      <c r="JO308" s="19">
        <f>INDEX(Input!$1:$1048576,JO$93,$C308*2+6)</f>
        <v>5908.5</v>
      </c>
      <c r="JP308" s="19">
        <f>INDEX(Input!$1:$1048576,JP$93,$C308*2+6)</f>
        <v>3467.7694503767912</v>
      </c>
      <c r="JQ308" s="39">
        <f t="shared" si="1060"/>
        <v>2158.0059505722784</v>
      </c>
      <c r="JR308" s="39">
        <f>JD308-JP308</f>
        <v>282.72459905093046</v>
      </c>
      <c r="JS308" s="39">
        <f t="shared" si="1062"/>
        <v>7.7262956247739991</v>
      </c>
      <c r="JT308" s="39">
        <f t="shared" si="1050"/>
        <v>1.0473716633482986</v>
      </c>
      <c r="JU308" s="385">
        <f>(JQ308*JM308-INDEX(Input!$1:$1048576,Input!A$18,$C308*2+6)*JL308*INDEX(Input!$1:$1048576,Input!A$19,$C308*2+6))/1000000</f>
        <v>4.4456521499312869</v>
      </c>
      <c r="JV308" s="39">
        <f t="shared" si="1026"/>
        <v>-0.25519488864301287</v>
      </c>
      <c r="JW308" s="1">
        <f t="shared" ref="JW308:JW371" si="1075">JV308/(JU308-JV308)</f>
        <v>-5.4287001161477881E-2</v>
      </c>
      <c r="JX308" s="19">
        <f t="shared" si="1066"/>
        <v>7811.8870313961033</v>
      </c>
      <c r="JZ308" s="341"/>
      <c r="KA308" s="342"/>
      <c r="KB308" s="469">
        <f t="shared" si="1063"/>
        <v>2.7822247002359868</v>
      </c>
      <c r="KI308" s="473">
        <f t="shared" si="1064"/>
        <v>47.912136952176581</v>
      </c>
      <c r="KJ308" s="473">
        <f t="shared" si="1051"/>
        <v>59.130493516943716</v>
      </c>
      <c r="KK308" s="473">
        <f t="shared" si="1052"/>
        <v>27.031461890240962</v>
      </c>
      <c r="KN308" s="544">
        <f t="shared" si="1067"/>
        <v>3002</v>
      </c>
      <c r="KO308" s="541">
        <f t="shared" si="1027"/>
        <v>0</v>
      </c>
      <c r="KP308" s="546">
        <f t="shared" si="1028"/>
        <v>0</v>
      </c>
      <c r="KQ308" s="546">
        <f t="shared" si="1029"/>
        <v>29.412831102348719</v>
      </c>
      <c r="KR308" s="548" t="e">
        <f t="shared" si="1030"/>
        <v>#DIV/0!</v>
      </c>
      <c r="KS308" s="548">
        <f t="shared" si="1031"/>
        <v>0</v>
      </c>
      <c r="KT308" s="473">
        <f>KT307</f>
        <v>527.01264777847621</v>
      </c>
      <c r="KU308" s="663">
        <f t="shared" si="1053"/>
        <v>15.275880610035951</v>
      </c>
      <c r="KV308" s="117"/>
    </row>
    <row r="309" spans="1:308" s="26" customFormat="1" ht="15">
      <c r="A309" s="561">
        <f t="shared" si="1032"/>
        <v>3009</v>
      </c>
      <c r="B309" s="561">
        <f t="shared" si="1054"/>
        <v>9</v>
      </c>
      <c r="C309" s="561">
        <f t="shared" si="1055"/>
        <v>3</v>
      </c>
      <c r="D309" s="561" t="str">
        <f t="shared" ref="D309:D318" si="1076">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1500</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1.9E-2</v>
      </c>
      <c r="W309" s="862">
        <f>INDEX(Input!$1:$1048576,W$93,$C309*2+MIN($B309,2)+5)</f>
        <v>3.9000000000000007E-2</v>
      </c>
      <c r="X309" s="118" t="str">
        <f>INDEX(Input!$1:$1048576,X$93,$C309*2+MIN($B309,2)+5)</f>
        <v>Y</v>
      </c>
      <c r="Y309" s="150">
        <f>INDEX(Input!$1:$1048576,Y$93,$C309*2+MIN($B309,2)+5)</f>
        <v>4108</v>
      </c>
      <c r="Z309" s="30">
        <f>INDEX(Input!$1:$1048576,Z$93,$C309*2+MIN($B309,2)+5)</f>
        <v>0</v>
      </c>
      <c r="AA309" s="115">
        <f>INDEX(Input!$1:$1048576,AA$93,$C309*2+MIN($B309,2)+5)</f>
        <v>500</v>
      </c>
      <c r="AB309" s="118">
        <f>INDEX(Input!$1:$1048576,AB$93,$C309*2+MIN($B309,2)+5)</f>
        <v>0.62</v>
      </c>
      <c r="AC309" s="115">
        <f>INDEX(Input!$1:$1048576,AC$93,$C309*2+MIN($B309,2)+5)</f>
        <v>0</v>
      </c>
      <c r="AD309" s="118">
        <f>INDEX(Input!$1:$1048576,AD$93,$C309*2+MIN($B309,2)+5)</f>
        <v>0.35</v>
      </c>
      <c r="AE309" s="115">
        <f>INDEX(Input!$1:$1048576,AE$93,$C309*2+MIN($B309,2)+5)</f>
        <v>500</v>
      </c>
      <c r="AF309" s="118">
        <f>INDEX(Input!$1:$1048576,AF$93,$C309*2+MIN($B309,2)+5)</f>
        <v>0.97</v>
      </c>
      <c r="AG309" s="115">
        <f>INDEX(Input!$1:$1048576,AG$93,$C309*2+MIN($B309,2)+5)</f>
        <v>0</v>
      </c>
      <c r="AH309" s="118">
        <f>INDEX(Input!$1:$1048576,AH$93,$C309*2+MIN($B309,2)+5)</f>
        <v>1</v>
      </c>
      <c r="AI309" s="115">
        <f>INDEX(Input!$1:$1048576,AI$93,$C309*2+MIN($B309,2)+5)</f>
        <v>0</v>
      </c>
      <c r="AJ309" s="118">
        <f>INDEX(Input!$1:$1048576,AJ$93,$C309*2+MIN($B309,2)+5)</f>
        <v>0.35</v>
      </c>
      <c r="AK309" s="150">
        <f>ROUND(INDEX(Input!$1:$1048576,AK$93,$C308*2+MIN($B309,1)+5)+(Y309-VLOOKUP($C309*1000+1,$A:$HH,Y$92,FALSE)),0)</f>
        <v>4982</v>
      </c>
      <c r="AL309" s="150">
        <f>ROUND(INDEX(Input!$1:$1048576,AL$93,$C308*2+MIN($B309,1)+5)-(Y309-VLOOKUP($C309*1000+1,$A:$HH,Y$92,FALSE))/36,0)</f>
        <v>5102</v>
      </c>
      <c r="AM309" s="32" t="str">
        <f t="shared" si="1033"/>
        <v>std/std/std/std</v>
      </c>
      <c r="AN309" s="32" t="str">
        <f t="shared" si="1034"/>
        <v>$0 + 0/0/0/1.9/3.9</v>
      </c>
      <c r="AO309" s="32" t="str">
        <f t="shared" si="1035"/>
        <v>0/0/0/1.9/3.9</v>
      </c>
      <c r="AP309" s="32" t="str">
        <f t="shared" si="989"/>
        <v>0/0.9/1.9/3.9</v>
      </c>
      <c r="AQ309" s="536">
        <f t="shared" si="988"/>
        <v>485.2781323757269</v>
      </c>
      <c r="AR309" s="32"/>
      <c r="AS309" s="302"/>
      <c r="AT309" s="3">
        <f t="shared" si="1056"/>
        <v>9</v>
      </c>
      <c r="AU309" s="41" t="s">
        <v>121</v>
      </c>
      <c r="AV309" s="41" t="s">
        <v>116</v>
      </c>
      <c r="AW309" s="41" t="str">
        <f>INDEX(Input!$1:$1048576,AW$93,$C309*2+6)</f>
        <v>Kia</v>
      </c>
      <c r="AX309" s="41" t="str">
        <f>INDEX(Input!$1:$1048576,AX$93,$C309*2+6)</f>
        <v>Kia-LR - L3</v>
      </c>
      <c r="AY309" s="41" t="str">
        <f>IF(LEN(D309)=0,"",INDEX(Input!$1:$1048576,AY$93,$C309*2+6))</f>
        <v>Compact Conventional/Sporty Car (43)</v>
      </c>
      <c r="AZ309" s="41" t="str">
        <f>INDEX(Input!$1:$1048576,AZ$93,$C309*2+6)</f>
        <v>Kia Forte</v>
      </c>
      <c r="BA309" s="3">
        <f>INDEX(Input!$1:$1048576,BA$93,$C309*2+6)</f>
        <v>2020</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19695</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990"/>
        <v>1500</v>
      </c>
      <c r="CJ309" s="16" t="str">
        <f>INDEX(Input!$1:$1048576,CJ$93,$C309*2+6)</f>
        <v>N</v>
      </c>
      <c r="CK309" s="1" t="str">
        <f t="shared" si="991"/>
        <v>Market</v>
      </c>
      <c r="CL309" s="1" t="str">
        <f t="shared" si="992"/>
        <v>Market</v>
      </c>
      <c r="CM309" s="1" t="str">
        <f t="shared" si="993"/>
        <v>Market</v>
      </c>
      <c r="CN309" s="1" t="str">
        <f t="shared" si="994"/>
        <v>Market</v>
      </c>
      <c r="CO309" s="1" t="str">
        <f t="shared" si="995"/>
        <v>Market</v>
      </c>
      <c r="CP309" s="304">
        <f t="shared" si="996"/>
        <v>310</v>
      </c>
      <c r="CQ309" s="1">
        <f t="shared" si="997"/>
        <v>0</v>
      </c>
      <c r="CR309" s="1">
        <f t="shared" si="998"/>
        <v>0</v>
      </c>
      <c r="CS309" s="1">
        <f t="shared" si="999"/>
        <v>0</v>
      </c>
      <c r="CT309" s="1">
        <f t="shared" si="1000"/>
        <v>1.9E-2</v>
      </c>
      <c r="CU309" s="1">
        <f t="shared" si="1001"/>
        <v>3.9000000000000007E-2</v>
      </c>
      <c r="CV309" s="304">
        <f t="shared" si="1002"/>
        <v>4593</v>
      </c>
      <c r="CW309" s="20" t="s">
        <v>122</v>
      </c>
      <c r="CX309" s="20" t="s">
        <v>122</v>
      </c>
      <c r="CY309" s="20" t="s">
        <v>122</v>
      </c>
      <c r="CZ309" s="20" t="s">
        <v>122</v>
      </c>
      <c r="DA309" s="20" t="s">
        <v>122</v>
      </c>
      <c r="DB309" s="503">
        <f t="shared" si="1003"/>
        <v>0</v>
      </c>
      <c r="DC309" s="127">
        <v>0</v>
      </c>
      <c r="DD309" s="127">
        <v>0</v>
      </c>
      <c r="DE309" s="127">
        <v>0</v>
      </c>
      <c r="DF309" s="127">
        <v>0</v>
      </c>
      <c r="DG309" s="127">
        <v>0</v>
      </c>
      <c r="DH309" s="127">
        <v>0</v>
      </c>
      <c r="DI309" s="127">
        <v>0</v>
      </c>
      <c r="DJ309" s="127">
        <v>0</v>
      </c>
      <c r="DK309" s="127">
        <v>0</v>
      </c>
      <c r="DL309" s="127">
        <v>0</v>
      </c>
      <c r="DM309" s="304">
        <f>INDEX(Input!$1:$1048576,DM$93,$C309*2+6)</f>
        <v>20731.578947368424</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3.4776732272754476E-2</v>
      </c>
      <c r="DZ309" s="7">
        <v>0</v>
      </c>
      <c r="EA309" s="7">
        <v>0.6130083497394222</v>
      </c>
      <c r="EB309" s="7">
        <v>0</v>
      </c>
      <c r="EC309" s="7">
        <v>0</v>
      </c>
      <c r="ED309" s="7">
        <v>0</v>
      </c>
      <c r="EE309" s="7">
        <v>0</v>
      </c>
      <c r="EF309" s="7">
        <v>0</v>
      </c>
      <c r="EG309" s="7">
        <v>0</v>
      </c>
      <c r="EH309" s="7">
        <v>1.4131677423594996E-2</v>
      </c>
      <c r="EI309" s="7">
        <v>1.7905700304851641E-2</v>
      </c>
      <c r="EJ309" s="7">
        <v>0.25757823213392622</v>
      </c>
      <c r="EK309" s="7">
        <v>0.6594933453752001</v>
      </c>
      <c r="EL309" s="7">
        <v>5.0891044762426854E-2</v>
      </c>
      <c r="EM309" s="7">
        <v>4.5599138491761219E-2</v>
      </c>
      <c r="EN309" s="7">
        <v>5.8903840649550718E-2</v>
      </c>
      <c r="EO309" s="7">
        <v>0.56806449089612499</v>
      </c>
      <c r="EP309" s="7">
        <v>0.27410709591931853</v>
      </c>
      <c r="EQ309" s="7">
        <v>5.8713575146425327E-2</v>
      </c>
      <c r="ER309" s="7">
        <v>4.021099738858025E-2</v>
      </c>
      <c r="ES309" s="7">
        <v>0.30661577949606217</v>
      </c>
      <c r="ET309" s="7">
        <v>0.35221491798782334</v>
      </c>
      <c r="EU309" s="6">
        <v>1850</v>
      </c>
      <c r="EV309" s="6">
        <v>0</v>
      </c>
      <c r="EW309" s="6">
        <v>1850</v>
      </c>
      <c r="EX309" s="6">
        <v>0</v>
      </c>
      <c r="EY309" s="6">
        <v>2624.7271821409163</v>
      </c>
      <c r="EZ309" s="6">
        <v>3636</v>
      </c>
      <c r="FA309" s="6">
        <v>0</v>
      </c>
      <c r="FB309" s="6">
        <v>0</v>
      </c>
      <c r="FC309" s="6">
        <v>0</v>
      </c>
      <c r="FD309" s="6">
        <v>0</v>
      </c>
      <c r="FE309" s="6">
        <v>0</v>
      </c>
      <c r="FF309" s="6">
        <v>0</v>
      </c>
      <c r="FG309" s="6">
        <v>0</v>
      </c>
      <c r="FH309" s="6">
        <v>1154.3259669561171</v>
      </c>
      <c r="FI309" s="6">
        <v>1531.4299904380618</v>
      </c>
      <c r="FJ309" s="6">
        <v>2070.7205842538219</v>
      </c>
      <c r="FK309" s="6">
        <v>1746.9903521590438</v>
      </c>
      <c r="FL309" s="6">
        <v>893.91433563489363</v>
      </c>
      <c r="FM309" s="6">
        <v>1774.7271821409163</v>
      </c>
      <c r="FN309" s="6">
        <v>0</v>
      </c>
      <c r="FO309" s="6">
        <v>0</v>
      </c>
      <c r="FP309" s="6">
        <v>0</v>
      </c>
      <c r="FQ309" s="6">
        <v>0</v>
      </c>
      <c r="FR309" s="6">
        <v>0</v>
      </c>
      <c r="FS309" s="6">
        <v>0</v>
      </c>
      <c r="FT309" s="7">
        <v>0.64778508201217666</v>
      </c>
      <c r="FU309" s="7">
        <v>4.5599138491761219E-2</v>
      </c>
      <c r="FV309" s="7">
        <v>0.30661577949606217</v>
      </c>
      <c r="FW309" s="6">
        <v>1850.0000000000002</v>
      </c>
      <c r="FX309" s="6">
        <v>2624.7271821409163</v>
      </c>
      <c r="FY309" s="6">
        <v>3636</v>
      </c>
      <c r="FZ309" s="6">
        <v>2202.331475193394</v>
      </c>
      <c r="GA309" s="6">
        <v>2432.9426742517426</v>
      </c>
      <c r="GB309" s="6">
        <v>17262.057325748257</v>
      </c>
      <c r="GC309" s="7">
        <v>4.8391397220736806E-2</v>
      </c>
      <c r="GD309" s="7">
        <v>4.9827546334230491E-2</v>
      </c>
      <c r="GE309" s="7"/>
      <c r="GF309" s="7"/>
      <c r="GG309" s="7">
        <v>2.967777737317041E-2</v>
      </c>
      <c r="GH309" s="42">
        <v>2.5345856044775248</v>
      </c>
      <c r="GI309" s="6">
        <v>10203.443684439522</v>
      </c>
      <c r="GJ309" s="14">
        <v>0.51074630601039561</v>
      </c>
      <c r="GK309" s="14">
        <v>0.50829519786160982</v>
      </c>
      <c r="GL309" s="14">
        <v>0.48925369398960444</v>
      </c>
      <c r="GM309" s="14">
        <v>0.49170480213839041</v>
      </c>
      <c r="GO309" s="5">
        <v>338.16872463277008</v>
      </c>
      <c r="GP309" s="5">
        <v>302.87425392274076</v>
      </c>
      <c r="GQ309" s="5">
        <v>527.27910984145694</v>
      </c>
      <c r="GR309" s="5">
        <v>404.20319246551543</v>
      </c>
      <c r="GS309" s="5">
        <v>334.50205195691484</v>
      </c>
      <c r="GT309" s="5">
        <v>289.18266033348181</v>
      </c>
      <c r="GU309" s="5">
        <v>254.29573314828914</v>
      </c>
      <c r="GV309" s="39" t="s">
        <v>392</v>
      </c>
      <c r="GW309" s="5">
        <v>468.76388888888891</v>
      </c>
      <c r="GX309" s="5">
        <v>351.57291666666669</v>
      </c>
      <c r="GY309" s="5">
        <v>281.25833333333333</v>
      </c>
      <c r="GZ309" s="5">
        <v>248.18079879493993</v>
      </c>
      <c r="HA309" s="5">
        <v>229.8919505212948</v>
      </c>
      <c r="HB309" s="39">
        <v>260.73863041934334</v>
      </c>
      <c r="HC309" s="5">
        <v>124.04062499999996</v>
      </c>
      <c r="HD309" s="5">
        <v>127.75060307017539</v>
      </c>
      <c r="HE309" s="5">
        <v>136.66051366396758</v>
      </c>
      <c r="HF309" s="5">
        <v>133.62067434210525</v>
      </c>
      <c r="HG309" s="5">
        <v>137.88493421052632</v>
      </c>
      <c r="HH309" s="39">
        <v>130.72650526464056</v>
      </c>
      <c r="HI309" s="16"/>
      <c r="HJ309" s="19" t="str">
        <f t="shared" si="1057"/>
        <v>On</v>
      </c>
      <c r="HK309" s="1" t="str">
        <f t="shared" si="1057"/>
        <v>On</v>
      </c>
      <c r="HL309" s="16"/>
      <c r="HM309" s="639">
        <f t="shared" si="1004"/>
        <v>2.8970655363290673E-2</v>
      </c>
      <c r="HN309" s="639">
        <f t="shared" si="1005"/>
        <v>2.1835179285533651E-3</v>
      </c>
      <c r="HO309" s="639">
        <f t="shared" si="1006"/>
        <v>1.5544129749146325E-2</v>
      </c>
      <c r="HP309" s="644">
        <f>(FT309*$GD309-HM309)/$JF309*INDEX(Input!$1:$1048576,$JG$93,$C309*2+6)</f>
        <v>136.38744204315864</v>
      </c>
      <c r="HQ309" s="644">
        <f>(FU309*$GD309-HN309)/$JF309*INDEX(Input!$1:$1048576,$JG$93,$C309*2+6)</f>
        <v>3.6531508584151946</v>
      </c>
      <c r="HR309" s="644">
        <f>(FV309*$GD309-HO309)/$JF309*INDEX(Input!$1:$1048576,$JG$93,$C309*2+6)</f>
        <v>-10.979745069689262</v>
      </c>
      <c r="HS309" s="644">
        <f t="shared" si="1007"/>
        <v>-45.372120952486057</v>
      </c>
      <c r="HT309" s="644">
        <f t="shared" si="1008"/>
        <v>50.172674199991306</v>
      </c>
      <c r="HU309" s="644">
        <f t="shared" si="1009"/>
        <v>25.531640902357971</v>
      </c>
      <c r="HV309" s="648">
        <f t="shared" si="1010"/>
        <v>0</v>
      </c>
      <c r="HW309" s="648">
        <f t="shared" si="1011"/>
        <v>0</v>
      </c>
      <c r="HX309" s="648">
        <f t="shared" si="1012"/>
        <v>0</v>
      </c>
      <c r="HY309" s="644">
        <f>INDEX(Input!$1:$1048576,HY$93,$C309*2+6)*INDEX(Input!$1:$1048576,$JG$93,$C309*2+6)</f>
        <v>488.99999999999994</v>
      </c>
      <c r="HZ309" s="644">
        <f>INDEX(Input!$1:$1048576,HZ$93,$C309*2+6)*INDEX(Input!$1:$1048576,$JG$93,$C309*2+6)</f>
        <v>734</v>
      </c>
      <c r="IA309" s="644">
        <f>INDEX(Input!$1:$1048576,IA$93,$C309*2+6)*INDEX(Input!$1:$1048576,$JG$93,$C309*2+6)</f>
        <v>703</v>
      </c>
      <c r="IB309" s="644">
        <f t="shared" si="1036"/>
        <v>580.01532109067273</v>
      </c>
      <c r="IC309" s="644">
        <f t="shared" si="1037"/>
        <v>787.82582505840651</v>
      </c>
      <c r="ID309" s="644">
        <f>IF(AND(INDEX(Input!$1:$1048576,IA$93,$C309*2+7)="TOS",Y309&lt;=INDEX(Y:Y,MATCH(C309*1000+2,A:A))),0,1)*MAX(IA309+HR309+HU309+HX309,0%)</f>
        <v>717.55189583266872</v>
      </c>
      <c r="IE309" s="128">
        <f t="shared" si="1072"/>
        <v>0.27813237572687233</v>
      </c>
      <c r="IF309" s="128">
        <f t="shared" si="1059"/>
        <v>0.37778289713182128</v>
      </c>
      <c r="IG309" s="128">
        <f t="shared" si="1014"/>
        <v>0.34408472714130645</v>
      </c>
      <c r="IH309" s="21"/>
      <c r="II309" s="19">
        <f t="shared" si="1015"/>
        <v>1200</v>
      </c>
      <c r="IJ309" s="19">
        <f t="shared" si="1016"/>
        <v>2224.493581030405</v>
      </c>
      <c r="IK309" s="19">
        <f t="shared" si="1017"/>
        <v>3451.75</v>
      </c>
      <c r="IL309" s="19">
        <f t="shared" si="1039"/>
        <v>650.00000000000023</v>
      </c>
      <c r="IM309" s="19">
        <f t="shared" si="1018"/>
        <v>400.23360111051124</v>
      </c>
      <c r="IN309" s="19">
        <f t="shared" si="1019"/>
        <v>184.25</v>
      </c>
      <c r="IO309" s="39">
        <f t="shared" si="1020"/>
        <v>0</v>
      </c>
      <c r="IP309" s="39">
        <f t="shared" si="1021"/>
        <v>0</v>
      </c>
      <c r="IQ309" s="39">
        <f t="shared" si="1022"/>
        <v>0</v>
      </c>
      <c r="IR309" s="39">
        <v>0</v>
      </c>
      <c r="IS309" s="39">
        <v>0</v>
      </c>
      <c r="IT309" s="39">
        <v>0</v>
      </c>
      <c r="IU309" s="39">
        <v>0</v>
      </c>
      <c r="IV309" s="39">
        <v>0</v>
      </c>
      <c r="IW309" s="39">
        <v>0</v>
      </c>
      <c r="IX309" s="39">
        <f>INDEX(Input!$1:$1048576,IX$93,$C309*2+6)+INDEX(Input!$1:$1048576,IX$94,$C309*2+6)</f>
        <v>1600</v>
      </c>
      <c r="IY309" s="39">
        <f>INDEX(Input!$1:$1048576,IY$93,$C309*2+6)+INDEX(Input!$1:$1048576,IY$94,$C309*2+6)</f>
        <v>2503.5492916397525</v>
      </c>
      <c r="IZ309" s="39">
        <f>INDEX(Input!$1:$1048576,IZ$93,$C309*2+6)+INDEX(Input!$1:$1048576,IZ$94,$C309*2+6)</f>
        <v>5773.7109265464023</v>
      </c>
      <c r="JA309" s="19">
        <f t="shared" si="1040"/>
        <v>2250</v>
      </c>
      <c r="JB309" s="19">
        <f t="shared" si="1041"/>
        <v>2903.7828927502637</v>
      </c>
      <c r="JC309" s="19">
        <f t="shared" si="1042"/>
        <v>5957.9609265464023</v>
      </c>
      <c r="JD309" s="19">
        <f t="shared" si="1043"/>
        <v>3772.8407189797622</v>
      </c>
      <c r="JE309" s="21"/>
      <c r="JF309" s="1">
        <f t="shared" si="1023"/>
        <v>4.6698303040990354E-2</v>
      </c>
      <c r="JG309" s="15">
        <f>INDEX(Input!$1:$1048576,JG$93,$C309*2+6)/(1+VLOOKUP(C309*1000+INDEX(Input!$1:$1048576,JG$93+1,$C309*2+6),$A:$KK,$JK$92,FALSE))</f>
        <v>1926</v>
      </c>
      <c r="JH309" s="1">
        <f t="shared" si="1044"/>
        <v>6.7009785997863225E-2</v>
      </c>
      <c r="JI309" s="1">
        <f t="shared" si="1045"/>
        <v>1.5748802777706759E-2</v>
      </c>
      <c r="JJ309" s="1">
        <f t="shared" si="1046"/>
        <v>0</v>
      </c>
      <c r="JK309" s="1">
        <f t="shared" si="1073"/>
        <v>8.2758588775569991E-2</v>
      </c>
      <c r="JL309" s="15">
        <f t="shared" si="1048"/>
        <v>159.39304198174781</v>
      </c>
      <c r="JM309" s="15">
        <f t="shared" si="1074"/>
        <v>2085.393041981748</v>
      </c>
      <c r="JN309" s="21"/>
      <c r="JO309" s="19">
        <f>INDEX(Input!$1:$1048576,JO$93,$C309*2+6)</f>
        <v>5908.5</v>
      </c>
      <c r="JP309" s="19">
        <f>INDEX(Input!$1:$1048576,JP$93,$C309*2+6)</f>
        <v>3467.7694503767912</v>
      </c>
      <c r="JQ309" s="39">
        <f t="shared" si="1060"/>
        <v>2135.6592810202378</v>
      </c>
      <c r="JR309" s="39">
        <f t="shared" ref="JR309:JR372" si="1077">JD309-JP309</f>
        <v>305.07126860297103</v>
      </c>
      <c r="JS309" s="39">
        <f t="shared" si="1062"/>
        <v>7.867855783865811</v>
      </c>
      <c r="JT309" s="39">
        <f t="shared" si="1050"/>
        <v>1.1889318224401111</v>
      </c>
      <c r="JU309" s="385">
        <f>(JQ309*JM309-INDEX(Input!$1:$1048576,Input!A$18,$C309*2+6)*JL309*INDEX(Input!$1:$1048576,Input!A$19,$C309*2+6))/1000000</f>
        <v>4.4536890046833468</v>
      </c>
      <c r="JV309" s="39">
        <f t="shared" si="1026"/>
        <v>-0.24715803389095292</v>
      </c>
      <c r="JW309" s="1">
        <f t="shared" si="1075"/>
        <v>-5.2577340182060561E-2</v>
      </c>
      <c r="JX309" s="19">
        <f t="shared" si="1066"/>
        <v>7459.1199694667748</v>
      </c>
      <c r="JZ309" s="341"/>
      <c r="KA309" s="342"/>
      <c r="KB309" s="469">
        <f t="shared" si="1063"/>
        <v>2.7822247002359868</v>
      </c>
      <c r="KI309" s="473">
        <f t="shared" si="1064"/>
        <v>91.015321090672785</v>
      </c>
      <c r="KJ309" s="473">
        <f t="shared" si="1051"/>
        <v>53.825825058406508</v>
      </c>
      <c r="KK309" s="473">
        <f t="shared" si="1052"/>
        <v>14.55189583266872</v>
      </c>
      <c r="KN309" s="544">
        <f t="shared" si="1067"/>
        <v>3002</v>
      </c>
      <c r="KO309" s="541">
        <f t="shared" si="1027"/>
        <v>1.2290310196265475E-2</v>
      </c>
      <c r="KP309" s="546">
        <f t="shared" si="1028"/>
        <v>69.583742336752266</v>
      </c>
      <c r="KQ309" s="546">
        <f t="shared" si="1029"/>
        <v>51.759500654389285</v>
      </c>
      <c r="KR309" s="548">
        <f t="shared" si="1030"/>
        <v>2.8214121615738246</v>
      </c>
      <c r="KS309" s="548">
        <f t="shared" si="1031"/>
        <v>3.7930121889629094</v>
      </c>
      <c r="KT309" s="473">
        <f t="shared" si="1065"/>
        <v>527.01264777847621</v>
      </c>
      <c r="KU309" s="663">
        <f t="shared" si="1053"/>
        <v>15.436193197724279</v>
      </c>
      <c r="KV309" s="117" t="e">
        <f>RANK(KU309,$KU$109:$KU$200)</f>
        <v>#N/A</v>
      </c>
    </row>
    <row r="310" spans="1:308" s="26" customFormat="1" ht="15">
      <c r="A310" s="561">
        <f t="shared" si="1032"/>
        <v>3010</v>
      </c>
      <c r="B310" s="561">
        <f t="shared" si="1054"/>
        <v>10</v>
      </c>
      <c r="C310" s="561">
        <f t="shared" si="1055"/>
        <v>3</v>
      </c>
      <c r="D310" s="561" t="str">
        <f t="shared" si="1076"/>
        <v xml:space="preserve">500 CC, </v>
      </c>
      <c r="E310" s="475">
        <f>INDEX(Input!$1:$1048576,E$93,$C310*2+MIN($B310,2)+5)+IF(OR(BX310&gt;50000,INDEX(Input!$1:$1048576,E$93,$C310*2+MIN($B310,2)+5)&gt;0),0,250)+IF(BX310&gt;50000,500,250)*2</f>
        <v>1750</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1.9E-2</v>
      </c>
      <c r="W310" s="862">
        <f>INDEX(Input!$1:$1048576,W$93,$C310*2+MIN($B310,2)+5)</f>
        <v>3.9000000000000007E-2</v>
      </c>
      <c r="X310" s="118" t="str">
        <f>INDEX(Input!$1:$1048576,X$93,$C310*2+MIN($B310,2)+5)</f>
        <v>Y</v>
      </c>
      <c r="Y310" s="150">
        <f>INDEX(Input!$1:$1048576,Y$93,$C310*2+MIN($B310,2)+5)</f>
        <v>4108</v>
      </c>
      <c r="Z310" s="30">
        <f>INDEX(Input!$1:$1048576,Z$93,$C310*2+MIN($B310,2)+5)</f>
        <v>0</v>
      </c>
      <c r="AA310" s="115">
        <f>INDEX(Input!$1:$1048576,AA$93,$C310*2+MIN($B310,2)+5)</f>
        <v>500</v>
      </c>
      <c r="AB310" s="118">
        <f>INDEX(Input!$1:$1048576,AB$93,$C310*2+MIN($B310,2)+5)</f>
        <v>0.62</v>
      </c>
      <c r="AC310" s="115">
        <f>INDEX(Input!$1:$1048576,AC$93,$C310*2+MIN($B310,2)+5)</f>
        <v>0</v>
      </c>
      <c r="AD310" s="118">
        <f>INDEX(Input!$1:$1048576,AD$93,$C310*2+MIN($B310,2)+5)</f>
        <v>0.35</v>
      </c>
      <c r="AE310" s="115">
        <f>INDEX(Input!$1:$1048576,AE$93,$C310*2+MIN($B310,2)+5)</f>
        <v>500</v>
      </c>
      <c r="AF310" s="118">
        <f>INDEX(Input!$1:$1048576,AF$93,$C310*2+MIN($B310,2)+5)</f>
        <v>0.97</v>
      </c>
      <c r="AG310" s="115">
        <f>INDEX(Input!$1:$1048576,AG$93,$C310*2+MIN($B310,2)+5)</f>
        <v>0</v>
      </c>
      <c r="AH310" s="118">
        <f>INDEX(Input!$1:$1048576,AH$93,$C310*2+MIN($B310,2)+5)</f>
        <v>1</v>
      </c>
      <c r="AI310" s="115">
        <f>INDEX(Input!$1:$1048576,AI$93,$C310*2+MIN($B310,2)+5)</f>
        <v>0</v>
      </c>
      <c r="AJ310" s="118">
        <f>INDEX(Input!$1:$1048576,AJ$93,$C310*2+MIN($B310,2)+5)</f>
        <v>0.35</v>
      </c>
      <c r="AK310" s="150">
        <f>ROUND(INDEX(Input!$1:$1048576,AK$93,$C309*2+MIN($B310,1)+5)+(Y310-VLOOKUP($C310*1000+1,$A:$HH,Y$92,FALSE)),0)</f>
        <v>4982</v>
      </c>
      <c r="AL310" s="150">
        <f>ROUND(INDEX(Input!$1:$1048576,AL$93,$C309*2+MIN($B310,1)+5)-(Y310-VLOOKUP($C310*1000+1,$A:$HH,Y$92,FALSE))/36,0)</f>
        <v>5102</v>
      </c>
      <c r="AM310" s="32" t="str">
        <f t="shared" si="1033"/>
        <v>std/std/std/std</v>
      </c>
      <c r="AN310" s="32" t="str">
        <f t="shared" si="1034"/>
        <v>$0 + 0/0/0/1.9/3.9</v>
      </c>
      <c r="AO310" s="32" t="str">
        <f t="shared" si="1035"/>
        <v>0/0/0/1.9/3.9</v>
      </c>
      <c r="AP310" s="32" t="str">
        <f t="shared" si="989"/>
        <v>0/0.9/1.9/3.9</v>
      </c>
      <c r="AQ310" s="536">
        <f t="shared" si="988"/>
        <v>485.29588539104145</v>
      </c>
      <c r="AR310" s="32"/>
      <c r="AS310" s="302"/>
      <c r="AT310" s="3">
        <f t="shared" si="1056"/>
        <v>10</v>
      </c>
      <c r="AU310" s="41" t="s">
        <v>121</v>
      </c>
      <c r="AV310" s="41" t="s">
        <v>116</v>
      </c>
      <c r="AW310" s="41" t="str">
        <f>INDEX(Input!$1:$1048576,AW$93,$C310*2+6)</f>
        <v>Kia</v>
      </c>
      <c r="AX310" s="41" t="str">
        <f>INDEX(Input!$1:$1048576,AX$93,$C310*2+6)</f>
        <v>Kia-LR - L3</v>
      </c>
      <c r="AY310" s="41" t="str">
        <f>IF(LEN(D310)=0,"",INDEX(Input!$1:$1048576,AY$93,$C310*2+6))</f>
        <v>Compact Conventional/Sporty Car (43)</v>
      </c>
      <c r="AZ310" s="41" t="str">
        <f>INDEX(Input!$1:$1048576,AZ$93,$C310*2+6)</f>
        <v>Kia Forte</v>
      </c>
      <c r="BA310" s="3">
        <f>INDEX(Input!$1:$1048576,BA$93,$C310*2+6)</f>
        <v>2020</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19695</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990"/>
        <v>1750</v>
      </c>
      <c r="CJ310" s="16" t="str">
        <f>INDEX(Input!$1:$1048576,CJ$93,$C310*2+6)</f>
        <v>N</v>
      </c>
      <c r="CK310" s="1" t="str">
        <f t="shared" si="991"/>
        <v>Market</v>
      </c>
      <c r="CL310" s="1" t="str">
        <f t="shared" si="992"/>
        <v>Market</v>
      </c>
      <c r="CM310" s="1" t="str">
        <f t="shared" si="993"/>
        <v>Market</v>
      </c>
      <c r="CN310" s="1" t="str">
        <f t="shared" si="994"/>
        <v>Market</v>
      </c>
      <c r="CO310" s="1" t="str">
        <f t="shared" si="995"/>
        <v>Market</v>
      </c>
      <c r="CP310" s="304">
        <f t="shared" si="996"/>
        <v>310</v>
      </c>
      <c r="CQ310" s="1">
        <f t="shared" si="997"/>
        <v>0</v>
      </c>
      <c r="CR310" s="1">
        <f t="shared" si="998"/>
        <v>0</v>
      </c>
      <c r="CS310" s="1">
        <f t="shared" si="999"/>
        <v>0</v>
      </c>
      <c r="CT310" s="1">
        <f t="shared" si="1000"/>
        <v>1.9E-2</v>
      </c>
      <c r="CU310" s="1">
        <f t="shared" si="1001"/>
        <v>3.9000000000000007E-2</v>
      </c>
      <c r="CV310" s="304">
        <f t="shared" si="1002"/>
        <v>4593</v>
      </c>
      <c r="CW310" s="20" t="s">
        <v>122</v>
      </c>
      <c r="CX310" s="20" t="s">
        <v>122</v>
      </c>
      <c r="CY310" s="20" t="s">
        <v>122</v>
      </c>
      <c r="CZ310" s="20" t="s">
        <v>122</v>
      </c>
      <c r="DA310" s="20" t="s">
        <v>122</v>
      </c>
      <c r="DB310" s="503">
        <f t="shared" si="1003"/>
        <v>0</v>
      </c>
      <c r="DC310" s="127">
        <v>0</v>
      </c>
      <c r="DD310" s="127">
        <v>0</v>
      </c>
      <c r="DE310" s="127">
        <v>0</v>
      </c>
      <c r="DF310" s="127">
        <v>0</v>
      </c>
      <c r="DG310" s="127">
        <v>0</v>
      </c>
      <c r="DH310" s="127">
        <v>0</v>
      </c>
      <c r="DI310" s="127">
        <v>0</v>
      </c>
      <c r="DJ310" s="127">
        <v>0</v>
      </c>
      <c r="DK310" s="127">
        <v>0</v>
      </c>
      <c r="DL310" s="127">
        <v>0</v>
      </c>
      <c r="DM310" s="304">
        <f>INDEX(Input!$1:$1048576,DM$93,$C310*2+6)</f>
        <v>20731.578947368424</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3.5760936763779359E-2</v>
      </c>
      <c r="DZ310" s="7">
        <v>0</v>
      </c>
      <c r="EA310" s="7">
        <v>0.62799577621482139</v>
      </c>
      <c r="EB310" s="7">
        <v>0</v>
      </c>
      <c r="EC310" s="7">
        <v>0</v>
      </c>
      <c r="ED310" s="7">
        <v>0</v>
      </c>
      <c r="EE310" s="7">
        <v>0</v>
      </c>
      <c r="EF310" s="7">
        <v>0</v>
      </c>
      <c r="EG310" s="7">
        <v>0</v>
      </c>
      <c r="EH310" s="7">
        <v>1.414022016971586E-2</v>
      </c>
      <c r="EI310" s="7">
        <v>1.7906461583395712E-2</v>
      </c>
      <c r="EJ310" s="7">
        <v>0.25784984652271736</v>
      </c>
      <c r="EK310" s="7">
        <v>0.65926861695257677</v>
      </c>
      <c r="EL310" s="7">
        <v>5.0834854771594384E-2</v>
      </c>
      <c r="EM310" s="7">
        <v>4.353283640118287E-2</v>
      </c>
      <c r="EN310" s="7">
        <v>5.8903840649550718E-2</v>
      </c>
      <c r="EO310" s="7">
        <v>0.56806449089612499</v>
      </c>
      <c r="EP310" s="7">
        <v>0.27410709591931859</v>
      </c>
      <c r="EQ310" s="7">
        <v>5.8713575146425341E-2</v>
      </c>
      <c r="ER310" s="7">
        <v>4.0210997388580243E-2</v>
      </c>
      <c r="ES310" s="7">
        <v>0.29271045062021633</v>
      </c>
      <c r="ET310" s="7">
        <v>0.33624328702139922</v>
      </c>
      <c r="EU310" s="6">
        <v>2100</v>
      </c>
      <c r="EV310" s="6">
        <v>0</v>
      </c>
      <c r="EW310" s="6">
        <v>2100</v>
      </c>
      <c r="EX310" s="6">
        <v>0</v>
      </c>
      <c r="EY310" s="6">
        <v>2624.8577959271411</v>
      </c>
      <c r="EZ310" s="6">
        <v>3636</v>
      </c>
      <c r="FA310" s="6">
        <v>0</v>
      </c>
      <c r="FB310" s="6">
        <v>0</v>
      </c>
      <c r="FC310" s="6">
        <v>0</v>
      </c>
      <c r="FD310" s="6">
        <v>0</v>
      </c>
      <c r="FE310" s="6">
        <v>0</v>
      </c>
      <c r="FF310" s="6">
        <v>0</v>
      </c>
      <c r="FG310" s="6">
        <v>0</v>
      </c>
      <c r="FH310" s="6">
        <v>1154.3243224561852</v>
      </c>
      <c r="FI310" s="6">
        <v>1531.4299904380618</v>
      </c>
      <c r="FJ310" s="6">
        <v>2070.7205842538224</v>
      </c>
      <c r="FK310" s="6">
        <v>1746.9903521590431</v>
      </c>
      <c r="FL310" s="6">
        <v>893.91433563489363</v>
      </c>
      <c r="FM310" s="6">
        <v>1774.8577959271411</v>
      </c>
      <c r="FN310" s="6">
        <v>0</v>
      </c>
      <c r="FO310" s="6">
        <v>0</v>
      </c>
      <c r="FP310" s="6">
        <v>0</v>
      </c>
      <c r="FQ310" s="6">
        <v>0</v>
      </c>
      <c r="FR310" s="6">
        <v>0</v>
      </c>
      <c r="FS310" s="6">
        <v>0</v>
      </c>
      <c r="FT310" s="7">
        <v>0.66375671297860073</v>
      </c>
      <c r="FU310" s="7">
        <v>4.353283640118287E-2</v>
      </c>
      <c r="FV310" s="7">
        <v>0.29271045062021633</v>
      </c>
      <c r="FW310" s="6">
        <v>2100</v>
      </c>
      <c r="FX310" s="6">
        <v>2624.8577959271411</v>
      </c>
      <c r="FY310" s="6">
        <v>3636</v>
      </c>
      <c r="FZ310" s="6">
        <v>2202.331475193394</v>
      </c>
      <c r="GA310" s="6">
        <v>2572.4518007166334</v>
      </c>
      <c r="GB310" s="6">
        <v>17122.548199283367</v>
      </c>
      <c r="GC310" s="7">
        <v>4.8391397220736806E-2</v>
      </c>
      <c r="GD310" s="7">
        <v>5.0907196737086303E-2</v>
      </c>
      <c r="GE310" s="7"/>
      <c r="GF310" s="7"/>
      <c r="GG310" s="7">
        <v>5.1988569473902693E-2</v>
      </c>
      <c r="GH310" s="42">
        <v>2.7664378451548268</v>
      </c>
      <c r="GI310" s="6">
        <v>9691.7153093814213</v>
      </c>
      <c r="GJ310" s="14">
        <v>0.51074630601039561</v>
      </c>
      <c r="GK310" s="14">
        <v>0.5082951978616097</v>
      </c>
      <c r="GL310" s="14">
        <v>0.48925369398960439</v>
      </c>
      <c r="GM310" s="14">
        <v>0.49170480213839024</v>
      </c>
      <c r="GO310" s="5">
        <v>338.16872463277008</v>
      </c>
      <c r="GP310" s="5">
        <v>298.1047308538179</v>
      </c>
      <c r="GQ310" s="5">
        <v>527.27910984145694</v>
      </c>
      <c r="GR310" s="5">
        <v>404.20319246551543</v>
      </c>
      <c r="GS310" s="5">
        <v>334.50205195691484</v>
      </c>
      <c r="GT310" s="5">
        <v>289.18266033348181</v>
      </c>
      <c r="GU310" s="5">
        <v>254.29573314828914</v>
      </c>
      <c r="GV310" s="39" t="s">
        <v>392</v>
      </c>
      <c r="GW310" s="5">
        <v>468.76388888888891</v>
      </c>
      <c r="GX310" s="5">
        <v>351.57291666666669</v>
      </c>
      <c r="GY310" s="5">
        <v>281.25833333333333</v>
      </c>
      <c r="GZ310" s="5">
        <v>248.18079879493993</v>
      </c>
      <c r="HA310" s="5">
        <v>229.8919505212948</v>
      </c>
      <c r="HB310" s="39">
        <v>260.75060549942481</v>
      </c>
      <c r="HC310" s="5">
        <v>124.04062499999996</v>
      </c>
      <c r="HD310" s="5">
        <v>127.75060307017539</v>
      </c>
      <c r="HE310" s="5">
        <v>136.66051366396758</v>
      </c>
      <c r="HF310" s="5">
        <v>133.62067434210525</v>
      </c>
      <c r="HG310" s="5">
        <v>137.88493421052632</v>
      </c>
      <c r="HH310" s="39">
        <v>130.72650526464056</v>
      </c>
      <c r="HI310" s="16"/>
      <c r="HJ310" s="19" t="str">
        <f t="shared" si="1057"/>
        <v>On</v>
      </c>
      <c r="HK310" s="1" t="str">
        <f t="shared" si="1057"/>
        <v>On</v>
      </c>
      <c r="HL310" s="16"/>
      <c r="HM310" s="639">
        <f t="shared" si="1004"/>
        <v>2.8970655363290673E-2</v>
      </c>
      <c r="HN310" s="639">
        <f t="shared" si="1005"/>
        <v>2.1835179285533651E-3</v>
      </c>
      <c r="HO310" s="639">
        <f t="shared" si="1006"/>
        <v>1.5544129749146325E-2</v>
      </c>
      <c r="HP310" s="644">
        <f>(FT310*$GD310-HM310)/$JF310*INDEX(Input!$1:$1048576,$JG$93,$C310*2+6)</f>
        <v>198.76622463277278</v>
      </c>
      <c r="HQ310" s="644">
        <f>(FU310*$GD310-HN310)/$JF310*INDEX(Input!$1:$1048576,$JG$93,$C310*2+6)</f>
        <v>1.3452274395326926</v>
      </c>
      <c r="HR310" s="644">
        <f>(FV310*$GD310-HO310)/$JF310*INDEX(Input!$1:$1048576,$JG$93,$C310*2+6)</f>
        <v>-26.52207663899933</v>
      </c>
      <c r="HS310" s="644">
        <f t="shared" si="1007"/>
        <v>-62.664453341748271</v>
      </c>
      <c r="HT310" s="644">
        <f t="shared" si="1008"/>
        <v>47.169177783323676</v>
      </c>
      <c r="HU310" s="644">
        <f t="shared" si="1009"/>
        <v>28.554209968362581</v>
      </c>
      <c r="HV310" s="648">
        <f t="shared" si="1010"/>
        <v>0</v>
      </c>
      <c r="HW310" s="648">
        <f t="shared" si="1011"/>
        <v>0</v>
      </c>
      <c r="HX310" s="648">
        <f t="shared" si="1012"/>
        <v>0</v>
      </c>
      <c r="HY310" s="644">
        <f>INDEX(Input!$1:$1048576,HY$93,$C310*2+6)*INDEX(Input!$1:$1048576,$JG$93,$C310*2+6)</f>
        <v>488.99999999999994</v>
      </c>
      <c r="HZ310" s="644">
        <f>INDEX(Input!$1:$1048576,HZ$93,$C310*2+6)*INDEX(Input!$1:$1048576,$JG$93,$C310*2+6)</f>
        <v>734</v>
      </c>
      <c r="IA310" s="644">
        <f>INDEX(Input!$1:$1048576,IA$93,$C310*2+6)*INDEX(Input!$1:$1048576,$JG$93,$C310*2+6)</f>
        <v>703</v>
      </c>
      <c r="IB310" s="644">
        <f t="shared" si="1036"/>
        <v>625.10177129102453</v>
      </c>
      <c r="IC310" s="644">
        <f t="shared" si="1037"/>
        <v>782.51440522285634</v>
      </c>
      <c r="ID310" s="644">
        <f>IF(AND(INDEX(Input!$1:$1048576,IA$93,$C310*2+7)="TOS",Y310&lt;=INDEX(Y:Y,MATCH(C310*1000+2,A:A))),0,1)*MAX(IA310+HR310+HU310+HX310,0%)</f>
        <v>705.03213332936321</v>
      </c>
      <c r="IE310" s="128">
        <f t="shared" si="1072"/>
        <v>0.29588539104144895</v>
      </c>
      <c r="IF310" s="128">
        <f t="shared" si="1059"/>
        <v>0.37039501632948929</v>
      </c>
      <c r="IG310" s="128">
        <f t="shared" si="1014"/>
        <v>0.33371959262906176</v>
      </c>
      <c r="IH310" s="21"/>
      <c r="II310" s="19">
        <f t="shared" si="1015"/>
        <v>1200</v>
      </c>
      <c r="IJ310" s="19">
        <f t="shared" si="1016"/>
        <v>2224.493581030405</v>
      </c>
      <c r="IK310" s="19">
        <f t="shared" si="1017"/>
        <v>3451.75</v>
      </c>
      <c r="IL310" s="19">
        <f t="shared" si="1039"/>
        <v>900</v>
      </c>
      <c r="IM310" s="19">
        <f t="shared" si="1018"/>
        <v>400.36421489673603</v>
      </c>
      <c r="IN310" s="19">
        <f t="shared" si="1019"/>
        <v>184.25</v>
      </c>
      <c r="IO310" s="39">
        <f t="shared" si="1020"/>
        <v>0</v>
      </c>
      <c r="IP310" s="39">
        <f t="shared" si="1021"/>
        <v>0</v>
      </c>
      <c r="IQ310" s="39">
        <f t="shared" si="1022"/>
        <v>0</v>
      </c>
      <c r="IR310" s="39">
        <v>0</v>
      </c>
      <c r="IS310" s="39">
        <v>0</v>
      </c>
      <c r="IT310" s="39">
        <v>0</v>
      </c>
      <c r="IU310" s="39">
        <v>0</v>
      </c>
      <c r="IV310" s="39">
        <v>0</v>
      </c>
      <c r="IW310" s="39">
        <v>0</v>
      </c>
      <c r="IX310" s="39">
        <f>INDEX(Input!$1:$1048576,IX$93,$C310*2+6)+INDEX(Input!$1:$1048576,IX$94,$C310*2+6)</f>
        <v>1600</v>
      </c>
      <c r="IY310" s="39">
        <f>INDEX(Input!$1:$1048576,IY$93,$C310*2+6)+INDEX(Input!$1:$1048576,IY$94,$C310*2+6)</f>
        <v>2503.5492916397525</v>
      </c>
      <c r="IZ310" s="39">
        <f>INDEX(Input!$1:$1048576,IZ$93,$C310*2+6)+INDEX(Input!$1:$1048576,IZ$94,$C310*2+6)</f>
        <v>5773.7109265464023</v>
      </c>
      <c r="JA310" s="19">
        <f t="shared" si="1040"/>
        <v>2500</v>
      </c>
      <c r="JB310" s="19">
        <f t="shared" si="1041"/>
        <v>2903.9135065364885</v>
      </c>
      <c r="JC310" s="19">
        <f t="shared" si="1042"/>
        <v>5957.9609265464023</v>
      </c>
      <c r="JD310" s="19">
        <f t="shared" si="1043"/>
        <v>3803.5968615835623</v>
      </c>
      <c r="JE310" s="21"/>
      <c r="JF310" s="1">
        <f t="shared" si="1023"/>
        <v>4.6698303040990354E-2</v>
      </c>
      <c r="JG310" s="15">
        <f>INDEX(Input!$1:$1048576,JG$93,$C310*2+6)/(1+VLOOKUP(C310*1000+INDEX(Input!$1:$1048576,JG$93+1,$C310*2+6),$A:$KK,$JK$92,FALSE))</f>
        <v>1926</v>
      </c>
      <c r="JH310" s="1">
        <f t="shared" si="1044"/>
        <v>9.0129478418123646E-2</v>
      </c>
      <c r="JI310" s="1">
        <f t="shared" si="1045"/>
        <v>6.7803397767071585E-3</v>
      </c>
      <c r="JJ310" s="1">
        <f t="shared" si="1046"/>
        <v>0</v>
      </c>
      <c r="JK310" s="1">
        <f t="shared" si="1073"/>
        <v>9.6909818194830799E-2</v>
      </c>
      <c r="JL310" s="15">
        <f t="shared" si="1048"/>
        <v>186.64830984324411</v>
      </c>
      <c r="JM310" s="15">
        <f t="shared" si="1074"/>
        <v>2112.6483098432441</v>
      </c>
      <c r="JN310" s="21"/>
      <c r="JO310" s="19">
        <f>INDEX(Input!$1:$1048576,JO$93,$C310*2+6)</f>
        <v>5908.5</v>
      </c>
      <c r="JP310" s="19">
        <f>INDEX(Input!$1:$1048576,JP$93,$C310*2+6)</f>
        <v>3467.7694503767912</v>
      </c>
      <c r="JQ310" s="39">
        <f t="shared" si="1060"/>
        <v>2104.9031384164377</v>
      </c>
      <c r="JR310" s="39">
        <f t="shared" si="1077"/>
        <v>335.8274112067711</v>
      </c>
      <c r="JS310" s="39">
        <f t="shared" si="1062"/>
        <v>8.0356624809495809</v>
      </c>
      <c r="JT310" s="39">
        <f t="shared" si="1050"/>
        <v>1.3567385195238804</v>
      </c>
      <c r="JU310" s="385">
        <f>(JQ310*JM310-INDEX(Input!$1:$1048576,Input!A$18,$C310*2+6)*JL310*INDEX(Input!$1:$1048576,Input!A$19,$C310*2+6))/1000000</f>
        <v>4.4469200577592272</v>
      </c>
      <c r="JV310" s="39">
        <f t="shared" si="1026"/>
        <v>-0.25392698081507259</v>
      </c>
      <c r="JW310" s="1">
        <f t="shared" si="1075"/>
        <v>-5.401728214753506E-2</v>
      </c>
      <c r="JX310" s="19">
        <f t="shared" si="1066"/>
        <v>7268.956899011474</v>
      </c>
      <c r="JZ310" s="341"/>
      <c r="KA310" s="342"/>
      <c r="KB310" s="469">
        <f t="shared" si="1063"/>
        <v>2.7822247002359868</v>
      </c>
      <c r="KI310" s="473">
        <f t="shared" si="1064"/>
        <v>136.10177129102459</v>
      </c>
      <c r="KJ310" s="473">
        <f t="shared" si="1051"/>
        <v>48.51440522285634</v>
      </c>
      <c r="KK310" s="473">
        <f t="shared" si="1052"/>
        <v>2.0321333293632051</v>
      </c>
      <c r="KN310" s="544">
        <f t="shared" si="1067"/>
        <v>3002</v>
      </c>
      <c r="KO310" s="541">
        <f t="shared" si="1027"/>
        <v>2.5520546896286911E-2</v>
      </c>
      <c r="KP310" s="546">
        <f t="shared" si="1028"/>
        <v>148.04073214659971</v>
      </c>
      <c r="KQ310" s="546">
        <f t="shared" si="1029"/>
        <v>82.515643258189357</v>
      </c>
      <c r="KR310" s="548">
        <f t="shared" si="1030"/>
        <v>2.7537228266441605</v>
      </c>
      <c r="KS310" s="548">
        <f t="shared" si="1031"/>
        <v>4.9404346532164576</v>
      </c>
      <c r="KT310" s="473">
        <f t="shared" si="1065"/>
        <v>527.01264777847621</v>
      </c>
      <c r="KU310" s="663">
        <f t="shared" si="1053"/>
        <v>15.579164046354373</v>
      </c>
      <c r="KV310" s="117" t="e">
        <f t="shared" ref="KV310:KV311" si="1078">RANK(KU310,$KU$109:$KU$200)</f>
        <v>#N/A</v>
      </c>
    </row>
    <row r="311" spans="1:308" s="26" customFormat="1" ht="15">
      <c r="A311" s="561">
        <f t="shared" si="1032"/>
        <v>3011</v>
      </c>
      <c r="B311" s="561">
        <f t="shared" si="1054"/>
        <v>11</v>
      </c>
      <c r="C311" s="561">
        <f t="shared" si="1055"/>
        <v>3</v>
      </c>
      <c r="D311" s="561" t="str">
        <f t="shared" si="1076"/>
        <v xml:space="preserve">750 CC, </v>
      </c>
      <c r="E311" s="475">
        <f>INDEX(Input!$1:$1048576,E$93,$C311*2+MIN($B311,2)+5)+IF(OR(BX311&gt;50000,INDEX(Input!$1:$1048576,E$93,$C311*2+MIN($B311,2)+5)&gt;0),0,250)+IF(BX311&gt;50000,500,250)*3</f>
        <v>2000</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1.9E-2</v>
      </c>
      <c r="W311" s="862">
        <f>INDEX(Input!$1:$1048576,W$93,$C311*2+MIN($B311,2)+5)</f>
        <v>3.9000000000000007E-2</v>
      </c>
      <c r="X311" s="118" t="str">
        <f>INDEX(Input!$1:$1048576,X$93,$C311*2+MIN($B311,2)+5)</f>
        <v>Y</v>
      </c>
      <c r="Y311" s="150">
        <f>INDEX(Input!$1:$1048576,Y$93,$C311*2+MIN($B311,2)+5)</f>
        <v>4108</v>
      </c>
      <c r="Z311" s="30">
        <f>INDEX(Input!$1:$1048576,Z$93,$C311*2+MIN($B311,2)+5)</f>
        <v>0</v>
      </c>
      <c r="AA311" s="115">
        <f>INDEX(Input!$1:$1048576,AA$93,$C311*2+MIN($B311,2)+5)</f>
        <v>500</v>
      </c>
      <c r="AB311" s="118">
        <f>INDEX(Input!$1:$1048576,AB$93,$C311*2+MIN($B311,2)+5)</f>
        <v>0.62</v>
      </c>
      <c r="AC311" s="115">
        <f>INDEX(Input!$1:$1048576,AC$93,$C311*2+MIN($B311,2)+5)</f>
        <v>0</v>
      </c>
      <c r="AD311" s="118">
        <f>INDEX(Input!$1:$1048576,AD$93,$C311*2+MIN($B311,2)+5)</f>
        <v>0.35</v>
      </c>
      <c r="AE311" s="115">
        <f>INDEX(Input!$1:$1048576,AE$93,$C311*2+MIN($B311,2)+5)</f>
        <v>500</v>
      </c>
      <c r="AF311" s="118">
        <f>INDEX(Input!$1:$1048576,AF$93,$C311*2+MIN($B311,2)+5)</f>
        <v>0.97</v>
      </c>
      <c r="AG311" s="115">
        <f>INDEX(Input!$1:$1048576,AG$93,$C311*2+MIN($B311,2)+5)</f>
        <v>0</v>
      </c>
      <c r="AH311" s="118">
        <f>INDEX(Input!$1:$1048576,AH$93,$C311*2+MIN($B311,2)+5)</f>
        <v>1</v>
      </c>
      <c r="AI311" s="115">
        <f>INDEX(Input!$1:$1048576,AI$93,$C311*2+MIN($B311,2)+5)</f>
        <v>0</v>
      </c>
      <c r="AJ311" s="118">
        <f>INDEX(Input!$1:$1048576,AJ$93,$C311*2+MIN($B311,2)+5)</f>
        <v>0.35</v>
      </c>
      <c r="AK311" s="150">
        <f>ROUND(INDEX(Input!$1:$1048576,AK$93,$C310*2+MIN($B311,1)+5)+(Y311-VLOOKUP($C311*1000+1,$A:$HH,Y$92,FALSE)),0)</f>
        <v>4982</v>
      </c>
      <c r="AL311" s="150">
        <f>ROUND(INDEX(Input!$1:$1048576,AL$93,$C310*2+MIN($B311,1)+5)-(Y311-VLOOKUP($C311*1000+1,$A:$HH,Y$92,FALSE))/36,0)</f>
        <v>5102</v>
      </c>
      <c r="AM311" s="32" t="str">
        <f t="shared" si="1033"/>
        <v>std/std/std/std</v>
      </c>
      <c r="AN311" s="32" t="str">
        <f t="shared" si="1034"/>
        <v>$0 + 0/0/0/1.9/3.9</v>
      </c>
      <c r="AO311" s="32" t="str">
        <f t="shared" si="1035"/>
        <v>0/0/0/1.9/3.9</v>
      </c>
      <c r="AP311" s="32" t="str">
        <f t="shared" si="989"/>
        <v>0/0.9/1.9/3.9</v>
      </c>
      <c r="AQ311" s="536">
        <f t="shared" si="988"/>
        <v>485.31383407839445</v>
      </c>
      <c r="AR311" s="32"/>
      <c r="AS311" s="302"/>
      <c r="AT311" s="3">
        <f t="shared" si="1056"/>
        <v>11</v>
      </c>
      <c r="AU311" s="41" t="s">
        <v>121</v>
      </c>
      <c r="AV311" s="41" t="s">
        <v>116</v>
      </c>
      <c r="AW311" s="41" t="str">
        <f>INDEX(Input!$1:$1048576,AW$93,$C311*2+6)</f>
        <v>Kia</v>
      </c>
      <c r="AX311" s="41" t="str">
        <f>INDEX(Input!$1:$1048576,AX$93,$C311*2+6)</f>
        <v>Kia-LR - L3</v>
      </c>
      <c r="AY311" s="41" t="str">
        <f>IF(LEN(D311)=0,"",INDEX(Input!$1:$1048576,AY$93,$C311*2+6))</f>
        <v>Compact Conventional/Sporty Car (43)</v>
      </c>
      <c r="AZ311" s="41" t="str">
        <f>INDEX(Input!$1:$1048576,AZ$93,$C311*2+6)</f>
        <v>Kia Forte</v>
      </c>
      <c r="BA311" s="3">
        <f>INDEX(Input!$1:$1048576,BA$93,$C311*2+6)</f>
        <v>2020</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19695</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990"/>
        <v>2000</v>
      </c>
      <c r="CJ311" s="16" t="str">
        <f>INDEX(Input!$1:$1048576,CJ$93,$C311*2+6)</f>
        <v>N</v>
      </c>
      <c r="CK311" s="1" t="str">
        <f t="shared" si="991"/>
        <v>Market</v>
      </c>
      <c r="CL311" s="1" t="str">
        <f t="shared" si="992"/>
        <v>Market</v>
      </c>
      <c r="CM311" s="1" t="str">
        <f t="shared" si="993"/>
        <v>Market</v>
      </c>
      <c r="CN311" s="1" t="str">
        <f t="shared" si="994"/>
        <v>Market</v>
      </c>
      <c r="CO311" s="1" t="str">
        <f t="shared" si="995"/>
        <v>Market</v>
      </c>
      <c r="CP311" s="304">
        <f t="shared" si="996"/>
        <v>310</v>
      </c>
      <c r="CQ311" s="1">
        <f t="shared" si="997"/>
        <v>0</v>
      </c>
      <c r="CR311" s="1">
        <f t="shared" si="998"/>
        <v>0</v>
      </c>
      <c r="CS311" s="1">
        <f t="shared" si="999"/>
        <v>0</v>
      </c>
      <c r="CT311" s="1">
        <f t="shared" si="1000"/>
        <v>1.9E-2</v>
      </c>
      <c r="CU311" s="1">
        <f t="shared" si="1001"/>
        <v>3.9000000000000007E-2</v>
      </c>
      <c r="CV311" s="304">
        <f t="shared" si="1002"/>
        <v>4593</v>
      </c>
      <c r="CW311" s="20" t="s">
        <v>122</v>
      </c>
      <c r="CX311" s="20" t="s">
        <v>122</v>
      </c>
      <c r="CY311" s="20" t="s">
        <v>122</v>
      </c>
      <c r="CZ311" s="20" t="s">
        <v>122</v>
      </c>
      <c r="DA311" s="20" t="s">
        <v>122</v>
      </c>
      <c r="DB311" s="503">
        <f t="shared" si="1003"/>
        <v>0</v>
      </c>
      <c r="DC311" s="127">
        <v>0</v>
      </c>
      <c r="DD311" s="127">
        <v>0</v>
      </c>
      <c r="DE311" s="127">
        <v>0</v>
      </c>
      <c r="DF311" s="127">
        <v>0</v>
      </c>
      <c r="DG311" s="127">
        <v>0</v>
      </c>
      <c r="DH311" s="127">
        <v>0</v>
      </c>
      <c r="DI311" s="127">
        <v>0</v>
      </c>
      <c r="DJ311" s="127">
        <v>0</v>
      </c>
      <c r="DK311" s="127">
        <v>0</v>
      </c>
      <c r="DL311" s="127">
        <v>0</v>
      </c>
      <c r="DM311" s="304">
        <f>INDEX(Input!$1:$1048576,DM$93,$C311*2+6)</f>
        <v>20731.578947368424</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3.6733352507506138E-2</v>
      </c>
      <c r="DZ311" s="7">
        <v>0</v>
      </c>
      <c r="EA311" s="7">
        <v>0.64263812697578426</v>
      </c>
      <c r="EB311" s="7">
        <v>0</v>
      </c>
      <c r="EC311" s="7">
        <v>0</v>
      </c>
      <c r="ED311" s="7">
        <v>0</v>
      </c>
      <c r="EE311" s="7">
        <v>0</v>
      </c>
      <c r="EF311" s="7">
        <v>0</v>
      </c>
      <c r="EG311" s="7">
        <v>0</v>
      </c>
      <c r="EH311" s="7">
        <v>1.4148531139782075E-2</v>
      </c>
      <c r="EI311" s="7">
        <v>1.7907202207441224E-2</v>
      </c>
      <c r="EJ311" s="7">
        <v>0.2581140916521949</v>
      </c>
      <c r="EK311" s="7">
        <v>0.65904998571069795</v>
      </c>
      <c r="EL311" s="7">
        <v>5.0780189289883523E-2</v>
      </c>
      <c r="EM311" s="7">
        <v>4.1512563474900573E-2</v>
      </c>
      <c r="EN311" s="7">
        <v>5.8903840649550711E-2</v>
      </c>
      <c r="EO311" s="7">
        <v>0.56806449089612499</v>
      </c>
      <c r="EP311" s="7">
        <v>0.27410709591931859</v>
      </c>
      <c r="EQ311" s="7">
        <v>5.8713575146425341E-2</v>
      </c>
      <c r="ER311" s="7">
        <v>4.0210997388580222E-2</v>
      </c>
      <c r="ES311" s="7">
        <v>0.27911595704180892</v>
      </c>
      <c r="ET311" s="7">
        <v>0.32062852051670959</v>
      </c>
      <c r="EU311" s="6">
        <v>2350</v>
      </c>
      <c r="EV311" s="6">
        <v>0</v>
      </c>
      <c r="EW311" s="6">
        <v>2350</v>
      </c>
      <c r="EX311" s="6">
        <v>0</v>
      </c>
      <c r="EY311" s="6">
        <v>2624.9848659877739</v>
      </c>
      <c r="EZ311" s="6">
        <v>3636</v>
      </c>
      <c r="FA311" s="6">
        <v>0</v>
      </c>
      <c r="FB311" s="6">
        <v>0</v>
      </c>
      <c r="FC311" s="6">
        <v>0</v>
      </c>
      <c r="FD311" s="6">
        <v>0</v>
      </c>
      <c r="FE311" s="6">
        <v>0</v>
      </c>
      <c r="FF311" s="6">
        <v>0</v>
      </c>
      <c r="FG311" s="6">
        <v>0</v>
      </c>
      <c r="FH311" s="6">
        <v>1154.3227244795007</v>
      </c>
      <c r="FI311" s="6">
        <v>1531.4299904380616</v>
      </c>
      <c r="FJ311" s="6">
        <v>2070.7205842538224</v>
      </c>
      <c r="FK311" s="6">
        <v>1746.9903521590443</v>
      </c>
      <c r="FL311" s="6">
        <v>893.91433563489375</v>
      </c>
      <c r="FM311" s="6">
        <v>1774.9848659877739</v>
      </c>
      <c r="FN311" s="6">
        <v>0</v>
      </c>
      <c r="FO311" s="6">
        <v>0</v>
      </c>
      <c r="FP311" s="6">
        <v>0</v>
      </c>
      <c r="FQ311" s="6">
        <v>0</v>
      </c>
      <c r="FR311" s="6">
        <v>0</v>
      </c>
      <c r="FS311" s="6">
        <v>0</v>
      </c>
      <c r="FT311" s="7">
        <v>0.67937147948329035</v>
      </c>
      <c r="FU311" s="7">
        <v>4.1512563474900573E-2</v>
      </c>
      <c r="FV311" s="7">
        <v>0.27911595704180892</v>
      </c>
      <c r="FW311" s="6">
        <v>2350</v>
      </c>
      <c r="FX311" s="6">
        <v>2624.9848659877739</v>
      </c>
      <c r="FY311" s="6">
        <v>3636</v>
      </c>
      <c r="FZ311" s="6">
        <v>2202.331475193394</v>
      </c>
      <c r="GA311" s="6">
        <v>2720.3584474597205</v>
      </c>
      <c r="GB311" s="6">
        <v>16974.641552540281</v>
      </c>
      <c r="GC311" s="7">
        <v>4.8391397220736806E-2</v>
      </c>
      <c r="GD311" s="7">
        <v>5.2035205614268505E-2</v>
      </c>
      <c r="GE311" s="7"/>
      <c r="GF311" s="7"/>
      <c r="GG311" s="7">
        <v>7.5298681228618145E-2</v>
      </c>
      <c r="GH311" s="42">
        <v>2.8627998274097486</v>
      </c>
      <c r="GI311" s="6">
        <v>9599.9871981083361</v>
      </c>
      <c r="GJ311" s="14">
        <v>0.51074630601039528</v>
      </c>
      <c r="GK311" s="14">
        <v>0.50829519786160948</v>
      </c>
      <c r="GL311" s="14">
        <v>0.48925369398960433</v>
      </c>
      <c r="GM311" s="14">
        <v>0.49170480213839035</v>
      </c>
      <c r="GO311" s="5">
        <v>338.16872463277008</v>
      </c>
      <c r="GP311" s="5">
        <v>293.33520778489498</v>
      </c>
      <c r="GQ311" s="5">
        <v>527.27910984145694</v>
      </c>
      <c r="GR311" s="5">
        <v>404.20319246551543</v>
      </c>
      <c r="GS311" s="5">
        <v>334.50205195691484</v>
      </c>
      <c r="GT311" s="5">
        <v>289.18266033348181</v>
      </c>
      <c r="GU311" s="5">
        <v>254.29573314828914</v>
      </c>
      <c r="GV311" s="39" t="s">
        <v>392</v>
      </c>
      <c r="GW311" s="5">
        <v>468.76388888888891</v>
      </c>
      <c r="GX311" s="5">
        <v>351.57291666666669</v>
      </c>
      <c r="GY311" s="5">
        <v>281.25833333333333</v>
      </c>
      <c r="GZ311" s="5">
        <v>248.18079879493993</v>
      </c>
      <c r="HA311" s="5">
        <v>229.8919505212948</v>
      </c>
      <c r="HB311" s="39">
        <v>260.76225567966992</v>
      </c>
      <c r="HC311" s="5">
        <v>124.04062499999996</v>
      </c>
      <c r="HD311" s="5">
        <v>127.75060307017539</v>
      </c>
      <c r="HE311" s="5">
        <v>136.66051366396758</v>
      </c>
      <c r="HF311" s="5">
        <v>133.62067434210525</v>
      </c>
      <c r="HG311" s="5">
        <v>137.88493421052632</v>
      </c>
      <c r="HH311" s="39">
        <v>130.72650526464056</v>
      </c>
      <c r="HI311" s="16"/>
      <c r="HJ311" s="19" t="str">
        <f t="shared" si="1057"/>
        <v>On</v>
      </c>
      <c r="HK311" s="1" t="str">
        <f t="shared" si="1057"/>
        <v>On</v>
      </c>
      <c r="HL311" s="16"/>
      <c r="HM311" s="639">
        <f t="shared" si="1004"/>
        <v>2.8970655363290673E-2</v>
      </c>
      <c r="HN311" s="639">
        <f t="shared" si="1005"/>
        <v>2.1835179285533651E-3</v>
      </c>
      <c r="HO311" s="639">
        <f t="shared" si="1006"/>
        <v>1.5544129749146325E-2</v>
      </c>
      <c r="HP311" s="644">
        <f>(FT311*$GD311-HM311)/$JF311*INDEX(Input!$1:$1048576,$JG$93,$C311*2+6)</f>
        <v>263.1572210268659</v>
      </c>
      <c r="HQ311" s="644">
        <f>(FU311*$GD311-HN311)/$JF311*INDEX(Input!$1:$1048576,$JG$93,$C311*2+6)</f>
        <v>-0.96522719024635795</v>
      </c>
      <c r="HR311" s="644">
        <f>(FV311*$GD311-HO311)/$JF311*INDEX(Input!$1:$1048576,$JG$93,$C311*2+6)</f>
        <v>-42.079619579439182</v>
      </c>
      <c r="HS311" s="644">
        <f t="shared" si="1007"/>
        <v>-79.956782079502858</v>
      </c>
      <c r="HT311" s="644">
        <f t="shared" si="1008"/>
        <v>44.165167551841677</v>
      </c>
      <c r="HU311" s="644">
        <f t="shared" si="1009"/>
        <v>31.576775382859555</v>
      </c>
      <c r="HV311" s="648">
        <f t="shared" si="1010"/>
        <v>0</v>
      </c>
      <c r="HW311" s="648">
        <f t="shared" si="1011"/>
        <v>0</v>
      </c>
      <c r="HX311" s="648">
        <f t="shared" si="1012"/>
        <v>0</v>
      </c>
      <c r="HY311" s="644">
        <f>INDEX(Input!$1:$1048576,HY$93,$C311*2+6)*INDEX(Input!$1:$1048576,$JG$93,$C311*2+6)</f>
        <v>488.99999999999994</v>
      </c>
      <c r="HZ311" s="644">
        <f>INDEX(Input!$1:$1048576,HZ$93,$C311*2+6)*INDEX(Input!$1:$1048576,$JG$93,$C311*2+6)</f>
        <v>734</v>
      </c>
      <c r="IA311" s="644">
        <f>INDEX(Input!$1:$1048576,IA$93,$C311*2+6)*INDEX(Input!$1:$1048576,$JG$93,$C311*2+6)</f>
        <v>703</v>
      </c>
      <c r="IB311" s="644">
        <f t="shared" si="1036"/>
        <v>672.20043894736273</v>
      </c>
      <c r="IC311" s="644">
        <f t="shared" si="1037"/>
        <v>777.1999403615954</v>
      </c>
      <c r="ID311" s="644">
        <f>IF(AND(INDEX(Input!$1:$1048576,IA$93,$C311*2+7)="TOS",Y311&lt;=INDEX(Y:Y,MATCH(C311*1000+2,A:A))),0,1)*MAX(IA311+HR311+HU311+HX311,0%)</f>
        <v>692.49715580342036</v>
      </c>
      <c r="IE311" s="128">
        <f t="shared" si="1072"/>
        <v>0.31383407839446181</v>
      </c>
      <c r="IF311" s="128">
        <f t="shared" si="1059"/>
        <v>0.36285579847815558</v>
      </c>
      <c r="IG311" s="128">
        <f t="shared" si="1014"/>
        <v>0.32331012312738255</v>
      </c>
      <c r="IH311" s="21"/>
      <c r="II311" s="19">
        <f t="shared" si="1015"/>
        <v>1200</v>
      </c>
      <c r="IJ311" s="19">
        <f t="shared" si="1016"/>
        <v>2224.493581030405</v>
      </c>
      <c r="IK311" s="19">
        <f t="shared" si="1017"/>
        <v>3451.75</v>
      </c>
      <c r="IL311" s="19">
        <f t="shared" si="1039"/>
        <v>1150</v>
      </c>
      <c r="IM311" s="19">
        <f t="shared" si="1018"/>
        <v>400.49128495736886</v>
      </c>
      <c r="IN311" s="19">
        <f t="shared" si="1019"/>
        <v>184.25</v>
      </c>
      <c r="IO311" s="39">
        <f t="shared" si="1020"/>
        <v>0</v>
      </c>
      <c r="IP311" s="39">
        <f t="shared" si="1021"/>
        <v>0</v>
      </c>
      <c r="IQ311" s="39">
        <f t="shared" si="1022"/>
        <v>0</v>
      </c>
      <c r="IR311" s="39">
        <v>0</v>
      </c>
      <c r="IS311" s="39">
        <v>0</v>
      </c>
      <c r="IT311" s="39">
        <v>0</v>
      </c>
      <c r="IU311" s="39">
        <v>0</v>
      </c>
      <c r="IV311" s="39">
        <v>0</v>
      </c>
      <c r="IW311" s="39">
        <v>0</v>
      </c>
      <c r="IX311" s="39">
        <f>INDEX(Input!$1:$1048576,IX$93,$C311*2+6)+INDEX(Input!$1:$1048576,IX$94,$C311*2+6)</f>
        <v>1600</v>
      </c>
      <c r="IY311" s="39">
        <f>INDEX(Input!$1:$1048576,IY$93,$C311*2+6)+INDEX(Input!$1:$1048576,IY$94,$C311*2+6)</f>
        <v>2503.5492916397525</v>
      </c>
      <c r="IZ311" s="39">
        <f>INDEX(Input!$1:$1048576,IZ$93,$C311*2+6)+INDEX(Input!$1:$1048576,IZ$94,$C311*2+6)</f>
        <v>5773.7109265464023</v>
      </c>
      <c r="JA311" s="19">
        <f t="shared" si="1040"/>
        <v>2750</v>
      </c>
      <c r="JB311" s="19">
        <f t="shared" si="1041"/>
        <v>2904.0405765971213</v>
      </c>
      <c r="JC311" s="19">
        <f t="shared" si="1042"/>
        <v>5957.9609265464023</v>
      </c>
      <c r="JD311" s="19">
        <f t="shared" si="1043"/>
        <v>3843.0607585687335</v>
      </c>
      <c r="JE311" s="21"/>
      <c r="JF311" s="1">
        <f t="shared" si="1023"/>
        <v>4.6698303040990354E-2</v>
      </c>
      <c r="JG311" s="15">
        <f>INDEX(Input!$1:$1048576,JG$93,$C311*2+6)/(1+VLOOKUP(C311*1000+INDEX(Input!$1:$1048576,JG$93+1,$C311*2+6),$A:$KK,$JK$92,FALSE))</f>
        <v>1926</v>
      </c>
      <c r="JH311" s="1">
        <f t="shared" si="1044"/>
        <v>0.11428472183654224</v>
      </c>
      <c r="JI311" s="1">
        <f t="shared" si="1045"/>
        <v>-2.1883900024930562E-3</v>
      </c>
      <c r="JJ311" s="1">
        <f t="shared" si="1046"/>
        <v>0</v>
      </c>
      <c r="JK311" s="1">
        <f t="shared" si="1073"/>
        <v>0.11209633183404918</v>
      </c>
      <c r="JL311" s="15">
        <f t="shared" si="1048"/>
        <v>215.89753511237873</v>
      </c>
      <c r="JM311" s="15">
        <f t="shared" si="1074"/>
        <v>2141.8975351123786</v>
      </c>
      <c r="JN311" s="21"/>
      <c r="JO311" s="19">
        <f>INDEX(Input!$1:$1048576,JO$93,$C311*2+6)</f>
        <v>5908.5</v>
      </c>
      <c r="JP311" s="19">
        <f>INDEX(Input!$1:$1048576,JP$93,$C311*2+6)</f>
        <v>3467.7694503767912</v>
      </c>
      <c r="JQ311" s="39">
        <f t="shared" si="1060"/>
        <v>2065.4392414312665</v>
      </c>
      <c r="JR311" s="39">
        <f t="shared" si="1077"/>
        <v>375.29130819194233</v>
      </c>
      <c r="JS311" s="39">
        <f t="shared" si="1062"/>
        <v>8.2314423660654779</v>
      </c>
      <c r="JT311" s="39">
        <f t="shared" si="1050"/>
        <v>1.5525184046397777</v>
      </c>
      <c r="JU311" s="385">
        <f>(JQ311*JM311-INDEX(Input!$1:$1048576,Input!A$18,$C311*2+6)*JL311*INDEX(Input!$1:$1048576,Input!A$19,$C311*2+6))/1000000</f>
        <v>4.4239592201460107</v>
      </c>
      <c r="JV311" s="39">
        <f t="shared" si="1026"/>
        <v>-0.27688781842828902</v>
      </c>
      <c r="JW311" s="1">
        <f t="shared" si="1075"/>
        <v>-5.8901686473990265E-2</v>
      </c>
      <c r="JX311" s="19">
        <f t="shared" si="1066"/>
        <v>7190.9964318567263</v>
      </c>
      <c r="JZ311" s="341"/>
      <c r="KA311" s="342"/>
      <c r="KB311" s="469">
        <f t="shared" si="1063"/>
        <v>2.7822247002359868</v>
      </c>
      <c r="KI311" s="473">
        <f t="shared" si="1064"/>
        <v>183.20043894736278</v>
      </c>
      <c r="KJ311" s="473">
        <f t="shared" si="1051"/>
        <v>43.199940361595395</v>
      </c>
      <c r="KK311" s="473">
        <f t="shared" si="1052"/>
        <v>-10.502844196579645</v>
      </c>
      <c r="KN311" s="544">
        <f t="shared" si="1067"/>
        <v>3002</v>
      </c>
      <c r="KO311" s="541">
        <f t="shared" si="1027"/>
        <v>3.9718689272630225E-2</v>
      </c>
      <c r="KP311" s="546">
        <f t="shared" si="1028"/>
        <v>235.51770804022755</v>
      </c>
      <c r="KQ311" s="546">
        <f t="shared" si="1029"/>
        <v>121.97954024336059</v>
      </c>
      <c r="KR311" s="548">
        <f t="shared" si="1030"/>
        <v>2.6939083342607817</v>
      </c>
      <c r="KS311" s="548">
        <f t="shared" si="1031"/>
        <v>5.2013896370633406</v>
      </c>
      <c r="KT311" s="473">
        <f t="shared" si="1065"/>
        <v>527.01264777847621</v>
      </c>
      <c r="KU311" s="663">
        <f t="shared" si="1053"/>
        <v>15.703612530024341</v>
      </c>
      <c r="KV311" s="117" t="e">
        <f t="shared" si="1078"/>
        <v>#N/A</v>
      </c>
    </row>
    <row r="312" spans="1:308" s="26" customFormat="1" ht="15">
      <c r="A312" s="561">
        <f t="shared" si="1032"/>
        <v>3012</v>
      </c>
      <c r="B312" s="561">
        <f t="shared" si="1054"/>
        <v>12</v>
      </c>
      <c r="C312" s="561">
        <f t="shared" si="1055"/>
        <v>3</v>
      </c>
      <c r="D312" s="561" t="str">
        <f t="shared" si="1076"/>
        <v xml:space="preserve">1000 CC, </v>
      </c>
      <c r="E312" s="475">
        <f>INDEX(Input!$1:$1048576,E$93,$C312*2+MIN($B312,2)+5)+IF(OR(BX312&gt;50000,INDEX(Input!$1:$1048576,E$93,$C312*2+MIN($B312,2)+5)&gt;0),0,250)+IF(BX312&gt;50000,500,250)*4</f>
        <v>2250</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1.9E-2</v>
      </c>
      <c r="W312" s="862">
        <f>INDEX(Input!$1:$1048576,W$93,$C312*2+MIN($B312,2)+5)</f>
        <v>3.9000000000000007E-2</v>
      </c>
      <c r="X312" s="118" t="str">
        <f>INDEX(Input!$1:$1048576,X$93,$C312*2+MIN($B312,2)+5)</f>
        <v>Y</v>
      </c>
      <c r="Y312" s="150">
        <f>INDEX(Input!$1:$1048576,Y$93,$C312*2+MIN($B312,2)+5)</f>
        <v>4108</v>
      </c>
      <c r="Z312" s="30">
        <f>INDEX(Input!$1:$1048576,Z$93,$C312*2+MIN($B312,2)+5)</f>
        <v>0</v>
      </c>
      <c r="AA312" s="115">
        <f>INDEX(Input!$1:$1048576,AA$93,$C312*2+MIN($B312,2)+5)</f>
        <v>500</v>
      </c>
      <c r="AB312" s="118">
        <f>INDEX(Input!$1:$1048576,AB$93,$C312*2+MIN($B312,2)+5)</f>
        <v>0.62</v>
      </c>
      <c r="AC312" s="115">
        <f>INDEX(Input!$1:$1048576,AC$93,$C312*2+MIN($B312,2)+5)</f>
        <v>0</v>
      </c>
      <c r="AD312" s="118">
        <f>INDEX(Input!$1:$1048576,AD$93,$C312*2+MIN($B312,2)+5)</f>
        <v>0.35</v>
      </c>
      <c r="AE312" s="115">
        <f>INDEX(Input!$1:$1048576,AE$93,$C312*2+MIN($B312,2)+5)</f>
        <v>500</v>
      </c>
      <c r="AF312" s="118">
        <f>INDEX(Input!$1:$1048576,AF$93,$C312*2+MIN($B312,2)+5)</f>
        <v>0.97</v>
      </c>
      <c r="AG312" s="115">
        <f>INDEX(Input!$1:$1048576,AG$93,$C312*2+MIN($B312,2)+5)</f>
        <v>0</v>
      </c>
      <c r="AH312" s="118">
        <f>INDEX(Input!$1:$1048576,AH$93,$C312*2+MIN($B312,2)+5)</f>
        <v>1</v>
      </c>
      <c r="AI312" s="115">
        <f>INDEX(Input!$1:$1048576,AI$93,$C312*2+MIN($B312,2)+5)</f>
        <v>0</v>
      </c>
      <c r="AJ312" s="118">
        <f>INDEX(Input!$1:$1048576,AJ$93,$C312*2+MIN($B312,2)+5)</f>
        <v>0.35</v>
      </c>
      <c r="AK312" s="150">
        <f>ROUND(INDEX(Input!$1:$1048576,AK$93,$C311*2+MIN($B312,1)+5)+(Y312-VLOOKUP($C312*1000+1,$A:$HH,Y$92,FALSE)),0)</f>
        <v>4982</v>
      </c>
      <c r="AL312" s="150">
        <f>ROUND(INDEX(Input!$1:$1048576,AL$93,$C311*2+MIN($B312,1)+5)-(Y312-VLOOKUP($C312*1000+1,$A:$HH,Y$92,FALSE))/36,0)</f>
        <v>5102</v>
      </c>
      <c r="AM312" s="32" t="str">
        <f t="shared" si="1033"/>
        <v>std/std/std/std</v>
      </c>
      <c r="AN312" s="32" t="str">
        <f t="shared" si="1034"/>
        <v>$0 + 0/0/0/1.9/3.9</v>
      </c>
      <c r="AO312" s="32" t="str">
        <f t="shared" si="1035"/>
        <v>0/0/0/1.9/3.9</v>
      </c>
      <c r="AP312" s="32" t="str">
        <f t="shared" si="989"/>
        <v>0/0.9/1.9/3.9</v>
      </c>
      <c r="AQ312" s="536">
        <f t="shared" si="988"/>
        <v>485.33192580905944</v>
      </c>
      <c r="AR312" s="32"/>
      <c r="AS312" s="302"/>
      <c r="AT312" s="3">
        <f t="shared" si="1056"/>
        <v>12</v>
      </c>
      <c r="AU312" s="41" t="s">
        <v>121</v>
      </c>
      <c r="AV312" s="41" t="s">
        <v>116</v>
      </c>
      <c r="AW312" s="41" t="str">
        <f>INDEX(Input!$1:$1048576,AW$93,$C312*2+6)</f>
        <v>Kia</v>
      </c>
      <c r="AX312" s="41" t="str">
        <f>INDEX(Input!$1:$1048576,AX$93,$C312*2+6)</f>
        <v>Kia-LR - L3</v>
      </c>
      <c r="AY312" s="41" t="str">
        <f>IF(LEN(D312)=0,"",INDEX(Input!$1:$1048576,AY$93,$C312*2+6))</f>
        <v>Compact Conventional/Sporty Car (43)</v>
      </c>
      <c r="AZ312" s="41" t="str">
        <f>INDEX(Input!$1:$1048576,AZ$93,$C312*2+6)</f>
        <v>Kia Forte</v>
      </c>
      <c r="BA312" s="3">
        <f>INDEX(Input!$1:$1048576,BA$93,$C312*2+6)</f>
        <v>2020</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19695</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990"/>
        <v>2250</v>
      </c>
      <c r="CJ312" s="16" t="str">
        <f>INDEX(Input!$1:$1048576,CJ$93,$C312*2+6)</f>
        <v>N</v>
      </c>
      <c r="CK312" s="1" t="str">
        <f t="shared" si="991"/>
        <v>Market</v>
      </c>
      <c r="CL312" s="1" t="str">
        <f t="shared" si="992"/>
        <v>Market</v>
      </c>
      <c r="CM312" s="1" t="str">
        <f t="shared" si="993"/>
        <v>Market</v>
      </c>
      <c r="CN312" s="1" t="str">
        <f t="shared" si="994"/>
        <v>Market</v>
      </c>
      <c r="CO312" s="1" t="str">
        <f t="shared" si="995"/>
        <v>Market</v>
      </c>
      <c r="CP312" s="304">
        <f t="shared" si="996"/>
        <v>310</v>
      </c>
      <c r="CQ312" s="1">
        <f t="shared" si="997"/>
        <v>0</v>
      </c>
      <c r="CR312" s="1">
        <f t="shared" si="998"/>
        <v>0</v>
      </c>
      <c r="CS312" s="1">
        <f t="shared" si="999"/>
        <v>0</v>
      </c>
      <c r="CT312" s="1">
        <f t="shared" si="1000"/>
        <v>1.9E-2</v>
      </c>
      <c r="CU312" s="1">
        <f t="shared" si="1001"/>
        <v>3.9000000000000007E-2</v>
      </c>
      <c r="CV312" s="304">
        <f t="shared" si="1002"/>
        <v>4593</v>
      </c>
      <c r="CW312" s="20" t="s">
        <v>122</v>
      </c>
      <c r="CX312" s="20" t="s">
        <v>122</v>
      </c>
      <c r="CY312" s="20" t="s">
        <v>122</v>
      </c>
      <c r="CZ312" s="20" t="s">
        <v>122</v>
      </c>
      <c r="DA312" s="20" t="s">
        <v>122</v>
      </c>
      <c r="DB312" s="503">
        <f t="shared" si="1003"/>
        <v>0</v>
      </c>
      <c r="DC312" s="127">
        <v>0</v>
      </c>
      <c r="DD312" s="127">
        <v>0</v>
      </c>
      <c r="DE312" s="127">
        <v>0</v>
      </c>
      <c r="DF312" s="127">
        <v>0</v>
      </c>
      <c r="DG312" s="127">
        <v>0</v>
      </c>
      <c r="DH312" s="127">
        <v>0</v>
      </c>
      <c r="DI312" s="127">
        <v>0</v>
      </c>
      <c r="DJ312" s="127">
        <v>0</v>
      </c>
      <c r="DK312" s="127">
        <v>0</v>
      </c>
      <c r="DL312" s="127">
        <v>0</v>
      </c>
      <c r="DM312" s="304">
        <f>INDEX(Input!$1:$1048576,DM$93,$C312*2+6)</f>
        <v>20731.578947368424</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3.7692447321949721E-2</v>
      </c>
      <c r="DZ312" s="7">
        <v>0</v>
      </c>
      <c r="EA312" s="7">
        <v>0.65691211506609826</v>
      </c>
      <c r="EB312" s="7">
        <v>0</v>
      </c>
      <c r="EC312" s="7">
        <v>0</v>
      </c>
      <c r="ED312" s="7">
        <v>0</v>
      </c>
      <c r="EE312" s="7">
        <v>0</v>
      </c>
      <c r="EF312" s="7">
        <v>0</v>
      </c>
      <c r="EG312" s="7">
        <v>0</v>
      </c>
      <c r="EH312" s="7">
        <v>1.415660604149842E-2</v>
      </c>
      <c r="EI312" s="7">
        <v>1.7907921794484444E-2</v>
      </c>
      <c r="EJ312" s="7">
        <v>0.25837083104994896</v>
      </c>
      <c r="EK312" s="7">
        <v>0.65883756456416265</v>
      </c>
      <c r="EL312" s="7">
        <v>5.0727076549905568E-2</v>
      </c>
      <c r="EM312" s="7">
        <v>3.9541542490403432E-2</v>
      </c>
      <c r="EN312" s="7">
        <v>5.8903840649550718E-2</v>
      </c>
      <c r="EO312" s="7">
        <v>0.5680644908961251</v>
      </c>
      <c r="EP312" s="7">
        <v>0.27410709591931864</v>
      </c>
      <c r="EQ312" s="7">
        <v>5.8713575146425327E-2</v>
      </c>
      <c r="ER312" s="7">
        <v>4.0210997388580243E-2</v>
      </c>
      <c r="ES312" s="7">
        <v>0.26585389512154861</v>
      </c>
      <c r="ET312" s="7">
        <v>0.30539543761195198</v>
      </c>
      <c r="EU312" s="6">
        <v>2600</v>
      </c>
      <c r="EV312" s="6">
        <v>0</v>
      </c>
      <c r="EW312" s="6">
        <v>2600</v>
      </c>
      <c r="EX312" s="6">
        <v>0</v>
      </c>
      <c r="EY312" s="6">
        <v>2625.1083266960331</v>
      </c>
      <c r="EZ312" s="6">
        <v>3636</v>
      </c>
      <c r="FA312" s="6">
        <v>0</v>
      </c>
      <c r="FB312" s="6">
        <v>0</v>
      </c>
      <c r="FC312" s="6">
        <v>0</v>
      </c>
      <c r="FD312" s="6">
        <v>0</v>
      </c>
      <c r="FE312" s="6">
        <v>0</v>
      </c>
      <c r="FF312" s="6">
        <v>0</v>
      </c>
      <c r="FG312" s="6">
        <v>0</v>
      </c>
      <c r="FH312" s="6">
        <v>1154.3211736895055</v>
      </c>
      <c r="FI312" s="6">
        <v>1531.4299904380616</v>
      </c>
      <c r="FJ312" s="6">
        <v>2070.7205842538219</v>
      </c>
      <c r="FK312" s="6">
        <v>1746.9903521590431</v>
      </c>
      <c r="FL312" s="6">
        <v>893.91433563489386</v>
      </c>
      <c r="FM312" s="6">
        <v>1775.1083266960334</v>
      </c>
      <c r="FN312" s="6">
        <v>0</v>
      </c>
      <c r="FO312" s="6">
        <v>0</v>
      </c>
      <c r="FP312" s="6">
        <v>0</v>
      </c>
      <c r="FQ312" s="6">
        <v>0</v>
      </c>
      <c r="FR312" s="6">
        <v>0</v>
      </c>
      <c r="FS312" s="6">
        <v>0</v>
      </c>
      <c r="FT312" s="7">
        <v>0.69460456238804802</v>
      </c>
      <c r="FU312" s="7">
        <v>3.9541542490403432E-2</v>
      </c>
      <c r="FV312" s="7">
        <v>0.26585389512154861</v>
      </c>
      <c r="FW312" s="6">
        <v>2599.9999999999995</v>
      </c>
      <c r="FX312" s="6">
        <v>2625.1083266960331</v>
      </c>
      <c r="FY312" s="6">
        <v>3636</v>
      </c>
      <c r="FZ312" s="6">
        <v>2202.331475193394</v>
      </c>
      <c r="GA312" s="6">
        <v>2876.4174573128385</v>
      </c>
      <c r="GB312" s="6">
        <v>16818.58254268716</v>
      </c>
      <c r="GC312" s="7">
        <v>4.8391397220736806E-2</v>
      </c>
      <c r="GD312" s="7">
        <v>5.3212977559503404E-2</v>
      </c>
      <c r="GE312" s="7"/>
      <c r="GF312" s="7"/>
      <c r="GG312" s="7">
        <v>9.9637138327976216E-2</v>
      </c>
      <c r="GH312" s="42">
        <v>2.9111322463634512</v>
      </c>
      <c r="GI312" s="6">
        <v>9641.8263543503163</v>
      </c>
      <c r="GJ312" s="14">
        <v>0.51074630601039561</v>
      </c>
      <c r="GK312" s="14">
        <v>0.50829519786160993</v>
      </c>
      <c r="GL312" s="14">
        <v>0.48925369398960439</v>
      </c>
      <c r="GM312" s="14">
        <v>0.49170480213839041</v>
      </c>
      <c r="GO312" s="5">
        <v>338.16872463277008</v>
      </c>
      <c r="GP312" s="5">
        <v>288.56568471597211</v>
      </c>
      <c r="GQ312" s="5">
        <v>527.27910984145694</v>
      </c>
      <c r="GR312" s="5">
        <v>404.20319246551543</v>
      </c>
      <c r="GS312" s="5">
        <v>334.50205195691484</v>
      </c>
      <c r="GT312" s="5">
        <v>289.18266033348181</v>
      </c>
      <c r="GU312" s="5">
        <v>254.29573314828914</v>
      </c>
      <c r="GV312" s="39" t="s">
        <v>392</v>
      </c>
      <c r="GW312" s="5">
        <v>468.76388888888891</v>
      </c>
      <c r="GX312" s="5">
        <v>351.57291666666669</v>
      </c>
      <c r="GY312" s="5">
        <v>281.25833333333333</v>
      </c>
      <c r="GZ312" s="5">
        <v>248.18079879493993</v>
      </c>
      <c r="HA312" s="5">
        <v>229.8919505212948</v>
      </c>
      <c r="HB312" s="39">
        <v>260.77357494321063</v>
      </c>
      <c r="HC312" s="5">
        <v>124.04062499999996</v>
      </c>
      <c r="HD312" s="5">
        <v>127.75060307017539</v>
      </c>
      <c r="HE312" s="5">
        <v>136.66051366396758</v>
      </c>
      <c r="HF312" s="5">
        <v>133.62067434210525</v>
      </c>
      <c r="HG312" s="5">
        <v>137.88493421052632</v>
      </c>
      <c r="HH312" s="39">
        <v>130.72650526464059</v>
      </c>
      <c r="HI312" s="16"/>
      <c r="HJ312" s="19" t="str">
        <f t="shared" si="1057"/>
        <v>On</v>
      </c>
      <c r="HK312" s="1" t="str">
        <f t="shared" si="1057"/>
        <v>On</v>
      </c>
      <c r="HL312" s="16"/>
      <c r="HM312" s="639">
        <f t="shared" si="1004"/>
        <v>2.8970655363290673E-2</v>
      </c>
      <c r="HN312" s="639">
        <f t="shared" si="1005"/>
        <v>2.1835179285533651E-3</v>
      </c>
      <c r="HO312" s="639">
        <f t="shared" si="1006"/>
        <v>1.5544129749146325E-2</v>
      </c>
      <c r="HP312" s="644">
        <f>(FT312*$GD312-HM312)/$JF312*INDEX(Input!$1:$1048576,$JG$93,$C312*2+6)</f>
        <v>329.58982345931753</v>
      </c>
      <c r="HQ312" s="644">
        <f>(FU312*$GD312-HN312)/$JF312*INDEX(Input!$1:$1048576,$JG$93,$C312*2+6)</f>
        <v>-3.2745134575258676</v>
      </c>
      <c r="HR312" s="644">
        <f>(FV312*$GD312-HO312)/$JF312*INDEX(Input!$1:$1048576,$JG$93,$C312*2+6)</f>
        <v>-57.627535380891246</v>
      </c>
      <c r="HS312" s="644">
        <f t="shared" si="1007"/>
        <v>-97.249107098126956</v>
      </c>
      <c r="HT312" s="644">
        <f t="shared" si="1008"/>
        <v>41.160633990132311</v>
      </c>
      <c r="HU312" s="644">
        <f t="shared" si="1009"/>
        <v>34.599337078226071</v>
      </c>
      <c r="HV312" s="648">
        <f t="shared" si="1010"/>
        <v>0</v>
      </c>
      <c r="HW312" s="648">
        <f t="shared" si="1011"/>
        <v>0</v>
      </c>
      <c r="HX312" s="648">
        <f t="shared" si="1012"/>
        <v>0</v>
      </c>
      <c r="HY312" s="644">
        <f>INDEX(Input!$1:$1048576,HY$93,$C312*2+6)*INDEX(Input!$1:$1048576,$JG$93,$C312*2+6)</f>
        <v>488.99999999999994</v>
      </c>
      <c r="HZ312" s="644">
        <f>INDEX(Input!$1:$1048576,HZ$93,$C312*2+6)*INDEX(Input!$1:$1048576,$JG$93,$C312*2+6)</f>
        <v>734</v>
      </c>
      <c r="IA312" s="644">
        <f>INDEX(Input!$1:$1048576,IA$93,$C312*2+6)*INDEX(Input!$1:$1048576,$JG$93,$C312*2+6)</f>
        <v>703</v>
      </c>
      <c r="IB312" s="644">
        <f t="shared" si="1036"/>
        <v>721.3407163611904</v>
      </c>
      <c r="IC312" s="644">
        <f t="shared" si="1037"/>
        <v>771.88612053260647</v>
      </c>
      <c r="ID312" s="644">
        <f>IF(AND(INDEX(Input!$1:$1048576,IA$93,$C312*2+7)="TOS",Y312&lt;=INDEX(Y:Y,MATCH(C312*1000+2,A:A))),0,1)*MAX(IA312+HR312+HU312+HX312,0%)</f>
        <v>679.97180169733485</v>
      </c>
      <c r="IE312" s="128">
        <f t="shared" ref="IE312" si="1079">IB312/SUM($IB312:$ID312)</f>
        <v>0.33192580905941949</v>
      </c>
      <c r="IF312" s="128">
        <f t="shared" si="1059"/>
        <v>0.35518433834148466</v>
      </c>
      <c r="IG312" s="128">
        <f t="shared" si="1014"/>
        <v>0.3128898525990958</v>
      </c>
      <c r="IH312" s="21"/>
      <c r="II312" s="19">
        <f t="shared" si="1015"/>
        <v>1200</v>
      </c>
      <c r="IJ312" s="19">
        <f t="shared" si="1016"/>
        <v>2224.493581030405</v>
      </c>
      <c r="IK312" s="19">
        <f t="shared" si="1017"/>
        <v>3451.75</v>
      </c>
      <c r="IL312" s="19">
        <f t="shared" si="1039"/>
        <v>1399.9999999999995</v>
      </c>
      <c r="IM312" s="19">
        <f t="shared" si="1018"/>
        <v>400.61474566562811</v>
      </c>
      <c r="IN312" s="19">
        <f t="shared" si="1019"/>
        <v>184.25</v>
      </c>
      <c r="IO312" s="39">
        <f t="shared" si="1020"/>
        <v>0</v>
      </c>
      <c r="IP312" s="39">
        <f t="shared" si="1021"/>
        <v>0</v>
      </c>
      <c r="IQ312" s="39">
        <f t="shared" si="1022"/>
        <v>0</v>
      </c>
      <c r="IR312" s="39">
        <v>0</v>
      </c>
      <c r="IS312" s="39">
        <v>0</v>
      </c>
      <c r="IT312" s="39">
        <v>0</v>
      </c>
      <c r="IU312" s="39">
        <v>0</v>
      </c>
      <c r="IV312" s="39">
        <v>0</v>
      </c>
      <c r="IW312" s="39">
        <v>0</v>
      </c>
      <c r="IX312" s="39">
        <f>INDEX(Input!$1:$1048576,IX$93,$C312*2+6)+INDEX(Input!$1:$1048576,IX$94,$C312*2+6)</f>
        <v>1600</v>
      </c>
      <c r="IY312" s="39">
        <f>INDEX(Input!$1:$1048576,IY$93,$C312*2+6)+INDEX(Input!$1:$1048576,IY$94,$C312*2+6)</f>
        <v>2503.5492916397525</v>
      </c>
      <c r="IZ312" s="39">
        <f>INDEX(Input!$1:$1048576,IZ$93,$C312*2+6)+INDEX(Input!$1:$1048576,IZ$94,$C312*2+6)</f>
        <v>5773.7109265464023</v>
      </c>
      <c r="JA312" s="19">
        <f t="shared" si="1040"/>
        <v>2999.9999999999995</v>
      </c>
      <c r="JB312" s="19">
        <f t="shared" si="1041"/>
        <v>2904.1640373053806</v>
      </c>
      <c r="JC312" s="19">
        <f t="shared" si="1042"/>
        <v>5957.9609265464023</v>
      </c>
      <c r="JD312" s="19">
        <f t="shared" si="1043"/>
        <v>3891.4765253019805</v>
      </c>
      <c r="JE312" s="21"/>
      <c r="JF312" s="1">
        <f t="shared" si="1023"/>
        <v>4.6698303040990354E-2</v>
      </c>
      <c r="JG312" s="15">
        <f>INDEX(Input!$1:$1048576,JG$93,$C312*2+6)/(1+VLOOKUP(C312*1000+INDEX(Input!$1:$1048576,JG$93+1,$C312*2+6),$A:$KK,$JK$92,FALSE))</f>
        <v>1926</v>
      </c>
      <c r="JH312" s="1">
        <f t="shared" si="1044"/>
        <v>0.13950559429953294</v>
      </c>
      <c r="JI312" s="1">
        <f t="shared" si="1045"/>
        <v>-1.1157391500399051E-2</v>
      </c>
      <c r="JJ312" s="1">
        <f t="shared" si="1046"/>
        <v>0</v>
      </c>
      <c r="JK312" s="1">
        <f t="shared" ref="JK312" si="1080">SUM(JH312:JJ312)</f>
        <v>0.12834820279913389</v>
      </c>
      <c r="JL312" s="15">
        <f t="shared" si="1048"/>
        <v>247.19863859113187</v>
      </c>
      <c r="JM312" s="15">
        <f t="shared" si="1074"/>
        <v>2173.1986385911318</v>
      </c>
      <c r="JN312" s="21"/>
      <c r="JO312" s="19">
        <f>INDEX(Input!$1:$1048576,JO$93,$C312*2+6)</f>
        <v>5908.5</v>
      </c>
      <c r="JP312" s="19">
        <f>INDEX(Input!$1:$1048576,JP$93,$C312*2+6)</f>
        <v>3467.7694503767912</v>
      </c>
      <c r="JQ312" s="39">
        <f t="shared" si="1060"/>
        <v>2017.0234746980195</v>
      </c>
      <c r="JR312" s="39">
        <f t="shared" si="1077"/>
        <v>423.70707492518932</v>
      </c>
      <c r="JS312" s="39">
        <f t="shared" si="1062"/>
        <v>8.4569514868956119</v>
      </c>
      <c r="JT312" s="39">
        <f t="shared" si="1050"/>
        <v>1.7780275254699114</v>
      </c>
      <c r="JU312" s="385">
        <f>(JQ312*JM312-INDEX(Input!$1:$1048576,Input!A$18,$C312*2+6)*JL312*INDEX(Input!$1:$1048576,Input!A$19,$C312*2+6))/1000000</f>
        <v>4.3833926692200897</v>
      </c>
      <c r="JV312" s="39">
        <f t="shared" si="1026"/>
        <v>-0.31745436935421001</v>
      </c>
      <c r="JW312" s="1">
        <f t="shared" si="1075"/>
        <v>-6.7531312282496522E-2</v>
      </c>
      <c r="JX312" s="19">
        <f t="shared" si="1066"/>
        <v>7192.7075958164169</v>
      </c>
      <c r="JZ312" s="341"/>
      <c r="KA312" s="342"/>
      <c r="KB312" s="469">
        <f t="shared" si="1063"/>
        <v>2.7822247002359868</v>
      </c>
      <c r="KI312" s="473">
        <f t="shared" si="1064"/>
        <v>232.34071636119046</v>
      </c>
      <c r="KJ312" s="473">
        <f t="shared" si="1051"/>
        <v>37.886120532606469</v>
      </c>
      <c r="KK312" s="473">
        <f t="shared" si="1052"/>
        <v>-23.028198302665146</v>
      </c>
      <c r="KN312" s="544">
        <f t="shared" si="1067"/>
        <v>3002</v>
      </c>
      <c r="KO312" s="541">
        <f t="shared" si="1027"/>
        <v>5.4912853208212153E-2</v>
      </c>
      <c r="KP312" s="546">
        <f t="shared" si="1028"/>
        <v>332.10880430900551</v>
      </c>
      <c r="KQ312" s="546">
        <f t="shared" si="1029"/>
        <v>170.39530697660757</v>
      </c>
      <c r="KR312" s="548">
        <f t="shared" si="1030"/>
        <v>2.6412231348189414</v>
      </c>
      <c r="KS312" s="548">
        <f t="shared" si="1031"/>
        <v>5.1478733351407566</v>
      </c>
      <c r="KT312" s="473">
        <f t="shared" si="1065"/>
        <v>527.01264777847621</v>
      </c>
      <c r="KU312" s="663">
        <f t="shared" si="1053"/>
        <v>15.808831238781776</v>
      </c>
      <c r="KV312" s="117" t="e">
        <f>RANK(KU312,$KU$109:$KU$200)</f>
        <v>#N/A</v>
      </c>
    </row>
    <row r="313" spans="1:308" s="26" customFormat="1" ht="15">
      <c r="A313" s="561">
        <f t="shared" si="1032"/>
        <v>3013</v>
      </c>
      <c r="B313" s="561">
        <f t="shared" si="1054"/>
        <v>13</v>
      </c>
      <c r="C313" s="561">
        <f t="shared" si="1055"/>
        <v>3</v>
      </c>
      <c r="D313" s="561" t="str">
        <f t="shared" si="1076"/>
        <v xml:space="preserve">0/0/0.9/3.9, </v>
      </c>
      <c r="E313" s="115">
        <f>INDEX(Input!$1:$1048576,E$93,$C313*2+MIN($B313,2)+5)</f>
        <v>1250</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8.9999999999999993E-3</v>
      </c>
      <c r="W313" s="863">
        <f>IFERROR(MAX(0,INDEX(Input!$1:$1048576,W$93,$C313*2+MIN($B313,2)+5)-0%,),"Market")</f>
        <v>3.9000000000000007E-2</v>
      </c>
      <c r="X313" s="476" t="str">
        <f>INDEX(Input!$1:$1048576,X$93,$C313*2+MIN($B313,2)+5)</f>
        <v>Y</v>
      </c>
      <c r="Y313" s="150">
        <f>INDEX(Input!$1:$1048576,Y$93,$C313*2+MIN($B313,2)+5)</f>
        <v>4108</v>
      </c>
      <c r="Z313" s="30">
        <f>INDEX(Input!$1:$1048576,Z$93,$C313*2+MIN($B313,2)+5)</f>
        <v>0</v>
      </c>
      <c r="AA313" s="475">
        <f>INDEX(Input!$1:$1048576,AA$93,$C313*2+MIN($B313,2)+5)</f>
        <v>500</v>
      </c>
      <c r="AB313" s="118">
        <f>INDEX(Input!$1:$1048576,AB$93,$C313*2+MIN($B313,2)+5)</f>
        <v>0.62</v>
      </c>
      <c r="AC313" s="115">
        <f>INDEX(Input!$1:$1048576,AC$93,$C313*2+MIN($B313,2)+5)</f>
        <v>0</v>
      </c>
      <c r="AD313" s="118">
        <f>INDEX(Input!$1:$1048576,AD$93,$C313*2+MIN($B313,2)+5)</f>
        <v>0.35</v>
      </c>
      <c r="AE313" s="115">
        <f>INDEX(Input!$1:$1048576,AE$93,$C313*2+MIN($B313,2)+5)</f>
        <v>500</v>
      </c>
      <c r="AF313" s="118">
        <f>INDEX(Input!$1:$1048576,AF$93,$C313*2+MIN($B313,2)+5)</f>
        <v>0.97</v>
      </c>
      <c r="AG313" s="115">
        <f>INDEX(Input!$1:$1048576,AG$93,$C313*2+MIN($B313,2)+5)</f>
        <v>0</v>
      </c>
      <c r="AH313" s="118">
        <f>INDEX(Input!$1:$1048576,AH$93,$C313*2+MIN($B313,2)+5)</f>
        <v>1</v>
      </c>
      <c r="AI313" s="115">
        <f>INDEX(Input!$1:$1048576,AI$93,$C313*2+MIN($B313,2)+5)</f>
        <v>0</v>
      </c>
      <c r="AJ313" s="118">
        <f>INDEX(Input!$1:$1048576,AJ$93,$C313*2+MIN($B313,2)+5)</f>
        <v>0.35</v>
      </c>
      <c r="AK313" s="150">
        <f>ROUND(INDEX(Input!$1:$1048576,AK$93,$C312*2+MIN($B313,1)+5)+(Y313-VLOOKUP($C313*1000+1,$A:$HH,Y$92,FALSE)),0)</f>
        <v>4982</v>
      </c>
      <c r="AL313" s="150">
        <f>ROUND(INDEX(Input!$1:$1048576,AL$93,$C312*2+MIN($B313,1)+5)-(Y313-VLOOKUP($C313*1000+1,$A:$HH,Y$92,FALSE))/36,0)</f>
        <v>5102</v>
      </c>
      <c r="AM313" s="32" t="str">
        <f t="shared" si="1033"/>
        <v>std/std/std/std</v>
      </c>
      <c r="AN313" s="32" t="str">
        <f t="shared" si="1034"/>
        <v>$0 + 0/0/0/0.9/3.9</v>
      </c>
      <c r="AO313" s="32" t="str">
        <f t="shared" si="1035"/>
        <v>0/0/0/0.9/3.9</v>
      </c>
      <c r="AP313" s="32" t="str">
        <f t="shared" si="989"/>
        <v>0/0/0.9/3.9</v>
      </c>
      <c r="AQ313" s="536">
        <f t="shared" si="988"/>
        <v>485.24645260134736</v>
      </c>
      <c r="AR313" s="32"/>
      <c r="AS313" s="302"/>
      <c r="AT313" s="3">
        <f t="shared" si="1056"/>
        <v>13</v>
      </c>
      <c r="AU313" s="41" t="s">
        <v>121</v>
      </c>
      <c r="AV313" s="41" t="s">
        <v>116</v>
      </c>
      <c r="AW313" s="41" t="str">
        <f>INDEX(Input!$1:$1048576,AW$93,$C313*2+6)</f>
        <v>Kia</v>
      </c>
      <c r="AX313" s="41" t="str">
        <f>INDEX(Input!$1:$1048576,AX$93,$C313*2+6)</f>
        <v>Kia-LR - L3</v>
      </c>
      <c r="AY313" s="41" t="str">
        <f>IF(LEN(D313)=0,"",INDEX(Input!$1:$1048576,AY$93,$C313*2+6))</f>
        <v>Compact Conventional/Sporty Car (43)</v>
      </c>
      <c r="AZ313" s="41" t="str">
        <f>INDEX(Input!$1:$1048576,AZ$93,$C313*2+6)</f>
        <v>Kia Forte</v>
      </c>
      <c r="BA313" s="3">
        <f>INDEX(Input!$1:$1048576,BA$93,$C313*2+6)</f>
        <v>2020</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19695</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990"/>
        <v>1250</v>
      </c>
      <c r="CJ313" s="16" t="str">
        <f>INDEX(Input!$1:$1048576,CJ$93,$C313*2+6)</f>
        <v>N</v>
      </c>
      <c r="CK313" s="1" t="str">
        <f t="shared" si="991"/>
        <v>Market</v>
      </c>
      <c r="CL313" s="1" t="str">
        <f t="shared" si="992"/>
        <v>Market</v>
      </c>
      <c r="CM313" s="1" t="str">
        <f t="shared" si="993"/>
        <v>Market</v>
      </c>
      <c r="CN313" s="1" t="str">
        <f t="shared" si="994"/>
        <v>Market</v>
      </c>
      <c r="CO313" s="1" t="str">
        <f t="shared" si="995"/>
        <v>Market</v>
      </c>
      <c r="CP313" s="304">
        <f t="shared" si="996"/>
        <v>310</v>
      </c>
      <c r="CQ313" s="1">
        <f t="shared" si="997"/>
        <v>0</v>
      </c>
      <c r="CR313" s="1">
        <f t="shared" si="998"/>
        <v>0</v>
      </c>
      <c r="CS313" s="1">
        <f t="shared" si="999"/>
        <v>0</v>
      </c>
      <c r="CT313" s="1">
        <f t="shared" si="1000"/>
        <v>8.9999999999999993E-3</v>
      </c>
      <c r="CU313" s="1">
        <f t="shared" si="1001"/>
        <v>3.9000000000000007E-2</v>
      </c>
      <c r="CV313" s="304">
        <f t="shared" si="1002"/>
        <v>4593</v>
      </c>
      <c r="CW313" s="20" t="s">
        <v>122</v>
      </c>
      <c r="CX313" s="20" t="s">
        <v>122</v>
      </c>
      <c r="CY313" s="20" t="s">
        <v>122</v>
      </c>
      <c r="CZ313" s="20" t="s">
        <v>122</v>
      </c>
      <c r="DA313" s="20" t="s">
        <v>122</v>
      </c>
      <c r="DB313" s="503">
        <f t="shared" si="1003"/>
        <v>0</v>
      </c>
      <c r="DC313" s="127">
        <v>0</v>
      </c>
      <c r="DD313" s="127">
        <v>0</v>
      </c>
      <c r="DE313" s="127">
        <v>0</v>
      </c>
      <c r="DF313" s="127">
        <v>0</v>
      </c>
      <c r="DG313" s="127">
        <v>0</v>
      </c>
      <c r="DH313" s="127">
        <v>0</v>
      </c>
      <c r="DI313" s="127">
        <v>0</v>
      </c>
      <c r="DJ313" s="127">
        <v>0</v>
      </c>
      <c r="DK313" s="127">
        <v>0</v>
      </c>
      <c r="DL313" s="127">
        <v>0</v>
      </c>
      <c r="DM313" s="304">
        <f>INDEX(Input!$1:$1048576,DM$93,$C313*2+6)</f>
        <v>20731.578947368424</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3.3179849163407014E-2</v>
      </c>
      <c r="DZ313" s="7">
        <v>0</v>
      </c>
      <c r="EA313" s="7">
        <v>0.58705125627810117</v>
      </c>
      <c r="EB313" s="7">
        <v>0</v>
      </c>
      <c r="EC313" s="7">
        <v>0</v>
      </c>
      <c r="ED313" s="7">
        <v>0</v>
      </c>
      <c r="EE313" s="7">
        <v>0</v>
      </c>
      <c r="EF313" s="7">
        <v>0</v>
      </c>
      <c r="EG313" s="7">
        <v>0</v>
      </c>
      <c r="EH313" s="7">
        <v>1.013999571784027E-2</v>
      </c>
      <c r="EI313" s="7">
        <v>1.28586219896933E-2</v>
      </c>
      <c r="EJ313" s="7">
        <v>0.18469940796344292</v>
      </c>
      <c r="EK313" s="7">
        <v>0.75569396099452779</v>
      </c>
      <c r="EL313" s="7">
        <v>3.6608013334495461E-2</v>
      </c>
      <c r="EM313" s="7">
        <v>6.5147245879350613E-2</v>
      </c>
      <c r="EN313" s="7">
        <v>5.8903840649550732E-2</v>
      </c>
      <c r="EO313" s="7">
        <v>0.5680644908961251</v>
      </c>
      <c r="EP313" s="7">
        <v>0.27410709591931864</v>
      </c>
      <c r="EQ313" s="7">
        <v>5.8713575146425348E-2</v>
      </c>
      <c r="ER313" s="7">
        <v>4.0210997388580243E-2</v>
      </c>
      <c r="ES313" s="7">
        <v>0.31462164867914127</v>
      </c>
      <c r="ET313" s="7">
        <v>0.37976889455849183</v>
      </c>
      <c r="EU313" s="6">
        <v>1600</v>
      </c>
      <c r="EV313" s="6">
        <v>0</v>
      </c>
      <c r="EW313" s="6">
        <v>1600</v>
      </c>
      <c r="EX313" s="6">
        <v>0</v>
      </c>
      <c r="EY313" s="6">
        <v>2973.1946315778064</v>
      </c>
      <c r="EZ313" s="6">
        <v>3636</v>
      </c>
      <c r="FA313" s="6">
        <v>0</v>
      </c>
      <c r="FB313" s="6">
        <v>0</v>
      </c>
      <c r="FC313" s="6">
        <v>0</v>
      </c>
      <c r="FD313" s="6">
        <v>0</v>
      </c>
      <c r="FE313" s="6">
        <v>0</v>
      </c>
      <c r="FF313" s="6">
        <v>0</v>
      </c>
      <c r="FG313" s="6">
        <v>0</v>
      </c>
      <c r="FH313" s="6">
        <v>1154.3283887042646</v>
      </c>
      <c r="FI313" s="6">
        <v>1531.4299904380618</v>
      </c>
      <c r="FJ313" s="6">
        <v>2070.7205842538224</v>
      </c>
      <c r="FK313" s="6">
        <v>2218.6393698501015</v>
      </c>
      <c r="FL313" s="6">
        <v>893.91433563489375</v>
      </c>
      <c r="FM313" s="6">
        <v>2123.1946315778064</v>
      </c>
      <c r="FN313" s="6">
        <v>0</v>
      </c>
      <c r="FO313" s="6">
        <v>0</v>
      </c>
      <c r="FP313" s="6">
        <v>0</v>
      </c>
      <c r="FQ313" s="6">
        <v>0</v>
      </c>
      <c r="FR313" s="6">
        <v>0</v>
      </c>
      <c r="FS313" s="6">
        <v>0</v>
      </c>
      <c r="FT313" s="7">
        <v>0.62023110544150817</v>
      </c>
      <c r="FU313" s="7">
        <v>6.5147245879350613E-2</v>
      </c>
      <c r="FV313" s="7">
        <v>0.31462164867914127</v>
      </c>
      <c r="FW313" s="6">
        <v>1600</v>
      </c>
      <c r="FX313" s="6">
        <v>2973.1946315778064</v>
      </c>
      <c r="FY313" s="6">
        <v>3636</v>
      </c>
      <c r="FZ313" s="6">
        <v>2202.331475193394</v>
      </c>
      <c r="GA313" s="6">
        <v>2330.0295250143354</v>
      </c>
      <c r="GB313" s="6">
        <v>17364.970474985665</v>
      </c>
      <c r="GC313" s="7">
        <v>4.8391397220736806E-2</v>
      </c>
      <c r="GD313" s="7">
        <v>4.9200985054423885E-2</v>
      </c>
      <c r="GE313" s="7"/>
      <c r="GF313" s="7"/>
      <c r="GG313" s="7">
        <v>1.6729995002916585E-2</v>
      </c>
      <c r="GH313" s="42">
        <v>2.5802841315467564</v>
      </c>
      <c r="GI313" s="6">
        <v>9962.909857535622</v>
      </c>
      <c r="GJ313" s="14">
        <v>0.5107463060103955</v>
      </c>
      <c r="GK313" s="14">
        <v>0.5082951978616097</v>
      </c>
      <c r="GL313" s="14">
        <v>0.48925369398960422</v>
      </c>
      <c r="GM313" s="14">
        <v>0.49170480213839018</v>
      </c>
      <c r="GO313" s="5">
        <v>338.16872463277008</v>
      </c>
      <c r="GP313" s="5">
        <v>307.64377699166363</v>
      </c>
      <c r="GQ313" s="5">
        <v>527.27910984145694</v>
      </c>
      <c r="GR313" s="5">
        <v>404.20319246551543</v>
      </c>
      <c r="GS313" s="5">
        <v>334.50205195691484</v>
      </c>
      <c r="GT313" s="5">
        <v>289.18266033348181</v>
      </c>
      <c r="GU313" s="5">
        <v>254.29573314828914</v>
      </c>
      <c r="GV313" s="39" t="s">
        <v>392</v>
      </c>
      <c r="GW313" s="5">
        <v>468.76388888888891</v>
      </c>
      <c r="GX313" s="5">
        <v>351.57291666666669</v>
      </c>
      <c r="GY313" s="5">
        <v>281.25833333333333</v>
      </c>
      <c r="GZ313" s="5">
        <v>240.8550698915011</v>
      </c>
      <c r="HA313" s="5">
        <v>229.8919505212948</v>
      </c>
      <c r="HB313" s="39">
        <v>251.65086409679247</v>
      </c>
      <c r="HC313" s="5">
        <v>124.04062499999996</v>
      </c>
      <c r="HD313" s="5">
        <v>127.75060307017539</v>
      </c>
      <c r="HE313" s="5">
        <v>136.66051366396758</v>
      </c>
      <c r="HF313" s="5">
        <v>133.62067434210525</v>
      </c>
      <c r="HG313" s="5">
        <v>137.88493421052632</v>
      </c>
      <c r="HH313" s="39">
        <v>130.72650526464059</v>
      </c>
      <c r="HI313" s="16"/>
      <c r="HJ313" s="19" t="str">
        <f t="shared" si="1057"/>
        <v>On</v>
      </c>
      <c r="HK313" s="1" t="str">
        <f t="shared" si="1057"/>
        <v>On</v>
      </c>
      <c r="HL313" s="16"/>
      <c r="HM313" s="639">
        <f t="shared" si="1004"/>
        <v>2.8970655363290673E-2</v>
      </c>
      <c r="HN313" s="639">
        <f t="shared" si="1005"/>
        <v>2.1835179285533651E-3</v>
      </c>
      <c r="HO313" s="639">
        <f t="shared" si="1006"/>
        <v>1.5544129749146325E-2</v>
      </c>
      <c r="HP313" s="644">
        <f>(FT313*$GD313-HM313)/$JF313*INDEX(Input!$1:$1048576,$JG$93,$C313*2+6)</f>
        <v>63.734603933850437</v>
      </c>
      <c r="HQ313" s="644">
        <f>(FU313*$GD313-HN313)/$JF313*INDEX(Input!$1:$1048576,$JG$93,$C313*2+6)</f>
        <v>42.142194501794769</v>
      </c>
      <c r="HR313" s="644">
        <f>(FV313*$GD313-HO313)/$JF313*INDEX(Input!$1:$1048576,$JG$93,$C313*2+6)</f>
        <v>-2.6575111385891748</v>
      </c>
      <c r="HS313" s="644">
        <f t="shared" si="1007"/>
        <v>-28.438989200770962</v>
      </c>
      <c r="HT313" s="644">
        <f t="shared" si="1008"/>
        <v>103.72039152120726</v>
      </c>
      <c r="HU313" s="644">
        <f t="shared" si="1009"/>
        <v>22.8682724739005</v>
      </c>
      <c r="HV313" s="648">
        <f t="shared" si="1010"/>
        <v>0</v>
      </c>
      <c r="HW313" s="648">
        <f t="shared" si="1011"/>
        <v>0</v>
      </c>
      <c r="HX313" s="648">
        <f t="shared" si="1012"/>
        <v>0</v>
      </c>
      <c r="HY313" s="644">
        <f>INDEX(Input!$1:$1048576,HY$93,$C313*2+6)*INDEX(Input!$1:$1048576,$JG$93,$C313*2+6)</f>
        <v>488.99999999999994</v>
      </c>
      <c r="HZ313" s="644">
        <f>INDEX(Input!$1:$1048576,HZ$93,$C313*2+6)*INDEX(Input!$1:$1048576,$JG$93,$C313*2+6)</f>
        <v>734</v>
      </c>
      <c r="IA313" s="644">
        <f>INDEX(Input!$1:$1048576,IA$93,$C313*2+6)*INDEX(Input!$1:$1048576,$JG$93,$C313*2+6)</f>
        <v>703</v>
      </c>
      <c r="IB313" s="644">
        <f t="shared" si="1036"/>
        <v>524.29561473307956</v>
      </c>
      <c r="IC313" s="644">
        <f t="shared" si="1037"/>
        <v>879.862586023002</v>
      </c>
      <c r="ID313" s="644">
        <f>IF(AND(INDEX(Input!$1:$1048576,IA$93,$C313*2+7)="TOS",Y313&lt;=INDEX(Y:Y,MATCH(C313*1000+2,A:A))),0,1)*MAX(IA313+HR313+HU313+HX313,0%)</f>
        <v>723.2107613353113</v>
      </c>
      <c r="IE313" s="128">
        <f t="shared" ref="IE313:IE314" si="1081">IB313/SUM($IB313:$ID313)</f>
        <v>0.24645260134737057</v>
      </c>
      <c r="IF313" s="128">
        <f t="shared" si="1059"/>
        <v>0.41359190704654203</v>
      </c>
      <c r="IG313" s="128">
        <f t="shared" si="1014"/>
        <v>0.33995549160608735</v>
      </c>
      <c r="IH313" s="21"/>
      <c r="II313" s="19">
        <f t="shared" si="1015"/>
        <v>1200</v>
      </c>
      <c r="IJ313" s="19">
        <f t="shared" si="1016"/>
        <v>2224.493581030405</v>
      </c>
      <c r="IK313" s="19">
        <f t="shared" si="1017"/>
        <v>3451.75</v>
      </c>
      <c r="IL313" s="19">
        <f t="shared" si="1039"/>
        <v>400</v>
      </c>
      <c r="IM313" s="19">
        <f t="shared" si="1018"/>
        <v>748.70105054740134</v>
      </c>
      <c r="IN313" s="19">
        <f t="shared" si="1019"/>
        <v>184.25</v>
      </c>
      <c r="IO313" s="39">
        <f t="shared" si="1020"/>
        <v>0</v>
      </c>
      <c r="IP313" s="39">
        <f t="shared" si="1021"/>
        <v>0</v>
      </c>
      <c r="IQ313" s="39">
        <f t="shared" si="1022"/>
        <v>0</v>
      </c>
      <c r="IR313" s="39">
        <v>0</v>
      </c>
      <c r="IS313" s="39">
        <v>0</v>
      </c>
      <c r="IT313" s="39">
        <v>0</v>
      </c>
      <c r="IU313" s="39">
        <v>0</v>
      </c>
      <c r="IV313" s="39">
        <v>0</v>
      </c>
      <c r="IW313" s="39">
        <v>0</v>
      </c>
      <c r="IX313" s="39">
        <f>INDEX(Input!$1:$1048576,IX$93,$C313*2+6)+INDEX(Input!$1:$1048576,IX$94,$C313*2+6)</f>
        <v>1600</v>
      </c>
      <c r="IY313" s="39">
        <f>INDEX(Input!$1:$1048576,IY$93,$C313*2+6)+INDEX(Input!$1:$1048576,IY$94,$C313*2+6)</f>
        <v>2503.5492916397525</v>
      </c>
      <c r="IZ313" s="39">
        <f>INDEX(Input!$1:$1048576,IZ$93,$C313*2+6)+INDEX(Input!$1:$1048576,IZ$94,$C313*2+6)</f>
        <v>5773.7109265464023</v>
      </c>
      <c r="JA313" s="19">
        <f t="shared" si="1040"/>
        <v>2000</v>
      </c>
      <c r="JB313" s="19">
        <f t="shared" si="1041"/>
        <v>3252.2503421871538</v>
      </c>
      <c r="JC313" s="19">
        <f t="shared" si="1042"/>
        <v>5957.9609265464023</v>
      </c>
      <c r="JD313" s="19">
        <f t="shared" si="1043"/>
        <v>3863.4511596666371</v>
      </c>
      <c r="JE313" s="21"/>
      <c r="JF313" s="1">
        <f t="shared" si="1023"/>
        <v>4.6698303040990354E-2</v>
      </c>
      <c r="JG313" s="15">
        <f>INDEX(Input!$1:$1048576,JG$93,$C313*2+6)/(1+VLOOKUP(C313*1000+INDEX(Input!$1:$1048576,JG$93+1,$C313*2+6),$A:$KK,$JK$92,FALSE))</f>
        <v>1926</v>
      </c>
      <c r="JH313" s="1">
        <f t="shared" si="1044"/>
        <v>5.3592568690060252E-2</v>
      </c>
      <c r="JI313" s="1">
        <f t="shared" si="1045"/>
        <v>5.0960371128939148E-2</v>
      </c>
      <c r="JJ313" s="1">
        <f>SUM(HV313:HX313)/SUM(HY313:IA313)</f>
        <v>0</v>
      </c>
      <c r="JK313" s="1">
        <f t="shared" ref="JK313:JK314" si="1082">SUM(JH313:JJ313)</f>
        <v>0.10455293981899941</v>
      </c>
      <c r="JL313" s="15">
        <f t="shared" si="1048"/>
        <v>201.36896209139286</v>
      </c>
      <c r="JM313" s="15">
        <f t="shared" si="1074"/>
        <v>2127.3689620913929</v>
      </c>
      <c r="JN313" s="21"/>
      <c r="JO313" s="19">
        <f>INDEX(Input!$1:$1048576,JO$93,$C313*2+6)</f>
        <v>5908.5</v>
      </c>
      <c r="JP313" s="19">
        <f>INDEX(Input!$1:$1048576,JP$93,$C313*2+6)</f>
        <v>3467.7694503767912</v>
      </c>
      <c r="JQ313" s="39">
        <f t="shared" si="1060"/>
        <v>2045.0488403333629</v>
      </c>
      <c r="JR313" s="39">
        <f t="shared" si="1077"/>
        <v>395.68170928984591</v>
      </c>
      <c r="JS313" s="39">
        <f t="shared" si="1062"/>
        <v>8.2189860836308029</v>
      </c>
      <c r="JT313" s="39">
        <f t="shared" si="1050"/>
        <v>1.5400621222051019</v>
      </c>
      <c r="JU313" s="385">
        <f>(JQ313*JM313-INDEX(Input!$1:$1048576,Input!A$18,$C313*2+6)*JL313*INDEX(Input!$1:$1048576,Input!A$19,$C313*2+6))/1000000</f>
        <v>4.350573428886193</v>
      </c>
      <c r="JV313" s="39">
        <f>JU313-(JO313-JP313)*JG313/1000000</f>
        <v>-0.35027360968810672</v>
      </c>
      <c r="JW313" s="1">
        <f t="shared" si="1075"/>
        <v>-7.4512871151480767E-2</v>
      </c>
      <c r="JX313" s="19">
        <f t="shared" si="1066"/>
        <v>7647.9617623799086</v>
      </c>
      <c r="JZ313" s="341"/>
      <c r="KA313" s="342"/>
      <c r="KB313" s="469">
        <f t="shared" si="1063"/>
        <v>2.7822247002359868</v>
      </c>
      <c r="KI313" s="473">
        <f t="shared" si="1064"/>
        <v>35.295614733079617</v>
      </c>
      <c r="KJ313" s="473">
        <f t="shared" si="1051"/>
        <v>145.862586023002</v>
      </c>
      <c r="KK313" s="473">
        <f t="shared" si="1052"/>
        <v>20.210761335311304</v>
      </c>
      <c r="KN313" s="544">
        <f t="shared" si="1067"/>
        <v>3002</v>
      </c>
      <c r="KO313" s="541">
        <f t="shared" si="1027"/>
        <v>3.2666237579329183E-2</v>
      </c>
      <c r="KP313" s="546">
        <f t="shared" si="1028"/>
        <v>144.17876618538438</v>
      </c>
      <c r="KQ313" s="546">
        <f t="shared" si="1029"/>
        <v>142.36994134126417</v>
      </c>
      <c r="KR313" s="548">
        <f t="shared" si="1030"/>
        <v>3.6191725023097634</v>
      </c>
      <c r="KS313" s="548">
        <f t="shared" si="1031"/>
        <v>3.6651544636399485</v>
      </c>
      <c r="KT313" s="473">
        <f t="shared" si="1065"/>
        <v>527.01264777847621</v>
      </c>
      <c r="KU313" s="663">
        <f t="shared" si="1053"/>
        <v>15.480200208056322</v>
      </c>
      <c r="KV313" s="117" t="e">
        <f>RANK(KU313,$KU$109:$KU$200)</f>
        <v>#N/A</v>
      </c>
    </row>
    <row r="314" spans="1:308" s="26" customFormat="1" ht="15">
      <c r="A314" s="561">
        <f t="shared" si="1032"/>
        <v>3014</v>
      </c>
      <c r="B314" s="561">
        <f t="shared" si="1054"/>
        <v>14</v>
      </c>
      <c r="C314" s="561">
        <f t="shared" si="1055"/>
        <v>3</v>
      </c>
      <c r="D314" s="561" t="str">
        <f t="shared" si="1076"/>
        <v xml:space="preserve">0/0/0/3.9, </v>
      </c>
      <c r="E314" s="115">
        <f>INDEX(Input!$1:$1048576,E$93,$C314*2+MIN($B314,2)+5)</f>
        <v>1250</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63">
        <f>IFERROR(MAX(0,INDEX(Input!$1:$1048576,W$93,$C314*2+MIN($B314,2)+5)-0%,),"Market")</f>
        <v>3.9000000000000007E-2</v>
      </c>
      <c r="X314" s="476" t="str">
        <f>INDEX(Input!$1:$1048576,X$93,$C314*2+MIN($B314,2)+5)</f>
        <v>Y</v>
      </c>
      <c r="Y314" s="150">
        <f>INDEX(Input!$1:$1048576,Y$93,$C314*2+MIN($B314,2)+5)</f>
        <v>4108</v>
      </c>
      <c r="Z314" s="30">
        <f>INDEX(Input!$1:$1048576,Z$93,$C314*2+MIN($B314,2)+5)</f>
        <v>0</v>
      </c>
      <c r="AA314" s="475">
        <f>INDEX(Input!$1:$1048576,AA$93,$C314*2+MIN($B314,2)+5)</f>
        <v>500</v>
      </c>
      <c r="AB314" s="118">
        <f>INDEX(Input!$1:$1048576,AB$93,$C314*2+MIN($B314,2)+5)</f>
        <v>0.62</v>
      </c>
      <c r="AC314" s="115">
        <f>INDEX(Input!$1:$1048576,AC$93,$C314*2+MIN($B314,2)+5)</f>
        <v>0</v>
      </c>
      <c r="AD314" s="118">
        <f>INDEX(Input!$1:$1048576,AD$93,$C314*2+MIN($B314,2)+5)</f>
        <v>0.35</v>
      </c>
      <c r="AE314" s="115">
        <f>INDEX(Input!$1:$1048576,AE$93,$C314*2+MIN($B314,2)+5)</f>
        <v>500</v>
      </c>
      <c r="AF314" s="118">
        <f>INDEX(Input!$1:$1048576,AF$93,$C314*2+MIN($B314,2)+5)</f>
        <v>0.97</v>
      </c>
      <c r="AG314" s="115">
        <f>INDEX(Input!$1:$1048576,AG$93,$C314*2+MIN($B314,2)+5)</f>
        <v>0</v>
      </c>
      <c r="AH314" s="118">
        <f>INDEX(Input!$1:$1048576,AH$93,$C314*2+MIN($B314,2)+5)</f>
        <v>1</v>
      </c>
      <c r="AI314" s="115">
        <f>INDEX(Input!$1:$1048576,AI$93,$C314*2+MIN($B314,2)+5)</f>
        <v>0</v>
      </c>
      <c r="AJ314" s="118">
        <f>INDEX(Input!$1:$1048576,AJ$93,$C314*2+MIN($B314,2)+5)</f>
        <v>0.35</v>
      </c>
      <c r="AK314" s="150">
        <f>ROUND(INDEX(Input!$1:$1048576,AK$93,$C313*2+MIN($B314,1)+5)+(Y314-VLOOKUP($C314*1000+1,$A:$HH,Y$92,FALSE)),0)</f>
        <v>4982</v>
      </c>
      <c r="AL314" s="150">
        <f>ROUND(INDEX(Input!$1:$1048576,AL$93,$C313*2+MIN($B314,1)+5)-(Y314-VLOOKUP($C314*1000+1,$A:$HH,Y$92,FALSE))/36,0)</f>
        <v>5102</v>
      </c>
      <c r="AM314" s="32" t="str">
        <f t="shared" si="1033"/>
        <v>std/std/std/std</v>
      </c>
      <c r="AN314" s="32" t="str">
        <f t="shared" si="1034"/>
        <v>$0 + 0/0/0/0/3.9</v>
      </c>
      <c r="AO314" s="32" t="str">
        <f t="shared" si="1035"/>
        <v>0/0/0/0/3.9</v>
      </c>
      <c r="AP314" s="32" t="str">
        <f t="shared" si="989"/>
        <v>0/0/0/3.9</v>
      </c>
      <c r="AQ314" s="536">
        <f t="shared" si="988"/>
        <v>485.23009654695369</v>
      </c>
      <c r="AR314" s="32"/>
      <c r="AS314" s="302"/>
      <c r="AT314" s="3">
        <f t="shared" si="1056"/>
        <v>14</v>
      </c>
      <c r="AU314" s="41" t="s">
        <v>121</v>
      </c>
      <c r="AV314" s="41" t="s">
        <v>116</v>
      </c>
      <c r="AW314" s="41" t="str">
        <f>INDEX(Input!$1:$1048576,AW$93,$C314*2+6)</f>
        <v>Kia</v>
      </c>
      <c r="AX314" s="41" t="str">
        <f>INDEX(Input!$1:$1048576,AX$93,$C314*2+6)</f>
        <v>Kia-LR - L3</v>
      </c>
      <c r="AY314" s="41" t="str">
        <f>IF(LEN(D314)=0,"",INDEX(Input!$1:$1048576,AY$93,$C314*2+6))</f>
        <v>Compact Conventional/Sporty Car (43)</v>
      </c>
      <c r="AZ314" s="41" t="str">
        <f>INDEX(Input!$1:$1048576,AZ$93,$C314*2+6)</f>
        <v>Kia Forte</v>
      </c>
      <c r="BA314" s="3">
        <f>INDEX(Input!$1:$1048576,BA$93,$C314*2+6)</f>
        <v>2020</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19695</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990"/>
        <v>1250</v>
      </c>
      <c r="CJ314" s="16" t="str">
        <f>INDEX(Input!$1:$1048576,CJ$93,$C314*2+6)</f>
        <v>N</v>
      </c>
      <c r="CK314" s="1" t="str">
        <f t="shared" si="991"/>
        <v>Market</v>
      </c>
      <c r="CL314" s="1" t="str">
        <f t="shared" si="992"/>
        <v>Market</v>
      </c>
      <c r="CM314" s="1" t="str">
        <f t="shared" si="993"/>
        <v>Market</v>
      </c>
      <c r="CN314" s="1" t="str">
        <f t="shared" si="994"/>
        <v>Market</v>
      </c>
      <c r="CO314" s="1" t="str">
        <f t="shared" si="995"/>
        <v>Market</v>
      </c>
      <c r="CP314" s="304">
        <f t="shared" si="996"/>
        <v>310</v>
      </c>
      <c r="CQ314" s="1">
        <f t="shared" si="997"/>
        <v>0</v>
      </c>
      <c r="CR314" s="1">
        <f t="shared" si="998"/>
        <v>0</v>
      </c>
      <c r="CS314" s="1">
        <f t="shared" si="999"/>
        <v>0</v>
      </c>
      <c r="CT314" s="1">
        <f t="shared" si="1000"/>
        <v>0</v>
      </c>
      <c r="CU314" s="1">
        <f t="shared" si="1001"/>
        <v>3.9000000000000007E-2</v>
      </c>
      <c r="CV314" s="304">
        <f t="shared" si="1002"/>
        <v>4593</v>
      </c>
      <c r="CW314" s="20" t="s">
        <v>122</v>
      </c>
      <c r="CX314" s="20" t="s">
        <v>122</v>
      </c>
      <c r="CY314" s="20" t="s">
        <v>122</v>
      </c>
      <c r="CZ314" s="20" t="s">
        <v>122</v>
      </c>
      <c r="DA314" s="20" t="s">
        <v>122</v>
      </c>
      <c r="DB314" s="503">
        <f t="shared" si="1003"/>
        <v>0</v>
      </c>
      <c r="DC314" s="127">
        <v>0</v>
      </c>
      <c r="DD314" s="127">
        <v>0</v>
      </c>
      <c r="DE314" s="127">
        <v>0</v>
      </c>
      <c r="DF314" s="127">
        <v>0</v>
      </c>
      <c r="DG314" s="127">
        <v>0</v>
      </c>
      <c r="DH314" s="127">
        <v>0</v>
      </c>
      <c r="DI314" s="127">
        <v>0</v>
      </c>
      <c r="DJ314" s="127">
        <v>0</v>
      </c>
      <c r="DK314" s="127">
        <v>0</v>
      </c>
      <c r="DL314" s="127">
        <v>0</v>
      </c>
      <c r="DM314" s="304">
        <f>INDEX(Input!$1:$1048576,DM$93,$C314*2+6)</f>
        <v>20731.578947368424</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3.2383596046087468E-2</v>
      </c>
      <c r="DZ314" s="7">
        <v>0</v>
      </c>
      <c r="EA314" s="7">
        <v>0.57276654709440888</v>
      </c>
      <c r="EB314" s="7">
        <v>0</v>
      </c>
      <c r="EC314" s="7">
        <v>0</v>
      </c>
      <c r="ED314" s="7">
        <v>0</v>
      </c>
      <c r="EE314" s="7">
        <v>0</v>
      </c>
      <c r="EF314" s="7">
        <v>0</v>
      </c>
      <c r="EG314" s="7">
        <v>0</v>
      </c>
      <c r="EH314" s="7">
        <v>7.2798372529331449E-3</v>
      </c>
      <c r="EI314" s="7">
        <v>9.2346162703418402E-3</v>
      </c>
      <c r="EJ314" s="7">
        <v>0.13256738343179411</v>
      </c>
      <c r="EK314" s="7">
        <v>0.82461024740001321</v>
      </c>
      <c r="EL314" s="7">
        <v>2.6307915644917378E-2</v>
      </c>
      <c r="EM314" s="7">
        <v>8.8363674533566916E-2</v>
      </c>
      <c r="EN314" s="7">
        <v>5.8903840649550725E-2</v>
      </c>
      <c r="EO314" s="7">
        <v>0.5680644908961251</v>
      </c>
      <c r="EP314" s="7">
        <v>0.2741070959193187</v>
      </c>
      <c r="EQ314" s="7">
        <v>5.8713575146425348E-2</v>
      </c>
      <c r="ER314" s="7">
        <v>4.0210997388580236E-2</v>
      </c>
      <c r="ES314" s="7">
        <v>0.30648618232593677</v>
      </c>
      <c r="ET314" s="7">
        <v>0.39484985685950363</v>
      </c>
      <c r="EU314" s="6">
        <v>1600</v>
      </c>
      <c r="EV314" s="6">
        <v>0</v>
      </c>
      <c r="EW314" s="6">
        <v>1600</v>
      </c>
      <c r="EX314" s="6">
        <v>0</v>
      </c>
      <c r="EY314" s="6">
        <v>3343.7467593220726</v>
      </c>
      <c r="EZ314" s="6">
        <v>3636</v>
      </c>
      <c r="FA314" s="6">
        <v>0</v>
      </c>
      <c r="FB314" s="6">
        <v>0</v>
      </c>
      <c r="FC314" s="6">
        <v>0</v>
      </c>
      <c r="FD314" s="6">
        <v>0</v>
      </c>
      <c r="FE314" s="6">
        <v>0</v>
      </c>
      <c r="FF314" s="6">
        <v>0</v>
      </c>
      <c r="FG314" s="6">
        <v>0</v>
      </c>
      <c r="FH314" s="6">
        <v>1154.3293370456106</v>
      </c>
      <c r="FI314" s="6">
        <v>1531.4299904380618</v>
      </c>
      <c r="FJ314" s="6">
        <v>2070.7205842538215</v>
      </c>
      <c r="FK314" s="6">
        <v>2635.3956133202919</v>
      </c>
      <c r="FL314" s="6">
        <v>893.91433563489363</v>
      </c>
      <c r="FM314" s="6">
        <v>2493.7467593220726</v>
      </c>
      <c r="FN314" s="6">
        <v>0</v>
      </c>
      <c r="FO314" s="6">
        <v>0</v>
      </c>
      <c r="FP314" s="6">
        <v>0</v>
      </c>
      <c r="FQ314" s="6">
        <v>0</v>
      </c>
      <c r="FR314" s="6">
        <v>0</v>
      </c>
      <c r="FS314" s="6">
        <v>0</v>
      </c>
      <c r="FT314" s="7">
        <v>0.60515014314049631</v>
      </c>
      <c r="FU314" s="7">
        <v>8.8363674533566916E-2</v>
      </c>
      <c r="FV314" s="7">
        <v>0.30648618232593677</v>
      </c>
      <c r="FW314" s="6">
        <v>1600.0000000000002</v>
      </c>
      <c r="FX314" s="6">
        <v>3343.7467593220722</v>
      </c>
      <c r="FY314" s="6">
        <v>3636</v>
      </c>
      <c r="FZ314" s="6">
        <v>2202.331475193394</v>
      </c>
      <c r="GA314" s="6">
        <v>2378.089738325305</v>
      </c>
      <c r="GB314" s="6">
        <v>17316.910261674697</v>
      </c>
      <c r="GC314" s="7">
        <v>4.8391397220736806E-2</v>
      </c>
      <c r="GD314" s="7">
        <v>4.9753819732127315E-2</v>
      </c>
      <c r="GE314" s="7"/>
      <c r="GF314" s="7"/>
      <c r="GG314" s="7">
        <v>2.8154229669704173E-2</v>
      </c>
      <c r="GH314" s="42">
        <v>3.1548875339571332</v>
      </c>
      <c r="GI314" s="6">
        <v>8620.784537431764</v>
      </c>
      <c r="GJ314" s="14">
        <v>0.51074630601039561</v>
      </c>
      <c r="GK314" s="14">
        <v>0.50829519786160982</v>
      </c>
      <c r="GL314" s="14">
        <v>0.48925369398960422</v>
      </c>
      <c r="GM314" s="14">
        <v>0.4917048021383903</v>
      </c>
      <c r="GO314" s="5">
        <v>338.16872463277008</v>
      </c>
      <c r="GP314" s="5">
        <v>307.64377699166363</v>
      </c>
      <c r="GQ314" s="5">
        <v>527.27910984145694</v>
      </c>
      <c r="GR314" s="5">
        <v>404.20319246551543</v>
      </c>
      <c r="GS314" s="5">
        <v>334.50205195691484</v>
      </c>
      <c r="GT314" s="5">
        <v>289.18266033348181</v>
      </c>
      <c r="GU314" s="5">
        <v>254.29573314828914</v>
      </c>
      <c r="GV314" s="39" t="s">
        <v>392</v>
      </c>
      <c r="GW314" s="5">
        <v>468.76388888888891</v>
      </c>
      <c r="GX314" s="5">
        <v>351.57291666666669</v>
      </c>
      <c r="GY314" s="5">
        <v>281.25833333333333</v>
      </c>
      <c r="GZ314" s="5">
        <v>234.38194444444446</v>
      </c>
      <c r="HA314" s="5">
        <v>229.8919505212948</v>
      </c>
      <c r="HB314" s="39">
        <v>243.26657835220129</v>
      </c>
      <c r="HC314" s="5">
        <v>124.04062499999996</v>
      </c>
      <c r="HD314" s="5">
        <v>127.75060307017539</v>
      </c>
      <c r="HE314" s="5">
        <v>136.66051366396758</v>
      </c>
      <c r="HF314" s="5">
        <v>133.62067434210525</v>
      </c>
      <c r="HG314" s="5">
        <v>137.88493421052632</v>
      </c>
      <c r="HH314" s="39">
        <v>130.72650526464059</v>
      </c>
      <c r="HI314" s="16"/>
      <c r="HJ314" s="19" t="str">
        <f t="shared" si="1057"/>
        <v>On</v>
      </c>
      <c r="HK314" s="1" t="str">
        <f t="shared" si="1057"/>
        <v>On</v>
      </c>
      <c r="HL314" s="16"/>
      <c r="HM314" s="639">
        <f t="shared" si="1004"/>
        <v>2.8970655363290673E-2</v>
      </c>
      <c r="HN314" s="639">
        <f t="shared" si="1005"/>
        <v>2.1835179285533651E-3</v>
      </c>
      <c r="HO314" s="639">
        <f t="shared" si="1006"/>
        <v>1.5544129749146325E-2</v>
      </c>
      <c r="HP314" s="644">
        <f>(FT314*$GD314-HM314)/$JF314*INDEX(Input!$1:$1048576,$JG$93,$C314*2+6)</f>
        <v>46.929943683960332</v>
      </c>
      <c r="HQ314" s="644">
        <f>(FU314*$GD314-HN314)/$JF314*INDEX(Input!$1:$1048576,$JG$93,$C314*2+6)</f>
        <v>91.268183522659726</v>
      </c>
      <c r="HR314" s="644">
        <f>(FV314*$GD314-HO314)/$JF314*INDEX(Input!$1:$1048576,$JG$93,$C314*2+6)</f>
        <v>-12.178020181228518</v>
      </c>
      <c r="HS314" s="644">
        <f t="shared" si="1007"/>
        <v>-28.820811633459023</v>
      </c>
      <c r="HT314" s="644">
        <f t="shared" si="1008"/>
        <v>157.44779444532855</v>
      </c>
      <c r="HU314" s="644">
        <f t="shared" si="1009"/>
        <v>23.250094906588551</v>
      </c>
      <c r="HV314" s="648">
        <f t="shared" si="1010"/>
        <v>0</v>
      </c>
      <c r="HW314" s="648">
        <f t="shared" si="1011"/>
        <v>0</v>
      </c>
      <c r="HX314" s="648">
        <f t="shared" si="1012"/>
        <v>0</v>
      </c>
      <c r="HY314" s="644">
        <f>INDEX(Input!$1:$1048576,HY$93,$C314*2+6)*INDEX(Input!$1:$1048576,$JG$93,$C314*2+6)</f>
        <v>488.99999999999994</v>
      </c>
      <c r="HZ314" s="644">
        <f>INDEX(Input!$1:$1048576,HZ$93,$C314*2+6)*INDEX(Input!$1:$1048576,$JG$93,$C314*2+6)</f>
        <v>734</v>
      </c>
      <c r="IA314" s="644">
        <f>INDEX(Input!$1:$1048576,IA$93,$C314*2+6)*INDEX(Input!$1:$1048576,$JG$93,$C314*2+6)</f>
        <v>703</v>
      </c>
      <c r="IB314" s="644">
        <f t="shared" si="1036"/>
        <v>507.10913205050144</v>
      </c>
      <c r="IC314" s="644">
        <f t="shared" si="1037"/>
        <v>982.71597796798824</v>
      </c>
      <c r="ID314" s="644">
        <f>IF(AND(INDEX(Input!$1:$1048576,IA$93,$C314*2+7)="TOS",Y314&lt;=INDEX(Y:Y,MATCH(C314*1000+2,A:A))),0,1)*MAX(IA314+HR314+HU314+HX314,0%)</f>
        <v>714.07207472536004</v>
      </c>
      <c r="IE314" s="128">
        <f t="shared" si="1081"/>
        <v>0.23009654695368228</v>
      </c>
      <c r="IF314" s="128">
        <f t="shared" si="1059"/>
        <v>0.4458991938329489</v>
      </c>
      <c r="IG314" s="128">
        <f t="shared" si="1014"/>
        <v>0.32400425921336878</v>
      </c>
      <c r="IH314" s="21"/>
      <c r="II314" s="19">
        <f t="shared" si="1015"/>
        <v>1200</v>
      </c>
      <c r="IJ314" s="19">
        <f t="shared" si="1016"/>
        <v>2224.493581030405</v>
      </c>
      <c r="IK314" s="19">
        <f t="shared" si="1017"/>
        <v>3451.75</v>
      </c>
      <c r="IL314" s="19">
        <f t="shared" si="1039"/>
        <v>400.00000000000023</v>
      </c>
      <c r="IM314" s="19">
        <f t="shared" si="1018"/>
        <v>1119.2531782916672</v>
      </c>
      <c r="IN314" s="19">
        <f t="shared" si="1019"/>
        <v>184.25</v>
      </c>
      <c r="IO314" s="39">
        <f t="shared" si="1020"/>
        <v>0</v>
      </c>
      <c r="IP314" s="39">
        <f t="shared" si="1021"/>
        <v>0</v>
      </c>
      <c r="IQ314" s="39">
        <f t="shared" si="1022"/>
        <v>0</v>
      </c>
      <c r="IR314" s="39">
        <v>0</v>
      </c>
      <c r="IS314" s="39">
        <v>0</v>
      </c>
      <c r="IT314" s="39">
        <v>0</v>
      </c>
      <c r="IU314" s="39">
        <v>0</v>
      </c>
      <c r="IV314" s="39">
        <v>0</v>
      </c>
      <c r="IW314" s="39">
        <v>0</v>
      </c>
      <c r="IX314" s="39">
        <f>INDEX(Input!$1:$1048576,IX$93,$C314*2+6)+INDEX(Input!$1:$1048576,IX$94,$C314*2+6)</f>
        <v>1600</v>
      </c>
      <c r="IY314" s="39">
        <f>INDEX(Input!$1:$1048576,IY$93,$C314*2+6)+INDEX(Input!$1:$1048576,IY$94,$C314*2+6)</f>
        <v>2503.5492916397525</v>
      </c>
      <c r="IZ314" s="39">
        <f>INDEX(Input!$1:$1048576,IZ$93,$C314*2+6)+INDEX(Input!$1:$1048576,IZ$94,$C314*2+6)</f>
        <v>5773.7109265464023</v>
      </c>
      <c r="JA314" s="19">
        <f t="shared" si="1040"/>
        <v>2000.0000000000002</v>
      </c>
      <c r="JB314" s="19">
        <f t="shared" si="1041"/>
        <v>3622.8024699314196</v>
      </c>
      <c r="JC314" s="19">
        <f t="shared" si="1042"/>
        <v>5957.9609265464023</v>
      </c>
      <c r="JD314" s="19">
        <f t="shared" si="1043"/>
        <v>4006.002511093664</v>
      </c>
      <c r="JE314" s="21"/>
      <c r="JF314" s="1">
        <f t="shared" si="1023"/>
        <v>4.6698303040990354E-2</v>
      </c>
      <c r="JG314" s="15">
        <f>INDEX(Input!$1:$1048576,JG$93,$C314*2+6)/(1+VLOOKUP(C314*1000+INDEX(Input!$1:$1048576,JG$93+1,$C314*2+6),$A:$KK,$JK$92,FALSE))</f>
        <v>1926</v>
      </c>
      <c r="JH314" s="1">
        <f t="shared" si="1044"/>
        <v>6.5431000532394368E-2</v>
      </c>
      <c r="JI314" s="1">
        <f t="shared" si="1045"/>
        <v>7.8856218960777824E-2</v>
      </c>
      <c r="JJ314" s="1">
        <f t="shared" ref="JJ314:JJ318" si="1083">SUM(HV314:HX314)/SUM(HY314:IA314)</f>
        <v>0</v>
      </c>
      <c r="JK314" s="1">
        <f t="shared" si="1082"/>
        <v>0.14428721949317219</v>
      </c>
      <c r="JL314" s="15">
        <f t="shared" si="1048"/>
        <v>277.89718474384966</v>
      </c>
      <c r="JM314" s="15">
        <f t="shared" si="1074"/>
        <v>2203.8971847438497</v>
      </c>
      <c r="JN314" s="21"/>
      <c r="JO314" s="19">
        <f>INDEX(Input!$1:$1048576,JO$93,$C314*2+6)</f>
        <v>5908.5</v>
      </c>
      <c r="JP314" s="19">
        <f>INDEX(Input!$1:$1048576,JP$93,$C314*2+6)</f>
        <v>3467.7694503767912</v>
      </c>
      <c r="JQ314" s="39">
        <f t="shared" si="1060"/>
        <v>1902.497488906336</v>
      </c>
      <c r="JR314" s="39">
        <f t="shared" si="1077"/>
        <v>538.23306071687284</v>
      </c>
      <c r="JS314" s="39">
        <f t="shared" si="1062"/>
        <v>8.8288176562761187</v>
      </c>
      <c r="JT314" s="39">
        <f t="shared" si="1050"/>
        <v>2.1498936948504177</v>
      </c>
      <c r="JU314" s="385">
        <f>(JQ314*JM314-INDEX(Input!$1:$1048576,Input!A$18,$C314*2+6)*JL314*INDEX(Input!$1:$1048576,Input!A$19,$C314*2+6))/1000000</f>
        <v>4.1929088597829178</v>
      </c>
      <c r="JV314" s="39">
        <f t="shared" ref="JV314:JV377" si="1084">JU314-(JO314-JP314)*JG314/1000000</f>
        <v>-0.50793817879138192</v>
      </c>
      <c r="JW314" s="1">
        <f t="shared" si="1075"/>
        <v>-0.10805247961129838</v>
      </c>
      <c r="JX314" s="19">
        <f t="shared" si="1066"/>
        <v>7736.2917398104319</v>
      </c>
      <c r="JZ314" s="341"/>
      <c r="KA314" s="342"/>
      <c r="KB314" s="469">
        <f t="shared" si="1063"/>
        <v>2.7822247002359868</v>
      </c>
      <c r="KI314" s="473">
        <f t="shared" si="1064"/>
        <v>18.109132050501501</v>
      </c>
      <c r="KJ314" s="473">
        <f t="shared" si="1051"/>
        <v>248.71597796798824</v>
      </c>
      <c r="KK314" s="473">
        <f t="shared" si="1052"/>
        <v>11.072074725360039</v>
      </c>
      <c r="KN314" s="544">
        <f t="shared" si="1067"/>
        <v>3002</v>
      </c>
      <c r="KO314" s="541">
        <f t="shared" si="1027"/>
        <v>6.9814524107611575E-2</v>
      </c>
      <c r="KP314" s="546">
        <f t="shared" si="1028"/>
        <v>320.67003040119141</v>
      </c>
      <c r="KQ314" s="546">
        <f t="shared" si="1029"/>
        <v>284.9212927682911</v>
      </c>
      <c r="KR314" s="548">
        <f t="shared" si="1030"/>
        <v>3.4777541776542304</v>
      </c>
      <c r="KS314" s="548">
        <f t="shared" si="1031"/>
        <v>3.9141038812539199</v>
      </c>
      <c r="KT314" s="473">
        <f t="shared" si="1065"/>
        <v>527.01264777847621</v>
      </c>
      <c r="KU314" s="663">
        <f t="shared" si="1053"/>
        <v>15.643260542530248</v>
      </c>
      <c r="KV314" s="117" t="e">
        <f t="shared" ref="KV314:KV318" si="1085">RANK(KU314,$KU$109:$KU$200)</f>
        <v>#N/A</v>
      </c>
    </row>
    <row r="315" spans="1:308" s="26" customFormat="1" ht="15">
      <c r="A315" s="561">
        <f t="shared" si="1032"/>
        <v>3015</v>
      </c>
      <c r="B315" s="561">
        <f t="shared" si="1054"/>
        <v>15</v>
      </c>
      <c r="C315" s="561">
        <f t="shared" si="1055"/>
        <v>3</v>
      </c>
      <c r="D315" s="561" t="str">
        <f t="shared" si="1076"/>
        <v xml:space="preserve">500 Combo, </v>
      </c>
      <c r="E315" s="115">
        <f>INDEX(Input!$1:$1048576,E$93,$C315*2+MIN($B315,2)+5)</f>
        <v>1250</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1.9E-2</v>
      </c>
      <c r="W315" s="863">
        <f>IFERROR(MAX(0,INDEX(Input!$1:$1048576,W$93,$C315*2+MIN($B315,2)+5)-0%,),"Market")</f>
        <v>3.9000000000000007E-2</v>
      </c>
      <c r="X315" s="476" t="str">
        <f>INDEX(Input!$1:$1048576,X$93,$C315*2+MIN($B315,2)+5)</f>
        <v>Y</v>
      </c>
      <c r="Y315" s="150">
        <f>INDEX(Input!$1:$1048576,Y$93,$C315*2+MIN($B315,2)+5)</f>
        <v>4108</v>
      </c>
      <c r="Z315" s="30">
        <f>INDEX(Input!$1:$1048576,Z$93,$C315*2+MIN($B315,2)+5)</f>
        <v>0</v>
      </c>
      <c r="AA315" s="475">
        <f>INDEX(Input!$1:$1048576,AA$93,$C315*2+MIN($B315,2)+5)</f>
        <v>500</v>
      </c>
      <c r="AB315" s="118">
        <f>INDEX(Input!$1:$1048576,AB$93,$C315*2+MIN($B315,2)+5)</f>
        <v>0.62</v>
      </c>
      <c r="AC315" s="115">
        <f>INDEX(Input!$1:$1048576,AC$93,$C315*2+MIN($B315,2)+5)</f>
        <v>0</v>
      </c>
      <c r="AD315" s="118">
        <f>INDEX(Input!$1:$1048576,AD$93,$C315*2+MIN($B315,2)+5)</f>
        <v>0.35</v>
      </c>
      <c r="AE315" s="115">
        <f>INDEX(Input!$1:$1048576,AE$93,$C315*2+MIN($B315,2)+5)</f>
        <v>500</v>
      </c>
      <c r="AF315" s="118">
        <f>INDEX(Input!$1:$1048576,AF$93,$C315*2+MIN($B315,2)+5)</f>
        <v>0.97</v>
      </c>
      <c r="AG315" s="115">
        <f>INDEX(Input!$1:$1048576,AG$93,$C315*2+MIN($B315,2)+5)</f>
        <v>0</v>
      </c>
      <c r="AH315" s="118">
        <f>INDEX(Input!$1:$1048576,AH$93,$C315*2+MIN($B315,2)+5)</f>
        <v>1</v>
      </c>
      <c r="AI315" s="115">
        <f>INDEX(Input!$1:$1048576,AI$93,$C315*2+MIN($B315,2)+5)</f>
        <v>0</v>
      </c>
      <c r="AJ315" s="118">
        <f>INDEX(Input!$1:$1048576,AJ$93,$C315*2+MIN($B315,2)+5)</f>
        <v>0.35</v>
      </c>
      <c r="AK315" s="150">
        <f>ROUND(INDEX(Input!$1:$1048576,AK$93,$C314*2+MIN($B315,1)+5)+(Y315-VLOOKUP($C315*1000+1,$A:$HH,Y$92,FALSE)),0)</f>
        <v>4982</v>
      </c>
      <c r="AL315" s="150">
        <f>ROUND(INDEX(Input!$1:$1048576,AL$93,$C314*2+MIN($B315,1)+5)-(Y315-VLOOKUP($C315*1000+1,$A:$HH,Y$92,FALSE))/36,0)</f>
        <v>5102</v>
      </c>
      <c r="AM315" s="32" t="str">
        <f t="shared" si="1033"/>
        <v>std/std/std/std</v>
      </c>
      <c r="AN315" s="32" t="str">
        <f t="shared" si="1034"/>
        <v>$500 + 0/0/0/1.9/3.9</v>
      </c>
      <c r="AO315" s="32" t="str">
        <f t="shared" si="1035"/>
        <v>0/0/0/1.9/3.9</v>
      </c>
      <c r="AP315" s="32" t="str">
        <f t="shared" si="989"/>
        <v>0/0.9/1.9/3.9</v>
      </c>
      <c r="AQ315" s="536">
        <f t="shared" si="988"/>
        <v>485.24802653933915</v>
      </c>
      <c r="AR315" s="32"/>
      <c r="AS315" s="302"/>
      <c r="AT315" s="3">
        <f t="shared" si="1056"/>
        <v>15</v>
      </c>
      <c r="AU315" s="41" t="s">
        <v>121</v>
      </c>
      <c r="AV315" s="41" t="s">
        <v>116</v>
      </c>
      <c r="AW315" s="41" t="str">
        <f>INDEX(Input!$1:$1048576,AW$93,$C315*2+6)</f>
        <v>Kia</v>
      </c>
      <c r="AX315" s="41" t="str">
        <f>INDEX(Input!$1:$1048576,AX$93,$C315*2+6)</f>
        <v>Kia-LR - L3</v>
      </c>
      <c r="AY315" s="41" t="str">
        <f>IF(LEN(D315)=0,"",INDEX(Input!$1:$1048576,AY$93,$C315*2+6))</f>
        <v>Compact Conventional/Sporty Car (43)</v>
      </c>
      <c r="AZ315" s="41" t="str">
        <f>INDEX(Input!$1:$1048576,AZ$93,$C315*2+6)</f>
        <v>Kia Forte</v>
      </c>
      <c r="BA315" s="3">
        <f>INDEX(Input!$1:$1048576,BA$93,$C315*2+6)</f>
        <v>2020</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19695</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990"/>
        <v>1250</v>
      </c>
      <c r="CJ315" s="16" t="str">
        <f>INDEX(Input!$1:$1048576,CJ$93,$C315*2+6)</f>
        <v>N</v>
      </c>
      <c r="CK315" s="1" t="str">
        <f t="shared" si="991"/>
        <v>Market</v>
      </c>
      <c r="CL315" s="1" t="str">
        <f t="shared" si="992"/>
        <v>Market</v>
      </c>
      <c r="CM315" s="1" t="str">
        <f t="shared" si="993"/>
        <v>Market</v>
      </c>
      <c r="CN315" s="1" t="str">
        <f t="shared" si="994"/>
        <v>Market</v>
      </c>
      <c r="CO315" s="1" t="str">
        <f t="shared" si="995"/>
        <v>Market</v>
      </c>
      <c r="CP315" s="304">
        <f t="shared" si="996"/>
        <v>810</v>
      </c>
      <c r="CQ315" s="1">
        <f t="shared" si="997"/>
        <v>0</v>
      </c>
      <c r="CR315" s="1">
        <f t="shared" si="998"/>
        <v>0</v>
      </c>
      <c r="CS315" s="1">
        <f t="shared" si="999"/>
        <v>0</v>
      </c>
      <c r="CT315" s="1">
        <f t="shared" si="1000"/>
        <v>1.9E-2</v>
      </c>
      <c r="CU315" s="1">
        <f t="shared" si="1001"/>
        <v>3.9000000000000007E-2</v>
      </c>
      <c r="CV315" s="304">
        <f t="shared" si="1002"/>
        <v>4593</v>
      </c>
      <c r="CW315" s="20" t="s">
        <v>122</v>
      </c>
      <c r="CX315" s="20" t="s">
        <v>122</v>
      </c>
      <c r="CY315" s="20" t="s">
        <v>122</v>
      </c>
      <c r="CZ315" s="20" t="s">
        <v>122</v>
      </c>
      <c r="DA315" s="20" t="s">
        <v>122</v>
      </c>
      <c r="DB315" s="503">
        <f t="shared" si="1003"/>
        <v>0</v>
      </c>
      <c r="DC315" s="127">
        <v>0</v>
      </c>
      <c r="DD315" s="127">
        <v>0</v>
      </c>
      <c r="DE315" s="127">
        <v>0</v>
      </c>
      <c r="DF315" s="127">
        <v>0</v>
      </c>
      <c r="DG315" s="127">
        <v>0</v>
      </c>
      <c r="DH315" s="127">
        <v>0</v>
      </c>
      <c r="DI315" s="127">
        <v>0</v>
      </c>
      <c r="DJ315" s="127">
        <v>0</v>
      </c>
      <c r="DK315" s="127">
        <v>0</v>
      </c>
      <c r="DL315" s="127">
        <v>0</v>
      </c>
      <c r="DM315" s="304">
        <f>INDEX(Input!$1:$1048576,DM$93,$C315*2+6)</f>
        <v>20731.578947368424</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3.3565084617517595E-2</v>
      </c>
      <c r="DZ315" s="7">
        <v>0</v>
      </c>
      <c r="EA315" s="7">
        <v>0.5930716287373341</v>
      </c>
      <c r="EB315" s="7">
        <v>0</v>
      </c>
      <c r="EC315" s="7">
        <v>0</v>
      </c>
      <c r="ED315" s="7">
        <v>0</v>
      </c>
      <c r="EE315" s="7">
        <v>0</v>
      </c>
      <c r="EF315" s="7">
        <v>0</v>
      </c>
      <c r="EG315" s="7">
        <v>0</v>
      </c>
      <c r="EH315" s="7">
        <v>1.411927561961457E-2</v>
      </c>
      <c r="EI315" s="7">
        <v>1.7904595130105189E-2</v>
      </c>
      <c r="EJ315" s="7">
        <v>0.25718392000520363</v>
      </c>
      <c r="EK315" s="7">
        <v>0.65981959150340985</v>
      </c>
      <c r="EL315" s="7">
        <v>5.0972617741666539E-2</v>
      </c>
      <c r="EM315" s="7">
        <v>5.4834461699954359E-2</v>
      </c>
      <c r="EN315" s="7">
        <v>5.8903840649550704E-2</v>
      </c>
      <c r="EO315" s="7">
        <v>0.5680644908961251</v>
      </c>
      <c r="EP315" s="7">
        <v>0.2741070959193187</v>
      </c>
      <c r="EQ315" s="7">
        <v>5.8713575146425327E-2</v>
      </c>
      <c r="ER315" s="7">
        <v>4.0210997388580222E-2</v>
      </c>
      <c r="ES315" s="7">
        <v>0.31852882494519408</v>
      </c>
      <c r="ET315" s="7">
        <v>0.37336328664514834</v>
      </c>
      <c r="EU315" s="6">
        <v>1600</v>
      </c>
      <c r="EV315" s="6">
        <v>0</v>
      </c>
      <c r="EW315" s="6">
        <v>1600</v>
      </c>
      <c r="EX315" s="6">
        <v>0</v>
      </c>
      <c r="EY315" s="6">
        <v>3124.5375655292337</v>
      </c>
      <c r="EZ315" s="6">
        <v>3636</v>
      </c>
      <c r="FA315" s="6">
        <v>0</v>
      </c>
      <c r="FB315" s="6">
        <v>0</v>
      </c>
      <c r="FC315" s="6">
        <v>0</v>
      </c>
      <c r="FD315" s="6">
        <v>0</v>
      </c>
      <c r="FE315" s="6">
        <v>0</v>
      </c>
      <c r="FF315" s="6">
        <v>0</v>
      </c>
      <c r="FG315" s="6">
        <v>0</v>
      </c>
      <c r="FH315" s="6">
        <v>1154.3283578757491</v>
      </c>
      <c r="FI315" s="6">
        <v>1531.4299904380618</v>
      </c>
      <c r="FJ315" s="6">
        <v>2070.7205842538215</v>
      </c>
      <c r="FK315" s="6">
        <v>1746.9903521590436</v>
      </c>
      <c r="FL315" s="6">
        <v>893.91433563489363</v>
      </c>
      <c r="FM315" s="6">
        <v>1774.5375655292339</v>
      </c>
      <c r="FN315" s="6">
        <v>0</v>
      </c>
      <c r="FO315" s="6">
        <v>0</v>
      </c>
      <c r="FP315" s="6">
        <v>0</v>
      </c>
      <c r="FQ315" s="6">
        <v>0</v>
      </c>
      <c r="FR315" s="6">
        <v>0</v>
      </c>
      <c r="FS315" s="6">
        <v>0</v>
      </c>
      <c r="FT315" s="7">
        <v>0.62663671335485172</v>
      </c>
      <c r="FU315" s="7">
        <v>5.4834461699954359E-2</v>
      </c>
      <c r="FV315" s="7">
        <v>0.31852882494519408</v>
      </c>
      <c r="FW315" s="6">
        <v>1600</v>
      </c>
      <c r="FX315" s="6">
        <v>3124.5375655292337</v>
      </c>
      <c r="FY315" s="6">
        <v>3636</v>
      </c>
      <c r="FZ315" s="6">
        <v>2202.331475193394</v>
      </c>
      <c r="GA315" s="6">
        <v>2332.12188433557</v>
      </c>
      <c r="GB315" s="6">
        <v>17362.878115664429</v>
      </c>
      <c r="GC315" s="7">
        <v>4.8391397220736806E-2</v>
      </c>
      <c r="GD315" s="7">
        <v>4.8941527231115813E-2</v>
      </c>
      <c r="GE315" s="7"/>
      <c r="GF315" s="7"/>
      <c r="GG315" s="7">
        <v>1.136834317615576E-2</v>
      </c>
      <c r="GH315" s="42">
        <v>1.7250852380711883</v>
      </c>
      <c r="GI315" s="6">
        <v>13748.949044726158</v>
      </c>
      <c r="GJ315" s="14">
        <v>0.5107463060103955</v>
      </c>
      <c r="GK315" s="14">
        <v>0.5082951978616097</v>
      </c>
      <c r="GL315" s="14">
        <v>0.48925369398960439</v>
      </c>
      <c r="GM315" s="14">
        <v>0.49170480213839024</v>
      </c>
      <c r="GO315" s="5">
        <v>338.16872463277008</v>
      </c>
      <c r="GP315" s="5">
        <v>307.64377699166363</v>
      </c>
      <c r="GQ315" s="5">
        <v>527.27910984145694</v>
      </c>
      <c r="GR315" s="5">
        <v>404.20319246551543</v>
      </c>
      <c r="GS315" s="5">
        <v>334.50205195691484</v>
      </c>
      <c r="GT315" s="5">
        <v>289.18266033348181</v>
      </c>
      <c r="GU315" s="5">
        <v>254.29573314828914</v>
      </c>
      <c r="GV315" s="39" t="s">
        <v>392</v>
      </c>
      <c r="GW315" s="5">
        <v>454.875</v>
      </c>
      <c r="GX315" s="5">
        <v>341.15625</v>
      </c>
      <c r="GY315" s="5">
        <v>272.92500000000001</v>
      </c>
      <c r="GZ315" s="5">
        <v>240.82751152063875</v>
      </c>
      <c r="HA315" s="5">
        <v>223.08053899211657</v>
      </c>
      <c r="HB315" s="39">
        <v>252.99640071122801</v>
      </c>
      <c r="HC315" s="5">
        <v>124.04062499999996</v>
      </c>
      <c r="HD315" s="5">
        <v>127.75060307017539</v>
      </c>
      <c r="HE315" s="5">
        <v>136.66051366396758</v>
      </c>
      <c r="HF315" s="5">
        <v>133.62067434210525</v>
      </c>
      <c r="HG315" s="5">
        <v>137.88493421052632</v>
      </c>
      <c r="HH315" s="39">
        <v>130.72650526464059</v>
      </c>
      <c r="HI315" s="16"/>
      <c r="HJ315" s="19" t="str">
        <f t="shared" si="1057"/>
        <v>On</v>
      </c>
      <c r="HK315" s="1" t="str">
        <f t="shared" si="1057"/>
        <v>On</v>
      </c>
      <c r="HL315" s="16"/>
      <c r="HM315" s="639">
        <f t="shared" si="1004"/>
        <v>2.8970655363290673E-2</v>
      </c>
      <c r="HN315" s="639">
        <f t="shared" si="1005"/>
        <v>2.1835179285533651E-3</v>
      </c>
      <c r="HO315" s="639">
        <f t="shared" si="1006"/>
        <v>1.5544129749146325E-2</v>
      </c>
      <c r="HP315" s="644">
        <f>(FT315*$GD315-HM315)/$JF315*INDEX(Input!$1:$1048576,$JG$93,$C315*2+6)</f>
        <v>70.027384801299164</v>
      </c>
      <c r="HQ315" s="644">
        <f>(FU315*$GD315-HN315)/$JF315*INDEX(Input!$1:$1048576,$JG$93,$C315*2+6)</f>
        <v>20.628513620891859</v>
      </c>
      <c r="HR315" s="644">
        <f>(FV315*$GD315-HO315)/$JF315*INDEX(Input!$1:$1048576,$JG$93,$C315*2+6)</f>
        <v>1.862448259256243</v>
      </c>
      <c r="HS315" s="644">
        <f t="shared" si="1007"/>
        <v>-28.594935214529549</v>
      </c>
      <c r="HT315" s="644">
        <f t="shared" si="1008"/>
        <v>125.66403232992704</v>
      </c>
      <c r="HU315" s="644">
        <f t="shared" si="1009"/>
        <v>23.024218487659088</v>
      </c>
      <c r="HV315" s="648">
        <f t="shared" si="1010"/>
        <v>0</v>
      </c>
      <c r="HW315" s="648">
        <f t="shared" si="1011"/>
        <v>0</v>
      </c>
      <c r="HX315" s="648">
        <f t="shared" si="1012"/>
        <v>0</v>
      </c>
      <c r="HY315" s="644">
        <f>INDEX(Input!$1:$1048576,HY$93,$C315*2+6)*INDEX(Input!$1:$1048576,$JG$93,$C315*2+6)</f>
        <v>488.99999999999994</v>
      </c>
      <c r="HZ315" s="644">
        <f>INDEX(Input!$1:$1048576,HZ$93,$C315*2+6)*INDEX(Input!$1:$1048576,$JG$93,$C315*2+6)</f>
        <v>734</v>
      </c>
      <c r="IA315" s="644">
        <f>INDEX(Input!$1:$1048576,IA$93,$C315*2+6)*INDEX(Input!$1:$1048576,$JG$93,$C315*2+6)</f>
        <v>703</v>
      </c>
      <c r="IB315" s="644">
        <f t="shared" si="1036"/>
        <v>530.43244958676951</v>
      </c>
      <c r="IC315" s="644">
        <f t="shared" si="1037"/>
        <v>880.29254595081898</v>
      </c>
      <c r="ID315" s="644">
        <f>IF(AND(INDEX(Input!$1:$1048576,IA$93,$C315*2+7)="TOS",Y315&lt;=INDEX(Y:Y,MATCH(C315*1000+2,A:A))),0,1)*MAX(IA315+HR315+HU315+HX315,0%)</f>
        <v>727.88666674691535</v>
      </c>
      <c r="IE315" s="128">
        <f t="shared" ref="IE315" si="1086">IB315/SUM($IB315:$ID315)</f>
        <v>0.24802653933914862</v>
      </c>
      <c r="IF315" s="128">
        <f t="shared" si="1059"/>
        <v>0.41161869706184734</v>
      </c>
      <c r="IG315" s="128">
        <f t="shared" si="1014"/>
        <v>0.34035476359900402</v>
      </c>
      <c r="IH315" s="21"/>
      <c r="II315" s="19">
        <f t="shared" si="1015"/>
        <v>1200</v>
      </c>
      <c r="IJ315" s="19">
        <f t="shared" si="1016"/>
        <v>2224.493581030405</v>
      </c>
      <c r="IK315" s="19">
        <f t="shared" si="1017"/>
        <v>3451.75</v>
      </c>
      <c r="IL315" s="19">
        <f t="shared" si="1039"/>
        <v>400</v>
      </c>
      <c r="IM315" s="19">
        <f t="shared" si="1018"/>
        <v>900.04398449882865</v>
      </c>
      <c r="IN315" s="19">
        <f t="shared" si="1019"/>
        <v>184.25</v>
      </c>
      <c r="IO315" s="39">
        <f t="shared" si="1020"/>
        <v>0</v>
      </c>
      <c r="IP315" s="39">
        <f t="shared" si="1021"/>
        <v>0</v>
      </c>
      <c r="IQ315" s="39">
        <f t="shared" si="1022"/>
        <v>0</v>
      </c>
      <c r="IR315" s="39">
        <v>0</v>
      </c>
      <c r="IS315" s="39">
        <v>0</v>
      </c>
      <c r="IT315" s="39">
        <v>0</v>
      </c>
      <c r="IU315" s="39">
        <v>0</v>
      </c>
      <c r="IV315" s="39">
        <v>0</v>
      </c>
      <c r="IW315" s="39">
        <v>0</v>
      </c>
      <c r="IX315" s="39">
        <f>INDEX(Input!$1:$1048576,IX$93,$C315*2+6)+INDEX(Input!$1:$1048576,IX$94,$C315*2+6)</f>
        <v>1600</v>
      </c>
      <c r="IY315" s="39">
        <f>INDEX(Input!$1:$1048576,IY$93,$C315*2+6)+INDEX(Input!$1:$1048576,IY$94,$C315*2+6)</f>
        <v>2503.5492916397525</v>
      </c>
      <c r="IZ315" s="39">
        <f>INDEX(Input!$1:$1048576,IZ$93,$C315*2+6)+INDEX(Input!$1:$1048576,IZ$94,$C315*2+6)</f>
        <v>5773.7109265464023</v>
      </c>
      <c r="JA315" s="19">
        <f t="shared" si="1040"/>
        <v>2000</v>
      </c>
      <c r="JB315" s="19">
        <f t="shared" si="1041"/>
        <v>3403.5932761385811</v>
      </c>
      <c r="JC315" s="19">
        <f t="shared" si="1042"/>
        <v>5957.9609265464023</v>
      </c>
      <c r="JD315" s="19">
        <f t="shared" si="1043"/>
        <v>3924.856091017728</v>
      </c>
      <c r="JE315" s="21"/>
      <c r="JF315" s="1">
        <f t="shared" si="1023"/>
        <v>4.6698303040990354E-2</v>
      </c>
      <c r="JG315" s="15">
        <f>INDEX(Input!$1:$1048576,JG$93,$C315*2+6)/(1+VLOOKUP(C315*1000+INDEX(Input!$1:$1048576,JG$93+1,$C315*2+6),$A:$KK,$JK$92,FALSE))</f>
        <v>1926</v>
      </c>
      <c r="JH315" s="1">
        <f t="shared" si="1044"/>
        <v>4.8036524756722362E-2</v>
      </c>
      <c r="JI315" s="1">
        <f t="shared" si="1045"/>
        <v>6.2353746419032484E-2</v>
      </c>
      <c r="JJ315" s="1">
        <f t="shared" si="1083"/>
        <v>0</v>
      </c>
      <c r="JK315" s="1">
        <f t="shared" ref="JK315:JK318" si="1087">SUM(JH315:JJ315)</f>
        <v>0.11039027117575484</v>
      </c>
      <c r="JL315" s="15">
        <f t="shared" si="1048"/>
        <v>212.61166228450381</v>
      </c>
      <c r="JM315" s="15">
        <f t="shared" si="1074"/>
        <v>2138.6116622845038</v>
      </c>
      <c r="JN315" s="21"/>
      <c r="JO315" s="19">
        <f>INDEX(Input!$1:$1048576,JO$93,$C315*2+6)</f>
        <v>5908.5</v>
      </c>
      <c r="JP315" s="19">
        <f>INDEX(Input!$1:$1048576,JP$93,$C315*2+6)</f>
        <v>3467.7694503767912</v>
      </c>
      <c r="JQ315" s="39">
        <f t="shared" si="1060"/>
        <v>1983.643908982272</v>
      </c>
      <c r="JR315" s="39">
        <f t="shared" si="1077"/>
        <v>457.08664064093682</v>
      </c>
      <c r="JS315" s="39">
        <f t="shared" si="1062"/>
        <v>8.3937430090388823</v>
      </c>
      <c r="JT315" s="39">
        <f t="shared" si="1050"/>
        <v>1.7148190476131822</v>
      </c>
      <c r="JU315" s="385">
        <f>(JQ315*JM315-INDEX(Input!$1:$1048576,Input!A$18,$C315*2+6)*JL315*INDEX(Input!$1:$1048576,Input!A$19,$C315*2+6))/1000000</f>
        <v>4.2422439975691075</v>
      </c>
      <c r="JV315" s="39">
        <f t="shared" si="1084"/>
        <v>-0.45860304100519222</v>
      </c>
      <c r="JW315" s="1">
        <f t="shared" si="1075"/>
        <v>-9.7557533193907114E-2</v>
      </c>
      <c r="JX315" s="19">
        <f t="shared" si="1066"/>
        <v>8065.498520577471</v>
      </c>
      <c r="JZ315" s="341"/>
      <c r="KA315" s="342"/>
      <c r="KB315" s="469">
        <f t="shared" si="1063"/>
        <v>2.7822247002359868</v>
      </c>
      <c r="KI315" s="473">
        <f t="shared" ref="KI315" si="1088">$JM315*IE315-$JG315*HY315/SUM($HY315:$IA315)</f>
        <v>41.432449586769565</v>
      </c>
      <c r="KJ315" s="473">
        <f t="shared" si="1051"/>
        <v>146.29254595081898</v>
      </c>
      <c r="KK315" s="473">
        <f t="shared" si="1052"/>
        <v>24.886666746915353</v>
      </c>
      <c r="KN315" s="544">
        <f t="shared" si="1067"/>
        <v>3002</v>
      </c>
      <c r="KO315" s="541">
        <f t="shared" si="1027"/>
        <v>3.812366274418566E-2</v>
      </c>
      <c r="KP315" s="546">
        <f t="shared" si="1028"/>
        <v>205.78648347410694</v>
      </c>
      <c r="KQ315" s="546">
        <f t="shared" si="1029"/>
        <v>203.77487269235507</v>
      </c>
      <c r="KR315" s="548">
        <f t="shared" si="1030"/>
        <v>2.9593017094934804</v>
      </c>
      <c r="KS315" s="548">
        <f t="shared" si="1031"/>
        <v>2.9885151407012684</v>
      </c>
      <c r="KT315" s="473">
        <f t="shared" si="1065"/>
        <v>527.01264777847621</v>
      </c>
      <c r="KU315" s="663">
        <f t="shared" si="1053"/>
        <v>15.345061287977598</v>
      </c>
      <c r="KV315" s="117" t="e">
        <f t="shared" si="1085"/>
        <v>#N/A</v>
      </c>
    </row>
    <row r="316" spans="1:308" s="26" customFormat="1" ht="15">
      <c r="A316" s="561">
        <f t="shared" si="1032"/>
        <v>3016</v>
      </c>
      <c r="B316" s="561">
        <f t="shared" si="1054"/>
        <v>16</v>
      </c>
      <c r="C316" s="561">
        <f t="shared" si="1055"/>
        <v>3</v>
      </c>
      <c r="D316" s="561" t="str">
        <f t="shared" si="1076"/>
        <v xml:space="preserve">-360 Lease, </v>
      </c>
      <c r="E316" s="115">
        <f>INDEX(Input!$1:$1048576,E$93,$C316*2+MIN($B316,2)+5)</f>
        <v>1250</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1.9E-2</v>
      </c>
      <c r="W316" s="862">
        <f>INDEX(Input!$1:$1048576,W$93,$C316*2+MIN($B316,2)+5)</f>
        <v>3.9000000000000007E-2</v>
      </c>
      <c r="X316" s="118" t="str">
        <f>INDEX(Input!$1:$1048576,X$93,$C316*2+MIN($B316,2)+5)</f>
        <v>Y</v>
      </c>
      <c r="Y316" s="475">
        <f>INDEX(Input!$1:$1048576,Y$93,$C316*2+MIN($B316,2)+5)-360</f>
        <v>3748</v>
      </c>
      <c r="Z316" s="30">
        <f>INDEX(Input!$1:$1048576,Z$93,$C316*2+MIN($B316,2)+5)</f>
        <v>0</v>
      </c>
      <c r="AA316" s="115">
        <f>INDEX(Input!$1:$1048576,AA$93,$C316*2+MIN($B316,2)+5)</f>
        <v>500</v>
      </c>
      <c r="AB316" s="118">
        <f>INDEX(Input!$1:$1048576,AB$93,$C316*2+MIN($B316,2)+5)</f>
        <v>0.62</v>
      </c>
      <c r="AC316" s="115">
        <f>INDEX(Input!$1:$1048576,AC$93,$C316*2+MIN($B316,2)+5)</f>
        <v>0</v>
      </c>
      <c r="AD316" s="118">
        <f>INDEX(Input!$1:$1048576,AD$93,$C316*2+MIN($B316,2)+5)</f>
        <v>0.35</v>
      </c>
      <c r="AE316" s="115">
        <f>INDEX(Input!$1:$1048576,AE$93,$C316*2+MIN($B316,2)+5)</f>
        <v>500</v>
      </c>
      <c r="AF316" s="118">
        <f>INDEX(Input!$1:$1048576,AF$93,$C316*2+MIN($B316,2)+5)</f>
        <v>0.97</v>
      </c>
      <c r="AG316" s="115">
        <f>INDEX(Input!$1:$1048576,AG$93,$C316*2+MIN($B316,2)+5)</f>
        <v>0</v>
      </c>
      <c r="AH316" s="118">
        <f>INDEX(Input!$1:$1048576,AH$93,$C316*2+MIN($B316,2)+5)</f>
        <v>1</v>
      </c>
      <c r="AI316" s="115">
        <f>INDEX(Input!$1:$1048576,AI$93,$C316*2+MIN($B316,2)+5)</f>
        <v>0</v>
      </c>
      <c r="AJ316" s="118">
        <f>INDEX(Input!$1:$1048576,AJ$93,$C316*2+MIN($B316,2)+5)</f>
        <v>0.35</v>
      </c>
      <c r="AK316" s="150">
        <f>ROUND(INDEX(Input!$1:$1048576,AK$93,$C315*2+MIN($B316,1)+5)+(Y316-VLOOKUP($C316*1000+1,$A:$HH,Y$92,FALSE)),0)</f>
        <v>4622</v>
      </c>
      <c r="AL316" s="150">
        <f>ROUND(INDEX(Input!$1:$1048576,AL$93,$C315*2+MIN($B316,1)+5)-(Y316-VLOOKUP($C316*1000+1,$A:$HH,Y$92,FALSE))/36,0)</f>
        <v>5112</v>
      </c>
      <c r="AM316" s="32" t="str">
        <f t="shared" si="1033"/>
        <v>std/std/std/std</v>
      </c>
      <c r="AN316" s="32" t="str">
        <f t="shared" si="1034"/>
        <v>$0 + 0/0/0/1.9/3.9</v>
      </c>
      <c r="AO316" s="32" t="str">
        <f t="shared" si="1035"/>
        <v>0/0/0/1.9/3.9</v>
      </c>
      <c r="AP316" s="32" t="str">
        <f t="shared" si="989"/>
        <v>0/0.9/1.9/3.9</v>
      </c>
      <c r="AQ316" s="536">
        <f t="shared" si="988"/>
        <v>485.28108677921193</v>
      </c>
      <c r="AR316" s="32"/>
      <c r="AS316" s="302"/>
      <c r="AT316" s="3">
        <f t="shared" si="1056"/>
        <v>16</v>
      </c>
      <c r="AU316" s="41" t="s">
        <v>121</v>
      </c>
      <c r="AV316" s="41" t="s">
        <v>116</v>
      </c>
      <c r="AW316" s="41" t="str">
        <f>INDEX(Input!$1:$1048576,AW$93,$C316*2+6)</f>
        <v>Kia</v>
      </c>
      <c r="AX316" s="41" t="str">
        <f>INDEX(Input!$1:$1048576,AX$93,$C316*2+6)</f>
        <v>Kia-LR - L3</v>
      </c>
      <c r="AY316" s="41" t="str">
        <f>IF(LEN(D316)=0,"",INDEX(Input!$1:$1048576,AY$93,$C316*2+6))</f>
        <v>Compact Conventional/Sporty Car (43)</v>
      </c>
      <c r="AZ316" s="41" t="str">
        <f>INDEX(Input!$1:$1048576,AZ$93,$C316*2+6)</f>
        <v>Kia Forte</v>
      </c>
      <c r="BA316" s="3">
        <f>INDEX(Input!$1:$1048576,BA$93,$C316*2+6)</f>
        <v>2020</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19695</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990"/>
        <v>1250</v>
      </c>
      <c r="CJ316" s="16" t="str">
        <f>INDEX(Input!$1:$1048576,CJ$93,$C316*2+6)</f>
        <v>N</v>
      </c>
      <c r="CK316" s="1" t="str">
        <f t="shared" si="991"/>
        <v>Market</v>
      </c>
      <c r="CL316" s="1" t="str">
        <f t="shared" si="992"/>
        <v>Market</v>
      </c>
      <c r="CM316" s="1" t="str">
        <f t="shared" si="993"/>
        <v>Market</v>
      </c>
      <c r="CN316" s="1" t="str">
        <f t="shared" si="994"/>
        <v>Market</v>
      </c>
      <c r="CO316" s="1" t="str">
        <f t="shared" si="995"/>
        <v>Market</v>
      </c>
      <c r="CP316" s="304">
        <f t="shared" si="996"/>
        <v>310</v>
      </c>
      <c r="CQ316" s="1">
        <f t="shared" si="997"/>
        <v>0</v>
      </c>
      <c r="CR316" s="1">
        <f t="shared" si="998"/>
        <v>0</v>
      </c>
      <c r="CS316" s="1">
        <f t="shared" si="999"/>
        <v>0</v>
      </c>
      <c r="CT316" s="1">
        <f t="shared" si="1000"/>
        <v>1.9E-2</v>
      </c>
      <c r="CU316" s="1">
        <f t="shared" si="1001"/>
        <v>3.9000000000000007E-2</v>
      </c>
      <c r="CV316" s="304">
        <f t="shared" si="1002"/>
        <v>4233</v>
      </c>
      <c r="CW316" s="20" t="s">
        <v>122</v>
      </c>
      <c r="CX316" s="20" t="s">
        <v>122</v>
      </c>
      <c r="CY316" s="20" t="s">
        <v>122</v>
      </c>
      <c r="CZ316" s="20" t="s">
        <v>122</v>
      </c>
      <c r="DA316" s="20" t="s">
        <v>122</v>
      </c>
      <c r="DB316" s="503">
        <f t="shared" si="1003"/>
        <v>0</v>
      </c>
      <c r="DC316" s="127">
        <v>0</v>
      </c>
      <c r="DD316" s="127">
        <v>0</v>
      </c>
      <c r="DE316" s="127">
        <v>0</v>
      </c>
      <c r="DF316" s="127">
        <v>0</v>
      </c>
      <c r="DG316" s="127">
        <v>0</v>
      </c>
      <c r="DH316" s="127">
        <v>0</v>
      </c>
      <c r="DI316" s="127">
        <v>0</v>
      </c>
      <c r="DJ316" s="127">
        <v>0</v>
      </c>
      <c r="DK316" s="127">
        <v>0</v>
      </c>
      <c r="DL316" s="127">
        <v>0</v>
      </c>
      <c r="DM316" s="304">
        <f>INDEX(Input!$1:$1048576,DM$93,$C316*2+6)</f>
        <v>20731.578947368424</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3.4978919284300046E-2</v>
      </c>
      <c r="DZ316" s="7">
        <v>0</v>
      </c>
      <c r="EA316" s="7">
        <v>0.61871775147730934</v>
      </c>
      <c r="EB316" s="7">
        <v>0</v>
      </c>
      <c r="EC316" s="7">
        <v>0</v>
      </c>
      <c r="ED316" s="7">
        <v>0</v>
      </c>
      <c r="EE316" s="7">
        <v>0</v>
      </c>
      <c r="EF316" s="7">
        <v>0</v>
      </c>
      <c r="EG316" s="7">
        <v>0</v>
      </c>
      <c r="EH316" s="7">
        <v>1.4132215399652764E-2</v>
      </c>
      <c r="EI316" s="7">
        <v>1.7905748246066829E-2</v>
      </c>
      <c r="EJ316" s="7">
        <v>0.25759533694261938</v>
      </c>
      <c r="EK316" s="7">
        <v>0.65947919319168025</v>
      </c>
      <c r="EL316" s="7">
        <v>5.0887506219980984E-2</v>
      </c>
      <c r="EM316" s="7">
        <v>4.9579301395680321E-2</v>
      </c>
      <c r="EN316" s="7">
        <v>5.765977810677482E-2</v>
      </c>
      <c r="EO316" s="7">
        <v>0.56931800922069553</v>
      </c>
      <c r="EP316" s="7">
        <v>0.27223179348574283</v>
      </c>
      <c r="EQ316" s="7">
        <v>5.9840818106432804E-2</v>
      </c>
      <c r="ER316" s="7">
        <v>4.0949601080353927E-2</v>
      </c>
      <c r="ES316" s="7">
        <v>0.29672402784271024</v>
      </c>
      <c r="ET316" s="7">
        <v>0.34630332923839052</v>
      </c>
      <c r="EU316" s="6">
        <v>1600</v>
      </c>
      <c r="EV316" s="6">
        <v>0</v>
      </c>
      <c r="EW316" s="6">
        <v>1600</v>
      </c>
      <c r="EX316" s="6">
        <v>0</v>
      </c>
      <c r="EY316" s="6">
        <v>2624.7354074924383</v>
      </c>
      <c r="EZ316" s="6">
        <v>3276</v>
      </c>
      <c r="FA316" s="6">
        <v>0</v>
      </c>
      <c r="FB316" s="6">
        <v>0</v>
      </c>
      <c r="FC316" s="6">
        <v>0</v>
      </c>
      <c r="FD316" s="6">
        <v>0</v>
      </c>
      <c r="FE316" s="6">
        <v>0</v>
      </c>
      <c r="FF316" s="6">
        <v>0</v>
      </c>
      <c r="FG316" s="6">
        <v>0</v>
      </c>
      <c r="FH316" s="6">
        <v>1154.3258633357241</v>
      </c>
      <c r="FI316" s="6">
        <v>1531.4299904380616</v>
      </c>
      <c r="FJ316" s="6">
        <v>2070.7205842538215</v>
      </c>
      <c r="FK316" s="6">
        <v>1746.9903521590438</v>
      </c>
      <c r="FL316" s="6">
        <v>893.91433563489375</v>
      </c>
      <c r="FM316" s="6">
        <v>1774.7354074924383</v>
      </c>
      <c r="FN316" s="6">
        <v>0</v>
      </c>
      <c r="FO316" s="6">
        <v>0</v>
      </c>
      <c r="FP316" s="6">
        <v>0</v>
      </c>
      <c r="FQ316" s="6">
        <v>0</v>
      </c>
      <c r="FR316" s="6">
        <v>0</v>
      </c>
      <c r="FS316" s="6">
        <v>0</v>
      </c>
      <c r="FT316" s="7">
        <v>0.65369667076160942</v>
      </c>
      <c r="FU316" s="7">
        <v>4.9579301395680321E-2</v>
      </c>
      <c r="FV316" s="7">
        <v>0.29672402784271024</v>
      </c>
      <c r="FW316" s="6">
        <v>1599.9999999999998</v>
      </c>
      <c r="FX316" s="6">
        <v>2624.7354074924383</v>
      </c>
      <c r="FY316" s="6">
        <v>3276</v>
      </c>
      <c r="FZ316" s="6">
        <v>2202.331475193394</v>
      </c>
      <c r="GA316" s="6">
        <v>2148.1151362832752</v>
      </c>
      <c r="GB316" s="6">
        <v>17546.884863716725</v>
      </c>
      <c r="GC316" s="7">
        <v>4.8391397220736806E-2</v>
      </c>
      <c r="GD316" s="7">
        <v>4.8012142638271575E-2</v>
      </c>
      <c r="GE316" s="7"/>
      <c r="GF316" s="7"/>
      <c r="GG316" s="7">
        <v>-7.8372314966494109E-3</v>
      </c>
      <c r="GH316" s="42">
        <v>2.8470065930199113</v>
      </c>
      <c r="GI316" s="6">
        <v>9065.9073353904878</v>
      </c>
      <c r="GJ316" s="14">
        <v>0.5107463060103955</v>
      </c>
      <c r="GK316" s="14">
        <v>0.50829519786160982</v>
      </c>
      <c r="GL316" s="14">
        <v>0.48925369398960433</v>
      </c>
      <c r="GM316" s="14">
        <v>0.49170480213839035</v>
      </c>
      <c r="GO316" s="5">
        <v>338.16872463277008</v>
      </c>
      <c r="GP316" s="5">
        <v>307.64377699166363</v>
      </c>
      <c r="GQ316" s="5">
        <v>527.27910984145694</v>
      </c>
      <c r="GR316" s="5">
        <v>404.20319246551543</v>
      </c>
      <c r="GS316" s="5">
        <v>334.50205195691484</v>
      </c>
      <c r="GT316" s="5">
        <v>289.18266033348181</v>
      </c>
      <c r="GU316" s="5">
        <v>254.29573314828914</v>
      </c>
      <c r="GV316" s="39" t="s">
        <v>392</v>
      </c>
      <c r="GW316" s="5">
        <v>468.76388888888891</v>
      </c>
      <c r="GX316" s="5">
        <v>351.57291666666669</v>
      </c>
      <c r="GY316" s="5">
        <v>281.25833333333333</v>
      </c>
      <c r="GZ316" s="5">
        <v>248.18079879493993</v>
      </c>
      <c r="HA316" s="5">
        <v>229.8919505212948</v>
      </c>
      <c r="HB316" s="39">
        <v>260.73938454527467</v>
      </c>
      <c r="HC316" s="5">
        <v>139.79062499999998</v>
      </c>
      <c r="HD316" s="5">
        <v>138.50060307017537</v>
      </c>
      <c r="HE316" s="5">
        <v>146.64128289473683</v>
      </c>
      <c r="HF316" s="5">
        <v>141.94567434210524</v>
      </c>
      <c r="HG316" s="5">
        <v>144.78493421052633</v>
      </c>
      <c r="HH316" s="39">
        <v>141.25463405383695</v>
      </c>
      <c r="HI316" s="16"/>
      <c r="HJ316" s="19" t="str">
        <f t="shared" si="1057"/>
        <v>On</v>
      </c>
      <c r="HK316" s="1" t="str">
        <f t="shared" si="1057"/>
        <v>On</v>
      </c>
      <c r="HL316" s="16"/>
      <c r="HM316" s="639">
        <f t="shared" si="1004"/>
        <v>2.8970655363290673E-2</v>
      </c>
      <c r="HN316" s="639">
        <f t="shared" si="1005"/>
        <v>2.1835179285533651E-3</v>
      </c>
      <c r="HO316" s="639">
        <f t="shared" si="1006"/>
        <v>1.5544129749146325E-2</v>
      </c>
      <c r="HP316" s="644">
        <f>(FT316*$GD316-HM316)/$JF316*INDEX(Input!$1:$1048576,$JG$93,$C316*2+6)</f>
        <v>99.591529196472322</v>
      </c>
      <c r="HQ316" s="644">
        <f>(FU316*$GD316-HN316)/$JF316*INDEX(Input!$1:$1048576,$JG$93,$C316*2+6)</f>
        <v>8.1204497303842142</v>
      </c>
      <c r="HR316" s="644">
        <f>(FV316*$GD316-HO316)/$JF316*INDEX(Input!$1:$1048576,$JG$93,$C316*2+6)</f>
        <v>-53.524676614340812</v>
      </c>
      <c r="HS316" s="644">
        <f t="shared" si="1007"/>
        <v>-28.079931625139675</v>
      </c>
      <c r="HT316" s="644">
        <f t="shared" si="1008"/>
        <v>53.196301296627681</v>
      </c>
      <c r="HU316" s="644">
        <f t="shared" si="1009"/>
        <v>-11.216297462778387</v>
      </c>
      <c r="HV316" s="648">
        <f t="shared" si="1010"/>
        <v>0</v>
      </c>
      <c r="HW316" s="648">
        <f t="shared" si="1011"/>
        <v>0</v>
      </c>
      <c r="HX316" s="648">
        <f t="shared" si="1012"/>
        <v>0</v>
      </c>
      <c r="HY316" s="644">
        <f>INDEX(Input!$1:$1048576,HY$93,$C316*2+6)*INDEX(Input!$1:$1048576,$JG$93,$C316*2+6)</f>
        <v>488.99999999999994</v>
      </c>
      <c r="HZ316" s="644">
        <f>INDEX(Input!$1:$1048576,HZ$93,$C316*2+6)*INDEX(Input!$1:$1048576,$JG$93,$C316*2+6)</f>
        <v>734</v>
      </c>
      <c r="IA316" s="644">
        <f>INDEX(Input!$1:$1048576,IA$93,$C316*2+6)*INDEX(Input!$1:$1048576,$JG$93,$C316*2+6)</f>
        <v>703</v>
      </c>
      <c r="IB316" s="644">
        <f t="shared" si="1036"/>
        <v>560.51159757133257</v>
      </c>
      <c r="IC316" s="644">
        <f t="shared" si="1037"/>
        <v>795.31675102701183</v>
      </c>
      <c r="ID316" s="644">
        <f>IF(AND(INDEX(Input!$1:$1048576,IA$93,$C316*2+7)="TOS",Y316&lt;=INDEX(Y:Y,MATCH(C316*1000+2,A:A))),0,1)*MAX(IA316+HR316+HU316+HX316,0%)</f>
        <v>638.25902592288082</v>
      </c>
      <c r="IE316" s="128">
        <f t="shared" ref="IE316:IE318" si="1089">IB316/SUM($IB316:$ID316)</f>
        <v>0.28108677921192388</v>
      </c>
      <c r="IF316" s="128">
        <f t="shared" si="1059"/>
        <v>0.39883746378864926</v>
      </c>
      <c r="IG316" s="128">
        <f t="shared" si="1014"/>
        <v>0.32007575699942686</v>
      </c>
      <c r="IH316" s="21"/>
      <c r="II316" s="19">
        <f t="shared" si="1015"/>
        <v>1200</v>
      </c>
      <c r="IJ316" s="19">
        <f t="shared" si="1016"/>
        <v>2224.493581030405</v>
      </c>
      <c r="IK316" s="19">
        <f t="shared" si="1017"/>
        <v>3451.75</v>
      </c>
      <c r="IL316" s="19">
        <f t="shared" si="1039"/>
        <v>399.99999999999977</v>
      </c>
      <c r="IM316" s="19">
        <f t="shared" si="1018"/>
        <v>400.24182646203326</v>
      </c>
      <c r="IN316" s="19">
        <f t="shared" si="1019"/>
        <v>-175.75</v>
      </c>
      <c r="IO316" s="39">
        <f t="shared" si="1020"/>
        <v>0</v>
      </c>
      <c r="IP316" s="39">
        <f t="shared" si="1021"/>
        <v>0</v>
      </c>
      <c r="IQ316" s="39">
        <f t="shared" si="1022"/>
        <v>0</v>
      </c>
      <c r="IR316" s="39">
        <v>0</v>
      </c>
      <c r="IS316" s="39">
        <v>0</v>
      </c>
      <c r="IT316" s="39">
        <v>0</v>
      </c>
      <c r="IU316" s="39">
        <v>0</v>
      </c>
      <c r="IV316" s="39">
        <v>0</v>
      </c>
      <c r="IW316" s="39">
        <v>0</v>
      </c>
      <c r="IX316" s="39">
        <f>INDEX(Input!$1:$1048576,IX$93,$C316*2+6)+INDEX(Input!$1:$1048576,IX$94,$C316*2+6)</f>
        <v>1600</v>
      </c>
      <c r="IY316" s="39">
        <f>INDEX(Input!$1:$1048576,IY$93,$C316*2+6)+INDEX(Input!$1:$1048576,IY$94,$C316*2+6)</f>
        <v>2503.5492916397525</v>
      </c>
      <c r="IZ316" s="39">
        <f>INDEX(Input!$1:$1048576,IZ$93,$C316*2+6)+INDEX(Input!$1:$1048576,IZ$94,$C316*2+6)</f>
        <v>5773.7109265464023</v>
      </c>
      <c r="JA316" s="19">
        <f t="shared" si="1040"/>
        <v>1999.9999999999998</v>
      </c>
      <c r="JB316" s="19">
        <f t="shared" si="1041"/>
        <v>2903.7911181017857</v>
      </c>
      <c r="JC316" s="19">
        <f t="shared" si="1042"/>
        <v>5597.9609265464023</v>
      </c>
      <c r="JD316" s="19">
        <f t="shared" si="1043"/>
        <v>3512.0858245571226</v>
      </c>
      <c r="JE316" s="21"/>
      <c r="JF316" s="1">
        <f t="shared" si="1023"/>
        <v>4.6698303040990354E-2</v>
      </c>
      <c r="JG316" s="15">
        <f>INDEX(Input!$1:$1048576,JG$93,$C316*2+6)/(1+VLOOKUP(C316*1000+INDEX(Input!$1:$1048576,JG$93+1,$C316*2+6),$A:$KK,$JK$92,FALSE))</f>
        <v>1926</v>
      </c>
      <c r="JH316" s="1">
        <f t="shared" si="1044"/>
        <v>2.8134632561015432E-2</v>
      </c>
      <c r="JI316" s="1">
        <f t="shared" si="1045"/>
        <v>7.2170676057682339E-3</v>
      </c>
      <c r="JJ316" s="1">
        <f t="shared" si="1083"/>
        <v>0</v>
      </c>
      <c r="JK316" s="1">
        <f t="shared" si="1087"/>
        <v>3.5351700166783663E-2</v>
      </c>
      <c r="JL316" s="15">
        <f t="shared" si="1048"/>
        <v>68.087374521225328</v>
      </c>
      <c r="JM316" s="15">
        <f t="shared" si="1074"/>
        <v>1994.0873745212252</v>
      </c>
      <c r="JN316" s="21"/>
      <c r="JO316" s="19">
        <f>INDEX(Input!$1:$1048576,JO$93,$C316*2+6)</f>
        <v>5908.5</v>
      </c>
      <c r="JP316" s="19">
        <f>INDEX(Input!$1:$1048576,JP$93,$C316*2+6)</f>
        <v>3467.7694503767912</v>
      </c>
      <c r="JQ316" s="39">
        <f t="shared" si="1060"/>
        <v>2396.4141754428774</v>
      </c>
      <c r="JR316" s="39">
        <f t="shared" si="1077"/>
        <v>44.316374180331422</v>
      </c>
      <c r="JS316" s="39">
        <f t="shared" si="1062"/>
        <v>7.0034060009843246</v>
      </c>
      <c r="JT316" s="39">
        <f t="shared" si="1050"/>
        <v>0.32448203955862487</v>
      </c>
      <c r="JU316" s="385">
        <f>(JQ316*JM316-INDEX(Input!$1:$1048576,Input!A$18,$C316*2+6)*JL316*INDEX(Input!$1:$1048576,Input!A$19,$C316*2+6))/1000000</f>
        <v>4.778659251374334</v>
      </c>
      <c r="JV316" s="39">
        <f t="shared" si="1084"/>
        <v>7.7812212800034253E-2</v>
      </c>
      <c r="JW316" s="1">
        <f t="shared" si="1075"/>
        <v>1.6552806794503484E-2</v>
      </c>
      <c r="JX316" s="19">
        <f t="shared" si="1066"/>
        <v>4765.6711958759979</v>
      </c>
      <c r="JZ316" s="341"/>
      <c r="KA316" s="342"/>
      <c r="KB316" s="469">
        <f t="shared" si="1063"/>
        <v>2.7822247002359868</v>
      </c>
      <c r="KI316" s="473">
        <f t="shared" ref="KI316:KI332" si="1090">$JM316*IE316-$JG316*HY316/SUM($HY316:$IA316)</f>
        <v>71.511597571332629</v>
      </c>
      <c r="KJ316" s="473">
        <f t="shared" ref="KJ316:KJ332" si="1091">$JM316*IF316-$JG316*HZ316/SUM($HY316:$IA316)</f>
        <v>61.316751027011833</v>
      </c>
      <c r="KK316" s="473">
        <f t="shared" si="1052"/>
        <v>-64.740974077119176</v>
      </c>
      <c r="KN316" s="544">
        <f t="shared" si="1067"/>
        <v>3002</v>
      </c>
      <c r="KO316" s="541">
        <f t="shared" si="1027"/>
        <v>-3.2031235227351851E-2</v>
      </c>
      <c r="KP316" s="546">
        <f t="shared" si="1028"/>
        <v>-115.17052080350111</v>
      </c>
      <c r="KQ316" s="546">
        <f t="shared" si="1029"/>
        <v>-208.99539376825032</v>
      </c>
      <c r="KR316" s="548">
        <f t="shared" si="1030"/>
        <v>4.4426676759707719</v>
      </c>
      <c r="KS316" s="548">
        <f t="shared" si="1031"/>
        <v>2.4482087416998541</v>
      </c>
      <c r="KT316" s="473">
        <f t="shared" si="1065"/>
        <v>527.01264777847621</v>
      </c>
      <c r="KU316" s="663">
        <f t="shared" si="1053"/>
        <v>15.610704672078711</v>
      </c>
      <c r="KV316" s="117" t="e">
        <f t="shared" si="1085"/>
        <v>#N/A</v>
      </c>
    </row>
    <row r="317" spans="1:308" s="26" customFormat="1" ht="15">
      <c r="A317" s="561">
        <f t="shared" si="1032"/>
        <v>3017</v>
      </c>
      <c r="B317" s="561">
        <f t="shared" si="1054"/>
        <v>17</v>
      </c>
      <c r="C317" s="561">
        <f t="shared" si="1055"/>
        <v>3</v>
      </c>
      <c r="D317" s="561" t="str">
        <f t="shared" si="1076"/>
        <v xml:space="preserve">360 Lease, </v>
      </c>
      <c r="E317" s="115">
        <f>INDEX(Input!$1:$1048576,E$93,$C317*2+MIN($B317,2)+5)</f>
        <v>1250</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1.9E-2</v>
      </c>
      <c r="W317" s="862">
        <f>INDEX(Input!$1:$1048576,W$93,$C317*2+MIN($B317,2)+5)</f>
        <v>3.9000000000000007E-2</v>
      </c>
      <c r="X317" s="118" t="str">
        <f>INDEX(Input!$1:$1048576,X$93,$C317*2+MIN($B317,2)+5)</f>
        <v>Y</v>
      </c>
      <c r="Y317" s="475">
        <f>INDEX(Input!$1:$1048576,Y$93,$C317*2+MIN($B317,2)+5)+360</f>
        <v>4468</v>
      </c>
      <c r="Z317" s="30">
        <f>INDEX(Input!$1:$1048576,Z$93,$C317*2+MIN($B317,2)+5)</f>
        <v>0</v>
      </c>
      <c r="AA317" s="115">
        <f>INDEX(Input!$1:$1048576,AA$93,$C317*2+MIN($B317,2)+5)</f>
        <v>500</v>
      </c>
      <c r="AB317" s="118">
        <f>INDEX(Input!$1:$1048576,AB$93,$C317*2+MIN($B317,2)+5)</f>
        <v>0.62</v>
      </c>
      <c r="AC317" s="115">
        <f>INDEX(Input!$1:$1048576,AC$93,$C317*2+MIN($B317,2)+5)</f>
        <v>0</v>
      </c>
      <c r="AD317" s="118">
        <f>INDEX(Input!$1:$1048576,AD$93,$C317*2+MIN($B317,2)+5)</f>
        <v>0.35</v>
      </c>
      <c r="AE317" s="115">
        <f>INDEX(Input!$1:$1048576,AE$93,$C317*2+MIN($B317,2)+5)</f>
        <v>500</v>
      </c>
      <c r="AF317" s="118">
        <f>INDEX(Input!$1:$1048576,AF$93,$C317*2+MIN($B317,2)+5)</f>
        <v>0.97</v>
      </c>
      <c r="AG317" s="115">
        <f>INDEX(Input!$1:$1048576,AG$93,$C317*2+MIN($B317,2)+5)</f>
        <v>0</v>
      </c>
      <c r="AH317" s="118">
        <f>INDEX(Input!$1:$1048576,AH$93,$C317*2+MIN($B317,2)+5)</f>
        <v>1</v>
      </c>
      <c r="AI317" s="115">
        <f>INDEX(Input!$1:$1048576,AI$93,$C317*2+MIN($B317,2)+5)</f>
        <v>0</v>
      </c>
      <c r="AJ317" s="118">
        <f>INDEX(Input!$1:$1048576,AJ$93,$C317*2+MIN($B317,2)+5)</f>
        <v>0.35</v>
      </c>
      <c r="AK317" s="150">
        <f>ROUND(INDEX(Input!$1:$1048576,AK$93,$C316*2+MIN($B317,1)+5)+(Y317-VLOOKUP($C317*1000+1,$A:$HH,Y$92,FALSE)),0)</f>
        <v>5342</v>
      </c>
      <c r="AL317" s="150">
        <f>ROUND(INDEX(Input!$1:$1048576,AL$93,$C316*2+MIN($B317,1)+5)-(Y317-VLOOKUP($C317*1000+1,$A:$HH,Y$92,FALSE))/36,0)</f>
        <v>5092</v>
      </c>
      <c r="AM317" s="32" t="str">
        <f t="shared" si="1033"/>
        <v>std/std/std/std</v>
      </c>
      <c r="AN317" s="32" t="str">
        <f t="shared" si="1034"/>
        <v>$0 + 0/0/0/1.9/3.9</v>
      </c>
      <c r="AO317" s="32" t="str">
        <f t="shared" si="1035"/>
        <v>0/0/0/1.9/3.9</v>
      </c>
      <c r="AP317" s="32" t="str">
        <f t="shared" si="989"/>
        <v>0/0.9/1.9/3.9</v>
      </c>
      <c r="AQ317" s="536">
        <f t="shared" si="988"/>
        <v>485.2398579089251</v>
      </c>
      <c r="AR317" s="32"/>
      <c r="AS317" s="302"/>
      <c r="AT317" s="3">
        <f t="shared" si="1056"/>
        <v>17</v>
      </c>
      <c r="AU317" s="41" t="s">
        <v>121</v>
      </c>
      <c r="AV317" s="41" t="s">
        <v>116</v>
      </c>
      <c r="AW317" s="41" t="str">
        <f>INDEX(Input!$1:$1048576,AW$93,$C317*2+6)</f>
        <v>Kia</v>
      </c>
      <c r="AX317" s="41" t="str">
        <f>INDEX(Input!$1:$1048576,AX$93,$C317*2+6)</f>
        <v>Kia-LR - L3</v>
      </c>
      <c r="AY317" s="41" t="str">
        <f>IF(LEN(D317)=0,"",INDEX(Input!$1:$1048576,AY$93,$C317*2+6))</f>
        <v>Compact Conventional/Sporty Car (43)</v>
      </c>
      <c r="AZ317" s="41" t="str">
        <f>INDEX(Input!$1:$1048576,AZ$93,$C317*2+6)</f>
        <v>Kia Forte</v>
      </c>
      <c r="BA317" s="3">
        <f>INDEX(Input!$1:$1048576,BA$93,$C317*2+6)</f>
        <v>2020</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19695</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990"/>
        <v>1250</v>
      </c>
      <c r="CJ317" s="16" t="str">
        <f>INDEX(Input!$1:$1048576,CJ$93,$C317*2+6)</f>
        <v>N</v>
      </c>
      <c r="CK317" s="1" t="str">
        <f t="shared" si="991"/>
        <v>Market</v>
      </c>
      <c r="CL317" s="1" t="str">
        <f t="shared" si="992"/>
        <v>Market</v>
      </c>
      <c r="CM317" s="1" t="str">
        <f t="shared" si="993"/>
        <v>Market</v>
      </c>
      <c r="CN317" s="1" t="str">
        <f t="shared" si="994"/>
        <v>Market</v>
      </c>
      <c r="CO317" s="1" t="str">
        <f t="shared" si="995"/>
        <v>Market</v>
      </c>
      <c r="CP317" s="304">
        <f t="shared" si="996"/>
        <v>310</v>
      </c>
      <c r="CQ317" s="1">
        <f t="shared" si="997"/>
        <v>0</v>
      </c>
      <c r="CR317" s="1">
        <f t="shared" si="998"/>
        <v>0</v>
      </c>
      <c r="CS317" s="1">
        <f t="shared" si="999"/>
        <v>0</v>
      </c>
      <c r="CT317" s="1">
        <f t="shared" si="1000"/>
        <v>1.9E-2</v>
      </c>
      <c r="CU317" s="1">
        <f t="shared" si="1001"/>
        <v>3.9000000000000007E-2</v>
      </c>
      <c r="CV317" s="304">
        <f t="shared" si="1002"/>
        <v>4953</v>
      </c>
      <c r="CW317" s="20" t="s">
        <v>122</v>
      </c>
      <c r="CX317" s="20" t="s">
        <v>122</v>
      </c>
      <c r="CY317" s="20" t="s">
        <v>122</v>
      </c>
      <c r="CZ317" s="20" t="s">
        <v>122</v>
      </c>
      <c r="DA317" s="20" t="s">
        <v>122</v>
      </c>
      <c r="DB317" s="503">
        <f t="shared" si="1003"/>
        <v>0</v>
      </c>
      <c r="DC317" s="127">
        <v>0</v>
      </c>
      <c r="DD317" s="127">
        <v>0</v>
      </c>
      <c r="DE317" s="127">
        <v>0</v>
      </c>
      <c r="DF317" s="127">
        <v>0</v>
      </c>
      <c r="DG317" s="127">
        <v>0</v>
      </c>
      <c r="DH317" s="127">
        <v>0</v>
      </c>
      <c r="DI317" s="127">
        <v>0</v>
      </c>
      <c r="DJ317" s="127">
        <v>0</v>
      </c>
      <c r="DK317" s="127">
        <v>0</v>
      </c>
      <c r="DL317" s="127">
        <v>0</v>
      </c>
      <c r="DM317" s="304">
        <f>INDEX(Input!$1:$1048576,DM$93,$C317*2+6)</f>
        <v>20731.578947368424</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3.2492336235079189E-2</v>
      </c>
      <c r="DZ317" s="7">
        <v>0</v>
      </c>
      <c r="EA317" s="7">
        <v>0.57503309819194637</v>
      </c>
      <c r="EB317" s="7">
        <v>0</v>
      </c>
      <c r="EC317" s="7">
        <v>0</v>
      </c>
      <c r="ED317" s="7">
        <v>0</v>
      </c>
      <c r="EE317" s="7">
        <v>0</v>
      </c>
      <c r="EF317" s="7">
        <v>0</v>
      </c>
      <c r="EG317" s="7">
        <v>0</v>
      </c>
      <c r="EH317" s="7">
        <v>1.4112669908419265E-2</v>
      </c>
      <c r="EI317" s="7">
        <v>1.7904006468551861E-2</v>
      </c>
      <c r="EJ317" s="7">
        <v>0.25697389313755897</v>
      </c>
      <c r="EK317" s="7">
        <v>0.65999336361793048</v>
      </c>
      <c r="EL317" s="7">
        <v>5.1016066867539685E-2</v>
      </c>
      <c r="EM317" s="7">
        <v>4.5701854277100079E-2</v>
      </c>
      <c r="EN317" s="7">
        <v>6.0273956083923601E-2</v>
      </c>
      <c r="EO317" s="7">
        <v>0.56674557734694919</v>
      </c>
      <c r="EP317" s="7">
        <v>0.27600976301752567</v>
      </c>
      <c r="EQ317" s="7">
        <v>5.7539036077023105E-2</v>
      </c>
      <c r="ER317" s="7">
        <v>3.9431667474578221E-2</v>
      </c>
      <c r="ES317" s="7">
        <v>0.34677271129587439</v>
      </c>
      <c r="ET317" s="7">
        <v>0.3924745655729745</v>
      </c>
      <c r="EU317" s="6">
        <v>1600</v>
      </c>
      <c r="EV317" s="6">
        <v>0</v>
      </c>
      <c r="EW317" s="6">
        <v>1600</v>
      </c>
      <c r="EX317" s="6">
        <v>0</v>
      </c>
      <c r="EY317" s="6">
        <v>2624.4365679181956</v>
      </c>
      <c r="EZ317" s="6">
        <v>3996</v>
      </c>
      <c r="FA317" s="6">
        <v>0</v>
      </c>
      <c r="FB317" s="6">
        <v>0</v>
      </c>
      <c r="FC317" s="6">
        <v>0</v>
      </c>
      <c r="FD317" s="6">
        <v>0</v>
      </c>
      <c r="FE317" s="6">
        <v>0</v>
      </c>
      <c r="FF317" s="6">
        <v>0</v>
      </c>
      <c r="FG317" s="6">
        <v>0</v>
      </c>
      <c r="FH317" s="6">
        <v>1154.3296330931478</v>
      </c>
      <c r="FI317" s="6">
        <v>1531.4299904380616</v>
      </c>
      <c r="FJ317" s="6">
        <v>2070.7205842538219</v>
      </c>
      <c r="FK317" s="6">
        <v>1746.9903521590441</v>
      </c>
      <c r="FL317" s="6">
        <v>893.91433563489352</v>
      </c>
      <c r="FM317" s="6">
        <v>1774.4365679181954</v>
      </c>
      <c r="FN317" s="6">
        <v>0</v>
      </c>
      <c r="FO317" s="6">
        <v>0</v>
      </c>
      <c r="FP317" s="6">
        <v>0</v>
      </c>
      <c r="FQ317" s="6">
        <v>0</v>
      </c>
      <c r="FR317" s="6">
        <v>0</v>
      </c>
      <c r="FS317" s="6">
        <v>0</v>
      </c>
      <c r="FT317" s="7">
        <v>0.60752543442702556</v>
      </c>
      <c r="FU317" s="7">
        <v>4.5701854277100079E-2</v>
      </c>
      <c r="FV317" s="7">
        <v>0.34677271129587439</v>
      </c>
      <c r="FW317" s="6">
        <v>1600</v>
      </c>
      <c r="FX317" s="6">
        <v>2624.4365679181956</v>
      </c>
      <c r="FY317" s="6">
        <v>3996</v>
      </c>
      <c r="FZ317" s="6">
        <v>2202.331475193394</v>
      </c>
      <c r="GA317" s="6">
        <v>2477.686067008045</v>
      </c>
      <c r="GB317" s="6">
        <v>17217.313932991954</v>
      </c>
      <c r="GC317" s="7">
        <v>4.8391397220736806E-2</v>
      </c>
      <c r="GD317" s="7">
        <v>4.9685967560052287E-2</v>
      </c>
      <c r="GE317" s="7"/>
      <c r="GF317" s="7"/>
      <c r="GG317" s="7">
        <v>2.6752076064477173E-2</v>
      </c>
      <c r="GH317" s="42">
        <v>1.9134677748339031</v>
      </c>
      <c r="GI317" s="6">
        <v>12770.516842122412</v>
      </c>
      <c r="GJ317" s="14">
        <v>0.51074630601039561</v>
      </c>
      <c r="GK317" s="14">
        <v>0.5082951978616097</v>
      </c>
      <c r="GL317" s="14">
        <v>0.48925369398960444</v>
      </c>
      <c r="GM317" s="14">
        <v>0.49170480213839041</v>
      </c>
      <c r="GO317" s="5">
        <v>338.16872463277008</v>
      </c>
      <c r="GP317" s="5">
        <v>307.64377699166363</v>
      </c>
      <c r="GQ317" s="5">
        <v>527.27910984145694</v>
      </c>
      <c r="GR317" s="5">
        <v>404.20319246551543</v>
      </c>
      <c r="GS317" s="5">
        <v>334.50205195691484</v>
      </c>
      <c r="GT317" s="5">
        <v>289.18266033348181</v>
      </c>
      <c r="GU317" s="5">
        <v>254.29573314828914</v>
      </c>
      <c r="GV317" s="39" t="s">
        <v>392</v>
      </c>
      <c r="GW317" s="5">
        <v>468.76388888888891</v>
      </c>
      <c r="GX317" s="5">
        <v>351.57291666666669</v>
      </c>
      <c r="GY317" s="5">
        <v>281.25833333333333</v>
      </c>
      <c r="GZ317" s="5">
        <v>248.18079879493993</v>
      </c>
      <c r="HA317" s="5">
        <v>229.8919505212948</v>
      </c>
      <c r="HB317" s="39">
        <v>260.71198599925214</v>
      </c>
      <c r="HC317" s="5">
        <v>108.29062499999998</v>
      </c>
      <c r="HD317" s="5">
        <v>117.00060307017539</v>
      </c>
      <c r="HE317" s="5">
        <v>126.67974443319835</v>
      </c>
      <c r="HF317" s="5">
        <v>125.29567434210523</v>
      </c>
      <c r="HG317" s="5">
        <v>130.98493421052632</v>
      </c>
      <c r="HH317" s="39">
        <v>120.17587164886052</v>
      </c>
      <c r="HI317" s="16"/>
      <c r="HJ317" s="19" t="str">
        <f t="shared" si="1057"/>
        <v>On</v>
      </c>
      <c r="HK317" s="1" t="str">
        <f t="shared" si="1057"/>
        <v>On</v>
      </c>
      <c r="HL317" s="16"/>
      <c r="HM317" s="639">
        <f t="shared" si="1004"/>
        <v>2.8970655363290673E-2</v>
      </c>
      <c r="HN317" s="639">
        <f t="shared" si="1005"/>
        <v>2.1835179285533651E-3</v>
      </c>
      <c r="HO317" s="639">
        <f t="shared" si="1006"/>
        <v>1.5544129749146325E-2</v>
      </c>
      <c r="HP317" s="644">
        <f>(FT317*$GD317-HM317)/$JF317*INDEX(Input!$1:$1048576,$JG$93,$C317*2+6)</f>
        <v>50.103954183460793</v>
      </c>
      <c r="HQ317" s="644">
        <f>(FU317*$GD317-HN317)/$JF317*INDEX(Input!$1:$1048576,$JG$93,$C317*2+6)</f>
        <v>3.5973757916171625</v>
      </c>
      <c r="HR317" s="644">
        <f>(FV317*$GD317-HO317)/$JF317*INDEX(Input!$1:$1048576,$JG$93,$C317*2+6)</f>
        <v>69.520318114840208</v>
      </c>
      <c r="HS317" s="644">
        <f t="shared" si="1007"/>
        <v>-28.07962369639046</v>
      </c>
      <c r="HT317" s="644">
        <f t="shared" si="1008"/>
        <v>53.152971700026114</v>
      </c>
      <c r="HU317" s="644">
        <f t="shared" si="1009"/>
        <v>56.234419330567604</v>
      </c>
      <c r="HV317" s="648">
        <f t="shared" si="1010"/>
        <v>0</v>
      </c>
      <c r="HW317" s="648">
        <f t="shared" si="1011"/>
        <v>0</v>
      </c>
      <c r="HX317" s="648">
        <f t="shared" si="1012"/>
        <v>0</v>
      </c>
      <c r="HY317" s="644">
        <f>INDEX(Input!$1:$1048576,HY$93,$C317*2+6)*INDEX(Input!$1:$1048576,$JG$93,$C317*2+6)</f>
        <v>488.99999999999994</v>
      </c>
      <c r="HZ317" s="644">
        <f>INDEX(Input!$1:$1048576,HZ$93,$C317*2+6)*INDEX(Input!$1:$1048576,$JG$93,$C317*2+6)</f>
        <v>734</v>
      </c>
      <c r="IA317" s="644">
        <f>INDEX(Input!$1:$1048576,IA$93,$C317*2+6)*INDEX(Input!$1:$1048576,$JG$93,$C317*2+6)</f>
        <v>703</v>
      </c>
      <c r="IB317" s="644">
        <f t="shared" si="1036"/>
        <v>511.0243304870703</v>
      </c>
      <c r="IC317" s="644">
        <f t="shared" si="1037"/>
        <v>790.75034749164331</v>
      </c>
      <c r="ID317" s="644">
        <f>IF(AND(INDEX(Input!$1:$1048576,IA$93,$C317*2+7)="TOS",Y317&lt;=INDEX(Y:Y,MATCH(C317*1000+2,A:A))),0,1)*MAX(IA317+HR317+HU317+HX317,0%)</f>
        <v>828.75473744540773</v>
      </c>
      <c r="IE317" s="128">
        <f t="shared" si="1089"/>
        <v>0.23985790892511172</v>
      </c>
      <c r="IF317" s="128">
        <f t="shared" si="1059"/>
        <v>0.37115204407268415</v>
      </c>
      <c r="IG317" s="128">
        <f t="shared" si="1014"/>
        <v>0.3889900470022043</v>
      </c>
      <c r="IH317" s="21"/>
      <c r="II317" s="19">
        <f t="shared" si="1015"/>
        <v>1200</v>
      </c>
      <c r="IJ317" s="19">
        <f t="shared" si="1016"/>
        <v>2224.493581030405</v>
      </c>
      <c r="IK317" s="19">
        <f t="shared" si="1017"/>
        <v>3451.75</v>
      </c>
      <c r="IL317" s="19">
        <f t="shared" si="1039"/>
        <v>400</v>
      </c>
      <c r="IM317" s="19">
        <f t="shared" si="1018"/>
        <v>399.94298688779054</v>
      </c>
      <c r="IN317" s="19">
        <f t="shared" si="1019"/>
        <v>544.25</v>
      </c>
      <c r="IO317" s="39">
        <f t="shared" si="1020"/>
        <v>0</v>
      </c>
      <c r="IP317" s="39">
        <f t="shared" si="1021"/>
        <v>0</v>
      </c>
      <c r="IQ317" s="39">
        <f t="shared" si="1022"/>
        <v>0</v>
      </c>
      <c r="IR317" s="39">
        <v>0</v>
      </c>
      <c r="IS317" s="39">
        <v>0</v>
      </c>
      <c r="IT317" s="39">
        <v>0</v>
      </c>
      <c r="IU317" s="39">
        <v>0</v>
      </c>
      <c r="IV317" s="39">
        <v>0</v>
      </c>
      <c r="IW317" s="39">
        <v>0</v>
      </c>
      <c r="IX317" s="39">
        <f>INDEX(Input!$1:$1048576,IX$93,$C317*2+6)+INDEX(Input!$1:$1048576,IX$94,$C317*2+6)</f>
        <v>1600</v>
      </c>
      <c r="IY317" s="39">
        <f>INDEX(Input!$1:$1048576,IY$93,$C317*2+6)+INDEX(Input!$1:$1048576,IY$94,$C317*2+6)</f>
        <v>2503.5492916397525</v>
      </c>
      <c r="IZ317" s="39">
        <f>INDEX(Input!$1:$1048576,IZ$93,$C317*2+6)+INDEX(Input!$1:$1048576,IZ$94,$C317*2+6)</f>
        <v>5773.7109265464023</v>
      </c>
      <c r="JA317" s="19">
        <f t="shared" si="1040"/>
        <v>2000</v>
      </c>
      <c r="JB317" s="19">
        <f t="shared" si="1041"/>
        <v>2903.492278527543</v>
      </c>
      <c r="JC317" s="19">
        <f t="shared" si="1042"/>
        <v>6317.9609265464023</v>
      </c>
      <c r="JD317" s="19">
        <f t="shared" si="1043"/>
        <v>4014.9768297503515</v>
      </c>
      <c r="JE317" s="21"/>
      <c r="JF317" s="1">
        <f t="shared" si="1023"/>
        <v>4.6698303040990354E-2</v>
      </c>
      <c r="JG317" s="15">
        <f>INDEX(Input!$1:$1048576,JG$93,$C317*2+6)/(1+VLOOKUP(C317*1000+INDEX(Input!$1:$1048576,JG$93+1,$C317*2+6),$A:$KK,$JK$92,FALSE))</f>
        <v>1926</v>
      </c>
      <c r="JH317" s="1">
        <f t="shared" si="1044"/>
        <v>6.3978010430902468E-2</v>
      </c>
      <c r="JI317" s="1">
        <f t="shared" si="1045"/>
        <v>4.2215870890032849E-2</v>
      </c>
      <c r="JJ317" s="1">
        <f t="shared" si="1083"/>
        <v>0</v>
      </c>
      <c r="JK317" s="1">
        <f t="shared" si="1087"/>
        <v>0.10619388132093532</v>
      </c>
      <c r="JL317" s="15">
        <f t="shared" si="1048"/>
        <v>204.52941542412142</v>
      </c>
      <c r="JM317" s="15">
        <f t="shared" si="1074"/>
        <v>2130.5294154241215</v>
      </c>
      <c r="JN317" s="21"/>
      <c r="JO317" s="19">
        <f>INDEX(Input!$1:$1048576,JO$93,$C317*2+6)</f>
        <v>5908.5</v>
      </c>
      <c r="JP317" s="19">
        <f>INDEX(Input!$1:$1048576,JP$93,$C317*2+6)</f>
        <v>3467.7694503767912</v>
      </c>
      <c r="JQ317" s="39">
        <f t="shared" si="1060"/>
        <v>1893.5231702496485</v>
      </c>
      <c r="JR317" s="39">
        <f t="shared" si="1077"/>
        <v>547.20737937356034</v>
      </c>
      <c r="JS317" s="39">
        <f t="shared" si="1062"/>
        <v>8.5540262380294099</v>
      </c>
      <c r="JT317" s="39">
        <f t="shared" si="1050"/>
        <v>1.8751022766037089</v>
      </c>
      <c r="JU317" s="385">
        <f>(JQ317*JM317-INDEX(Input!$1:$1048576,Input!A$18,$C317*2+6)*JL317*INDEX(Input!$1:$1048576,Input!A$19,$C317*2+6))/1000000</f>
        <v>4.0342068130040127</v>
      </c>
      <c r="JV317" s="39">
        <f t="shared" si="1084"/>
        <v>-0.66664022557028701</v>
      </c>
      <c r="JW317" s="1">
        <f t="shared" si="1075"/>
        <v>-0.14181278822730414</v>
      </c>
      <c r="JX317" s="19">
        <f t="shared" si="1066"/>
        <v>9167.8855714490364</v>
      </c>
      <c r="JZ317" s="341"/>
      <c r="KA317" s="342"/>
      <c r="KB317" s="469">
        <f t="shared" si="1063"/>
        <v>2.7822247002359868</v>
      </c>
      <c r="KI317" s="473">
        <f t="shared" si="1090"/>
        <v>22.024330487070472</v>
      </c>
      <c r="KJ317" s="473">
        <f t="shared" si="1091"/>
        <v>56.750347491643538</v>
      </c>
      <c r="KK317" s="473">
        <f t="shared" si="1052"/>
        <v>125.75473744540784</v>
      </c>
      <c r="KN317" s="544">
        <f t="shared" si="1067"/>
        <v>3002</v>
      </c>
      <c r="KO317" s="541">
        <f t="shared" si="1027"/>
        <v>3.4200383047422012E-2</v>
      </c>
      <c r="KP317" s="546">
        <f t="shared" si="1028"/>
        <v>139.9783142811977</v>
      </c>
      <c r="KQ317" s="546">
        <f t="shared" si="1029"/>
        <v>293.8956114249786</v>
      </c>
      <c r="KR317" s="548">
        <f t="shared" si="1030"/>
        <v>3.9028484083913817</v>
      </c>
      <c r="KS317" s="548">
        <f t="shared" si="1031"/>
        <v>1.8588713810758488</v>
      </c>
      <c r="KT317" s="473">
        <f t="shared" si="1065"/>
        <v>527.01264777847621</v>
      </c>
      <c r="KU317" s="663">
        <f t="shared" si="1053"/>
        <v>14.925397425682986</v>
      </c>
      <c r="KV317" s="117" t="e">
        <f t="shared" si="1085"/>
        <v>#N/A</v>
      </c>
    </row>
    <row r="318" spans="1:308" s="26" customFormat="1" ht="15">
      <c r="A318" s="561">
        <f t="shared" si="1032"/>
        <v>3018</v>
      </c>
      <c r="B318" s="561">
        <f t="shared" si="1054"/>
        <v>18</v>
      </c>
      <c r="C318" s="561">
        <f t="shared" si="1055"/>
        <v>3</v>
      </c>
      <c r="D318" s="561" t="str">
        <f t="shared" si="1076"/>
        <v xml:space="preserve">720 Lease, </v>
      </c>
      <c r="E318" s="115">
        <f>INDEX(Input!$1:$1048576,E$93,$C318*2+MIN($B318,2)+5)</f>
        <v>1250</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1.9E-2</v>
      </c>
      <c r="W318" s="862">
        <f>INDEX(Input!$1:$1048576,W$93,$C318*2+MIN($B318,2)+5)</f>
        <v>3.9000000000000007E-2</v>
      </c>
      <c r="X318" s="118" t="str">
        <f>INDEX(Input!$1:$1048576,X$93,$C318*2+MIN($B318,2)+5)</f>
        <v>Y</v>
      </c>
      <c r="Y318" s="475">
        <f>INDEX(Input!$1:$1048576,Y$93,$C318*2+MIN($B318,2)+5)+720</f>
        <v>4828</v>
      </c>
      <c r="Z318" s="30">
        <f>INDEX(Input!$1:$1048576,Z$93,$C318*2+MIN($B318,2)+5)</f>
        <v>0</v>
      </c>
      <c r="AA318" s="115">
        <f>INDEX(Input!$1:$1048576,AA$93,$C318*2+MIN($B318,2)+5)</f>
        <v>500</v>
      </c>
      <c r="AB318" s="118">
        <f>INDEX(Input!$1:$1048576,AB$93,$C318*2+MIN($B318,2)+5)</f>
        <v>0.62</v>
      </c>
      <c r="AC318" s="115">
        <f>INDEX(Input!$1:$1048576,AC$93,$C318*2+MIN($B318,2)+5)</f>
        <v>0</v>
      </c>
      <c r="AD318" s="118">
        <f>INDEX(Input!$1:$1048576,AD$93,$C318*2+MIN($B318,2)+5)</f>
        <v>0.35</v>
      </c>
      <c r="AE318" s="115">
        <f>INDEX(Input!$1:$1048576,AE$93,$C318*2+MIN($B318,2)+5)</f>
        <v>500</v>
      </c>
      <c r="AF318" s="118">
        <f>INDEX(Input!$1:$1048576,AF$93,$C318*2+MIN($B318,2)+5)</f>
        <v>0.97</v>
      </c>
      <c r="AG318" s="115">
        <f>INDEX(Input!$1:$1048576,AG$93,$C318*2+MIN($B318,2)+5)</f>
        <v>0</v>
      </c>
      <c r="AH318" s="118">
        <f>INDEX(Input!$1:$1048576,AH$93,$C318*2+MIN($B318,2)+5)</f>
        <v>1</v>
      </c>
      <c r="AI318" s="115">
        <f>INDEX(Input!$1:$1048576,AI$93,$C318*2+MIN($B318,2)+5)</f>
        <v>0</v>
      </c>
      <c r="AJ318" s="118">
        <f>INDEX(Input!$1:$1048576,AJ$93,$C318*2+MIN($B318,2)+5)</f>
        <v>0.35</v>
      </c>
      <c r="AK318" s="150">
        <f>ROUND(INDEX(Input!$1:$1048576,AK$93,$C317*2+MIN($B318,1)+5)+(Y318-VLOOKUP($C318*1000+1,$A:$HH,Y$92,FALSE)),0)</f>
        <v>5702</v>
      </c>
      <c r="AL318" s="150">
        <f>ROUND(INDEX(Input!$1:$1048576,AL$93,$C317*2+MIN($B318,1)+5)-(Y318-VLOOKUP($C318*1000+1,$A:$HH,Y$92,FALSE))/36,0)</f>
        <v>5082</v>
      </c>
      <c r="AM318" s="32" t="str">
        <f t="shared" si="1033"/>
        <v>std/std/std/std</v>
      </c>
      <c r="AN318" s="32" t="str">
        <f t="shared" si="1034"/>
        <v>$0 + 0/0/0/1.9/3.9</v>
      </c>
      <c r="AO318" s="32" t="str">
        <f t="shared" si="1035"/>
        <v>0/0/0/1.9/3.9</v>
      </c>
      <c r="AP318" s="32" t="str">
        <f t="shared" si="989"/>
        <v>0/0.9/1.9/3.9</v>
      </c>
      <c r="AQ318" s="536">
        <f t="shared" si="988"/>
        <v>485.21877295045385</v>
      </c>
      <c r="AR318" s="32"/>
      <c r="AS318" s="302"/>
      <c r="AT318" s="3">
        <f t="shared" si="1056"/>
        <v>18</v>
      </c>
      <c r="AU318" s="41" t="s">
        <v>121</v>
      </c>
      <c r="AV318" s="41" t="s">
        <v>116</v>
      </c>
      <c r="AW318" s="41" t="str">
        <f>INDEX(Input!$1:$1048576,AW$93,$C318*2+6)</f>
        <v>Kia</v>
      </c>
      <c r="AX318" s="41" t="str">
        <f>INDEX(Input!$1:$1048576,AX$93,$C318*2+6)</f>
        <v>Kia-LR - L3</v>
      </c>
      <c r="AY318" s="41" t="str">
        <f>IF(LEN(D318)=0,"",INDEX(Input!$1:$1048576,AY$93,$C318*2+6))</f>
        <v>Compact Conventional/Sporty Car (43)</v>
      </c>
      <c r="AZ318" s="41" t="str">
        <f>INDEX(Input!$1:$1048576,AZ$93,$C318*2+6)</f>
        <v>Kia Forte</v>
      </c>
      <c r="BA318" s="3">
        <f>INDEX(Input!$1:$1048576,BA$93,$C318*2+6)</f>
        <v>2020</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19695</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990"/>
        <v>1250</v>
      </c>
      <c r="CJ318" s="16" t="str">
        <f>INDEX(Input!$1:$1048576,CJ$93,$C318*2+6)</f>
        <v>N</v>
      </c>
      <c r="CK318" s="1" t="str">
        <f t="shared" si="991"/>
        <v>Market</v>
      </c>
      <c r="CL318" s="1" t="str">
        <f t="shared" si="992"/>
        <v>Market</v>
      </c>
      <c r="CM318" s="1" t="str">
        <f t="shared" si="993"/>
        <v>Market</v>
      </c>
      <c r="CN318" s="1" t="str">
        <f t="shared" si="994"/>
        <v>Market</v>
      </c>
      <c r="CO318" s="1" t="str">
        <f t="shared" si="995"/>
        <v>Market</v>
      </c>
      <c r="CP318" s="304">
        <f t="shared" si="996"/>
        <v>310</v>
      </c>
      <c r="CQ318" s="1">
        <f t="shared" si="997"/>
        <v>0</v>
      </c>
      <c r="CR318" s="1">
        <f t="shared" si="998"/>
        <v>0</v>
      </c>
      <c r="CS318" s="1">
        <f t="shared" si="999"/>
        <v>0</v>
      </c>
      <c r="CT318" s="1">
        <f t="shared" si="1000"/>
        <v>1.9E-2</v>
      </c>
      <c r="CU318" s="1">
        <f t="shared" si="1001"/>
        <v>3.9000000000000007E-2</v>
      </c>
      <c r="CV318" s="304">
        <f t="shared" si="1002"/>
        <v>5313</v>
      </c>
      <c r="CW318" s="20" t="s">
        <v>122</v>
      </c>
      <c r="CX318" s="20" t="s">
        <v>122</v>
      </c>
      <c r="CY318" s="20" t="s">
        <v>122</v>
      </c>
      <c r="CZ318" s="20" t="s">
        <v>122</v>
      </c>
      <c r="DA318" s="20" t="s">
        <v>122</v>
      </c>
      <c r="DB318" s="503">
        <f t="shared" si="1003"/>
        <v>0</v>
      </c>
      <c r="DC318" s="127">
        <v>0</v>
      </c>
      <c r="DD318" s="127">
        <v>0</v>
      </c>
      <c r="DE318" s="127">
        <v>0</v>
      </c>
      <c r="DF318" s="127">
        <v>0</v>
      </c>
      <c r="DG318" s="127">
        <v>0</v>
      </c>
      <c r="DH318" s="127">
        <v>0</v>
      </c>
      <c r="DI318" s="127">
        <v>0</v>
      </c>
      <c r="DJ318" s="127">
        <v>0</v>
      </c>
      <c r="DK318" s="127">
        <v>0</v>
      </c>
      <c r="DL318" s="127">
        <v>0</v>
      </c>
      <c r="DM318" s="304">
        <f>INDEX(Input!$1:$1048576,DM$93,$C318*2+6)</f>
        <v>20731.578947368424</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3.1106054906339484E-2</v>
      </c>
      <c r="DZ318" s="7">
        <v>0</v>
      </c>
      <c r="EA318" s="7">
        <v>0.55066195590543798</v>
      </c>
      <c r="EB318" s="7">
        <v>0</v>
      </c>
      <c r="EC318" s="7">
        <v>0</v>
      </c>
      <c r="ED318" s="7">
        <v>0</v>
      </c>
      <c r="EE318" s="7">
        <v>0</v>
      </c>
      <c r="EF318" s="7">
        <v>0</v>
      </c>
      <c r="EG318" s="7">
        <v>0</v>
      </c>
      <c r="EH318" s="7">
        <v>1.4101425928972141E-2</v>
      </c>
      <c r="EI318" s="7">
        <v>1.7903004472216964E-2</v>
      </c>
      <c r="EJ318" s="7">
        <v>0.25661639373843048</v>
      </c>
      <c r="EK318" s="7">
        <v>0.66028915161507062</v>
      </c>
      <c r="EL318" s="7">
        <v>5.1090024245309847E-2</v>
      </c>
      <c r="EM318" s="7">
        <v>4.3559946553364585E-2</v>
      </c>
      <c r="EN318" s="7">
        <v>6.1790032616183786E-2</v>
      </c>
      <c r="EO318" s="7">
        <v>0.56535199067933428</v>
      </c>
      <c r="EP318" s="7">
        <v>0.27793573347871897</v>
      </c>
      <c r="EQ318" s="7">
        <v>5.6313654414306219E-2</v>
      </c>
      <c r="ER318" s="7">
        <v>3.8608588811456686E-2</v>
      </c>
      <c r="ES318" s="7">
        <v>0.37467204263485798</v>
      </c>
      <c r="ET318" s="7">
        <v>0.41823198918822252</v>
      </c>
      <c r="EU318" s="6">
        <v>1600</v>
      </c>
      <c r="EV318" s="6">
        <v>0</v>
      </c>
      <c r="EW318" s="6">
        <v>1600</v>
      </c>
      <c r="EX318" s="6">
        <v>0</v>
      </c>
      <c r="EY318" s="6">
        <v>2624.2646537928013</v>
      </c>
      <c r="EZ318" s="6">
        <v>4356</v>
      </c>
      <c r="FA318" s="6">
        <v>0</v>
      </c>
      <c r="FB318" s="6">
        <v>0</v>
      </c>
      <c r="FC318" s="6">
        <v>0</v>
      </c>
      <c r="FD318" s="6">
        <v>0</v>
      </c>
      <c r="FE318" s="6">
        <v>0</v>
      </c>
      <c r="FF318" s="6">
        <v>0</v>
      </c>
      <c r="FG318" s="6">
        <v>0</v>
      </c>
      <c r="FH318" s="6">
        <v>1154.3318064651885</v>
      </c>
      <c r="FI318" s="6">
        <v>1531.4299904380616</v>
      </c>
      <c r="FJ318" s="6">
        <v>2070.7205842538215</v>
      </c>
      <c r="FK318" s="6">
        <v>1746.9903521590429</v>
      </c>
      <c r="FL318" s="6">
        <v>893.91433563489352</v>
      </c>
      <c r="FM318" s="6">
        <v>1774.2646537928015</v>
      </c>
      <c r="FN318" s="6">
        <v>0</v>
      </c>
      <c r="FO318" s="6">
        <v>0</v>
      </c>
      <c r="FP318" s="6">
        <v>0</v>
      </c>
      <c r="FQ318" s="6">
        <v>0</v>
      </c>
      <c r="FR318" s="6">
        <v>0</v>
      </c>
      <c r="FS318" s="6">
        <v>0</v>
      </c>
      <c r="FT318" s="7">
        <v>0.58176801081177743</v>
      </c>
      <c r="FU318" s="7">
        <v>4.3559946553364585E-2</v>
      </c>
      <c r="FV318" s="7">
        <v>0.37467204263485798</v>
      </c>
      <c r="FW318" s="6">
        <v>1600.0000000000002</v>
      </c>
      <c r="FX318" s="6">
        <v>2624.2646537928013</v>
      </c>
      <c r="FY318" s="6">
        <v>4356</v>
      </c>
      <c r="FZ318" s="6">
        <v>2202.331475193394</v>
      </c>
      <c r="GA318" s="6">
        <v>2677.2130630773836</v>
      </c>
      <c r="GB318" s="6">
        <v>17017.786936922617</v>
      </c>
      <c r="GC318" s="7">
        <v>4.8391397220736806E-2</v>
      </c>
      <c r="GD318" s="7">
        <v>5.07034658462482E-2</v>
      </c>
      <c r="GE318" s="7"/>
      <c r="GF318" s="7"/>
      <c r="GG318" s="7">
        <v>4.7778505236476608E-2</v>
      </c>
      <c r="GH318" s="42">
        <v>1.9815416824757719</v>
      </c>
      <c r="GI318" s="6">
        <v>12616.443801535897</v>
      </c>
      <c r="GJ318" s="14">
        <v>0.5107463060103955</v>
      </c>
      <c r="GK318" s="14">
        <v>0.50829519786160959</v>
      </c>
      <c r="GL318" s="14">
        <v>0.48925369398960428</v>
      </c>
      <c r="GM318" s="14">
        <v>0.49170480213839024</v>
      </c>
      <c r="GO318" s="5">
        <v>338.16872463277008</v>
      </c>
      <c r="GP318" s="5">
        <v>307.64377699166363</v>
      </c>
      <c r="GQ318" s="5">
        <v>527.27910984145694</v>
      </c>
      <c r="GR318" s="5">
        <v>404.20319246551543</v>
      </c>
      <c r="GS318" s="5">
        <v>334.50205195691484</v>
      </c>
      <c r="GT318" s="5">
        <v>289.18266033348181</v>
      </c>
      <c r="GU318" s="5">
        <v>254.29573314828914</v>
      </c>
      <c r="GV318" s="39" t="s">
        <v>392</v>
      </c>
      <c r="GW318" s="5">
        <v>468.76388888888891</v>
      </c>
      <c r="GX318" s="5">
        <v>351.57291666666669</v>
      </c>
      <c r="GY318" s="5">
        <v>281.25833333333333</v>
      </c>
      <c r="GZ318" s="5">
        <v>248.18079879493993</v>
      </c>
      <c r="HA318" s="5">
        <v>229.8919505212948</v>
      </c>
      <c r="HB318" s="39">
        <v>260.69622437501465</v>
      </c>
      <c r="HC318" s="5">
        <v>92.540624999999977</v>
      </c>
      <c r="HD318" s="5">
        <v>106.25060307017539</v>
      </c>
      <c r="HE318" s="5">
        <v>116.69897520242912</v>
      </c>
      <c r="HF318" s="5">
        <v>116.97067434210524</v>
      </c>
      <c r="HG318" s="5">
        <v>124.08493421052631</v>
      </c>
      <c r="HH318" s="39">
        <v>109.59968379691797</v>
      </c>
      <c r="HI318" s="16"/>
      <c r="HJ318" s="19" t="str">
        <f t="shared" si="1057"/>
        <v>On</v>
      </c>
      <c r="HK318" s="1" t="str">
        <f t="shared" si="1057"/>
        <v>On</v>
      </c>
      <c r="HL318" s="16"/>
      <c r="HM318" s="639">
        <f t="shared" si="1004"/>
        <v>2.8970655363290673E-2</v>
      </c>
      <c r="HN318" s="639">
        <f t="shared" si="1005"/>
        <v>2.1835179285533651E-3</v>
      </c>
      <c r="HO318" s="639">
        <f t="shared" si="1006"/>
        <v>1.5544129749146325E-2</v>
      </c>
      <c r="HP318" s="644">
        <f>(FT318*$GD318-HM318)/$JF318*INDEX(Input!$1:$1048576,$JG$93,$C318*2+6)</f>
        <v>21.735271025794695</v>
      </c>
      <c r="HQ318" s="644">
        <f>(FU318*$GD318-HN318)/$JF318*INDEX(Input!$1:$1048576,$JG$93,$C318*2+6)</f>
        <v>1.0361321870079139</v>
      </c>
      <c r="HR318" s="644">
        <f>(FV318*$GD318-HO318)/$JF318*INDEX(Input!$1:$1048576,$JG$93,$C318*2+6)</f>
        <v>142.41540360018863</v>
      </c>
      <c r="HS318" s="644">
        <f t="shared" si="1007"/>
        <v>-28.07944655351459</v>
      </c>
      <c r="HT318" s="644">
        <f t="shared" si="1008"/>
        <v>53.128045383883652</v>
      </c>
      <c r="HU318" s="644">
        <f t="shared" si="1009"/>
        <v>89.959754548739326</v>
      </c>
      <c r="HV318" s="648">
        <f t="shared" si="1010"/>
        <v>0</v>
      </c>
      <c r="HW318" s="648">
        <f t="shared" si="1011"/>
        <v>0</v>
      </c>
      <c r="HX318" s="648">
        <f t="shared" si="1012"/>
        <v>0</v>
      </c>
      <c r="HY318" s="644">
        <f>INDEX(Input!$1:$1048576,HY$93,$C318*2+6)*INDEX(Input!$1:$1048576,$JG$93,$C318*2+6)</f>
        <v>488.99999999999994</v>
      </c>
      <c r="HZ318" s="644">
        <f>INDEX(Input!$1:$1048576,HZ$93,$C318*2+6)*INDEX(Input!$1:$1048576,$JG$93,$C318*2+6)</f>
        <v>734</v>
      </c>
      <c r="IA318" s="644">
        <f>INDEX(Input!$1:$1048576,IA$93,$C318*2+6)*INDEX(Input!$1:$1048576,$JG$93,$C318*2+6)</f>
        <v>703</v>
      </c>
      <c r="IB318" s="644">
        <f t="shared" si="1036"/>
        <v>482.65582447228019</v>
      </c>
      <c r="IC318" s="644">
        <f t="shared" si="1037"/>
        <v>788.16417757089152</v>
      </c>
      <c r="ID318" s="644">
        <f>IF(AND(INDEX(Input!$1:$1048576,IA$93,$C318*2+7)="TOS",Y318&lt;=INDEX(Y:Y,MATCH(C318*1000+2,A:A))),0,1)*MAX(IA318+HR318+HU318+HX318,0%)</f>
        <v>935.37515814892788</v>
      </c>
      <c r="IE318" s="128">
        <f t="shared" si="1089"/>
        <v>0.21877295045387282</v>
      </c>
      <c r="IF318" s="128">
        <f t="shared" si="1059"/>
        <v>0.35725043359367348</v>
      </c>
      <c r="IG318" s="128">
        <f t="shared" si="1014"/>
        <v>0.42397661595245373</v>
      </c>
      <c r="IH318" s="21"/>
      <c r="II318" s="19">
        <f t="shared" si="1015"/>
        <v>1200</v>
      </c>
      <c r="IJ318" s="19">
        <f t="shared" si="1016"/>
        <v>2224.493581030405</v>
      </c>
      <c r="IK318" s="19">
        <f t="shared" si="1017"/>
        <v>3451.75</v>
      </c>
      <c r="IL318" s="19">
        <f t="shared" si="1039"/>
        <v>400.00000000000023</v>
      </c>
      <c r="IM318" s="19">
        <f t="shared" si="1018"/>
        <v>399.77107276239622</v>
      </c>
      <c r="IN318" s="19">
        <f t="shared" si="1019"/>
        <v>904.25</v>
      </c>
      <c r="IO318" s="39">
        <f t="shared" si="1020"/>
        <v>0</v>
      </c>
      <c r="IP318" s="39">
        <f t="shared" si="1021"/>
        <v>0</v>
      </c>
      <c r="IQ318" s="39">
        <f t="shared" si="1022"/>
        <v>0</v>
      </c>
      <c r="IR318" s="39">
        <v>0</v>
      </c>
      <c r="IS318" s="39">
        <v>0</v>
      </c>
      <c r="IT318" s="39">
        <v>0</v>
      </c>
      <c r="IU318" s="39">
        <v>0</v>
      </c>
      <c r="IV318" s="39">
        <v>0</v>
      </c>
      <c r="IW318" s="39">
        <v>0</v>
      </c>
      <c r="IX318" s="39">
        <f>INDEX(Input!$1:$1048576,IX$93,$C318*2+6)+INDEX(Input!$1:$1048576,IX$94,$C318*2+6)</f>
        <v>1600</v>
      </c>
      <c r="IY318" s="39">
        <f>INDEX(Input!$1:$1048576,IY$93,$C318*2+6)+INDEX(Input!$1:$1048576,IY$94,$C318*2+6)</f>
        <v>2503.5492916397525</v>
      </c>
      <c r="IZ318" s="39">
        <f>INDEX(Input!$1:$1048576,IZ$93,$C318*2+6)+INDEX(Input!$1:$1048576,IZ$94,$C318*2+6)</f>
        <v>5773.7109265464023</v>
      </c>
      <c r="JA318" s="19">
        <f t="shared" si="1040"/>
        <v>2000.0000000000002</v>
      </c>
      <c r="JB318" s="19">
        <f t="shared" si="1041"/>
        <v>2903.3203644021487</v>
      </c>
      <c r="JC318" s="19">
        <f t="shared" si="1042"/>
        <v>6677.9609265464023</v>
      </c>
      <c r="JD318" s="19">
        <f t="shared" si="1043"/>
        <v>4306.0576350516112</v>
      </c>
      <c r="JE318" s="21"/>
      <c r="JF318" s="1">
        <f t="shared" si="1023"/>
        <v>4.6698303040990354E-2</v>
      </c>
      <c r="JG318" s="15">
        <f>INDEX(Input!$1:$1048576,JG$93,$C318*2+6)/(1+VLOOKUP(C318*1000+INDEX(Input!$1:$1048576,JG$93+1,$C318*2+6),$A:$KK,$JK$92,FALSE))</f>
        <v>1926</v>
      </c>
      <c r="JH318" s="1">
        <f t="shared" si="1044"/>
        <v>8.576677404620521E-2</v>
      </c>
      <c r="JI318" s="1">
        <f t="shared" si="1045"/>
        <v>5.9713579116878704E-2</v>
      </c>
      <c r="JJ318" s="1">
        <f t="shared" si="1083"/>
        <v>0</v>
      </c>
      <c r="JK318" s="1">
        <f t="shared" si="1087"/>
        <v>0.14548035316308391</v>
      </c>
      <c r="JL318" s="15">
        <f t="shared" si="1048"/>
        <v>280.19516019209959</v>
      </c>
      <c r="JM318" s="15">
        <f t="shared" si="1074"/>
        <v>2206.1951601920996</v>
      </c>
      <c r="JN318" s="21"/>
      <c r="JO318" s="19">
        <f>INDEX(Input!$1:$1048576,JO$93,$C318*2+6)</f>
        <v>5908.5</v>
      </c>
      <c r="JP318" s="19">
        <f>INDEX(Input!$1:$1048576,JP$93,$C318*2+6)</f>
        <v>3467.7694503767912</v>
      </c>
      <c r="JQ318" s="39">
        <f t="shared" si="1060"/>
        <v>1602.4423649483888</v>
      </c>
      <c r="JR318" s="39">
        <f t="shared" si="1077"/>
        <v>838.28818467482006</v>
      </c>
      <c r="JS318" s="39">
        <f t="shared" si="1062"/>
        <v>9.5000035139591024</v>
      </c>
      <c r="JT318" s="39">
        <f t="shared" si="1050"/>
        <v>2.8210795525334023</v>
      </c>
      <c r="JU318" s="385">
        <f>(JQ318*JM318-INDEX(Input!$1:$1048576,Input!A$18,$C318*2+6)*JL318*INDEX(Input!$1:$1048576,Input!A$19,$C318*2+6))/1000000</f>
        <v>3.5353005900359178</v>
      </c>
      <c r="JV318" s="39">
        <f t="shared" si="1084"/>
        <v>-1.165546448538382</v>
      </c>
      <c r="JW318" s="1">
        <f t="shared" si="1075"/>
        <v>-0.24794392137717283</v>
      </c>
      <c r="JX318" s="19">
        <f t="shared" si="1066"/>
        <v>10068.26652751351</v>
      </c>
      <c r="JZ318" s="341"/>
      <c r="KA318" s="342"/>
      <c r="KB318" s="469">
        <f t="shared" si="1063"/>
        <v>2.7822247002359868</v>
      </c>
      <c r="KI318" s="473">
        <f t="shared" si="1090"/>
        <v>-6.3441755277196989</v>
      </c>
      <c r="KJ318" s="473">
        <f t="shared" si="1091"/>
        <v>54.164177570891525</v>
      </c>
      <c r="KK318" s="473">
        <f t="shared" si="1052"/>
        <v>232.37515814892799</v>
      </c>
      <c r="KN318" s="544">
        <f t="shared" si="1067"/>
        <v>3002</v>
      </c>
      <c r="KO318" s="541">
        <f t="shared" si="1027"/>
        <v>7.093000604914601E-2</v>
      </c>
      <c r="KP318" s="546">
        <f t="shared" si="1028"/>
        <v>305.14582070202374</v>
      </c>
      <c r="KQ318" s="546">
        <f t="shared" si="1029"/>
        <v>584.97641672623831</v>
      </c>
      <c r="KR318" s="548">
        <f t="shared" si="1030"/>
        <v>3.7130777449485612</v>
      </c>
      <c r="KS318" s="548">
        <f t="shared" si="1031"/>
        <v>1.9368817672234337</v>
      </c>
      <c r="KT318" s="473">
        <f t="shared" si="1065"/>
        <v>527.01264777847621</v>
      </c>
      <c r="KU318" s="663">
        <f t="shared" si="1053"/>
        <v>14.573153785685699</v>
      </c>
      <c r="KV318" s="117" t="e">
        <f t="shared" si="1085"/>
        <v>#N/A</v>
      </c>
    </row>
    <row r="319" spans="1:308" s="26" customFormat="1" ht="15">
      <c r="A319" s="561">
        <f t="shared" si="1032"/>
        <v>3019</v>
      </c>
      <c r="B319" s="561">
        <f t="shared" si="1054"/>
        <v>19</v>
      </c>
      <c r="C319" s="561">
        <f t="shared" si="1055"/>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500 Event (L), -500 Trim BC, </v>
      </c>
      <c r="E319" s="475">
        <f>INDEX(Input!$1:$1048576,E$93,$C319*2+MIN($B319,2)+5)</f>
        <v>1250</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1.9E-2</v>
      </c>
      <c r="W319" s="863">
        <f>IFERROR(MAX(0,INDEX(Input!$1:$1048576,W$93,$C319*2+MIN($B319,2)+5)-0%,),"Market")</f>
        <v>3.9000000000000007E-2</v>
      </c>
      <c r="X319" s="476" t="str">
        <f>INDEX(Input!$1:$1048576,X$93,$C319*2+MIN($B319,2)+5)</f>
        <v>Y</v>
      </c>
      <c r="Y319" s="475">
        <f>INDEX(Input!$1:$1048576,Y$93,$C319*2+MIN($B319,2)+5)</f>
        <v>4108</v>
      </c>
      <c r="Z319" s="477">
        <f>INDEX(Input!$1:$1048576,Z$93,$C319*2+MIN($B319,2)+5)</f>
        <v>0</v>
      </c>
      <c r="AA319" s="475">
        <f>INDEX(Input!$1:$1048576,AA$93,$C319*2+MIN($B319,2)+5)</f>
        <v>500</v>
      </c>
      <c r="AB319" s="476">
        <f>INDEX(Input!$1:$1048576,AB$93,$C319*2+MIN($B319,2)+5)</f>
        <v>0.62</v>
      </c>
      <c r="AC319" s="475">
        <f>INDEX(Input!$1:$1048576,AC$93,$C319*2+MIN($B319,2)+5)</f>
        <v>0</v>
      </c>
      <c r="AD319" s="476">
        <f>INDEX(Input!$1:$1048576,AD$93,$C319*2+MIN($B319,2)+5)</f>
        <v>0.35</v>
      </c>
      <c r="AE319" s="475">
        <f>INDEX(Input!$1:$1048576,AE$93,$C319*2+MIN($B319,2)+5)+500</f>
        <v>1000</v>
      </c>
      <c r="AF319" s="476">
        <f>INDEX(Input!$1:$1048576,AF$93,$C319*2+MIN($B319,2)+5)</f>
        <v>0.97</v>
      </c>
      <c r="AG319" s="475">
        <f>INDEX(Input!$1:$1048576,AG$93,$C319*2+MIN($B319,2)+5)-500</f>
        <v>-500</v>
      </c>
      <c r="AH319" s="476">
        <f>INDEX(Input!$1:$1048576,AH$93,$C319*2+MIN($B319,2)+5)</f>
        <v>1</v>
      </c>
      <c r="AI319" s="475">
        <f>INDEX(Input!$1:$1048576,AI$93,$C319*2+MIN($B319,2)+5)</f>
        <v>0</v>
      </c>
      <c r="AJ319" s="476">
        <f>INDEX(Input!$1:$1048576,AJ$93,$C319*2+MIN($B319,2)+5)</f>
        <v>0.35</v>
      </c>
      <c r="AK319" s="150">
        <f>ROUND(INDEX(Input!$1:$1048576,AK$93,$C318*2+MIN($B319,1)+5)+(Y319-VLOOKUP($C319*1000+1,$A:$HH,Y$92,FALSE)),0)</f>
        <v>4982</v>
      </c>
      <c r="AL319" s="150">
        <f>ROUND(INDEX(Input!$1:$1048576,AL$93,$C318*2+MIN($B319,1)+5)-(Y319-VLOOKUP($C319*1000+1,$A:$HH,Y$92,FALSE))/36,0)</f>
        <v>5102</v>
      </c>
      <c r="AM319" s="32" t="str">
        <f t="shared" si="1033"/>
        <v>std/std/std/std</v>
      </c>
      <c r="AN319" s="32" t="str">
        <f t="shared" si="1034"/>
        <v>$0 + 0/0/0/1.9/3.9</v>
      </c>
      <c r="AO319" s="32" t="str">
        <f t="shared" si="1035"/>
        <v>0/0/0/1.9/3.9</v>
      </c>
      <c r="AP319" s="32" t="str">
        <f t="shared" si="989"/>
        <v>0/0.9/1.9/3.9</v>
      </c>
      <c r="AQ319" s="536">
        <f t="shared" si="988"/>
        <v>970.25159041828067</v>
      </c>
      <c r="AR319" s="32"/>
      <c r="AS319" s="302"/>
      <c r="AT319" s="3">
        <f t="shared" si="1056"/>
        <v>19</v>
      </c>
      <c r="AU319" s="41" t="s">
        <v>121</v>
      </c>
      <c r="AV319" s="41" t="s">
        <v>116</v>
      </c>
      <c r="AW319" s="41" t="str">
        <f>INDEX(Input!$1:$1048576,AW$93,$C319*2+6)</f>
        <v>Kia</v>
      </c>
      <c r="AX319" s="41" t="str">
        <f>INDEX(Input!$1:$1048576,AX$93,$C319*2+6)</f>
        <v>Kia-LR - L3</v>
      </c>
      <c r="AY319" s="41" t="str">
        <f>IF(LEN(D319)=0,"",INDEX(Input!$1:$1048576,AY$93,$C319*2+6))</f>
        <v>Compact Conventional/Sporty Car (43)</v>
      </c>
      <c r="AZ319" s="41" t="str">
        <f>INDEX(Input!$1:$1048576,AZ$93,$C319*2+6)</f>
        <v>Kia Forte</v>
      </c>
      <c r="BA319" s="3">
        <f>INDEX(Input!$1:$1048576,BA$93,$C319*2+6)</f>
        <v>2020</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19695</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990"/>
        <v>1250</v>
      </c>
      <c r="CJ319" s="16" t="str">
        <f>INDEX(Input!$1:$1048576,CJ$93,$C319*2+6)</f>
        <v>N</v>
      </c>
      <c r="CK319" s="1" t="str">
        <f t="shared" si="991"/>
        <v>Market</v>
      </c>
      <c r="CL319" s="1" t="str">
        <f t="shared" si="992"/>
        <v>Market</v>
      </c>
      <c r="CM319" s="1" t="str">
        <f t="shared" si="993"/>
        <v>Market</v>
      </c>
      <c r="CN319" s="1" t="str">
        <f t="shared" si="994"/>
        <v>Market</v>
      </c>
      <c r="CO319" s="1" t="str">
        <f t="shared" si="995"/>
        <v>Market</v>
      </c>
      <c r="CP319" s="304">
        <f t="shared" si="996"/>
        <v>310</v>
      </c>
      <c r="CQ319" s="1">
        <f t="shared" si="997"/>
        <v>0</v>
      </c>
      <c r="CR319" s="1">
        <f t="shared" si="998"/>
        <v>0</v>
      </c>
      <c r="CS319" s="1">
        <f t="shared" si="999"/>
        <v>0</v>
      </c>
      <c r="CT319" s="1">
        <f t="shared" si="1000"/>
        <v>1.9E-2</v>
      </c>
      <c r="CU319" s="1">
        <f t="shared" si="1001"/>
        <v>3.9000000000000007E-2</v>
      </c>
      <c r="CV319" s="304">
        <f t="shared" si="1002"/>
        <v>5078</v>
      </c>
      <c r="CW319" s="20" t="s">
        <v>122</v>
      </c>
      <c r="CX319" s="20" t="s">
        <v>122</v>
      </c>
      <c r="CY319" s="20" t="s">
        <v>122</v>
      </c>
      <c r="CZ319" s="20" t="s">
        <v>122</v>
      </c>
      <c r="DA319" s="20" t="s">
        <v>122</v>
      </c>
      <c r="DB319" s="503">
        <f t="shared" si="1003"/>
        <v>-500</v>
      </c>
      <c r="DC319" s="127">
        <v>0</v>
      </c>
      <c r="DD319" s="127">
        <v>0</v>
      </c>
      <c r="DE319" s="127">
        <v>0</v>
      </c>
      <c r="DF319" s="127">
        <v>0</v>
      </c>
      <c r="DG319" s="127">
        <v>0</v>
      </c>
      <c r="DH319" s="127">
        <v>0</v>
      </c>
      <c r="DI319" s="127">
        <v>0</v>
      </c>
      <c r="DJ319" s="127">
        <v>0</v>
      </c>
      <c r="DK319" s="127">
        <v>0</v>
      </c>
      <c r="DL319" s="127">
        <v>0</v>
      </c>
      <c r="DM319" s="304">
        <f>INDEX(Input!$1:$1048576,DM$93,$C319*2+6)</f>
        <v>20731.578947368424</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3.2731477337563278E-2</v>
      </c>
      <c r="DZ319" s="7">
        <v>0</v>
      </c>
      <c r="EA319" s="7">
        <v>0.58404749380669596</v>
      </c>
      <c r="EB319" s="7">
        <v>0</v>
      </c>
      <c r="EC319" s="7">
        <v>0</v>
      </c>
      <c r="ED319" s="7">
        <v>0</v>
      </c>
      <c r="EE319" s="7">
        <v>0</v>
      </c>
      <c r="EF319" s="7">
        <v>0</v>
      </c>
      <c r="EG319" s="7">
        <v>0</v>
      </c>
      <c r="EH319" s="7">
        <v>1.4114413480106584E-2</v>
      </c>
      <c r="EI319" s="7">
        <v>1.7904161845253549E-2</v>
      </c>
      <c r="EJ319" s="7">
        <v>0.25702932954541485</v>
      </c>
      <c r="EK319" s="7">
        <v>0.65994749662042385</v>
      </c>
      <c r="EL319" s="7">
        <v>5.1004598508801111E-2</v>
      </c>
      <c r="EM319" s="7">
        <v>4.645218417576253E-2</v>
      </c>
      <c r="EN319" s="7">
        <v>5.8134848412732823E-2</v>
      </c>
      <c r="EO319" s="7">
        <v>0.56883258732112107</v>
      </c>
      <c r="EP319" s="7">
        <v>0.27296542120283629</v>
      </c>
      <c r="EQ319" s="7">
        <v>5.940317855241363E-2</v>
      </c>
      <c r="ER319" s="7">
        <v>4.0663964510896128E-2</v>
      </c>
      <c r="ES319" s="7">
        <v>0.33676884467997814</v>
      </c>
      <c r="ET319" s="7">
        <v>0.38322102885574072</v>
      </c>
      <c r="EU319" s="6">
        <v>1100</v>
      </c>
      <c r="EV319" s="6">
        <v>0</v>
      </c>
      <c r="EW319" s="6">
        <v>1100</v>
      </c>
      <c r="EX319" s="6">
        <v>0</v>
      </c>
      <c r="EY319" s="6">
        <v>2124.4632261492152</v>
      </c>
      <c r="EZ319" s="6">
        <v>3417.5</v>
      </c>
      <c r="FA319" s="6">
        <v>0</v>
      </c>
      <c r="FB319" s="6">
        <v>0</v>
      </c>
      <c r="FC319" s="6">
        <v>0</v>
      </c>
      <c r="FD319" s="6">
        <v>0</v>
      </c>
      <c r="FE319" s="6">
        <v>0</v>
      </c>
      <c r="FF319" s="6">
        <v>0</v>
      </c>
      <c r="FG319" s="6">
        <v>0</v>
      </c>
      <c r="FH319" s="6">
        <v>1154.3292963846818</v>
      </c>
      <c r="FI319" s="6">
        <v>1531.4299904380614</v>
      </c>
      <c r="FJ319" s="6">
        <v>2070.7205842538219</v>
      </c>
      <c r="FK319" s="6">
        <v>1746.9903521590441</v>
      </c>
      <c r="FL319" s="6">
        <v>893.91433563489386</v>
      </c>
      <c r="FM319" s="6">
        <v>1774.463226149215</v>
      </c>
      <c r="FN319" s="6">
        <v>0</v>
      </c>
      <c r="FO319" s="6">
        <v>0</v>
      </c>
      <c r="FP319" s="6">
        <v>0</v>
      </c>
      <c r="FQ319" s="6">
        <v>0</v>
      </c>
      <c r="FR319" s="6">
        <v>0</v>
      </c>
      <c r="FS319" s="6">
        <v>0</v>
      </c>
      <c r="FT319" s="7">
        <v>0.61677897114425928</v>
      </c>
      <c r="FU319" s="7">
        <v>4.645218417576253E-2</v>
      </c>
      <c r="FV319" s="7">
        <v>0.33676884467997814</v>
      </c>
      <c r="FW319" s="6">
        <v>1100</v>
      </c>
      <c r="FX319" s="6">
        <v>2124.4632261492152</v>
      </c>
      <c r="FY319" s="6">
        <v>3417.5</v>
      </c>
      <c r="FZ319" s="6">
        <v>2202.331475193394</v>
      </c>
      <c r="GA319" s="6">
        <v>1928.0503520082284</v>
      </c>
      <c r="GB319" s="6">
        <v>17766.949647991773</v>
      </c>
      <c r="GC319" s="7">
        <v>4.8391397220736806E-2</v>
      </c>
      <c r="GD319" s="7">
        <v>4.6217690826702247E-2</v>
      </c>
      <c r="GE319" s="7"/>
      <c r="GF319" s="7"/>
      <c r="GG319" s="7">
        <v>-4.4919273236092405E-2</v>
      </c>
      <c r="GH319" s="42">
        <v>3.2254683665838506</v>
      </c>
      <c r="GI319" s="6">
        <v>8034.1403090643953</v>
      </c>
      <c r="GJ319" s="14">
        <v>0.5107463060103955</v>
      </c>
      <c r="GK319" s="14">
        <v>0.50829519786160959</v>
      </c>
      <c r="GL319" s="14">
        <v>0.48925369398960433</v>
      </c>
      <c r="GM319" s="14">
        <v>0.49170480213839024</v>
      </c>
      <c r="GO319" s="5">
        <v>338.16872463277008</v>
      </c>
      <c r="GP319" s="5">
        <v>317.18282312950942</v>
      </c>
      <c r="GQ319" s="5">
        <v>527.27910984145694</v>
      </c>
      <c r="GR319" s="5">
        <v>404.20319246551543</v>
      </c>
      <c r="GS319" s="5">
        <v>334.50205195691484</v>
      </c>
      <c r="GT319" s="5">
        <v>289.18266033348181</v>
      </c>
      <c r="GU319" s="5">
        <v>254.29573314828914</v>
      </c>
      <c r="GV319" s="39" t="s">
        <v>392</v>
      </c>
      <c r="GW319" s="5">
        <v>482.65277777777777</v>
      </c>
      <c r="GX319" s="5">
        <v>361.98958333333331</v>
      </c>
      <c r="GY319" s="5">
        <v>289.59166666666664</v>
      </c>
      <c r="GZ319" s="5">
        <v>255.53408606924114</v>
      </c>
      <c r="HA319" s="5">
        <v>236.70336205047303</v>
      </c>
      <c r="HB319" s="39">
        <v>268.43907323409741</v>
      </c>
      <c r="HC319" s="5">
        <v>133.59999999999997</v>
      </c>
      <c r="HD319" s="5">
        <v>134.27525584795316</v>
      </c>
      <c r="HE319" s="5">
        <v>142.718286099865</v>
      </c>
      <c r="HF319" s="5">
        <v>138.67348684210526</v>
      </c>
      <c r="HG319" s="5">
        <v>142.07285087719299</v>
      </c>
      <c r="HH319" s="39">
        <v>137.11900528913372</v>
      </c>
      <c r="HI319" s="16"/>
      <c r="HJ319" s="19" t="str">
        <f t="shared" ref="HJ319:HK319" si="1092">HJ318</f>
        <v>On</v>
      </c>
      <c r="HK319" s="1" t="str">
        <f t="shared" si="1092"/>
        <v>On</v>
      </c>
      <c r="HL319" s="16"/>
      <c r="HM319" s="639">
        <f t="shared" si="1004"/>
        <v>2.8970655363290673E-2</v>
      </c>
      <c r="HN319" s="639">
        <f t="shared" si="1005"/>
        <v>2.1835179285533651E-3</v>
      </c>
      <c r="HO319" s="639">
        <f t="shared" si="1006"/>
        <v>1.5544129749146325E-2</v>
      </c>
      <c r="HP319" s="644">
        <f>(FT319*$GD319-HM319)/$JF319*INDEX(Input!$1:$1048576,$JG$93,$C319*2+6)</f>
        <v>-19.159882969595497</v>
      </c>
      <c r="HQ319" s="644">
        <f>(FU319*$GD319-HN319)/$JF319*INDEX(Input!$1:$1048576,$JG$93,$C319*2+6)</f>
        <v>-1.5097271566618151</v>
      </c>
      <c r="HR319" s="644">
        <f>(FV319*$GD319-HO319)/$JF319*INDEX(Input!$1:$1048576,$JG$93,$C319*2+6)</f>
        <v>0.84749530751543134</v>
      </c>
      <c r="HS319" s="644">
        <f t="shared" ref="HS319" si="1093">IF(AND(HJ319="On",HK319="On"),IL319/1000*INDEX(KG:KG,MATCH(C319*1000+3,$KF:$KF,0))*SUM(HY319:IA319)*1.1
+INDEX(HR:HR,MATCH(C319*1000+4,$KF:$KF,0))/INDEX(IM:IM,MATCH(C319*1000+4,$KF:$KF,0))*IM319*20%,0)</f>
        <v>7.0199518890094428</v>
      </c>
      <c r="HT319" s="644">
        <f t="shared" si="1008"/>
        <v>-13.294710788407825</v>
      </c>
      <c r="HU319" s="644">
        <f t="shared" si="1009"/>
        <v>-4.5206543329449529</v>
      </c>
      <c r="HV319" s="648">
        <f t="shared" si="1010"/>
        <v>0</v>
      </c>
      <c r="HW319" s="648">
        <f t="shared" si="1011"/>
        <v>0</v>
      </c>
      <c r="HX319" s="648">
        <f t="shared" si="1012"/>
        <v>0</v>
      </c>
      <c r="HY319" s="644">
        <f>INDEX(Input!$1:$1048576,HY$93,$C319*2+6)*INDEX(Input!$1:$1048576,$JG$93,$C319*2+6)</f>
        <v>488.99999999999994</v>
      </c>
      <c r="HZ319" s="644">
        <f>INDEX(Input!$1:$1048576,HZ$93,$C319*2+6)*INDEX(Input!$1:$1048576,$JG$93,$C319*2+6)</f>
        <v>734</v>
      </c>
      <c r="IA319" s="644">
        <f>INDEX(Input!$1:$1048576,IA$93,$C319*2+6)*INDEX(Input!$1:$1048576,$JG$93,$C319*2+6)</f>
        <v>703</v>
      </c>
      <c r="IB319" s="644">
        <f t="shared" si="1036"/>
        <v>476.86006891941383</v>
      </c>
      <c r="IC319" s="644">
        <f t="shared" si="1037"/>
        <v>719.19556205493041</v>
      </c>
      <c r="ID319" s="644">
        <f>IF(AND(INDEX(Input!$1:$1048576,IA$93,$C319*2+7)="TOS",Y319&lt;=INDEX(Y:Y,MATCH(C319*1000+2,A:A))),0,1)*MAX(IA319+HR319+HU319+HX319,0%)</f>
        <v>699.32684097457059</v>
      </c>
      <c r="IE319" s="128">
        <f t="shared" ref="IE319" si="1094">IB319/SUM($IB319:$ID319)</f>
        <v>0.25159041828063627</v>
      </c>
      <c r="IF319" s="128">
        <f t="shared" ref="IF319" si="1095">IC319/SUM($IB319:$ID319)</f>
        <v>0.37944613960443679</v>
      </c>
      <c r="IG319" s="128">
        <f t="shared" si="1014"/>
        <v>0.36896344211492693</v>
      </c>
      <c r="IH319" s="21"/>
      <c r="II319" s="19">
        <f t="shared" si="1015"/>
        <v>1200</v>
      </c>
      <c r="IJ319" s="19">
        <f t="shared" si="1016"/>
        <v>2224.493581030405</v>
      </c>
      <c r="IK319" s="19">
        <f t="shared" si="1017"/>
        <v>3451.75</v>
      </c>
      <c r="IL319" s="19">
        <f t="shared" si="1039"/>
        <v>-100</v>
      </c>
      <c r="IM319" s="19">
        <f t="shared" si="1018"/>
        <v>-100.03035488118985</v>
      </c>
      <c r="IN319" s="19">
        <f t="shared" si="1019"/>
        <v>-34.25</v>
      </c>
      <c r="IO319" s="39">
        <f t="shared" si="1020"/>
        <v>0</v>
      </c>
      <c r="IP319" s="39">
        <f t="shared" si="1021"/>
        <v>0</v>
      </c>
      <c r="IQ319" s="39">
        <f t="shared" si="1022"/>
        <v>0</v>
      </c>
      <c r="IR319" s="39">
        <v>0</v>
      </c>
      <c r="IS319" s="39">
        <v>0</v>
      </c>
      <c r="IT319" s="39">
        <v>0</v>
      </c>
      <c r="IU319" s="39">
        <v>0</v>
      </c>
      <c r="IV319" s="39">
        <v>0</v>
      </c>
      <c r="IW319" s="39">
        <v>0</v>
      </c>
      <c r="IX319" s="39">
        <f>INDEX(Input!$1:$1048576,IX$93,$C319*2+6)+INDEX(Input!$1:$1048576,IX$94,$C319*2+6)</f>
        <v>1600</v>
      </c>
      <c r="IY319" s="39">
        <f>INDEX(Input!$1:$1048576,IY$93,$C319*2+6)+INDEX(Input!$1:$1048576,IY$94,$C319*2+6)</f>
        <v>2503.5492916397525</v>
      </c>
      <c r="IZ319" s="39">
        <f>INDEX(Input!$1:$1048576,IZ$93,$C319*2+6)+INDEX(Input!$1:$1048576,IZ$94,$C319*2+6)</f>
        <v>5773.7109265464023</v>
      </c>
      <c r="JA319" s="19">
        <f t="shared" si="1040"/>
        <v>1500</v>
      </c>
      <c r="JB319" s="19">
        <f t="shared" si="1041"/>
        <v>2403.5189367585626</v>
      </c>
      <c r="JC319" s="19">
        <f t="shared" si="1042"/>
        <v>5739.4609265464023</v>
      </c>
      <c r="JD319" s="19">
        <f t="shared" si="1043"/>
        <v>3407.0428687828398</v>
      </c>
      <c r="JE319" s="21"/>
      <c r="JF319" s="1">
        <f t="shared" si="1023"/>
        <v>4.6698303040990354E-2</v>
      </c>
      <c r="JG319" s="15">
        <f>INDEX(Input!$1:$1048576,JG$93,$C319*2+6)/(1+VLOOKUP(C319*1000+INDEX(Input!$1:$1048576,JG$93+1,$C319*2+6),$A:$KK,$JK$92,FALSE))</f>
        <v>1926</v>
      </c>
      <c r="JH319" s="1">
        <f t="shared" si="1044"/>
        <v>-1.0291856084497342E-2</v>
      </c>
      <c r="JI319" s="1">
        <f t="shared" si="1045"/>
        <v>-5.6050951362114926E-3</v>
      </c>
      <c r="JJ319" s="1">
        <f t="shared" ref="JJ319" si="1096">SUM(HV319:HX319)/SUM(HY319:IA319)</f>
        <v>0</v>
      </c>
      <c r="JK319" s="1">
        <f t="shared" ref="JK319" si="1097">SUM(JH319:JJ319)</f>
        <v>-1.5896951220708833E-2</v>
      </c>
      <c r="JL319" s="15">
        <f t="shared" si="1048"/>
        <v>-30.617528051085213</v>
      </c>
      <c r="JM319" s="15">
        <f t="shared" si="1074"/>
        <v>1895.3824719489148</v>
      </c>
      <c r="JN319" s="21"/>
      <c r="JO319" s="19">
        <f>INDEX(Input!$1:$1048576,JO$93,$C319*2+6)</f>
        <v>5908.5</v>
      </c>
      <c r="JP319" s="19">
        <f>INDEX(Input!$1:$1048576,JP$93,$C319*2+6)</f>
        <v>3467.7694503767912</v>
      </c>
      <c r="JQ319" s="39">
        <f t="shared" si="1060"/>
        <v>2501.4571312171602</v>
      </c>
      <c r="JR319" s="39">
        <f t="shared" si="1077"/>
        <v>-60.726581593951323</v>
      </c>
      <c r="JS319" s="39">
        <f t="shared" si="1062"/>
        <v>6.4576493346695418</v>
      </c>
      <c r="JT319" s="39">
        <f t="shared" si="1050"/>
        <v>-0.22127462675615867</v>
      </c>
      <c r="JU319" s="385">
        <f>(JQ319*JM319-INDEX(Input!$1:$1048576,Input!A$18,$C319*2+6)*JL319*INDEX(Input!$1:$1048576,Input!A$19,$C319*2+6))/1000000</f>
        <v>4.7412180008406217</v>
      </c>
      <c r="JV319" s="39">
        <f t="shared" si="1084"/>
        <v>4.0370962266321975E-2</v>
      </c>
      <c r="JW319" s="1">
        <f t="shared" si="1075"/>
        <v>8.5880186985547845E-3</v>
      </c>
      <c r="JX319" s="19">
        <f t="shared" si="1066"/>
        <v>7227.0572068052952</v>
      </c>
      <c r="JZ319" s="341"/>
      <c r="KA319" s="342"/>
      <c r="KB319" s="469">
        <f t="shared" si="1063"/>
        <v>2.7822247002359868</v>
      </c>
      <c r="KI319" s="473">
        <f t="shared" si="1090"/>
        <v>-12.139931080586109</v>
      </c>
      <c r="KJ319" s="473">
        <f t="shared" si="1091"/>
        <v>-14.804437945069594</v>
      </c>
      <c r="KK319" s="473">
        <f t="shared" si="1052"/>
        <v>-3.6731590254294133</v>
      </c>
      <c r="KN319" s="544">
        <f t="shared" si="1067"/>
        <v>3002</v>
      </c>
      <c r="KO319" s="541">
        <f t="shared" si="1027"/>
        <v>-7.9944513171285259E-2</v>
      </c>
      <c r="KP319" s="546">
        <f t="shared" si="1028"/>
        <v>-396.18607673494569</v>
      </c>
      <c r="KQ319" s="546">
        <f t="shared" si="1029"/>
        <v>-314.03834954253307</v>
      </c>
      <c r="KR319" s="548">
        <f t="shared" si="1030"/>
        <v>3.2233014621888847</v>
      </c>
      <c r="KS319" s="548">
        <f t="shared" si="1031"/>
        <v>4.0664688319082787</v>
      </c>
      <c r="KT319" s="473">
        <f t="shared" si="1065"/>
        <v>527.01264777847621</v>
      </c>
      <c r="KU319" s="663">
        <f t="shared" si="1053"/>
        <v>15.009332799580351</v>
      </c>
      <c r="KV319" s="117"/>
    </row>
    <row r="320" spans="1:308" s="26" customFormat="1" ht="15">
      <c r="A320" s="561">
        <f t="shared" si="1032"/>
        <v>3020</v>
      </c>
      <c r="B320" s="561">
        <f t="shared" si="1054"/>
        <v>20</v>
      </c>
      <c r="C320" s="561">
        <f t="shared" si="1055"/>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0.9/1.9/2.9/3.9, </v>
      </c>
      <c r="E320" s="475">
        <f>INDEX(Input!$1:$1048576,E$93,$C320*2+MIN($B320,2)+5)</f>
        <v>1250</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IFERROR(MAX(0,INDEX(Input!$1:$1048576,U$93,$C320*2+MIN($B320,2)+5)+0.9%,),"Market")</f>
        <v>9.0000000000000011E-3</v>
      </c>
      <c r="V320" s="478">
        <f>IFERROR(MAX(0,INDEX(Input!$1:$1048576,V$93,$C320*2+MIN($B320,2)+5)+1%,),"Market")</f>
        <v>2.8999999999999998E-2</v>
      </c>
      <c r="W320" s="478">
        <f>IFERROR(MAX(0,INDEX(Input!$1:$1048576,W$93,$C320*2+MIN($B320,2)+5)+0%,),"Market")</f>
        <v>3.9000000000000007E-2</v>
      </c>
      <c r="X320" s="476" t="str">
        <f>INDEX(Input!$1:$1048576,X$93,$C320*2+MIN($B320,2)+5)</f>
        <v>Y</v>
      </c>
      <c r="Y320" s="475">
        <f>INDEX(Input!$1:$1048576,Y$93,$C320*2+MIN($B320,2)+5)</f>
        <v>4108</v>
      </c>
      <c r="Z320" s="477">
        <f>INDEX(Input!$1:$1048576,Z$93,$C320*2+MIN($B320,2)+5)</f>
        <v>0</v>
      </c>
      <c r="AA320" s="475">
        <f>INDEX(Input!$1:$1048576,AA$93,$C320*2+MIN($B320,2)+5)</f>
        <v>500</v>
      </c>
      <c r="AB320" s="476">
        <f>INDEX(Input!$1:$1048576,AB$93,$C320*2+MIN($B320,2)+5)</f>
        <v>0.62</v>
      </c>
      <c r="AC320" s="475">
        <f>INDEX(Input!$1:$1048576,AC$93,$C320*2+MIN($B320,2)+5)</f>
        <v>0</v>
      </c>
      <c r="AD320" s="476">
        <f>INDEX(Input!$1:$1048576,AD$93,$C320*2+MIN($B320,2)+5)</f>
        <v>0.35</v>
      </c>
      <c r="AE320" s="475">
        <f>INDEX(Input!$1:$1048576,AE$93,$C320*2+MIN($B320,2)+5)</f>
        <v>500</v>
      </c>
      <c r="AF320" s="476">
        <f>INDEX(Input!$1:$1048576,AF$93,$C320*2+MIN($B320,2)+5)</f>
        <v>0.97</v>
      </c>
      <c r="AG320" s="475">
        <f>INDEX(Input!$1:$1048576,AG$93,$C320*2+MIN($B320,2)+5)</f>
        <v>0</v>
      </c>
      <c r="AH320" s="476">
        <f>INDEX(Input!$1:$1048576,AH$93,$C320*2+MIN($B320,2)+5)</f>
        <v>1</v>
      </c>
      <c r="AI320" s="475">
        <f>INDEX(Input!$1:$1048576,AI$93,$C320*2+MIN($B320,2)+5)</f>
        <v>0</v>
      </c>
      <c r="AJ320" s="476">
        <f>INDEX(Input!$1:$1048576,AJ$93,$C320*2+MIN($B320,2)+5)</f>
        <v>0.35</v>
      </c>
      <c r="AK320" s="150">
        <f>ROUND(INDEX(Input!$1:$1048576,AK$93,$C319*2+MIN($B320,1)+5)+(Y320-VLOOKUP($C320*1000+1,$A:$HH,Y$92,FALSE)),0)</f>
        <v>4982</v>
      </c>
      <c r="AL320" s="150">
        <f>ROUND(INDEX(Input!$1:$1048576,AL$93,$C319*2+MIN($B320,1)+5)-(Y320-VLOOKUP($C320*1000+1,$A:$HH,Y$92,FALSE))/36,0)</f>
        <v>5102</v>
      </c>
      <c r="AM320" s="32" t="str">
        <f t="shared" si="1033"/>
        <v>std/std/std/std</v>
      </c>
      <c r="AN320" s="32" t="str">
        <f t="shared" si="1034"/>
        <v>$0 + 0/0/0.9/2.9/3.9</v>
      </c>
      <c r="AO320" s="32" t="str">
        <f t="shared" si="1035"/>
        <v>0/0/0.9/2.9/3.9</v>
      </c>
      <c r="AP320" s="32" t="str">
        <f t="shared" si="989"/>
        <v>0.9/1.9/2.9/3.9</v>
      </c>
      <c r="AQ320" s="536">
        <f t="shared" si="988"/>
        <v>485.27533546454856</v>
      </c>
      <c r="AR320" s="32"/>
      <c r="AS320" s="302"/>
      <c r="AT320" s="3">
        <f t="shared" si="1056"/>
        <v>20</v>
      </c>
      <c r="AU320" s="41" t="s">
        <v>121</v>
      </c>
      <c r="AV320" s="41" t="s">
        <v>116</v>
      </c>
      <c r="AW320" s="41" t="str">
        <f>INDEX(Input!$1:$1048576,AW$93,$C320*2+6)</f>
        <v>Kia</v>
      </c>
      <c r="AX320" s="41" t="str">
        <f>INDEX(Input!$1:$1048576,AX$93,$C320*2+6)</f>
        <v>Kia-LR - L3</v>
      </c>
      <c r="AY320" s="41" t="str">
        <f>IF(LEN(D320)=0,"",INDEX(Input!$1:$1048576,AY$93,$C320*2+6))</f>
        <v>Compact Conventional/Sporty Car (43)</v>
      </c>
      <c r="AZ320" s="41" t="str">
        <f>INDEX(Input!$1:$1048576,AZ$93,$C320*2+6)</f>
        <v>Kia Forte</v>
      </c>
      <c r="BA320" s="3">
        <f>INDEX(Input!$1:$1048576,BA$93,$C320*2+6)</f>
        <v>2020</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19695</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990"/>
        <v>1250</v>
      </c>
      <c r="CJ320" s="16" t="str">
        <f>INDEX(Input!$1:$1048576,CJ$93,$C320*2+6)</f>
        <v>N</v>
      </c>
      <c r="CK320" s="1" t="str">
        <f t="shared" si="991"/>
        <v>Market</v>
      </c>
      <c r="CL320" s="1" t="str">
        <f t="shared" si="992"/>
        <v>Market</v>
      </c>
      <c r="CM320" s="1" t="str">
        <f t="shared" si="993"/>
        <v>Market</v>
      </c>
      <c r="CN320" s="1" t="str">
        <f t="shared" si="994"/>
        <v>Market</v>
      </c>
      <c r="CO320" s="1" t="str">
        <f t="shared" si="995"/>
        <v>Market</v>
      </c>
      <c r="CP320" s="304">
        <f t="shared" si="996"/>
        <v>310</v>
      </c>
      <c r="CQ320" s="1">
        <f t="shared" si="997"/>
        <v>0</v>
      </c>
      <c r="CR320" s="1">
        <f t="shared" si="998"/>
        <v>0</v>
      </c>
      <c r="CS320" s="1">
        <f t="shared" si="999"/>
        <v>9.0000000000000011E-3</v>
      </c>
      <c r="CT320" s="1">
        <f t="shared" si="1000"/>
        <v>2.8999999999999998E-2</v>
      </c>
      <c r="CU320" s="1">
        <f t="shared" si="1001"/>
        <v>3.9000000000000007E-2</v>
      </c>
      <c r="CV320" s="304">
        <f t="shared" si="1002"/>
        <v>4593</v>
      </c>
      <c r="CW320" s="20" t="s">
        <v>122</v>
      </c>
      <c r="CX320" s="20" t="s">
        <v>122</v>
      </c>
      <c r="CY320" s="20" t="s">
        <v>122</v>
      </c>
      <c r="CZ320" s="20" t="s">
        <v>122</v>
      </c>
      <c r="DA320" s="20" t="s">
        <v>122</v>
      </c>
      <c r="DB320" s="503">
        <f t="shared" si="1003"/>
        <v>0</v>
      </c>
      <c r="DC320" s="127">
        <v>0</v>
      </c>
      <c r="DD320" s="127">
        <v>0</v>
      </c>
      <c r="DE320" s="127">
        <v>0</v>
      </c>
      <c r="DF320" s="127">
        <v>0</v>
      </c>
      <c r="DG320" s="127">
        <v>0</v>
      </c>
      <c r="DH320" s="127">
        <v>0</v>
      </c>
      <c r="DI320" s="127">
        <v>0</v>
      </c>
      <c r="DJ320" s="127">
        <v>0</v>
      </c>
      <c r="DK320" s="127">
        <v>0</v>
      </c>
      <c r="DL320" s="127">
        <v>0</v>
      </c>
      <c r="DM320" s="304">
        <f>INDEX(Input!$1:$1048576,DM$93,$C320*2+6)</f>
        <v>20731.578947368424</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3.4302905849439257E-2</v>
      </c>
      <c r="DZ320" s="7">
        <v>0</v>
      </c>
      <c r="EA320" s="7">
        <v>0.6065094403764073</v>
      </c>
      <c r="EB320" s="7">
        <v>0</v>
      </c>
      <c r="EC320" s="7">
        <v>0</v>
      </c>
      <c r="ED320" s="7">
        <v>0</v>
      </c>
      <c r="EE320" s="7">
        <v>0</v>
      </c>
      <c r="EF320" s="7">
        <v>0</v>
      </c>
      <c r="EG320" s="7">
        <v>0</v>
      </c>
      <c r="EH320" s="7">
        <v>2.081256345737461E-2</v>
      </c>
      <c r="EI320" s="7">
        <v>2.6379124500431943E-2</v>
      </c>
      <c r="EJ320" s="7">
        <v>0.27739614379009481</v>
      </c>
      <c r="EK320" s="7">
        <v>0.6003898910751394</v>
      </c>
      <c r="EL320" s="7">
        <v>7.5022277176959085E-2</v>
      </c>
      <c r="EM320" s="7">
        <v>3.2932916159948838E-2</v>
      </c>
      <c r="EN320" s="7">
        <v>5.8903840649550725E-2</v>
      </c>
      <c r="EO320" s="7">
        <v>0.5680644908961251</v>
      </c>
      <c r="EP320" s="7">
        <v>0.27410709591931876</v>
      </c>
      <c r="EQ320" s="7">
        <v>5.8713575146425341E-2</v>
      </c>
      <c r="ER320" s="7">
        <v>4.021099738858025E-2</v>
      </c>
      <c r="ES320" s="7">
        <v>0.32625473761420454</v>
      </c>
      <c r="ET320" s="7">
        <v>0.35918765377415346</v>
      </c>
      <c r="EU320" s="6">
        <v>1600</v>
      </c>
      <c r="EV320" s="6">
        <v>0</v>
      </c>
      <c r="EW320" s="6">
        <v>1600</v>
      </c>
      <c r="EX320" s="6">
        <v>0</v>
      </c>
      <c r="EY320" s="6">
        <v>2216.1143154349702</v>
      </c>
      <c r="EZ320" s="6">
        <v>3636</v>
      </c>
      <c r="FA320" s="6">
        <v>0</v>
      </c>
      <c r="FB320" s="6">
        <v>0</v>
      </c>
      <c r="FC320" s="6">
        <v>0</v>
      </c>
      <c r="FD320" s="6">
        <v>0</v>
      </c>
      <c r="FE320" s="6">
        <v>0</v>
      </c>
      <c r="FF320" s="6">
        <v>0</v>
      </c>
      <c r="FG320" s="6">
        <v>0</v>
      </c>
      <c r="FH320" s="6">
        <v>1154.3268921318847</v>
      </c>
      <c r="FI320" s="6">
        <v>1531.4299904380618</v>
      </c>
      <c r="FJ320" s="6">
        <v>1709.9775738488449</v>
      </c>
      <c r="FK320" s="6">
        <v>1266.3227157028191</v>
      </c>
      <c r="FL320" s="6">
        <v>893.91433563489352</v>
      </c>
      <c r="FM320" s="6">
        <v>1366.1143154349702</v>
      </c>
      <c r="FN320" s="6">
        <v>0</v>
      </c>
      <c r="FO320" s="6">
        <v>0</v>
      </c>
      <c r="FP320" s="6">
        <v>0</v>
      </c>
      <c r="FQ320" s="6">
        <v>0</v>
      </c>
      <c r="FR320" s="6">
        <v>0</v>
      </c>
      <c r="FS320" s="6">
        <v>0</v>
      </c>
      <c r="FT320" s="7">
        <v>0.6408123462258466</v>
      </c>
      <c r="FU320" s="7">
        <v>3.2932916159948838E-2</v>
      </c>
      <c r="FV320" s="7">
        <v>0.32625473761420454</v>
      </c>
      <c r="FW320" s="6">
        <v>1599.9999999999995</v>
      </c>
      <c r="FX320" s="6">
        <v>2216.1143154349702</v>
      </c>
      <c r="FY320" s="6">
        <v>3636</v>
      </c>
      <c r="FZ320" s="6">
        <v>2202.331475193394</v>
      </c>
      <c r="GA320" s="6">
        <v>2284.5450868776843</v>
      </c>
      <c r="GB320" s="6">
        <v>17410.454913122318</v>
      </c>
      <c r="GC320" s="7">
        <v>4.8391397220736806E-2</v>
      </c>
      <c r="GD320" s="7">
        <v>4.8449776974976017E-2</v>
      </c>
      <c r="GE320" s="7"/>
      <c r="GF320" s="7"/>
      <c r="GG320" s="7">
        <v>1.2064077003792939E-3</v>
      </c>
      <c r="GH320" s="42">
        <v>0.28900566672842554</v>
      </c>
      <c r="GI320" s="6">
        <v>70431.997775087788</v>
      </c>
      <c r="GJ320" s="14">
        <v>0.5107463060103955</v>
      </c>
      <c r="GK320" s="14">
        <v>0.50829519786160959</v>
      </c>
      <c r="GL320" s="14">
        <v>0.48925369398960455</v>
      </c>
      <c r="GM320" s="14">
        <v>0.49170480213839035</v>
      </c>
      <c r="GO320" s="5">
        <v>338.16872463277008</v>
      </c>
      <c r="GP320" s="5">
        <v>307.64377699166363</v>
      </c>
      <c r="GQ320" s="5">
        <v>527.27910984145694</v>
      </c>
      <c r="GR320" s="5">
        <v>404.20319246551543</v>
      </c>
      <c r="GS320" s="5">
        <v>334.50205195691484</v>
      </c>
      <c r="GT320" s="5">
        <v>289.18266033348181</v>
      </c>
      <c r="GU320" s="5">
        <v>254.29573314828914</v>
      </c>
      <c r="GV320" s="39" t="s">
        <v>392</v>
      </c>
      <c r="GW320" s="5">
        <v>468.76388888888891</v>
      </c>
      <c r="GX320" s="5">
        <v>351.57291666666669</v>
      </c>
      <c r="GY320" s="5">
        <v>287.73954748358943</v>
      </c>
      <c r="GZ320" s="5">
        <v>255.64660634518972</v>
      </c>
      <c r="HA320" s="5">
        <v>229.8919505212948</v>
      </c>
      <c r="HB320" s="39">
        <v>269.58286058168812</v>
      </c>
      <c r="HC320" s="5">
        <v>124.04062499999996</v>
      </c>
      <c r="HD320" s="5">
        <v>127.75060307017539</v>
      </c>
      <c r="HE320" s="5">
        <v>136.66051366396758</v>
      </c>
      <c r="HF320" s="5">
        <v>133.62067434210525</v>
      </c>
      <c r="HG320" s="5">
        <v>137.88493421052632</v>
      </c>
      <c r="HH320" s="39">
        <v>130.72650526464059</v>
      </c>
      <c r="HI320" s="16"/>
      <c r="HJ320" s="19" t="str">
        <f t="shared" ref="HJ320:HK320" si="1098">HJ319</f>
        <v>On</v>
      </c>
      <c r="HK320" s="1" t="str">
        <f t="shared" si="1098"/>
        <v>On</v>
      </c>
      <c r="HL320" s="16"/>
      <c r="HM320" s="639">
        <f t="shared" si="1004"/>
        <v>2.8970655363290673E-2</v>
      </c>
      <c r="HN320" s="639">
        <f t="shared" si="1005"/>
        <v>2.1835179285533651E-3</v>
      </c>
      <c r="HO320" s="639">
        <f t="shared" si="1006"/>
        <v>1.5544129749146325E-2</v>
      </c>
      <c r="HP320" s="644">
        <f>(FT320*$GD320-HM320)/$JF320*INDEX(Input!$1:$1048576,$JG$93,$C320*2+6)</f>
        <v>85.644533006837008</v>
      </c>
      <c r="HQ320" s="644">
        <f>(FU320*$GD320-HN320)/$JF320*INDEX(Input!$1:$1048576,$JG$93,$C320*2+6)</f>
        <v>-24.248086360181688</v>
      </c>
      <c r="HR320" s="644">
        <f>(FV320*$GD320-HO320)/$JF320*INDEX(Input!$1:$1048576,$JG$93,$C320*2+6)</f>
        <v>10.840413735516385</v>
      </c>
      <c r="HS320" s="644">
        <f t="shared" ref="HS320" si="1099">IF(AND(HJ320="On",HK320="On"),IL320/1000*INDEX(KG:KG,MATCH(C320*1000+3,$KF:$KF,0))*SUM(HY320:IA320)*1.1
+INDEX(HR:HR,MATCH(C320*1000+4,$KF:$KF,0))/INDEX(IM:IM,MATCH(C320*1000+4,$KF:$KF,0))*IM320*20%,0)</f>
        <v>-27.658882364494985</v>
      </c>
      <c r="HT320" s="644">
        <f t="shared" si="1008"/>
        <v>-6.0508286278766468</v>
      </c>
      <c r="HU320" s="644">
        <f t="shared" si="1009"/>
        <v>22.088165637624556</v>
      </c>
      <c r="HV320" s="648">
        <f t="shared" si="1010"/>
        <v>0</v>
      </c>
      <c r="HW320" s="648">
        <f t="shared" si="1011"/>
        <v>0</v>
      </c>
      <c r="HX320" s="648">
        <f t="shared" si="1012"/>
        <v>0</v>
      </c>
      <c r="HY320" s="644">
        <f>INDEX(Input!$1:$1048576,HY$93,$C320*2+6)*INDEX(Input!$1:$1048576,$JG$93,$C320*2+6)</f>
        <v>488.99999999999994</v>
      </c>
      <c r="HZ320" s="644">
        <f>INDEX(Input!$1:$1048576,HZ$93,$C320*2+6)*INDEX(Input!$1:$1048576,$JG$93,$C320*2+6)</f>
        <v>734</v>
      </c>
      <c r="IA320" s="644">
        <f>INDEX(Input!$1:$1048576,IA$93,$C320*2+6)*INDEX(Input!$1:$1048576,$JG$93,$C320*2+6)</f>
        <v>703</v>
      </c>
      <c r="IB320" s="644">
        <f t="shared" si="1036"/>
        <v>546.98565064234174</v>
      </c>
      <c r="IC320" s="644">
        <f t="shared" si="1037"/>
        <v>703.7010850119417</v>
      </c>
      <c r="ID320" s="644">
        <f>IF(AND(INDEX(Input!$1:$1048576,IA$93,$C320*2+7)="TOS",Y320&lt;=INDEX(Y:Y,MATCH(C320*1000+2,A:A))),0,1)*MAX(IA320+HR320+HU320+HX320,0%)</f>
        <v>735.92857937314091</v>
      </c>
      <c r="IE320" s="128">
        <f t="shared" ref="IE320" si="1100">IB320/SUM($IB320:$ID320)</f>
        <v>0.2753354645485509</v>
      </c>
      <c r="IF320" s="128">
        <f t="shared" ref="IF320" si="1101">IC320/SUM($IB320:$ID320)</f>
        <v>0.35422111150000241</v>
      </c>
      <c r="IG320" s="128">
        <f t="shared" si="1014"/>
        <v>0.37044342395144664</v>
      </c>
      <c r="IH320" s="21"/>
      <c r="II320" s="19">
        <f t="shared" si="1015"/>
        <v>1200</v>
      </c>
      <c r="IJ320" s="19">
        <f t="shared" si="1016"/>
        <v>2224.493581030405</v>
      </c>
      <c r="IK320" s="19">
        <f t="shared" si="1017"/>
        <v>3451.75</v>
      </c>
      <c r="IL320" s="19">
        <f t="shared" si="1039"/>
        <v>399.99999999999955</v>
      </c>
      <c r="IM320" s="19">
        <f t="shared" si="1018"/>
        <v>-8.3792655954348447</v>
      </c>
      <c r="IN320" s="19">
        <f t="shared" si="1019"/>
        <v>184.25</v>
      </c>
      <c r="IO320" s="39">
        <f t="shared" si="1020"/>
        <v>0</v>
      </c>
      <c r="IP320" s="39">
        <f t="shared" si="1021"/>
        <v>0</v>
      </c>
      <c r="IQ320" s="39">
        <f t="shared" si="1022"/>
        <v>0</v>
      </c>
      <c r="IR320" s="39">
        <v>0</v>
      </c>
      <c r="IS320" s="39">
        <v>0</v>
      </c>
      <c r="IT320" s="39">
        <v>0</v>
      </c>
      <c r="IU320" s="39">
        <v>0</v>
      </c>
      <c r="IV320" s="39">
        <v>0</v>
      </c>
      <c r="IW320" s="39">
        <v>0</v>
      </c>
      <c r="IX320" s="39">
        <f>INDEX(Input!$1:$1048576,IX$93,$C320*2+6)+INDEX(Input!$1:$1048576,IX$94,$C320*2+6)</f>
        <v>1600</v>
      </c>
      <c r="IY320" s="39">
        <f>INDEX(Input!$1:$1048576,IY$93,$C320*2+6)+INDEX(Input!$1:$1048576,IY$94,$C320*2+6)</f>
        <v>2503.5492916397525</v>
      </c>
      <c r="IZ320" s="39">
        <f>INDEX(Input!$1:$1048576,IZ$93,$C320*2+6)+INDEX(Input!$1:$1048576,IZ$94,$C320*2+6)</f>
        <v>5773.7109265464023</v>
      </c>
      <c r="JA320" s="19">
        <f t="shared" si="1040"/>
        <v>1999.9999999999995</v>
      </c>
      <c r="JB320" s="19">
        <f t="shared" si="1041"/>
        <v>2495.1700260443176</v>
      </c>
      <c r="JC320" s="19">
        <f t="shared" si="1042"/>
        <v>5957.9609265464023</v>
      </c>
      <c r="JD320" s="19">
        <f t="shared" si="1043"/>
        <v>3641.6002745027927</v>
      </c>
      <c r="JE320" s="21"/>
      <c r="JF320" s="1">
        <f t="shared" si="1023"/>
        <v>4.6698303040990354E-2</v>
      </c>
      <c r="JG320" s="15">
        <f>INDEX(Input!$1:$1048576,JG$93,$C320*2+6)/(1+VLOOKUP(C320*1000+INDEX(Input!$1:$1048576,JG$93+1,$C320*2+6),$A:$KK,$JK$92,FALSE))</f>
        <v>1926</v>
      </c>
      <c r="JH320" s="1">
        <f t="shared" si="1044"/>
        <v>3.7506158038510748E-2</v>
      </c>
      <c r="JI320" s="1">
        <f t="shared" si="1045"/>
        <v>-6.0340318560472882E-3</v>
      </c>
      <c r="JJ320" s="1">
        <f t="shared" ref="JJ320" si="1102">SUM(HV320:HX320)/SUM(HY320:IA320)</f>
        <v>0</v>
      </c>
      <c r="JK320" s="1">
        <f t="shared" ref="JK320" si="1103">SUM(JH320:JJ320)</f>
        <v>3.1472126182463457E-2</v>
      </c>
      <c r="JL320" s="15">
        <f t="shared" si="1048"/>
        <v>60.615315027424622</v>
      </c>
      <c r="JM320" s="15">
        <f t="shared" si="1074"/>
        <v>1986.6153150274247</v>
      </c>
      <c r="JN320" s="21"/>
      <c r="JO320" s="19">
        <f>INDEX(Input!$1:$1048576,JO$93,$C320*2+6)</f>
        <v>5908.5</v>
      </c>
      <c r="JP320" s="19">
        <f>INDEX(Input!$1:$1048576,JP$93,$C320*2+6)</f>
        <v>3467.7694503767912</v>
      </c>
      <c r="JQ320" s="39">
        <f t="shared" si="1060"/>
        <v>2266.8997254972073</v>
      </c>
      <c r="JR320" s="39">
        <f t="shared" si="1077"/>
        <v>173.83082412600152</v>
      </c>
      <c r="JS320" s="39">
        <f t="shared" si="1062"/>
        <v>7.2344588765353217</v>
      </c>
      <c r="JT320" s="39">
        <f t="shared" si="1050"/>
        <v>0.55553491510962139</v>
      </c>
      <c r="JU320" s="385">
        <f>(JQ320*JM320-INDEX(Input!$1:$1048576,Input!A$18,$C320*2+6)*JL320*INDEX(Input!$1:$1048576,Input!A$19,$C320*2+6))/1000000</f>
        <v>4.5034577123042165</v>
      </c>
      <c r="JV320" s="39">
        <f t="shared" si="1084"/>
        <v>-0.19738932627008321</v>
      </c>
      <c r="JW320" s="1">
        <f t="shared" si="1075"/>
        <v>-4.1990161485864597E-2</v>
      </c>
      <c r="JX320" s="19">
        <f t="shared" si="1066"/>
        <v>9164.9266337769041</v>
      </c>
      <c r="JZ320" s="341"/>
      <c r="KA320" s="342"/>
      <c r="KB320" s="469">
        <f t="shared" si="1063"/>
        <v>2.7822247002359868</v>
      </c>
      <c r="KI320" s="473">
        <f t="shared" si="1090"/>
        <v>57.985650642341795</v>
      </c>
      <c r="KJ320" s="473">
        <f t="shared" si="1091"/>
        <v>-30.298914988058186</v>
      </c>
      <c r="KK320" s="473">
        <f t="shared" si="1052"/>
        <v>32.928579373141019</v>
      </c>
      <c r="KN320" s="544">
        <f t="shared" si="1067"/>
        <v>3002</v>
      </c>
      <c r="KO320" s="541">
        <f t="shared" si="1027"/>
        <v>-3.5658318117969046E-2</v>
      </c>
      <c r="KP320" s="546">
        <f t="shared" si="1028"/>
        <v>-144.69181428222376</v>
      </c>
      <c r="KQ320" s="546">
        <f t="shared" si="1029"/>
        <v>-79.48094382258023</v>
      </c>
      <c r="KR320" s="548">
        <f t="shared" si="1030"/>
        <v>3.9366641460209646</v>
      </c>
      <c r="KS320" s="548">
        <f t="shared" si="1031"/>
        <v>7.1665364062490209</v>
      </c>
      <c r="KT320" s="473">
        <f t="shared" si="1065"/>
        <v>527.01264777847621</v>
      </c>
      <c r="KU320" s="663">
        <f t="shared" si="1053"/>
        <v>14.978830358939437</v>
      </c>
      <c r="KV320" s="117"/>
    </row>
    <row r="321" spans="1:308" s="26" customFormat="1" ht="15">
      <c r="A321" s="561">
        <f t="shared" si="1032"/>
        <v>3021</v>
      </c>
      <c r="B321" s="561">
        <f t="shared" si="1054"/>
        <v>21</v>
      </c>
      <c r="C321" s="561">
        <f t="shared" si="1055"/>
        <v>3</v>
      </c>
      <c r="D321" s="561" t="str">
        <f t="shared" ref="D321:D352" si="1104">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0/0/0.9/3.9, </v>
      </c>
      <c r="E321" s="475">
        <f>INDEX(Input!$1:$1048576,E$93,$C321*2+MIN($B321,2)+5)
+INDEX(Scenarios!E$121:E$200,MATCH($B321,Scenarios!$B$121:$B$200,0))</f>
        <v>1250</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8.9999999999999993E-3</v>
      </c>
      <c r="W321" s="863">
        <f>IFERROR(MAX(0,INDEX(Input!$1:$1048576,W$93,$C321*2+MIN($B321,2)+5)-0%,),"Market")</f>
        <v>3.9000000000000007E-2</v>
      </c>
      <c r="X321" s="476" t="str">
        <f>INDEX(Input!$1:$1048576,X$93,$C321*2+MIN($B321,2)+5)</f>
        <v>Y</v>
      </c>
      <c r="Y321" s="475">
        <f>INDEX(Input!$1:$1048576,Y$93,$C321*2+MIN($B321,2)+5)
++INDEX(Scenarios!Y$121:Y$200,MATCH($B321,Scenarios!$B$121:$B$200,0))</f>
        <v>4108</v>
      </c>
      <c r="Z321" s="477">
        <f>INDEX(Input!$1:$1048576,Z$93,$C321*2+MIN($B321,2)+5)
+INDEX(Scenarios!Z$121:Z$200,MATCH($B321,Scenarios!$B$121:$B$200,0))</f>
        <v>0</v>
      </c>
      <c r="AA321" s="475">
        <f>INDEX(Input!$1:$1048576,AA$93,$C321*2+MIN($B321,2)+5)</f>
        <v>500</v>
      </c>
      <c r="AB321" s="476">
        <f>INDEX(Input!$1:$1048576,AB$93,$C321*2+MIN($B321,2)+5)</f>
        <v>0.62</v>
      </c>
      <c r="AC321" s="475">
        <f>INDEX(Input!$1:$1048576,AC$93,$C321*2+MIN($B321,2)+5)
+INDEX(Scenarios!AC$121:AC$200,MATCH($B321,Scenarios!$B$121:$B$200,0))</f>
        <v>0</v>
      </c>
      <c r="AD321" s="476">
        <f>INDEX(Input!$1:$1048576,AD$93,$C321*2+MIN($B321,2)+5)</f>
        <v>0.35</v>
      </c>
      <c r="AE321" s="475">
        <f>INDEX(Input!$1:$1048576,AE$93,$C321*2+MIN($B321,2)+5)
+INDEX(Scenarios!AE$121:AE$200,MATCH($B321,Scenarios!$B$121:$B$200,0))</f>
        <v>500</v>
      </c>
      <c r="AF321" s="476">
        <f>INDEX(Input!$1:$1048576,AF$93,$C321*2+MIN($B321,2)+5)</f>
        <v>0.97</v>
      </c>
      <c r="AG321" s="475">
        <f>INDEX(Input!$1:$1048576,AG$93,$C321*2+MIN($B321,2)+5)
+INDEX(Scenarios!AG$121:AG$200,MATCH($B321,Scenarios!$B$121:$B$200,0))</f>
        <v>0</v>
      </c>
      <c r="AH321" s="476">
        <f>INDEX(Input!$1:$1048576,AH$93,$C321*2+MIN($B321,2)+5)</f>
        <v>1</v>
      </c>
      <c r="AI321" s="475">
        <f>INDEX(Input!$1:$1048576,AI$93,$C321*2+MIN($B321,2)+5)
+INDEX(Scenarios!AI$121:AI$200,MATCH($B321,Scenarios!$B$121:$B$200,0))</f>
        <v>0</v>
      </c>
      <c r="AJ321" s="476">
        <f>INDEX(Input!$1:$1048576,AJ$93,$C321*2+MIN($B321,2)+5)</f>
        <v>0.35</v>
      </c>
      <c r="AK321" s="150">
        <f>ROUND(INDEX(Input!$1:$1048576,AK$93,$C320*2+MIN($B321,1)+5)+(Y321-VLOOKUP($C321*1000+1,$A:$HH,Y$92,FALSE)),0)</f>
        <v>4982</v>
      </c>
      <c r="AL321" s="150">
        <f>ROUND(INDEX(Input!$1:$1048576,AL$93,$C320*2+MIN($B321,1)+5)-(Y321-VLOOKUP($C321*1000+1,$A:$HH,Y$92,FALSE))/36,0)</f>
        <v>5102</v>
      </c>
      <c r="AM321" s="32" t="str">
        <f t="shared" si="1033"/>
        <v>std/std/std/std</v>
      </c>
      <c r="AN321" s="32" t="str">
        <f t="shared" si="1034"/>
        <v>$0 + 0/0/0/0.9/3.9</v>
      </c>
      <c r="AO321" s="32" t="str">
        <f t="shared" si="1035"/>
        <v>0/0/0/0.9/3.9</v>
      </c>
      <c r="AP321" s="32" t="str">
        <f t="shared" si="989"/>
        <v>0/0/0.9/3.9</v>
      </c>
      <c r="AQ321" s="536">
        <f t="shared" si="988"/>
        <v>485.24645260134736</v>
      </c>
      <c r="AR321" s="32"/>
      <c r="AS321" s="302"/>
      <c r="AT321" s="3">
        <f t="shared" si="1056"/>
        <v>21</v>
      </c>
      <c r="AU321" s="41" t="s">
        <v>121</v>
      </c>
      <c r="AV321" s="41" t="s">
        <v>116</v>
      </c>
      <c r="AW321" s="41" t="str">
        <f>INDEX(Input!$1:$1048576,AW$93,$C321*2+6)</f>
        <v>Kia</v>
      </c>
      <c r="AX321" s="41" t="str">
        <f>INDEX(Input!$1:$1048576,AX$93,$C321*2+6)</f>
        <v>Kia-LR - L3</v>
      </c>
      <c r="AY321" s="41" t="str">
        <f>IF(LEN(D321)=0,"",INDEX(Input!$1:$1048576,AY$93,$C321*2+6))</f>
        <v>Compact Conventional/Sporty Car (43)</v>
      </c>
      <c r="AZ321" s="41" t="str">
        <f>INDEX(Input!$1:$1048576,AZ$93,$C321*2+6)</f>
        <v>Kia Forte</v>
      </c>
      <c r="BA321" s="3">
        <f>INDEX(Input!$1:$1048576,BA$93,$C321*2+6)</f>
        <v>2020</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19695</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990"/>
        <v>1250</v>
      </c>
      <c r="CJ321" s="16" t="str">
        <f>INDEX(Input!$1:$1048576,CJ$93,$C321*2+6)</f>
        <v>N</v>
      </c>
      <c r="CK321" s="1" t="str">
        <f t="shared" si="991"/>
        <v>Market</v>
      </c>
      <c r="CL321" s="1" t="str">
        <f t="shared" si="992"/>
        <v>Market</v>
      </c>
      <c r="CM321" s="1" t="str">
        <f t="shared" si="993"/>
        <v>Market</v>
      </c>
      <c r="CN321" s="1" t="str">
        <f t="shared" si="994"/>
        <v>Market</v>
      </c>
      <c r="CO321" s="1" t="str">
        <f t="shared" si="995"/>
        <v>Market</v>
      </c>
      <c r="CP321" s="304">
        <f t="shared" si="996"/>
        <v>310</v>
      </c>
      <c r="CQ321" s="1">
        <f t="shared" si="997"/>
        <v>0</v>
      </c>
      <c r="CR321" s="1">
        <f t="shared" si="998"/>
        <v>0</v>
      </c>
      <c r="CS321" s="1">
        <f t="shared" si="999"/>
        <v>0</v>
      </c>
      <c r="CT321" s="1">
        <f t="shared" si="1000"/>
        <v>8.9999999999999993E-3</v>
      </c>
      <c r="CU321" s="1">
        <f t="shared" si="1001"/>
        <v>3.9000000000000007E-2</v>
      </c>
      <c r="CV321" s="304">
        <f t="shared" si="1002"/>
        <v>4593</v>
      </c>
      <c r="CW321" s="20" t="s">
        <v>122</v>
      </c>
      <c r="CX321" s="20" t="s">
        <v>122</v>
      </c>
      <c r="CY321" s="20" t="s">
        <v>122</v>
      </c>
      <c r="CZ321" s="20" t="s">
        <v>122</v>
      </c>
      <c r="DA321" s="20" t="s">
        <v>122</v>
      </c>
      <c r="DB321" s="503">
        <f t="shared" si="1003"/>
        <v>0</v>
      </c>
      <c r="DC321" s="127">
        <v>0</v>
      </c>
      <c r="DD321" s="127">
        <v>0</v>
      </c>
      <c r="DE321" s="127">
        <v>0</v>
      </c>
      <c r="DF321" s="127">
        <v>0</v>
      </c>
      <c r="DG321" s="127">
        <v>0</v>
      </c>
      <c r="DH321" s="127">
        <v>0</v>
      </c>
      <c r="DI321" s="127">
        <v>0</v>
      </c>
      <c r="DJ321" s="127">
        <v>0</v>
      </c>
      <c r="DK321" s="127">
        <v>0</v>
      </c>
      <c r="DL321" s="127">
        <v>0</v>
      </c>
      <c r="DM321" s="304">
        <f>INDEX(Input!$1:$1048576,DM$93,$C321*2+6)</f>
        <v>20731.578947368424</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3.3179849163407014E-2</v>
      </c>
      <c r="DZ321" s="7">
        <v>0</v>
      </c>
      <c r="EA321" s="7">
        <v>0.58705125627810117</v>
      </c>
      <c r="EB321" s="7">
        <v>0</v>
      </c>
      <c r="EC321" s="7">
        <v>0</v>
      </c>
      <c r="ED321" s="7">
        <v>0</v>
      </c>
      <c r="EE321" s="7">
        <v>0</v>
      </c>
      <c r="EF321" s="7">
        <v>0</v>
      </c>
      <c r="EG321" s="7">
        <v>0</v>
      </c>
      <c r="EH321" s="7">
        <v>1.013999571784027E-2</v>
      </c>
      <c r="EI321" s="7">
        <v>1.28586219896933E-2</v>
      </c>
      <c r="EJ321" s="7">
        <v>0.18469940796344292</v>
      </c>
      <c r="EK321" s="7">
        <v>0.75569396099452779</v>
      </c>
      <c r="EL321" s="7">
        <v>3.6608013334495461E-2</v>
      </c>
      <c r="EM321" s="7">
        <v>6.5147245879350613E-2</v>
      </c>
      <c r="EN321" s="7">
        <v>5.8903840649550732E-2</v>
      </c>
      <c r="EO321" s="7">
        <v>0.5680644908961251</v>
      </c>
      <c r="EP321" s="7">
        <v>0.27410709591931864</v>
      </c>
      <c r="EQ321" s="7">
        <v>5.8713575146425348E-2</v>
      </c>
      <c r="ER321" s="7">
        <v>4.0210997388580243E-2</v>
      </c>
      <c r="ES321" s="7">
        <v>0.31462164867914127</v>
      </c>
      <c r="ET321" s="7">
        <v>0.37976889455849183</v>
      </c>
      <c r="EU321" s="6">
        <v>1600</v>
      </c>
      <c r="EV321" s="6">
        <v>0</v>
      </c>
      <c r="EW321" s="6">
        <v>1600</v>
      </c>
      <c r="EX321" s="6">
        <v>0</v>
      </c>
      <c r="EY321" s="6">
        <v>2973.1946315778064</v>
      </c>
      <c r="EZ321" s="6">
        <v>3636</v>
      </c>
      <c r="FA321" s="6">
        <v>0</v>
      </c>
      <c r="FB321" s="6">
        <v>0</v>
      </c>
      <c r="FC321" s="6">
        <v>0</v>
      </c>
      <c r="FD321" s="6">
        <v>0</v>
      </c>
      <c r="FE321" s="6">
        <v>0</v>
      </c>
      <c r="FF321" s="6">
        <v>0</v>
      </c>
      <c r="FG321" s="6">
        <v>0</v>
      </c>
      <c r="FH321" s="6">
        <v>1154.3283887042646</v>
      </c>
      <c r="FI321" s="6">
        <v>1531.4299904380618</v>
      </c>
      <c r="FJ321" s="6">
        <v>2070.7205842538224</v>
      </c>
      <c r="FK321" s="6">
        <v>2218.6393698501015</v>
      </c>
      <c r="FL321" s="6">
        <v>893.91433563489375</v>
      </c>
      <c r="FM321" s="6">
        <v>2123.1946315778064</v>
      </c>
      <c r="FN321" s="6">
        <v>0</v>
      </c>
      <c r="FO321" s="6">
        <v>0</v>
      </c>
      <c r="FP321" s="6">
        <v>0</v>
      </c>
      <c r="FQ321" s="6">
        <v>0</v>
      </c>
      <c r="FR321" s="6">
        <v>0</v>
      </c>
      <c r="FS321" s="6">
        <v>0</v>
      </c>
      <c r="FT321" s="7">
        <v>0.62023110544150817</v>
      </c>
      <c r="FU321" s="7">
        <v>6.5147245879350613E-2</v>
      </c>
      <c r="FV321" s="7">
        <v>0.31462164867914127</v>
      </c>
      <c r="FW321" s="6">
        <v>1600</v>
      </c>
      <c r="FX321" s="6">
        <v>2973.1946315778064</v>
      </c>
      <c r="FY321" s="6">
        <v>3636</v>
      </c>
      <c r="FZ321" s="6">
        <v>2202.331475193394</v>
      </c>
      <c r="GA321" s="6">
        <v>2330.0295250143354</v>
      </c>
      <c r="GB321" s="6">
        <v>17364.970474985665</v>
      </c>
      <c r="GC321" s="7">
        <v>4.8391397220736806E-2</v>
      </c>
      <c r="GD321" s="7">
        <v>4.9200985054423885E-2</v>
      </c>
      <c r="GE321" s="7"/>
      <c r="GF321" s="7"/>
      <c r="GG321" s="7">
        <v>1.6729995002916585E-2</v>
      </c>
      <c r="GH321" s="42">
        <v>2.5802841315467564</v>
      </c>
      <c r="GI321" s="6">
        <v>9962.909857535622</v>
      </c>
      <c r="GJ321" s="14">
        <v>0.5107463060103955</v>
      </c>
      <c r="GK321" s="14">
        <v>0.5082951978616097</v>
      </c>
      <c r="GL321" s="14">
        <v>0.48925369398960422</v>
      </c>
      <c r="GM321" s="14">
        <v>0.49170480213839018</v>
      </c>
      <c r="GO321" s="5">
        <v>338.16872463277008</v>
      </c>
      <c r="GP321" s="5">
        <v>307.64377699166363</v>
      </c>
      <c r="GQ321" s="5">
        <v>527.27910984145694</v>
      </c>
      <c r="GR321" s="5">
        <v>404.20319246551543</v>
      </c>
      <c r="GS321" s="5">
        <v>334.50205195691484</v>
      </c>
      <c r="GT321" s="5">
        <v>289.18266033348181</v>
      </c>
      <c r="GU321" s="5">
        <v>254.29573314828914</v>
      </c>
      <c r="GV321" s="39" t="s">
        <v>392</v>
      </c>
      <c r="GW321" s="5">
        <v>468.76388888888891</v>
      </c>
      <c r="GX321" s="5">
        <v>351.57291666666669</v>
      </c>
      <c r="GY321" s="5">
        <v>281.25833333333333</v>
      </c>
      <c r="GZ321" s="5">
        <v>240.8550698915011</v>
      </c>
      <c r="HA321" s="5">
        <v>229.8919505212948</v>
      </c>
      <c r="HB321" s="39">
        <v>251.65086409679247</v>
      </c>
      <c r="HC321" s="5">
        <v>124.04062499999996</v>
      </c>
      <c r="HD321" s="5">
        <v>127.75060307017539</v>
      </c>
      <c r="HE321" s="5">
        <v>136.66051366396758</v>
      </c>
      <c r="HF321" s="5">
        <v>133.62067434210525</v>
      </c>
      <c r="HG321" s="5">
        <v>137.88493421052632</v>
      </c>
      <c r="HH321" s="39">
        <v>130.72650526464059</v>
      </c>
      <c r="HI321" s="16"/>
      <c r="HJ321" s="19" t="str">
        <f t="shared" ref="HJ321:HK334" si="1105">HJ320</f>
        <v>On</v>
      </c>
      <c r="HK321" s="1" t="str">
        <f t="shared" si="1105"/>
        <v>On</v>
      </c>
      <c r="HL321" s="16"/>
      <c r="HM321" s="639">
        <f t="shared" si="1004"/>
        <v>2.8970655363290673E-2</v>
      </c>
      <c r="HN321" s="639">
        <f t="shared" si="1005"/>
        <v>2.1835179285533651E-3</v>
      </c>
      <c r="HO321" s="639">
        <f t="shared" si="1006"/>
        <v>1.5544129749146325E-2</v>
      </c>
      <c r="HP321" s="644">
        <f>(FT321*$GD321-HM321)/$JF321*INDEX(Input!$1:$1048576,$JG$93,$C321*2+6)</f>
        <v>63.734603933850437</v>
      </c>
      <c r="HQ321" s="644">
        <f>(FU321*$GD321-HN321)/$JF321*INDEX(Input!$1:$1048576,$JG$93,$C321*2+6)</f>
        <v>42.142194501794769</v>
      </c>
      <c r="HR321" s="644">
        <f>(FV321*$GD321-HO321)/$JF321*INDEX(Input!$1:$1048576,$JG$93,$C321*2+6)</f>
        <v>-2.6575111385891748</v>
      </c>
      <c r="HS321" s="644">
        <f t="shared" ref="HS321:HS332" si="1106">IF(AND(HJ321="On",HK321="On"),IL321/1000*INDEX(KG:KG,MATCH(C321*1000+3,$KF:$KF,0))*SUM(HY321:IA321)*1.1
+INDEX(HR:HR,MATCH(C321*1000+4,$KF:$KF,0))/INDEX(IM:IM,MATCH(C321*1000+4,$KF:$KF,0))*IM321*20%,0)</f>
        <v>-28.438989200770962</v>
      </c>
      <c r="HT321" s="644">
        <f t="shared" si="1008"/>
        <v>103.72039152120726</v>
      </c>
      <c r="HU321" s="644">
        <f t="shared" si="1009"/>
        <v>22.8682724739005</v>
      </c>
      <c r="HV321" s="648">
        <f t="shared" si="1010"/>
        <v>0</v>
      </c>
      <c r="HW321" s="648">
        <f t="shared" si="1011"/>
        <v>0</v>
      </c>
      <c r="HX321" s="648">
        <f t="shared" si="1012"/>
        <v>0</v>
      </c>
      <c r="HY321" s="644">
        <f>INDEX(Input!$1:$1048576,HY$93,$C321*2+6)*INDEX(Input!$1:$1048576,$JG$93,$C321*2+6)</f>
        <v>488.99999999999994</v>
      </c>
      <c r="HZ321" s="644">
        <f>INDEX(Input!$1:$1048576,HZ$93,$C321*2+6)*INDEX(Input!$1:$1048576,$JG$93,$C321*2+6)</f>
        <v>734</v>
      </c>
      <c r="IA321" s="644">
        <f>INDEX(Input!$1:$1048576,IA$93,$C321*2+6)*INDEX(Input!$1:$1048576,$JG$93,$C321*2+6)</f>
        <v>703</v>
      </c>
      <c r="IB321" s="644">
        <f t="shared" si="1036"/>
        <v>524.29561473307956</v>
      </c>
      <c r="IC321" s="644">
        <f t="shared" si="1037"/>
        <v>879.862586023002</v>
      </c>
      <c r="ID321" s="644">
        <f>IF(AND(INDEX(Input!$1:$1048576,IA$93,$C321*2+7)="TOS",Y321&lt;=INDEX(Y:Y,MATCH(C321*1000+2,A:A))),0,1)*MAX(IA321+HR321+HU321+HX321,0%)</f>
        <v>723.2107613353113</v>
      </c>
      <c r="IE321" s="128">
        <f t="shared" ref="IE321:IE332" si="1107">IB321/SUM($IB321:$ID321)</f>
        <v>0.24645260134737057</v>
      </c>
      <c r="IF321" s="128">
        <f t="shared" ref="IF321:IF361" si="1108">IC321/SUM($IB321:$ID321)</f>
        <v>0.41359190704654203</v>
      </c>
      <c r="IG321" s="128">
        <f t="shared" si="1014"/>
        <v>0.33995549160608735</v>
      </c>
      <c r="IH321" s="21"/>
      <c r="II321" s="19">
        <f t="shared" si="1015"/>
        <v>1200</v>
      </c>
      <c r="IJ321" s="19">
        <f t="shared" si="1016"/>
        <v>2224.493581030405</v>
      </c>
      <c r="IK321" s="19">
        <f t="shared" si="1017"/>
        <v>3451.75</v>
      </c>
      <c r="IL321" s="19">
        <f t="shared" si="1039"/>
        <v>400</v>
      </c>
      <c r="IM321" s="19">
        <f t="shared" si="1018"/>
        <v>748.70105054740134</v>
      </c>
      <c r="IN321" s="19">
        <f t="shared" si="1019"/>
        <v>184.25</v>
      </c>
      <c r="IO321" s="39">
        <f t="shared" si="1020"/>
        <v>0</v>
      </c>
      <c r="IP321" s="39">
        <f t="shared" si="1021"/>
        <v>0</v>
      </c>
      <c r="IQ321" s="39">
        <f t="shared" si="1022"/>
        <v>0</v>
      </c>
      <c r="IR321" s="39">
        <v>0</v>
      </c>
      <c r="IS321" s="39">
        <v>0</v>
      </c>
      <c r="IT321" s="39">
        <v>0</v>
      </c>
      <c r="IU321" s="39">
        <v>0</v>
      </c>
      <c r="IV321" s="39">
        <v>0</v>
      </c>
      <c r="IW321" s="39">
        <v>0</v>
      </c>
      <c r="IX321" s="39">
        <f>INDEX(Input!$1:$1048576,IX$93,$C321*2+6)+INDEX(Input!$1:$1048576,IX$94,$C321*2+6)</f>
        <v>1600</v>
      </c>
      <c r="IY321" s="39">
        <f>INDEX(Input!$1:$1048576,IY$93,$C321*2+6)+INDEX(Input!$1:$1048576,IY$94,$C321*2+6)</f>
        <v>2503.5492916397525</v>
      </c>
      <c r="IZ321" s="39">
        <f>INDEX(Input!$1:$1048576,IZ$93,$C321*2+6)+INDEX(Input!$1:$1048576,IZ$94,$C321*2+6)</f>
        <v>5773.7109265464023</v>
      </c>
      <c r="JA321" s="19">
        <f t="shared" si="1040"/>
        <v>2000</v>
      </c>
      <c r="JB321" s="19">
        <f t="shared" si="1041"/>
        <v>3252.2503421871538</v>
      </c>
      <c r="JC321" s="19">
        <f t="shared" si="1042"/>
        <v>5957.9609265464023</v>
      </c>
      <c r="JD321" s="19">
        <f t="shared" si="1043"/>
        <v>3863.4511596666371</v>
      </c>
      <c r="JE321" s="21"/>
      <c r="JF321" s="1">
        <f t="shared" si="1023"/>
        <v>4.6698303040990354E-2</v>
      </c>
      <c r="JG321" s="15">
        <f>INDEX(Input!$1:$1048576,JG$93,$C321*2+6)/(1+VLOOKUP(C321*1000+INDEX(Input!$1:$1048576,JG$93+1,$C321*2+6),$A:$KK,$JK$92,FALSE))</f>
        <v>1926</v>
      </c>
      <c r="JH321" s="1">
        <f t="shared" si="1044"/>
        <v>5.3592568690060252E-2</v>
      </c>
      <c r="JI321" s="1">
        <f t="shared" si="1045"/>
        <v>5.0960371128939148E-2</v>
      </c>
      <c r="JJ321" s="1">
        <f t="shared" ref="JJ321:JJ361" si="1109">SUM(HV321:HX321)/SUM(HY321:IA321)</f>
        <v>0</v>
      </c>
      <c r="JK321" s="1">
        <f t="shared" ref="JK321:JK361" si="1110">SUM(JH321:JJ321)</f>
        <v>0.10455293981899941</v>
      </c>
      <c r="JL321" s="15">
        <f t="shared" si="1048"/>
        <v>201.36896209139286</v>
      </c>
      <c r="JM321" s="15">
        <f t="shared" si="1074"/>
        <v>2127.3689620913929</v>
      </c>
      <c r="JN321" s="21"/>
      <c r="JO321" s="19">
        <f>INDEX(Input!$1:$1048576,JO$93,$C321*2+6)</f>
        <v>5908.5</v>
      </c>
      <c r="JP321" s="19">
        <f>INDEX(Input!$1:$1048576,JP$93,$C321*2+6)</f>
        <v>3467.7694503767912</v>
      </c>
      <c r="JQ321" s="39">
        <f t="shared" si="1060"/>
        <v>2045.0488403333629</v>
      </c>
      <c r="JR321" s="39">
        <f t="shared" si="1077"/>
        <v>395.68170928984591</v>
      </c>
      <c r="JS321" s="39">
        <f t="shared" si="1062"/>
        <v>8.2189860836308029</v>
      </c>
      <c r="JT321" s="39">
        <f t="shared" si="1050"/>
        <v>1.5400621222051019</v>
      </c>
      <c r="JU321" s="385">
        <f>(JQ321*JM321-INDEX(Input!$1:$1048576,Input!A$18,$C321*2+6)*JL321*INDEX(Input!$1:$1048576,Input!A$19,$C321*2+6))/1000000</f>
        <v>4.350573428886193</v>
      </c>
      <c r="JV321" s="39">
        <f t="shared" si="1084"/>
        <v>-0.35027360968810672</v>
      </c>
      <c r="JW321" s="1">
        <f t="shared" si="1075"/>
        <v>-7.4512871151480767E-2</v>
      </c>
      <c r="JX321" s="19">
        <f t="shared" si="1066"/>
        <v>7647.9617623799086</v>
      </c>
      <c r="JZ321" s="341"/>
      <c r="KA321" s="342"/>
      <c r="KB321" s="469">
        <f t="shared" si="1063"/>
        <v>2.7822247002359868</v>
      </c>
      <c r="KI321" s="473">
        <f t="shared" si="1090"/>
        <v>35.295614733079617</v>
      </c>
      <c r="KJ321" s="473">
        <f t="shared" si="1091"/>
        <v>145.862586023002</v>
      </c>
      <c r="KK321" s="473">
        <f t="shared" si="1052"/>
        <v>20.210761335311304</v>
      </c>
      <c r="KN321" s="544">
        <f t="shared" si="1067"/>
        <v>3002</v>
      </c>
      <c r="KO321" s="541">
        <f t="shared" si="1027"/>
        <v>3.2666237579329183E-2</v>
      </c>
      <c r="KP321" s="546">
        <f t="shared" si="1028"/>
        <v>144.17876618538438</v>
      </c>
      <c r="KQ321" s="546">
        <f t="shared" si="1029"/>
        <v>142.36994134126417</v>
      </c>
      <c r="KR321" s="548">
        <f t="shared" si="1030"/>
        <v>3.6191725023097634</v>
      </c>
      <c r="KS321" s="548">
        <f t="shared" si="1031"/>
        <v>3.6651544636399485</v>
      </c>
      <c r="KT321" s="473">
        <f t="shared" si="1065"/>
        <v>527.01264777847621</v>
      </c>
      <c r="KU321" s="663">
        <f t="shared" si="1053"/>
        <v>15.480208208056323</v>
      </c>
      <c r="KV321" s="117"/>
    </row>
    <row r="322" spans="1:308" s="26" customFormat="1" ht="15">
      <c r="A322" s="561">
        <f t="shared" si="1032"/>
        <v>3022</v>
      </c>
      <c r="B322" s="561">
        <f t="shared" si="1054"/>
        <v>22</v>
      </c>
      <c r="C322" s="561">
        <f t="shared" si="1055"/>
        <v>3</v>
      </c>
      <c r="D322" s="561" t="str">
        <f t="shared" si="1104"/>
        <v xml:space="preserve">0/1.9/2.9/3.9, </v>
      </c>
      <c r="E322" s="475">
        <f>INDEX(Input!$1:$1048576,E$93,$C322*2+MIN($B322,2)+5)
+INDEX(Scenarios!E$121:E$200,MATCH($B322,Scenarios!$B$121:$B$200,0))</f>
        <v>1250</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2.8999999999999998E-2</v>
      </c>
      <c r="W322" s="863">
        <f>IFERROR(MAX(0,INDEX(Input!$1:$1048576,W$93,$C322*2+MIN($B322,2)+5)-0%,),"Market")</f>
        <v>3.9000000000000007E-2</v>
      </c>
      <c r="X322" s="476" t="str">
        <f>INDEX(Input!$1:$1048576,X$93,$C322*2+MIN($B322,2)+5)</f>
        <v>Y</v>
      </c>
      <c r="Y322" s="475">
        <f>INDEX(Input!$1:$1048576,Y$93,$C322*2+MIN($B322,2)+5)
++INDEX(Scenarios!Y$121:Y$200,MATCH($B322,Scenarios!$B$121:$B$200,0))</f>
        <v>4108</v>
      </c>
      <c r="Z322" s="477">
        <f>INDEX(Input!$1:$1048576,Z$93,$C322*2+MIN($B322,2)+5)
+INDEX(Scenarios!Z$121:Z$200,MATCH($B322,Scenarios!$B$121:$B$200,0))</f>
        <v>0</v>
      </c>
      <c r="AA322" s="475">
        <f>INDEX(Input!$1:$1048576,AA$93,$C322*2+MIN($B322,2)+5)</f>
        <v>500</v>
      </c>
      <c r="AB322" s="476">
        <f>INDEX(Input!$1:$1048576,AB$93,$C322*2+MIN($B322,2)+5)</f>
        <v>0.62</v>
      </c>
      <c r="AC322" s="475">
        <f>INDEX(Input!$1:$1048576,AC$93,$C322*2+MIN($B322,2)+5)
+INDEX(Scenarios!AC$121:AC$200,MATCH($B322,Scenarios!$B$121:$B$200,0))</f>
        <v>0</v>
      </c>
      <c r="AD322" s="476">
        <f>INDEX(Input!$1:$1048576,AD$93,$C322*2+MIN($B322,2)+5)</f>
        <v>0.35</v>
      </c>
      <c r="AE322" s="475">
        <f>INDEX(Input!$1:$1048576,AE$93,$C322*2+MIN($B322,2)+5)
+INDEX(Scenarios!AE$121:AE$200,MATCH($B322,Scenarios!$B$121:$B$200,0))</f>
        <v>500</v>
      </c>
      <c r="AF322" s="476">
        <f>INDEX(Input!$1:$1048576,AF$93,$C322*2+MIN($B322,2)+5)</f>
        <v>0.97</v>
      </c>
      <c r="AG322" s="475">
        <f>INDEX(Input!$1:$1048576,AG$93,$C322*2+MIN($B322,2)+5)
+INDEX(Scenarios!AG$121:AG$200,MATCH($B322,Scenarios!$B$121:$B$200,0))</f>
        <v>0</v>
      </c>
      <c r="AH322" s="476">
        <f>INDEX(Input!$1:$1048576,AH$93,$C322*2+MIN($B322,2)+5)</f>
        <v>1</v>
      </c>
      <c r="AI322" s="475">
        <f>INDEX(Input!$1:$1048576,AI$93,$C322*2+MIN($B322,2)+5)
+INDEX(Scenarios!AI$121:AI$200,MATCH($B322,Scenarios!$B$121:$B$200,0))</f>
        <v>0</v>
      </c>
      <c r="AJ322" s="476">
        <f>INDEX(Input!$1:$1048576,AJ$93,$C322*2+MIN($B322,2)+5)</f>
        <v>0.35</v>
      </c>
      <c r="AK322" s="150">
        <f>ROUND(INDEX(Input!$1:$1048576,AK$93,$C321*2+MIN($B322,1)+5)+(Y322-VLOOKUP($C322*1000+1,$A:$HH,Y$92,FALSE)),0)</f>
        <v>4982</v>
      </c>
      <c r="AL322" s="150">
        <f>ROUND(INDEX(Input!$1:$1048576,AL$93,$C321*2+MIN($B322,1)+5)-(Y322-VLOOKUP($C322*1000+1,$A:$HH,Y$92,FALSE))/36,0)</f>
        <v>5102</v>
      </c>
      <c r="AM322" s="32" t="str">
        <f t="shared" si="1033"/>
        <v>std/std/std/std</v>
      </c>
      <c r="AN322" s="32" t="str">
        <f t="shared" si="1034"/>
        <v>$0 + 0/0/0/2.9/3.9</v>
      </c>
      <c r="AO322" s="32" t="str">
        <f t="shared" si="1035"/>
        <v>0/0/0/2.9/3.9</v>
      </c>
      <c r="AP322" s="32" t="str">
        <f t="shared" si="989"/>
        <v>0/1.9/2.9/3.9</v>
      </c>
      <c r="AQ322" s="536">
        <f t="shared" si="988"/>
        <v>485.27073028668167</v>
      </c>
      <c r="AR322" s="32"/>
      <c r="AS322" s="302"/>
      <c r="AT322" s="3">
        <f t="shared" si="1056"/>
        <v>22</v>
      </c>
      <c r="AU322" s="41" t="s">
        <v>121</v>
      </c>
      <c r="AV322" s="41" t="s">
        <v>116</v>
      </c>
      <c r="AW322" s="41" t="str">
        <f>INDEX(Input!$1:$1048576,AW$93,$C322*2+6)</f>
        <v>Kia</v>
      </c>
      <c r="AX322" s="41" t="str">
        <f>INDEX(Input!$1:$1048576,AX$93,$C322*2+6)</f>
        <v>Kia-LR - L3</v>
      </c>
      <c r="AY322" s="41" t="str">
        <f>IF(LEN(D322)=0,"",INDEX(Input!$1:$1048576,AY$93,$C322*2+6))</f>
        <v>Compact Conventional/Sporty Car (43)</v>
      </c>
      <c r="AZ322" s="41" t="str">
        <f>INDEX(Input!$1:$1048576,AZ$93,$C322*2+6)</f>
        <v>Kia Forte</v>
      </c>
      <c r="BA322" s="3">
        <f>INDEX(Input!$1:$1048576,BA$93,$C322*2+6)</f>
        <v>2020</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19695</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990"/>
        <v>1250</v>
      </c>
      <c r="CJ322" s="16" t="str">
        <f>INDEX(Input!$1:$1048576,CJ$93,$C322*2+6)</f>
        <v>N</v>
      </c>
      <c r="CK322" s="1" t="str">
        <f t="shared" si="991"/>
        <v>Market</v>
      </c>
      <c r="CL322" s="1" t="str">
        <f t="shared" si="992"/>
        <v>Market</v>
      </c>
      <c r="CM322" s="1" t="str">
        <f t="shared" si="993"/>
        <v>Market</v>
      </c>
      <c r="CN322" s="1" t="str">
        <f t="shared" si="994"/>
        <v>Market</v>
      </c>
      <c r="CO322" s="1" t="str">
        <f t="shared" si="995"/>
        <v>Market</v>
      </c>
      <c r="CP322" s="304">
        <f t="shared" si="996"/>
        <v>310</v>
      </c>
      <c r="CQ322" s="1">
        <f t="shared" si="997"/>
        <v>0</v>
      </c>
      <c r="CR322" s="1">
        <f t="shared" si="998"/>
        <v>0</v>
      </c>
      <c r="CS322" s="1">
        <f t="shared" si="999"/>
        <v>0</v>
      </c>
      <c r="CT322" s="1">
        <f t="shared" si="1000"/>
        <v>2.8999999999999998E-2</v>
      </c>
      <c r="CU322" s="1">
        <f t="shared" si="1001"/>
        <v>3.9000000000000007E-2</v>
      </c>
      <c r="CV322" s="304">
        <f t="shared" si="1002"/>
        <v>4593</v>
      </c>
      <c r="CW322" s="20" t="s">
        <v>122</v>
      </c>
      <c r="CX322" s="20" t="s">
        <v>122</v>
      </c>
      <c r="CY322" s="20" t="s">
        <v>122</v>
      </c>
      <c r="CZ322" s="20" t="s">
        <v>122</v>
      </c>
      <c r="DA322" s="20" t="s">
        <v>122</v>
      </c>
      <c r="DB322" s="503">
        <f t="shared" si="1003"/>
        <v>0</v>
      </c>
      <c r="DC322" s="127">
        <v>0</v>
      </c>
      <c r="DD322" s="127">
        <v>0</v>
      </c>
      <c r="DE322" s="127">
        <v>0</v>
      </c>
      <c r="DF322" s="127">
        <v>0</v>
      </c>
      <c r="DG322" s="127">
        <v>0</v>
      </c>
      <c r="DH322" s="127">
        <v>0</v>
      </c>
      <c r="DI322" s="127">
        <v>0</v>
      </c>
      <c r="DJ322" s="127">
        <v>0</v>
      </c>
      <c r="DK322" s="127">
        <v>0</v>
      </c>
      <c r="DL322" s="127">
        <v>0</v>
      </c>
      <c r="DM322" s="304">
        <f>INDEX(Input!$1:$1048576,DM$93,$C322*2+6)</f>
        <v>20731.578947368424</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3.419245719763777E-2</v>
      </c>
      <c r="DZ322" s="7">
        <v>0</v>
      </c>
      <c r="EA322" s="7">
        <v>0.60461974515799821</v>
      </c>
      <c r="EB322" s="7">
        <v>0</v>
      </c>
      <c r="EC322" s="7">
        <v>0</v>
      </c>
      <c r="ED322" s="7">
        <v>0</v>
      </c>
      <c r="EE322" s="7">
        <v>0</v>
      </c>
      <c r="EF322" s="7">
        <v>0</v>
      </c>
      <c r="EG322" s="7">
        <v>0</v>
      </c>
      <c r="EH322" s="7">
        <v>1.8887227586115472E-2</v>
      </c>
      <c r="EI322" s="7">
        <v>2.3940917416192507E-2</v>
      </c>
      <c r="EJ322" s="7">
        <v>0.34414661437741534</v>
      </c>
      <c r="EK322" s="7">
        <v>0.54492515836786259</v>
      </c>
      <c r="EL322" s="7">
        <v>6.8100082252414082E-2</v>
      </c>
      <c r="EM322" s="7">
        <v>3.6150980656286975E-2</v>
      </c>
      <c r="EN322" s="7">
        <v>5.8903840649550732E-2</v>
      </c>
      <c r="EO322" s="7">
        <v>0.5680644908961251</v>
      </c>
      <c r="EP322" s="7">
        <v>0.27410709591931864</v>
      </c>
      <c r="EQ322" s="7">
        <v>5.8713575146425334E-2</v>
      </c>
      <c r="ER322" s="7">
        <v>4.0210997388580222E-2</v>
      </c>
      <c r="ES322" s="7">
        <v>0.32503681698807702</v>
      </c>
      <c r="ET322" s="7">
        <v>0.36118779764436398</v>
      </c>
      <c r="EU322" s="6">
        <v>1600</v>
      </c>
      <c r="EV322" s="6">
        <v>0</v>
      </c>
      <c r="EW322" s="6">
        <v>1600</v>
      </c>
      <c r="EX322" s="6">
        <v>0</v>
      </c>
      <c r="EY322" s="6">
        <v>2372.0241030368243</v>
      </c>
      <c r="EZ322" s="6">
        <v>3636</v>
      </c>
      <c r="FA322" s="6">
        <v>0</v>
      </c>
      <c r="FB322" s="6">
        <v>0</v>
      </c>
      <c r="FC322" s="6">
        <v>0</v>
      </c>
      <c r="FD322" s="6">
        <v>0</v>
      </c>
      <c r="FE322" s="6">
        <v>0</v>
      </c>
      <c r="FF322" s="6">
        <v>0</v>
      </c>
      <c r="FG322" s="6">
        <v>0</v>
      </c>
      <c r="FH322" s="6">
        <v>1154.3271468803805</v>
      </c>
      <c r="FI322" s="6">
        <v>1531.4299904380625</v>
      </c>
      <c r="FJ322" s="6">
        <v>2070.7205842538228</v>
      </c>
      <c r="FK322" s="6">
        <v>1266.3227157028189</v>
      </c>
      <c r="FL322" s="6">
        <v>893.91433563489386</v>
      </c>
      <c r="FM322" s="6">
        <v>1522.0241030368245</v>
      </c>
      <c r="FN322" s="6">
        <v>0</v>
      </c>
      <c r="FO322" s="6">
        <v>0</v>
      </c>
      <c r="FP322" s="6">
        <v>0</v>
      </c>
      <c r="FQ322" s="6">
        <v>0</v>
      </c>
      <c r="FR322" s="6">
        <v>0</v>
      </c>
      <c r="FS322" s="6">
        <v>0</v>
      </c>
      <c r="FT322" s="7">
        <v>0.63881220235563596</v>
      </c>
      <c r="FU322" s="7">
        <v>3.6150980656286975E-2</v>
      </c>
      <c r="FV322" s="7">
        <v>0.32503681698807702</v>
      </c>
      <c r="FW322" s="6">
        <v>1600.0000000000002</v>
      </c>
      <c r="FX322" s="6">
        <v>2372.0241030368243</v>
      </c>
      <c r="FY322" s="6">
        <v>3636</v>
      </c>
      <c r="FZ322" s="6">
        <v>2202.331475193394</v>
      </c>
      <c r="GA322" s="6">
        <v>2289.6843878027967</v>
      </c>
      <c r="GB322" s="6">
        <v>17405.315612197202</v>
      </c>
      <c r="GC322" s="7">
        <v>4.8391397220736806E-2</v>
      </c>
      <c r="GD322" s="7">
        <v>4.8524131311034391E-2</v>
      </c>
      <c r="GE322" s="7"/>
      <c r="GF322" s="7"/>
      <c r="GG322" s="7">
        <v>2.7429274193534704E-3</v>
      </c>
      <c r="GH322" s="42">
        <v>0.61843336312922981</v>
      </c>
      <c r="GI322" s="6">
        <v>34136.284481214156</v>
      </c>
      <c r="GJ322" s="14">
        <v>0.51074630601039561</v>
      </c>
      <c r="GK322" s="14">
        <v>0.50829519786160982</v>
      </c>
      <c r="GL322" s="14">
        <v>0.4892536939896045</v>
      </c>
      <c r="GM322" s="14">
        <v>0.49170480213839057</v>
      </c>
      <c r="GO322" s="5">
        <v>338.16872463277008</v>
      </c>
      <c r="GP322" s="5">
        <v>307.64377699166363</v>
      </c>
      <c r="GQ322" s="5">
        <v>527.27910984145694</v>
      </c>
      <c r="GR322" s="5">
        <v>404.20319246551543</v>
      </c>
      <c r="GS322" s="5">
        <v>334.50205195691484</v>
      </c>
      <c r="GT322" s="5">
        <v>289.18266033348181</v>
      </c>
      <c r="GU322" s="5">
        <v>254.29573314828914</v>
      </c>
      <c r="GV322" s="39" t="s">
        <v>392</v>
      </c>
      <c r="GW322" s="5">
        <v>468.76388888888891</v>
      </c>
      <c r="GX322" s="5">
        <v>351.57291666666669</v>
      </c>
      <c r="GY322" s="5">
        <v>281.25833333333333</v>
      </c>
      <c r="GZ322" s="5">
        <v>255.64660634518972</v>
      </c>
      <c r="HA322" s="5">
        <v>229.8919505212948</v>
      </c>
      <c r="HB322" s="39">
        <v>269.02865978791203</v>
      </c>
      <c r="HC322" s="5">
        <v>124.04062499999996</v>
      </c>
      <c r="HD322" s="5">
        <v>127.75060307017539</v>
      </c>
      <c r="HE322" s="5">
        <v>136.66051366396758</v>
      </c>
      <c r="HF322" s="5">
        <v>133.62067434210525</v>
      </c>
      <c r="HG322" s="5">
        <v>137.88493421052632</v>
      </c>
      <c r="HH322" s="39">
        <v>130.72650526464056</v>
      </c>
      <c r="HI322" s="16"/>
      <c r="HJ322" s="19" t="str">
        <f t="shared" si="1105"/>
        <v>On</v>
      </c>
      <c r="HK322" s="1" t="str">
        <f t="shared" si="1105"/>
        <v>On</v>
      </c>
      <c r="HL322" s="16"/>
      <c r="HM322" s="639">
        <f t="shared" si="1004"/>
        <v>2.8970655363290673E-2</v>
      </c>
      <c r="HN322" s="639">
        <f t="shared" si="1005"/>
        <v>2.1835179285533651E-3</v>
      </c>
      <c r="HO322" s="639">
        <f t="shared" si="1006"/>
        <v>1.5544129749146325E-2</v>
      </c>
      <c r="HP322" s="644">
        <f>(FT322*$GD322-HM322)/$JF322*INDEX(Input!$1:$1048576,$JG$93,$C322*2+6)</f>
        <v>83.606772931181126</v>
      </c>
      <c r="HQ322" s="644">
        <f>(FU322*$GD322-HN322)/$JF322*INDEX(Input!$1:$1048576,$JG$93,$C322*2+6)</f>
        <v>-17.706769556230864</v>
      </c>
      <c r="HR322" s="644">
        <f>(FV322*$GD322-HO322)/$JF322*INDEX(Input!$1:$1048576,$JG$93,$C322*2+6)</f>
        <v>9.4034877394500214</v>
      </c>
      <c r="HS322" s="644">
        <f t="shared" si="1106"/>
        <v>-27.819534132289231</v>
      </c>
      <c r="HT322" s="644">
        <f t="shared" si="1008"/>
        <v>16.554973231342615</v>
      </c>
      <c r="HU322" s="644">
        <f t="shared" si="1009"/>
        <v>22.248817405418759</v>
      </c>
      <c r="HV322" s="648">
        <f t="shared" si="1010"/>
        <v>0</v>
      </c>
      <c r="HW322" s="648">
        <f t="shared" si="1011"/>
        <v>0</v>
      </c>
      <c r="HX322" s="648">
        <f t="shared" si="1012"/>
        <v>0</v>
      </c>
      <c r="HY322" s="644">
        <f>INDEX(Input!$1:$1048576,HY$93,$C322*2+6)*INDEX(Input!$1:$1048576,$JG$93,$C322*2+6)</f>
        <v>488.99999999999994</v>
      </c>
      <c r="HZ322" s="644">
        <f>INDEX(Input!$1:$1048576,HZ$93,$C322*2+6)*INDEX(Input!$1:$1048576,$JG$93,$C322*2+6)</f>
        <v>734</v>
      </c>
      <c r="IA322" s="644">
        <f>INDEX(Input!$1:$1048576,IA$93,$C322*2+6)*INDEX(Input!$1:$1048576,$JG$93,$C322*2+6)</f>
        <v>703</v>
      </c>
      <c r="IB322" s="644">
        <f t="shared" si="1036"/>
        <v>544.78723879889174</v>
      </c>
      <c r="IC322" s="644">
        <f t="shared" si="1037"/>
        <v>732.84820367511179</v>
      </c>
      <c r="ID322" s="644">
        <f>IF(AND(INDEX(Input!$1:$1048576,IA$93,$C322*2+7)="TOS",Y322&lt;=INDEX(Y:Y,MATCH(C322*1000+2,A:A))),0,1)*MAX(IA322+HR322+HU322+HX322,0%)</f>
        <v>734.65230514486882</v>
      </c>
      <c r="IE322" s="128">
        <f t="shared" si="1107"/>
        <v>0.27073028668168114</v>
      </c>
      <c r="IF322" s="128">
        <f t="shared" si="1108"/>
        <v>0.36418658541368476</v>
      </c>
      <c r="IG322" s="128">
        <f t="shared" si="1014"/>
        <v>0.3650831279046341</v>
      </c>
      <c r="IH322" s="21"/>
      <c r="II322" s="19">
        <f t="shared" si="1015"/>
        <v>1200</v>
      </c>
      <c r="IJ322" s="19">
        <f t="shared" si="1016"/>
        <v>2224.493581030405</v>
      </c>
      <c r="IK322" s="19">
        <f t="shared" si="1017"/>
        <v>3451.75</v>
      </c>
      <c r="IL322" s="19">
        <f t="shared" si="1039"/>
        <v>400.00000000000023</v>
      </c>
      <c r="IM322" s="19">
        <f t="shared" si="1018"/>
        <v>147.53052200641923</v>
      </c>
      <c r="IN322" s="19">
        <f t="shared" si="1019"/>
        <v>184.25</v>
      </c>
      <c r="IO322" s="39">
        <f t="shared" si="1020"/>
        <v>0</v>
      </c>
      <c r="IP322" s="39">
        <f t="shared" si="1021"/>
        <v>0</v>
      </c>
      <c r="IQ322" s="39">
        <f t="shared" si="1022"/>
        <v>0</v>
      </c>
      <c r="IR322" s="39">
        <v>0</v>
      </c>
      <c r="IS322" s="39">
        <v>0</v>
      </c>
      <c r="IT322" s="39">
        <v>0</v>
      </c>
      <c r="IU322" s="39">
        <v>0</v>
      </c>
      <c r="IV322" s="39">
        <v>0</v>
      </c>
      <c r="IW322" s="39">
        <v>0</v>
      </c>
      <c r="IX322" s="39">
        <f>INDEX(Input!$1:$1048576,IX$93,$C322*2+6)+INDEX(Input!$1:$1048576,IX$94,$C322*2+6)</f>
        <v>1600</v>
      </c>
      <c r="IY322" s="39">
        <f>INDEX(Input!$1:$1048576,IY$93,$C322*2+6)+INDEX(Input!$1:$1048576,IY$94,$C322*2+6)</f>
        <v>2503.5492916397525</v>
      </c>
      <c r="IZ322" s="39">
        <f>INDEX(Input!$1:$1048576,IZ$93,$C322*2+6)+INDEX(Input!$1:$1048576,IZ$94,$C322*2+6)</f>
        <v>5773.7109265464023</v>
      </c>
      <c r="JA322" s="19">
        <f t="shared" si="1040"/>
        <v>2000.0000000000002</v>
      </c>
      <c r="JB322" s="19">
        <f t="shared" si="1041"/>
        <v>2651.0798136461717</v>
      </c>
      <c r="JC322" s="19">
        <f t="shared" si="1042"/>
        <v>5957.9609265464023</v>
      </c>
      <c r="JD322" s="19">
        <f t="shared" si="1043"/>
        <v>3682.0992893514617</v>
      </c>
      <c r="JE322" s="21"/>
      <c r="JF322" s="1">
        <f t="shared" si="1023"/>
        <v>4.6698303040990354E-2</v>
      </c>
      <c r="JG322" s="15">
        <f>INDEX(Input!$1:$1048576,JG$93,$C322*2+6)/(1+VLOOKUP(C322*1000+INDEX(Input!$1:$1048576,JG$93+1,$C322*2+6),$A:$KK,$JK$92,FALSE))</f>
        <v>1926</v>
      </c>
      <c r="JH322" s="1">
        <f t="shared" si="1044"/>
        <v>3.9098385833021956E-2</v>
      </c>
      <c r="JI322" s="1">
        <f t="shared" si="1045"/>
        <v>5.7031446025296688E-3</v>
      </c>
      <c r="JJ322" s="1">
        <f t="shared" si="1109"/>
        <v>0</v>
      </c>
      <c r="JK322" s="1">
        <f t="shared" si="1110"/>
        <v>4.4801530435551629E-2</v>
      </c>
      <c r="JL322" s="15">
        <f t="shared" si="1048"/>
        <v>86.28774761887243</v>
      </c>
      <c r="JM322" s="15">
        <f t="shared" si="1074"/>
        <v>2012.2877476188723</v>
      </c>
      <c r="JN322" s="21"/>
      <c r="JO322" s="19">
        <f>INDEX(Input!$1:$1048576,JO$93,$C322*2+6)</f>
        <v>5908.5</v>
      </c>
      <c r="JP322" s="19">
        <f>INDEX(Input!$1:$1048576,JP$93,$C322*2+6)</f>
        <v>3467.7694503767912</v>
      </c>
      <c r="JQ322" s="39">
        <f t="shared" si="1060"/>
        <v>2226.4007106485383</v>
      </c>
      <c r="JR322" s="39">
        <f t="shared" si="1077"/>
        <v>214.32983897467057</v>
      </c>
      <c r="JS322" s="39">
        <f t="shared" si="1062"/>
        <v>7.4094432854781029</v>
      </c>
      <c r="JT322" s="39">
        <f t="shared" si="1050"/>
        <v>0.73051932405240272</v>
      </c>
      <c r="JU322" s="385">
        <f>(JQ322*JM322-INDEX(Input!$1:$1048576,Input!A$18,$C322*2+6)*JL322*INDEX(Input!$1:$1048576,Input!A$19,$C322*2+6))/1000000</f>
        <v>4.4801588713280038</v>
      </c>
      <c r="JV322" s="39">
        <f t="shared" si="1084"/>
        <v>-0.22068816724629592</v>
      </c>
      <c r="JW322" s="1">
        <f t="shared" si="1075"/>
        <v>-4.6946468463102242E-2</v>
      </c>
      <c r="JX322" s="19">
        <f t="shared" si="1066"/>
        <v>8466.0840526173051</v>
      </c>
      <c r="JZ322" s="341"/>
      <c r="KA322" s="342"/>
      <c r="KB322" s="469">
        <f t="shared" si="1063"/>
        <v>2.7822247002359868</v>
      </c>
      <c r="KI322" s="473">
        <f t="shared" si="1090"/>
        <v>55.787238798891792</v>
      </c>
      <c r="KJ322" s="473">
        <f t="shared" si="1091"/>
        <v>-1.1517963248882097</v>
      </c>
      <c r="KK322" s="473">
        <f t="shared" si="1052"/>
        <v>31.652305144868819</v>
      </c>
      <c r="KN322" s="544">
        <f t="shared" si="1067"/>
        <v>3002</v>
      </c>
      <c r="KO322" s="541">
        <f t="shared" si="1027"/>
        <v>-2.3196420418918118E-2</v>
      </c>
      <c r="KP322" s="546">
        <f t="shared" si="1028"/>
        <v>-91.982245920803692</v>
      </c>
      <c r="KQ322" s="546">
        <f t="shared" si="1029"/>
        <v>-38.981928973911181</v>
      </c>
      <c r="KR322" s="548">
        <f t="shared" si="1030"/>
        <v>4.0283614744133152</v>
      </c>
      <c r="KS322" s="548">
        <f t="shared" si="1031"/>
        <v>9.5053719903230256</v>
      </c>
      <c r="KT322" s="473">
        <f t="shared" si="1065"/>
        <v>527.01264777847621</v>
      </c>
      <c r="KU322" s="663">
        <f t="shared" si="1053"/>
        <v>15.074641268802493</v>
      </c>
      <c r="KV322" s="117"/>
    </row>
    <row r="323" spans="1:308" s="26" customFormat="1" ht="15">
      <c r="A323" s="561">
        <f t="shared" si="1032"/>
        <v>3023</v>
      </c>
      <c r="B323" s="561">
        <f t="shared" si="1054"/>
        <v>23</v>
      </c>
      <c r="C323" s="561">
        <f t="shared" si="1055"/>
        <v>3</v>
      </c>
      <c r="D323" s="561" t="str">
        <f t="shared" si="1104"/>
        <v xml:space="preserve">0/0/0.9/3.9, </v>
      </c>
      <c r="E323" s="475">
        <f>INDEX(Input!$1:$1048576,E$93,$C323*2+MIN($B323,2)+5)
+INDEX(Scenarios!E$121:E$200,MATCH($B323,Scenarios!$B$121:$B$200,0))</f>
        <v>1250</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8.9999999999999993E-3</v>
      </c>
      <c r="W323" s="863">
        <f>IFERROR(MAX(0,INDEX(Input!$1:$1048576,W$93,$C323*2+MIN($B323,2)+5)-0%,),"Market")</f>
        <v>3.9000000000000007E-2</v>
      </c>
      <c r="X323" s="476" t="str">
        <f>INDEX(Input!$1:$1048576,X$93,$C323*2+MIN($B323,2)+5)</f>
        <v>Y</v>
      </c>
      <c r="Y323" s="475">
        <f>INDEX(Input!$1:$1048576,Y$93,$C323*2+MIN($B323,2)+5)
++INDEX(Scenarios!Y$121:Y$200,MATCH($B323,Scenarios!$B$121:$B$200,0))</f>
        <v>4108</v>
      </c>
      <c r="Z323" s="477">
        <f>INDEX(Input!$1:$1048576,Z$93,$C323*2+MIN($B323,2)+5)
+INDEX(Scenarios!Z$121:Z$200,MATCH($B323,Scenarios!$B$121:$B$200,0))</f>
        <v>0</v>
      </c>
      <c r="AA323" s="475">
        <f>INDEX(Input!$1:$1048576,AA$93,$C323*2+MIN($B323,2)+5)</f>
        <v>500</v>
      </c>
      <c r="AB323" s="476">
        <f>INDEX(Input!$1:$1048576,AB$93,$C323*2+MIN($B323,2)+5)</f>
        <v>0.62</v>
      </c>
      <c r="AC323" s="475">
        <f>INDEX(Input!$1:$1048576,AC$93,$C323*2+MIN($B323,2)+5)
+INDEX(Scenarios!AC$121:AC$200,MATCH($B323,Scenarios!$B$121:$B$200,0))</f>
        <v>0</v>
      </c>
      <c r="AD323" s="476">
        <f>INDEX(Input!$1:$1048576,AD$93,$C323*2+MIN($B323,2)+5)</f>
        <v>0.35</v>
      </c>
      <c r="AE323" s="475">
        <f>INDEX(Input!$1:$1048576,AE$93,$C323*2+MIN($B323,2)+5)
+INDEX(Scenarios!AE$121:AE$200,MATCH($B323,Scenarios!$B$121:$B$200,0))</f>
        <v>500</v>
      </c>
      <c r="AF323" s="476">
        <f>INDEX(Input!$1:$1048576,AF$93,$C323*2+MIN($B323,2)+5)</f>
        <v>0.97</v>
      </c>
      <c r="AG323" s="475">
        <f>INDEX(Input!$1:$1048576,AG$93,$C323*2+MIN($B323,2)+5)
+INDEX(Scenarios!AG$121:AG$200,MATCH($B323,Scenarios!$B$121:$B$200,0))</f>
        <v>0</v>
      </c>
      <c r="AH323" s="476">
        <f>INDEX(Input!$1:$1048576,AH$93,$C323*2+MIN($B323,2)+5)</f>
        <v>1</v>
      </c>
      <c r="AI323" s="475">
        <f>INDEX(Input!$1:$1048576,AI$93,$C323*2+MIN($B323,2)+5)
+INDEX(Scenarios!AI$121:AI$200,MATCH($B323,Scenarios!$B$121:$B$200,0))</f>
        <v>0</v>
      </c>
      <c r="AJ323" s="476">
        <f>INDEX(Input!$1:$1048576,AJ$93,$C323*2+MIN($B323,2)+5)</f>
        <v>0.35</v>
      </c>
      <c r="AK323" s="150">
        <f>ROUND(INDEX(Input!$1:$1048576,AK$93,$C322*2+MIN($B323,1)+5)+(Y323-VLOOKUP($C323*1000+1,$A:$HH,Y$92,FALSE)),0)</f>
        <v>4982</v>
      </c>
      <c r="AL323" s="150">
        <f>ROUND(INDEX(Input!$1:$1048576,AL$93,$C322*2+MIN($B323,1)+5)-(Y323-VLOOKUP($C323*1000+1,$A:$HH,Y$92,FALSE))/36,0)</f>
        <v>5102</v>
      </c>
      <c r="AM323" s="32" t="str">
        <f t="shared" si="1033"/>
        <v>std/std/std/std</v>
      </c>
      <c r="AN323" s="32" t="str">
        <f t="shared" si="1034"/>
        <v>$0 + 0/0/0/0.9/3.9</v>
      </c>
      <c r="AO323" s="32" t="str">
        <f t="shared" si="1035"/>
        <v>0/0/0/0.9/3.9</v>
      </c>
      <c r="AP323" s="32" t="str">
        <f t="shared" si="989"/>
        <v>0/0/0.9/3.9</v>
      </c>
      <c r="AQ323" s="536">
        <f t="shared" si="988"/>
        <v>485.24645260134736</v>
      </c>
      <c r="AR323" s="32"/>
      <c r="AS323" s="302"/>
      <c r="AT323" s="3">
        <f t="shared" si="1056"/>
        <v>23</v>
      </c>
      <c r="AU323" s="41" t="s">
        <v>121</v>
      </c>
      <c r="AV323" s="41" t="s">
        <v>116</v>
      </c>
      <c r="AW323" s="41" t="str">
        <f>INDEX(Input!$1:$1048576,AW$93,$C323*2+6)</f>
        <v>Kia</v>
      </c>
      <c r="AX323" s="41" t="str">
        <f>INDEX(Input!$1:$1048576,AX$93,$C323*2+6)</f>
        <v>Kia-LR - L3</v>
      </c>
      <c r="AY323" s="41" t="str">
        <f>IF(LEN(D323)=0,"",INDEX(Input!$1:$1048576,AY$93,$C323*2+6))</f>
        <v>Compact Conventional/Sporty Car (43)</v>
      </c>
      <c r="AZ323" s="41" t="str">
        <f>INDEX(Input!$1:$1048576,AZ$93,$C323*2+6)</f>
        <v>Kia Forte</v>
      </c>
      <c r="BA323" s="3">
        <f>INDEX(Input!$1:$1048576,BA$93,$C323*2+6)</f>
        <v>2020</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19695</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990"/>
        <v>1250</v>
      </c>
      <c r="CJ323" s="16" t="str">
        <f>INDEX(Input!$1:$1048576,CJ$93,$C323*2+6)</f>
        <v>N</v>
      </c>
      <c r="CK323" s="1" t="str">
        <f t="shared" si="991"/>
        <v>Market</v>
      </c>
      <c r="CL323" s="1" t="str">
        <f t="shared" si="992"/>
        <v>Market</v>
      </c>
      <c r="CM323" s="1" t="str">
        <f t="shared" si="993"/>
        <v>Market</v>
      </c>
      <c r="CN323" s="1" t="str">
        <f t="shared" si="994"/>
        <v>Market</v>
      </c>
      <c r="CO323" s="1" t="str">
        <f t="shared" si="995"/>
        <v>Market</v>
      </c>
      <c r="CP323" s="304">
        <f t="shared" si="996"/>
        <v>310</v>
      </c>
      <c r="CQ323" s="1">
        <f t="shared" si="997"/>
        <v>0</v>
      </c>
      <c r="CR323" s="1">
        <f t="shared" si="998"/>
        <v>0</v>
      </c>
      <c r="CS323" s="1">
        <f t="shared" si="999"/>
        <v>0</v>
      </c>
      <c r="CT323" s="1">
        <f t="shared" si="1000"/>
        <v>8.9999999999999993E-3</v>
      </c>
      <c r="CU323" s="1">
        <f t="shared" si="1001"/>
        <v>3.9000000000000007E-2</v>
      </c>
      <c r="CV323" s="304">
        <f t="shared" si="1002"/>
        <v>4593</v>
      </c>
      <c r="CW323" s="20" t="s">
        <v>122</v>
      </c>
      <c r="CX323" s="20" t="s">
        <v>122</v>
      </c>
      <c r="CY323" s="20" t="s">
        <v>122</v>
      </c>
      <c r="CZ323" s="20" t="s">
        <v>122</v>
      </c>
      <c r="DA323" s="20" t="s">
        <v>122</v>
      </c>
      <c r="DB323" s="503">
        <f t="shared" si="1003"/>
        <v>0</v>
      </c>
      <c r="DC323" s="127">
        <v>0</v>
      </c>
      <c r="DD323" s="127">
        <v>0</v>
      </c>
      <c r="DE323" s="127">
        <v>0</v>
      </c>
      <c r="DF323" s="127">
        <v>0</v>
      </c>
      <c r="DG323" s="127">
        <v>0</v>
      </c>
      <c r="DH323" s="127">
        <v>0</v>
      </c>
      <c r="DI323" s="127">
        <v>0</v>
      </c>
      <c r="DJ323" s="127">
        <v>0</v>
      </c>
      <c r="DK323" s="127">
        <v>0</v>
      </c>
      <c r="DL323" s="127">
        <v>0</v>
      </c>
      <c r="DM323" s="304">
        <f>INDEX(Input!$1:$1048576,DM$93,$C323*2+6)</f>
        <v>20731.578947368424</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3.3179849163407014E-2</v>
      </c>
      <c r="DZ323" s="7">
        <v>0</v>
      </c>
      <c r="EA323" s="7">
        <v>0.58705125627810117</v>
      </c>
      <c r="EB323" s="7">
        <v>0</v>
      </c>
      <c r="EC323" s="7">
        <v>0</v>
      </c>
      <c r="ED323" s="7">
        <v>0</v>
      </c>
      <c r="EE323" s="7">
        <v>0</v>
      </c>
      <c r="EF323" s="7">
        <v>0</v>
      </c>
      <c r="EG323" s="7">
        <v>0</v>
      </c>
      <c r="EH323" s="7">
        <v>1.013999571784027E-2</v>
      </c>
      <c r="EI323" s="7">
        <v>1.28586219896933E-2</v>
      </c>
      <c r="EJ323" s="7">
        <v>0.18469940796344292</v>
      </c>
      <c r="EK323" s="7">
        <v>0.75569396099452779</v>
      </c>
      <c r="EL323" s="7">
        <v>3.6608013334495461E-2</v>
      </c>
      <c r="EM323" s="7">
        <v>6.5147245879350613E-2</v>
      </c>
      <c r="EN323" s="7">
        <v>5.8903840649550732E-2</v>
      </c>
      <c r="EO323" s="7">
        <v>0.5680644908961251</v>
      </c>
      <c r="EP323" s="7">
        <v>0.27410709591931864</v>
      </c>
      <c r="EQ323" s="7">
        <v>5.8713575146425348E-2</v>
      </c>
      <c r="ER323" s="7">
        <v>4.0210997388580243E-2</v>
      </c>
      <c r="ES323" s="7">
        <v>0.31462164867914127</v>
      </c>
      <c r="ET323" s="7">
        <v>0.37976889455849183</v>
      </c>
      <c r="EU323" s="6">
        <v>1600</v>
      </c>
      <c r="EV323" s="6">
        <v>0</v>
      </c>
      <c r="EW323" s="6">
        <v>1600</v>
      </c>
      <c r="EX323" s="6">
        <v>0</v>
      </c>
      <c r="EY323" s="6">
        <v>2973.1946315778064</v>
      </c>
      <c r="EZ323" s="6">
        <v>3636</v>
      </c>
      <c r="FA323" s="6">
        <v>0</v>
      </c>
      <c r="FB323" s="6">
        <v>0</v>
      </c>
      <c r="FC323" s="6">
        <v>0</v>
      </c>
      <c r="FD323" s="6">
        <v>0</v>
      </c>
      <c r="FE323" s="6">
        <v>0</v>
      </c>
      <c r="FF323" s="6">
        <v>0</v>
      </c>
      <c r="FG323" s="6">
        <v>0</v>
      </c>
      <c r="FH323" s="6">
        <v>1154.3283887042646</v>
      </c>
      <c r="FI323" s="6">
        <v>1531.4299904380618</v>
      </c>
      <c r="FJ323" s="6">
        <v>2070.7205842538224</v>
      </c>
      <c r="FK323" s="6">
        <v>2218.6393698501015</v>
      </c>
      <c r="FL323" s="6">
        <v>893.91433563489375</v>
      </c>
      <c r="FM323" s="6">
        <v>2123.1946315778064</v>
      </c>
      <c r="FN323" s="6">
        <v>0</v>
      </c>
      <c r="FO323" s="6">
        <v>0</v>
      </c>
      <c r="FP323" s="6">
        <v>0</v>
      </c>
      <c r="FQ323" s="6">
        <v>0</v>
      </c>
      <c r="FR323" s="6">
        <v>0</v>
      </c>
      <c r="FS323" s="6">
        <v>0</v>
      </c>
      <c r="FT323" s="7">
        <v>0.62023110544150817</v>
      </c>
      <c r="FU323" s="7">
        <v>6.5147245879350613E-2</v>
      </c>
      <c r="FV323" s="7">
        <v>0.31462164867914127</v>
      </c>
      <c r="FW323" s="6">
        <v>1600</v>
      </c>
      <c r="FX323" s="6">
        <v>2973.1946315778064</v>
      </c>
      <c r="FY323" s="6">
        <v>3636</v>
      </c>
      <c r="FZ323" s="6">
        <v>2202.331475193394</v>
      </c>
      <c r="GA323" s="6">
        <v>2330.0295250143354</v>
      </c>
      <c r="GB323" s="6">
        <v>17364.970474985665</v>
      </c>
      <c r="GC323" s="7">
        <v>4.8391397220736806E-2</v>
      </c>
      <c r="GD323" s="7">
        <v>4.9200985054423885E-2</v>
      </c>
      <c r="GE323" s="7"/>
      <c r="GF323" s="7"/>
      <c r="GG323" s="7">
        <v>1.6729995002916585E-2</v>
      </c>
      <c r="GH323" s="42">
        <v>2.5802841315467564</v>
      </c>
      <c r="GI323" s="6">
        <v>9962.909857535622</v>
      </c>
      <c r="GJ323" s="14">
        <v>0.5107463060103955</v>
      </c>
      <c r="GK323" s="14">
        <v>0.5082951978616097</v>
      </c>
      <c r="GL323" s="14">
        <v>0.48925369398960422</v>
      </c>
      <c r="GM323" s="14">
        <v>0.49170480213839018</v>
      </c>
      <c r="GO323" s="5">
        <v>338.16872463277008</v>
      </c>
      <c r="GP323" s="5">
        <v>307.64377699166363</v>
      </c>
      <c r="GQ323" s="5">
        <v>527.27910984145694</v>
      </c>
      <c r="GR323" s="5">
        <v>404.20319246551543</v>
      </c>
      <c r="GS323" s="5">
        <v>334.50205195691484</v>
      </c>
      <c r="GT323" s="5">
        <v>289.18266033348181</v>
      </c>
      <c r="GU323" s="5">
        <v>254.29573314828914</v>
      </c>
      <c r="GV323" s="39" t="s">
        <v>392</v>
      </c>
      <c r="GW323" s="5">
        <v>468.76388888888891</v>
      </c>
      <c r="GX323" s="5">
        <v>351.57291666666669</v>
      </c>
      <c r="GY323" s="5">
        <v>281.25833333333333</v>
      </c>
      <c r="GZ323" s="5">
        <v>240.8550698915011</v>
      </c>
      <c r="HA323" s="5">
        <v>229.8919505212948</v>
      </c>
      <c r="HB323" s="39">
        <v>251.65086409679247</v>
      </c>
      <c r="HC323" s="5">
        <v>124.04062499999996</v>
      </c>
      <c r="HD323" s="5">
        <v>127.75060307017539</v>
      </c>
      <c r="HE323" s="5">
        <v>136.66051366396758</v>
      </c>
      <c r="HF323" s="5">
        <v>133.62067434210525</v>
      </c>
      <c r="HG323" s="5">
        <v>137.88493421052632</v>
      </c>
      <c r="HH323" s="39">
        <v>130.72650526464059</v>
      </c>
      <c r="HI323" s="16"/>
      <c r="HJ323" s="19" t="str">
        <f t="shared" si="1105"/>
        <v>On</v>
      </c>
      <c r="HK323" s="1" t="str">
        <f t="shared" si="1105"/>
        <v>On</v>
      </c>
      <c r="HL323" s="16"/>
      <c r="HM323" s="639">
        <f t="shared" si="1004"/>
        <v>2.8970655363290673E-2</v>
      </c>
      <c r="HN323" s="639">
        <f t="shared" si="1005"/>
        <v>2.1835179285533651E-3</v>
      </c>
      <c r="HO323" s="639">
        <f t="shared" si="1006"/>
        <v>1.5544129749146325E-2</v>
      </c>
      <c r="HP323" s="644">
        <f>(FT323*$GD323-HM323)/$JF323*INDEX(Input!$1:$1048576,$JG$93,$C323*2+6)</f>
        <v>63.734603933850437</v>
      </c>
      <c r="HQ323" s="644">
        <f>(FU323*$GD323-HN323)/$JF323*INDEX(Input!$1:$1048576,$JG$93,$C323*2+6)</f>
        <v>42.142194501794769</v>
      </c>
      <c r="HR323" s="644">
        <f>(FV323*$GD323-HO323)/$JF323*INDEX(Input!$1:$1048576,$JG$93,$C323*2+6)</f>
        <v>-2.6575111385891748</v>
      </c>
      <c r="HS323" s="644">
        <f t="shared" si="1106"/>
        <v>-28.438989200770962</v>
      </c>
      <c r="HT323" s="644">
        <f t="shared" si="1008"/>
        <v>103.72039152120726</v>
      </c>
      <c r="HU323" s="644">
        <f t="shared" si="1009"/>
        <v>22.8682724739005</v>
      </c>
      <c r="HV323" s="648">
        <f t="shared" si="1010"/>
        <v>0</v>
      </c>
      <c r="HW323" s="648">
        <f t="shared" si="1011"/>
        <v>0</v>
      </c>
      <c r="HX323" s="648">
        <f t="shared" si="1012"/>
        <v>0</v>
      </c>
      <c r="HY323" s="644">
        <f>INDEX(Input!$1:$1048576,HY$93,$C323*2+6)*INDEX(Input!$1:$1048576,$JG$93,$C323*2+6)</f>
        <v>488.99999999999994</v>
      </c>
      <c r="HZ323" s="644">
        <f>INDEX(Input!$1:$1048576,HZ$93,$C323*2+6)*INDEX(Input!$1:$1048576,$JG$93,$C323*2+6)</f>
        <v>734</v>
      </c>
      <c r="IA323" s="644">
        <f>INDEX(Input!$1:$1048576,IA$93,$C323*2+6)*INDEX(Input!$1:$1048576,$JG$93,$C323*2+6)</f>
        <v>703</v>
      </c>
      <c r="IB323" s="644">
        <f t="shared" si="1036"/>
        <v>524.29561473307956</v>
      </c>
      <c r="IC323" s="644">
        <f t="shared" si="1037"/>
        <v>879.862586023002</v>
      </c>
      <c r="ID323" s="644">
        <f>IF(AND(INDEX(Input!$1:$1048576,IA$93,$C323*2+7)="TOS",Y323&lt;=INDEX(Y:Y,MATCH(C323*1000+2,A:A))),0,1)*MAX(IA323+HR323+HU323+HX323,0%)</f>
        <v>723.2107613353113</v>
      </c>
      <c r="IE323" s="128">
        <f t="shared" si="1107"/>
        <v>0.24645260134737057</v>
      </c>
      <c r="IF323" s="128">
        <f t="shared" si="1108"/>
        <v>0.41359190704654203</v>
      </c>
      <c r="IG323" s="128">
        <f t="shared" si="1014"/>
        <v>0.33995549160608735</v>
      </c>
      <c r="IH323" s="21"/>
      <c r="II323" s="19">
        <f t="shared" si="1015"/>
        <v>1200</v>
      </c>
      <c r="IJ323" s="19">
        <f t="shared" si="1016"/>
        <v>2224.493581030405</v>
      </c>
      <c r="IK323" s="19">
        <f t="shared" si="1017"/>
        <v>3451.75</v>
      </c>
      <c r="IL323" s="19">
        <f t="shared" si="1039"/>
        <v>400</v>
      </c>
      <c r="IM323" s="19">
        <f t="shared" si="1018"/>
        <v>748.70105054740134</v>
      </c>
      <c r="IN323" s="19">
        <f t="shared" si="1019"/>
        <v>184.25</v>
      </c>
      <c r="IO323" s="39">
        <f t="shared" si="1020"/>
        <v>0</v>
      </c>
      <c r="IP323" s="39">
        <f t="shared" si="1021"/>
        <v>0</v>
      </c>
      <c r="IQ323" s="39">
        <f t="shared" si="1022"/>
        <v>0</v>
      </c>
      <c r="IR323" s="39">
        <v>0</v>
      </c>
      <c r="IS323" s="39">
        <v>0</v>
      </c>
      <c r="IT323" s="39">
        <v>0</v>
      </c>
      <c r="IU323" s="39">
        <v>0</v>
      </c>
      <c r="IV323" s="39">
        <v>0</v>
      </c>
      <c r="IW323" s="39">
        <v>0</v>
      </c>
      <c r="IX323" s="39">
        <f>INDEX(Input!$1:$1048576,IX$93,$C323*2+6)+INDEX(Input!$1:$1048576,IX$94,$C323*2+6)</f>
        <v>1600</v>
      </c>
      <c r="IY323" s="39">
        <f>INDEX(Input!$1:$1048576,IY$93,$C323*2+6)+INDEX(Input!$1:$1048576,IY$94,$C323*2+6)</f>
        <v>2503.5492916397525</v>
      </c>
      <c r="IZ323" s="39">
        <f>INDEX(Input!$1:$1048576,IZ$93,$C323*2+6)+INDEX(Input!$1:$1048576,IZ$94,$C323*2+6)</f>
        <v>5773.7109265464023</v>
      </c>
      <c r="JA323" s="19">
        <f t="shared" si="1040"/>
        <v>2000</v>
      </c>
      <c r="JB323" s="19">
        <f t="shared" si="1041"/>
        <v>3252.2503421871538</v>
      </c>
      <c r="JC323" s="19">
        <f t="shared" si="1042"/>
        <v>5957.9609265464023</v>
      </c>
      <c r="JD323" s="19">
        <f t="shared" si="1043"/>
        <v>3863.4511596666371</v>
      </c>
      <c r="JE323" s="21"/>
      <c r="JF323" s="1">
        <f t="shared" si="1023"/>
        <v>4.6698303040990354E-2</v>
      </c>
      <c r="JG323" s="15">
        <f>INDEX(Input!$1:$1048576,JG$93,$C323*2+6)/(1+VLOOKUP(C323*1000+INDEX(Input!$1:$1048576,JG$93+1,$C323*2+6),$A:$KK,$JK$92,FALSE))</f>
        <v>1926</v>
      </c>
      <c r="JH323" s="1">
        <f t="shared" si="1044"/>
        <v>5.3592568690060252E-2</v>
      </c>
      <c r="JI323" s="1">
        <f t="shared" si="1045"/>
        <v>5.0960371128939148E-2</v>
      </c>
      <c r="JJ323" s="1">
        <f t="shared" si="1109"/>
        <v>0</v>
      </c>
      <c r="JK323" s="1">
        <f t="shared" si="1110"/>
        <v>0.10455293981899941</v>
      </c>
      <c r="JL323" s="15">
        <f t="shared" si="1048"/>
        <v>201.36896209139286</v>
      </c>
      <c r="JM323" s="15">
        <f t="shared" si="1074"/>
        <v>2127.3689620913929</v>
      </c>
      <c r="JN323" s="21"/>
      <c r="JO323" s="19">
        <f>INDEX(Input!$1:$1048576,JO$93,$C323*2+6)</f>
        <v>5908.5</v>
      </c>
      <c r="JP323" s="19">
        <f>INDEX(Input!$1:$1048576,JP$93,$C323*2+6)</f>
        <v>3467.7694503767912</v>
      </c>
      <c r="JQ323" s="39">
        <f t="shared" si="1060"/>
        <v>2045.0488403333629</v>
      </c>
      <c r="JR323" s="39">
        <f t="shared" si="1077"/>
        <v>395.68170928984591</v>
      </c>
      <c r="JS323" s="39">
        <f t="shared" si="1062"/>
        <v>8.2189860836308029</v>
      </c>
      <c r="JT323" s="39">
        <f t="shared" si="1050"/>
        <v>1.5400621222051019</v>
      </c>
      <c r="JU323" s="385">
        <f>(JQ323*JM323-INDEX(Input!$1:$1048576,Input!A$18,$C323*2+6)*JL323*INDEX(Input!$1:$1048576,Input!A$19,$C323*2+6))/1000000</f>
        <v>4.350573428886193</v>
      </c>
      <c r="JV323" s="39">
        <f t="shared" si="1084"/>
        <v>-0.35027360968810672</v>
      </c>
      <c r="JW323" s="1">
        <f t="shared" si="1075"/>
        <v>-7.4512871151480767E-2</v>
      </c>
      <c r="JX323" s="19">
        <f t="shared" si="1066"/>
        <v>7647.9617623799086</v>
      </c>
      <c r="JZ323" s="341"/>
      <c r="KA323" s="342"/>
      <c r="KB323" s="469">
        <f t="shared" si="1063"/>
        <v>2.7822247002359868</v>
      </c>
      <c r="KI323" s="473">
        <f t="shared" si="1090"/>
        <v>35.295614733079617</v>
      </c>
      <c r="KJ323" s="473">
        <f t="shared" si="1091"/>
        <v>145.862586023002</v>
      </c>
      <c r="KK323" s="473">
        <f t="shared" si="1052"/>
        <v>20.210761335311304</v>
      </c>
      <c r="KN323" s="544">
        <f t="shared" si="1067"/>
        <v>3002</v>
      </c>
      <c r="KO323" s="541">
        <f t="shared" si="1027"/>
        <v>3.2666237579329183E-2</v>
      </c>
      <c r="KP323" s="546">
        <f t="shared" si="1028"/>
        <v>144.17876618538438</v>
      </c>
      <c r="KQ323" s="546">
        <f t="shared" si="1029"/>
        <v>142.36994134126417</v>
      </c>
      <c r="KR323" s="548">
        <f t="shared" si="1030"/>
        <v>3.6191725023097634</v>
      </c>
      <c r="KS323" s="548">
        <f t="shared" si="1031"/>
        <v>3.6651544636399485</v>
      </c>
      <c r="KT323" s="473">
        <f t="shared" si="1065"/>
        <v>527.01264777847621</v>
      </c>
      <c r="KU323" s="663">
        <f t="shared" si="1053"/>
        <v>15.480210208056324</v>
      </c>
      <c r="KV323" s="117"/>
    </row>
    <row r="324" spans="1:308" s="26" customFormat="1" ht="15">
      <c r="A324" s="561">
        <f t="shared" si="1032"/>
        <v>3024</v>
      </c>
      <c r="B324" s="561">
        <f t="shared" si="1054"/>
        <v>24</v>
      </c>
      <c r="C324" s="561">
        <f t="shared" si="1055"/>
        <v>3</v>
      </c>
      <c r="D324" s="561" t="str">
        <f t="shared" si="1104"/>
        <v xml:space="preserve">0/0/0/3.9, </v>
      </c>
      <c r="E324" s="475">
        <f>INDEX(Input!$1:$1048576,E$93,$C324*2+MIN($B324,2)+5)
+INDEX(Scenarios!E$121:E$200,MATCH($B324,Scenarios!$B$121:$B$200,0))</f>
        <v>1250</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63">
        <f>IFERROR(MAX(0,INDEX(Input!$1:$1048576,W$93,$C324*2+MIN($B324,2)+5)-0%,),"Market")</f>
        <v>3.9000000000000007E-2</v>
      </c>
      <c r="X324" s="476" t="str">
        <f>INDEX(Input!$1:$1048576,X$93,$C324*2+MIN($B324,2)+5)</f>
        <v>Y</v>
      </c>
      <c r="Y324" s="475">
        <f>INDEX(Input!$1:$1048576,Y$93,$C324*2+MIN($B324,2)+5)
++INDEX(Scenarios!Y$121:Y$200,MATCH($B324,Scenarios!$B$121:$B$200,0))</f>
        <v>4108</v>
      </c>
      <c r="Z324" s="477">
        <f>INDEX(Input!$1:$1048576,Z$93,$C324*2+MIN($B324,2)+5)
+INDEX(Scenarios!Z$121:Z$200,MATCH($B324,Scenarios!$B$121:$B$200,0))</f>
        <v>0</v>
      </c>
      <c r="AA324" s="475">
        <f>INDEX(Input!$1:$1048576,AA$93,$C324*2+MIN($B324,2)+5)</f>
        <v>500</v>
      </c>
      <c r="AB324" s="476">
        <f>INDEX(Input!$1:$1048576,AB$93,$C324*2+MIN($B324,2)+5)</f>
        <v>0.62</v>
      </c>
      <c r="AC324" s="475">
        <f>INDEX(Input!$1:$1048576,AC$93,$C324*2+MIN($B324,2)+5)
+INDEX(Scenarios!AC$121:AC$200,MATCH($B324,Scenarios!$B$121:$B$200,0))</f>
        <v>0</v>
      </c>
      <c r="AD324" s="476">
        <f>INDEX(Input!$1:$1048576,AD$93,$C324*2+MIN($B324,2)+5)</f>
        <v>0.35</v>
      </c>
      <c r="AE324" s="475">
        <f>INDEX(Input!$1:$1048576,AE$93,$C324*2+MIN($B324,2)+5)
+INDEX(Scenarios!AE$121:AE$200,MATCH($B324,Scenarios!$B$121:$B$200,0))</f>
        <v>500</v>
      </c>
      <c r="AF324" s="476">
        <f>INDEX(Input!$1:$1048576,AF$93,$C324*2+MIN($B324,2)+5)</f>
        <v>0.97</v>
      </c>
      <c r="AG324" s="475">
        <f>INDEX(Input!$1:$1048576,AG$93,$C324*2+MIN($B324,2)+5)
+INDEX(Scenarios!AG$121:AG$200,MATCH($B324,Scenarios!$B$121:$B$200,0))</f>
        <v>0</v>
      </c>
      <c r="AH324" s="476">
        <f>INDEX(Input!$1:$1048576,AH$93,$C324*2+MIN($B324,2)+5)</f>
        <v>1</v>
      </c>
      <c r="AI324" s="475">
        <f>INDEX(Input!$1:$1048576,AI$93,$C324*2+MIN($B324,2)+5)
+INDEX(Scenarios!AI$121:AI$200,MATCH($B324,Scenarios!$B$121:$B$200,0))</f>
        <v>0</v>
      </c>
      <c r="AJ324" s="476">
        <f>INDEX(Input!$1:$1048576,AJ$93,$C324*2+MIN($B324,2)+5)</f>
        <v>0.35</v>
      </c>
      <c r="AK324" s="150">
        <f>ROUND(INDEX(Input!$1:$1048576,AK$93,$C323*2+MIN($B324,1)+5)+(Y324-VLOOKUP($C324*1000+1,$A:$HH,Y$92,FALSE)),0)</f>
        <v>4982</v>
      </c>
      <c r="AL324" s="150">
        <f>ROUND(INDEX(Input!$1:$1048576,AL$93,$C323*2+MIN($B324,1)+5)-(Y324-VLOOKUP($C324*1000+1,$A:$HH,Y$92,FALSE))/36,0)</f>
        <v>5102</v>
      </c>
      <c r="AM324" s="32" t="str">
        <f t="shared" si="1033"/>
        <v>std/std/std/std</v>
      </c>
      <c r="AN324" s="32" t="str">
        <f t="shared" si="1034"/>
        <v>$0 + 0/0/0/0/3.9</v>
      </c>
      <c r="AO324" s="32" t="str">
        <f t="shared" si="1035"/>
        <v>0/0/0/0/3.9</v>
      </c>
      <c r="AP324" s="32" t="str">
        <f t="shared" si="989"/>
        <v>0/0/0/3.9</v>
      </c>
      <c r="AQ324" s="536">
        <f t="shared" si="988"/>
        <v>485.23009654695369</v>
      </c>
      <c r="AR324" s="32"/>
      <c r="AS324" s="302"/>
      <c r="AT324" s="3">
        <f t="shared" si="1056"/>
        <v>24</v>
      </c>
      <c r="AU324" s="41" t="s">
        <v>121</v>
      </c>
      <c r="AV324" s="41" t="s">
        <v>116</v>
      </c>
      <c r="AW324" s="41" t="str">
        <f>INDEX(Input!$1:$1048576,AW$93,$C324*2+6)</f>
        <v>Kia</v>
      </c>
      <c r="AX324" s="41" t="str">
        <f>INDEX(Input!$1:$1048576,AX$93,$C324*2+6)</f>
        <v>Kia-LR - L3</v>
      </c>
      <c r="AY324" s="41" t="str">
        <f>IF(LEN(D324)=0,"",INDEX(Input!$1:$1048576,AY$93,$C324*2+6))</f>
        <v>Compact Conventional/Sporty Car (43)</v>
      </c>
      <c r="AZ324" s="41" t="str">
        <f>INDEX(Input!$1:$1048576,AZ$93,$C324*2+6)</f>
        <v>Kia Forte</v>
      </c>
      <c r="BA324" s="3">
        <f>INDEX(Input!$1:$1048576,BA$93,$C324*2+6)</f>
        <v>2020</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19695</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990"/>
        <v>1250</v>
      </c>
      <c r="CJ324" s="16" t="str">
        <f>INDEX(Input!$1:$1048576,CJ$93,$C324*2+6)</f>
        <v>N</v>
      </c>
      <c r="CK324" s="1" t="str">
        <f t="shared" si="991"/>
        <v>Market</v>
      </c>
      <c r="CL324" s="1" t="str">
        <f t="shared" si="992"/>
        <v>Market</v>
      </c>
      <c r="CM324" s="1" t="str">
        <f t="shared" si="993"/>
        <v>Market</v>
      </c>
      <c r="CN324" s="1" t="str">
        <f t="shared" si="994"/>
        <v>Market</v>
      </c>
      <c r="CO324" s="1" t="str">
        <f t="shared" si="995"/>
        <v>Market</v>
      </c>
      <c r="CP324" s="304">
        <f t="shared" si="996"/>
        <v>310</v>
      </c>
      <c r="CQ324" s="1">
        <f t="shared" si="997"/>
        <v>0</v>
      </c>
      <c r="CR324" s="1">
        <f t="shared" si="998"/>
        <v>0</v>
      </c>
      <c r="CS324" s="1">
        <f t="shared" si="999"/>
        <v>0</v>
      </c>
      <c r="CT324" s="1">
        <f t="shared" si="1000"/>
        <v>0</v>
      </c>
      <c r="CU324" s="1">
        <f t="shared" si="1001"/>
        <v>3.9000000000000007E-2</v>
      </c>
      <c r="CV324" s="304">
        <f t="shared" si="1002"/>
        <v>4593</v>
      </c>
      <c r="CW324" s="20" t="s">
        <v>122</v>
      </c>
      <c r="CX324" s="20" t="s">
        <v>122</v>
      </c>
      <c r="CY324" s="20" t="s">
        <v>122</v>
      </c>
      <c r="CZ324" s="20" t="s">
        <v>122</v>
      </c>
      <c r="DA324" s="20" t="s">
        <v>122</v>
      </c>
      <c r="DB324" s="503">
        <f t="shared" si="1003"/>
        <v>0</v>
      </c>
      <c r="DC324" s="127">
        <v>0</v>
      </c>
      <c r="DD324" s="127">
        <v>0</v>
      </c>
      <c r="DE324" s="127">
        <v>0</v>
      </c>
      <c r="DF324" s="127">
        <v>0</v>
      </c>
      <c r="DG324" s="127">
        <v>0</v>
      </c>
      <c r="DH324" s="127">
        <v>0</v>
      </c>
      <c r="DI324" s="127">
        <v>0</v>
      </c>
      <c r="DJ324" s="127">
        <v>0</v>
      </c>
      <c r="DK324" s="127">
        <v>0</v>
      </c>
      <c r="DL324" s="127">
        <v>0</v>
      </c>
      <c r="DM324" s="304">
        <f>INDEX(Input!$1:$1048576,DM$93,$C324*2+6)</f>
        <v>20731.578947368424</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3.2383596046087468E-2</v>
      </c>
      <c r="DZ324" s="7">
        <v>0</v>
      </c>
      <c r="EA324" s="7">
        <v>0.57276654709440888</v>
      </c>
      <c r="EB324" s="7">
        <v>0</v>
      </c>
      <c r="EC324" s="7">
        <v>0</v>
      </c>
      <c r="ED324" s="7">
        <v>0</v>
      </c>
      <c r="EE324" s="7">
        <v>0</v>
      </c>
      <c r="EF324" s="7">
        <v>0</v>
      </c>
      <c r="EG324" s="7">
        <v>0</v>
      </c>
      <c r="EH324" s="7">
        <v>7.2798372529331449E-3</v>
      </c>
      <c r="EI324" s="7">
        <v>9.2346162703418402E-3</v>
      </c>
      <c r="EJ324" s="7">
        <v>0.13256738343179411</v>
      </c>
      <c r="EK324" s="7">
        <v>0.82461024740001321</v>
      </c>
      <c r="EL324" s="7">
        <v>2.6307915644917378E-2</v>
      </c>
      <c r="EM324" s="7">
        <v>8.8363674533566916E-2</v>
      </c>
      <c r="EN324" s="7">
        <v>5.8903840649550725E-2</v>
      </c>
      <c r="EO324" s="7">
        <v>0.5680644908961251</v>
      </c>
      <c r="EP324" s="7">
        <v>0.2741070959193187</v>
      </c>
      <c r="EQ324" s="7">
        <v>5.8713575146425348E-2</v>
      </c>
      <c r="ER324" s="7">
        <v>4.0210997388580236E-2</v>
      </c>
      <c r="ES324" s="7">
        <v>0.30648618232593677</v>
      </c>
      <c r="ET324" s="7">
        <v>0.39484985685950363</v>
      </c>
      <c r="EU324" s="6">
        <v>1600</v>
      </c>
      <c r="EV324" s="6">
        <v>0</v>
      </c>
      <c r="EW324" s="6">
        <v>1600</v>
      </c>
      <c r="EX324" s="6">
        <v>0</v>
      </c>
      <c r="EY324" s="6">
        <v>3343.7467593220726</v>
      </c>
      <c r="EZ324" s="6">
        <v>3636</v>
      </c>
      <c r="FA324" s="6">
        <v>0</v>
      </c>
      <c r="FB324" s="6">
        <v>0</v>
      </c>
      <c r="FC324" s="6">
        <v>0</v>
      </c>
      <c r="FD324" s="6">
        <v>0</v>
      </c>
      <c r="FE324" s="6">
        <v>0</v>
      </c>
      <c r="FF324" s="6">
        <v>0</v>
      </c>
      <c r="FG324" s="6">
        <v>0</v>
      </c>
      <c r="FH324" s="6">
        <v>1154.3293370456106</v>
      </c>
      <c r="FI324" s="6">
        <v>1531.4299904380618</v>
      </c>
      <c r="FJ324" s="6">
        <v>2070.7205842538215</v>
      </c>
      <c r="FK324" s="6">
        <v>2635.3956133202919</v>
      </c>
      <c r="FL324" s="6">
        <v>893.91433563489363</v>
      </c>
      <c r="FM324" s="6">
        <v>2493.7467593220726</v>
      </c>
      <c r="FN324" s="6">
        <v>0</v>
      </c>
      <c r="FO324" s="6">
        <v>0</v>
      </c>
      <c r="FP324" s="6">
        <v>0</v>
      </c>
      <c r="FQ324" s="6">
        <v>0</v>
      </c>
      <c r="FR324" s="6">
        <v>0</v>
      </c>
      <c r="FS324" s="6">
        <v>0</v>
      </c>
      <c r="FT324" s="7">
        <v>0.60515014314049631</v>
      </c>
      <c r="FU324" s="7">
        <v>8.8363674533566916E-2</v>
      </c>
      <c r="FV324" s="7">
        <v>0.30648618232593677</v>
      </c>
      <c r="FW324" s="6">
        <v>1600.0000000000002</v>
      </c>
      <c r="FX324" s="6">
        <v>3343.7467593220722</v>
      </c>
      <c r="FY324" s="6">
        <v>3636</v>
      </c>
      <c r="FZ324" s="6">
        <v>2202.331475193394</v>
      </c>
      <c r="GA324" s="6">
        <v>2378.089738325305</v>
      </c>
      <c r="GB324" s="6">
        <v>17316.910261674697</v>
      </c>
      <c r="GC324" s="7">
        <v>4.8391397220736806E-2</v>
      </c>
      <c r="GD324" s="7">
        <v>4.9753819732127315E-2</v>
      </c>
      <c r="GE324" s="7"/>
      <c r="GF324" s="7"/>
      <c r="GG324" s="7">
        <v>2.8154229669704173E-2</v>
      </c>
      <c r="GH324" s="42">
        <v>3.1548875339571332</v>
      </c>
      <c r="GI324" s="6">
        <v>8620.784537431764</v>
      </c>
      <c r="GJ324" s="14">
        <v>0.51074630601039561</v>
      </c>
      <c r="GK324" s="14">
        <v>0.50829519786160982</v>
      </c>
      <c r="GL324" s="14">
        <v>0.48925369398960422</v>
      </c>
      <c r="GM324" s="14">
        <v>0.4917048021383903</v>
      </c>
      <c r="GO324" s="5">
        <v>338.16872463277008</v>
      </c>
      <c r="GP324" s="5">
        <v>307.64377699166363</v>
      </c>
      <c r="GQ324" s="5">
        <v>527.27910984145694</v>
      </c>
      <c r="GR324" s="5">
        <v>404.20319246551543</v>
      </c>
      <c r="GS324" s="5">
        <v>334.50205195691484</v>
      </c>
      <c r="GT324" s="5">
        <v>289.18266033348181</v>
      </c>
      <c r="GU324" s="5">
        <v>254.29573314828914</v>
      </c>
      <c r="GV324" s="39" t="s">
        <v>392</v>
      </c>
      <c r="GW324" s="5">
        <v>468.76388888888891</v>
      </c>
      <c r="GX324" s="5">
        <v>351.57291666666669</v>
      </c>
      <c r="GY324" s="5">
        <v>281.25833333333333</v>
      </c>
      <c r="GZ324" s="5">
        <v>234.38194444444446</v>
      </c>
      <c r="HA324" s="5">
        <v>229.8919505212948</v>
      </c>
      <c r="HB324" s="39">
        <v>243.26657835220129</v>
      </c>
      <c r="HC324" s="5">
        <v>124.04062499999996</v>
      </c>
      <c r="HD324" s="5">
        <v>127.75060307017539</v>
      </c>
      <c r="HE324" s="5">
        <v>136.66051366396758</v>
      </c>
      <c r="HF324" s="5">
        <v>133.62067434210525</v>
      </c>
      <c r="HG324" s="5">
        <v>137.88493421052632</v>
      </c>
      <c r="HH324" s="39">
        <v>130.72650526464059</v>
      </c>
      <c r="HI324" s="16"/>
      <c r="HJ324" s="19" t="str">
        <f t="shared" si="1105"/>
        <v>On</v>
      </c>
      <c r="HK324" s="1" t="str">
        <f t="shared" si="1105"/>
        <v>On</v>
      </c>
      <c r="HL324" s="16"/>
      <c r="HM324" s="639">
        <f t="shared" si="1004"/>
        <v>2.8970655363290673E-2</v>
      </c>
      <c r="HN324" s="639">
        <f t="shared" si="1005"/>
        <v>2.1835179285533651E-3</v>
      </c>
      <c r="HO324" s="639">
        <f t="shared" si="1006"/>
        <v>1.5544129749146325E-2</v>
      </c>
      <c r="HP324" s="644">
        <f>(FT324*$GD324-HM324)/$JF324*INDEX(Input!$1:$1048576,$JG$93,$C324*2+6)</f>
        <v>46.929943683960332</v>
      </c>
      <c r="HQ324" s="644">
        <f>(FU324*$GD324-HN324)/$JF324*INDEX(Input!$1:$1048576,$JG$93,$C324*2+6)</f>
        <v>91.268183522659726</v>
      </c>
      <c r="HR324" s="644">
        <f>(FV324*$GD324-HO324)/$JF324*INDEX(Input!$1:$1048576,$JG$93,$C324*2+6)</f>
        <v>-12.178020181228518</v>
      </c>
      <c r="HS324" s="644">
        <f t="shared" si="1106"/>
        <v>-28.820811633459023</v>
      </c>
      <c r="HT324" s="644">
        <f t="shared" si="1008"/>
        <v>157.44779444532855</v>
      </c>
      <c r="HU324" s="644">
        <f t="shared" si="1009"/>
        <v>23.250094906588551</v>
      </c>
      <c r="HV324" s="648">
        <f t="shared" si="1010"/>
        <v>0</v>
      </c>
      <c r="HW324" s="648">
        <f t="shared" si="1011"/>
        <v>0</v>
      </c>
      <c r="HX324" s="648">
        <f t="shared" si="1012"/>
        <v>0</v>
      </c>
      <c r="HY324" s="644">
        <f>INDEX(Input!$1:$1048576,HY$93,$C324*2+6)*INDEX(Input!$1:$1048576,$JG$93,$C324*2+6)</f>
        <v>488.99999999999994</v>
      </c>
      <c r="HZ324" s="644">
        <f>INDEX(Input!$1:$1048576,HZ$93,$C324*2+6)*INDEX(Input!$1:$1048576,$JG$93,$C324*2+6)</f>
        <v>734</v>
      </c>
      <c r="IA324" s="644">
        <f>INDEX(Input!$1:$1048576,IA$93,$C324*2+6)*INDEX(Input!$1:$1048576,$JG$93,$C324*2+6)</f>
        <v>703</v>
      </c>
      <c r="IB324" s="644">
        <f t="shared" si="1036"/>
        <v>507.10913205050144</v>
      </c>
      <c r="IC324" s="644">
        <f t="shared" si="1037"/>
        <v>982.71597796798824</v>
      </c>
      <c r="ID324" s="644">
        <f>IF(AND(INDEX(Input!$1:$1048576,IA$93,$C324*2+7)="TOS",Y324&lt;=INDEX(Y:Y,MATCH(C324*1000+2,A:A))),0,1)*MAX(IA324+HR324+HU324+HX324,0%)</f>
        <v>714.07207472536004</v>
      </c>
      <c r="IE324" s="128">
        <f t="shared" si="1107"/>
        <v>0.23009654695368228</v>
      </c>
      <c r="IF324" s="128">
        <f t="shared" si="1108"/>
        <v>0.4458991938329489</v>
      </c>
      <c r="IG324" s="128">
        <f t="shared" si="1014"/>
        <v>0.32400425921336878</v>
      </c>
      <c r="IH324" s="21"/>
      <c r="II324" s="19">
        <f t="shared" si="1015"/>
        <v>1200</v>
      </c>
      <c r="IJ324" s="19">
        <f t="shared" si="1016"/>
        <v>2224.493581030405</v>
      </c>
      <c r="IK324" s="19">
        <f t="shared" si="1017"/>
        <v>3451.75</v>
      </c>
      <c r="IL324" s="19">
        <f t="shared" si="1039"/>
        <v>400.00000000000023</v>
      </c>
      <c r="IM324" s="19">
        <f t="shared" si="1018"/>
        <v>1119.2531782916672</v>
      </c>
      <c r="IN324" s="19">
        <f t="shared" si="1019"/>
        <v>184.25</v>
      </c>
      <c r="IO324" s="39">
        <f t="shared" si="1020"/>
        <v>0</v>
      </c>
      <c r="IP324" s="39">
        <f t="shared" si="1021"/>
        <v>0</v>
      </c>
      <c r="IQ324" s="39">
        <f t="shared" si="1022"/>
        <v>0</v>
      </c>
      <c r="IR324" s="39">
        <v>0</v>
      </c>
      <c r="IS324" s="39">
        <v>0</v>
      </c>
      <c r="IT324" s="39">
        <v>0</v>
      </c>
      <c r="IU324" s="39">
        <v>0</v>
      </c>
      <c r="IV324" s="39">
        <v>0</v>
      </c>
      <c r="IW324" s="39">
        <v>0</v>
      </c>
      <c r="IX324" s="39">
        <f>INDEX(Input!$1:$1048576,IX$93,$C324*2+6)+INDEX(Input!$1:$1048576,IX$94,$C324*2+6)</f>
        <v>1600</v>
      </c>
      <c r="IY324" s="39">
        <f>INDEX(Input!$1:$1048576,IY$93,$C324*2+6)+INDEX(Input!$1:$1048576,IY$94,$C324*2+6)</f>
        <v>2503.5492916397525</v>
      </c>
      <c r="IZ324" s="39">
        <f>INDEX(Input!$1:$1048576,IZ$93,$C324*2+6)+INDEX(Input!$1:$1048576,IZ$94,$C324*2+6)</f>
        <v>5773.7109265464023</v>
      </c>
      <c r="JA324" s="19">
        <f t="shared" si="1040"/>
        <v>2000.0000000000002</v>
      </c>
      <c r="JB324" s="19">
        <f t="shared" si="1041"/>
        <v>3622.8024699314196</v>
      </c>
      <c r="JC324" s="19">
        <f t="shared" si="1042"/>
        <v>5957.9609265464023</v>
      </c>
      <c r="JD324" s="19">
        <f t="shared" si="1043"/>
        <v>4006.002511093664</v>
      </c>
      <c r="JE324" s="21"/>
      <c r="JF324" s="1">
        <f t="shared" si="1023"/>
        <v>4.6698303040990354E-2</v>
      </c>
      <c r="JG324" s="15">
        <f>INDEX(Input!$1:$1048576,JG$93,$C324*2+6)/(1+VLOOKUP(C324*1000+INDEX(Input!$1:$1048576,JG$93+1,$C324*2+6),$A:$KK,$JK$92,FALSE))</f>
        <v>1926</v>
      </c>
      <c r="JH324" s="1">
        <f t="shared" si="1044"/>
        <v>6.5431000532394368E-2</v>
      </c>
      <c r="JI324" s="1">
        <f t="shared" si="1045"/>
        <v>7.8856218960777824E-2</v>
      </c>
      <c r="JJ324" s="1">
        <f t="shared" si="1109"/>
        <v>0</v>
      </c>
      <c r="JK324" s="1">
        <f t="shared" si="1110"/>
        <v>0.14428721949317219</v>
      </c>
      <c r="JL324" s="15">
        <f t="shared" si="1048"/>
        <v>277.89718474384966</v>
      </c>
      <c r="JM324" s="15">
        <f t="shared" si="1074"/>
        <v>2203.8971847438497</v>
      </c>
      <c r="JN324" s="21"/>
      <c r="JO324" s="19">
        <f>INDEX(Input!$1:$1048576,JO$93,$C324*2+6)</f>
        <v>5908.5</v>
      </c>
      <c r="JP324" s="19">
        <f>INDEX(Input!$1:$1048576,JP$93,$C324*2+6)</f>
        <v>3467.7694503767912</v>
      </c>
      <c r="JQ324" s="39">
        <f t="shared" si="1060"/>
        <v>1902.497488906336</v>
      </c>
      <c r="JR324" s="39">
        <f t="shared" si="1077"/>
        <v>538.23306071687284</v>
      </c>
      <c r="JS324" s="39">
        <f t="shared" si="1062"/>
        <v>8.8288176562761187</v>
      </c>
      <c r="JT324" s="39">
        <f t="shared" si="1050"/>
        <v>2.1498936948504177</v>
      </c>
      <c r="JU324" s="385">
        <f>(JQ324*JM324-INDEX(Input!$1:$1048576,Input!A$18,$C324*2+6)*JL324*INDEX(Input!$1:$1048576,Input!A$19,$C324*2+6))/1000000</f>
        <v>4.1929088597829178</v>
      </c>
      <c r="JV324" s="39">
        <f t="shared" si="1084"/>
        <v>-0.50793817879138192</v>
      </c>
      <c r="JW324" s="1">
        <f t="shared" si="1075"/>
        <v>-0.10805247961129838</v>
      </c>
      <c r="JX324" s="19">
        <f t="shared" si="1066"/>
        <v>7736.2917398104319</v>
      </c>
      <c r="JZ324" s="341"/>
      <c r="KA324" s="342"/>
      <c r="KB324" s="469">
        <f t="shared" si="1063"/>
        <v>2.7822247002359868</v>
      </c>
      <c r="KI324" s="473">
        <f t="shared" si="1090"/>
        <v>18.109132050501501</v>
      </c>
      <c r="KJ324" s="473">
        <f t="shared" si="1091"/>
        <v>248.71597796798824</v>
      </c>
      <c r="KK324" s="473">
        <f t="shared" si="1052"/>
        <v>11.072074725360039</v>
      </c>
      <c r="KN324" s="544">
        <f t="shared" si="1067"/>
        <v>3002</v>
      </c>
      <c r="KO324" s="541">
        <f t="shared" si="1027"/>
        <v>6.9814524107611575E-2</v>
      </c>
      <c r="KP324" s="546">
        <f t="shared" si="1028"/>
        <v>320.67003040119141</v>
      </c>
      <c r="KQ324" s="546">
        <f t="shared" si="1029"/>
        <v>284.9212927682911</v>
      </c>
      <c r="KR324" s="548">
        <f t="shared" si="1030"/>
        <v>3.4777541776542304</v>
      </c>
      <c r="KS324" s="548">
        <f t="shared" si="1031"/>
        <v>3.9141038812539199</v>
      </c>
      <c r="KT324" s="473">
        <f t="shared" si="1065"/>
        <v>527.01264777847621</v>
      </c>
      <c r="KU324" s="663">
        <f t="shared" si="1053"/>
        <v>15.643270542530248</v>
      </c>
      <c r="KV324" s="117"/>
    </row>
    <row r="325" spans="1:308" s="26" customFormat="1" ht="15">
      <c r="A325" s="561">
        <f t="shared" si="1032"/>
        <v>3025</v>
      </c>
      <c r="B325" s="561">
        <f t="shared" si="1054"/>
        <v>25</v>
      </c>
      <c r="C325" s="561">
        <f t="shared" si="1055"/>
        <v>3</v>
      </c>
      <c r="D325" s="561" t="str">
        <f t="shared" si="1104"/>
        <v xml:space="preserve">0.9/1.9/2.9/3.9, </v>
      </c>
      <c r="E325" s="475">
        <f>INDEX(Input!$1:$1048576,E$93,$C325*2+MIN($B325,2)+5)
+INDEX(Scenarios!E$121:E$200,MATCH($B325,Scenarios!$B$121:$B$200,0))</f>
        <v>1250</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2.8999999999999998E-2</v>
      </c>
      <c r="W325" s="863">
        <f>IFERROR(MAX(0,INDEX(Input!$1:$1048576,W$93,$C325*2+MIN($B325,2)+5)-0%,),"Market")</f>
        <v>3.9000000000000007E-2</v>
      </c>
      <c r="X325" s="476" t="str">
        <f>INDEX(Input!$1:$1048576,X$93,$C325*2+MIN($B325,2)+5)</f>
        <v>Y</v>
      </c>
      <c r="Y325" s="475">
        <f>INDEX(Input!$1:$1048576,Y$93,$C325*2+MIN($B325,2)+5)
++INDEX(Scenarios!Y$121:Y$200,MATCH($B325,Scenarios!$B$121:$B$200,0))</f>
        <v>4108</v>
      </c>
      <c r="Z325" s="477">
        <f>INDEX(Input!$1:$1048576,Z$93,$C325*2+MIN($B325,2)+5)
+INDEX(Scenarios!Z$121:Z$200,MATCH($B325,Scenarios!$B$121:$B$200,0))</f>
        <v>0</v>
      </c>
      <c r="AA325" s="475">
        <f>INDEX(Input!$1:$1048576,AA$93,$C325*2+MIN($B325,2)+5)</f>
        <v>500</v>
      </c>
      <c r="AB325" s="476">
        <f>INDEX(Input!$1:$1048576,AB$93,$C325*2+MIN($B325,2)+5)</f>
        <v>0.62</v>
      </c>
      <c r="AC325" s="475">
        <f>INDEX(Input!$1:$1048576,AC$93,$C325*2+MIN($B325,2)+5)
+INDEX(Scenarios!AC$121:AC$200,MATCH($B325,Scenarios!$B$121:$B$200,0))</f>
        <v>0</v>
      </c>
      <c r="AD325" s="476">
        <f>INDEX(Input!$1:$1048576,AD$93,$C325*2+MIN($B325,2)+5)</f>
        <v>0.35</v>
      </c>
      <c r="AE325" s="475">
        <f>INDEX(Input!$1:$1048576,AE$93,$C325*2+MIN($B325,2)+5)
+INDEX(Scenarios!AE$121:AE$200,MATCH($B325,Scenarios!$B$121:$B$200,0))</f>
        <v>500</v>
      </c>
      <c r="AF325" s="476">
        <f>INDEX(Input!$1:$1048576,AF$93,$C325*2+MIN($B325,2)+5)</f>
        <v>0.97</v>
      </c>
      <c r="AG325" s="475">
        <f>INDEX(Input!$1:$1048576,AG$93,$C325*2+MIN($B325,2)+5)
+INDEX(Scenarios!AG$121:AG$200,MATCH($B325,Scenarios!$B$121:$B$200,0))</f>
        <v>0</v>
      </c>
      <c r="AH325" s="476">
        <f>INDEX(Input!$1:$1048576,AH$93,$C325*2+MIN($B325,2)+5)</f>
        <v>1</v>
      </c>
      <c r="AI325" s="475">
        <f>INDEX(Input!$1:$1048576,AI$93,$C325*2+MIN($B325,2)+5)
+INDEX(Scenarios!AI$121:AI$200,MATCH($B325,Scenarios!$B$121:$B$200,0))</f>
        <v>0</v>
      </c>
      <c r="AJ325" s="476">
        <f>INDEX(Input!$1:$1048576,AJ$93,$C325*2+MIN($B325,2)+5)</f>
        <v>0.35</v>
      </c>
      <c r="AK325" s="150">
        <f>ROUND(INDEX(Input!$1:$1048576,AK$93,$C324*2+MIN($B325,1)+5)+(Y325-VLOOKUP($C325*1000+1,$A:$HH,Y$92,FALSE)),0)</f>
        <v>4982</v>
      </c>
      <c r="AL325" s="150">
        <f>ROUND(INDEX(Input!$1:$1048576,AL$93,$C324*2+MIN($B325,1)+5)-(Y325-VLOOKUP($C325*1000+1,$A:$HH,Y$92,FALSE))/36,0)</f>
        <v>5102</v>
      </c>
      <c r="AM325" s="32" t="str">
        <f t="shared" si="1033"/>
        <v>std/std/std/std</v>
      </c>
      <c r="AN325" s="32" t="str">
        <f t="shared" si="1034"/>
        <v>$0 + 0.9/0.9/0.9/2.9/3.9</v>
      </c>
      <c r="AO325" s="32" t="str">
        <f t="shared" si="1035"/>
        <v>0.9/0.9/0.9/2.9/3.9</v>
      </c>
      <c r="AP325" s="32" t="str">
        <f t="shared" si="989"/>
        <v>0.9/1.9/2.9/3.9</v>
      </c>
      <c r="AQ325" s="536">
        <f t="shared" si="988"/>
        <v>485.27567738348426</v>
      </c>
      <c r="AR325" s="32"/>
      <c r="AS325" s="302"/>
      <c r="AT325" s="3">
        <f t="shared" si="1056"/>
        <v>25</v>
      </c>
      <c r="AU325" s="41" t="s">
        <v>121</v>
      </c>
      <c r="AV325" s="41" t="s">
        <v>116</v>
      </c>
      <c r="AW325" s="41" t="str">
        <f>INDEX(Input!$1:$1048576,AW$93,$C325*2+6)</f>
        <v>Kia</v>
      </c>
      <c r="AX325" s="41" t="str">
        <f>INDEX(Input!$1:$1048576,AX$93,$C325*2+6)</f>
        <v>Kia-LR - L3</v>
      </c>
      <c r="AY325" s="41" t="str">
        <f>IF(LEN(D325)=0,"",INDEX(Input!$1:$1048576,AY$93,$C325*2+6))</f>
        <v>Compact Conventional/Sporty Car (43)</v>
      </c>
      <c r="AZ325" s="41" t="str">
        <f>INDEX(Input!$1:$1048576,AZ$93,$C325*2+6)</f>
        <v>Kia Forte</v>
      </c>
      <c r="BA325" s="3">
        <f>INDEX(Input!$1:$1048576,BA$93,$C325*2+6)</f>
        <v>2020</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19695</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990"/>
        <v>1250</v>
      </c>
      <c r="CJ325" s="16" t="str">
        <f>INDEX(Input!$1:$1048576,CJ$93,$C325*2+6)</f>
        <v>N</v>
      </c>
      <c r="CK325" s="1" t="str">
        <f t="shared" si="991"/>
        <v>Market</v>
      </c>
      <c r="CL325" s="1" t="str">
        <f t="shared" si="992"/>
        <v>Market</v>
      </c>
      <c r="CM325" s="1" t="str">
        <f t="shared" si="993"/>
        <v>Market</v>
      </c>
      <c r="CN325" s="1" t="str">
        <f t="shared" si="994"/>
        <v>Market</v>
      </c>
      <c r="CO325" s="1" t="str">
        <f t="shared" si="995"/>
        <v>Market</v>
      </c>
      <c r="CP325" s="304">
        <f t="shared" si="996"/>
        <v>310</v>
      </c>
      <c r="CQ325" s="1">
        <f t="shared" si="997"/>
        <v>9.0000000000000011E-3</v>
      </c>
      <c r="CR325" s="1">
        <f t="shared" si="998"/>
        <v>9.0000000000000011E-3</v>
      </c>
      <c r="CS325" s="1">
        <f t="shared" si="999"/>
        <v>9.0000000000000011E-3</v>
      </c>
      <c r="CT325" s="1">
        <f t="shared" si="1000"/>
        <v>2.8999999999999998E-2</v>
      </c>
      <c r="CU325" s="1">
        <f t="shared" si="1001"/>
        <v>3.9000000000000007E-2</v>
      </c>
      <c r="CV325" s="304">
        <f t="shared" si="1002"/>
        <v>4593</v>
      </c>
      <c r="CW325" s="20" t="s">
        <v>122</v>
      </c>
      <c r="CX325" s="20" t="s">
        <v>122</v>
      </c>
      <c r="CY325" s="20" t="s">
        <v>122</v>
      </c>
      <c r="CZ325" s="20" t="s">
        <v>122</v>
      </c>
      <c r="DA325" s="20" t="s">
        <v>122</v>
      </c>
      <c r="DB325" s="503">
        <f t="shared" si="1003"/>
        <v>0</v>
      </c>
      <c r="DC325" s="127">
        <v>0</v>
      </c>
      <c r="DD325" s="127">
        <v>0</v>
      </c>
      <c r="DE325" s="127">
        <v>0</v>
      </c>
      <c r="DF325" s="127">
        <v>0</v>
      </c>
      <c r="DG325" s="127">
        <v>0</v>
      </c>
      <c r="DH325" s="127">
        <v>0</v>
      </c>
      <c r="DI325" s="127">
        <v>0</v>
      </c>
      <c r="DJ325" s="127">
        <v>0</v>
      </c>
      <c r="DK325" s="127">
        <v>0</v>
      </c>
      <c r="DL325" s="127">
        <v>0</v>
      </c>
      <c r="DM325" s="304">
        <f>INDEX(Input!$1:$1048576,DM$93,$C325*2+6)</f>
        <v>20731.578947368424</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3.431389746594371E-2</v>
      </c>
      <c r="DZ325" s="7">
        <v>0</v>
      </c>
      <c r="EA325" s="7">
        <v>0.60667980277832345</v>
      </c>
      <c r="EB325" s="7">
        <v>0</v>
      </c>
      <c r="EC325" s="7">
        <v>0</v>
      </c>
      <c r="ED325" s="7">
        <v>0</v>
      </c>
      <c r="EE325" s="7">
        <v>0</v>
      </c>
      <c r="EF325" s="7">
        <v>0</v>
      </c>
      <c r="EG325" s="7">
        <v>0</v>
      </c>
      <c r="EH325" s="7">
        <v>1.7436960472466966E-2</v>
      </c>
      <c r="EI325" s="7">
        <v>2.0705417476774519E-2</v>
      </c>
      <c r="EJ325" s="7">
        <v>0.28003397354089532</v>
      </c>
      <c r="EK325" s="7">
        <v>0.60608981626303959</v>
      </c>
      <c r="EL325" s="7">
        <v>7.5733832246823535E-2</v>
      </c>
      <c r="EM325" s="7">
        <v>3.2634781738622456E-2</v>
      </c>
      <c r="EN325" s="7">
        <v>5.8903840649550739E-2</v>
      </c>
      <c r="EO325" s="7">
        <v>0.56806449089612532</v>
      </c>
      <c r="EP325" s="7">
        <v>0.2741070959193187</v>
      </c>
      <c r="EQ325" s="7">
        <v>5.8713575146425376E-2</v>
      </c>
      <c r="ER325" s="7">
        <v>4.0210997388580264E-2</v>
      </c>
      <c r="ES325" s="7">
        <v>0.3263715180171104</v>
      </c>
      <c r="ET325" s="7">
        <v>0.35900629975573289</v>
      </c>
      <c r="EU325" s="6">
        <v>1600</v>
      </c>
      <c r="EV325" s="6">
        <v>0</v>
      </c>
      <c r="EW325" s="6">
        <v>1600</v>
      </c>
      <c r="EX325" s="6">
        <v>0</v>
      </c>
      <c r="EY325" s="6">
        <v>2205.7217024479278</v>
      </c>
      <c r="EZ325" s="6">
        <v>3636</v>
      </c>
      <c r="FA325" s="6">
        <v>0</v>
      </c>
      <c r="FB325" s="6">
        <v>0</v>
      </c>
      <c r="FC325" s="6">
        <v>0</v>
      </c>
      <c r="FD325" s="6">
        <v>0</v>
      </c>
      <c r="FE325" s="6">
        <v>0</v>
      </c>
      <c r="FF325" s="6">
        <v>0</v>
      </c>
      <c r="FG325" s="6">
        <v>0</v>
      </c>
      <c r="FH325" s="6">
        <v>926.39666008715949</v>
      </c>
      <c r="FI325" s="6">
        <v>1232.1164465304234</v>
      </c>
      <c r="FJ325" s="6">
        <v>1709.9775738488452</v>
      </c>
      <c r="FK325" s="6">
        <v>1266.3227157028191</v>
      </c>
      <c r="FL325" s="6">
        <v>893.91433563489375</v>
      </c>
      <c r="FM325" s="6">
        <v>1355.721702447928</v>
      </c>
      <c r="FN325" s="6">
        <v>0</v>
      </c>
      <c r="FO325" s="6">
        <v>0</v>
      </c>
      <c r="FP325" s="6">
        <v>0</v>
      </c>
      <c r="FQ325" s="6">
        <v>0</v>
      </c>
      <c r="FR325" s="6">
        <v>0</v>
      </c>
      <c r="FS325" s="6">
        <v>0</v>
      </c>
      <c r="FT325" s="7">
        <v>0.64099370024426716</v>
      </c>
      <c r="FU325" s="7">
        <v>3.2634781738622456E-2</v>
      </c>
      <c r="FV325" s="7">
        <v>0.3263715180171104</v>
      </c>
      <c r="FW325" s="6">
        <v>1600</v>
      </c>
      <c r="FX325" s="6">
        <v>2205.7217024479278</v>
      </c>
      <c r="FY325" s="6">
        <v>3636</v>
      </c>
      <c r="FZ325" s="6">
        <v>2202.331475193394</v>
      </c>
      <c r="GA325" s="6">
        <v>2284.2600062365718</v>
      </c>
      <c r="GB325" s="6">
        <v>17410.739993763429</v>
      </c>
      <c r="GC325" s="7">
        <v>4.8391397220736806E-2</v>
      </c>
      <c r="GD325" s="7">
        <v>4.8442526566125882E-2</v>
      </c>
      <c r="GE325" s="7"/>
      <c r="GF325" s="7"/>
      <c r="GG325" s="7">
        <v>1.056579233615626E-3</v>
      </c>
      <c r="GH325" s="42">
        <v>0.25399366668850509</v>
      </c>
      <c r="GI325" s="6">
        <v>79825.563522885815</v>
      </c>
      <c r="GJ325" s="14">
        <v>0.5107463060103955</v>
      </c>
      <c r="GK325" s="14">
        <v>0.50829519786160982</v>
      </c>
      <c r="GL325" s="14">
        <v>0.48925369398960444</v>
      </c>
      <c r="GM325" s="14">
        <v>0.4917048021383903</v>
      </c>
      <c r="GO325" s="5">
        <v>338.16872463277008</v>
      </c>
      <c r="GP325" s="5">
        <v>307.64377699166363</v>
      </c>
      <c r="GQ325" s="5">
        <v>527.27910984145694</v>
      </c>
      <c r="GR325" s="5">
        <v>404.20319246551543</v>
      </c>
      <c r="GS325" s="5">
        <v>334.50205195691484</v>
      </c>
      <c r="GT325" s="5">
        <v>289.18266033348181</v>
      </c>
      <c r="GU325" s="5">
        <v>254.29573314828914</v>
      </c>
      <c r="GV325" s="39" t="s">
        <v>392</v>
      </c>
      <c r="GW325" s="5">
        <v>475.29643226912253</v>
      </c>
      <c r="GX325" s="5">
        <v>358.07100736083845</v>
      </c>
      <c r="GY325" s="5">
        <v>287.73954748358943</v>
      </c>
      <c r="GZ325" s="5">
        <v>255.64660634518972</v>
      </c>
      <c r="HA325" s="5">
        <v>229.8919505212948</v>
      </c>
      <c r="HB325" s="39">
        <v>268.63398670630579</v>
      </c>
      <c r="HC325" s="5">
        <v>124.04062499999996</v>
      </c>
      <c r="HD325" s="5">
        <v>127.75060307017539</v>
      </c>
      <c r="HE325" s="5">
        <v>136.66051366396758</v>
      </c>
      <c r="HF325" s="5">
        <v>133.62067434210525</v>
      </c>
      <c r="HG325" s="5">
        <v>137.88493421052632</v>
      </c>
      <c r="HH325" s="39">
        <v>130.72650526464062</v>
      </c>
      <c r="HI325" s="16"/>
      <c r="HJ325" s="19" t="str">
        <f t="shared" si="1105"/>
        <v>On</v>
      </c>
      <c r="HK325" s="1" t="str">
        <f t="shared" si="1105"/>
        <v>On</v>
      </c>
      <c r="HL325" s="16"/>
      <c r="HM325" s="639">
        <f t="shared" si="1004"/>
        <v>2.8970655363290673E-2</v>
      </c>
      <c r="HN325" s="639">
        <f t="shared" si="1005"/>
        <v>2.1835179285533651E-3</v>
      </c>
      <c r="HO325" s="639">
        <f t="shared" si="1006"/>
        <v>1.5544129749146325E-2</v>
      </c>
      <c r="HP325" s="644">
        <f>(FT325*$GD325-HM325)/$JF325*INDEX(Input!$1:$1048576,$JG$93,$C325*2+6)</f>
        <v>85.815243656320533</v>
      </c>
      <c r="HQ325" s="644">
        <f>(FU325*$GD325-HN325)/$JF325*INDEX(Input!$1:$1048576,$JG$93,$C325*2+6)</f>
        <v>-24.85358839462036</v>
      </c>
      <c r="HR325" s="644">
        <f>(FV325*$GD325-HO325)/$JF325*INDEX(Input!$1:$1048576,$JG$93,$C325*2+6)</f>
        <v>10.976173109970011</v>
      </c>
      <c r="HS325" s="644">
        <f t="shared" si="1106"/>
        <v>-27.648173661250343</v>
      </c>
      <c r="HT325" s="644">
        <f t="shared" si="1008"/>
        <v>-7.5576830312998524</v>
      </c>
      <c r="HU325" s="644">
        <f t="shared" si="1009"/>
        <v>22.077456934379882</v>
      </c>
      <c r="HV325" s="648">
        <f t="shared" si="1010"/>
        <v>0</v>
      </c>
      <c r="HW325" s="648">
        <f t="shared" si="1011"/>
        <v>0</v>
      </c>
      <c r="HX325" s="648">
        <f t="shared" si="1012"/>
        <v>0</v>
      </c>
      <c r="HY325" s="644">
        <f>INDEX(Input!$1:$1048576,HY$93,$C325*2+6)*INDEX(Input!$1:$1048576,$JG$93,$C325*2+6)</f>
        <v>488.99999999999994</v>
      </c>
      <c r="HZ325" s="644">
        <f>INDEX(Input!$1:$1048576,HZ$93,$C325*2+6)*INDEX(Input!$1:$1048576,$JG$93,$C325*2+6)</f>
        <v>734</v>
      </c>
      <c r="IA325" s="644">
        <f>INDEX(Input!$1:$1048576,IA$93,$C325*2+6)*INDEX(Input!$1:$1048576,$JG$93,$C325*2+6)</f>
        <v>703</v>
      </c>
      <c r="IB325" s="644">
        <f t="shared" si="1036"/>
        <v>547.16706999507005</v>
      </c>
      <c r="IC325" s="644">
        <f t="shared" si="1037"/>
        <v>701.58872857407982</v>
      </c>
      <c r="ID325" s="644">
        <f>IF(AND(INDEX(Input!$1:$1048576,IA$93,$C325*2+7)="TOS",Y325&lt;=INDEX(Y:Y,MATCH(C325*1000+2,A:A))),0,1)*MAX(IA325+HR325+HU325+HX325,0%)</f>
        <v>736.0536300443498</v>
      </c>
      <c r="IE325" s="128">
        <f t="shared" si="1107"/>
        <v>0.27567738348426568</v>
      </c>
      <c r="IF325" s="128">
        <f t="shared" si="1108"/>
        <v>0.35347913933690789</v>
      </c>
      <c r="IG325" s="128">
        <f t="shared" si="1014"/>
        <v>0.37084347717882638</v>
      </c>
      <c r="IH325" s="21"/>
      <c r="II325" s="19">
        <f t="shared" si="1015"/>
        <v>1200</v>
      </c>
      <c r="IJ325" s="19">
        <f t="shared" si="1016"/>
        <v>2224.493581030405</v>
      </c>
      <c r="IK325" s="19">
        <f t="shared" si="1017"/>
        <v>3451.75</v>
      </c>
      <c r="IL325" s="19">
        <f t="shared" si="1039"/>
        <v>400</v>
      </c>
      <c r="IM325" s="19">
        <f t="shared" si="1018"/>
        <v>-18.771878582477257</v>
      </c>
      <c r="IN325" s="19">
        <f t="shared" si="1019"/>
        <v>184.25</v>
      </c>
      <c r="IO325" s="39">
        <f t="shared" si="1020"/>
        <v>0</v>
      </c>
      <c r="IP325" s="39">
        <f t="shared" si="1021"/>
        <v>0</v>
      </c>
      <c r="IQ325" s="39">
        <f t="shared" si="1022"/>
        <v>0</v>
      </c>
      <c r="IR325" s="39">
        <v>0</v>
      </c>
      <c r="IS325" s="39">
        <v>0</v>
      </c>
      <c r="IT325" s="39">
        <v>0</v>
      </c>
      <c r="IU325" s="39">
        <v>0</v>
      </c>
      <c r="IV325" s="39">
        <v>0</v>
      </c>
      <c r="IW325" s="39">
        <v>0</v>
      </c>
      <c r="IX325" s="39">
        <f>INDEX(Input!$1:$1048576,IX$93,$C325*2+6)+INDEX(Input!$1:$1048576,IX$94,$C325*2+6)</f>
        <v>1600</v>
      </c>
      <c r="IY325" s="39">
        <f>INDEX(Input!$1:$1048576,IY$93,$C325*2+6)+INDEX(Input!$1:$1048576,IY$94,$C325*2+6)</f>
        <v>2503.5492916397525</v>
      </c>
      <c r="IZ325" s="39">
        <f>INDEX(Input!$1:$1048576,IZ$93,$C325*2+6)+INDEX(Input!$1:$1048576,IZ$94,$C325*2+6)</f>
        <v>5773.7109265464023</v>
      </c>
      <c r="JA325" s="19">
        <f t="shared" si="1040"/>
        <v>2000</v>
      </c>
      <c r="JB325" s="19">
        <f t="shared" si="1041"/>
        <v>2484.7774130572752</v>
      </c>
      <c r="JC325" s="19">
        <f t="shared" si="1042"/>
        <v>5957.9609265464023</v>
      </c>
      <c r="JD325" s="19">
        <f t="shared" si="1043"/>
        <v>3639.1426952758557</v>
      </c>
      <c r="JE325" s="21"/>
      <c r="JF325" s="1">
        <f t="shared" si="1023"/>
        <v>4.6698303040990354E-2</v>
      </c>
      <c r="JG325" s="15">
        <f>INDEX(Input!$1:$1048576,JG$93,$C325*2+6)/(1+VLOOKUP(C325*1000+INDEX(Input!$1:$1048576,JG$93+1,$C325*2+6),$A:$KK,$JK$92,FALSE))</f>
        <v>1926</v>
      </c>
      <c r="JH325" s="1">
        <f t="shared" si="1044"/>
        <v>3.7350897389236852E-2</v>
      </c>
      <c r="JI325" s="1">
        <f t="shared" si="1045"/>
        <v>-6.8164069357062916E-3</v>
      </c>
      <c r="JJ325" s="1">
        <f t="shared" si="1109"/>
        <v>0</v>
      </c>
      <c r="JK325" s="1">
        <f t="shared" si="1110"/>
        <v>3.0534490453530561E-2</v>
      </c>
      <c r="JL325" s="15">
        <f t="shared" si="1048"/>
        <v>58.809428613499861</v>
      </c>
      <c r="JM325" s="15">
        <f t="shared" si="1074"/>
        <v>1984.8094286134999</v>
      </c>
      <c r="JN325" s="21"/>
      <c r="JO325" s="19">
        <f>INDEX(Input!$1:$1048576,JO$93,$C325*2+6)</f>
        <v>5908.5</v>
      </c>
      <c r="JP325" s="19">
        <f>INDEX(Input!$1:$1048576,JP$93,$C325*2+6)</f>
        <v>3467.7694503767912</v>
      </c>
      <c r="JQ325" s="39">
        <f t="shared" si="1060"/>
        <v>2269.3573047241443</v>
      </c>
      <c r="JR325" s="39">
        <f t="shared" si="1077"/>
        <v>171.3732448990645</v>
      </c>
      <c r="JS325" s="39">
        <f t="shared" si="1062"/>
        <v>7.2230047336534637</v>
      </c>
      <c r="JT325" s="39">
        <f t="shared" si="1050"/>
        <v>0.54408077222776319</v>
      </c>
      <c r="JU325" s="385">
        <f>(JQ325*JM325-INDEX(Input!$1:$1048576,Input!A$18,$C325*2+6)*JL325*INDEX(Input!$1:$1048576,Input!A$19,$C325*2+6))/1000000</f>
        <v>4.504241775309402</v>
      </c>
      <c r="JV325" s="39">
        <f t="shared" si="1084"/>
        <v>-0.1966052632648978</v>
      </c>
      <c r="JW325" s="1">
        <f t="shared" si="1075"/>
        <v>-4.1823369629258429E-2</v>
      </c>
      <c r="JX325" s="19">
        <f t="shared" si="1066"/>
        <v>9251.590859749791</v>
      </c>
      <c r="JZ325" s="341"/>
      <c r="KA325" s="342"/>
      <c r="KB325" s="469">
        <f t="shared" si="1063"/>
        <v>2.7822247002359868</v>
      </c>
      <c r="KI325" s="473">
        <f t="shared" si="1090"/>
        <v>58.167069995070108</v>
      </c>
      <c r="KJ325" s="473">
        <f t="shared" si="1091"/>
        <v>-32.411271425920177</v>
      </c>
      <c r="KK325" s="473">
        <f t="shared" si="1052"/>
        <v>33.053630044349916</v>
      </c>
      <c r="KN325" s="544">
        <f t="shared" si="1067"/>
        <v>3002</v>
      </c>
      <c r="KO325" s="541">
        <f t="shared" si="1027"/>
        <v>-3.6534930478962613E-2</v>
      </c>
      <c r="KP325" s="546">
        <f t="shared" si="1028"/>
        <v>-148.06230627811294</v>
      </c>
      <c r="KQ325" s="546">
        <f t="shared" si="1029"/>
        <v>-81.938523049517244</v>
      </c>
      <c r="KR325" s="548">
        <f t="shared" si="1030"/>
        <v>3.941624487929162</v>
      </c>
      <c r="KS325" s="548">
        <f t="shared" si="1031"/>
        <v>7.1224863525107942</v>
      </c>
      <c r="KT325" s="473">
        <f t="shared" si="1065"/>
        <v>527.01264777847621</v>
      </c>
      <c r="KU325" s="663">
        <f t="shared" si="1053"/>
        <v>14.970405845179691</v>
      </c>
      <c r="KV325" s="117"/>
    </row>
    <row r="326" spans="1:308" s="26" customFormat="1" ht="15">
      <c r="A326" s="561">
        <f t="shared" si="1032"/>
        <v>3026</v>
      </c>
      <c r="B326" s="561">
        <f t="shared" si="1054"/>
        <v>26</v>
      </c>
      <c r="C326" s="561">
        <f t="shared" si="1055"/>
        <v>3</v>
      </c>
      <c r="D326" s="561" t="str">
        <f t="shared" si="1104"/>
        <v xml:space="preserve">1.9/2.9/3.9/3.9, </v>
      </c>
      <c r="E326" s="475">
        <f>INDEX(Input!$1:$1048576,E$93,$C326*2+MIN($B326,2)+5)
+INDEX(Scenarios!E$121:E$200,MATCH($B326,Scenarios!$B$121:$B$200,0))</f>
        <v>1250</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3.9E-2</v>
      </c>
      <c r="W326" s="863">
        <f>IFERROR(MAX(0,INDEX(Input!$1:$1048576,W$93,$C326*2+MIN($B326,2)+5)-0%,),"Market")</f>
        <v>3.9000000000000007E-2</v>
      </c>
      <c r="X326" s="476" t="str">
        <f>INDEX(Input!$1:$1048576,X$93,$C326*2+MIN($B326,2)+5)</f>
        <v>Y</v>
      </c>
      <c r="Y326" s="475">
        <f>INDEX(Input!$1:$1048576,Y$93,$C326*2+MIN($B326,2)+5)
++INDEX(Scenarios!Y$121:Y$200,MATCH($B326,Scenarios!$B$121:$B$200,0))</f>
        <v>4108</v>
      </c>
      <c r="Z326" s="477">
        <f>INDEX(Input!$1:$1048576,Z$93,$C326*2+MIN($B326,2)+5)
+INDEX(Scenarios!Z$121:Z$200,MATCH($B326,Scenarios!$B$121:$B$200,0))</f>
        <v>0</v>
      </c>
      <c r="AA326" s="475">
        <f>INDEX(Input!$1:$1048576,AA$93,$C326*2+MIN($B326,2)+5)</f>
        <v>500</v>
      </c>
      <c r="AB326" s="476">
        <f>INDEX(Input!$1:$1048576,AB$93,$C326*2+MIN($B326,2)+5)</f>
        <v>0.62</v>
      </c>
      <c r="AC326" s="475">
        <f>INDEX(Input!$1:$1048576,AC$93,$C326*2+MIN($B326,2)+5)
+INDEX(Scenarios!AC$121:AC$200,MATCH($B326,Scenarios!$B$121:$B$200,0))</f>
        <v>0</v>
      </c>
      <c r="AD326" s="476">
        <f>INDEX(Input!$1:$1048576,AD$93,$C326*2+MIN($B326,2)+5)</f>
        <v>0.35</v>
      </c>
      <c r="AE326" s="475">
        <f>INDEX(Input!$1:$1048576,AE$93,$C326*2+MIN($B326,2)+5)
+INDEX(Scenarios!AE$121:AE$200,MATCH($B326,Scenarios!$B$121:$B$200,0))</f>
        <v>500</v>
      </c>
      <c r="AF326" s="476">
        <f>INDEX(Input!$1:$1048576,AF$93,$C326*2+MIN($B326,2)+5)</f>
        <v>0.97</v>
      </c>
      <c r="AG326" s="475">
        <f>INDEX(Input!$1:$1048576,AG$93,$C326*2+MIN($B326,2)+5)
+INDEX(Scenarios!AG$121:AG$200,MATCH($B326,Scenarios!$B$121:$B$200,0))</f>
        <v>0</v>
      </c>
      <c r="AH326" s="476">
        <f>INDEX(Input!$1:$1048576,AH$93,$C326*2+MIN($B326,2)+5)</f>
        <v>1</v>
      </c>
      <c r="AI326" s="475">
        <f>INDEX(Input!$1:$1048576,AI$93,$C326*2+MIN($B326,2)+5)
+INDEX(Scenarios!AI$121:AI$200,MATCH($B326,Scenarios!$B$121:$B$200,0))</f>
        <v>0</v>
      </c>
      <c r="AJ326" s="476">
        <f>INDEX(Input!$1:$1048576,AJ$93,$C326*2+MIN($B326,2)+5)</f>
        <v>0.35</v>
      </c>
      <c r="AK326" s="150">
        <f>ROUND(INDEX(Input!$1:$1048576,AK$93,$C325*2+MIN($B326,1)+5)+(Y326-VLOOKUP($C326*1000+1,$A:$HH,Y$92,FALSE)),0)</f>
        <v>4982</v>
      </c>
      <c r="AL326" s="150">
        <f>ROUND(INDEX(Input!$1:$1048576,AL$93,$C325*2+MIN($B326,1)+5)-(Y326-VLOOKUP($C326*1000+1,$A:$HH,Y$92,FALSE))/36,0)</f>
        <v>5102</v>
      </c>
      <c r="AM326" s="32" t="str">
        <f t="shared" si="1033"/>
        <v>std/std/std/std</v>
      </c>
      <c r="AN326" s="32" t="str">
        <f t="shared" si="1034"/>
        <v>$0 + 1.9/1.9/1.9/3.9/3.9</v>
      </c>
      <c r="AO326" s="32" t="str">
        <f t="shared" si="1035"/>
        <v>1.9/1.9/1.9/3.9/3.9</v>
      </c>
      <c r="AP326" s="32" t="str">
        <f t="shared" si="989"/>
        <v>1.9/2.9/3.9/3.9</v>
      </c>
      <c r="AQ326" s="536">
        <f t="shared" si="988"/>
        <v>485.28935557423199</v>
      </c>
      <c r="AR326" s="32"/>
      <c r="AS326" s="302"/>
      <c r="AT326" s="3">
        <f t="shared" si="1056"/>
        <v>26</v>
      </c>
      <c r="AU326" s="41" t="s">
        <v>121</v>
      </c>
      <c r="AV326" s="41" t="s">
        <v>116</v>
      </c>
      <c r="AW326" s="41" t="str">
        <f>INDEX(Input!$1:$1048576,AW$93,$C326*2+6)</f>
        <v>Kia</v>
      </c>
      <c r="AX326" s="41" t="str">
        <f>INDEX(Input!$1:$1048576,AX$93,$C326*2+6)</f>
        <v>Kia-LR - L3</v>
      </c>
      <c r="AY326" s="41" t="str">
        <f>IF(LEN(D326)=0,"",INDEX(Input!$1:$1048576,AY$93,$C326*2+6))</f>
        <v>Compact Conventional/Sporty Car (43)</v>
      </c>
      <c r="AZ326" s="41" t="str">
        <f>INDEX(Input!$1:$1048576,AZ$93,$C326*2+6)</f>
        <v>Kia Forte</v>
      </c>
      <c r="BA326" s="3">
        <f>INDEX(Input!$1:$1048576,BA$93,$C326*2+6)</f>
        <v>2020</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19695</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990"/>
        <v>1250</v>
      </c>
      <c r="CJ326" s="16" t="str">
        <f>INDEX(Input!$1:$1048576,CJ$93,$C326*2+6)</f>
        <v>N</v>
      </c>
      <c r="CK326" s="1" t="str">
        <f t="shared" si="991"/>
        <v>Market</v>
      </c>
      <c r="CL326" s="1" t="str">
        <f t="shared" si="992"/>
        <v>Market</v>
      </c>
      <c r="CM326" s="1" t="str">
        <f t="shared" si="993"/>
        <v>Market</v>
      </c>
      <c r="CN326" s="1" t="str">
        <f t="shared" si="994"/>
        <v>Market</v>
      </c>
      <c r="CO326" s="1" t="str">
        <f t="shared" si="995"/>
        <v>Market</v>
      </c>
      <c r="CP326" s="304">
        <f t="shared" si="996"/>
        <v>310</v>
      </c>
      <c r="CQ326" s="1">
        <f t="shared" si="997"/>
        <v>1.9E-2</v>
      </c>
      <c r="CR326" s="1">
        <f t="shared" si="998"/>
        <v>1.9E-2</v>
      </c>
      <c r="CS326" s="1">
        <f t="shared" si="999"/>
        <v>1.9E-2</v>
      </c>
      <c r="CT326" s="1">
        <f t="shared" si="1000"/>
        <v>3.9E-2</v>
      </c>
      <c r="CU326" s="1">
        <f t="shared" si="1001"/>
        <v>3.9000000000000007E-2</v>
      </c>
      <c r="CV326" s="304">
        <f t="shared" si="1002"/>
        <v>4593</v>
      </c>
      <c r="CW326" s="20" t="s">
        <v>122</v>
      </c>
      <c r="CX326" s="20" t="s">
        <v>122</v>
      </c>
      <c r="CY326" s="20" t="s">
        <v>122</v>
      </c>
      <c r="CZ326" s="20" t="s">
        <v>122</v>
      </c>
      <c r="DA326" s="20" t="s">
        <v>122</v>
      </c>
      <c r="DB326" s="503">
        <f t="shared" si="1003"/>
        <v>0</v>
      </c>
      <c r="DC326" s="127">
        <v>0</v>
      </c>
      <c r="DD326" s="127">
        <v>0</v>
      </c>
      <c r="DE326" s="127">
        <v>0</v>
      </c>
      <c r="DF326" s="127">
        <v>0</v>
      </c>
      <c r="DG326" s="127">
        <v>0</v>
      </c>
      <c r="DH326" s="127">
        <v>0</v>
      </c>
      <c r="DI326" s="127">
        <v>0</v>
      </c>
      <c r="DJ326" s="127">
        <v>0</v>
      </c>
      <c r="DK326" s="127">
        <v>0</v>
      </c>
      <c r="DL326" s="127">
        <v>0</v>
      </c>
      <c r="DM326" s="304">
        <f>INDEX(Input!$1:$1048576,DM$93,$C326*2+6)</f>
        <v>20731.578947368424</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3.4725978810192432E-2</v>
      </c>
      <c r="DZ326" s="7">
        <v>0</v>
      </c>
      <c r="EA326" s="7">
        <v>0.61311789617149537</v>
      </c>
      <c r="EB326" s="7">
        <v>0</v>
      </c>
      <c r="EC326" s="7">
        <v>0</v>
      </c>
      <c r="ED326" s="7">
        <v>0</v>
      </c>
      <c r="EE326" s="7">
        <v>0</v>
      </c>
      <c r="EF326" s="7">
        <v>0</v>
      </c>
      <c r="EG326" s="7">
        <v>0</v>
      </c>
      <c r="EH326" s="7">
        <v>2.1495709742264068E-2</v>
      </c>
      <c r="EI326" s="7">
        <v>2.3749747346977948E-2</v>
      </c>
      <c r="EJ326" s="7">
        <v>0.30284847070600168</v>
      </c>
      <c r="EK326" s="7">
        <v>0.53516791758972648</v>
      </c>
      <c r="EL326" s="7">
        <v>0.11673815461502966</v>
      </c>
      <c r="EM326" s="7">
        <v>2.1444612282916529E-2</v>
      </c>
      <c r="EN326" s="7">
        <v>5.8903840649550718E-2</v>
      </c>
      <c r="EO326" s="7">
        <v>0.5680644908961251</v>
      </c>
      <c r="EP326" s="7">
        <v>0.27410709591931859</v>
      </c>
      <c r="EQ326" s="7">
        <v>5.871357514642532E-2</v>
      </c>
      <c r="ER326" s="7">
        <v>4.0210997388580243E-2</v>
      </c>
      <c r="ES326" s="7">
        <v>0.33071151273539573</v>
      </c>
      <c r="ET326" s="7">
        <v>0.35215612501831223</v>
      </c>
      <c r="EU326" s="6">
        <v>1600</v>
      </c>
      <c r="EV326" s="6">
        <v>0</v>
      </c>
      <c r="EW326" s="6">
        <v>1600</v>
      </c>
      <c r="EX326" s="6">
        <v>0</v>
      </c>
      <c r="EY326" s="6">
        <v>1800.2984952363061</v>
      </c>
      <c r="EZ326" s="6">
        <v>3636</v>
      </c>
      <c r="FA326" s="6">
        <v>0</v>
      </c>
      <c r="FB326" s="6">
        <v>0</v>
      </c>
      <c r="FC326" s="6">
        <v>0</v>
      </c>
      <c r="FD326" s="6">
        <v>0</v>
      </c>
      <c r="FE326" s="6">
        <v>0</v>
      </c>
      <c r="FF326" s="6">
        <v>0</v>
      </c>
      <c r="FG326" s="6">
        <v>0</v>
      </c>
      <c r="FH326" s="6">
        <v>671.36292506626535</v>
      </c>
      <c r="FI326" s="6">
        <v>895.45057223936271</v>
      </c>
      <c r="FJ326" s="6">
        <v>1302.9658415685933</v>
      </c>
      <c r="FK326" s="6">
        <v>776.66319621661694</v>
      </c>
      <c r="FL326" s="6">
        <v>893.91433563489306</v>
      </c>
      <c r="FM326" s="6">
        <v>950.29849523630605</v>
      </c>
      <c r="FN326" s="6">
        <v>0</v>
      </c>
      <c r="FO326" s="6">
        <v>0</v>
      </c>
      <c r="FP326" s="6">
        <v>0</v>
      </c>
      <c r="FQ326" s="6">
        <v>0</v>
      </c>
      <c r="FR326" s="6">
        <v>0</v>
      </c>
      <c r="FS326" s="6">
        <v>0</v>
      </c>
      <c r="FT326" s="7">
        <v>0.64784387498168783</v>
      </c>
      <c r="FU326" s="7">
        <v>2.1444612282916529E-2</v>
      </c>
      <c r="FV326" s="7">
        <v>0.33071151273539573</v>
      </c>
      <c r="FW326" s="6">
        <v>1600</v>
      </c>
      <c r="FX326" s="6">
        <v>1800.2984952363061</v>
      </c>
      <c r="FY326" s="6">
        <v>3636</v>
      </c>
      <c r="FZ326" s="6">
        <v>2202.331475193394</v>
      </c>
      <c r="GA326" s="6">
        <v>2277.6239635004604</v>
      </c>
      <c r="GB326" s="6">
        <v>17417.37603649954</v>
      </c>
      <c r="GC326" s="7">
        <v>4.8391397220736806E-2</v>
      </c>
      <c r="GD326" s="7">
        <v>4.8174375307251917E-2</v>
      </c>
      <c r="GE326" s="7"/>
      <c r="GF326" s="7"/>
      <c r="GG326" s="7">
        <v>-4.4847209617640653E-3</v>
      </c>
      <c r="GH326" s="42">
        <v>-1.1731127676604309</v>
      </c>
      <c r="GI326" s="6">
        <v>-14511.04336920467</v>
      </c>
      <c r="GJ326" s="14">
        <v>0.51074630601039528</v>
      </c>
      <c r="GK326" s="14">
        <v>0.50829519786160982</v>
      </c>
      <c r="GL326" s="14">
        <v>0.48925369398960433</v>
      </c>
      <c r="GM326" s="14">
        <v>0.4917048021383903</v>
      </c>
      <c r="GO326" s="5">
        <v>338.16872463277008</v>
      </c>
      <c r="GP326" s="5">
        <v>307.64377699166363</v>
      </c>
      <c r="GQ326" s="5">
        <v>527.27910984145694</v>
      </c>
      <c r="GR326" s="5">
        <v>404.20319246551543</v>
      </c>
      <c r="GS326" s="5">
        <v>334.50205195691484</v>
      </c>
      <c r="GT326" s="5">
        <v>289.18266033348181</v>
      </c>
      <c r="GU326" s="5">
        <v>254.29573314828914</v>
      </c>
      <c r="GV326" s="39" t="s">
        <v>392</v>
      </c>
      <c r="GW326" s="5">
        <v>482.62147721109295</v>
      </c>
      <c r="GX326" s="5">
        <v>365.38001635587005</v>
      </c>
      <c r="GY326" s="5">
        <v>295.0520389871549</v>
      </c>
      <c r="GZ326" s="5">
        <v>263.25207727846526</v>
      </c>
      <c r="HA326" s="5">
        <v>229.8919505212948</v>
      </c>
      <c r="HB326" s="39">
        <v>276.12926111253807</v>
      </c>
      <c r="HC326" s="5">
        <v>124.04062499999996</v>
      </c>
      <c r="HD326" s="5">
        <v>127.75060307017539</v>
      </c>
      <c r="HE326" s="5">
        <v>136.66051366396758</v>
      </c>
      <c r="HF326" s="5">
        <v>133.62067434210525</v>
      </c>
      <c r="HG326" s="5">
        <v>137.88493421052632</v>
      </c>
      <c r="HH326" s="39">
        <v>130.72650526464056</v>
      </c>
      <c r="HI326" s="16"/>
      <c r="HJ326" s="19" t="str">
        <f t="shared" si="1105"/>
        <v>On</v>
      </c>
      <c r="HK326" s="1" t="str">
        <f t="shared" si="1105"/>
        <v>On</v>
      </c>
      <c r="HL326" s="16"/>
      <c r="HM326" s="639">
        <f t="shared" si="1004"/>
        <v>2.8970655363290673E-2</v>
      </c>
      <c r="HN326" s="639">
        <f t="shared" si="1005"/>
        <v>2.1835179285533651E-3</v>
      </c>
      <c r="HO326" s="639">
        <f t="shared" si="1006"/>
        <v>1.5544129749146325E-2</v>
      </c>
      <c r="HP326" s="644">
        <f>(FT326*$GD326-HM326)/$JF326*INDEX(Input!$1:$1048576,$JG$93,$C326*2+6)</f>
        <v>92.336645299405163</v>
      </c>
      <c r="HQ326" s="644">
        <f>(FU326*$GD326-HN326)/$JF326*INDEX(Input!$1:$1048576,$JG$93,$C326*2+6)</f>
        <v>-47.448017689415046</v>
      </c>
      <c r="HR326" s="644">
        <f>(FV326*$GD326-HO326)/$JF326*INDEX(Input!$1:$1048576,$JG$93,$C326*2+6)</f>
        <v>15.989712708379415</v>
      </c>
      <c r="HS326" s="644">
        <f t="shared" si="1106"/>
        <v>-27.230419548790984</v>
      </c>
      <c r="HT326" s="644">
        <f t="shared" si="1008"/>
        <v>-66.341142571117288</v>
      </c>
      <c r="HU326" s="644">
        <f t="shared" si="1009"/>
        <v>21.659702821920522</v>
      </c>
      <c r="HV326" s="648">
        <f t="shared" si="1010"/>
        <v>0</v>
      </c>
      <c r="HW326" s="648">
        <f t="shared" si="1011"/>
        <v>0</v>
      </c>
      <c r="HX326" s="648">
        <f t="shared" si="1012"/>
        <v>0</v>
      </c>
      <c r="HY326" s="644">
        <f>INDEX(Input!$1:$1048576,HY$93,$C326*2+6)*INDEX(Input!$1:$1048576,$JG$93,$C326*2+6)</f>
        <v>488.99999999999994</v>
      </c>
      <c r="HZ326" s="644">
        <f>INDEX(Input!$1:$1048576,HZ$93,$C326*2+6)*INDEX(Input!$1:$1048576,$JG$93,$C326*2+6)</f>
        <v>734</v>
      </c>
      <c r="IA326" s="644">
        <f>INDEX(Input!$1:$1048576,IA$93,$C326*2+6)*INDEX(Input!$1:$1048576,$JG$93,$C326*2+6)</f>
        <v>703</v>
      </c>
      <c r="IB326" s="644">
        <f t="shared" si="1036"/>
        <v>554.10622575061404</v>
      </c>
      <c r="IC326" s="644">
        <f t="shared" si="1037"/>
        <v>620.2108397394677</v>
      </c>
      <c r="ID326" s="644">
        <f>IF(AND(INDEX(Input!$1:$1048576,IA$93,$C326*2+7)="TOS",Y326&lt;=INDEX(Y:Y,MATCH(C326*1000+2,A:A))),0,1)*MAX(IA326+HR326+HU326+HX326,0%)</f>
        <v>740.64941553029996</v>
      </c>
      <c r="IE326" s="128">
        <f t="shared" si="1107"/>
        <v>0.28935557423196301</v>
      </c>
      <c r="IF326" s="128">
        <f t="shared" si="1108"/>
        <v>0.32387555912153149</v>
      </c>
      <c r="IG326" s="128">
        <f t="shared" si="1014"/>
        <v>0.3867688666465055</v>
      </c>
      <c r="IH326" s="21"/>
      <c r="II326" s="19">
        <f t="shared" si="1015"/>
        <v>1200</v>
      </c>
      <c r="IJ326" s="19">
        <f t="shared" si="1016"/>
        <v>2224.493581030405</v>
      </c>
      <c r="IK326" s="19">
        <f t="shared" si="1017"/>
        <v>3451.75</v>
      </c>
      <c r="IL326" s="19">
        <f t="shared" si="1039"/>
        <v>400</v>
      </c>
      <c r="IM326" s="19">
        <f t="shared" si="1018"/>
        <v>-424.19508579409899</v>
      </c>
      <c r="IN326" s="19">
        <f t="shared" si="1019"/>
        <v>184.25</v>
      </c>
      <c r="IO326" s="39">
        <f t="shared" si="1020"/>
        <v>0</v>
      </c>
      <c r="IP326" s="39">
        <f t="shared" si="1021"/>
        <v>0</v>
      </c>
      <c r="IQ326" s="39">
        <f t="shared" si="1022"/>
        <v>0</v>
      </c>
      <c r="IR326" s="39">
        <v>0</v>
      </c>
      <c r="IS326" s="39">
        <v>0</v>
      </c>
      <c r="IT326" s="39">
        <v>0</v>
      </c>
      <c r="IU326" s="39">
        <v>0</v>
      </c>
      <c r="IV326" s="39">
        <v>0</v>
      </c>
      <c r="IW326" s="39">
        <v>0</v>
      </c>
      <c r="IX326" s="39">
        <f>INDEX(Input!$1:$1048576,IX$93,$C326*2+6)+INDEX(Input!$1:$1048576,IX$94,$C326*2+6)</f>
        <v>1600</v>
      </c>
      <c r="IY326" s="39">
        <f>INDEX(Input!$1:$1048576,IY$93,$C326*2+6)+INDEX(Input!$1:$1048576,IY$94,$C326*2+6)</f>
        <v>2503.5492916397525</v>
      </c>
      <c r="IZ326" s="39">
        <f>INDEX(Input!$1:$1048576,IZ$93,$C326*2+6)+INDEX(Input!$1:$1048576,IZ$94,$C326*2+6)</f>
        <v>5773.7109265464023</v>
      </c>
      <c r="JA326" s="19">
        <f t="shared" si="1040"/>
        <v>2000</v>
      </c>
      <c r="JB326" s="19">
        <f t="shared" si="1041"/>
        <v>2079.3542058456533</v>
      </c>
      <c r="JC326" s="19">
        <f t="shared" si="1042"/>
        <v>5957.9609265464023</v>
      </c>
      <c r="JD326" s="19">
        <f t="shared" si="1043"/>
        <v>3556.5169495784107</v>
      </c>
      <c r="JE326" s="21"/>
      <c r="JF326" s="1">
        <f t="shared" si="1023"/>
        <v>4.6698303040990354E-2</v>
      </c>
      <c r="JG326" s="15">
        <f>INDEX(Input!$1:$1048576,JG$93,$C326*2+6)/(1+VLOOKUP(C326*1000+INDEX(Input!$1:$1048576,JG$93+1,$C326*2+6),$A:$KK,$JK$92,FALSE))</f>
        <v>1926</v>
      </c>
      <c r="JH326" s="1">
        <f t="shared" si="1044"/>
        <v>3.1608691754085948E-2</v>
      </c>
      <c r="JI326" s="1">
        <f t="shared" si="1045"/>
        <v>-3.7337413965725728E-2</v>
      </c>
      <c r="JJ326" s="1">
        <f t="shared" si="1109"/>
        <v>0</v>
      </c>
      <c r="JK326" s="1">
        <f t="shared" si="1110"/>
        <v>-5.7287222116397807E-3</v>
      </c>
      <c r="JL326" s="15">
        <f t="shared" si="1048"/>
        <v>-11.033518979618218</v>
      </c>
      <c r="JM326" s="15">
        <f t="shared" si="1074"/>
        <v>1914.9664810203817</v>
      </c>
      <c r="JN326" s="21"/>
      <c r="JO326" s="19">
        <f>INDEX(Input!$1:$1048576,JO$93,$C326*2+6)</f>
        <v>5908.5</v>
      </c>
      <c r="JP326" s="19">
        <f>INDEX(Input!$1:$1048576,JP$93,$C326*2+6)</f>
        <v>3467.7694503767912</v>
      </c>
      <c r="JQ326" s="39">
        <f t="shared" si="1060"/>
        <v>2351.9830504215893</v>
      </c>
      <c r="JR326" s="39">
        <f t="shared" si="1077"/>
        <v>88.747499201619576</v>
      </c>
      <c r="JS326" s="39">
        <f t="shared" si="1062"/>
        <v>6.8106107476235112</v>
      </c>
      <c r="JT326" s="39">
        <f t="shared" si="1050"/>
        <v>0.13168678619781138</v>
      </c>
      <c r="JU326" s="385">
        <f>(JQ326*JM326-INDEX(Input!$1:$1048576,Input!A$18,$C326*2+6)*JL326*INDEX(Input!$1:$1048576,Input!A$19,$C326*2+6))/1000000</f>
        <v>4.5039687054854136</v>
      </c>
      <c r="JV326" s="39">
        <f t="shared" si="1084"/>
        <v>-0.19687833308888614</v>
      </c>
      <c r="JW326" s="1">
        <f t="shared" si="1075"/>
        <v>-4.1881459122864069E-2</v>
      </c>
      <c r="JX326" s="19">
        <f t="shared" si="1066"/>
        <v>-11935.157445332821</v>
      </c>
      <c r="JZ326" s="341"/>
      <c r="KA326" s="342"/>
      <c r="KB326" s="469">
        <f t="shared" si="1063"/>
        <v>2.7822247002359868</v>
      </c>
      <c r="KI326" s="473">
        <f t="shared" si="1090"/>
        <v>65.106225750614101</v>
      </c>
      <c r="KJ326" s="473">
        <f t="shared" si="1091"/>
        <v>-113.7891602605323</v>
      </c>
      <c r="KK326" s="473">
        <f t="shared" si="1052"/>
        <v>37.649415530299962</v>
      </c>
      <c r="KN326" s="544">
        <f t="shared" si="1067"/>
        <v>3002</v>
      </c>
      <c r="KO326" s="541">
        <f t="shared" si="1027"/>
        <v>-7.0438054571518194E-2</v>
      </c>
      <c r="KP326" s="546">
        <f t="shared" si="1028"/>
        <v>-266.96888074356195</v>
      </c>
      <c r="KQ326" s="546">
        <f t="shared" si="1029"/>
        <v>-164.56426874696217</v>
      </c>
      <c r="KR326" s="548">
        <f t="shared" si="1030"/>
        <v>4.2146176727818139</v>
      </c>
      <c r="KS326" s="548">
        <f t="shared" si="1031"/>
        <v>6.837278659772049</v>
      </c>
      <c r="KT326" s="473">
        <f t="shared" si="1065"/>
        <v>527.01264777847621</v>
      </c>
      <c r="KU326" s="663">
        <f t="shared" si="1053"/>
        <v>14.584309069303625</v>
      </c>
      <c r="KV326" s="117"/>
    </row>
    <row r="327" spans="1:308" s="26" customFormat="1" ht="15">
      <c r="A327" s="561">
        <f t="shared" si="1032"/>
        <v>3027</v>
      </c>
      <c r="B327" s="561">
        <f t="shared" si="1054"/>
        <v>27</v>
      </c>
      <c r="C327" s="561">
        <f t="shared" si="1055"/>
        <v>3</v>
      </c>
      <c r="D327" s="561" t="str">
        <f t="shared" si="1104"/>
        <v xml:space="preserve">750 Combo, </v>
      </c>
      <c r="E327" s="475">
        <f>INDEX(Input!$1:$1048576,E$93,$C327*2+MIN($B327,2)+5)
+INDEX(Scenarios!E$121:E$200,MATCH($B327,Scenarios!$B$121:$B$200,0))</f>
        <v>1250</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1.9E-2</v>
      </c>
      <c r="W327" s="863">
        <f>IFERROR(MAX(0,INDEX(Input!$1:$1048576,W$93,$C327*2+MIN($B327,2)+5)-0%,),"Market")</f>
        <v>3.9000000000000007E-2</v>
      </c>
      <c r="X327" s="476" t="str">
        <f>INDEX(Input!$1:$1048576,X$93,$C327*2+MIN($B327,2)+5)</f>
        <v>Y</v>
      </c>
      <c r="Y327" s="475">
        <f>INDEX(Input!$1:$1048576,Y$93,$C327*2+MIN($B327,2)+5)
++INDEX(Scenarios!Y$121:Y$200,MATCH($B327,Scenarios!$B$121:$B$200,0))</f>
        <v>4108</v>
      </c>
      <c r="Z327" s="477">
        <f>INDEX(Input!$1:$1048576,Z$93,$C327*2+MIN($B327,2)+5)
+INDEX(Scenarios!Z$121:Z$200,MATCH($B327,Scenarios!$B$121:$B$200,0))</f>
        <v>0</v>
      </c>
      <c r="AA327" s="475">
        <f>INDEX(Input!$1:$1048576,AA$93,$C327*2+MIN($B327,2)+5)</f>
        <v>500</v>
      </c>
      <c r="AB327" s="476">
        <f>INDEX(Input!$1:$1048576,AB$93,$C327*2+MIN($B327,2)+5)</f>
        <v>0.62</v>
      </c>
      <c r="AC327" s="475">
        <f>INDEX(Input!$1:$1048576,AC$93,$C327*2+MIN($B327,2)+5)
+INDEX(Scenarios!AC$121:AC$200,MATCH($B327,Scenarios!$B$121:$B$200,0))</f>
        <v>0</v>
      </c>
      <c r="AD327" s="476">
        <f>INDEX(Input!$1:$1048576,AD$93,$C327*2+MIN($B327,2)+5)</f>
        <v>0.35</v>
      </c>
      <c r="AE327" s="475">
        <f>INDEX(Input!$1:$1048576,AE$93,$C327*2+MIN($B327,2)+5)
+INDEX(Scenarios!AE$121:AE$200,MATCH($B327,Scenarios!$B$121:$B$200,0))</f>
        <v>500</v>
      </c>
      <c r="AF327" s="476">
        <f>INDEX(Input!$1:$1048576,AF$93,$C327*2+MIN($B327,2)+5)</f>
        <v>0.97</v>
      </c>
      <c r="AG327" s="475">
        <f>INDEX(Input!$1:$1048576,AG$93,$C327*2+MIN($B327,2)+5)
+INDEX(Scenarios!AG$121:AG$200,MATCH($B327,Scenarios!$B$121:$B$200,0))</f>
        <v>0</v>
      </c>
      <c r="AH327" s="476">
        <f>INDEX(Input!$1:$1048576,AH$93,$C327*2+MIN($B327,2)+5)</f>
        <v>1</v>
      </c>
      <c r="AI327" s="475">
        <f>INDEX(Input!$1:$1048576,AI$93,$C327*2+MIN($B327,2)+5)
+INDEX(Scenarios!AI$121:AI$200,MATCH($B327,Scenarios!$B$121:$B$200,0))</f>
        <v>0</v>
      </c>
      <c r="AJ327" s="476">
        <f>INDEX(Input!$1:$1048576,AJ$93,$C327*2+MIN($B327,2)+5)</f>
        <v>0.35</v>
      </c>
      <c r="AK327" s="150">
        <f>ROUND(INDEX(Input!$1:$1048576,AK$93,$C326*2+MIN($B327,1)+5)+(Y327-VLOOKUP($C327*1000+1,$A:$HH,Y$92,FALSE)),0)</f>
        <v>4982</v>
      </c>
      <c r="AL327" s="150">
        <f>ROUND(INDEX(Input!$1:$1048576,AL$93,$C326*2+MIN($B327,1)+5)-(Y327-VLOOKUP($C327*1000+1,$A:$HH,Y$92,FALSE))/36,0)</f>
        <v>5102</v>
      </c>
      <c r="AM327" s="32" t="str">
        <f t="shared" si="1033"/>
        <v>std/std/std/std</v>
      </c>
      <c r="AN327" s="32" t="str">
        <f t="shared" si="1034"/>
        <v>$750 + 0/0/0/1.9/3.9</v>
      </c>
      <c r="AO327" s="32" t="str">
        <f t="shared" si="1035"/>
        <v>0/0/0/1.9/3.9</v>
      </c>
      <c r="AP327" s="32" t="str">
        <f t="shared" si="989"/>
        <v>0/0.9/1.9/3.9</v>
      </c>
      <c r="AQ327" s="536">
        <f t="shared" si="988"/>
        <v>485.24188368041405</v>
      </c>
      <c r="AR327" s="32"/>
      <c r="AS327" s="302"/>
      <c r="AT327" s="3">
        <f t="shared" si="1056"/>
        <v>27</v>
      </c>
      <c r="AU327" s="41" t="s">
        <v>121</v>
      </c>
      <c r="AV327" s="41" t="s">
        <v>116</v>
      </c>
      <c r="AW327" s="41" t="str">
        <f>INDEX(Input!$1:$1048576,AW$93,$C327*2+6)</f>
        <v>Kia</v>
      </c>
      <c r="AX327" s="41" t="str">
        <f>INDEX(Input!$1:$1048576,AX$93,$C327*2+6)</f>
        <v>Kia-LR - L3</v>
      </c>
      <c r="AY327" s="41" t="str">
        <f>IF(LEN(D327)=0,"",INDEX(Input!$1:$1048576,AY$93,$C327*2+6))</f>
        <v>Compact Conventional/Sporty Car (43)</v>
      </c>
      <c r="AZ327" s="41" t="str">
        <f>INDEX(Input!$1:$1048576,AZ$93,$C327*2+6)</f>
        <v>Kia Forte</v>
      </c>
      <c r="BA327" s="3">
        <f>INDEX(Input!$1:$1048576,BA$93,$C327*2+6)</f>
        <v>2020</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19695</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990"/>
        <v>1250</v>
      </c>
      <c r="CJ327" s="16" t="str">
        <f>INDEX(Input!$1:$1048576,CJ$93,$C327*2+6)</f>
        <v>N</v>
      </c>
      <c r="CK327" s="1" t="str">
        <f t="shared" si="991"/>
        <v>Market</v>
      </c>
      <c r="CL327" s="1" t="str">
        <f t="shared" si="992"/>
        <v>Market</v>
      </c>
      <c r="CM327" s="1" t="str">
        <f t="shared" si="993"/>
        <v>Market</v>
      </c>
      <c r="CN327" s="1" t="str">
        <f t="shared" si="994"/>
        <v>Market</v>
      </c>
      <c r="CO327" s="1" t="str">
        <f t="shared" si="995"/>
        <v>Market</v>
      </c>
      <c r="CP327" s="304">
        <f t="shared" si="996"/>
        <v>1060</v>
      </c>
      <c r="CQ327" s="1">
        <f t="shared" si="997"/>
        <v>0</v>
      </c>
      <c r="CR327" s="1">
        <f t="shared" si="998"/>
        <v>0</v>
      </c>
      <c r="CS327" s="1">
        <f t="shared" si="999"/>
        <v>0</v>
      </c>
      <c r="CT327" s="1">
        <f t="shared" si="1000"/>
        <v>1.9E-2</v>
      </c>
      <c r="CU327" s="1">
        <f t="shared" si="1001"/>
        <v>3.9000000000000007E-2</v>
      </c>
      <c r="CV327" s="304">
        <f t="shared" si="1002"/>
        <v>4593</v>
      </c>
      <c r="CW327" s="20" t="s">
        <v>122</v>
      </c>
      <c r="CX327" s="20" t="s">
        <v>122</v>
      </c>
      <c r="CY327" s="20" t="s">
        <v>122</v>
      </c>
      <c r="CZ327" s="20" t="s">
        <v>122</v>
      </c>
      <c r="DA327" s="20" t="s">
        <v>122</v>
      </c>
      <c r="DB327" s="503">
        <f t="shared" si="1003"/>
        <v>0</v>
      </c>
      <c r="DC327" s="127">
        <v>0</v>
      </c>
      <c r="DD327" s="127">
        <v>0</v>
      </c>
      <c r="DE327" s="127">
        <v>0</v>
      </c>
      <c r="DF327" s="127">
        <v>0</v>
      </c>
      <c r="DG327" s="127">
        <v>0</v>
      </c>
      <c r="DH327" s="127">
        <v>0</v>
      </c>
      <c r="DI327" s="127">
        <v>0</v>
      </c>
      <c r="DJ327" s="127">
        <v>0</v>
      </c>
      <c r="DK327" s="127">
        <v>0</v>
      </c>
      <c r="DL327" s="127">
        <v>0</v>
      </c>
      <c r="DM327" s="304">
        <f>INDEX(Input!$1:$1048576,DM$93,$C327*2+6)</f>
        <v>20731.578947368424</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3.3445179963253899E-2</v>
      </c>
      <c r="DZ327" s="7">
        <v>0</v>
      </c>
      <c r="EA327" s="7">
        <v>0.59051754980184401</v>
      </c>
      <c r="EB327" s="7">
        <v>0</v>
      </c>
      <c r="EC327" s="7">
        <v>0</v>
      </c>
      <c r="ED327" s="7">
        <v>0</v>
      </c>
      <c r="EE327" s="7">
        <v>0</v>
      </c>
      <c r="EF327" s="7">
        <v>0</v>
      </c>
      <c r="EG327" s="7">
        <v>0</v>
      </c>
      <c r="EH327" s="7">
        <v>1.4117364254420523E-2</v>
      </c>
      <c r="EI327" s="7">
        <v>1.7904424800647727E-2</v>
      </c>
      <c r="EJ327" s="7">
        <v>0.25712314864648633</v>
      </c>
      <c r="EK327" s="7">
        <v>0.65986987253471352</v>
      </c>
      <c r="EL327" s="7">
        <v>5.0985189763732126E-2</v>
      </c>
      <c r="EM327" s="7">
        <v>5.8764832034925288E-2</v>
      </c>
      <c r="EN327" s="7">
        <v>5.8903840649550718E-2</v>
      </c>
      <c r="EO327" s="7">
        <v>0.56806449089612499</v>
      </c>
      <c r="EP327" s="7">
        <v>0.27410709591931859</v>
      </c>
      <c r="EQ327" s="7">
        <v>5.8713575146425341E-2</v>
      </c>
      <c r="ER327" s="7">
        <v>4.0210997388580264E-2</v>
      </c>
      <c r="ES327" s="7">
        <v>0.31727243819997686</v>
      </c>
      <c r="ET327" s="7">
        <v>0.37603727023490208</v>
      </c>
      <c r="EU327" s="6">
        <v>1600</v>
      </c>
      <c r="EV327" s="6">
        <v>0</v>
      </c>
      <c r="EW327" s="6">
        <v>1600</v>
      </c>
      <c r="EX327" s="6">
        <v>0</v>
      </c>
      <c r="EY327" s="6">
        <v>3374.5083418298154</v>
      </c>
      <c r="EZ327" s="6">
        <v>3636</v>
      </c>
      <c r="FA327" s="6">
        <v>0</v>
      </c>
      <c r="FB327" s="6">
        <v>0</v>
      </c>
      <c r="FC327" s="6">
        <v>0</v>
      </c>
      <c r="FD327" s="6">
        <v>0</v>
      </c>
      <c r="FE327" s="6">
        <v>0</v>
      </c>
      <c r="FF327" s="6">
        <v>0</v>
      </c>
      <c r="FG327" s="6">
        <v>0</v>
      </c>
      <c r="FH327" s="6">
        <v>1154.3287267377207</v>
      </c>
      <c r="FI327" s="6">
        <v>1531.4299904380621</v>
      </c>
      <c r="FJ327" s="6">
        <v>2070.7205842538219</v>
      </c>
      <c r="FK327" s="6">
        <v>1746.9903521590436</v>
      </c>
      <c r="FL327" s="6">
        <v>893.91433563489363</v>
      </c>
      <c r="FM327" s="6">
        <v>1774.5083418298152</v>
      </c>
      <c r="FN327" s="6">
        <v>0</v>
      </c>
      <c r="FO327" s="6">
        <v>0</v>
      </c>
      <c r="FP327" s="6">
        <v>0</v>
      </c>
      <c r="FQ327" s="6">
        <v>0</v>
      </c>
      <c r="FR327" s="6">
        <v>0</v>
      </c>
      <c r="FS327" s="6">
        <v>0</v>
      </c>
      <c r="FT327" s="7">
        <v>0.62396272976509792</v>
      </c>
      <c r="FU327" s="7">
        <v>5.8764832034925288E-2</v>
      </c>
      <c r="FV327" s="7">
        <v>0.31727243819997686</v>
      </c>
      <c r="FW327" s="6">
        <v>1600</v>
      </c>
      <c r="FX327" s="6">
        <v>3374.5083418298154</v>
      </c>
      <c r="FY327" s="6">
        <v>3636</v>
      </c>
      <c r="FZ327" s="6">
        <v>2202.331475193394</v>
      </c>
      <c r="GA327" s="6">
        <v>2350.2453688273558</v>
      </c>
      <c r="GB327" s="6">
        <v>17344.754631172644</v>
      </c>
      <c r="GC327" s="7">
        <v>4.8391397220736806E-2</v>
      </c>
      <c r="GD327" s="7">
        <v>4.902305231727544E-2</v>
      </c>
      <c r="GE327" s="7"/>
      <c r="GF327" s="7"/>
      <c r="GG327" s="7">
        <v>1.3053045227385056E-2</v>
      </c>
      <c r="GH327" s="42">
        <v>1.7380363631663724</v>
      </c>
      <c r="GI327" s="6">
        <v>13681.999075130401</v>
      </c>
      <c r="GJ327" s="14">
        <v>0.51074630601039561</v>
      </c>
      <c r="GK327" s="14">
        <v>0.50829519786160959</v>
      </c>
      <c r="GL327" s="14">
        <v>0.48925369398960433</v>
      </c>
      <c r="GM327" s="14">
        <v>0.49170480213839024</v>
      </c>
      <c r="GO327" s="5">
        <v>338.16872463277008</v>
      </c>
      <c r="GP327" s="5">
        <v>307.64377699166363</v>
      </c>
      <c r="GQ327" s="5">
        <v>527.27910984145694</v>
      </c>
      <c r="GR327" s="5">
        <v>404.20319246551543</v>
      </c>
      <c r="GS327" s="5">
        <v>334.50205195691484</v>
      </c>
      <c r="GT327" s="5">
        <v>289.18266033348181</v>
      </c>
      <c r="GU327" s="5">
        <v>254.29573314828914</v>
      </c>
      <c r="GV327" s="39" t="s">
        <v>392</v>
      </c>
      <c r="GW327" s="5">
        <v>447.93055555555554</v>
      </c>
      <c r="GX327" s="5">
        <v>335.94791666666669</v>
      </c>
      <c r="GY327" s="5">
        <v>268.75833333333333</v>
      </c>
      <c r="GZ327" s="5">
        <v>237.15086788348813</v>
      </c>
      <c r="HA327" s="5">
        <v>219.67483322752744</v>
      </c>
      <c r="HB327" s="39">
        <v>249.13141793619963</v>
      </c>
      <c r="HC327" s="5">
        <v>124.04062499999996</v>
      </c>
      <c r="HD327" s="5">
        <v>127.75060307017539</v>
      </c>
      <c r="HE327" s="5">
        <v>136.66051366396758</v>
      </c>
      <c r="HF327" s="5">
        <v>133.62067434210525</v>
      </c>
      <c r="HG327" s="5">
        <v>137.88493421052632</v>
      </c>
      <c r="HH327" s="39">
        <v>130.72650526464056</v>
      </c>
      <c r="HI327" s="16"/>
      <c r="HJ327" s="19" t="str">
        <f t="shared" si="1105"/>
        <v>On</v>
      </c>
      <c r="HK327" s="1" t="str">
        <f t="shared" si="1105"/>
        <v>On</v>
      </c>
      <c r="HL327" s="16"/>
      <c r="HM327" s="639">
        <f t="shared" si="1004"/>
        <v>2.8970655363290673E-2</v>
      </c>
      <c r="HN327" s="639">
        <f t="shared" si="1005"/>
        <v>2.1835179285533651E-3</v>
      </c>
      <c r="HO327" s="639">
        <f t="shared" si="1006"/>
        <v>1.5544129749146325E-2</v>
      </c>
      <c r="HP327" s="644">
        <f>(FT327*$GD327-HM327)/$JF327*INDEX(Input!$1:$1048576,$JG$93,$C327*2+6)</f>
        <v>66.727898009981786</v>
      </c>
      <c r="HQ327" s="644">
        <f>(FU327*$GD327-HN327)/$JF327*INDEX(Input!$1:$1048576,$JG$93,$C327*2+6)</f>
        <v>28.759627790883627</v>
      </c>
      <c r="HR327" s="644">
        <f>(FV327*$GD327-HO327)/$JF327*INDEX(Input!$1:$1048576,$JG$93,$C327*2+6)</f>
        <v>0.39319822019553552</v>
      </c>
      <c r="HS327" s="644">
        <f t="shared" si="1106"/>
        <v>-28.852508826342348</v>
      </c>
      <c r="HT327" s="644">
        <f t="shared" si="1008"/>
        <v>161.9080034530009</v>
      </c>
      <c r="HU327" s="644">
        <f t="shared" si="1009"/>
        <v>23.281792099471886</v>
      </c>
      <c r="HV327" s="648">
        <f t="shared" si="1010"/>
        <v>0</v>
      </c>
      <c r="HW327" s="648">
        <f t="shared" si="1011"/>
        <v>0</v>
      </c>
      <c r="HX327" s="648">
        <f t="shared" si="1012"/>
        <v>0</v>
      </c>
      <c r="HY327" s="644">
        <f>INDEX(Input!$1:$1048576,HY$93,$C327*2+6)*INDEX(Input!$1:$1048576,$JG$93,$C327*2+6)</f>
        <v>488.99999999999994</v>
      </c>
      <c r="HZ327" s="644">
        <f>INDEX(Input!$1:$1048576,HZ$93,$C327*2+6)*INDEX(Input!$1:$1048576,$JG$93,$C327*2+6)</f>
        <v>734</v>
      </c>
      <c r="IA327" s="644">
        <f>INDEX(Input!$1:$1048576,IA$93,$C327*2+6)*INDEX(Input!$1:$1048576,$JG$93,$C327*2+6)</f>
        <v>703</v>
      </c>
      <c r="IB327" s="644">
        <f t="shared" si="1036"/>
        <v>526.87538918363941</v>
      </c>
      <c r="IC327" s="644">
        <f t="shared" si="1037"/>
        <v>924.66763124388456</v>
      </c>
      <c r="ID327" s="644">
        <f>IF(AND(INDEX(Input!$1:$1048576,IA$93,$C327*2+7)="TOS",Y327&lt;=INDEX(Y:Y,MATCH(C327*1000+2,A:A))),0,1)*MAX(IA327+HR327+HU327+HX327,0%)</f>
        <v>726.67499031966747</v>
      </c>
      <c r="IE327" s="128">
        <f t="shared" si="1107"/>
        <v>0.24188368041402156</v>
      </c>
      <c r="IF327" s="128">
        <f t="shared" si="1108"/>
        <v>0.42450646660785668</v>
      </c>
      <c r="IG327" s="128">
        <f t="shared" si="1014"/>
        <v>0.33360985297812185</v>
      </c>
      <c r="IH327" s="21"/>
      <c r="II327" s="19">
        <f t="shared" si="1015"/>
        <v>1200</v>
      </c>
      <c r="IJ327" s="19">
        <f t="shared" si="1016"/>
        <v>2224.493581030405</v>
      </c>
      <c r="IK327" s="19">
        <f t="shared" si="1017"/>
        <v>3451.75</v>
      </c>
      <c r="IL327" s="19">
        <f t="shared" si="1039"/>
        <v>400</v>
      </c>
      <c r="IM327" s="19">
        <f t="shared" si="1018"/>
        <v>1150.0147607994104</v>
      </c>
      <c r="IN327" s="19">
        <f t="shared" si="1019"/>
        <v>184.25</v>
      </c>
      <c r="IO327" s="39">
        <f t="shared" si="1020"/>
        <v>0</v>
      </c>
      <c r="IP327" s="39">
        <f t="shared" si="1021"/>
        <v>0</v>
      </c>
      <c r="IQ327" s="39">
        <f t="shared" si="1022"/>
        <v>0</v>
      </c>
      <c r="IR327" s="39">
        <v>0</v>
      </c>
      <c r="IS327" s="39">
        <v>0</v>
      </c>
      <c r="IT327" s="39">
        <v>0</v>
      </c>
      <c r="IU327" s="39">
        <v>0</v>
      </c>
      <c r="IV327" s="39">
        <v>0</v>
      </c>
      <c r="IW327" s="39">
        <v>0</v>
      </c>
      <c r="IX327" s="39">
        <f>INDEX(Input!$1:$1048576,IX$93,$C327*2+6)+INDEX(Input!$1:$1048576,IX$94,$C327*2+6)</f>
        <v>1600</v>
      </c>
      <c r="IY327" s="39">
        <f>INDEX(Input!$1:$1048576,IY$93,$C327*2+6)+INDEX(Input!$1:$1048576,IY$94,$C327*2+6)</f>
        <v>2503.5492916397525</v>
      </c>
      <c r="IZ327" s="39">
        <f>INDEX(Input!$1:$1048576,IZ$93,$C327*2+6)+INDEX(Input!$1:$1048576,IZ$94,$C327*2+6)</f>
        <v>5773.7109265464023</v>
      </c>
      <c r="JA327" s="19">
        <f t="shared" si="1040"/>
        <v>2000</v>
      </c>
      <c r="JB327" s="19">
        <f t="shared" si="1041"/>
        <v>3653.5640524391629</v>
      </c>
      <c r="JC327" s="19">
        <f t="shared" si="1042"/>
        <v>5957.9609265464023</v>
      </c>
      <c r="JD327" s="19">
        <f t="shared" si="1043"/>
        <v>4022.3633960090142</v>
      </c>
      <c r="JE327" s="21"/>
      <c r="JF327" s="1">
        <f t="shared" si="1023"/>
        <v>4.6698303040990354E-2</v>
      </c>
      <c r="JG327" s="15">
        <f>INDEX(Input!$1:$1048576,JG$93,$C327*2+6)/(1+VLOOKUP(C327*1000+INDEX(Input!$1:$1048576,JG$93+1,$C327*2+6),$A:$KK,$JK$92,FALSE))</f>
        <v>1926</v>
      </c>
      <c r="JH327" s="1">
        <f t="shared" si="1044"/>
        <v>4.9782307383728422E-2</v>
      </c>
      <c r="JI327" s="1">
        <f t="shared" si="1045"/>
        <v>8.1172007645965952E-2</v>
      </c>
      <c r="JJ327" s="1">
        <f t="shared" si="1109"/>
        <v>0</v>
      </c>
      <c r="JK327" s="1">
        <f t="shared" si="1110"/>
        <v>0.13095431502969437</v>
      </c>
      <c r="JL327" s="15">
        <f t="shared" si="1048"/>
        <v>252.21801074719136</v>
      </c>
      <c r="JM327" s="15">
        <f t="shared" si="1074"/>
        <v>2178.2180107471913</v>
      </c>
      <c r="JN327" s="21"/>
      <c r="JO327" s="19">
        <f>INDEX(Input!$1:$1048576,JO$93,$C327*2+6)</f>
        <v>5908.5</v>
      </c>
      <c r="JP327" s="19">
        <f>INDEX(Input!$1:$1048576,JP$93,$C327*2+6)</f>
        <v>3467.7694503767912</v>
      </c>
      <c r="JQ327" s="39">
        <f t="shared" si="1060"/>
        <v>1886.1366039909858</v>
      </c>
      <c r="JR327" s="39">
        <f t="shared" si="1077"/>
        <v>554.59394563222304</v>
      </c>
      <c r="JS327" s="39">
        <f t="shared" si="1062"/>
        <v>8.7615843949570706</v>
      </c>
      <c r="JT327" s="39">
        <f t="shared" si="1050"/>
        <v>2.082660433531371</v>
      </c>
      <c r="JU327" s="385">
        <f>(JQ327*JM327-INDEX(Input!$1:$1048576,Input!A$18,$C327*2+6)*JL327*INDEX(Input!$1:$1048576,Input!A$19,$C327*2+6))/1000000</f>
        <v>4.1084167215427083</v>
      </c>
      <c r="JV327" s="39">
        <f t="shared" si="1084"/>
        <v>-0.59243031703159144</v>
      </c>
      <c r="JW327" s="1">
        <f t="shared" si="1075"/>
        <v>-0.12602629104291535</v>
      </c>
      <c r="JX327" s="19">
        <f t="shared" si="1066"/>
        <v>8257.3818870489322</v>
      </c>
      <c r="JZ327" s="341"/>
      <c r="KA327" s="342"/>
      <c r="KB327" s="469">
        <f t="shared" si="1063"/>
        <v>2.7822247002359868</v>
      </c>
      <c r="KI327" s="473">
        <f t="shared" si="1090"/>
        <v>37.87538918363947</v>
      </c>
      <c r="KJ327" s="473">
        <f t="shared" si="1091"/>
        <v>190.66763124388456</v>
      </c>
      <c r="KK327" s="473">
        <f t="shared" si="1052"/>
        <v>23.674990319667586</v>
      </c>
      <c r="KN327" s="544">
        <f t="shared" si="1067"/>
        <v>3002</v>
      </c>
      <c r="KO327" s="541">
        <f t="shared" si="1027"/>
        <v>5.7349353999458508E-2</v>
      </c>
      <c r="KP327" s="546">
        <f t="shared" si="1028"/>
        <v>318.34386334542438</v>
      </c>
      <c r="KQ327" s="546">
        <f t="shared" si="1029"/>
        <v>301.28217768364129</v>
      </c>
      <c r="KR327" s="548">
        <f t="shared" si="1030"/>
        <v>2.8776867672012703</v>
      </c>
      <c r="KS327" s="548">
        <f t="shared" si="1031"/>
        <v>3.040650894162062</v>
      </c>
      <c r="KT327" s="473">
        <f t="shared" si="1065"/>
        <v>527.01264777847621</v>
      </c>
      <c r="KU327" s="663">
        <f t="shared" si="1053"/>
        <v>15.341064579302387</v>
      </c>
      <c r="KV327" s="117"/>
    </row>
    <row r="328" spans="1:308" s="26" customFormat="1" ht="15">
      <c r="A328" s="561">
        <f t="shared" si="1032"/>
        <v>3028</v>
      </c>
      <c r="B328" s="561">
        <f t="shared" si="1054"/>
        <v>28</v>
      </c>
      <c r="C328" s="561">
        <f t="shared" si="1055"/>
        <v>3</v>
      </c>
      <c r="D328" s="561" t="str">
        <f t="shared" si="1104"/>
        <v xml:space="preserve">1000 Combo, </v>
      </c>
      <c r="E328" s="475">
        <f>INDEX(Input!$1:$1048576,E$93,$C328*2+MIN($B328,2)+5)
+INDEX(Scenarios!E$121:E$200,MATCH($B328,Scenarios!$B$121:$B$200,0))</f>
        <v>1250</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1.9E-2</v>
      </c>
      <c r="W328" s="863">
        <f>IFERROR(MAX(0,INDEX(Input!$1:$1048576,W$93,$C328*2+MIN($B328,2)+5)-0%,),"Market")</f>
        <v>3.9000000000000007E-2</v>
      </c>
      <c r="X328" s="476" t="str">
        <f>INDEX(Input!$1:$1048576,X$93,$C328*2+MIN($B328,2)+5)</f>
        <v>Y</v>
      </c>
      <c r="Y328" s="475">
        <f>INDEX(Input!$1:$1048576,Y$93,$C328*2+MIN($B328,2)+5)
++INDEX(Scenarios!Y$121:Y$200,MATCH($B328,Scenarios!$B$121:$B$200,0))</f>
        <v>4108</v>
      </c>
      <c r="Z328" s="477">
        <f>INDEX(Input!$1:$1048576,Z$93,$C328*2+MIN($B328,2)+5)
+INDEX(Scenarios!Z$121:Z$200,MATCH($B328,Scenarios!$B$121:$B$200,0))</f>
        <v>0</v>
      </c>
      <c r="AA328" s="475">
        <f>INDEX(Input!$1:$1048576,AA$93,$C328*2+MIN($B328,2)+5)</f>
        <v>500</v>
      </c>
      <c r="AB328" s="476">
        <f>INDEX(Input!$1:$1048576,AB$93,$C328*2+MIN($B328,2)+5)</f>
        <v>0.62</v>
      </c>
      <c r="AC328" s="475">
        <f>INDEX(Input!$1:$1048576,AC$93,$C328*2+MIN($B328,2)+5)
+INDEX(Scenarios!AC$121:AC$200,MATCH($B328,Scenarios!$B$121:$B$200,0))</f>
        <v>0</v>
      </c>
      <c r="AD328" s="476">
        <f>INDEX(Input!$1:$1048576,AD$93,$C328*2+MIN($B328,2)+5)</f>
        <v>0.35</v>
      </c>
      <c r="AE328" s="475">
        <f>INDEX(Input!$1:$1048576,AE$93,$C328*2+MIN($B328,2)+5)
+INDEX(Scenarios!AE$121:AE$200,MATCH($B328,Scenarios!$B$121:$B$200,0))</f>
        <v>500</v>
      </c>
      <c r="AF328" s="476">
        <f>INDEX(Input!$1:$1048576,AF$93,$C328*2+MIN($B328,2)+5)</f>
        <v>0.97</v>
      </c>
      <c r="AG328" s="475">
        <f>INDEX(Input!$1:$1048576,AG$93,$C328*2+MIN($B328,2)+5)
+INDEX(Scenarios!AG$121:AG$200,MATCH($B328,Scenarios!$B$121:$B$200,0))</f>
        <v>0</v>
      </c>
      <c r="AH328" s="476">
        <f>INDEX(Input!$1:$1048576,AH$93,$C328*2+MIN($B328,2)+5)</f>
        <v>1</v>
      </c>
      <c r="AI328" s="475">
        <f>INDEX(Input!$1:$1048576,AI$93,$C328*2+MIN($B328,2)+5)
+INDEX(Scenarios!AI$121:AI$200,MATCH($B328,Scenarios!$B$121:$B$200,0))</f>
        <v>0</v>
      </c>
      <c r="AJ328" s="476">
        <f>INDEX(Input!$1:$1048576,AJ$93,$C328*2+MIN($B328,2)+5)</f>
        <v>0.35</v>
      </c>
      <c r="AK328" s="150">
        <f>ROUND(INDEX(Input!$1:$1048576,AK$93,$C327*2+MIN($B328,1)+5)+(Y328-VLOOKUP($C328*1000+1,$A:$HH,Y$92,FALSE)),0)</f>
        <v>4982</v>
      </c>
      <c r="AL328" s="150">
        <f>ROUND(INDEX(Input!$1:$1048576,AL$93,$C327*2+MIN($B328,1)+5)-(Y328-VLOOKUP($C328*1000+1,$A:$HH,Y$92,FALSE))/36,0)</f>
        <v>5102</v>
      </c>
      <c r="AM328" s="32" t="str">
        <f t="shared" si="1033"/>
        <v>std/std/std/std</v>
      </c>
      <c r="AN328" s="32" t="str">
        <f t="shared" si="1034"/>
        <v>$1000 + 0/0/0/1.9/3.9</v>
      </c>
      <c r="AO328" s="32" t="str">
        <f t="shared" si="1035"/>
        <v>0/0/0/1.9/3.9</v>
      </c>
      <c r="AP328" s="32" t="str">
        <f t="shared" si="989"/>
        <v>0/0.9/1.9/3.9</v>
      </c>
      <c r="AQ328" s="536">
        <f t="shared" si="988"/>
        <v>485.20828978250148</v>
      </c>
      <c r="AR328" s="32"/>
      <c r="AS328" s="302"/>
      <c r="AT328" s="3">
        <f t="shared" si="1056"/>
        <v>28</v>
      </c>
      <c r="AU328" s="41" t="s">
        <v>121</v>
      </c>
      <c r="AV328" s="41" t="s">
        <v>116</v>
      </c>
      <c r="AW328" s="41" t="str">
        <f>INDEX(Input!$1:$1048576,AW$93,$C328*2+6)</f>
        <v>Kia</v>
      </c>
      <c r="AX328" s="41" t="str">
        <f>INDEX(Input!$1:$1048576,AX$93,$C328*2+6)</f>
        <v>Kia-LR - L3</v>
      </c>
      <c r="AY328" s="41" t="str">
        <f>IF(LEN(D328)=0,"",INDEX(Input!$1:$1048576,AY$93,$C328*2+6))</f>
        <v>Compact Conventional/Sporty Car (43)</v>
      </c>
      <c r="AZ328" s="41" t="str">
        <f>INDEX(Input!$1:$1048576,AZ$93,$C328*2+6)</f>
        <v>Kia Forte</v>
      </c>
      <c r="BA328" s="3">
        <f>INDEX(Input!$1:$1048576,BA$93,$C328*2+6)</f>
        <v>2020</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19695</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990"/>
        <v>1250</v>
      </c>
      <c r="CJ328" s="16" t="str">
        <f>INDEX(Input!$1:$1048576,CJ$93,$C328*2+6)</f>
        <v>N</v>
      </c>
      <c r="CK328" s="1" t="str">
        <f t="shared" si="991"/>
        <v>Market</v>
      </c>
      <c r="CL328" s="1" t="str">
        <f t="shared" si="992"/>
        <v>Market</v>
      </c>
      <c r="CM328" s="1" t="str">
        <f t="shared" si="993"/>
        <v>Market</v>
      </c>
      <c r="CN328" s="1" t="str">
        <f t="shared" si="994"/>
        <v>Market</v>
      </c>
      <c r="CO328" s="1" t="str">
        <f t="shared" si="995"/>
        <v>Market</v>
      </c>
      <c r="CP328" s="304">
        <f t="shared" si="996"/>
        <v>1310</v>
      </c>
      <c r="CQ328" s="1">
        <f t="shared" si="997"/>
        <v>0</v>
      </c>
      <c r="CR328" s="1">
        <f t="shared" si="998"/>
        <v>0</v>
      </c>
      <c r="CS328" s="1">
        <f t="shared" si="999"/>
        <v>0</v>
      </c>
      <c r="CT328" s="1">
        <f t="shared" si="1000"/>
        <v>1.9E-2</v>
      </c>
      <c r="CU328" s="1">
        <f t="shared" si="1001"/>
        <v>3.9000000000000007E-2</v>
      </c>
      <c r="CV328" s="304">
        <f t="shared" si="1002"/>
        <v>4593</v>
      </c>
      <c r="CW328" s="20" t="s">
        <v>122</v>
      </c>
      <c r="CX328" s="20" t="s">
        <v>122</v>
      </c>
      <c r="CY328" s="20" t="s">
        <v>122</v>
      </c>
      <c r="CZ328" s="20" t="s">
        <v>122</v>
      </c>
      <c r="DA328" s="20" t="s">
        <v>122</v>
      </c>
      <c r="DB328" s="503">
        <f t="shared" si="1003"/>
        <v>0</v>
      </c>
      <c r="DC328" s="127">
        <v>0</v>
      </c>
      <c r="DD328" s="127">
        <v>0</v>
      </c>
      <c r="DE328" s="127">
        <v>0</v>
      </c>
      <c r="DF328" s="127">
        <v>0</v>
      </c>
      <c r="DG328" s="127">
        <v>0</v>
      </c>
      <c r="DH328" s="127">
        <v>0</v>
      </c>
      <c r="DI328" s="127">
        <v>0</v>
      </c>
      <c r="DJ328" s="127">
        <v>0</v>
      </c>
      <c r="DK328" s="127">
        <v>0</v>
      </c>
      <c r="DL328" s="127">
        <v>0</v>
      </c>
      <c r="DM328" s="304">
        <f>INDEX(Input!$1:$1048576,DM$93,$C328*2+6)</f>
        <v>20731.578947368424</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3.2553879817914411E-2</v>
      </c>
      <c r="DZ328" s="7">
        <v>0</v>
      </c>
      <c r="EA328" s="7">
        <v>0.55274481169418899</v>
      </c>
      <c r="EB328" s="7">
        <v>0</v>
      </c>
      <c r="EC328" s="7">
        <v>0</v>
      </c>
      <c r="ED328" s="7">
        <v>0</v>
      </c>
      <c r="EE328" s="7">
        <v>0</v>
      </c>
      <c r="EF328" s="7">
        <v>0</v>
      </c>
      <c r="EG328" s="7">
        <v>0</v>
      </c>
      <c r="EH328" s="7">
        <v>1.5885978651703579E-2</v>
      </c>
      <c r="EI328" s="7">
        <v>1.8019298461049642E-2</v>
      </c>
      <c r="EJ328" s="7">
        <v>0.20820735310856345</v>
      </c>
      <c r="EK328" s="7">
        <v>0.58355572222564878</v>
      </c>
      <c r="EL328" s="7">
        <v>0.17433164755303415</v>
      </c>
      <c r="EM328" s="7">
        <v>0.10546980998094196</v>
      </c>
      <c r="EN328" s="7">
        <v>5.8903840649550711E-2</v>
      </c>
      <c r="EO328" s="7">
        <v>0.5680644908961251</v>
      </c>
      <c r="EP328" s="7">
        <v>0.2741070959193187</v>
      </c>
      <c r="EQ328" s="7">
        <v>5.8713575146425348E-2</v>
      </c>
      <c r="ER328" s="7">
        <v>4.0210997388580236E-2</v>
      </c>
      <c r="ES328" s="7">
        <v>0.30923149850695475</v>
      </c>
      <c r="ET328" s="7">
        <v>0.41470130848789666</v>
      </c>
      <c r="EU328" s="6">
        <v>1600</v>
      </c>
      <c r="EV328" s="6">
        <v>0</v>
      </c>
      <c r="EW328" s="6">
        <v>1600</v>
      </c>
      <c r="EX328" s="6">
        <v>0</v>
      </c>
      <c r="EY328" s="6">
        <v>3502.3274851979704</v>
      </c>
      <c r="EZ328" s="6">
        <v>3636</v>
      </c>
      <c r="FA328" s="6">
        <v>0</v>
      </c>
      <c r="FB328" s="6">
        <v>0</v>
      </c>
      <c r="FC328" s="6">
        <v>0</v>
      </c>
      <c r="FD328" s="6">
        <v>0</v>
      </c>
      <c r="FE328" s="6">
        <v>0</v>
      </c>
      <c r="FF328" s="6">
        <v>0</v>
      </c>
      <c r="FG328" s="6">
        <v>0</v>
      </c>
      <c r="FH328" s="6">
        <v>1151.2771152615474</v>
      </c>
      <c r="FI328" s="6">
        <v>1531.4299904380621</v>
      </c>
      <c r="FJ328" s="6">
        <v>2070.7205842538219</v>
      </c>
      <c r="FK328" s="6">
        <v>1746.9903521590438</v>
      </c>
      <c r="FL328" s="6">
        <v>893.91433563489375</v>
      </c>
      <c r="FM328" s="6">
        <v>1652.3274851979702</v>
      </c>
      <c r="FN328" s="6">
        <v>0</v>
      </c>
      <c r="FO328" s="6">
        <v>0</v>
      </c>
      <c r="FP328" s="6">
        <v>0</v>
      </c>
      <c r="FQ328" s="6">
        <v>0</v>
      </c>
      <c r="FR328" s="6">
        <v>0</v>
      </c>
      <c r="FS328" s="6">
        <v>0</v>
      </c>
      <c r="FT328" s="7">
        <v>0.58529869151210345</v>
      </c>
      <c r="FU328" s="7">
        <v>0.10546980998094196</v>
      </c>
      <c r="FV328" s="7">
        <v>0.30923149850695475</v>
      </c>
      <c r="FW328" s="6">
        <v>1600</v>
      </c>
      <c r="FX328" s="6">
        <v>3502.3274851979704</v>
      </c>
      <c r="FY328" s="6">
        <v>3636</v>
      </c>
      <c r="FZ328" s="6">
        <v>2202.331475193394</v>
      </c>
      <c r="GA328" s="6">
        <v>2430.2334493455132</v>
      </c>
      <c r="GB328" s="6">
        <v>17264.766550654487</v>
      </c>
      <c r="GC328" s="7">
        <v>4.8391397220736806E-2</v>
      </c>
      <c r="GD328" s="7">
        <v>4.9601292882074724E-2</v>
      </c>
      <c r="GE328" s="7"/>
      <c r="GF328" s="7"/>
      <c r="GG328" s="7">
        <v>2.5002288233567472E-2</v>
      </c>
      <c r="GH328" s="42">
        <v>2.1606660872162191</v>
      </c>
      <c r="GI328" s="6">
        <v>11545.478103078591</v>
      </c>
      <c r="GJ328" s="14">
        <v>0.51074630601039561</v>
      </c>
      <c r="GK328" s="14">
        <v>0.5082951978616097</v>
      </c>
      <c r="GL328" s="14">
        <v>0.48925369398960428</v>
      </c>
      <c r="GM328" s="14">
        <v>0.49170480213839024</v>
      </c>
      <c r="GO328" s="5">
        <v>338.16872463277008</v>
      </c>
      <c r="GP328" s="5">
        <v>307.64377699166363</v>
      </c>
      <c r="GQ328" s="5">
        <v>527.27910984145694</v>
      </c>
      <c r="GR328" s="5">
        <v>404.20319246551543</v>
      </c>
      <c r="GS328" s="5">
        <v>334.50205195691484</v>
      </c>
      <c r="GT328" s="5">
        <v>289.18266033348181</v>
      </c>
      <c r="GU328" s="5">
        <v>254.29573314828914</v>
      </c>
      <c r="GV328" s="39" t="s">
        <v>392</v>
      </c>
      <c r="GW328" s="5">
        <v>440.98611111111109</v>
      </c>
      <c r="GX328" s="5">
        <v>330.73958333333331</v>
      </c>
      <c r="GY328" s="5">
        <v>264.59166666666664</v>
      </c>
      <c r="GZ328" s="5">
        <v>233.47422424633754</v>
      </c>
      <c r="HA328" s="5">
        <v>216.26912746293831</v>
      </c>
      <c r="HB328" s="39">
        <v>242.00289463964117</v>
      </c>
      <c r="HC328" s="5">
        <v>124.04062499999996</v>
      </c>
      <c r="HD328" s="5">
        <v>127.75060307017539</v>
      </c>
      <c r="HE328" s="5">
        <v>136.66051366396758</v>
      </c>
      <c r="HF328" s="5">
        <v>133.62067434210525</v>
      </c>
      <c r="HG328" s="5">
        <v>137.88493421052632</v>
      </c>
      <c r="HH328" s="39">
        <v>130.72650526464059</v>
      </c>
      <c r="HI328" s="16"/>
      <c r="HJ328" s="19" t="str">
        <f t="shared" si="1105"/>
        <v>On</v>
      </c>
      <c r="HK328" s="1" t="str">
        <f t="shared" si="1105"/>
        <v>On</v>
      </c>
      <c r="HL328" s="16"/>
      <c r="HM328" s="639">
        <f t="shared" si="1004"/>
        <v>2.8970655363290673E-2</v>
      </c>
      <c r="HN328" s="639">
        <f t="shared" si="1005"/>
        <v>2.1835179285533651E-3</v>
      </c>
      <c r="HO328" s="639">
        <f t="shared" si="1006"/>
        <v>1.5544129749146325E-2</v>
      </c>
      <c r="HP328" s="644">
        <f>(FT328*$GD328-HM328)/$JF328*INDEX(Input!$1:$1048576,$JG$93,$C328*2+6)</f>
        <v>2.5124060248022189</v>
      </c>
      <c r="HQ328" s="644">
        <f>(FU328*$GD328-HN328)/$JF328*INDEX(Input!$1:$1048576,$JG$93,$C328*2+6)</f>
        <v>125.70683464494122</v>
      </c>
      <c r="HR328" s="644">
        <f>(FV328*$GD328-HO328)/$JF328*INDEX(Input!$1:$1048576,$JG$93,$C328*2+6)</f>
        <v>-8.4898700110121084</v>
      </c>
      <c r="HS328" s="644">
        <f t="shared" si="1106"/>
        <v>-28.9842155758408</v>
      </c>
      <c r="HT328" s="644">
        <f t="shared" si="1008"/>
        <v>180.44086321273861</v>
      </c>
      <c r="HU328" s="644">
        <f t="shared" si="1009"/>
        <v>23.413498848970338</v>
      </c>
      <c r="HV328" s="648">
        <f t="shared" si="1010"/>
        <v>0</v>
      </c>
      <c r="HW328" s="648">
        <f t="shared" si="1011"/>
        <v>0</v>
      </c>
      <c r="HX328" s="648">
        <f t="shared" si="1012"/>
        <v>0</v>
      </c>
      <c r="HY328" s="644">
        <f>INDEX(Input!$1:$1048576,HY$93,$C328*2+6)*INDEX(Input!$1:$1048576,$JG$93,$C328*2+6)</f>
        <v>488.99999999999994</v>
      </c>
      <c r="HZ328" s="644">
        <f>INDEX(Input!$1:$1048576,HZ$93,$C328*2+6)*INDEX(Input!$1:$1048576,$JG$93,$C328*2+6)</f>
        <v>734</v>
      </c>
      <c r="IA328" s="644">
        <f>INDEX(Input!$1:$1048576,IA$93,$C328*2+6)*INDEX(Input!$1:$1048576,$JG$93,$C328*2+6)</f>
        <v>703</v>
      </c>
      <c r="IB328" s="644">
        <f t="shared" si="1036"/>
        <v>462.52819044896137</v>
      </c>
      <c r="IC328" s="644">
        <f t="shared" si="1037"/>
        <v>1040.1476978576798</v>
      </c>
      <c r="ID328" s="644">
        <f>IF(AND(INDEX(Input!$1:$1048576,IA$93,$C328*2+7)="TOS",Y328&lt;=INDEX(Y:Y,MATCH(C328*1000+2,A:A))),0,1)*MAX(IA328+HR328+HU328+HX328,0%)</f>
        <v>717.92362883795818</v>
      </c>
      <c r="IE328" s="128">
        <f t="shared" si="1107"/>
        <v>0.20828978250148958</v>
      </c>
      <c r="IF328" s="128">
        <f t="shared" si="1108"/>
        <v>0.46840850402200113</v>
      </c>
      <c r="IG328" s="128">
        <f t="shared" si="1014"/>
        <v>0.32330171347650932</v>
      </c>
      <c r="IH328" s="21"/>
      <c r="II328" s="19">
        <f t="shared" si="1015"/>
        <v>1200</v>
      </c>
      <c r="IJ328" s="19">
        <f t="shared" si="1016"/>
        <v>2224.493581030405</v>
      </c>
      <c r="IK328" s="19">
        <f t="shared" si="1017"/>
        <v>3451.75</v>
      </c>
      <c r="IL328" s="19">
        <f t="shared" si="1039"/>
        <v>400</v>
      </c>
      <c r="IM328" s="19">
        <f t="shared" si="1018"/>
        <v>1277.8339041675654</v>
      </c>
      <c r="IN328" s="19">
        <f t="shared" si="1019"/>
        <v>184.25</v>
      </c>
      <c r="IO328" s="39">
        <f t="shared" si="1020"/>
        <v>0</v>
      </c>
      <c r="IP328" s="39">
        <f t="shared" si="1021"/>
        <v>0</v>
      </c>
      <c r="IQ328" s="39">
        <f t="shared" si="1022"/>
        <v>0</v>
      </c>
      <c r="IR328" s="39">
        <v>0</v>
      </c>
      <c r="IS328" s="39">
        <v>0</v>
      </c>
      <c r="IT328" s="39">
        <v>0</v>
      </c>
      <c r="IU328" s="39">
        <v>0</v>
      </c>
      <c r="IV328" s="39">
        <v>0</v>
      </c>
      <c r="IW328" s="39">
        <v>0</v>
      </c>
      <c r="IX328" s="39">
        <f>INDEX(Input!$1:$1048576,IX$93,$C328*2+6)+INDEX(Input!$1:$1048576,IX$94,$C328*2+6)</f>
        <v>1600</v>
      </c>
      <c r="IY328" s="39">
        <f>INDEX(Input!$1:$1048576,IY$93,$C328*2+6)+INDEX(Input!$1:$1048576,IY$94,$C328*2+6)</f>
        <v>2503.5492916397525</v>
      </c>
      <c r="IZ328" s="39">
        <f>INDEX(Input!$1:$1048576,IZ$93,$C328*2+6)+INDEX(Input!$1:$1048576,IZ$94,$C328*2+6)</f>
        <v>5773.7109265464023</v>
      </c>
      <c r="JA328" s="19">
        <f t="shared" si="1040"/>
        <v>2000</v>
      </c>
      <c r="JB328" s="19">
        <f t="shared" si="1041"/>
        <v>3781.3831958073179</v>
      </c>
      <c r="JC328" s="19">
        <f t="shared" si="1042"/>
        <v>5957.9609265464023</v>
      </c>
      <c r="JD328" s="19">
        <f t="shared" si="1043"/>
        <v>4114.0305872635618</v>
      </c>
      <c r="JE328" s="21"/>
      <c r="JF328" s="1">
        <f t="shared" si="1023"/>
        <v>4.6698303040990354E-2</v>
      </c>
      <c r="JG328" s="15">
        <f>INDEX(Input!$1:$1048576,JG$93,$C328*2+6)/(1+VLOOKUP(C328*1000+INDEX(Input!$1:$1048576,JG$93+1,$C328*2+6),$A:$KK,$JK$92,FALSE))</f>
        <v>1926</v>
      </c>
      <c r="JH328" s="1">
        <f t="shared" si="1044"/>
        <v>6.2164782273484598E-2</v>
      </c>
      <c r="JI328" s="1">
        <f t="shared" si="1045"/>
        <v>9.079446858040921E-2</v>
      </c>
      <c r="JJ328" s="1">
        <f t="shared" si="1109"/>
        <v>0</v>
      </c>
      <c r="JK328" s="1">
        <f t="shared" si="1110"/>
        <v>0.15295925085389381</v>
      </c>
      <c r="JL328" s="15">
        <f t="shared" si="1048"/>
        <v>294.59951714459947</v>
      </c>
      <c r="JM328" s="15">
        <f t="shared" si="1074"/>
        <v>2220.5995171445993</v>
      </c>
      <c r="JN328" s="21"/>
      <c r="JO328" s="19">
        <f>INDEX(Input!$1:$1048576,JO$93,$C328*2+6)</f>
        <v>5908.5</v>
      </c>
      <c r="JP328" s="19">
        <f>INDEX(Input!$1:$1048576,JP$93,$C328*2+6)</f>
        <v>3467.7694503767912</v>
      </c>
      <c r="JQ328" s="39">
        <f t="shared" si="1060"/>
        <v>1794.4694127364382</v>
      </c>
      <c r="JR328" s="39">
        <f t="shared" si="1077"/>
        <v>646.2611368867706</v>
      </c>
      <c r="JS328" s="39">
        <f t="shared" si="1062"/>
        <v>9.1356143355955783</v>
      </c>
      <c r="JT328" s="39">
        <f t="shared" si="1050"/>
        <v>2.4566903741698778</v>
      </c>
      <c r="JU328" s="385">
        <f>(JQ328*JM328-INDEX(Input!$1:$1048576,Input!A$18,$C328*2+6)*JL328*INDEX(Input!$1:$1048576,Input!A$19,$C328*2+6))/1000000</f>
        <v>3.9847979114532874</v>
      </c>
      <c r="JV328" s="39">
        <f t="shared" si="1084"/>
        <v>-0.71604912712101232</v>
      </c>
      <c r="JW328" s="1">
        <f t="shared" si="1075"/>
        <v>-0.15232342623472808</v>
      </c>
      <c r="JX328" s="19">
        <f t="shared" si="1066"/>
        <v>8339.084863347045</v>
      </c>
      <c r="JZ328" s="341"/>
      <c r="KA328" s="342"/>
      <c r="KB328" s="469">
        <f t="shared" si="1063"/>
        <v>2.7822247002359868</v>
      </c>
      <c r="KI328" s="473">
        <f t="shared" si="1090"/>
        <v>-26.471809551038575</v>
      </c>
      <c r="KJ328" s="473">
        <f t="shared" si="1091"/>
        <v>306.14769785767976</v>
      </c>
      <c r="KK328" s="473">
        <f t="shared" si="1052"/>
        <v>14.923628837958177</v>
      </c>
      <c r="KN328" s="544">
        <f t="shared" si="1067"/>
        <v>3002</v>
      </c>
      <c r="KO328" s="541">
        <f t="shared" si="1027"/>
        <v>7.7922160848783673E-2</v>
      </c>
      <c r="KP328" s="546">
        <f t="shared" si="1028"/>
        <v>411.13824343694932</v>
      </c>
      <c r="KQ328" s="546">
        <f t="shared" si="1029"/>
        <v>392.94936893818885</v>
      </c>
      <c r="KR328" s="548">
        <f t="shared" si="1030"/>
        <v>3.02750300795587</v>
      </c>
      <c r="KS328" s="548">
        <f t="shared" si="1031"/>
        <v>3.1676403299857498</v>
      </c>
      <c r="KT328" s="473">
        <f t="shared" si="1065"/>
        <v>527.01264777847621</v>
      </c>
      <c r="KU328" s="663">
        <f t="shared" si="1053"/>
        <v>15.384227699150955</v>
      </c>
      <c r="KV328" s="117"/>
    </row>
    <row r="329" spans="1:308" s="26" customFormat="1" ht="15">
      <c r="A329" s="561">
        <f t="shared" si="1032"/>
        <v>3029</v>
      </c>
      <c r="B329" s="561">
        <f t="shared" si="1054"/>
        <v>29</v>
      </c>
      <c r="C329" s="561">
        <f t="shared" si="1055"/>
        <v>3</v>
      </c>
      <c r="D329" s="561" t="str">
        <f t="shared" si="1104"/>
        <v xml:space="preserve">-720 Lease, </v>
      </c>
      <c r="E329" s="475">
        <f>INDEX(Input!$1:$1048576,E$93,$C329*2+MIN($B329,2)+5)
+INDEX(Scenarios!E$121:E$200,MATCH($B329,Scenarios!$B$121:$B$200,0))</f>
        <v>1250</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1.9E-2</v>
      </c>
      <c r="W329" s="863">
        <f>IFERROR(MAX(0,INDEX(Input!$1:$1048576,W$93,$C329*2+MIN($B329,2)+5)-0%,),"Market")</f>
        <v>3.9000000000000007E-2</v>
      </c>
      <c r="X329" s="476" t="str">
        <f>INDEX(Input!$1:$1048576,X$93,$C329*2+MIN($B329,2)+5)</f>
        <v>Y</v>
      </c>
      <c r="Y329" s="475">
        <f>INDEX(Input!$1:$1048576,Y$93,$C329*2+MIN($B329,2)+5)
++INDEX(Scenarios!Y$121:Y$200,MATCH($B329,Scenarios!$B$121:$B$200,0))</f>
        <v>3388</v>
      </c>
      <c r="Z329" s="477">
        <f>INDEX(Input!$1:$1048576,Z$93,$C329*2+MIN($B329,2)+5)
+INDEX(Scenarios!Z$121:Z$200,MATCH($B329,Scenarios!$B$121:$B$200,0))</f>
        <v>0</v>
      </c>
      <c r="AA329" s="475">
        <f>INDEX(Input!$1:$1048576,AA$93,$C329*2+MIN($B329,2)+5)</f>
        <v>500</v>
      </c>
      <c r="AB329" s="476">
        <f>INDEX(Input!$1:$1048576,AB$93,$C329*2+MIN($B329,2)+5)</f>
        <v>0.62</v>
      </c>
      <c r="AC329" s="475">
        <f>INDEX(Input!$1:$1048576,AC$93,$C329*2+MIN($B329,2)+5)
+INDEX(Scenarios!AC$121:AC$200,MATCH($B329,Scenarios!$B$121:$B$200,0))</f>
        <v>0</v>
      </c>
      <c r="AD329" s="476">
        <f>INDEX(Input!$1:$1048576,AD$93,$C329*2+MIN($B329,2)+5)</f>
        <v>0.35</v>
      </c>
      <c r="AE329" s="475">
        <f>INDEX(Input!$1:$1048576,AE$93,$C329*2+MIN($B329,2)+5)
+INDEX(Scenarios!AE$121:AE$200,MATCH($B329,Scenarios!$B$121:$B$200,0))</f>
        <v>500</v>
      </c>
      <c r="AF329" s="476">
        <f>INDEX(Input!$1:$1048576,AF$93,$C329*2+MIN($B329,2)+5)</f>
        <v>0.97</v>
      </c>
      <c r="AG329" s="475">
        <f>INDEX(Input!$1:$1048576,AG$93,$C329*2+MIN($B329,2)+5)
+INDEX(Scenarios!AG$121:AG$200,MATCH($B329,Scenarios!$B$121:$B$200,0))</f>
        <v>0</v>
      </c>
      <c r="AH329" s="476">
        <f>INDEX(Input!$1:$1048576,AH$93,$C329*2+MIN($B329,2)+5)</f>
        <v>1</v>
      </c>
      <c r="AI329" s="475">
        <f>INDEX(Input!$1:$1048576,AI$93,$C329*2+MIN($B329,2)+5)
+INDEX(Scenarios!AI$121:AI$200,MATCH($B329,Scenarios!$B$121:$B$200,0))</f>
        <v>0</v>
      </c>
      <c r="AJ329" s="476">
        <f>INDEX(Input!$1:$1048576,AJ$93,$C329*2+MIN($B329,2)+5)</f>
        <v>0.35</v>
      </c>
      <c r="AK329" s="150">
        <f>ROUND(INDEX(Input!$1:$1048576,AK$93,$C328*2+MIN($B329,1)+5)+(Y329-VLOOKUP($C329*1000+1,$A:$HH,Y$92,FALSE)),0)</f>
        <v>4262</v>
      </c>
      <c r="AL329" s="150">
        <f>ROUND(INDEX(Input!$1:$1048576,AL$93,$C328*2+MIN($B329,1)+5)-(Y329-VLOOKUP($C329*1000+1,$A:$HH,Y$92,FALSE))/36,0)</f>
        <v>5122</v>
      </c>
      <c r="AM329" s="32" t="str">
        <f t="shared" si="1033"/>
        <v>std/std/std/std</v>
      </c>
      <c r="AN329" s="32" t="str">
        <f t="shared" si="1034"/>
        <v>$0 + 0/0/0/1.9/3.9</v>
      </c>
      <c r="AO329" s="32" t="str">
        <f t="shared" si="1035"/>
        <v>0/0/0/1.9/3.9</v>
      </c>
      <c r="AP329" s="32" t="str">
        <f t="shared" si="989"/>
        <v>0/0.9/1.9/3.9</v>
      </c>
      <c r="AQ329" s="536">
        <f t="shared" si="988"/>
        <v>485.30125546518656</v>
      </c>
      <c r="AR329" s="32"/>
      <c r="AS329" s="302"/>
      <c r="AT329" s="3">
        <f t="shared" si="1056"/>
        <v>29</v>
      </c>
      <c r="AU329" s="41" t="s">
        <v>121</v>
      </c>
      <c r="AV329" s="41" t="s">
        <v>116</v>
      </c>
      <c r="AW329" s="41" t="str">
        <f>INDEX(Input!$1:$1048576,AW$93,$C329*2+6)</f>
        <v>Kia</v>
      </c>
      <c r="AX329" s="41" t="str">
        <f>INDEX(Input!$1:$1048576,AX$93,$C329*2+6)</f>
        <v>Kia-LR - L3</v>
      </c>
      <c r="AY329" s="41" t="str">
        <f>IF(LEN(D329)=0,"",INDEX(Input!$1:$1048576,AY$93,$C329*2+6))</f>
        <v>Compact Conventional/Sporty Car (43)</v>
      </c>
      <c r="AZ329" s="41" t="str">
        <f>INDEX(Input!$1:$1048576,AZ$93,$C329*2+6)</f>
        <v>Kia Forte</v>
      </c>
      <c r="BA329" s="3">
        <f>INDEX(Input!$1:$1048576,BA$93,$C329*2+6)</f>
        <v>2020</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19695</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990"/>
        <v>1250</v>
      </c>
      <c r="CJ329" s="16" t="str">
        <f>INDEX(Input!$1:$1048576,CJ$93,$C329*2+6)</f>
        <v>N</v>
      </c>
      <c r="CK329" s="1" t="str">
        <f t="shared" si="991"/>
        <v>Market</v>
      </c>
      <c r="CL329" s="1" t="str">
        <f t="shared" si="992"/>
        <v>Market</v>
      </c>
      <c r="CM329" s="1" t="str">
        <f t="shared" si="993"/>
        <v>Market</v>
      </c>
      <c r="CN329" s="1" t="str">
        <f t="shared" si="994"/>
        <v>Market</v>
      </c>
      <c r="CO329" s="1" t="str">
        <f t="shared" si="995"/>
        <v>Market</v>
      </c>
      <c r="CP329" s="304">
        <f t="shared" si="996"/>
        <v>310</v>
      </c>
      <c r="CQ329" s="1">
        <f t="shared" si="997"/>
        <v>0</v>
      </c>
      <c r="CR329" s="1">
        <f t="shared" si="998"/>
        <v>0</v>
      </c>
      <c r="CS329" s="1">
        <f t="shared" si="999"/>
        <v>0</v>
      </c>
      <c r="CT329" s="1">
        <f t="shared" si="1000"/>
        <v>1.9E-2</v>
      </c>
      <c r="CU329" s="1">
        <f t="shared" si="1001"/>
        <v>3.9000000000000007E-2</v>
      </c>
      <c r="CV329" s="304">
        <f t="shared" si="1002"/>
        <v>3873</v>
      </c>
      <c r="CW329" s="20" t="s">
        <v>122</v>
      </c>
      <c r="CX329" s="20" t="s">
        <v>122</v>
      </c>
      <c r="CY329" s="20" t="s">
        <v>122</v>
      </c>
      <c r="CZ329" s="20" t="s">
        <v>122</v>
      </c>
      <c r="DA329" s="20" t="s">
        <v>122</v>
      </c>
      <c r="DB329" s="503">
        <f t="shared" si="1003"/>
        <v>0</v>
      </c>
      <c r="DC329" s="127">
        <v>0</v>
      </c>
      <c r="DD329" s="127">
        <v>0</v>
      </c>
      <c r="DE329" s="127">
        <v>0</v>
      </c>
      <c r="DF329" s="127">
        <v>0</v>
      </c>
      <c r="DG329" s="127">
        <v>0</v>
      </c>
      <c r="DH329" s="127">
        <v>0</v>
      </c>
      <c r="DI329" s="127">
        <v>0</v>
      </c>
      <c r="DJ329" s="127">
        <v>0</v>
      </c>
      <c r="DK329" s="127">
        <v>0</v>
      </c>
      <c r="DL329" s="127">
        <v>0</v>
      </c>
      <c r="DM329" s="304">
        <f>INDEX(Input!$1:$1048576,DM$93,$C329*2+6)</f>
        <v>20731.578947368424</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3.6085673832290867E-2</v>
      </c>
      <c r="DZ329" s="7">
        <v>0</v>
      </c>
      <c r="EA329" s="7">
        <v>0.63814933975462163</v>
      </c>
      <c r="EB329" s="7">
        <v>0</v>
      </c>
      <c r="EC329" s="7">
        <v>0</v>
      </c>
      <c r="ED329" s="7">
        <v>0</v>
      </c>
      <c r="EE329" s="7">
        <v>0</v>
      </c>
      <c r="EF329" s="7">
        <v>0</v>
      </c>
      <c r="EG329" s="7">
        <v>0</v>
      </c>
      <c r="EH329" s="7">
        <v>1.4140663876550238E-2</v>
      </c>
      <c r="EI329" s="7">
        <v>1.7906501123900388E-2</v>
      </c>
      <c r="EJ329" s="7">
        <v>0.25786395406599666</v>
      </c>
      <c r="EK329" s="7">
        <v>0.65925694464772433</v>
      </c>
      <c r="EL329" s="7">
        <v>5.083193628582839E-2</v>
      </c>
      <c r="EM329" s="7">
        <v>5.1319335465482674E-2</v>
      </c>
      <c r="EN329" s="7">
        <v>5.6525285218472221E-2</v>
      </c>
      <c r="EO329" s="7">
        <v>0.57051377034776463</v>
      </c>
      <c r="EP329" s="7">
        <v>0.27038672608301723</v>
      </c>
      <c r="EQ329" s="7">
        <v>6.0923972952005259E-2</v>
      </c>
      <c r="ER329" s="7">
        <v>4.1650245398740647E-2</v>
      </c>
      <c r="ES329" s="7">
        <v>0.27444565094760481</v>
      </c>
      <c r="ET329" s="7">
        <v>0.32576498641308754</v>
      </c>
      <c r="EU329" s="6">
        <v>1600</v>
      </c>
      <c r="EV329" s="6">
        <v>0</v>
      </c>
      <c r="EW329" s="6">
        <v>1600</v>
      </c>
      <c r="EX329" s="6">
        <v>0</v>
      </c>
      <c r="EY329" s="6">
        <v>2624.8645799552269</v>
      </c>
      <c r="EZ329" s="6">
        <v>2916</v>
      </c>
      <c r="FA329" s="6">
        <v>0</v>
      </c>
      <c r="FB329" s="6">
        <v>0</v>
      </c>
      <c r="FC329" s="6">
        <v>0</v>
      </c>
      <c r="FD329" s="6">
        <v>0</v>
      </c>
      <c r="FE329" s="6">
        <v>0</v>
      </c>
      <c r="FF329" s="6">
        <v>0</v>
      </c>
      <c r="FG329" s="6">
        <v>0</v>
      </c>
      <c r="FH329" s="6">
        <v>1154.3242370957946</v>
      </c>
      <c r="FI329" s="6">
        <v>1531.4299904380614</v>
      </c>
      <c r="FJ329" s="6">
        <v>2070.7205842538219</v>
      </c>
      <c r="FK329" s="6">
        <v>1746.9903521590436</v>
      </c>
      <c r="FL329" s="6">
        <v>893.91433563489397</v>
      </c>
      <c r="FM329" s="6">
        <v>1774.8645799552269</v>
      </c>
      <c r="FN329" s="6">
        <v>0</v>
      </c>
      <c r="FO329" s="6">
        <v>0</v>
      </c>
      <c r="FP329" s="6">
        <v>0</v>
      </c>
      <c r="FQ329" s="6">
        <v>0</v>
      </c>
      <c r="FR329" s="6">
        <v>0</v>
      </c>
      <c r="FS329" s="6">
        <v>0</v>
      </c>
      <c r="FT329" s="7">
        <v>0.67423501358691251</v>
      </c>
      <c r="FU329" s="7">
        <v>5.1319335465482674E-2</v>
      </c>
      <c r="FV329" s="7">
        <v>0.27444565094760481</v>
      </c>
      <c r="FW329" s="6">
        <v>1600</v>
      </c>
      <c r="FX329" s="6">
        <v>2624.8645799552269</v>
      </c>
      <c r="FY329" s="6">
        <v>2916</v>
      </c>
      <c r="FZ329" s="6">
        <v>2202.331475193394</v>
      </c>
      <c r="GA329" s="6">
        <v>2013.7658458324613</v>
      </c>
      <c r="GB329" s="6">
        <v>17681.234154167538</v>
      </c>
      <c r="GC329" s="7">
        <v>4.8391397220736806E-2</v>
      </c>
      <c r="GD329" s="7">
        <v>4.7322687808841954E-2</v>
      </c>
      <c r="GE329" s="7"/>
      <c r="GF329" s="7"/>
      <c r="GG329" s="7">
        <v>-2.2084698381820776E-2</v>
      </c>
      <c r="GH329" s="42">
        <v>2.3066671063230118</v>
      </c>
      <c r="GI329" s="6">
        <v>10552.059016100622</v>
      </c>
      <c r="GJ329" s="14">
        <v>0.51074630601039539</v>
      </c>
      <c r="GK329" s="14">
        <v>0.50829519786160959</v>
      </c>
      <c r="GL329" s="14">
        <v>0.48925369398960433</v>
      </c>
      <c r="GM329" s="14">
        <v>0.49170480213839013</v>
      </c>
      <c r="GO329" s="5">
        <v>338.16872463277008</v>
      </c>
      <c r="GP329" s="5">
        <v>307.64377699166363</v>
      </c>
      <c r="GQ329" s="5">
        <v>527.27910984145694</v>
      </c>
      <c r="GR329" s="5">
        <v>404.20319246551543</v>
      </c>
      <c r="GS329" s="5">
        <v>334.50205195691484</v>
      </c>
      <c r="GT329" s="5">
        <v>289.18266033348181</v>
      </c>
      <c r="GU329" s="5">
        <v>254.29573314828914</v>
      </c>
      <c r="GV329" s="39" t="s">
        <v>392</v>
      </c>
      <c r="GW329" s="5">
        <v>468.76388888888891</v>
      </c>
      <c r="GX329" s="5">
        <v>351.57291666666669</v>
      </c>
      <c r="GY329" s="5">
        <v>281.25833333333333</v>
      </c>
      <c r="GZ329" s="5">
        <v>248.18079879493993</v>
      </c>
      <c r="HA329" s="5">
        <v>229.8919505212948</v>
      </c>
      <c r="HB329" s="39">
        <v>260.75122748031936</v>
      </c>
      <c r="HC329" s="5">
        <v>155.54062499999998</v>
      </c>
      <c r="HD329" s="5">
        <v>149.25060307017537</v>
      </c>
      <c r="HE329" s="5">
        <v>156.62205212550606</v>
      </c>
      <c r="HF329" s="5">
        <v>150.27067434210522</v>
      </c>
      <c r="HG329" s="5">
        <v>151.68493421052631</v>
      </c>
      <c r="HH329" s="39">
        <v>151.76282761430534</v>
      </c>
      <c r="HI329" s="16"/>
      <c r="HJ329" s="19" t="str">
        <f t="shared" si="1105"/>
        <v>On</v>
      </c>
      <c r="HK329" s="1" t="str">
        <f t="shared" si="1105"/>
        <v>On</v>
      </c>
      <c r="HL329" s="16"/>
      <c r="HM329" s="639">
        <f t="shared" si="1004"/>
        <v>2.8970655363290673E-2</v>
      </c>
      <c r="HN329" s="639">
        <f t="shared" si="1005"/>
        <v>2.1835179285533651E-3</v>
      </c>
      <c r="HO329" s="639">
        <f t="shared" si="1006"/>
        <v>1.5544129749146325E-2</v>
      </c>
      <c r="HP329" s="644">
        <f>(FT329*$GD329-HM329)/$JF329*INDEX(Input!$1:$1048576,$JG$93,$C329*2+6)</f>
        <v>121.08907928820683</v>
      </c>
      <c r="HQ329" s="644">
        <f>(FU329*$GD329-HN329)/$JF329*INDEX(Input!$1:$1048576,$JG$93,$C329*2+6)</f>
        <v>10.10675169189755</v>
      </c>
      <c r="HR329" s="644">
        <f>(FV329*$GD329-HO329)/$JF329*INDEX(Input!$1:$1048576,$JG$93,$C329*2+6)</f>
        <v>-105.44403734797633</v>
      </c>
      <c r="HS329" s="644">
        <f t="shared" si="1106"/>
        <v>-28.080064726369677</v>
      </c>
      <c r="HT329" s="644">
        <f t="shared" si="1008"/>
        <v>53.215030378004677</v>
      </c>
      <c r="HU329" s="644">
        <f t="shared" si="1009"/>
        <v>-44.941676722596</v>
      </c>
      <c r="HV329" s="648">
        <f t="shared" si="1010"/>
        <v>0</v>
      </c>
      <c r="HW329" s="648">
        <f t="shared" si="1011"/>
        <v>0</v>
      </c>
      <c r="HX329" s="648">
        <f t="shared" si="1012"/>
        <v>0</v>
      </c>
      <c r="HY329" s="644">
        <f>INDEX(Input!$1:$1048576,HY$93,$C329*2+6)*INDEX(Input!$1:$1048576,$JG$93,$C329*2+6)</f>
        <v>488.99999999999994</v>
      </c>
      <c r="HZ329" s="644">
        <f>INDEX(Input!$1:$1048576,HZ$93,$C329*2+6)*INDEX(Input!$1:$1048576,$JG$93,$C329*2+6)</f>
        <v>734</v>
      </c>
      <c r="IA329" s="644">
        <f>INDEX(Input!$1:$1048576,IA$93,$C329*2+6)*INDEX(Input!$1:$1048576,$JG$93,$C329*2+6)</f>
        <v>703</v>
      </c>
      <c r="IB329" s="644">
        <f t="shared" si="1036"/>
        <v>582.00901456183692</v>
      </c>
      <c r="IC329" s="644">
        <f t="shared" si="1037"/>
        <v>797.32178206990227</v>
      </c>
      <c r="ID329" s="644">
        <f>IF(AND(INDEX(Input!$1:$1048576,IA$93,$C329*2+7)="TOS",Y329&lt;=INDEX(Y:Y,MATCH(C329*1000+2,A:A))),0,1)*MAX(IA329+HR329+HU329+HX329,0%)</f>
        <v>552.61428592942775</v>
      </c>
      <c r="IE329" s="128">
        <f t="shared" si="1107"/>
        <v>0.3012554651865525</v>
      </c>
      <c r="IF329" s="128">
        <f t="shared" si="1108"/>
        <v>0.41270416497186241</v>
      </c>
      <c r="IG329" s="128">
        <f t="shared" si="1014"/>
        <v>0.28604036984158504</v>
      </c>
      <c r="IH329" s="21"/>
      <c r="II329" s="19">
        <f t="shared" si="1015"/>
        <v>1200</v>
      </c>
      <c r="IJ329" s="19">
        <f t="shared" si="1016"/>
        <v>2224.493581030405</v>
      </c>
      <c r="IK329" s="19">
        <f t="shared" si="1017"/>
        <v>3451.75</v>
      </c>
      <c r="IL329" s="19">
        <f t="shared" si="1039"/>
        <v>400</v>
      </c>
      <c r="IM329" s="19">
        <f t="shared" si="1018"/>
        <v>400.37099892482183</v>
      </c>
      <c r="IN329" s="19">
        <f t="shared" si="1019"/>
        <v>-535.75</v>
      </c>
      <c r="IO329" s="39">
        <f t="shared" si="1020"/>
        <v>0</v>
      </c>
      <c r="IP329" s="39">
        <f t="shared" si="1021"/>
        <v>0</v>
      </c>
      <c r="IQ329" s="39">
        <f t="shared" si="1022"/>
        <v>0</v>
      </c>
      <c r="IR329" s="39">
        <v>0</v>
      </c>
      <c r="IS329" s="39">
        <v>0</v>
      </c>
      <c r="IT329" s="39">
        <v>0</v>
      </c>
      <c r="IU329" s="39">
        <v>0</v>
      </c>
      <c r="IV329" s="39">
        <v>0</v>
      </c>
      <c r="IW329" s="39">
        <v>0</v>
      </c>
      <c r="IX329" s="39">
        <f>INDEX(Input!$1:$1048576,IX$93,$C329*2+6)+INDEX(Input!$1:$1048576,IX$94,$C329*2+6)</f>
        <v>1600</v>
      </c>
      <c r="IY329" s="39">
        <f>INDEX(Input!$1:$1048576,IY$93,$C329*2+6)+INDEX(Input!$1:$1048576,IY$94,$C329*2+6)</f>
        <v>2503.5492916397525</v>
      </c>
      <c r="IZ329" s="39">
        <f>INDEX(Input!$1:$1048576,IZ$93,$C329*2+6)+INDEX(Input!$1:$1048576,IZ$94,$C329*2+6)</f>
        <v>5773.7109265464023</v>
      </c>
      <c r="JA329" s="19">
        <f t="shared" si="1040"/>
        <v>2000</v>
      </c>
      <c r="JB329" s="19">
        <f t="shared" si="1041"/>
        <v>2903.9202905645743</v>
      </c>
      <c r="JC329" s="19">
        <f t="shared" si="1042"/>
        <v>5237.9609265464023</v>
      </c>
      <c r="JD329" s="19">
        <f t="shared" si="1043"/>
        <v>3299.2392096805102</v>
      </c>
      <c r="JE329" s="21"/>
      <c r="JF329" s="1">
        <f t="shared" si="1023"/>
        <v>4.6698303040990354E-2</v>
      </c>
      <c r="JG329" s="15">
        <f>INDEX(Input!$1:$1048576,JG$93,$C329*2+6)/(1+VLOOKUP(C329*1000+INDEX(Input!$1:$1048576,JG$93+1,$C329*2+6),$A:$KK,$JK$92,FALSE))</f>
        <v>1926</v>
      </c>
      <c r="JH329" s="1">
        <f t="shared" si="1044"/>
        <v>1.3370609362475619E-2</v>
      </c>
      <c r="JI329" s="1">
        <f t="shared" si="1045"/>
        <v>-1.0283858292295431E-2</v>
      </c>
      <c r="JJ329" s="1">
        <f t="shared" si="1109"/>
        <v>0</v>
      </c>
      <c r="JK329" s="1">
        <f t="shared" si="1110"/>
        <v>3.0867510701801885E-3</v>
      </c>
      <c r="JL329" s="15">
        <f t="shared" si="1048"/>
        <v>5.9450825611670428</v>
      </c>
      <c r="JM329" s="15">
        <f t="shared" si="1074"/>
        <v>1931.9450825611671</v>
      </c>
      <c r="JN329" s="21"/>
      <c r="JO329" s="19">
        <f>INDEX(Input!$1:$1048576,JO$93,$C329*2+6)</f>
        <v>5908.5</v>
      </c>
      <c r="JP329" s="19">
        <f>INDEX(Input!$1:$1048576,JP$93,$C329*2+6)</f>
        <v>3467.7694503767912</v>
      </c>
      <c r="JQ329" s="39">
        <f t="shared" si="1060"/>
        <v>2609.2607903194898</v>
      </c>
      <c r="JR329" s="39">
        <f t="shared" si="1077"/>
        <v>-168.530240696281</v>
      </c>
      <c r="JS329" s="39">
        <f t="shared" si="1062"/>
        <v>6.3739489673352532</v>
      </c>
      <c r="JT329" s="39">
        <f t="shared" si="1050"/>
        <v>-0.3049749940904472</v>
      </c>
      <c r="JU329" s="385">
        <f>(JQ329*JM329-INDEX(Input!$1:$1048576,Input!A$18,$C329*2+6)*JL329*INDEX(Input!$1:$1048576,Input!A$19,$C329*2+6))/1000000</f>
        <v>5.0409485529774027</v>
      </c>
      <c r="JV329" s="39">
        <f t="shared" si="1084"/>
        <v>0.34010151440310299</v>
      </c>
      <c r="JW329" s="1">
        <f t="shared" si="1075"/>
        <v>7.2348985536498323E-2</v>
      </c>
      <c r="JX329" s="19">
        <f t="shared" si="1066"/>
        <v>-51298.697865447211</v>
      </c>
      <c r="JZ329" s="341"/>
      <c r="KA329" s="342"/>
      <c r="KB329" s="469">
        <f t="shared" si="1063"/>
        <v>2.7822247002359868</v>
      </c>
      <c r="KI329" s="473">
        <f t="shared" si="1090"/>
        <v>93.009014561836977</v>
      </c>
      <c r="KJ329" s="473">
        <f t="shared" si="1091"/>
        <v>63.32178206990227</v>
      </c>
      <c r="KK329" s="473">
        <f t="shared" si="1052"/>
        <v>-150.38571407057225</v>
      </c>
      <c r="KN329" s="544">
        <f t="shared" si="1067"/>
        <v>3002</v>
      </c>
      <c r="KO329" s="541">
        <f t="shared" si="1027"/>
        <v>-6.2196311420746331E-2</v>
      </c>
      <c r="KP329" s="546">
        <f t="shared" si="1028"/>
        <v>-205.83703142393298</v>
      </c>
      <c r="KQ329" s="546">
        <f t="shared" si="1029"/>
        <v>-421.84200864486274</v>
      </c>
      <c r="KR329" s="548">
        <f t="shared" si="1030"/>
        <v>4.826725396697622</v>
      </c>
      <c r="KS329" s="548">
        <f t="shared" si="1031"/>
        <v>2.3551917703652894</v>
      </c>
      <c r="KT329" s="473">
        <f t="shared" si="1065"/>
        <v>527.01264777847621</v>
      </c>
      <c r="KU329" s="663">
        <f t="shared" si="1053"/>
        <v>15.913927401386053</v>
      </c>
      <c r="KV329" s="117"/>
    </row>
    <row r="330" spans="1:308" s="26" customFormat="1" ht="15">
      <c r="A330" s="561">
        <f t="shared" si="1032"/>
        <v>3030</v>
      </c>
      <c r="B330" s="561">
        <f t="shared" si="1054"/>
        <v>30</v>
      </c>
      <c r="C330" s="561">
        <f t="shared" si="1055"/>
        <v>3</v>
      </c>
      <c r="D330" s="561" t="str">
        <f t="shared" si="1104"/>
        <v xml:space="preserve">1080 Lease, </v>
      </c>
      <c r="E330" s="475">
        <f>INDEX(Input!$1:$1048576,E$93,$C330*2+MIN($B330,2)+5)
+INDEX(Scenarios!E$121:E$200,MATCH($B330,Scenarios!$B$121:$B$200,0))</f>
        <v>1250</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1.9E-2</v>
      </c>
      <c r="W330" s="863">
        <f>IFERROR(MAX(0,INDEX(Input!$1:$1048576,W$93,$C330*2+MIN($B330,2)+5)-0%,),"Market")</f>
        <v>3.9000000000000007E-2</v>
      </c>
      <c r="X330" s="476" t="str">
        <f>INDEX(Input!$1:$1048576,X$93,$C330*2+MIN($B330,2)+5)</f>
        <v>Y</v>
      </c>
      <c r="Y330" s="475">
        <f>INDEX(Input!$1:$1048576,Y$93,$C330*2+MIN($B330,2)+5)
++INDEX(Scenarios!Y$121:Y$200,MATCH($B330,Scenarios!$B$121:$B$200,0))</f>
        <v>5188</v>
      </c>
      <c r="Z330" s="477">
        <f>INDEX(Input!$1:$1048576,Z$93,$C330*2+MIN($B330,2)+5)
+INDEX(Scenarios!Z$121:Z$200,MATCH($B330,Scenarios!$B$121:$B$200,0))</f>
        <v>0</v>
      </c>
      <c r="AA330" s="475">
        <f>INDEX(Input!$1:$1048576,AA$93,$C330*2+MIN($B330,2)+5)</f>
        <v>500</v>
      </c>
      <c r="AB330" s="476">
        <f>INDEX(Input!$1:$1048576,AB$93,$C330*2+MIN($B330,2)+5)</f>
        <v>0.62</v>
      </c>
      <c r="AC330" s="475">
        <f>INDEX(Input!$1:$1048576,AC$93,$C330*2+MIN($B330,2)+5)
+INDEX(Scenarios!AC$121:AC$200,MATCH($B330,Scenarios!$B$121:$B$200,0))</f>
        <v>0</v>
      </c>
      <c r="AD330" s="476">
        <f>INDEX(Input!$1:$1048576,AD$93,$C330*2+MIN($B330,2)+5)</f>
        <v>0.35</v>
      </c>
      <c r="AE330" s="475">
        <f>INDEX(Input!$1:$1048576,AE$93,$C330*2+MIN($B330,2)+5)
+INDEX(Scenarios!AE$121:AE$200,MATCH($B330,Scenarios!$B$121:$B$200,0))</f>
        <v>500</v>
      </c>
      <c r="AF330" s="476">
        <f>INDEX(Input!$1:$1048576,AF$93,$C330*2+MIN($B330,2)+5)</f>
        <v>0.97</v>
      </c>
      <c r="AG330" s="475">
        <f>INDEX(Input!$1:$1048576,AG$93,$C330*2+MIN($B330,2)+5)
+INDEX(Scenarios!AG$121:AG$200,MATCH($B330,Scenarios!$B$121:$B$200,0))</f>
        <v>0</v>
      </c>
      <c r="AH330" s="476">
        <f>INDEX(Input!$1:$1048576,AH$93,$C330*2+MIN($B330,2)+5)</f>
        <v>1</v>
      </c>
      <c r="AI330" s="475">
        <f>INDEX(Input!$1:$1048576,AI$93,$C330*2+MIN($B330,2)+5)
+INDEX(Scenarios!AI$121:AI$200,MATCH($B330,Scenarios!$B$121:$B$200,0))</f>
        <v>0</v>
      </c>
      <c r="AJ330" s="476">
        <f>INDEX(Input!$1:$1048576,AJ$93,$C330*2+MIN($B330,2)+5)</f>
        <v>0.35</v>
      </c>
      <c r="AK330" s="150">
        <f>ROUND(INDEX(Input!$1:$1048576,AK$93,$C329*2+MIN($B330,1)+5)+(Y330-VLOOKUP($C330*1000+1,$A:$HH,Y$92,FALSE)),0)</f>
        <v>6062</v>
      </c>
      <c r="AL330" s="150">
        <f>ROUND(INDEX(Input!$1:$1048576,AL$93,$C329*2+MIN($B330,1)+5)-(Y330-VLOOKUP($C330*1000+1,$A:$HH,Y$92,FALSE))/36,0)</f>
        <v>5072</v>
      </c>
      <c r="AM330" s="32" t="str">
        <f t="shared" si="1033"/>
        <v>std/std/std/std</v>
      </c>
      <c r="AN330" s="32" t="str">
        <f t="shared" si="1034"/>
        <v>$0 + 0/0/0/1.9/3.9</v>
      </c>
      <c r="AO330" s="32" t="str">
        <f t="shared" si="1035"/>
        <v>0/0/0/1.9/3.9</v>
      </c>
      <c r="AP330" s="32" t="str">
        <f t="shared" si="989"/>
        <v>0/0.9/1.9/3.9</v>
      </c>
      <c r="AQ330" s="536">
        <f t="shared" si="988"/>
        <v>485.19738638283781</v>
      </c>
      <c r="AR330" s="32"/>
      <c r="AS330" s="302"/>
      <c r="AT330" s="3">
        <f t="shared" si="1056"/>
        <v>30</v>
      </c>
      <c r="AU330" s="41" t="s">
        <v>121</v>
      </c>
      <c r="AV330" s="41" t="s">
        <v>116</v>
      </c>
      <c r="AW330" s="41" t="str">
        <f>INDEX(Input!$1:$1048576,AW$93,$C330*2+6)</f>
        <v>Kia</v>
      </c>
      <c r="AX330" s="41" t="str">
        <f>INDEX(Input!$1:$1048576,AX$93,$C330*2+6)</f>
        <v>Kia-LR - L3</v>
      </c>
      <c r="AY330" s="41" t="str">
        <f>IF(LEN(D330)=0,"",INDEX(Input!$1:$1048576,AY$93,$C330*2+6))</f>
        <v>Compact Conventional/Sporty Car (43)</v>
      </c>
      <c r="AZ330" s="41" t="str">
        <f>INDEX(Input!$1:$1048576,AZ$93,$C330*2+6)</f>
        <v>Kia Forte</v>
      </c>
      <c r="BA330" s="3">
        <f>INDEX(Input!$1:$1048576,BA$93,$C330*2+6)</f>
        <v>2020</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19695</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990"/>
        <v>1250</v>
      </c>
      <c r="CJ330" s="16" t="str">
        <f>INDEX(Input!$1:$1048576,CJ$93,$C330*2+6)</f>
        <v>N</v>
      </c>
      <c r="CK330" s="1" t="str">
        <f t="shared" si="991"/>
        <v>Market</v>
      </c>
      <c r="CL330" s="1" t="str">
        <f t="shared" si="992"/>
        <v>Market</v>
      </c>
      <c r="CM330" s="1" t="str">
        <f t="shared" si="993"/>
        <v>Market</v>
      </c>
      <c r="CN330" s="1" t="str">
        <f t="shared" si="994"/>
        <v>Market</v>
      </c>
      <c r="CO330" s="1" t="str">
        <f t="shared" si="995"/>
        <v>Market</v>
      </c>
      <c r="CP330" s="304">
        <f t="shared" si="996"/>
        <v>310</v>
      </c>
      <c r="CQ330" s="1">
        <f t="shared" si="997"/>
        <v>0</v>
      </c>
      <c r="CR330" s="1">
        <f t="shared" si="998"/>
        <v>0</v>
      </c>
      <c r="CS330" s="1">
        <f t="shared" si="999"/>
        <v>0</v>
      </c>
      <c r="CT330" s="1">
        <f t="shared" si="1000"/>
        <v>1.9E-2</v>
      </c>
      <c r="CU330" s="1">
        <f t="shared" si="1001"/>
        <v>3.9000000000000007E-2</v>
      </c>
      <c r="CV330" s="304">
        <f t="shared" si="1002"/>
        <v>5673</v>
      </c>
      <c r="CW330" s="20" t="s">
        <v>122</v>
      </c>
      <c r="CX330" s="20" t="s">
        <v>122</v>
      </c>
      <c r="CY330" s="20" t="s">
        <v>122</v>
      </c>
      <c r="CZ330" s="20" t="s">
        <v>122</v>
      </c>
      <c r="DA330" s="20" t="s">
        <v>122</v>
      </c>
      <c r="DB330" s="503">
        <f t="shared" si="1003"/>
        <v>0</v>
      </c>
      <c r="DC330" s="127">
        <v>0</v>
      </c>
      <c r="DD330" s="127">
        <v>0</v>
      </c>
      <c r="DE330" s="127">
        <v>0</v>
      </c>
      <c r="DF330" s="127">
        <v>0</v>
      </c>
      <c r="DG330" s="127">
        <v>0</v>
      </c>
      <c r="DH330" s="127">
        <v>0</v>
      </c>
      <c r="DI330" s="127">
        <v>0</v>
      </c>
      <c r="DJ330" s="127">
        <v>0</v>
      </c>
      <c r="DK330" s="127">
        <v>0</v>
      </c>
      <c r="DL330" s="127">
        <v>0</v>
      </c>
      <c r="DM330" s="304">
        <f>INDEX(Input!$1:$1048576,DM$93,$C330*2+6)</f>
        <v>20731.578947368424</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2.9622279345060412E-2</v>
      </c>
      <c r="DZ330" s="7">
        <v>0</v>
      </c>
      <c r="EA330" s="7">
        <v>0.52456312374432312</v>
      </c>
      <c r="EB330" s="7">
        <v>0</v>
      </c>
      <c r="EC330" s="7">
        <v>0</v>
      </c>
      <c r="ED330" s="7">
        <v>0</v>
      </c>
      <c r="EE330" s="7">
        <v>0</v>
      </c>
      <c r="EF330" s="7">
        <v>0</v>
      </c>
      <c r="EG330" s="7">
        <v>0</v>
      </c>
      <c r="EH330" s="7">
        <v>1.4089108794407232E-2</v>
      </c>
      <c r="EI330" s="7">
        <v>1.7901906842703444E-2</v>
      </c>
      <c r="EJ330" s="7">
        <v>0.2562247736517303</v>
      </c>
      <c r="EK330" s="7">
        <v>0.66061317040046508</v>
      </c>
      <c r="EL330" s="7">
        <v>5.1171040310693652E-2</v>
      </c>
      <c r="EM330" s="7">
        <v>4.1283609201946618E-2</v>
      </c>
      <c r="EN330" s="7">
        <v>6.3476327346189534E-2</v>
      </c>
      <c r="EO330" s="7">
        <v>0.56387234592919289</v>
      </c>
      <c r="EP330" s="7">
        <v>0.27987937488614534</v>
      </c>
      <c r="EQ330" s="7">
        <v>5.5033496786009294E-2</v>
      </c>
      <c r="ER330" s="7">
        <v>3.7738455052462823E-2</v>
      </c>
      <c r="ES330" s="7">
        <v>0.4045309877086698</v>
      </c>
      <c r="ET330" s="7">
        <v>0.44581459691061642</v>
      </c>
      <c r="EU330" s="6">
        <v>1600</v>
      </c>
      <c r="EV330" s="6">
        <v>0</v>
      </c>
      <c r="EW330" s="6">
        <v>1600</v>
      </c>
      <c r="EX330" s="6">
        <v>0</v>
      </c>
      <c r="EY330" s="6">
        <v>2624.0763317288893</v>
      </c>
      <c r="EZ330" s="6">
        <v>4716</v>
      </c>
      <c r="FA330" s="6">
        <v>0</v>
      </c>
      <c r="FB330" s="6">
        <v>0</v>
      </c>
      <c r="FC330" s="6">
        <v>0</v>
      </c>
      <c r="FD330" s="6">
        <v>0</v>
      </c>
      <c r="FE330" s="6">
        <v>0</v>
      </c>
      <c r="FF330" s="6">
        <v>0</v>
      </c>
      <c r="FG330" s="6">
        <v>0</v>
      </c>
      <c r="FH330" s="6">
        <v>1154.3341912510036</v>
      </c>
      <c r="FI330" s="6">
        <v>1531.4299904380616</v>
      </c>
      <c r="FJ330" s="6">
        <v>2070.7205842538219</v>
      </c>
      <c r="FK330" s="6">
        <v>1746.9903521590438</v>
      </c>
      <c r="FL330" s="6">
        <v>893.91433563489363</v>
      </c>
      <c r="FM330" s="6">
        <v>1774.0763317288893</v>
      </c>
      <c r="FN330" s="6">
        <v>0</v>
      </c>
      <c r="FO330" s="6">
        <v>0</v>
      </c>
      <c r="FP330" s="6">
        <v>0</v>
      </c>
      <c r="FQ330" s="6">
        <v>0</v>
      </c>
      <c r="FR330" s="6">
        <v>0</v>
      </c>
      <c r="FS330" s="6">
        <v>0</v>
      </c>
      <c r="FT330" s="7">
        <v>0.55418540308938358</v>
      </c>
      <c r="FU330" s="7">
        <v>4.1283609201946618E-2</v>
      </c>
      <c r="FV330" s="7">
        <v>0.4045309877086698</v>
      </c>
      <c r="FW330" s="6">
        <v>1600</v>
      </c>
      <c r="FX330" s="6">
        <v>2624.0763317288893</v>
      </c>
      <c r="FY330" s="6">
        <v>4716</v>
      </c>
      <c r="FZ330" s="6">
        <v>2202.331475193394</v>
      </c>
      <c r="GA330" s="6">
        <v>2902.7961247722737</v>
      </c>
      <c r="GB330" s="6">
        <v>16792.203875227726</v>
      </c>
      <c r="GC330" s="7">
        <v>4.8391397220736806E-2</v>
      </c>
      <c r="GD330" s="7">
        <v>5.1868812993591855E-2</v>
      </c>
      <c r="GE330" s="7"/>
      <c r="GF330" s="7"/>
      <c r="GG330" s="7">
        <v>7.1860205998864959E-2</v>
      </c>
      <c r="GH330" s="42">
        <v>2.0204970486355274</v>
      </c>
      <c r="GI330" s="6">
        <v>12650.397594074262</v>
      </c>
      <c r="GJ330" s="14">
        <v>0.5107463060103955</v>
      </c>
      <c r="GK330" s="14">
        <v>0.5082951978616097</v>
      </c>
      <c r="GL330" s="14">
        <v>0.48925369398960422</v>
      </c>
      <c r="GM330" s="14">
        <v>0.49170480213839035</v>
      </c>
      <c r="GO330" s="5">
        <v>338.16872463277008</v>
      </c>
      <c r="GP330" s="5">
        <v>307.64377699166363</v>
      </c>
      <c r="GQ330" s="5">
        <v>527.27910984145694</v>
      </c>
      <c r="GR330" s="5">
        <v>404.20319246551543</v>
      </c>
      <c r="GS330" s="5">
        <v>334.50205195691484</v>
      </c>
      <c r="GT330" s="5">
        <v>289.18266033348181</v>
      </c>
      <c r="GU330" s="5">
        <v>254.29573314828914</v>
      </c>
      <c r="GV330" s="39" t="s">
        <v>392</v>
      </c>
      <c r="GW330" s="5">
        <v>468.76388888888891</v>
      </c>
      <c r="GX330" s="5">
        <v>351.57291666666669</v>
      </c>
      <c r="GY330" s="5">
        <v>281.25833333333333</v>
      </c>
      <c r="GZ330" s="5">
        <v>248.18079879493993</v>
      </c>
      <c r="HA330" s="5">
        <v>229.8919505212948</v>
      </c>
      <c r="HB330" s="39">
        <v>260.67895841969982</v>
      </c>
      <c r="HC330" s="5">
        <v>76.790624999999963</v>
      </c>
      <c r="HD330" s="5">
        <v>95.500603070175387</v>
      </c>
      <c r="HE330" s="5">
        <v>106.7182059716599</v>
      </c>
      <c r="HF330" s="5">
        <v>108.64567434210525</v>
      </c>
      <c r="HG330" s="5">
        <v>117.18493421052631</v>
      </c>
      <c r="HH330" s="39">
        <v>98.994290459019851</v>
      </c>
      <c r="HI330" s="16"/>
      <c r="HJ330" s="19" t="str">
        <f t="shared" si="1105"/>
        <v>On</v>
      </c>
      <c r="HK330" s="1" t="str">
        <f t="shared" si="1105"/>
        <v>On</v>
      </c>
      <c r="HL330" s="16"/>
      <c r="HM330" s="639">
        <f t="shared" si="1004"/>
        <v>2.8970655363290673E-2</v>
      </c>
      <c r="HN330" s="639">
        <f t="shared" si="1005"/>
        <v>2.1835179285533651E-3</v>
      </c>
      <c r="HO330" s="639">
        <f t="shared" si="1006"/>
        <v>1.5544129749146325E-2</v>
      </c>
      <c r="HP330" s="644">
        <f>(FT330*$GD330-HM330)/$JF330*INDEX(Input!$1:$1048576,$JG$93,$C330*2+6)</f>
        <v>-9.3093242549547295</v>
      </c>
      <c r="HQ330" s="644">
        <f>(FU330*$GD330-HN330)/$JF330*INDEX(Input!$1:$1048576,$JG$93,$C330*2+6)</f>
        <v>-1.739902050170723</v>
      </c>
      <c r="HR330" s="644">
        <f>(FV330*$GD330-HO330)/$JF330*INDEX(Input!$1:$1048576,$JG$93,$C330*2+6)</f>
        <v>224.29899171885552</v>
      </c>
      <c r="HS330" s="644">
        <f t="shared" si="1106"/>
        <v>-28.079252503654416</v>
      </c>
      <c r="HT330" s="644">
        <f t="shared" si="1008"/>
        <v>53.100740034245291</v>
      </c>
      <c r="HU330" s="644">
        <f t="shared" si="1009"/>
        <v>123.68507285992681</v>
      </c>
      <c r="HV330" s="648">
        <f t="shared" si="1010"/>
        <v>0</v>
      </c>
      <c r="HW330" s="648">
        <f t="shared" si="1011"/>
        <v>0</v>
      </c>
      <c r="HX330" s="648">
        <f t="shared" si="1012"/>
        <v>0</v>
      </c>
      <c r="HY330" s="644">
        <f>INDEX(Input!$1:$1048576,HY$93,$C330*2+6)*INDEX(Input!$1:$1048576,$JG$93,$C330*2+6)</f>
        <v>488.99999999999994</v>
      </c>
      <c r="HZ330" s="644">
        <f>INDEX(Input!$1:$1048576,HZ$93,$C330*2+6)*INDEX(Input!$1:$1048576,$JG$93,$C330*2+6)</f>
        <v>734</v>
      </c>
      <c r="IA330" s="644">
        <f>INDEX(Input!$1:$1048576,IA$93,$C330*2+6)*INDEX(Input!$1:$1048576,$JG$93,$C330*2+6)</f>
        <v>703</v>
      </c>
      <c r="IB330" s="644">
        <f t="shared" si="1036"/>
        <v>451.61142324139064</v>
      </c>
      <c r="IC330" s="644">
        <f t="shared" si="1037"/>
        <v>785.36083798407458</v>
      </c>
      <c r="ID330" s="644">
        <f>IF(AND(INDEX(Input!$1:$1048576,IA$93,$C330*2+7)="TOS",Y330&lt;=INDEX(Y:Y,MATCH(C330*1000+2,A:A))),0,1)*MAX(IA330+HR330+HU330+HX330,0%)</f>
        <v>1050.9840645787824</v>
      </c>
      <c r="IE330" s="128">
        <f t="shared" si="1107"/>
        <v>0.19738638283781187</v>
      </c>
      <c r="IF330" s="128">
        <f t="shared" si="1108"/>
        <v>0.34325866675274475</v>
      </c>
      <c r="IG330" s="128">
        <f t="shared" si="1014"/>
        <v>0.45935495040944335</v>
      </c>
      <c r="IH330" s="21"/>
      <c r="II330" s="19">
        <f t="shared" si="1015"/>
        <v>1200</v>
      </c>
      <c r="IJ330" s="19">
        <f t="shared" si="1016"/>
        <v>2224.493581030405</v>
      </c>
      <c r="IK330" s="19">
        <f t="shared" si="1017"/>
        <v>3451.75</v>
      </c>
      <c r="IL330" s="19">
        <f t="shared" si="1039"/>
        <v>400</v>
      </c>
      <c r="IM330" s="19">
        <f t="shared" si="1018"/>
        <v>399.58275069848423</v>
      </c>
      <c r="IN330" s="19">
        <f t="shared" si="1019"/>
        <v>1264.25</v>
      </c>
      <c r="IO330" s="39">
        <f t="shared" si="1020"/>
        <v>0</v>
      </c>
      <c r="IP330" s="39">
        <f t="shared" si="1021"/>
        <v>0</v>
      </c>
      <c r="IQ330" s="39">
        <f t="shared" si="1022"/>
        <v>0</v>
      </c>
      <c r="IR330" s="39">
        <v>0</v>
      </c>
      <c r="IS330" s="39">
        <v>0</v>
      </c>
      <c r="IT330" s="39">
        <v>0</v>
      </c>
      <c r="IU330" s="39">
        <v>0</v>
      </c>
      <c r="IV330" s="39">
        <v>0</v>
      </c>
      <c r="IW330" s="39">
        <v>0</v>
      </c>
      <c r="IX330" s="39">
        <f>INDEX(Input!$1:$1048576,IX$93,$C330*2+6)+INDEX(Input!$1:$1048576,IX$94,$C330*2+6)</f>
        <v>1600</v>
      </c>
      <c r="IY330" s="39">
        <f>INDEX(Input!$1:$1048576,IY$93,$C330*2+6)+INDEX(Input!$1:$1048576,IY$94,$C330*2+6)</f>
        <v>2503.5492916397525</v>
      </c>
      <c r="IZ330" s="39">
        <f>INDEX(Input!$1:$1048576,IZ$93,$C330*2+6)+INDEX(Input!$1:$1048576,IZ$94,$C330*2+6)</f>
        <v>5773.7109265464023</v>
      </c>
      <c r="JA330" s="19">
        <f t="shared" si="1040"/>
        <v>2000</v>
      </c>
      <c r="JB330" s="19">
        <f t="shared" si="1041"/>
        <v>2903.1320423382367</v>
      </c>
      <c r="JC330" s="19">
        <f t="shared" si="1042"/>
        <v>7037.9609265464023</v>
      </c>
      <c r="JD330" s="19">
        <f t="shared" si="1043"/>
        <v>4624.2201923331431</v>
      </c>
      <c r="JE330" s="21"/>
      <c r="JF330" s="1">
        <f t="shared" si="1023"/>
        <v>4.6698303040990354E-2</v>
      </c>
      <c r="JG330" s="15">
        <f>INDEX(Input!$1:$1048576,JG$93,$C330*2+6)/(1+VLOOKUP(C330*1000+INDEX(Input!$1:$1048576,JG$93+1,$C330*2+6),$A:$KK,$JK$92,FALSE))</f>
        <v>1926</v>
      </c>
      <c r="JH330" s="1">
        <f t="shared" si="1044"/>
        <v>0.11072158121169785</v>
      </c>
      <c r="JI330" s="1">
        <f t="shared" si="1045"/>
        <v>7.7210052123840953E-2</v>
      </c>
      <c r="JJ330" s="1">
        <f t="shared" si="1109"/>
        <v>0</v>
      </c>
      <c r="JK330" s="1">
        <f t="shared" si="1110"/>
        <v>0.18793163333553881</v>
      </c>
      <c r="JL330" s="15">
        <f t="shared" si="1048"/>
        <v>361.95632580424774</v>
      </c>
      <c r="JM330" s="15">
        <f t="shared" si="1074"/>
        <v>2287.9563258042476</v>
      </c>
      <c r="JN330" s="21"/>
      <c r="JO330" s="19">
        <f>INDEX(Input!$1:$1048576,JO$93,$C330*2+6)</f>
        <v>5908.5</v>
      </c>
      <c r="JP330" s="19">
        <f>INDEX(Input!$1:$1048576,JP$93,$C330*2+6)</f>
        <v>3467.7694503767912</v>
      </c>
      <c r="JQ330" s="39">
        <f t="shared" si="1060"/>
        <v>1284.2798076668569</v>
      </c>
      <c r="JR330" s="39">
        <f t="shared" si="1077"/>
        <v>1156.450741956352</v>
      </c>
      <c r="JS330" s="39">
        <f t="shared" si="1062"/>
        <v>10.580013840960349</v>
      </c>
      <c r="JT330" s="39">
        <f t="shared" si="1050"/>
        <v>3.9010898795346498</v>
      </c>
      <c r="JU330" s="385">
        <f>(JQ330*JM330-INDEX(Input!$1:$1048576,Input!A$18,$C330*2+6)*JL330*INDEX(Input!$1:$1048576,Input!A$19,$C330*2+6))/1000000</f>
        <v>2.938376110054048</v>
      </c>
      <c r="JV330" s="39">
        <f t="shared" si="1084"/>
        <v>-1.7624709285202518</v>
      </c>
      <c r="JW330" s="1">
        <f t="shared" si="1075"/>
        <v>-0.37492624500600302</v>
      </c>
      <c r="JX330" s="19">
        <f t="shared" si="1066"/>
        <v>10777.79168762042</v>
      </c>
      <c r="JZ330" s="341"/>
      <c r="KA330" s="342"/>
      <c r="KB330" s="469">
        <f t="shared" si="1063"/>
        <v>2.7822247002359868</v>
      </c>
      <c r="KI330" s="473">
        <f t="shared" si="1090"/>
        <v>-37.388576758609304</v>
      </c>
      <c r="KJ330" s="473">
        <f t="shared" si="1091"/>
        <v>51.360837984074465</v>
      </c>
      <c r="KK330" s="473">
        <f t="shared" si="1052"/>
        <v>347.98406457878241</v>
      </c>
      <c r="KN330" s="544">
        <f t="shared" si="1067"/>
        <v>3002</v>
      </c>
      <c r="KO330" s="541">
        <f t="shared" si="1027"/>
        <v>0.11061846478730164</v>
      </c>
      <c r="KP330" s="546">
        <f t="shared" si="1028"/>
        <v>495.92595622561106</v>
      </c>
      <c r="KQ330" s="546">
        <f t="shared" si="1029"/>
        <v>903.13897400777023</v>
      </c>
      <c r="KR330" s="548">
        <f t="shared" si="1030"/>
        <v>3.5630528107748947</v>
      </c>
      <c r="KS330" s="548">
        <f t="shared" si="1031"/>
        <v>1.9565210040981893</v>
      </c>
      <c r="KT330" s="473">
        <f t="shared" si="1065"/>
        <v>527.01264777847621</v>
      </c>
      <c r="KU330" s="663">
        <f t="shared" si="1053"/>
        <v>14.231242616114573</v>
      </c>
      <c r="KV330" s="117"/>
    </row>
    <row r="331" spans="1:308" s="26" customFormat="1" ht="15">
      <c r="A331" s="561">
        <f t="shared" si="1032"/>
        <v>3031</v>
      </c>
      <c r="B331" s="561">
        <f t="shared" si="1054"/>
        <v>31</v>
      </c>
      <c r="C331" s="561">
        <f t="shared" si="1055"/>
        <v>3</v>
      </c>
      <c r="D331" s="561" t="str">
        <f t="shared" si="1104"/>
        <v xml:space="preserve">250 CC, 250 Combo, </v>
      </c>
      <c r="E331" s="475">
        <f>INDEX(Input!$1:$1048576,E$93,$C331*2+MIN($B331,2)+5)
+INDEX(Scenarios!E$121:E$200,MATCH($B331,Scenarios!$B$121:$B$200,0))</f>
        <v>1500</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1.9E-2</v>
      </c>
      <c r="W331" s="863">
        <f>IFERROR(MAX(0,INDEX(Input!$1:$1048576,W$93,$C331*2+MIN($B331,2)+5)-0%,),"Market")</f>
        <v>3.9000000000000007E-2</v>
      </c>
      <c r="X331" s="476" t="str">
        <f>INDEX(Input!$1:$1048576,X$93,$C331*2+MIN($B331,2)+5)</f>
        <v>Y</v>
      </c>
      <c r="Y331" s="475">
        <f>INDEX(Input!$1:$1048576,Y$93,$C331*2+MIN($B331,2)+5)
++INDEX(Scenarios!Y$121:Y$200,MATCH($B331,Scenarios!$B$121:$B$200,0))</f>
        <v>4108</v>
      </c>
      <c r="Z331" s="477">
        <f>INDEX(Input!$1:$1048576,Z$93,$C331*2+MIN($B331,2)+5)
+INDEX(Scenarios!Z$121:Z$200,MATCH($B331,Scenarios!$B$121:$B$200,0))</f>
        <v>0</v>
      </c>
      <c r="AA331" s="475">
        <f>INDEX(Input!$1:$1048576,AA$93,$C331*2+MIN($B331,2)+5)</f>
        <v>500</v>
      </c>
      <c r="AB331" s="476">
        <f>INDEX(Input!$1:$1048576,AB$93,$C331*2+MIN($B331,2)+5)</f>
        <v>0.62</v>
      </c>
      <c r="AC331" s="475">
        <f>INDEX(Input!$1:$1048576,AC$93,$C331*2+MIN($B331,2)+5)
+INDEX(Scenarios!AC$121:AC$200,MATCH($B331,Scenarios!$B$121:$B$200,0))</f>
        <v>0</v>
      </c>
      <c r="AD331" s="476">
        <f>INDEX(Input!$1:$1048576,AD$93,$C331*2+MIN($B331,2)+5)</f>
        <v>0.35</v>
      </c>
      <c r="AE331" s="475">
        <f>INDEX(Input!$1:$1048576,AE$93,$C331*2+MIN($B331,2)+5)
+INDEX(Scenarios!AE$121:AE$200,MATCH($B331,Scenarios!$B$121:$B$200,0))</f>
        <v>500</v>
      </c>
      <c r="AF331" s="476">
        <f>INDEX(Input!$1:$1048576,AF$93,$C331*2+MIN($B331,2)+5)</f>
        <v>0.97</v>
      </c>
      <c r="AG331" s="475">
        <f>INDEX(Input!$1:$1048576,AG$93,$C331*2+MIN($B331,2)+5)
+INDEX(Scenarios!AG$121:AG$200,MATCH($B331,Scenarios!$B$121:$B$200,0))</f>
        <v>0</v>
      </c>
      <c r="AH331" s="476">
        <f>INDEX(Input!$1:$1048576,AH$93,$C331*2+MIN($B331,2)+5)</f>
        <v>1</v>
      </c>
      <c r="AI331" s="475">
        <f>INDEX(Input!$1:$1048576,AI$93,$C331*2+MIN($B331,2)+5)
+INDEX(Scenarios!AI$121:AI$200,MATCH($B331,Scenarios!$B$121:$B$200,0))</f>
        <v>0</v>
      </c>
      <c r="AJ331" s="476">
        <f>INDEX(Input!$1:$1048576,AJ$93,$C331*2+MIN($B331,2)+5)</f>
        <v>0.35</v>
      </c>
      <c r="AK331" s="150">
        <f>ROUND(INDEX(Input!$1:$1048576,AK$93,$C330*2+MIN($B331,1)+5)+(Y331-VLOOKUP($C331*1000+1,$A:$HH,Y$92,FALSE)),0)</f>
        <v>4982</v>
      </c>
      <c r="AL331" s="150">
        <f>ROUND(INDEX(Input!$1:$1048576,AL$93,$C330*2+MIN($B331,1)+5)-(Y331-VLOOKUP($C331*1000+1,$A:$HH,Y$92,FALSE))/36,0)</f>
        <v>5102</v>
      </c>
      <c r="AM331" s="32" t="str">
        <f t="shared" si="1033"/>
        <v>std/std/std/std</v>
      </c>
      <c r="AN331" s="32" t="str">
        <f t="shared" si="1034"/>
        <v>$250 + 0/0/0/1.9/3.9</v>
      </c>
      <c r="AO331" s="32" t="str">
        <f t="shared" si="1035"/>
        <v>0/0/0/1.9/3.9</v>
      </c>
      <c r="AP331" s="32" t="str">
        <f t="shared" si="989"/>
        <v>0/0.9/1.9/3.9</v>
      </c>
      <c r="AQ331" s="536">
        <f t="shared" si="988"/>
        <v>485.2715422407241</v>
      </c>
      <c r="AR331" s="32"/>
      <c r="AS331" s="302"/>
      <c r="AT331" s="3">
        <f t="shared" si="1056"/>
        <v>31</v>
      </c>
      <c r="AU331" s="41" t="s">
        <v>121</v>
      </c>
      <c r="AV331" s="41" t="s">
        <v>116</v>
      </c>
      <c r="AW331" s="41" t="str">
        <f>INDEX(Input!$1:$1048576,AW$93,$C331*2+6)</f>
        <v>Kia</v>
      </c>
      <c r="AX331" s="41" t="str">
        <f>INDEX(Input!$1:$1048576,AX$93,$C331*2+6)</f>
        <v>Kia-LR - L3</v>
      </c>
      <c r="AY331" s="41" t="str">
        <f>IF(LEN(D331)=0,"",INDEX(Input!$1:$1048576,AY$93,$C331*2+6))</f>
        <v>Compact Conventional/Sporty Car (43)</v>
      </c>
      <c r="AZ331" s="41" t="str">
        <f>INDEX(Input!$1:$1048576,AZ$93,$C331*2+6)</f>
        <v>Kia Forte</v>
      </c>
      <c r="BA331" s="3">
        <f>INDEX(Input!$1:$1048576,BA$93,$C331*2+6)</f>
        <v>2020</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19695</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990"/>
        <v>1500</v>
      </c>
      <c r="CJ331" s="16" t="str">
        <f>INDEX(Input!$1:$1048576,CJ$93,$C331*2+6)</f>
        <v>N</v>
      </c>
      <c r="CK331" s="1" t="str">
        <f t="shared" si="991"/>
        <v>Market</v>
      </c>
      <c r="CL331" s="1" t="str">
        <f t="shared" si="992"/>
        <v>Market</v>
      </c>
      <c r="CM331" s="1" t="str">
        <f t="shared" si="993"/>
        <v>Market</v>
      </c>
      <c r="CN331" s="1" t="str">
        <f t="shared" si="994"/>
        <v>Market</v>
      </c>
      <c r="CO331" s="1" t="str">
        <f t="shared" si="995"/>
        <v>Market</v>
      </c>
      <c r="CP331" s="304">
        <f t="shared" si="996"/>
        <v>560</v>
      </c>
      <c r="CQ331" s="1">
        <f t="shared" si="997"/>
        <v>0</v>
      </c>
      <c r="CR331" s="1">
        <f t="shared" si="998"/>
        <v>0</v>
      </c>
      <c r="CS331" s="1">
        <f t="shared" si="999"/>
        <v>0</v>
      </c>
      <c r="CT331" s="1">
        <f t="shared" si="1000"/>
        <v>1.9E-2</v>
      </c>
      <c r="CU331" s="1">
        <f t="shared" si="1001"/>
        <v>3.9000000000000007E-2</v>
      </c>
      <c r="CV331" s="304">
        <f t="shared" si="1002"/>
        <v>4593</v>
      </c>
      <c r="CW331" s="20" t="s">
        <v>122</v>
      </c>
      <c r="CX331" s="20" t="s">
        <v>122</v>
      </c>
      <c r="CY331" s="20" t="s">
        <v>122</v>
      </c>
      <c r="CZ331" s="20" t="s">
        <v>122</v>
      </c>
      <c r="DA331" s="20" t="s">
        <v>122</v>
      </c>
      <c r="DB331" s="503">
        <f t="shared" si="1003"/>
        <v>0</v>
      </c>
      <c r="DC331" s="127">
        <v>0</v>
      </c>
      <c r="DD331" s="127">
        <v>0</v>
      </c>
      <c r="DE331" s="127">
        <v>0</v>
      </c>
      <c r="DF331" s="127">
        <v>0</v>
      </c>
      <c r="DG331" s="127">
        <v>0</v>
      </c>
      <c r="DH331" s="127">
        <v>0</v>
      </c>
      <c r="DI331" s="127">
        <v>0</v>
      </c>
      <c r="DJ331" s="127">
        <v>0</v>
      </c>
      <c r="DK331" s="127">
        <v>0</v>
      </c>
      <c r="DL331" s="127">
        <v>0</v>
      </c>
      <c r="DM331" s="304">
        <f>INDEX(Input!$1:$1048576,DM$93,$C331*2+6)</f>
        <v>20731.578947368424</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3.4673253349507736E-2</v>
      </c>
      <c r="DZ331" s="7">
        <v>0</v>
      </c>
      <c r="EA331" s="7">
        <v>0.61082132286943469</v>
      </c>
      <c r="EB331" s="7">
        <v>0</v>
      </c>
      <c r="EC331" s="7">
        <v>0</v>
      </c>
      <c r="ED331" s="7">
        <v>0</v>
      </c>
      <c r="EE331" s="7">
        <v>0</v>
      </c>
      <c r="EF331" s="7">
        <v>0</v>
      </c>
      <c r="EG331" s="7">
        <v>0</v>
      </c>
      <c r="EH331" s="7">
        <v>1.4129926051710649E-2</v>
      </c>
      <c r="EI331" s="7">
        <v>1.7905544233042942E-2</v>
      </c>
      <c r="EJ331" s="7">
        <v>0.25752254772083644</v>
      </c>
      <c r="EK331" s="7">
        <v>0.65953941756737711</v>
      </c>
      <c r="EL331" s="7">
        <v>5.090256442703283E-2</v>
      </c>
      <c r="EM331" s="7">
        <v>4.8899308291138879E-2</v>
      </c>
      <c r="EN331" s="7">
        <v>5.8903840649550697E-2</v>
      </c>
      <c r="EO331" s="7">
        <v>0.56806449089612487</v>
      </c>
      <c r="EP331" s="7">
        <v>0.27410709591931864</v>
      </c>
      <c r="EQ331" s="7">
        <v>5.8713575146425348E-2</v>
      </c>
      <c r="ER331" s="7">
        <v>4.0210997388580243E-2</v>
      </c>
      <c r="ES331" s="7">
        <v>0.30560611548991856</v>
      </c>
      <c r="ET331" s="7">
        <v>0.35450542378105759</v>
      </c>
      <c r="EU331" s="6">
        <v>1850</v>
      </c>
      <c r="EV331" s="6">
        <v>0</v>
      </c>
      <c r="EW331" s="6">
        <v>1850</v>
      </c>
      <c r="EX331" s="6">
        <v>0</v>
      </c>
      <c r="EY331" s="6">
        <v>2874.700404649268</v>
      </c>
      <c r="EZ331" s="6">
        <v>3636</v>
      </c>
      <c r="FA331" s="6">
        <v>0</v>
      </c>
      <c r="FB331" s="6">
        <v>0</v>
      </c>
      <c r="FC331" s="6">
        <v>0</v>
      </c>
      <c r="FD331" s="6">
        <v>0</v>
      </c>
      <c r="FE331" s="6">
        <v>0</v>
      </c>
      <c r="FF331" s="6">
        <v>0</v>
      </c>
      <c r="FG331" s="6">
        <v>0</v>
      </c>
      <c r="FH331" s="6">
        <v>1154.3263043451916</v>
      </c>
      <c r="FI331" s="6">
        <v>1531.4299904380623</v>
      </c>
      <c r="FJ331" s="6">
        <v>2070.7205842538215</v>
      </c>
      <c r="FK331" s="6">
        <v>1746.9903521590434</v>
      </c>
      <c r="FL331" s="6">
        <v>893.91433563489375</v>
      </c>
      <c r="FM331" s="6">
        <v>1774.700404649268</v>
      </c>
      <c r="FN331" s="6">
        <v>0</v>
      </c>
      <c r="FO331" s="6">
        <v>0</v>
      </c>
      <c r="FP331" s="6">
        <v>0</v>
      </c>
      <c r="FQ331" s="6">
        <v>0</v>
      </c>
      <c r="FR331" s="6">
        <v>0</v>
      </c>
      <c r="FS331" s="6">
        <v>0</v>
      </c>
      <c r="FT331" s="7">
        <v>0.64549457621894246</v>
      </c>
      <c r="FU331" s="7">
        <v>4.8899308291138879E-2</v>
      </c>
      <c r="FV331" s="7">
        <v>0.30560611548991856</v>
      </c>
      <c r="FW331" s="6">
        <v>1849.9999999999998</v>
      </c>
      <c r="FX331" s="6">
        <v>2874.700404649268</v>
      </c>
      <c r="FY331" s="6">
        <v>3636</v>
      </c>
      <c r="FZ331" s="6">
        <v>2202.331475193394</v>
      </c>
      <c r="GA331" s="6">
        <v>2445.9196632579933</v>
      </c>
      <c r="GB331" s="6">
        <v>17249.080336742009</v>
      </c>
      <c r="GC331" s="7">
        <v>4.8391397220736806E-2</v>
      </c>
      <c r="GD331" s="7">
        <v>4.9896504537313563E-2</v>
      </c>
      <c r="GE331" s="7"/>
      <c r="GF331" s="7"/>
      <c r="GG331" s="7">
        <v>3.1102786921221277E-2</v>
      </c>
      <c r="GH331" s="42">
        <v>2.514774600856263</v>
      </c>
      <c r="GI331" s="6">
        <v>10277.635473213282</v>
      </c>
      <c r="GJ331" s="14">
        <v>0.51074630601039561</v>
      </c>
      <c r="GK331" s="14">
        <v>0.50829519786160993</v>
      </c>
      <c r="GL331" s="14">
        <v>0.48925369398960439</v>
      </c>
      <c r="GM331" s="14">
        <v>0.49170480213839035</v>
      </c>
      <c r="GO331" s="5">
        <v>338.16872463277008</v>
      </c>
      <c r="GP331" s="5">
        <v>302.87425392274076</v>
      </c>
      <c r="GQ331" s="5">
        <v>527.27910984145694</v>
      </c>
      <c r="GR331" s="5">
        <v>404.20319246551543</v>
      </c>
      <c r="GS331" s="5">
        <v>334.50205195691484</v>
      </c>
      <c r="GT331" s="5">
        <v>289.18266033348181</v>
      </c>
      <c r="GU331" s="5">
        <v>254.29573314828914</v>
      </c>
      <c r="GV331" s="39" t="s">
        <v>392</v>
      </c>
      <c r="GW331" s="5">
        <v>461.81944444444446</v>
      </c>
      <c r="GX331" s="5">
        <v>346.36458333333331</v>
      </c>
      <c r="GY331" s="5">
        <v>277.09166666666664</v>
      </c>
      <c r="GZ331" s="5">
        <v>244.50415515778934</v>
      </c>
      <c r="HA331" s="5">
        <v>226.48624475670567</v>
      </c>
      <c r="HB331" s="39">
        <v>256.87353167022627</v>
      </c>
      <c r="HC331" s="5">
        <v>124.04062499999996</v>
      </c>
      <c r="HD331" s="5">
        <v>127.75060307017539</v>
      </c>
      <c r="HE331" s="5">
        <v>136.66051366396758</v>
      </c>
      <c r="HF331" s="5">
        <v>133.62067434210525</v>
      </c>
      <c r="HG331" s="5">
        <v>137.88493421052632</v>
      </c>
      <c r="HH331" s="39">
        <v>130.72650526464056</v>
      </c>
      <c r="HI331" s="16"/>
      <c r="HJ331" s="19" t="str">
        <f t="shared" si="1105"/>
        <v>On</v>
      </c>
      <c r="HK331" s="1" t="str">
        <f t="shared" si="1105"/>
        <v>On</v>
      </c>
      <c r="HL331" s="16"/>
      <c r="HM331" s="639">
        <f t="shared" si="1004"/>
        <v>2.8970655363290673E-2</v>
      </c>
      <c r="HN331" s="639">
        <f t="shared" si="1005"/>
        <v>2.1835179285533651E-3</v>
      </c>
      <c r="HO331" s="639">
        <f t="shared" si="1006"/>
        <v>1.5544129749146325E-2</v>
      </c>
      <c r="HP331" s="644">
        <f>(FT331*$GD331-HM331)/$JF331*INDEX(Input!$1:$1048576,$JG$93,$C331*2+6)</f>
        <v>133.51614856938053</v>
      </c>
      <c r="HQ331" s="644">
        <f>(FU331*$GD331-HN331)/$JF331*INDEX(Input!$1:$1048576,$JG$93,$C331*2+6)</f>
        <v>10.574273928538359</v>
      </c>
      <c r="HR331" s="644">
        <f>(FV331*$GD331-HO331)/$JF331*INDEX(Input!$1:$1048576,$JG$93,$C331*2+6)</f>
        <v>-12.185499175295194</v>
      </c>
      <c r="HS331" s="644">
        <f t="shared" si="1106"/>
        <v>-45.629697084907754</v>
      </c>
      <c r="HT331" s="644">
        <f t="shared" si="1008"/>
        <v>86.417000005660796</v>
      </c>
      <c r="HU331" s="644">
        <f t="shared" si="1009"/>
        <v>25.789217034779689</v>
      </c>
      <c r="HV331" s="648">
        <f t="shared" si="1010"/>
        <v>0</v>
      </c>
      <c r="HW331" s="648">
        <f t="shared" si="1011"/>
        <v>0</v>
      </c>
      <c r="HX331" s="648">
        <f t="shared" si="1012"/>
        <v>0</v>
      </c>
      <c r="HY331" s="644">
        <f>INDEX(Input!$1:$1048576,HY$93,$C331*2+6)*INDEX(Input!$1:$1048576,$JG$93,$C331*2+6)</f>
        <v>488.99999999999994</v>
      </c>
      <c r="HZ331" s="644">
        <f>INDEX(Input!$1:$1048576,HZ$93,$C331*2+6)*INDEX(Input!$1:$1048576,$JG$93,$C331*2+6)</f>
        <v>734</v>
      </c>
      <c r="IA331" s="644">
        <f>INDEX(Input!$1:$1048576,IA$93,$C331*2+6)*INDEX(Input!$1:$1048576,$JG$93,$C331*2+6)</f>
        <v>703</v>
      </c>
      <c r="IB331" s="644">
        <f t="shared" si="1036"/>
        <v>576.88645148447267</v>
      </c>
      <c r="IC331" s="644">
        <f t="shared" si="1037"/>
        <v>830.99127393419917</v>
      </c>
      <c r="ID331" s="644">
        <f>IF(AND(INDEX(Input!$1:$1048576,IA$93,$C331*2+7)="TOS",Y331&lt;=INDEX(Y:Y,MATCH(C331*1000+2,A:A))),0,1)*MAX(IA331+HR331+HU331+HX331,0%)</f>
        <v>716.6037178594845</v>
      </c>
      <c r="IE331" s="128">
        <f t="shared" si="1107"/>
        <v>0.27154224072407745</v>
      </c>
      <c r="IF331" s="128">
        <f t="shared" si="1108"/>
        <v>0.39115016822738058</v>
      </c>
      <c r="IG331" s="128">
        <f t="shared" si="1014"/>
        <v>0.33730759104854191</v>
      </c>
      <c r="IH331" s="21"/>
      <c r="II331" s="19">
        <f t="shared" si="1015"/>
        <v>1200</v>
      </c>
      <c r="IJ331" s="19">
        <f t="shared" si="1016"/>
        <v>2224.493581030405</v>
      </c>
      <c r="IK331" s="19">
        <f t="shared" si="1017"/>
        <v>3451.75</v>
      </c>
      <c r="IL331" s="19">
        <f t="shared" si="1039"/>
        <v>649.99999999999977</v>
      </c>
      <c r="IM331" s="19">
        <f t="shared" si="1018"/>
        <v>650.20682361886293</v>
      </c>
      <c r="IN331" s="19">
        <f t="shared" si="1019"/>
        <v>184.25</v>
      </c>
      <c r="IO331" s="39">
        <f t="shared" si="1020"/>
        <v>0</v>
      </c>
      <c r="IP331" s="39">
        <f t="shared" si="1021"/>
        <v>0</v>
      </c>
      <c r="IQ331" s="39">
        <f t="shared" si="1022"/>
        <v>0</v>
      </c>
      <c r="IR331" s="39">
        <v>0</v>
      </c>
      <c r="IS331" s="39">
        <v>0</v>
      </c>
      <c r="IT331" s="39">
        <v>0</v>
      </c>
      <c r="IU331" s="39">
        <v>0</v>
      </c>
      <c r="IV331" s="39">
        <v>0</v>
      </c>
      <c r="IW331" s="39">
        <v>0</v>
      </c>
      <c r="IX331" s="39">
        <f>INDEX(Input!$1:$1048576,IX$93,$C331*2+6)+INDEX(Input!$1:$1048576,IX$94,$C331*2+6)</f>
        <v>1600</v>
      </c>
      <c r="IY331" s="39">
        <f>INDEX(Input!$1:$1048576,IY$93,$C331*2+6)+INDEX(Input!$1:$1048576,IY$94,$C331*2+6)</f>
        <v>2503.5492916397525</v>
      </c>
      <c r="IZ331" s="39">
        <f>INDEX(Input!$1:$1048576,IZ$93,$C331*2+6)+INDEX(Input!$1:$1048576,IZ$94,$C331*2+6)</f>
        <v>5773.7109265464023</v>
      </c>
      <c r="JA331" s="19">
        <f t="shared" si="1040"/>
        <v>2250</v>
      </c>
      <c r="JB331" s="19">
        <f t="shared" si="1041"/>
        <v>3153.7561152586154</v>
      </c>
      <c r="JC331" s="19">
        <f t="shared" si="1042"/>
        <v>5957.9609265464023</v>
      </c>
      <c r="JD331" s="19">
        <f t="shared" si="1043"/>
        <v>3854.2277243554181</v>
      </c>
      <c r="JE331" s="21"/>
      <c r="JF331" s="1">
        <f t="shared" si="1023"/>
        <v>4.6698303040990354E-2</v>
      </c>
      <c r="JG331" s="15">
        <f>INDEX(Input!$1:$1048576,JG$93,$C331*2+6)/(1+VLOOKUP(C331*1000+INDEX(Input!$1:$1048576,JG$93+1,$C331*2+6),$A:$KK,$JK$92,FALSE))</f>
        <v>1926</v>
      </c>
      <c r="JH331" s="1">
        <f t="shared" si="1044"/>
        <v>6.8486460707488941E-2</v>
      </c>
      <c r="JI331" s="1">
        <f t="shared" si="1045"/>
        <v>3.4567248159674317E-2</v>
      </c>
      <c r="JJ331" s="1">
        <f t="shared" si="1109"/>
        <v>0</v>
      </c>
      <c r="JK331" s="1">
        <f t="shared" si="1110"/>
        <v>0.10305370886716325</v>
      </c>
      <c r="JL331" s="15">
        <f t="shared" si="1048"/>
        <v>198.48144327815643</v>
      </c>
      <c r="JM331" s="15">
        <f t="shared" si="1074"/>
        <v>2124.4814432781563</v>
      </c>
      <c r="JN331" s="21"/>
      <c r="JO331" s="19">
        <f>INDEX(Input!$1:$1048576,JO$93,$C331*2+6)</f>
        <v>5908.5</v>
      </c>
      <c r="JP331" s="19">
        <f>INDEX(Input!$1:$1048576,JP$93,$C331*2+6)</f>
        <v>3467.7694503767912</v>
      </c>
      <c r="JQ331" s="39">
        <f t="shared" si="1060"/>
        <v>2054.2722756445819</v>
      </c>
      <c r="JR331" s="39">
        <f t="shared" si="1077"/>
        <v>386.45827397862695</v>
      </c>
      <c r="JS331" s="39">
        <f t="shared" si="1062"/>
        <v>8.1882352785612831</v>
      </c>
      <c r="JT331" s="39">
        <f t="shared" si="1050"/>
        <v>1.5093113171355828</v>
      </c>
      <c r="JU331" s="385">
        <f>(JQ331*JM331-INDEX(Input!$1:$1048576,Input!A$18,$C331*2+6)*JL331*INDEX(Input!$1:$1048576,Input!A$19,$C331*2+6))/1000000</f>
        <v>4.364263329047704</v>
      </c>
      <c r="JV331" s="39">
        <f t="shared" si="1084"/>
        <v>-0.33658370952659578</v>
      </c>
      <c r="JW331" s="1">
        <f t="shared" si="1075"/>
        <v>-7.1600651279365352E-2</v>
      </c>
      <c r="JX331" s="19">
        <f t="shared" si="1066"/>
        <v>7604.2943471566723</v>
      </c>
      <c r="JZ331" s="341"/>
      <c r="KA331" s="342"/>
      <c r="KB331" s="469">
        <f t="shared" si="1063"/>
        <v>2.7822247002359868</v>
      </c>
      <c r="KI331" s="473">
        <f t="shared" si="1090"/>
        <v>87.88645148447273</v>
      </c>
      <c r="KJ331" s="473">
        <f t="shared" si="1091"/>
        <v>96.991273934199171</v>
      </c>
      <c r="KK331" s="473">
        <f t="shared" si="1052"/>
        <v>13.603717859484505</v>
      </c>
      <c r="KN331" s="544">
        <f t="shared" si="1067"/>
        <v>3002</v>
      </c>
      <c r="KO331" s="541">
        <f t="shared" si="1027"/>
        <v>3.1264579831218997E-2</v>
      </c>
      <c r="KP331" s="546">
        <f t="shared" si="1028"/>
        <v>165.71506873902842</v>
      </c>
      <c r="KQ331" s="546">
        <f t="shared" si="1029"/>
        <v>133.1465060300452</v>
      </c>
      <c r="KR331" s="548">
        <f t="shared" si="1030"/>
        <v>3.0137142190344117</v>
      </c>
      <c r="KS331" s="548">
        <f t="shared" si="1031"/>
        <v>3.7508897068194837</v>
      </c>
      <c r="KT331" s="473">
        <f t="shared" si="1065"/>
        <v>527.01264777847621</v>
      </c>
      <c r="KU331" s="663">
        <f t="shared" si="1053"/>
        <v>15.489265671151658</v>
      </c>
      <c r="KV331" s="117"/>
    </row>
    <row r="332" spans="1:308" s="26" customFormat="1" ht="15">
      <c r="A332" s="561">
        <f t="shared" si="1032"/>
        <v>3032</v>
      </c>
      <c r="B332" s="561">
        <f t="shared" si="1054"/>
        <v>32</v>
      </c>
      <c r="C332" s="561">
        <f t="shared" si="1055"/>
        <v>3</v>
      </c>
      <c r="D332" s="561" t="str">
        <f t="shared" si="1104"/>
        <v xml:space="preserve">500 CC, 500 Combo, </v>
      </c>
      <c r="E332" s="475">
        <f>INDEX(Input!$1:$1048576,E$93,$C332*2+MIN($B332,2)+5)
+INDEX(Scenarios!E$121:E$200,MATCH($B332,Scenarios!$B$121:$B$200,0))</f>
        <v>1750</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1.9E-2</v>
      </c>
      <c r="W332" s="863">
        <f>IFERROR(MAX(0,INDEX(Input!$1:$1048576,W$93,$C332*2+MIN($B332,2)+5)-0%,),"Market")</f>
        <v>3.9000000000000007E-2</v>
      </c>
      <c r="X332" s="476" t="str">
        <f>INDEX(Input!$1:$1048576,X$93,$C332*2+MIN($B332,2)+5)</f>
        <v>Y</v>
      </c>
      <c r="Y332" s="475">
        <f>INDEX(Input!$1:$1048576,Y$93,$C332*2+MIN($B332,2)+5)
++INDEX(Scenarios!Y$121:Y$200,MATCH($B332,Scenarios!$B$121:$B$200,0))</f>
        <v>4108</v>
      </c>
      <c r="Z332" s="477">
        <f>INDEX(Input!$1:$1048576,Z$93,$C332*2+MIN($B332,2)+5)
+INDEX(Scenarios!Z$121:Z$200,MATCH($B332,Scenarios!$B$121:$B$200,0))</f>
        <v>0</v>
      </c>
      <c r="AA332" s="475">
        <f>INDEX(Input!$1:$1048576,AA$93,$C332*2+MIN($B332,2)+5)</f>
        <v>500</v>
      </c>
      <c r="AB332" s="476">
        <f>INDEX(Input!$1:$1048576,AB$93,$C332*2+MIN($B332,2)+5)</f>
        <v>0.62</v>
      </c>
      <c r="AC332" s="475">
        <f>INDEX(Input!$1:$1048576,AC$93,$C332*2+MIN($B332,2)+5)
+INDEX(Scenarios!AC$121:AC$200,MATCH($B332,Scenarios!$B$121:$B$200,0))</f>
        <v>0</v>
      </c>
      <c r="AD332" s="476">
        <f>INDEX(Input!$1:$1048576,AD$93,$C332*2+MIN($B332,2)+5)</f>
        <v>0.35</v>
      </c>
      <c r="AE332" s="475">
        <f>INDEX(Input!$1:$1048576,AE$93,$C332*2+MIN($B332,2)+5)
+INDEX(Scenarios!AE$121:AE$200,MATCH($B332,Scenarios!$B$121:$B$200,0))</f>
        <v>500</v>
      </c>
      <c r="AF332" s="476">
        <f>INDEX(Input!$1:$1048576,AF$93,$C332*2+MIN($B332,2)+5)</f>
        <v>0.97</v>
      </c>
      <c r="AG332" s="475">
        <f>INDEX(Input!$1:$1048576,AG$93,$C332*2+MIN($B332,2)+5)
+INDEX(Scenarios!AG$121:AG$200,MATCH($B332,Scenarios!$B$121:$B$200,0))</f>
        <v>0</v>
      </c>
      <c r="AH332" s="476">
        <f>INDEX(Input!$1:$1048576,AH$93,$C332*2+MIN($B332,2)+5)</f>
        <v>1</v>
      </c>
      <c r="AI332" s="475">
        <f>INDEX(Input!$1:$1048576,AI$93,$C332*2+MIN($B332,2)+5)
+INDEX(Scenarios!AI$121:AI$200,MATCH($B332,Scenarios!$B$121:$B$200,0))</f>
        <v>0</v>
      </c>
      <c r="AJ332" s="476">
        <f>INDEX(Input!$1:$1048576,AJ$93,$C332*2+MIN($B332,2)+5)</f>
        <v>0.35</v>
      </c>
      <c r="AK332" s="150">
        <f>ROUND(INDEX(Input!$1:$1048576,AK$93,$C331*2+MIN($B332,1)+5)+(Y332-VLOOKUP($C332*1000+1,$A:$HH,Y$92,FALSE)),0)</f>
        <v>4982</v>
      </c>
      <c r="AL332" s="150">
        <f>ROUND(INDEX(Input!$1:$1048576,AL$93,$C331*2+MIN($B332,1)+5)-(Y332-VLOOKUP($C332*1000+1,$A:$HH,Y$92,FALSE))/36,0)</f>
        <v>5102</v>
      </c>
      <c r="AM332" s="32" t="str">
        <f t="shared" si="1033"/>
        <v>std/std/std/std</v>
      </c>
      <c r="AN332" s="32" t="str">
        <f t="shared" si="1034"/>
        <v>$500 + 0/0/0/1.9/3.9</v>
      </c>
      <c r="AO332" s="32" t="str">
        <f t="shared" si="1035"/>
        <v>0/0/0/1.9/3.9</v>
      </c>
      <c r="AP332" s="32" t="str">
        <f t="shared" si="989"/>
        <v>0/0.9/1.9/3.9</v>
      </c>
      <c r="AQ332" s="536">
        <f t="shared" si="988"/>
        <v>485.28238289909723</v>
      </c>
      <c r="AR332" s="32"/>
      <c r="AS332" s="302"/>
      <c r="AT332" s="3">
        <f t="shared" si="1056"/>
        <v>32</v>
      </c>
      <c r="AU332" s="41" t="s">
        <v>121</v>
      </c>
      <c r="AV332" s="41" t="s">
        <v>116</v>
      </c>
      <c r="AW332" s="41" t="str">
        <f>INDEX(Input!$1:$1048576,AW$93,$C332*2+6)</f>
        <v>Kia</v>
      </c>
      <c r="AX332" s="41" t="str">
        <f>INDEX(Input!$1:$1048576,AX$93,$C332*2+6)</f>
        <v>Kia-LR - L3</v>
      </c>
      <c r="AY332" s="41" t="str">
        <f>IF(LEN(D332)=0,"",INDEX(Input!$1:$1048576,AY$93,$C332*2+6))</f>
        <v>Compact Conventional/Sporty Car (43)</v>
      </c>
      <c r="AZ332" s="41" t="str">
        <f>INDEX(Input!$1:$1048576,AZ$93,$C332*2+6)</f>
        <v>Kia Forte</v>
      </c>
      <c r="BA332" s="3">
        <f>INDEX(Input!$1:$1048576,BA$93,$C332*2+6)</f>
        <v>2020</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19695</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990"/>
        <v>1750</v>
      </c>
      <c r="CJ332" s="16" t="str">
        <f>INDEX(Input!$1:$1048576,CJ$93,$C332*2+6)</f>
        <v>N</v>
      </c>
      <c r="CK332" s="1" t="str">
        <f t="shared" si="991"/>
        <v>Market</v>
      </c>
      <c r="CL332" s="1" t="str">
        <f t="shared" si="992"/>
        <v>Market</v>
      </c>
      <c r="CM332" s="1" t="str">
        <f t="shared" si="993"/>
        <v>Market</v>
      </c>
      <c r="CN332" s="1" t="str">
        <f t="shared" si="994"/>
        <v>Market</v>
      </c>
      <c r="CO332" s="1" t="str">
        <f t="shared" si="995"/>
        <v>Market</v>
      </c>
      <c r="CP332" s="304">
        <f t="shared" si="996"/>
        <v>810</v>
      </c>
      <c r="CQ332" s="1">
        <f t="shared" si="997"/>
        <v>0</v>
      </c>
      <c r="CR332" s="1">
        <f t="shared" si="998"/>
        <v>0</v>
      </c>
      <c r="CS332" s="1">
        <f t="shared" si="999"/>
        <v>0</v>
      </c>
      <c r="CT332" s="1">
        <f t="shared" si="1000"/>
        <v>1.9E-2</v>
      </c>
      <c r="CU332" s="1">
        <f t="shared" si="1001"/>
        <v>3.9000000000000007E-2</v>
      </c>
      <c r="CV332" s="304">
        <f t="shared" si="1002"/>
        <v>4593</v>
      </c>
      <c r="CW332" s="20" t="s">
        <v>122</v>
      </c>
      <c r="CX332" s="20" t="s">
        <v>122</v>
      </c>
      <c r="CY332" s="20" t="s">
        <v>122</v>
      </c>
      <c r="CZ332" s="20" t="s">
        <v>122</v>
      </c>
      <c r="DA332" s="20" t="s">
        <v>122</v>
      </c>
      <c r="DB332" s="503">
        <f t="shared" si="1003"/>
        <v>0</v>
      </c>
      <c r="DC332" s="127">
        <v>0</v>
      </c>
      <c r="DD332" s="127">
        <v>0</v>
      </c>
      <c r="DE332" s="127">
        <v>0</v>
      </c>
      <c r="DF332" s="127">
        <v>0</v>
      </c>
      <c r="DG332" s="127">
        <v>0</v>
      </c>
      <c r="DH332" s="127">
        <v>0</v>
      </c>
      <c r="DI332" s="127">
        <v>0</v>
      </c>
      <c r="DJ332" s="127">
        <v>0</v>
      </c>
      <c r="DK332" s="127">
        <v>0</v>
      </c>
      <c r="DL332" s="127">
        <v>0</v>
      </c>
      <c r="DM332" s="304">
        <f>INDEX(Input!$1:$1048576,DM$93,$C332*2+6)</f>
        <v>20731.578947368424</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3.5550482781484795E-2</v>
      </c>
      <c r="DZ332" s="7">
        <v>0</v>
      </c>
      <c r="EA332" s="7">
        <v>0.62358331475461615</v>
      </c>
      <c r="EB332" s="7">
        <v>0</v>
      </c>
      <c r="EC332" s="7">
        <v>0</v>
      </c>
      <c r="ED332" s="7">
        <v>0</v>
      </c>
      <c r="EE332" s="7">
        <v>0</v>
      </c>
      <c r="EF332" s="7">
        <v>0</v>
      </c>
      <c r="EG332" s="7">
        <v>0</v>
      </c>
      <c r="EH332" s="7">
        <v>1.4136731177324491E-2</v>
      </c>
      <c r="EI332" s="7">
        <v>1.7906150665219001E-2</v>
      </c>
      <c r="EJ332" s="7">
        <v>0.25773891491800011</v>
      </c>
      <c r="EK332" s="7">
        <v>0.65936039958846016</v>
      </c>
      <c r="EL332" s="7">
        <v>5.0857803650995903E-2</v>
      </c>
      <c r="EM332" s="7">
        <v>5.006458007171273E-2</v>
      </c>
      <c r="EN332" s="7">
        <v>5.8903840649550739E-2</v>
      </c>
      <c r="EO332" s="7">
        <v>0.5680644908961251</v>
      </c>
      <c r="EP332" s="7">
        <v>0.27410709591931864</v>
      </c>
      <c r="EQ332" s="7">
        <v>5.8713575146425348E-2</v>
      </c>
      <c r="ER332" s="7">
        <v>4.0210997388580243E-2</v>
      </c>
      <c r="ES332" s="7">
        <v>0.29080162239218632</v>
      </c>
      <c r="ET332" s="7">
        <v>0.34086620246389904</v>
      </c>
      <c r="EU332" s="6">
        <v>2100</v>
      </c>
      <c r="EV332" s="6">
        <v>0</v>
      </c>
      <c r="EW332" s="6">
        <v>2100</v>
      </c>
      <c r="EX332" s="6">
        <v>0</v>
      </c>
      <c r="EY332" s="6">
        <v>3124.8044511946737</v>
      </c>
      <c r="EZ332" s="6">
        <v>3636</v>
      </c>
      <c r="FA332" s="6">
        <v>0</v>
      </c>
      <c r="FB332" s="6">
        <v>0</v>
      </c>
      <c r="FC332" s="6">
        <v>0</v>
      </c>
      <c r="FD332" s="6">
        <v>0</v>
      </c>
      <c r="FE332" s="6">
        <v>0</v>
      </c>
      <c r="FF332" s="6">
        <v>0</v>
      </c>
      <c r="FG332" s="6">
        <v>0</v>
      </c>
      <c r="FH332" s="6">
        <v>1154.3249938558158</v>
      </c>
      <c r="FI332" s="6">
        <v>1531.4299904380616</v>
      </c>
      <c r="FJ332" s="6">
        <v>2070.7205842538224</v>
      </c>
      <c r="FK332" s="6">
        <v>1746.9903521590436</v>
      </c>
      <c r="FL332" s="6">
        <v>893.91433563489409</v>
      </c>
      <c r="FM332" s="6">
        <v>1774.8044511946739</v>
      </c>
      <c r="FN332" s="6">
        <v>0</v>
      </c>
      <c r="FO332" s="6">
        <v>0</v>
      </c>
      <c r="FP332" s="6">
        <v>0</v>
      </c>
      <c r="FQ332" s="6">
        <v>0</v>
      </c>
      <c r="FR332" s="6">
        <v>0</v>
      </c>
      <c r="FS332" s="6">
        <v>0</v>
      </c>
      <c r="FT332" s="7">
        <v>0.65913379753610091</v>
      </c>
      <c r="FU332" s="7">
        <v>5.006458007171273E-2</v>
      </c>
      <c r="FV332" s="7">
        <v>0.29080162239218632</v>
      </c>
      <c r="FW332" s="6">
        <v>2100</v>
      </c>
      <c r="FX332" s="6">
        <v>3124.8044511946737</v>
      </c>
      <c r="FY332" s="6">
        <v>3636</v>
      </c>
      <c r="FZ332" s="6">
        <v>2202.331475193394</v>
      </c>
      <c r="GA332" s="6">
        <v>2597.9776964990815</v>
      </c>
      <c r="GB332" s="6">
        <v>17097.022303500918</v>
      </c>
      <c r="GC332" s="7">
        <v>4.8391397220736806E-2</v>
      </c>
      <c r="GD332" s="7">
        <v>5.1046523062690474E-2</v>
      </c>
      <c r="GE332" s="7"/>
      <c r="GF332" s="7"/>
      <c r="GG332" s="7">
        <v>5.4867724315591497E-2</v>
      </c>
      <c r="GH332" s="42">
        <v>2.7312780261855631</v>
      </c>
      <c r="GI332" s="6">
        <v>9808.8876848555392</v>
      </c>
      <c r="GJ332" s="14">
        <v>0.51074630601039528</v>
      </c>
      <c r="GK332" s="14">
        <v>0.50829519786160959</v>
      </c>
      <c r="GL332" s="14">
        <v>0.48925369398960444</v>
      </c>
      <c r="GM332" s="14">
        <v>0.49170480213839035</v>
      </c>
      <c r="GO332" s="5">
        <v>338.16872463277008</v>
      </c>
      <c r="GP332" s="5">
        <v>298.1047308538179</v>
      </c>
      <c r="GQ332" s="5">
        <v>527.27910984145694</v>
      </c>
      <c r="GR332" s="5">
        <v>404.20319246551543</v>
      </c>
      <c r="GS332" s="5">
        <v>334.50205195691484</v>
      </c>
      <c r="GT332" s="5">
        <v>289.18266033348181</v>
      </c>
      <c r="GU332" s="5">
        <v>254.29573314828914</v>
      </c>
      <c r="GV332" s="39" t="s">
        <v>392</v>
      </c>
      <c r="GW332" s="5">
        <v>454.875</v>
      </c>
      <c r="GX332" s="5">
        <v>341.15625</v>
      </c>
      <c r="GY332" s="5">
        <v>272.92500000000001</v>
      </c>
      <c r="GZ332" s="5">
        <v>240.82751152063875</v>
      </c>
      <c r="HA332" s="5">
        <v>223.08053899211657</v>
      </c>
      <c r="HB332" s="39">
        <v>253.02014463972404</v>
      </c>
      <c r="HC332" s="5">
        <v>124.04062499999996</v>
      </c>
      <c r="HD332" s="5">
        <v>127.75060307017539</v>
      </c>
      <c r="HE332" s="5">
        <v>136.66051366396758</v>
      </c>
      <c r="HF332" s="5">
        <v>133.62067434210525</v>
      </c>
      <c r="HG332" s="5">
        <v>137.88493421052632</v>
      </c>
      <c r="HH332" s="39">
        <v>130.72650526464059</v>
      </c>
      <c r="HI332" s="16"/>
      <c r="HJ332" s="19" t="str">
        <f t="shared" si="1105"/>
        <v>On</v>
      </c>
      <c r="HK332" s="1" t="str">
        <f t="shared" si="1105"/>
        <v>On</v>
      </c>
      <c r="HL332" s="16"/>
      <c r="HM332" s="639">
        <f t="shared" si="1004"/>
        <v>2.8970655363290673E-2</v>
      </c>
      <c r="HN332" s="639">
        <f t="shared" si="1005"/>
        <v>2.1835179285533651E-3</v>
      </c>
      <c r="HO332" s="639">
        <f t="shared" si="1006"/>
        <v>1.5544129749146325E-2</v>
      </c>
      <c r="HP332" s="644">
        <f>(FT332*$GD332-HM332)/$JF332*INDEX(Input!$1:$1048576,$JG$93,$C332*2+6)</f>
        <v>192.84758165293198</v>
      </c>
      <c r="HQ332" s="644">
        <f>(FU332*$GD332-HN332)/$JF332*INDEX(Input!$1:$1048576,$JG$93,$C332*2+6)</f>
        <v>15.346893197243148</v>
      </c>
      <c r="HR332" s="644">
        <f>(FV332*$GD332-HO332)/$JF332*INDEX(Input!$1:$1048576,$JG$93,$C332*2+6)</f>
        <v>-28.85879846717296</v>
      </c>
      <c r="HS332" s="644">
        <f t="shared" si="1106"/>
        <v>-63.179605823237317</v>
      </c>
      <c r="HT332" s="644">
        <f t="shared" si="1008"/>
        <v>119.65785987952611</v>
      </c>
      <c r="HU332" s="644">
        <f t="shared" si="1009"/>
        <v>29.069362449851624</v>
      </c>
      <c r="HV332" s="648">
        <f t="shared" si="1010"/>
        <v>0</v>
      </c>
      <c r="HW332" s="648">
        <f t="shared" si="1011"/>
        <v>0</v>
      </c>
      <c r="HX332" s="648">
        <f t="shared" si="1012"/>
        <v>0</v>
      </c>
      <c r="HY332" s="644">
        <f>INDEX(Input!$1:$1048576,HY$93,$C332*2+6)*INDEX(Input!$1:$1048576,$JG$93,$C332*2+6)</f>
        <v>488.99999999999994</v>
      </c>
      <c r="HZ332" s="644">
        <f>INDEX(Input!$1:$1048576,HZ$93,$C332*2+6)*INDEX(Input!$1:$1048576,$JG$93,$C332*2+6)</f>
        <v>734</v>
      </c>
      <c r="IA332" s="644">
        <f>INDEX(Input!$1:$1048576,IA$93,$C332*2+6)*INDEX(Input!$1:$1048576,$JG$93,$C332*2+6)</f>
        <v>703</v>
      </c>
      <c r="IB332" s="644">
        <f t="shared" si="1036"/>
        <v>618.66797582969457</v>
      </c>
      <c r="IC332" s="644">
        <f t="shared" si="1037"/>
        <v>869.00475307676925</v>
      </c>
      <c r="ID332" s="644">
        <f>IF(AND(INDEX(Input!$1:$1048576,IA$93,$C332*2+7)="TOS",Y332&lt;=INDEX(Y:Y,MATCH(C332*1000+2,A:A))),0,1)*MAX(IA332+HR332+HU332+HX332,0%)</f>
        <v>703.21056398267865</v>
      </c>
      <c r="IE332" s="128">
        <f t="shared" si="1107"/>
        <v>0.28238289909721759</v>
      </c>
      <c r="IF332" s="128">
        <f t="shared" si="1108"/>
        <v>0.3966458441201598</v>
      </c>
      <c r="IG332" s="128">
        <f t="shared" si="1014"/>
        <v>0.32097125678262256</v>
      </c>
      <c r="IH332" s="21"/>
      <c r="II332" s="19">
        <f t="shared" si="1015"/>
        <v>1200</v>
      </c>
      <c r="IJ332" s="19">
        <f t="shared" si="1016"/>
        <v>2224.493581030405</v>
      </c>
      <c r="IK332" s="19">
        <f t="shared" si="1017"/>
        <v>3451.75</v>
      </c>
      <c r="IL332" s="19">
        <f t="shared" si="1039"/>
        <v>900</v>
      </c>
      <c r="IM332" s="19">
        <f t="shared" si="1018"/>
        <v>900.31087016426864</v>
      </c>
      <c r="IN332" s="19">
        <f t="shared" si="1019"/>
        <v>184.25</v>
      </c>
      <c r="IO332" s="39">
        <f t="shared" si="1020"/>
        <v>0</v>
      </c>
      <c r="IP332" s="39">
        <f t="shared" si="1021"/>
        <v>0</v>
      </c>
      <c r="IQ332" s="39">
        <f t="shared" si="1022"/>
        <v>0</v>
      </c>
      <c r="IR332" s="39">
        <v>0</v>
      </c>
      <c r="IS332" s="39">
        <v>0</v>
      </c>
      <c r="IT332" s="39">
        <v>0</v>
      </c>
      <c r="IU332" s="39">
        <v>0</v>
      </c>
      <c r="IV332" s="39">
        <v>0</v>
      </c>
      <c r="IW332" s="39">
        <v>0</v>
      </c>
      <c r="IX332" s="39">
        <f>INDEX(Input!$1:$1048576,IX$93,$C332*2+6)+INDEX(Input!$1:$1048576,IX$94,$C332*2+6)</f>
        <v>1600</v>
      </c>
      <c r="IY332" s="39">
        <f>INDEX(Input!$1:$1048576,IY$93,$C332*2+6)+INDEX(Input!$1:$1048576,IY$94,$C332*2+6)</f>
        <v>2503.5492916397525</v>
      </c>
      <c r="IZ332" s="39">
        <f>INDEX(Input!$1:$1048576,IZ$93,$C332*2+6)+INDEX(Input!$1:$1048576,IZ$94,$C332*2+6)</f>
        <v>5773.7109265464023</v>
      </c>
      <c r="JA332" s="19">
        <f t="shared" si="1040"/>
        <v>2500</v>
      </c>
      <c r="JB332" s="19">
        <f t="shared" si="1041"/>
        <v>3403.8601618040211</v>
      </c>
      <c r="JC332" s="19">
        <f t="shared" si="1042"/>
        <v>5957.9609265464023</v>
      </c>
      <c r="JD332" s="19">
        <f t="shared" si="1043"/>
        <v>3968.4184413441408</v>
      </c>
      <c r="JE332" s="21"/>
      <c r="JF332" s="1">
        <f t="shared" si="1023"/>
        <v>4.6698303040990354E-2</v>
      </c>
      <c r="JG332" s="15">
        <f>INDEX(Input!$1:$1048576,JG$93,$C332*2+6)/(1+VLOOKUP(C332*1000+INDEX(Input!$1:$1048576,JG$93+1,$C332*2+6),$A:$KK,$JK$92,FALSE))</f>
        <v>1926</v>
      </c>
      <c r="JH332" s="1">
        <f t="shared" si="1044"/>
        <v>9.3113019928869251E-2</v>
      </c>
      <c r="JI332" s="1">
        <f t="shared" si="1045"/>
        <v>4.4417246368712582E-2</v>
      </c>
      <c r="JJ332" s="1">
        <f t="shared" si="1109"/>
        <v>0</v>
      </c>
      <c r="JK332" s="1">
        <f t="shared" si="1110"/>
        <v>0.13753026629758183</v>
      </c>
      <c r="JL332" s="15">
        <f t="shared" si="1048"/>
        <v>264.88329288914258</v>
      </c>
      <c r="JM332" s="15">
        <f t="shared" si="1074"/>
        <v>2190.8832928891425</v>
      </c>
      <c r="JN332" s="21"/>
      <c r="JO332" s="19">
        <f>INDEX(Input!$1:$1048576,JO$93,$C332*2+6)</f>
        <v>5908.5</v>
      </c>
      <c r="JP332" s="19">
        <f>INDEX(Input!$1:$1048576,JP$93,$C332*2+6)</f>
        <v>3467.7694503767912</v>
      </c>
      <c r="JQ332" s="39">
        <f t="shared" si="1060"/>
        <v>1940.0815586558592</v>
      </c>
      <c r="JR332" s="39">
        <f t="shared" si="1077"/>
        <v>500.64899096734962</v>
      </c>
      <c r="JS332" s="39">
        <f t="shared" si="1062"/>
        <v>8.6943416623340486</v>
      </c>
      <c r="JT332" s="39">
        <f t="shared" si="1050"/>
        <v>2.0154177009083489</v>
      </c>
      <c r="JU332" s="385">
        <f>(JQ332*JM332-INDEX(Input!$1:$1048576,Input!A$18,$C332*2+6)*JL332*INDEX(Input!$1:$1048576,Input!A$19,$C332*2+6))/1000000</f>
        <v>4.2504922737014486</v>
      </c>
      <c r="JV332" s="39">
        <f t="shared" si="1084"/>
        <v>-0.4503547648728512</v>
      </c>
      <c r="JW332" s="1">
        <f t="shared" si="1075"/>
        <v>-9.5802897047557928E-2</v>
      </c>
      <c r="JX332" s="19">
        <f t="shared" si="1066"/>
        <v>7608.7007184399126</v>
      </c>
      <c r="JZ332" s="341"/>
      <c r="KA332" s="342"/>
      <c r="KB332" s="469">
        <f t="shared" si="1063"/>
        <v>2.7822247002359868</v>
      </c>
      <c r="KI332" s="473">
        <f t="shared" si="1090"/>
        <v>129.66797582969463</v>
      </c>
      <c r="KJ332" s="473">
        <f t="shared" si="1091"/>
        <v>135.00475307676925</v>
      </c>
      <c r="KK332" s="473">
        <f t="shared" si="1052"/>
        <v>0.21056398267865006</v>
      </c>
      <c r="KN332" s="544">
        <f t="shared" si="1067"/>
        <v>3002</v>
      </c>
      <c r="KO332" s="541">
        <f t="shared" si="1027"/>
        <v>6.3497328088800931E-2</v>
      </c>
      <c r="KP332" s="546">
        <f t="shared" si="1028"/>
        <v>339.59819737074406</v>
      </c>
      <c r="KQ332" s="546">
        <f t="shared" si="1029"/>
        <v>247.33722301876787</v>
      </c>
      <c r="KR332" s="548">
        <f t="shared" si="1030"/>
        <v>2.9867683915781402</v>
      </c>
      <c r="KS332" s="548">
        <f t="shared" si="1031"/>
        <v>4.1008836007950498</v>
      </c>
      <c r="KT332" s="473">
        <f t="shared" si="1065"/>
        <v>527.01264777847621</v>
      </c>
      <c r="KU332" s="663">
        <f t="shared" si="1053"/>
        <v>15.668879285706188</v>
      </c>
      <c r="KV332" s="117"/>
    </row>
    <row r="333" spans="1:308" s="26" customFormat="1" ht="15">
      <c r="A333" s="561">
        <f t="shared" si="1032"/>
        <v>3033</v>
      </c>
      <c r="B333" s="561">
        <f t="shared" si="1054"/>
        <v>33</v>
      </c>
      <c r="C333" s="561">
        <f t="shared" si="1055"/>
        <v>3</v>
      </c>
      <c r="D333" s="561" t="str">
        <f t="shared" si="1104"/>
        <v xml:space="preserve">750 CC, 750 Combo, </v>
      </c>
      <c r="E333" s="475">
        <f>INDEX(Input!$1:$1048576,E$93,$C333*2+MIN($B333,2)+5)
+INDEX(Scenarios!E$121:E$200,MATCH($B333,Scenarios!$B$121:$B$200,0))</f>
        <v>2000</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1.9E-2</v>
      </c>
      <c r="W333" s="863">
        <f>IFERROR(MAX(0,INDEX(Input!$1:$1048576,W$93,$C333*2+MIN($B333,2)+5)-0%,),"Market")</f>
        <v>3.9000000000000007E-2</v>
      </c>
      <c r="X333" s="476" t="str">
        <f>INDEX(Input!$1:$1048576,X$93,$C333*2+MIN($B333,2)+5)</f>
        <v>Y</v>
      </c>
      <c r="Y333" s="475">
        <f>INDEX(Input!$1:$1048576,Y$93,$C333*2+MIN($B333,2)+5)
++INDEX(Scenarios!Y$121:Y$200,MATCH($B333,Scenarios!$B$121:$B$200,0))</f>
        <v>4108</v>
      </c>
      <c r="Z333" s="477">
        <f>INDEX(Input!$1:$1048576,Z$93,$C333*2+MIN($B333,2)+5)
+INDEX(Scenarios!Z$121:Z$200,MATCH($B333,Scenarios!$B$121:$B$200,0))</f>
        <v>0</v>
      </c>
      <c r="AA333" s="475">
        <f>INDEX(Input!$1:$1048576,AA$93,$C333*2+MIN($B333,2)+5)</f>
        <v>500</v>
      </c>
      <c r="AB333" s="476">
        <f>INDEX(Input!$1:$1048576,AB$93,$C333*2+MIN($B333,2)+5)</f>
        <v>0.62</v>
      </c>
      <c r="AC333" s="475">
        <f>INDEX(Input!$1:$1048576,AC$93,$C333*2+MIN($B333,2)+5)
+INDEX(Scenarios!AC$121:AC$200,MATCH($B333,Scenarios!$B$121:$B$200,0))</f>
        <v>0</v>
      </c>
      <c r="AD333" s="476">
        <f>INDEX(Input!$1:$1048576,AD$93,$C333*2+MIN($B333,2)+5)</f>
        <v>0.35</v>
      </c>
      <c r="AE333" s="475">
        <f>INDEX(Input!$1:$1048576,AE$93,$C333*2+MIN($B333,2)+5)
+INDEX(Scenarios!AE$121:AE$200,MATCH($B333,Scenarios!$B$121:$B$200,0))</f>
        <v>500</v>
      </c>
      <c r="AF333" s="476">
        <f>INDEX(Input!$1:$1048576,AF$93,$C333*2+MIN($B333,2)+5)</f>
        <v>0.97</v>
      </c>
      <c r="AG333" s="475">
        <f>INDEX(Input!$1:$1048576,AG$93,$C333*2+MIN($B333,2)+5)
+INDEX(Scenarios!AG$121:AG$200,MATCH($B333,Scenarios!$B$121:$B$200,0))</f>
        <v>0</v>
      </c>
      <c r="AH333" s="476">
        <f>INDEX(Input!$1:$1048576,AH$93,$C333*2+MIN($B333,2)+5)</f>
        <v>1</v>
      </c>
      <c r="AI333" s="475">
        <f>INDEX(Input!$1:$1048576,AI$93,$C333*2+MIN($B333,2)+5)
+INDEX(Scenarios!AI$121:AI$200,MATCH($B333,Scenarios!$B$121:$B$200,0))</f>
        <v>0</v>
      </c>
      <c r="AJ333" s="476">
        <f>INDEX(Input!$1:$1048576,AJ$93,$C333*2+MIN($B333,2)+5)</f>
        <v>0.35</v>
      </c>
      <c r="AK333" s="150">
        <f>ROUND(INDEX(Input!$1:$1048576,AK$93,$C332*2+MIN($B333,1)+5)+(Y333-VLOOKUP($C333*1000+1,$A:$HH,Y$92,FALSE)),0)</f>
        <v>4982</v>
      </c>
      <c r="AL333" s="150">
        <f>ROUND(INDEX(Input!$1:$1048576,AL$93,$C332*2+MIN($B333,1)+5)-(Y333-VLOOKUP($C333*1000+1,$A:$HH,Y$92,FALSE))/36,0)</f>
        <v>5102</v>
      </c>
      <c r="AM333" s="32" t="str">
        <f t="shared" si="1033"/>
        <v>std/std/std/std</v>
      </c>
      <c r="AN333" s="32" t="str">
        <f t="shared" si="1034"/>
        <v>$750 + 0/0/0/1.9/3.9</v>
      </c>
      <c r="AO333" s="32" t="str">
        <f t="shared" si="1035"/>
        <v>0/0/0/1.9/3.9</v>
      </c>
      <c r="AP333" s="32" t="str">
        <f t="shared" si="989"/>
        <v>0/0.9/1.9/3.9</v>
      </c>
      <c r="AQ333" s="536">
        <f t="shared" si="988"/>
        <v>485.29313252501686</v>
      </c>
      <c r="AR333" s="32"/>
      <c r="AS333" s="302"/>
      <c r="AT333" s="3">
        <f t="shared" si="1056"/>
        <v>33</v>
      </c>
      <c r="AU333" s="41" t="s">
        <v>121</v>
      </c>
      <c r="AV333" s="41" t="s">
        <v>116</v>
      </c>
      <c r="AW333" s="41" t="str">
        <f>INDEX(Input!$1:$1048576,AW$93,$C333*2+6)</f>
        <v>Kia</v>
      </c>
      <c r="AX333" s="41" t="str">
        <f>INDEX(Input!$1:$1048576,AX$93,$C333*2+6)</f>
        <v>Kia-LR - L3</v>
      </c>
      <c r="AY333" s="41" t="str">
        <f>IF(LEN(D333)=0,"",INDEX(Input!$1:$1048576,AY$93,$C333*2+6))</f>
        <v>Compact Conventional/Sporty Car (43)</v>
      </c>
      <c r="AZ333" s="41" t="str">
        <f>INDEX(Input!$1:$1048576,AZ$93,$C333*2+6)</f>
        <v>Kia Forte</v>
      </c>
      <c r="BA333" s="3">
        <f>INDEX(Input!$1:$1048576,BA$93,$C333*2+6)</f>
        <v>2020</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19695</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990"/>
        <v>2000</v>
      </c>
      <c r="CJ333" s="16" t="str">
        <f>INDEX(Input!$1:$1048576,CJ$93,$C333*2+6)</f>
        <v>N</v>
      </c>
      <c r="CK333" s="1" t="str">
        <f t="shared" si="991"/>
        <v>Market</v>
      </c>
      <c r="CL333" s="1" t="str">
        <f t="shared" si="992"/>
        <v>Market</v>
      </c>
      <c r="CM333" s="1" t="str">
        <f t="shared" si="993"/>
        <v>Market</v>
      </c>
      <c r="CN333" s="1" t="str">
        <f t="shared" si="994"/>
        <v>Market</v>
      </c>
      <c r="CO333" s="1" t="str">
        <f t="shared" si="995"/>
        <v>Market</v>
      </c>
      <c r="CP333" s="304">
        <f t="shared" si="996"/>
        <v>1060</v>
      </c>
      <c r="CQ333" s="1">
        <f t="shared" si="997"/>
        <v>0</v>
      </c>
      <c r="CR333" s="1">
        <f t="shared" si="998"/>
        <v>0</v>
      </c>
      <c r="CS333" s="1">
        <f t="shared" si="999"/>
        <v>0</v>
      </c>
      <c r="CT333" s="1">
        <f t="shared" si="1000"/>
        <v>1.9E-2</v>
      </c>
      <c r="CU333" s="1">
        <f t="shared" si="1001"/>
        <v>3.9000000000000007E-2</v>
      </c>
      <c r="CV333" s="304">
        <f t="shared" si="1002"/>
        <v>4593</v>
      </c>
      <c r="CW333" s="20" t="s">
        <v>122</v>
      </c>
      <c r="CX333" s="20" t="s">
        <v>122</v>
      </c>
      <c r="CY333" s="20" t="s">
        <v>122</v>
      </c>
      <c r="CZ333" s="20" t="s">
        <v>122</v>
      </c>
      <c r="DA333" s="20" t="s">
        <v>122</v>
      </c>
      <c r="DB333" s="503">
        <f t="shared" si="1003"/>
        <v>0</v>
      </c>
      <c r="DC333" s="127">
        <v>0</v>
      </c>
      <c r="DD333" s="127">
        <v>0</v>
      </c>
      <c r="DE333" s="127">
        <v>0</v>
      </c>
      <c r="DF333" s="127">
        <v>0</v>
      </c>
      <c r="DG333" s="127">
        <v>0</v>
      </c>
      <c r="DH333" s="127">
        <v>0</v>
      </c>
      <c r="DI333" s="127">
        <v>0</v>
      </c>
      <c r="DJ333" s="127">
        <v>0</v>
      </c>
      <c r="DK333" s="127">
        <v>0</v>
      </c>
      <c r="DL333" s="127">
        <v>0</v>
      </c>
      <c r="DM333" s="304">
        <f>INDEX(Input!$1:$1048576,DM$93,$C333*2+6)</f>
        <v>20731.578947368424</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3.6412882044620454E-2</v>
      </c>
      <c r="DZ333" s="7">
        <v>0</v>
      </c>
      <c r="EA333" s="7">
        <v>0.63597101139359336</v>
      </c>
      <c r="EB333" s="7">
        <v>0</v>
      </c>
      <c r="EC333" s="7">
        <v>0</v>
      </c>
      <c r="ED333" s="7">
        <v>0</v>
      </c>
      <c r="EE333" s="7">
        <v>0</v>
      </c>
      <c r="EF333" s="7">
        <v>0</v>
      </c>
      <c r="EG333" s="7">
        <v>0</v>
      </c>
      <c r="EH333" s="7">
        <v>1.4143321280714332E-2</v>
      </c>
      <c r="EI333" s="7">
        <v>1.7906737935897882E-2</v>
      </c>
      <c r="EJ333" s="7">
        <v>0.25794844553953344</v>
      </c>
      <c r="EK333" s="7">
        <v>0.65918703805824808</v>
      </c>
      <c r="EL333" s="7">
        <v>5.0814457185606197E-2</v>
      </c>
      <c r="EM333" s="7">
        <v>5.1201770969748948E-2</v>
      </c>
      <c r="EN333" s="7">
        <v>5.8903840649550718E-2</v>
      </c>
      <c r="EO333" s="7">
        <v>0.56806449089612487</v>
      </c>
      <c r="EP333" s="7">
        <v>0.27410709591931864</v>
      </c>
      <c r="EQ333" s="7">
        <v>5.8713575146425341E-2</v>
      </c>
      <c r="ER333" s="7">
        <v>4.0210997388580236E-2</v>
      </c>
      <c r="ES333" s="7">
        <v>0.27641433559203721</v>
      </c>
      <c r="ET333" s="7">
        <v>0.32761610656178619</v>
      </c>
      <c r="EU333" s="6">
        <v>2350</v>
      </c>
      <c r="EV333" s="6">
        <v>0</v>
      </c>
      <c r="EW333" s="6">
        <v>2350</v>
      </c>
      <c r="EX333" s="6">
        <v>0</v>
      </c>
      <c r="EY333" s="6">
        <v>3374.9052101711413</v>
      </c>
      <c r="EZ333" s="6">
        <v>3636</v>
      </c>
      <c r="FA333" s="6">
        <v>0</v>
      </c>
      <c r="FB333" s="6">
        <v>0</v>
      </c>
      <c r="FC333" s="6">
        <v>0</v>
      </c>
      <c r="FD333" s="6">
        <v>0</v>
      </c>
      <c r="FE333" s="6">
        <v>0</v>
      </c>
      <c r="FF333" s="6">
        <v>0</v>
      </c>
      <c r="FG333" s="6">
        <v>0</v>
      </c>
      <c r="FH333" s="6">
        <v>1154.3237259760572</v>
      </c>
      <c r="FI333" s="6">
        <v>1531.4299904380621</v>
      </c>
      <c r="FJ333" s="6">
        <v>2070.7205842538215</v>
      </c>
      <c r="FK333" s="6">
        <v>1746.9903521590431</v>
      </c>
      <c r="FL333" s="6">
        <v>893.91433563489409</v>
      </c>
      <c r="FM333" s="6">
        <v>1774.9052101711416</v>
      </c>
      <c r="FN333" s="6">
        <v>0</v>
      </c>
      <c r="FO333" s="6">
        <v>0</v>
      </c>
      <c r="FP333" s="6">
        <v>0</v>
      </c>
      <c r="FQ333" s="6">
        <v>0</v>
      </c>
      <c r="FR333" s="6">
        <v>0</v>
      </c>
      <c r="FS333" s="6">
        <v>0</v>
      </c>
      <c r="FT333" s="7">
        <v>0.67238389343821381</v>
      </c>
      <c r="FU333" s="7">
        <v>5.1201770969748948E-2</v>
      </c>
      <c r="FV333" s="7">
        <v>0.27641433559203721</v>
      </c>
      <c r="FW333" s="6">
        <v>2349.9999999999995</v>
      </c>
      <c r="FX333" s="6">
        <v>3374.9052101711409</v>
      </c>
      <c r="FY333" s="6">
        <v>3636</v>
      </c>
      <c r="FZ333" s="6">
        <v>2202.331475193394</v>
      </c>
      <c r="GA333" s="6">
        <v>2757.9457974082447</v>
      </c>
      <c r="GB333" s="6">
        <v>16937.054202591757</v>
      </c>
      <c r="GC333" s="7">
        <v>4.8391397220736806E-2</v>
      </c>
      <c r="GD333" s="7">
        <v>5.2246274811065099E-2</v>
      </c>
      <c r="GE333" s="7"/>
      <c r="GF333" s="7"/>
      <c r="GG333" s="7">
        <v>7.9660390311614954E-2</v>
      </c>
      <c r="GH333" s="42">
        <v>2.8237418015667592</v>
      </c>
      <c r="GI333" s="6">
        <v>9732.7336441838179</v>
      </c>
      <c r="GJ333" s="14">
        <v>0.5107463060103955</v>
      </c>
      <c r="GK333" s="14">
        <v>0.5082951978616097</v>
      </c>
      <c r="GL333" s="14">
        <v>0.48925369398960433</v>
      </c>
      <c r="GM333" s="14">
        <v>0.4917048021383903</v>
      </c>
      <c r="GO333" s="5">
        <v>338.16872463277008</v>
      </c>
      <c r="GP333" s="5">
        <v>293.33520778489498</v>
      </c>
      <c r="GQ333" s="5">
        <v>527.27910984145694</v>
      </c>
      <c r="GR333" s="5">
        <v>404.20319246551543</v>
      </c>
      <c r="GS333" s="5">
        <v>334.50205195691484</v>
      </c>
      <c r="GT333" s="5">
        <v>289.18266033348181</v>
      </c>
      <c r="GU333" s="5">
        <v>254.29573314828914</v>
      </c>
      <c r="GV333" s="39" t="s">
        <v>392</v>
      </c>
      <c r="GW333" s="5">
        <v>447.93055555555554</v>
      </c>
      <c r="GX333" s="5">
        <v>335.94791666666669</v>
      </c>
      <c r="GY333" s="5">
        <v>268.75833333333333</v>
      </c>
      <c r="GZ333" s="5">
        <v>237.15086788348813</v>
      </c>
      <c r="HA333" s="5">
        <v>219.67483322752744</v>
      </c>
      <c r="HB333" s="39">
        <v>249.16618695251589</v>
      </c>
      <c r="HC333" s="5">
        <v>124.04062499999996</v>
      </c>
      <c r="HD333" s="5">
        <v>127.75060307017539</v>
      </c>
      <c r="HE333" s="5">
        <v>136.66051366396758</v>
      </c>
      <c r="HF333" s="5">
        <v>133.62067434210525</v>
      </c>
      <c r="HG333" s="5">
        <v>137.88493421052632</v>
      </c>
      <c r="HH333" s="39">
        <v>130.72650526464056</v>
      </c>
      <c r="HI333" s="16"/>
      <c r="HJ333" s="19" t="str">
        <f t="shared" si="1105"/>
        <v>On</v>
      </c>
      <c r="HK333" s="1" t="str">
        <f t="shared" si="1105"/>
        <v>On</v>
      </c>
      <c r="HL333" s="16"/>
      <c r="HM333" s="639">
        <f t="shared" si="1004"/>
        <v>2.8970655363290673E-2</v>
      </c>
      <c r="HN333" s="639">
        <f t="shared" si="1005"/>
        <v>2.1835179285533651E-3</v>
      </c>
      <c r="HO333" s="639">
        <f t="shared" si="1006"/>
        <v>1.5544129749146325E-2</v>
      </c>
      <c r="HP333" s="644">
        <f>(FT333*$GD333-HM333)/$JF333*INDEX(Input!$1:$1048576,$JG$93,$C333*2+6)</f>
        <v>254.01432977437713</v>
      </c>
      <c r="HQ333" s="644">
        <f>(FU333*$GD333-HN333)/$JF333*INDEX(Input!$1:$1048576,$JG$93,$C333*2+6)</f>
        <v>20.274623889482395</v>
      </c>
      <c r="HR333" s="644">
        <f>(FV333*$GD333-HO333)/$JF333*INDEX(Input!$1:$1048576,$JG$93,$C333*2+6)</f>
        <v>-45.471353594224702</v>
      </c>
      <c r="HS333" s="644">
        <f t="shared" ref="HS333:HS336" si="1111">IF(AND(HJ333="On",HK333="On"),IL333/1000*INDEX(KG:KG,MATCH(C333*1000+3,$KF:$KF,0))*SUM(HY333:IA333)*1.1
+INDEX(HR:HR,MATCH(C333*1000+4,$KF:$KF,0))/INDEX(IM:IM,MATCH(C333*1000+4,$KF:$KF,0))*IM333*20%,0)</f>
        <v>-80.729511174006831</v>
      </c>
      <c r="HT333" s="644">
        <f t="shared" si="1008"/>
        <v>152.89824307945605</v>
      </c>
      <c r="HU333" s="644">
        <f t="shared" si="1009"/>
        <v>32.349504477363539</v>
      </c>
      <c r="HV333" s="648">
        <f t="shared" si="1010"/>
        <v>0</v>
      </c>
      <c r="HW333" s="648">
        <f t="shared" si="1011"/>
        <v>0</v>
      </c>
      <c r="HX333" s="648">
        <f t="shared" si="1012"/>
        <v>0</v>
      </c>
      <c r="HY333" s="644">
        <f>INDEX(Input!$1:$1048576,HY$93,$C333*2+6)*INDEX(Input!$1:$1048576,$JG$93,$C333*2+6)</f>
        <v>488.99999999999994</v>
      </c>
      <c r="HZ333" s="644">
        <f>INDEX(Input!$1:$1048576,HZ$93,$C333*2+6)*INDEX(Input!$1:$1048576,$JG$93,$C333*2+6)</f>
        <v>734</v>
      </c>
      <c r="IA333" s="644">
        <f>INDEX(Input!$1:$1048576,IA$93,$C333*2+6)*INDEX(Input!$1:$1048576,$JG$93,$C333*2+6)</f>
        <v>703</v>
      </c>
      <c r="IB333" s="644">
        <f t="shared" si="1036"/>
        <v>662.28481860037016</v>
      </c>
      <c r="IC333" s="644">
        <f t="shared" si="1037"/>
        <v>907.17286696893848</v>
      </c>
      <c r="ID333" s="644">
        <f>IF(AND(INDEX(Input!$1:$1048576,IA$93,$C333*2+7)="TOS",Y333&lt;=INDEX(Y:Y,MATCH(C333*1000+2,A:A))),0,1)*MAX(IA333+HR333+HU333+HX333,0%)</f>
        <v>689.8781508831388</v>
      </c>
      <c r="IE333" s="128">
        <f t="shared" ref="IE333:IE336" si="1112">IB333/SUM($IB333:$ID333)</f>
        <v>0.29313252501685327</v>
      </c>
      <c r="IF333" s="128">
        <f t="shared" si="1108"/>
        <v>0.40152192176677842</v>
      </c>
      <c r="IG333" s="128">
        <f t="shared" si="1014"/>
        <v>0.3053455532163683</v>
      </c>
      <c r="IH333" s="21"/>
      <c r="II333" s="19">
        <f t="shared" si="1015"/>
        <v>1200</v>
      </c>
      <c r="IJ333" s="19">
        <f t="shared" si="1016"/>
        <v>2224.493581030405</v>
      </c>
      <c r="IK333" s="19">
        <f t="shared" si="1017"/>
        <v>3451.75</v>
      </c>
      <c r="IL333" s="19">
        <f t="shared" si="1039"/>
        <v>1149.9999999999995</v>
      </c>
      <c r="IM333" s="19">
        <f t="shared" si="1018"/>
        <v>1150.4116291407358</v>
      </c>
      <c r="IN333" s="19">
        <f t="shared" si="1019"/>
        <v>184.25</v>
      </c>
      <c r="IO333" s="39">
        <f t="shared" si="1020"/>
        <v>0</v>
      </c>
      <c r="IP333" s="39">
        <f t="shared" si="1021"/>
        <v>0</v>
      </c>
      <c r="IQ333" s="39">
        <f t="shared" si="1022"/>
        <v>0</v>
      </c>
      <c r="IR333" s="39">
        <v>0</v>
      </c>
      <c r="IS333" s="39">
        <v>0</v>
      </c>
      <c r="IT333" s="39">
        <v>0</v>
      </c>
      <c r="IU333" s="39">
        <v>0</v>
      </c>
      <c r="IV333" s="39">
        <v>0</v>
      </c>
      <c r="IW333" s="39">
        <v>0</v>
      </c>
      <c r="IX333" s="39">
        <f>INDEX(Input!$1:$1048576,IX$93,$C333*2+6)+INDEX(Input!$1:$1048576,IX$94,$C333*2+6)</f>
        <v>1600</v>
      </c>
      <c r="IY333" s="39">
        <f>INDEX(Input!$1:$1048576,IY$93,$C333*2+6)+INDEX(Input!$1:$1048576,IY$94,$C333*2+6)</f>
        <v>2503.5492916397525</v>
      </c>
      <c r="IZ333" s="39">
        <f>INDEX(Input!$1:$1048576,IZ$93,$C333*2+6)+INDEX(Input!$1:$1048576,IZ$94,$C333*2+6)</f>
        <v>5773.7109265464023</v>
      </c>
      <c r="JA333" s="19">
        <f t="shared" si="1040"/>
        <v>2749.9999999999995</v>
      </c>
      <c r="JB333" s="19">
        <f t="shared" si="1041"/>
        <v>3653.9609207804883</v>
      </c>
      <c r="JC333" s="19">
        <f t="shared" si="1042"/>
        <v>5957.9609265464023</v>
      </c>
      <c r="JD333" s="19">
        <f t="shared" si="1043"/>
        <v>4092.4967299266527</v>
      </c>
      <c r="JE333" s="21"/>
      <c r="JF333" s="1">
        <f t="shared" si="1023"/>
        <v>4.6698303040990354E-2</v>
      </c>
      <c r="JG333" s="15">
        <f>INDEX(Input!$1:$1048576,JG$93,$C333*2+6)/(1+VLOOKUP(C333*1000+INDEX(Input!$1:$1048576,JG$93+1,$C333*2+6),$A:$KK,$JK$92,FALSE))</f>
        <v>1926</v>
      </c>
      <c r="JH333" s="1">
        <f t="shared" si="1044"/>
        <v>0.11880456909119148</v>
      </c>
      <c r="JI333" s="1">
        <f t="shared" si="1045"/>
        <v>5.4266997083495722E-2</v>
      </c>
      <c r="JJ333" s="1">
        <f t="shared" si="1109"/>
        <v>0</v>
      </c>
      <c r="JK333" s="1">
        <f t="shared" si="1110"/>
        <v>0.17307156617468722</v>
      </c>
      <c r="JL333" s="15">
        <f t="shared" si="1048"/>
        <v>333.33583645244761</v>
      </c>
      <c r="JM333" s="15">
        <f t="shared" si="1074"/>
        <v>2259.3358364524474</v>
      </c>
      <c r="JN333" s="21"/>
      <c r="JO333" s="19">
        <f>INDEX(Input!$1:$1048576,JO$93,$C333*2+6)</f>
        <v>5908.5</v>
      </c>
      <c r="JP333" s="19">
        <f>INDEX(Input!$1:$1048576,JP$93,$C333*2+6)</f>
        <v>3467.7694503767912</v>
      </c>
      <c r="JQ333" s="39">
        <f t="shared" si="1060"/>
        <v>1816.0032700733473</v>
      </c>
      <c r="JR333" s="39">
        <f t="shared" si="1077"/>
        <v>624.72727954986158</v>
      </c>
      <c r="JS333" s="39">
        <f t="shared" si="1062"/>
        <v>9.2463245224877397</v>
      </c>
      <c r="JT333" s="39">
        <f t="shared" si="1050"/>
        <v>2.5674005610620387</v>
      </c>
      <c r="JU333" s="385">
        <f>(JQ333*JM333-INDEX(Input!$1:$1048576,Input!A$18,$C333*2+6)*JL333*INDEX(Input!$1:$1048576,Input!A$19,$C333*2+6))/1000000</f>
        <v>4.1029612671915459</v>
      </c>
      <c r="JV333" s="39">
        <f t="shared" si="1084"/>
        <v>-0.59788577138275389</v>
      </c>
      <c r="JW333" s="1">
        <f t="shared" si="1075"/>
        <v>-0.12718681686015551</v>
      </c>
      <c r="JX333" s="19">
        <f t="shared" si="1066"/>
        <v>7702.1438450356773</v>
      </c>
      <c r="JZ333" s="341"/>
      <c r="KA333" s="342"/>
      <c r="KB333" s="469">
        <f t="shared" si="1063"/>
        <v>2.7822247002359868</v>
      </c>
      <c r="KI333" s="473">
        <f t="shared" ref="KI333:KI336" si="1113">$JM333*IE333-$JG333*HY333/SUM($HY333:$IA333)</f>
        <v>173.28481860037022</v>
      </c>
      <c r="KJ333" s="473">
        <f t="shared" ref="KJ333:KJ336" si="1114">$JM333*IF333-$JG333*HZ333/SUM($HY333:$IA333)</f>
        <v>173.17286696893848</v>
      </c>
      <c r="KK333" s="473">
        <f t="shared" si="1052"/>
        <v>-13.121849116861199</v>
      </c>
      <c r="KN333" s="544">
        <f t="shared" si="1067"/>
        <v>3002</v>
      </c>
      <c r="KO333" s="541">
        <f t="shared" si="1027"/>
        <v>9.6725523044113304E-2</v>
      </c>
      <c r="KP333" s="546">
        <f t="shared" si="1028"/>
        <v>521.11614828104553</v>
      </c>
      <c r="KQ333" s="546">
        <f t="shared" si="1029"/>
        <v>371.41551160127983</v>
      </c>
      <c r="KR333" s="548">
        <f t="shared" si="1030"/>
        <v>2.9649544622984441</v>
      </c>
      <c r="KS333" s="548">
        <f t="shared" si="1031"/>
        <v>4.159992248466823</v>
      </c>
      <c r="KT333" s="473">
        <f t="shared" si="1065"/>
        <v>527.01264777847621</v>
      </c>
      <c r="KU333" s="663">
        <f t="shared" si="1053"/>
        <v>15.818905474185142</v>
      </c>
      <c r="KV333" s="117"/>
    </row>
    <row r="334" spans="1:308" s="26" customFormat="1" ht="15">
      <c r="A334" s="561">
        <f t="shared" si="1032"/>
        <v>3034</v>
      </c>
      <c r="B334" s="561">
        <f t="shared" si="1054"/>
        <v>34</v>
      </c>
      <c r="C334" s="561">
        <f t="shared" si="1055"/>
        <v>3</v>
      </c>
      <c r="D334" s="561" t="str">
        <f t="shared" si="1104"/>
        <v xml:space="preserve">1000 CC, 1000 Combo, </v>
      </c>
      <c r="E334" s="475">
        <f>INDEX(Input!$1:$1048576,E$93,$C334*2+MIN($B334,2)+5)
+INDEX(Scenarios!E$121:E$200,MATCH($B334,Scenarios!$B$121:$B$200,0))</f>
        <v>2250</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1.9E-2</v>
      </c>
      <c r="W334" s="863">
        <f>IFERROR(MAX(0,INDEX(Input!$1:$1048576,W$93,$C334*2+MIN($B334,2)+5)-0%,),"Market")</f>
        <v>3.9000000000000007E-2</v>
      </c>
      <c r="X334" s="476" t="str">
        <f>INDEX(Input!$1:$1048576,X$93,$C334*2+MIN($B334,2)+5)</f>
        <v>Y</v>
      </c>
      <c r="Y334" s="475">
        <f>INDEX(Input!$1:$1048576,Y$93,$C334*2+MIN($B334,2)+5)
++INDEX(Scenarios!Y$121:Y$200,MATCH($B334,Scenarios!$B$121:$B$200,0))</f>
        <v>4108</v>
      </c>
      <c r="Z334" s="477">
        <f>INDEX(Input!$1:$1048576,Z$93,$C334*2+MIN($B334,2)+5)
+INDEX(Scenarios!Z$121:Z$200,MATCH($B334,Scenarios!$B$121:$B$200,0))</f>
        <v>0</v>
      </c>
      <c r="AA334" s="475">
        <f>INDEX(Input!$1:$1048576,AA$93,$C334*2+MIN($B334,2)+5)</f>
        <v>500</v>
      </c>
      <c r="AB334" s="476">
        <f>INDEX(Input!$1:$1048576,AB$93,$C334*2+MIN($B334,2)+5)</f>
        <v>0.62</v>
      </c>
      <c r="AC334" s="475">
        <f>INDEX(Input!$1:$1048576,AC$93,$C334*2+MIN($B334,2)+5)
+INDEX(Scenarios!AC$121:AC$200,MATCH($B334,Scenarios!$B$121:$B$200,0))</f>
        <v>0</v>
      </c>
      <c r="AD334" s="476">
        <f>INDEX(Input!$1:$1048576,AD$93,$C334*2+MIN($B334,2)+5)</f>
        <v>0.35</v>
      </c>
      <c r="AE334" s="475">
        <f>INDEX(Input!$1:$1048576,AE$93,$C334*2+MIN($B334,2)+5)
+INDEX(Scenarios!AE$121:AE$200,MATCH($B334,Scenarios!$B$121:$B$200,0))</f>
        <v>500</v>
      </c>
      <c r="AF334" s="476">
        <f>INDEX(Input!$1:$1048576,AF$93,$C334*2+MIN($B334,2)+5)</f>
        <v>0.97</v>
      </c>
      <c r="AG334" s="475">
        <f>INDEX(Input!$1:$1048576,AG$93,$C334*2+MIN($B334,2)+5)
+INDEX(Scenarios!AG$121:AG$200,MATCH($B334,Scenarios!$B$121:$B$200,0))</f>
        <v>0</v>
      </c>
      <c r="AH334" s="476">
        <f>INDEX(Input!$1:$1048576,AH$93,$C334*2+MIN($B334,2)+5)</f>
        <v>1</v>
      </c>
      <c r="AI334" s="475">
        <f>INDEX(Input!$1:$1048576,AI$93,$C334*2+MIN($B334,2)+5)
+INDEX(Scenarios!AI$121:AI$200,MATCH($B334,Scenarios!$B$121:$B$200,0))</f>
        <v>0</v>
      </c>
      <c r="AJ334" s="476">
        <f>INDEX(Input!$1:$1048576,AJ$93,$C334*2+MIN($B334,2)+5)</f>
        <v>0.35</v>
      </c>
      <c r="AK334" s="150">
        <f>ROUND(INDEX(Input!$1:$1048576,AK$93,$C333*2+MIN($B334,1)+5)+(Y334-VLOOKUP($C334*1000+1,$A:$HH,Y$92,FALSE)),0)</f>
        <v>4982</v>
      </c>
      <c r="AL334" s="150">
        <f>ROUND(INDEX(Input!$1:$1048576,AL$93,$C333*2+MIN($B334,1)+5)-(Y334-VLOOKUP($C334*1000+1,$A:$HH,Y$92,FALSE))/36,0)</f>
        <v>5102</v>
      </c>
      <c r="AM334" s="32" t="str">
        <f t="shared" si="1033"/>
        <v>std/std/std/std</v>
      </c>
      <c r="AN334" s="32" t="str">
        <f t="shared" si="1034"/>
        <v>$1000 + 0/0/0/1.9/3.9</v>
      </c>
      <c r="AO334" s="32" t="str">
        <f t="shared" si="1035"/>
        <v>0/0/0/1.9/3.9</v>
      </c>
      <c r="AP334" s="32" t="str">
        <f t="shared" si="989"/>
        <v>0/0.9/1.9/3.9</v>
      </c>
      <c r="AQ334" s="536">
        <f t="shared" si="988"/>
        <v>485.30377585702371</v>
      </c>
      <c r="AR334" s="32"/>
      <c r="AS334" s="302"/>
      <c r="AT334" s="3">
        <f t="shared" si="1056"/>
        <v>34</v>
      </c>
      <c r="AU334" s="41" t="s">
        <v>121</v>
      </c>
      <c r="AV334" s="41" t="s">
        <v>116</v>
      </c>
      <c r="AW334" s="41" t="str">
        <f>INDEX(Input!$1:$1048576,AW$93,$C334*2+6)</f>
        <v>Kia</v>
      </c>
      <c r="AX334" s="41" t="str">
        <f>INDEX(Input!$1:$1048576,AX$93,$C334*2+6)</f>
        <v>Kia-LR - L3</v>
      </c>
      <c r="AY334" s="41" t="str">
        <f>IF(LEN(D334)=0,"",INDEX(Input!$1:$1048576,AY$93,$C334*2+6))</f>
        <v>Compact Conventional/Sporty Car (43)</v>
      </c>
      <c r="AZ334" s="41" t="str">
        <f>INDEX(Input!$1:$1048576,AZ$93,$C334*2+6)</f>
        <v>Kia Forte</v>
      </c>
      <c r="BA334" s="3">
        <f>INDEX(Input!$1:$1048576,BA$93,$C334*2+6)</f>
        <v>2020</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19695</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990"/>
        <v>2250</v>
      </c>
      <c r="CJ334" s="16" t="str">
        <f>INDEX(Input!$1:$1048576,CJ$93,$C334*2+6)</f>
        <v>N</v>
      </c>
      <c r="CK334" s="1" t="str">
        <f t="shared" si="991"/>
        <v>Market</v>
      </c>
      <c r="CL334" s="1" t="str">
        <f t="shared" si="992"/>
        <v>Market</v>
      </c>
      <c r="CM334" s="1" t="str">
        <f t="shared" si="993"/>
        <v>Market</v>
      </c>
      <c r="CN334" s="1" t="str">
        <f t="shared" si="994"/>
        <v>Market</v>
      </c>
      <c r="CO334" s="1" t="str">
        <f t="shared" si="995"/>
        <v>Market</v>
      </c>
      <c r="CP334" s="304">
        <f t="shared" si="996"/>
        <v>1310</v>
      </c>
      <c r="CQ334" s="1">
        <f t="shared" si="997"/>
        <v>0</v>
      </c>
      <c r="CR334" s="1">
        <f t="shared" si="998"/>
        <v>0</v>
      </c>
      <c r="CS334" s="1">
        <f t="shared" si="999"/>
        <v>0</v>
      </c>
      <c r="CT334" s="1">
        <f t="shared" si="1000"/>
        <v>1.9E-2</v>
      </c>
      <c r="CU334" s="1">
        <f t="shared" si="1001"/>
        <v>3.9000000000000007E-2</v>
      </c>
      <c r="CV334" s="304">
        <f t="shared" si="1002"/>
        <v>4593</v>
      </c>
      <c r="CW334" s="20" t="s">
        <v>122</v>
      </c>
      <c r="CX334" s="20" t="s">
        <v>122</v>
      </c>
      <c r="CY334" s="20" t="s">
        <v>122</v>
      </c>
      <c r="CZ334" s="20" t="s">
        <v>122</v>
      </c>
      <c r="DA334" s="20" t="s">
        <v>122</v>
      </c>
      <c r="DB334" s="503">
        <f t="shared" si="1003"/>
        <v>0</v>
      </c>
      <c r="DC334" s="127">
        <v>0</v>
      </c>
      <c r="DD334" s="127">
        <v>0</v>
      </c>
      <c r="DE334" s="127">
        <v>0</v>
      </c>
      <c r="DF334" s="127">
        <v>0</v>
      </c>
      <c r="DG334" s="127">
        <v>0</v>
      </c>
      <c r="DH334" s="127">
        <v>0</v>
      </c>
      <c r="DI334" s="127">
        <v>0</v>
      </c>
      <c r="DJ334" s="127">
        <v>0</v>
      </c>
      <c r="DK334" s="127">
        <v>0</v>
      </c>
      <c r="DL334" s="127">
        <v>0</v>
      </c>
      <c r="DM334" s="304">
        <f>INDEX(Input!$1:$1048576,DM$93,$C334*2+6)</f>
        <v>20731.578947368424</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3.7259386371447135E-2</v>
      </c>
      <c r="DZ334" s="7">
        <v>0</v>
      </c>
      <c r="EA334" s="7">
        <v>0.64797032566868484</v>
      </c>
      <c r="EB334" s="7">
        <v>0</v>
      </c>
      <c r="EC334" s="7">
        <v>0</v>
      </c>
      <c r="ED334" s="7">
        <v>0</v>
      </c>
      <c r="EE334" s="7">
        <v>0</v>
      </c>
      <c r="EF334" s="7">
        <v>0</v>
      </c>
      <c r="EG334" s="7">
        <v>0</v>
      </c>
      <c r="EH334" s="7">
        <v>1.4149694807613815E-2</v>
      </c>
      <c r="EI334" s="7">
        <v>1.7907305906572656E-2</v>
      </c>
      <c r="EJ334" s="7">
        <v>0.2581510901679418</v>
      </c>
      <c r="EK334" s="7">
        <v>0.65901937386380693</v>
      </c>
      <c r="EL334" s="7">
        <v>5.0772535254065027E-2</v>
      </c>
      <c r="EM334" s="7">
        <v>5.2309161412705918E-2</v>
      </c>
      <c r="EN334" s="7">
        <v>5.8903840649550704E-2</v>
      </c>
      <c r="EO334" s="7">
        <v>0.56806449089612476</v>
      </c>
      <c r="EP334" s="7">
        <v>0.27410709591931853</v>
      </c>
      <c r="EQ334" s="7">
        <v>5.8713575146425334E-2</v>
      </c>
      <c r="ER334" s="7">
        <v>4.0210997388580236E-2</v>
      </c>
      <c r="ES334" s="7">
        <v>0.26246112654716203</v>
      </c>
      <c r="ET334" s="7">
        <v>0.31477028795986806</v>
      </c>
      <c r="EU334" s="6">
        <v>2600</v>
      </c>
      <c r="EV334" s="6">
        <v>0</v>
      </c>
      <c r="EW334" s="6">
        <v>2600</v>
      </c>
      <c r="EX334" s="6">
        <v>0</v>
      </c>
      <c r="EY334" s="6">
        <v>3625.0026578148118</v>
      </c>
      <c r="EZ334" s="6">
        <v>3636</v>
      </c>
      <c r="FA334" s="6">
        <v>0</v>
      </c>
      <c r="FB334" s="6">
        <v>0</v>
      </c>
      <c r="FC334" s="6">
        <v>0</v>
      </c>
      <c r="FD334" s="6">
        <v>0</v>
      </c>
      <c r="FE334" s="6">
        <v>0</v>
      </c>
      <c r="FF334" s="6">
        <v>0</v>
      </c>
      <c r="FG334" s="6">
        <v>0</v>
      </c>
      <c r="FH334" s="6">
        <v>1154.3225008871984</v>
      </c>
      <c r="FI334" s="6">
        <v>1531.4299904380621</v>
      </c>
      <c r="FJ334" s="6">
        <v>2070.7205842538219</v>
      </c>
      <c r="FK334" s="6">
        <v>1746.9903521590427</v>
      </c>
      <c r="FL334" s="6">
        <v>893.91433563489363</v>
      </c>
      <c r="FM334" s="6">
        <v>1775.0026578148115</v>
      </c>
      <c r="FN334" s="6">
        <v>0</v>
      </c>
      <c r="FO334" s="6">
        <v>0</v>
      </c>
      <c r="FP334" s="6">
        <v>0</v>
      </c>
      <c r="FQ334" s="6">
        <v>0</v>
      </c>
      <c r="FR334" s="6">
        <v>0</v>
      </c>
      <c r="FS334" s="6">
        <v>0</v>
      </c>
      <c r="FT334" s="7">
        <v>0.68522971204013194</v>
      </c>
      <c r="FU334" s="7">
        <v>5.2309161412705918E-2</v>
      </c>
      <c r="FV334" s="7">
        <v>0.26246112654716203</v>
      </c>
      <c r="FW334" s="6">
        <v>2600</v>
      </c>
      <c r="FX334" s="6">
        <v>3625.0026578148113</v>
      </c>
      <c r="FY334" s="6">
        <v>3636</v>
      </c>
      <c r="FZ334" s="6">
        <v>2202.331475193394</v>
      </c>
      <c r="GA334" s="6">
        <v>2925.5267565789472</v>
      </c>
      <c r="GB334" s="6">
        <v>16769.473243421053</v>
      </c>
      <c r="GC334" s="7">
        <v>4.8391397220736806E-2</v>
      </c>
      <c r="GD334" s="7">
        <v>5.3497128945221996E-2</v>
      </c>
      <c r="GE334" s="7"/>
      <c r="GF334" s="7"/>
      <c r="GG334" s="7">
        <v>0.1055090784255609</v>
      </c>
      <c r="GH334" s="42">
        <v>2.8733612525931127</v>
      </c>
      <c r="GI334" s="6">
        <v>9779.8685078035542</v>
      </c>
      <c r="GJ334" s="14">
        <v>0.5107463060103955</v>
      </c>
      <c r="GK334" s="14">
        <v>0.5082951978616097</v>
      </c>
      <c r="GL334" s="14">
        <v>0.48925369398960433</v>
      </c>
      <c r="GM334" s="14">
        <v>0.49170480213839046</v>
      </c>
      <c r="GO334" s="5">
        <v>338.16872463277008</v>
      </c>
      <c r="GP334" s="5">
        <v>288.56568471597211</v>
      </c>
      <c r="GQ334" s="5">
        <v>527.27910984145694</v>
      </c>
      <c r="GR334" s="5">
        <v>404.20319246551543</v>
      </c>
      <c r="GS334" s="5">
        <v>334.50205195691484</v>
      </c>
      <c r="GT334" s="5">
        <v>289.18266033348181</v>
      </c>
      <c r="GU334" s="5">
        <v>254.29573314828914</v>
      </c>
      <c r="GV334" s="39" t="s">
        <v>392</v>
      </c>
      <c r="GW334" s="5">
        <v>440.98611111111109</v>
      </c>
      <c r="GX334" s="5">
        <v>330.73958333333331</v>
      </c>
      <c r="GY334" s="5">
        <v>264.59166666666664</v>
      </c>
      <c r="GZ334" s="5">
        <v>233.47422424633754</v>
      </c>
      <c r="HA334" s="5">
        <v>216.26912746293831</v>
      </c>
      <c r="HB334" s="39">
        <v>245.31166995477105</v>
      </c>
      <c r="HC334" s="5">
        <v>124.04062499999996</v>
      </c>
      <c r="HD334" s="5">
        <v>127.75060307017539</v>
      </c>
      <c r="HE334" s="5">
        <v>136.66051366396758</v>
      </c>
      <c r="HF334" s="5">
        <v>133.62067434210525</v>
      </c>
      <c r="HG334" s="5">
        <v>137.88493421052632</v>
      </c>
      <c r="HH334" s="39">
        <v>130.72650526464054</v>
      </c>
      <c r="HI334" s="16"/>
      <c r="HJ334" s="19" t="str">
        <f t="shared" si="1105"/>
        <v>On</v>
      </c>
      <c r="HK334" s="1" t="str">
        <f t="shared" si="1105"/>
        <v>On</v>
      </c>
      <c r="HL334" s="16"/>
      <c r="HM334" s="639">
        <f t="shared" si="1004"/>
        <v>2.8970655363290673E-2</v>
      </c>
      <c r="HN334" s="639">
        <f t="shared" si="1005"/>
        <v>2.1835179285533651E-3</v>
      </c>
      <c r="HO334" s="639">
        <f t="shared" si="1006"/>
        <v>1.5544129749146325E-2</v>
      </c>
      <c r="HP334" s="644">
        <f>(FT334*$GD334-HM334)/$JF334*INDEX(Input!$1:$1048576,$JG$93,$C334*2+6)</f>
        <v>317.04542741364509</v>
      </c>
      <c r="HQ334" s="644">
        <f>(FU334*$GD334-HN334)/$JF334*INDEX(Input!$1:$1048576,$JG$93,$C334*2+6)</f>
        <v>25.35945510183441</v>
      </c>
      <c r="HR334" s="644">
        <f>(FV334*$GD334-HO334)/$JF334*INDEX(Input!$1:$1048576,$JG$93,$C334*2+6)</f>
        <v>-61.997719110502487</v>
      </c>
      <c r="HS334" s="644">
        <f t="shared" si="1111"/>
        <v>-98.279413112729728</v>
      </c>
      <c r="HT334" s="644">
        <f t="shared" si="1008"/>
        <v>186.13814615986146</v>
      </c>
      <c r="HU334" s="644">
        <f t="shared" si="1009"/>
        <v>35.629643092828822</v>
      </c>
      <c r="HV334" s="648">
        <f t="shared" si="1010"/>
        <v>0</v>
      </c>
      <c r="HW334" s="648">
        <f t="shared" si="1011"/>
        <v>0</v>
      </c>
      <c r="HX334" s="648">
        <f t="shared" si="1012"/>
        <v>0</v>
      </c>
      <c r="HY334" s="644">
        <f>INDEX(Input!$1:$1048576,HY$93,$C334*2+6)*INDEX(Input!$1:$1048576,$JG$93,$C334*2+6)</f>
        <v>488.99999999999994</v>
      </c>
      <c r="HZ334" s="644">
        <f>INDEX(Input!$1:$1048576,HZ$93,$C334*2+6)*INDEX(Input!$1:$1048576,$JG$93,$C334*2+6)</f>
        <v>734</v>
      </c>
      <c r="IA334" s="644">
        <f>INDEX(Input!$1:$1048576,IA$93,$C334*2+6)*INDEX(Input!$1:$1048576,$JG$93,$C334*2+6)</f>
        <v>703</v>
      </c>
      <c r="IB334" s="644">
        <f t="shared" si="1036"/>
        <v>707.76601430091534</v>
      </c>
      <c r="IC334" s="644">
        <f t="shared" si="1037"/>
        <v>945.49760126169588</v>
      </c>
      <c r="ID334" s="644">
        <f>IF(AND(INDEX(Input!$1:$1048576,IA$93,$C334*2+7)="TOS",Y334&lt;=INDEX(Y:Y,MATCH(C334*1000+2,A:A))),0,1)*MAX(IA334+HR334+HU334+HX334,0%)</f>
        <v>676.63192398232638</v>
      </c>
      <c r="IE334" s="128">
        <f t="shared" si="1112"/>
        <v>0.30377585702368115</v>
      </c>
      <c r="IF334" s="128">
        <f t="shared" si="1108"/>
        <v>0.40581115557067649</v>
      </c>
      <c r="IG334" s="128">
        <f t="shared" si="1014"/>
        <v>0.29041298740564242</v>
      </c>
      <c r="IH334" s="21"/>
      <c r="II334" s="19">
        <f t="shared" si="1015"/>
        <v>1200</v>
      </c>
      <c r="IJ334" s="19">
        <f t="shared" si="1016"/>
        <v>2224.493581030405</v>
      </c>
      <c r="IK334" s="19">
        <f t="shared" si="1017"/>
        <v>3451.75</v>
      </c>
      <c r="IL334" s="19">
        <f t="shared" si="1039"/>
        <v>1400</v>
      </c>
      <c r="IM334" s="19">
        <f t="shared" si="1018"/>
        <v>1400.5090767844063</v>
      </c>
      <c r="IN334" s="19">
        <f t="shared" si="1019"/>
        <v>184.25</v>
      </c>
      <c r="IO334" s="39">
        <f t="shared" si="1020"/>
        <v>0</v>
      </c>
      <c r="IP334" s="39">
        <f t="shared" si="1021"/>
        <v>0</v>
      </c>
      <c r="IQ334" s="39">
        <f t="shared" si="1022"/>
        <v>0</v>
      </c>
      <c r="IR334" s="39">
        <v>0</v>
      </c>
      <c r="IS334" s="39">
        <v>0</v>
      </c>
      <c r="IT334" s="39">
        <v>0</v>
      </c>
      <c r="IU334" s="39">
        <v>0</v>
      </c>
      <c r="IV334" s="39">
        <v>0</v>
      </c>
      <c r="IW334" s="39">
        <v>0</v>
      </c>
      <c r="IX334" s="39">
        <f>INDEX(Input!$1:$1048576,IX$93,$C334*2+6)+INDEX(Input!$1:$1048576,IX$94,$C334*2+6)</f>
        <v>1600</v>
      </c>
      <c r="IY334" s="39">
        <f>INDEX(Input!$1:$1048576,IY$93,$C334*2+6)+INDEX(Input!$1:$1048576,IY$94,$C334*2+6)</f>
        <v>2503.5492916397525</v>
      </c>
      <c r="IZ334" s="39">
        <f>INDEX(Input!$1:$1048576,IZ$93,$C334*2+6)+INDEX(Input!$1:$1048576,IZ$94,$C334*2+6)</f>
        <v>5773.7109265464023</v>
      </c>
      <c r="JA334" s="19">
        <f t="shared" si="1040"/>
        <v>3000</v>
      </c>
      <c r="JB334" s="19">
        <f t="shared" si="1041"/>
        <v>3904.0583684241587</v>
      </c>
      <c r="JC334" s="19">
        <f t="shared" si="1042"/>
        <v>5957.9609265464023</v>
      </c>
      <c r="JD334" s="19">
        <f t="shared" si="1043"/>
        <v>4225.9072405010511</v>
      </c>
      <c r="JE334" s="21"/>
      <c r="JF334" s="1">
        <f t="shared" si="1023"/>
        <v>4.6698303040990354E-2</v>
      </c>
      <c r="JG334" s="15">
        <f>INDEX(Input!$1:$1048576,JG$93,$C334*2+6)/(1+VLOOKUP(C334*1000+INDEX(Input!$1:$1048576,JG$93+1,$C334*2+6),$A:$KK,$JK$92,FALSE))</f>
        <v>1926</v>
      </c>
      <c r="JH334" s="1">
        <f t="shared" si="1044"/>
        <v>0.14559042752075649</v>
      </c>
      <c r="JI334" s="1">
        <f t="shared" si="1045"/>
        <v>6.4116498515036632E-2</v>
      </c>
      <c r="JJ334" s="1">
        <f t="shared" si="1109"/>
        <v>0</v>
      </c>
      <c r="JK334" s="1">
        <f t="shared" si="1110"/>
        <v>0.20970692603579311</v>
      </c>
      <c r="JL334" s="15">
        <f t="shared" si="1048"/>
        <v>403.89553954493755</v>
      </c>
      <c r="JM334" s="15">
        <f t="shared" si="1074"/>
        <v>2329.8955395449375</v>
      </c>
      <c r="JN334" s="21"/>
      <c r="JO334" s="19">
        <f>INDEX(Input!$1:$1048576,JO$93,$C334*2+6)</f>
        <v>5908.5</v>
      </c>
      <c r="JP334" s="19">
        <f>INDEX(Input!$1:$1048576,JP$93,$C334*2+6)</f>
        <v>3467.7694503767912</v>
      </c>
      <c r="JQ334" s="39">
        <f t="shared" si="1060"/>
        <v>1682.5927594989489</v>
      </c>
      <c r="JR334" s="39">
        <f t="shared" si="1077"/>
        <v>758.13779012425994</v>
      </c>
      <c r="JS334" s="39">
        <f t="shared" si="1062"/>
        <v>9.8459224301740544</v>
      </c>
      <c r="JT334" s="39">
        <f t="shared" si="1050"/>
        <v>3.1669984687483543</v>
      </c>
      <c r="JU334" s="385">
        <f>(JQ334*JM334-INDEX(Input!$1:$1048576,Input!A$18,$C334*2+6)*JL334*INDEX(Input!$1:$1048576,Input!A$19,$C334*2+6))/1000000</f>
        <v>3.920265365227209</v>
      </c>
      <c r="JV334" s="39">
        <f t="shared" si="1084"/>
        <v>-0.78058167334709072</v>
      </c>
      <c r="JW334" s="1">
        <f t="shared" si="1075"/>
        <v>-0.16605128117162266</v>
      </c>
      <c r="JX334" s="19">
        <f t="shared" si="1066"/>
        <v>7841.1325668923182</v>
      </c>
      <c r="JZ334" s="341"/>
      <c r="KA334" s="342"/>
      <c r="KB334" s="469">
        <f t="shared" si="1063"/>
        <v>2.7822247002359868</v>
      </c>
      <c r="KI334" s="473">
        <f t="shared" si="1113"/>
        <v>218.7660143009154</v>
      </c>
      <c r="KJ334" s="473">
        <f t="shared" si="1114"/>
        <v>211.49760126169588</v>
      </c>
      <c r="KK334" s="473">
        <f t="shared" si="1052"/>
        <v>-26.368076017673616</v>
      </c>
      <c r="KN334" s="544">
        <f t="shared" si="1067"/>
        <v>3002</v>
      </c>
      <c r="KO334" s="541">
        <f t="shared" si="1027"/>
        <v>0.13097657418552133</v>
      </c>
      <c r="KP334" s="546">
        <f t="shared" si="1028"/>
        <v>709.75320977922331</v>
      </c>
      <c r="KQ334" s="546">
        <f t="shared" si="1029"/>
        <v>504.82602217567819</v>
      </c>
      <c r="KR334" s="548">
        <f t="shared" si="1030"/>
        <v>2.9477980930756265</v>
      </c>
      <c r="KS334" s="548">
        <f t="shared" si="1031"/>
        <v>4.144416227445217</v>
      </c>
      <c r="KT334" s="473">
        <f t="shared" si="1065"/>
        <v>527.01264777847621</v>
      </c>
      <c r="KU334" s="663">
        <f t="shared" si="1053"/>
        <v>15.943491365707825</v>
      </c>
      <c r="KV334" s="117"/>
    </row>
    <row r="335" spans="1:308" s="26" customFormat="1" ht="15">
      <c r="A335" s="561">
        <f t="shared" si="1032"/>
        <v>3035</v>
      </c>
      <c r="B335" s="561">
        <f t="shared" si="1054"/>
        <v>35</v>
      </c>
      <c r="C335" s="561">
        <f t="shared" si="1055"/>
        <v>3</v>
      </c>
      <c r="D335" s="561" t="str">
        <f t="shared" si="1104"/>
        <v xml:space="preserve">250 CC, 0/0/0.9/3.9, </v>
      </c>
      <c r="E335" s="475">
        <f>INDEX(Input!$1:$1048576,E$93,$C335*2+MIN($B335,2)+5)
+INDEX(Scenarios!E$121:E$200,MATCH($B335,Scenarios!$B$121:$B$200,0))</f>
        <v>1500</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8.9999999999999993E-3</v>
      </c>
      <c r="W335" s="863">
        <f>IFERROR(MAX(0,INDEX(Input!$1:$1048576,W$93,$C335*2+MIN($B335,2)+5)-0%,),"Market")</f>
        <v>3.9000000000000007E-2</v>
      </c>
      <c r="X335" s="476" t="str">
        <f>INDEX(Input!$1:$1048576,X$93,$C335*2+MIN($B335,2)+5)</f>
        <v>Y</v>
      </c>
      <c r="Y335" s="475">
        <f>INDEX(Input!$1:$1048576,Y$93,$C335*2+MIN($B335,2)+5)
++INDEX(Scenarios!Y$121:Y$200,MATCH($B335,Scenarios!$B$121:$B$200,0))</f>
        <v>4108</v>
      </c>
      <c r="Z335" s="477">
        <f>INDEX(Input!$1:$1048576,Z$93,$C335*2+MIN($B335,2)+5)
+INDEX(Scenarios!Z$121:Z$200,MATCH($B335,Scenarios!$B$121:$B$200,0))</f>
        <v>0</v>
      </c>
      <c r="AA335" s="475">
        <f>INDEX(Input!$1:$1048576,AA$93,$C335*2+MIN($B335,2)+5)</f>
        <v>500</v>
      </c>
      <c r="AB335" s="476">
        <f>INDEX(Input!$1:$1048576,AB$93,$C335*2+MIN($B335,2)+5)</f>
        <v>0.62</v>
      </c>
      <c r="AC335" s="475">
        <f>INDEX(Input!$1:$1048576,AC$93,$C335*2+MIN($B335,2)+5)
+INDEX(Scenarios!AC$121:AC$200,MATCH($B335,Scenarios!$B$121:$B$200,0))</f>
        <v>0</v>
      </c>
      <c r="AD335" s="476">
        <f>INDEX(Input!$1:$1048576,AD$93,$C335*2+MIN($B335,2)+5)</f>
        <v>0.35</v>
      </c>
      <c r="AE335" s="475">
        <f>INDEX(Input!$1:$1048576,AE$93,$C335*2+MIN($B335,2)+5)
+INDEX(Scenarios!AE$121:AE$200,MATCH($B335,Scenarios!$B$121:$B$200,0))</f>
        <v>500</v>
      </c>
      <c r="AF335" s="476">
        <f>INDEX(Input!$1:$1048576,AF$93,$C335*2+MIN($B335,2)+5)</f>
        <v>0.97</v>
      </c>
      <c r="AG335" s="475">
        <f>INDEX(Input!$1:$1048576,AG$93,$C335*2+MIN($B335,2)+5)
+INDEX(Scenarios!AG$121:AG$200,MATCH($B335,Scenarios!$B$121:$B$200,0))</f>
        <v>0</v>
      </c>
      <c r="AH335" s="476">
        <f>INDEX(Input!$1:$1048576,AH$93,$C335*2+MIN($B335,2)+5)</f>
        <v>1</v>
      </c>
      <c r="AI335" s="475">
        <f>INDEX(Input!$1:$1048576,AI$93,$C335*2+MIN($B335,2)+5)
+INDEX(Scenarios!AI$121:AI$200,MATCH($B335,Scenarios!$B$121:$B$200,0))</f>
        <v>0</v>
      </c>
      <c r="AJ335" s="476">
        <f>INDEX(Input!$1:$1048576,AJ$93,$C335*2+MIN($B335,2)+5)</f>
        <v>0.35</v>
      </c>
      <c r="AK335" s="150">
        <f>ROUND(INDEX(Input!$1:$1048576,AK$93,$C334*2+MIN($B335,1)+5)+(Y335-VLOOKUP($C335*1000+1,$A:$HH,Y$92,FALSE)),0)</f>
        <v>4982</v>
      </c>
      <c r="AL335" s="150">
        <f>ROUND(INDEX(Input!$1:$1048576,AL$93,$C334*2+MIN($B335,1)+5)-(Y335-VLOOKUP($C335*1000+1,$A:$HH,Y$92,FALSE))/36,0)</f>
        <v>5102</v>
      </c>
      <c r="AM335" s="32" t="str">
        <f t="shared" si="1033"/>
        <v>std/std/std/std</v>
      </c>
      <c r="AN335" s="32" t="str">
        <f t="shared" si="1034"/>
        <v>$0 + 0/0/0/0.9/3.9</v>
      </c>
      <c r="AO335" s="32" t="str">
        <f t="shared" si="1035"/>
        <v>0/0/0/0.9/3.9</v>
      </c>
      <c r="AP335" s="32" t="str">
        <f t="shared" si="989"/>
        <v>0/0/0.9/3.9</v>
      </c>
      <c r="AQ335" s="536">
        <f t="shared" si="988"/>
        <v>485.26361287904672</v>
      </c>
      <c r="AR335" s="32"/>
      <c r="AS335" s="302"/>
      <c r="AT335" s="3">
        <f t="shared" si="1056"/>
        <v>35</v>
      </c>
      <c r="AU335" s="41" t="s">
        <v>121</v>
      </c>
      <c r="AV335" s="41" t="s">
        <v>116</v>
      </c>
      <c r="AW335" s="41" t="str">
        <f>INDEX(Input!$1:$1048576,AW$93,$C335*2+6)</f>
        <v>Kia</v>
      </c>
      <c r="AX335" s="41" t="str">
        <f>INDEX(Input!$1:$1048576,AX$93,$C335*2+6)</f>
        <v>Kia-LR - L3</v>
      </c>
      <c r="AY335" s="41" t="str">
        <f>IF(LEN(D335)=0,"",INDEX(Input!$1:$1048576,AY$93,$C335*2+6))</f>
        <v>Compact Conventional/Sporty Car (43)</v>
      </c>
      <c r="AZ335" s="41" t="str">
        <f>INDEX(Input!$1:$1048576,AZ$93,$C335*2+6)</f>
        <v>Kia Forte</v>
      </c>
      <c r="BA335" s="3">
        <f>INDEX(Input!$1:$1048576,BA$93,$C335*2+6)</f>
        <v>2020</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19695</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990"/>
        <v>1500</v>
      </c>
      <c r="CJ335" s="16" t="str">
        <f>INDEX(Input!$1:$1048576,CJ$93,$C335*2+6)</f>
        <v>N</v>
      </c>
      <c r="CK335" s="1" t="str">
        <f t="shared" si="991"/>
        <v>Market</v>
      </c>
      <c r="CL335" s="1" t="str">
        <f t="shared" si="992"/>
        <v>Market</v>
      </c>
      <c r="CM335" s="1" t="str">
        <f t="shared" si="993"/>
        <v>Market</v>
      </c>
      <c r="CN335" s="1" t="str">
        <f t="shared" si="994"/>
        <v>Market</v>
      </c>
      <c r="CO335" s="1" t="str">
        <f t="shared" si="995"/>
        <v>Market</v>
      </c>
      <c r="CP335" s="304">
        <f t="shared" si="996"/>
        <v>310</v>
      </c>
      <c r="CQ335" s="1">
        <f t="shared" si="997"/>
        <v>0</v>
      </c>
      <c r="CR335" s="1">
        <f t="shared" si="998"/>
        <v>0</v>
      </c>
      <c r="CS335" s="1">
        <f t="shared" si="999"/>
        <v>0</v>
      </c>
      <c r="CT335" s="1">
        <f t="shared" si="1000"/>
        <v>8.9999999999999993E-3</v>
      </c>
      <c r="CU335" s="1">
        <f t="shared" si="1001"/>
        <v>3.9000000000000007E-2</v>
      </c>
      <c r="CV335" s="304">
        <f t="shared" si="1002"/>
        <v>4593</v>
      </c>
      <c r="CW335" s="20" t="s">
        <v>122</v>
      </c>
      <c r="CX335" s="20" t="s">
        <v>122</v>
      </c>
      <c r="CY335" s="20" t="s">
        <v>122</v>
      </c>
      <c r="CZ335" s="20" t="s">
        <v>122</v>
      </c>
      <c r="DA335" s="20" t="s">
        <v>122</v>
      </c>
      <c r="DB335" s="503">
        <f t="shared" si="1003"/>
        <v>0</v>
      </c>
      <c r="DC335" s="127">
        <v>0</v>
      </c>
      <c r="DD335" s="127">
        <v>0</v>
      </c>
      <c r="DE335" s="127">
        <v>0</v>
      </c>
      <c r="DF335" s="127">
        <v>0</v>
      </c>
      <c r="DG335" s="127">
        <v>0</v>
      </c>
      <c r="DH335" s="127">
        <v>0</v>
      </c>
      <c r="DI335" s="127">
        <v>0</v>
      </c>
      <c r="DJ335" s="127">
        <v>0</v>
      </c>
      <c r="DK335" s="127">
        <v>0</v>
      </c>
      <c r="DL335" s="127">
        <v>0</v>
      </c>
      <c r="DM335" s="304">
        <f>INDEX(Input!$1:$1048576,DM$93,$C335*2+6)</f>
        <v>20731.578947368424</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3.4183282454758081E-2</v>
      </c>
      <c r="DZ335" s="7">
        <v>0</v>
      </c>
      <c r="EA335" s="7">
        <v>0.60255929460077773</v>
      </c>
      <c r="EB335" s="7">
        <v>0</v>
      </c>
      <c r="EC335" s="7">
        <v>0</v>
      </c>
      <c r="ED335" s="7">
        <v>0</v>
      </c>
      <c r="EE335" s="7">
        <v>0</v>
      </c>
      <c r="EF335" s="7">
        <v>0</v>
      </c>
      <c r="EG335" s="7">
        <v>0</v>
      </c>
      <c r="EH335" s="7">
        <v>1.0147690821719565E-2</v>
      </c>
      <c r="EI335" s="7">
        <v>1.2860877979167866E-2</v>
      </c>
      <c r="EJ335" s="7">
        <v>0.18492598549622394</v>
      </c>
      <c r="EK335" s="7">
        <v>0.75549447837921779</v>
      </c>
      <c r="EL335" s="7">
        <v>3.6570967323670718E-2</v>
      </c>
      <c r="EM335" s="7">
        <v>6.2310060653013921E-2</v>
      </c>
      <c r="EN335" s="7">
        <v>5.8903840649550746E-2</v>
      </c>
      <c r="EO335" s="7">
        <v>0.5680644908961251</v>
      </c>
      <c r="EP335" s="7">
        <v>0.2741070959193187</v>
      </c>
      <c r="EQ335" s="7">
        <v>5.8713575146425355E-2</v>
      </c>
      <c r="ER335" s="7">
        <v>4.0210997388580236E-2</v>
      </c>
      <c r="ES335" s="7">
        <v>0.3009473622914503</v>
      </c>
      <c r="ET335" s="7">
        <v>0.36325742294446423</v>
      </c>
      <c r="EU335" s="6">
        <v>1850</v>
      </c>
      <c r="EV335" s="6">
        <v>0</v>
      </c>
      <c r="EW335" s="6">
        <v>1850</v>
      </c>
      <c r="EX335" s="6">
        <v>0</v>
      </c>
      <c r="EY335" s="6">
        <v>2973.2004346252288</v>
      </c>
      <c r="EZ335" s="6">
        <v>3636</v>
      </c>
      <c r="FA335" s="6">
        <v>0</v>
      </c>
      <c r="FB335" s="6">
        <v>0</v>
      </c>
      <c r="FC335" s="6">
        <v>0</v>
      </c>
      <c r="FD335" s="6">
        <v>0</v>
      </c>
      <c r="FE335" s="6">
        <v>0</v>
      </c>
      <c r="FF335" s="6">
        <v>0</v>
      </c>
      <c r="FG335" s="6">
        <v>0</v>
      </c>
      <c r="FH335" s="6">
        <v>1154.326680300205</v>
      </c>
      <c r="FI335" s="6">
        <v>1531.4299904380618</v>
      </c>
      <c r="FJ335" s="6">
        <v>2070.7205842538224</v>
      </c>
      <c r="FK335" s="6">
        <v>2218.6393698501024</v>
      </c>
      <c r="FL335" s="6">
        <v>893.91433563489363</v>
      </c>
      <c r="FM335" s="6">
        <v>2123.2004346252288</v>
      </c>
      <c r="FN335" s="6">
        <v>0</v>
      </c>
      <c r="FO335" s="6">
        <v>0</v>
      </c>
      <c r="FP335" s="6">
        <v>0</v>
      </c>
      <c r="FQ335" s="6">
        <v>0</v>
      </c>
      <c r="FR335" s="6">
        <v>0</v>
      </c>
      <c r="FS335" s="6">
        <v>0</v>
      </c>
      <c r="FT335" s="7">
        <v>0.63674257705553583</v>
      </c>
      <c r="FU335" s="7">
        <v>6.2310060653013921E-2</v>
      </c>
      <c r="FV335" s="7">
        <v>0.3009473622914503</v>
      </c>
      <c r="FW335" s="6">
        <v>1850</v>
      </c>
      <c r="FX335" s="6">
        <v>2973.2004346252288</v>
      </c>
      <c r="FY335" s="6">
        <v>3636</v>
      </c>
      <c r="FZ335" s="6">
        <v>2202.331475193394</v>
      </c>
      <c r="GA335" s="6">
        <v>2457.4786762595199</v>
      </c>
      <c r="GB335" s="6">
        <v>17237.521323740479</v>
      </c>
      <c r="GC335" s="7">
        <v>4.8391397220736806E-2</v>
      </c>
      <c r="GD335" s="7">
        <v>5.0223446445808353E-2</v>
      </c>
      <c r="GE335" s="7"/>
      <c r="GF335" s="7"/>
      <c r="GG335" s="7">
        <v>3.7858985900214359E-2</v>
      </c>
      <c r="GH335" s="42">
        <v>2.9223629504423911</v>
      </c>
      <c r="GI335" s="6">
        <v>9196.887960454882</v>
      </c>
      <c r="GJ335" s="14">
        <v>0.51074630601039561</v>
      </c>
      <c r="GK335" s="14">
        <v>0.50829519786160959</v>
      </c>
      <c r="GL335" s="14">
        <v>0.48925369398960439</v>
      </c>
      <c r="GM335" s="14">
        <v>0.4917048021383903</v>
      </c>
      <c r="GO335" s="5">
        <v>338.16872463277008</v>
      </c>
      <c r="GP335" s="5">
        <v>302.87425392274076</v>
      </c>
      <c r="GQ335" s="5">
        <v>527.27910984145694</v>
      </c>
      <c r="GR335" s="5">
        <v>404.20319246551543</v>
      </c>
      <c r="GS335" s="5">
        <v>334.50205195691484</v>
      </c>
      <c r="GT335" s="5">
        <v>289.18266033348181</v>
      </c>
      <c r="GU335" s="5">
        <v>254.29573314828914</v>
      </c>
      <c r="GV335" s="39" t="s">
        <v>392</v>
      </c>
      <c r="GW335" s="5">
        <v>468.76388888888891</v>
      </c>
      <c r="GX335" s="5">
        <v>351.57291666666669</v>
      </c>
      <c r="GY335" s="5">
        <v>281.25833333333333</v>
      </c>
      <c r="GZ335" s="5">
        <v>240.8550698915011</v>
      </c>
      <c r="HA335" s="5">
        <v>229.8919505212948</v>
      </c>
      <c r="HB335" s="39">
        <v>251.66242826871249</v>
      </c>
      <c r="HC335" s="5">
        <v>124.04062499999996</v>
      </c>
      <c r="HD335" s="5">
        <v>127.75060307017539</v>
      </c>
      <c r="HE335" s="5">
        <v>136.66051366396758</v>
      </c>
      <c r="HF335" s="5">
        <v>133.62067434210525</v>
      </c>
      <c r="HG335" s="5">
        <v>137.88493421052632</v>
      </c>
      <c r="HH335" s="39">
        <v>130.72650526464059</v>
      </c>
      <c r="HI335" s="16"/>
      <c r="HJ335" s="19" t="str">
        <f t="shared" ref="HJ335:HK350" si="1115">HJ334</f>
        <v>On</v>
      </c>
      <c r="HK335" s="1" t="str">
        <f t="shared" si="1115"/>
        <v>On</v>
      </c>
      <c r="HL335" s="16"/>
      <c r="HM335" s="639">
        <f t="shared" si="1004"/>
        <v>2.8970655363290673E-2</v>
      </c>
      <c r="HN335" s="639">
        <f t="shared" si="1005"/>
        <v>2.1835179285533651E-3</v>
      </c>
      <c r="HO335" s="639">
        <f t="shared" si="1006"/>
        <v>1.5544129749146325E-2</v>
      </c>
      <c r="HP335" s="644">
        <f>(FT335*$GD335-HM335)/$JF335*INDEX(Input!$1:$1048576,$JG$93,$C335*2+6)</f>
        <v>124.09134235723575</v>
      </c>
      <c r="HQ335" s="644">
        <f>(FU335*$GD335-HN335)/$JF335*INDEX(Input!$1:$1048576,$JG$93,$C335*2+6)</f>
        <v>39.012529704058508</v>
      </c>
      <c r="HR335" s="644">
        <f>(FV335*$GD335-HO335)/$JF335*INDEX(Input!$1:$1048576,$JG$93,$C335*2+6)</f>
        <v>-17.714730367646421</v>
      </c>
      <c r="HS335" s="644">
        <f t="shared" si="1111"/>
        <v>-45.731192983188571</v>
      </c>
      <c r="HT335" s="644">
        <f t="shared" si="1008"/>
        <v>100.69879844188192</v>
      </c>
      <c r="HU335" s="644">
        <f t="shared" si="1009"/>
        <v>25.890712933060499</v>
      </c>
      <c r="HV335" s="648">
        <f t="shared" si="1010"/>
        <v>0</v>
      </c>
      <c r="HW335" s="648">
        <f t="shared" si="1011"/>
        <v>0</v>
      </c>
      <c r="HX335" s="648">
        <f t="shared" si="1012"/>
        <v>0</v>
      </c>
      <c r="HY335" s="644">
        <f>INDEX(Input!$1:$1048576,HY$93,$C335*2+6)*INDEX(Input!$1:$1048576,$JG$93,$C335*2+6)</f>
        <v>488.99999999999994</v>
      </c>
      <c r="HZ335" s="644">
        <f>INDEX(Input!$1:$1048576,HZ$93,$C335*2+6)*INDEX(Input!$1:$1048576,$JG$93,$C335*2+6)</f>
        <v>734</v>
      </c>
      <c r="IA335" s="644">
        <f>INDEX(Input!$1:$1048576,IA$93,$C335*2+6)*INDEX(Input!$1:$1048576,$JG$93,$C335*2+6)</f>
        <v>703</v>
      </c>
      <c r="IB335" s="644">
        <f t="shared" si="1036"/>
        <v>567.36014937404718</v>
      </c>
      <c r="IC335" s="644">
        <f t="shared" si="1037"/>
        <v>873.71132814594034</v>
      </c>
      <c r="ID335" s="644">
        <f>IF(AND(INDEX(Input!$1:$1048576,IA$93,$C335*2+7)="TOS",Y335&lt;=INDEX(Y:Y,MATCH(C335*1000+2,A:A))),0,1)*MAX(IA335+HR335+HU335+HX335,0%)</f>
        <v>711.17598256541407</v>
      </c>
      <c r="IE335" s="128">
        <f t="shared" si="1112"/>
        <v>0.26361287904669395</v>
      </c>
      <c r="IF335" s="128">
        <f t="shared" si="1108"/>
        <v>0.40595300696104497</v>
      </c>
      <c r="IG335" s="128">
        <f t="shared" si="1014"/>
        <v>0.33043411399226114</v>
      </c>
      <c r="IH335" s="21"/>
      <c r="II335" s="19">
        <f t="shared" si="1015"/>
        <v>1200</v>
      </c>
      <c r="IJ335" s="19">
        <f t="shared" si="1016"/>
        <v>2224.493581030405</v>
      </c>
      <c r="IK335" s="19">
        <f t="shared" si="1017"/>
        <v>3451.75</v>
      </c>
      <c r="IL335" s="19">
        <f t="shared" si="1039"/>
        <v>650</v>
      </c>
      <c r="IM335" s="19">
        <f t="shared" si="1018"/>
        <v>748.70685359482377</v>
      </c>
      <c r="IN335" s="19">
        <f t="shared" si="1019"/>
        <v>184.25</v>
      </c>
      <c r="IO335" s="39">
        <f t="shared" si="1020"/>
        <v>0</v>
      </c>
      <c r="IP335" s="39">
        <f t="shared" si="1021"/>
        <v>0</v>
      </c>
      <c r="IQ335" s="39">
        <f t="shared" si="1022"/>
        <v>0</v>
      </c>
      <c r="IR335" s="39">
        <v>0</v>
      </c>
      <c r="IS335" s="39">
        <v>0</v>
      </c>
      <c r="IT335" s="39">
        <v>0</v>
      </c>
      <c r="IU335" s="39">
        <v>0</v>
      </c>
      <c r="IV335" s="39">
        <v>0</v>
      </c>
      <c r="IW335" s="39">
        <v>0</v>
      </c>
      <c r="IX335" s="39">
        <f>INDEX(Input!$1:$1048576,IX$93,$C335*2+6)+INDEX(Input!$1:$1048576,IX$94,$C335*2+6)</f>
        <v>1600</v>
      </c>
      <c r="IY335" s="39">
        <f>INDEX(Input!$1:$1048576,IY$93,$C335*2+6)+INDEX(Input!$1:$1048576,IY$94,$C335*2+6)</f>
        <v>2503.5492916397525</v>
      </c>
      <c r="IZ335" s="39">
        <f>INDEX(Input!$1:$1048576,IZ$93,$C335*2+6)+INDEX(Input!$1:$1048576,IZ$94,$C335*2+6)</f>
        <v>5773.7109265464023</v>
      </c>
      <c r="JA335" s="19">
        <f t="shared" si="1040"/>
        <v>2250</v>
      </c>
      <c r="JB335" s="19">
        <f t="shared" si="1041"/>
        <v>3252.2561452345763</v>
      </c>
      <c r="JC335" s="19">
        <f t="shared" si="1042"/>
        <v>5957.9609265464023</v>
      </c>
      <c r="JD335" s="19">
        <f t="shared" si="1043"/>
        <v>3882.1056793844464</v>
      </c>
      <c r="JE335" s="21"/>
      <c r="JF335" s="1">
        <f t="shared" si="1023"/>
        <v>4.6698303040990354E-2</v>
      </c>
      <c r="JG335" s="15">
        <f>INDEX(Input!$1:$1048576,JG$93,$C335*2+6)/(1+VLOOKUP(C335*1000+INDEX(Input!$1:$1048576,JG$93+1,$C335*2+6),$A:$KK,$JK$92,FALSE))</f>
        <v>1926</v>
      </c>
      <c r="JH335" s="1">
        <f t="shared" si="1044"/>
        <v>7.5487612509682167E-2</v>
      </c>
      <c r="JI335" s="1">
        <f t="shared" si="1045"/>
        <v>4.1982512145251213E-2</v>
      </c>
      <c r="JJ335" s="1">
        <f t="shared" si="1109"/>
        <v>0</v>
      </c>
      <c r="JK335" s="1">
        <f t="shared" si="1110"/>
        <v>0.11747012465493338</v>
      </c>
      <c r="JL335" s="15">
        <f t="shared" si="1048"/>
        <v>226.24746008540168</v>
      </c>
      <c r="JM335" s="15">
        <f t="shared" si="1074"/>
        <v>2152.2474600854016</v>
      </c>
      <c r="JN335" s="21"/>
      <c r="JO335" s="19">
        <f>INDEX(Input!$1:$1048576,JO$93,$C335*2+6)</f>
        <v>5908.5</v>
      </c>
      <c r="JP335" s="19">
        <f>INDEX(Input!$1:$1048576,JP$93,$C335*2+6)</f>
        <v>3467.7694503767912</v>
      </c>
      <c r="JQ335" s="39">
        <f t="shared" si="1060"/>
        <v>2026.3943206155536</v>
      </c>
      <c r="JR335" s="39">
        <f t="shared" si="1077"/>
        <v>414.33622900765522</v>
      </c>
      <c r="JS335" s="39">
        <f t="shared" si="1062"/>
        <v>8.3552520882382861</v>
      </c>
      <c r="JT335" s="39">
        <f t="shared" si="1050"/>
        <v>1.6763281268125865</v>
      </c>
      <c r="JU335" s="385">
        <f>(JQ335*JM335-INDEX(Input!$1:$1048576,Input!A$18,$C335*2+6)*JL335*INDEX(Input!$1:$1048576,Input!A$19,$C335*2+6))/1000000</f>
        <v>4.3613020296763079</v>
      </c>
      <c r="JV335" s="39">
        <f t="shared" si="1084"/>
        <v>-0.33954500889799188</v>
      </c>
      <c r="JW335" s="1">
        <f t="shared" si="1075"/>
        <v>-7.2230601445175097E-2</v>
      </c>
      <c r="JX335" s="19">
        <f t="shared" si="1066"/>
        <v>7409.2682683811017</v>
      </c>
      <c r="JZ335" s="341"/>
      <c r="KA335" s="342"/>
      <c r="KB335" s="469">
        <f t="shared" si="1063"/>
        <v>2.7822247002359868</v>
      </c>
      <c r="KI335" s="473">
        <f t="shared" si="1113"/>
        <v>78.360149374047239</v>
      </c>
      <c r="KJ335" s="473">
        <f t="shared" si="1114"/>
        <v>139.71132814594034</v>
      </c>
      <c r="KK335" s="473">
        <f t="shared" si="1052"/>
        <v>8.1759825654140741</v>
      </c>
      <c r="KN335" s="544">
        <f t="shared" si="1067"/>
        <v>3002</v>
      </c>
      <c r="KO335" s="541">
        <f t="shared" si="1027"/>
        <v>4.4742743995423995E-2</v>
      </c>
      <c r="KP335" s="546">
        <f t="shared" si="1028"/>
        <v>207.42140955414624</v>
      </c>
      <c r="KQ335" s="546">
        <f t="shared" si="1029"/>
        <v>161.02446105907347</v>
      </c>
      <c r="KR335" s="548">
        <f t="shared" si="1030"/>
        <v>3.4457241428859833</v>
      </c>
      <c r="KS335" s="548">
        <f t="shared" si="1031"/>
        <v>4.4385614083189617</v>
      </c>
      <c r="KT335" s="473">
        <f t="shared" si="1065"/>
        <v>527.01264777847621</v>
      </c>
      <c r="KU335" s="663">
        <f t="shared" si="1053"/>
        <v>15.645328321097079</v>
      </c>
      <c r="KV335" s="117"/>
    </row>
    <row r="336" spans="1:308" s="26" customFormat="1" ht="15">
      <c r="A336" s="561">
        <f t="shared" si="1032"/>
        <v>3036</v>
      </c>
      <c r="B336" s="561">
        <f t="shared" si="1054"/>
        <v>36</v>
      </c>
      <c r="C336" s="561">
        <f t="shared" si="1055"/>
        <v>3</v>
      </c>
      <c r="D336" s="561" t="str">
        <f t="shared" si="1104"/>
        <v xml:space="preserve">500 CC, 0/0/0.9/3.9, </v>
      </c>
      <c r="E336" s="475">
        <f>INDEX(Input!$1:$1048576,E$93,$C336*2+MIN($B336,2)+5)
+INDEX(Scenarios!E$121:E$200,MATCH($B336,Scenarios!$B$121:$B$200,0))</f>
        <v>1750</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8.9999999999999993E-3</v>
      </c>
      <c r="W336" s="863">
        <f>IFERROR(MAX(0,INDEX(Input!$1:$1048576,W$93,$C336*2+MIN($B336,2)+5)-0%,),"Market")</f>
        <v>3.9000000000000007E-2</v>
      </c>
      <c r="X336" s="476" t="str">
        <f>INDEX(Input!$1:$1048576,X$93,$C336*2+MIN($B336,2)+5)</f>
        <v>Y</v>
      </c>
      <c r="Y336" s="475">
        <f>INDEX(Input!$1:$1048576,Y$93,$C336*2+MIN($B336,2)+5)
++INDEX(Scenarios!Y$121:Y$200,MATCH($B336,Scenarios!$B$121:$B$200,0))</f>
        <v>4108</v>
      </c>
      <c r="Z336" s="477">
        <f>INDEX(Input!$1:$1048576,Z$93,$C336*2+MIN($B336,2)+5)
+INDEX(Scenarios!Z$121:Z$200,MATCH($B336,Scenarios!$B$121:$B$200,0))</f>
        <v>0</v>
      </c>
      <c r="AA336" s="475">
        <f>INDEX(Input!$1:$1048576,AA$93,$C336*2+MIN($B336,2)+5)</f>
        <v>500</v>
      </c>
      <c r="AB336" s="476">
        <f>INDEX(Input!$1:$1048576,AB$93,$C336*2+MIN($B336,2)+5)</f>
        <v>0.62</v>
      </c>
      <c r="AC336" s="475">
        <f>INDEX(Input!$1:$1048576,AC$93,$C336*2+MIN($B336,2)+5)
+INDEX(Scenarios!AC$121:AC$200,MATCH($B336,Scenarios!$B$121:$B$200,0))</f>
        <v>0</v>
      </c>
      <c r="AD336" s="476">
        <f>INDEX(Input!$1:$1048576,AD$93,$C336*2+MIN($B336,2)+5)</f>
        <v>0.35</v>
      </c>
      <c r="AE336" s="475">
        <f>INDEX(Input!$1:$1048576,AE$93,$C336*2+MIN($B336,2)+5)
+INDEX(Scenarios!AE$121:AE$200,MATCH($B336,Scenarios!$B$121:$B$200,0))</f>
        <v>500</v>
      </c>
      <c r="AF336" s="476">
        <f>INDEX(Input!$1:$1048576,AF$93,$C336*2+MIN($B336,2)+5)</f>
        <v>0.97</v>
      </c>
      <c r="AG336" s="475">
        <f>INDEX(Input!$1:$1048576,AG$93,$C336*2+MIN($B336,2)+5)
+INDEX(Scenarios!AG$121:AG$200,MATCH($B336,Scenarios!$B$121:$B$200,0))</f>
        <v>0</v>
      </c>
      <c r="AH336" s="476">
        <f>INDEX(Input!$1:$1048576,AH$93,$C336*2+MIN($B336,2)+5)</f>
        <v>1</v>
      </c>
      <c r="AI336" s="475">
        <f>INDEX(Input!$1:$1048576,AI$93,$C336*2+MIN($B336,2)+5)
+INDEX(Scenarios!AI$121:AI$200,MATCH($B336,Scenarios!$B$121:$B$200,0))</f>
        <v>0</v>
      </c>
      <c r="AJ336" s="476">
        <f>INDEX(Input!$1:$1048576,AJ$93,$C336*2+MIN($B336,2)+5)</f>
        <v>0.35</v>
      </c>
      <c r="AK336" s="150">
        <f>ROUND(INDEX(Input!$1:$1048576,AK$93,$C335*2+MIN($B336,1)+5)+(Y336-VLOOKUP($C336*1000+1,$A:$HH,Y$92,FALSE)),0)</f>
        <v>4982</v>
      </c>
      <c r="AL336" s="150">
        <f>ROUND(INDEX(Input!$1:$1048576,AL$93,$C335*2+MIN($B336,1)+5)-(Y336-VLOOKUP($C336*1000+1,$A:$HH,Y$92,FALSE))/36,0)</f>
        <v>5102</v>
      </c>
      <c r="AM336" s="32" t="str">
        <f t="shared" si="1033"/>
        <v>std/std/std/std</v>
      </c>
      <c r="AN336" s="32" t="str">
        <f t="shared" si="1034"/>
        <v>$0 + 0/0/0/0.9/3.9</v>
      </c>
      <c r="AO336" s="32" t="str">
        <f t="shared" si="1035"/>
        <v>0/0/0/0.9/3.9</v>
      </c>
      <c r="AP336" s="32" t="str">
        <f t="shared" si="989"/>
        <v>0/0/0.9/3.9</v>
      </c>
      <c r="AQ336" s="536">
        <f t="shared" si="988"/>
        <v>485.28105103116064</v>
      </c>
      <c r="AR336" s="32"/>
      <c r="AS336" s="302"/>
      <c r="AT336" s="3">
        <f t="shared" si="1056"/>
        <v>36</v>
      </c>
      <c r="AU336" s="41" t="s">
        <v>121</v>
      </c>
      <c r="AV336" s="41" t="s">
        <v>116</v>
      </c>
      <c r="AW336" s="41" t="str">
        <f>INDEX(Input!$1:$1048576,AW$93,$C336*2+6)</f>
        <v>Kia</v>
      </c>
      <c r="AX336" s="41" t="str">
        <f>INDEX(Input!$1:$1048576,AX$93,$C336*2+6)</f>
        <v>Kia-LR - L3</v>
      </c>
      <c r="AY336" s="41" t="str">
        <f>IF(LEN(D336)=0,"",INDEX(Input!$1:$1048576,AY$93,$C336*2+6))</f>
        <v>Compact Conventional/Sporty Car (43)</v>
      </c>
      <c r="AZ336" s="41" t="str">
        <f>INDEX(Input!$1:$1048576,AZ$93,$C336*2+6)</f>
        <v>Kia Forte</v>
      </c>
      <c r="BA336" s="3">
        <f>INDEX(Input!$1:$1048576,BA$93,$C336*2+6)</f>
        <v>2020</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19695</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990"/>
        <v>1750</v>
      </c>
      <c r="CJ336" s="16" t="str">
        <f>INDEX(Input!$1:$1048576,CJ$93,$C336*2+6)</f>
        <v>N</v>
      </c>
      <c r="CK336" s="1" t="str">
        <f t="shared" si="991"/>
        <v>Market</v>
      </c>
      <c r="CL336" s="1" t="str">
        <f t="shared" si="992"/>
        <v>Market</v>
      </c>
      <c r="CM336" s="1" t="str">
        <f t="shared" si="993"/>
        <v>Market</v>
      </c>
      <c r="CN336" s="1" t="str">
        <f t="shared" si="994"/>
        <v>Market</v>
      </c>
      <c r="CO336" s="1" t="str">
        <f t="shared" si="995"/>
        <v>Market</v>
      </c>
      <c r="CP336" s="304">
        <f t="shared" si="996"/>
        <v>310</v>
      </c>
      <c r="CQ336" s="1">
        <f t="shared" si="997"/>
        <v>0</v>
      </c>
      <c r="CR336" s="1">
        <f t="shared" si="998"/>
        <v>0</v>
      </c>
      <c r="CS336" s="1">
        <f t="shared" si="999"/>
        <v>0</v>
      </c>
      <c r="CT336" s="1">
        <f t="shared" si="1000"/>
        <v>8.9999999999999993E-3</v>
      </c>
      <c r="CU336" s="1">
        <f t="shared" si="1001"/>
        <v>3.9000000000000007E-2</v>
      </c>
      <c r="CV336" s="304">
        <f t="shared" si="1002"/>
        <v>4593</v>
      </c>
      <c r="CW336" s="20" t="s">
        <v>122</v>
      </c>
      <c r="CX336" s="20" t="s">
        <v>122</v>
      </c>
      <c r="CY336" s="20" t="s">
        <v>122</v>
      </c>
      <c r="CZ336" s="20" t="s">
        <v>122</v>
      </c>
      <c r="DA336" s="20" t="s">
        <v>122</v>
      </c>
      <c r="DB336" s="503">
        <f t="shared" si="1003"/>
        <v>0</v>
      </c>
      <c r="DC336" s="127">
        <v>0</v>
      </c>
      <c r="DD336" s="127">
        <v>0</v>
      </c>
      <c r="DE336" s="127">
        <v>0</v>
      </c>
      <c r="DF336" s="127">
        <v>0</v>
      </c>
      <c r="DG336" s="127">
        <v>0</v>
      </c>
      <c r="DH336" s="127">
        <v>0</v>
      </c>
      <c r="DI336" s="127">
        <v>0</v>
      </c>
      <c r="DJ336" s="127">
        <v>0</v>
      </c>
      <c r="DK336" s="127">
        <v>0</v>
      </c>
      <c r="DL336" s="127">
        <v>0</v>
      </c>
      <c r="DM336" s="304">
        <f>INDEX(Input!$1:$1048576,DM$93,$C336*2+6)</f>
        <v>20731.578947368424</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3.517772814193517E-2</v>
      </c>
      <c r="DZ336" s="7">
        <v>0</v>
      </c>
      <c r="EA336" s="7">
        <v>0.61776701184513871</v>
      </c>
      <c r="EB336" s="7">
        <v>0</v>
      </c>
      <c r="EC336" s="7">
        <v>0</v>
      </c>
      <c r="ED336" s="7">
        <v>0</v>
      </c>
      <c r="EE336" s="7">
        <v>0</v>
      </c>
      <c r="EF336" s="7">
        <v>0</v>
      </c>
      <c r="EG336" s="7">
        <v>0</v>
      </c>
      <c r="EH336" s="7">
        <v>1.0155198189337388E-2</v>
      </c>
      <c r="EI336" s="7">
        <v>1.2863078929615464E-2</v>
      </c>
      <c r="EJ336" s="7">
        <v>0.18514703525191401</v>
      </c>
      <c r="EK336" s="7">
        <v>0.75529986251047965</v>
      </c>
      <c r="EL336" s="7">
        <v>3.6534825118653309E-2</v>
      </c>
      <c r="EM336" s="7">
        <v>5.9526468906694892E-2</v>
      </c>
      <c r="EN336" s="7">
        <v>5.8903840649550711E-2</v>
      </c>
      <c r="EO336" s="7">
        <v>0.56806449089612499</v>
      </c>
      <c r="EP336" s="7">
        <v>0.27410709591931876</v>
      </c>
      <c r="EQ336" s="7">
        <v>5.8713575146425334E-2</v>
      </c>
      <c r="ER336" s="7">
        <v>4.0210997388580229E-2</v>
      </c>
      <c r="ES336" s="7">
        <v>0.28752879110623142</v>
      </c>
      <c r="ET336" s="7">
        <v>0.34705526001292614</v>
      </c>
      <c r="EU336" s="6">
        <v>2100</v>
      </c>
      <c r="EV336" s="6">
        <v>0</v>
      </c>
      <c r="EW336" s="6">
        <v>2100</v>
      </c>
      <c r="EX336" s="6">
        <v>0</v>
      </c>
      <c r="EY336" s="6">
        <v>2973.2060960965991</v>
      </c>
      <c r="EZ336" s="6">
        <v>3636</v>
      </c>
      <c r="FA336" s="6">
        <v>0</v>
      </c>
      <c r="FB336" s="6">
        <v>0</v>
      </c>
      <c r="FC336" s="6">
        <v>0</v>
      </c>
      <c r="FD336" s="6">
        <v>0</v>
      </c>
      <c r="FE336" s="6">
        <v>0</v>
      </c>
      <c r="FF336" s="6">
        <v>0</v>
      </c>
      <c r="FG336" s="6">
        <v>0</v>
      </c>
      <c r="FH336" s="6">
        <v>1154.3250160709244</v>
      </c>
      <c r="FI336" s="6">
        <v>1531.4299904380618</v>
      </c>
      <c r="FJ336" s="6">
        <v>2070.7205842538224</v>
      </c>
      <c r="FK336" s="6">
        <v>2218.6393698501024</v>
      </c>
      <c r="FL336" s="6">
        <v>893.91433563489352</v>
      </c>
      <c r="FM336" s="6">
        <v>2123.2060960965991</v>
      </c>
      <c r="FN336" s="6">
        <v>0</v>
      </c>
      <c r="FO336" s="6">
        <v>0</v>
      </c>
      <c r="FP336" s="6">
        <v>0</v>
      </c>
      <c r="FQ336" s="6">
        <v>0</v>
      </c>
      <c r="FR336" s="6">
        <v>0</v>
      </c>
      <c r="FS336" s="6">
        <v>0</v>
      </c>
      <c r="FT336" s="7">
        <v>0.65294473998707392</v>
      </c>
      <c r="FU336" s="7">
        <v>5.9526468906694892E-2</v>
      </c>
      <c r="FV336" s="7">
        <v>0.28752879110623142</v>
      </c>
      <c r="FW336" s="6">
        <v>2099.9999999999995</v>
      </c>
      <c r="FX336" s="6">
        <v>2973.2060960965991</v>
      </c>
      <c r="FY336" s="6">
        <v>3636</v>
      </c>
      <c r="FZ336" s="6">
        <v>2202.331475193394</v>
      </c>
      <c r="GA336" s="6">
        <v>2593.6230986676028</v>
      </c>
      <c r="GB336" s="6">
        <v>17101.376901332398</v>
      </c>
      <c r="GC336" s="7">
        <v>4.8391397220736806E-2</v>
      </c>
      <c r="GD336" s="7">
        <v>5.1292847871040763E-2</v>
      </c>
      <c r="GE336" s="7"/>
      <c r="GF336" s="7"/>
      <c r="GG336" s="7">
        <v>5.9957984620055964E-2</v>
      </c>
      <c r="GH336" s="42">
        <v>3.0178834307957962</v>
      </c>
      <c r="GI336" s="6">
        <v>9119.7200973202489</v>
      </c>
      <c r="GJ336" s="14">
        <v>0.5107463060103955</v>
      </c>
      <c r="GK336" s="14">
        <v>0.5082951978616097</v>
      </c>
      <c r="GL336" s="14">
        <v>0.48925369398960439</v>
      </c>
      <c r="GM336" s="14">
        <v>0.49170480213839035</v>
      </c>
      <c r="GO336" s="5">
        <v>338.16872463277008</v>
      </c>
      <c r="GP336" s="5">
        <v>298.1047308538179</v>
      </c>
      <c r="GQ336" s="5">
        <v>527.27910984145694</v>
      </c>
      <c r="GR336" s="5">
        <v>404.20319246551543</v>
      </c>
      <c r="GS336" s="5">
        <v>334.50205195691484</v>
      </c>
      <c r="GT336" s="5">
        <v>289.18266033348181</v>
      </c>
      <c r="GU336" s="5">
        <v>254.29573314828914</v>
      </c>
      <c r="GV336" s="39" t="s">
        <v>392</v>
      </c>
      <c r="GW336" s="5">
        <v>468.76388888888891</v>
      </c>
      <c r="GX336" s="5">
        <v>351.57291666666669</v>
      </c>
      <c r="GY336" s="5">
        <v>281.25833333333333</v>
      </c>
      <c r="GZ336" s="5">
        <v>240.8550698915011</v>
      </c>
      <c r="HA336" s="5">
        <v>229.8919505212948</v>
      </c>
      <c r="HB336" s="39">
        <v>251.67371031131526</v>
      </c>
      <c r="HC336" s="5">
        <v>124.04062499999996</v>
      </c>
      <c r="HD336" s="5">
        <v>127.75060307017539</v>
      </c>
      <c r="HE336" s="5">
        <v>136.66051366396758</v>
      </c>
      <c r="HF336" s="5">
        <v>133.62067434210525</v>
      </c>
      <c r="HG336" s="5">
        <v>137.88493421052632</v>
      </c>
      <c r="HH336" s="39">
        <v>130.72650526464059</v>
      </c>
      <c r="HI336" s="16"/>
      <c r="HJ336" s="19" t="str">
        <f t="shared" si="1115"/>
        <v>On</v>
      </c>
      <c r="HK336" s="1" t="str">
        <f t="shared" si="1115"/>
        <v>On</v>
      </c>
      <c r="HL336" s="16"/>
      <c r="HM336" s="639">
        <f t="shared" si="1004"/>
        <v>2.8970655363290673E-2</v>
      </c>
      <c r="HN336" s="639">
        <f t="shared" si="1005"/>
        <v>2.1835179285533651E-3</v>
      </c>
      <c r="HO336" s="639">
        <f t="shared" si="1006"/>
        <v>1.5544129749146325E-2</v>
      </c>
      <c r="HP336" s="644">
        <f>(FT336*$GD336-HM336)/$JF336*INDEX(Input!$1:$1048576,$JG$93,$C336*2+6)</f>
        <v>186.45099264861568</v>
      </c>
      <c r="HQ336" s="644">
        <f>(FU336*$GD336-HN336)/$JF336*INDEX(Input!$1:$1048576,$JG$93,$C336*2+6)</f>
        <v>35.872091959478027</v>
      </c>
      <c r="HR336" s="644">
        <f>(FV336*$GD336-HO336)/$JF336*INDEX(Input!$1:$1048576,$JG$93,$C336*2+6)</f>
        <v>-32.828118700882378</v>
      </c>
      <c r="HS336" s="644">
        <f t="shared" si="1111"/>
        <v>-63.023396619724082</v>
      </c>
      <c r="HT336" s="644">
        <f t="shared" si="1008"/>
        <v>97.677184835043647</v>
      </c>
      <c r="HU336" s="644">
        <f t="shared" si="1009"/>
        <v>28.913153246338418</v>
      </c>
      <c r="HV336" s="648">
        <f t="shared" si="1010"/>
        <v>0</v>
      </c>
      <c r="HW336" s="648">
        <f t="shared" si="1011"/>
        <v>0</v>
      </c>
      <c r="HX336" s="648">
        <f t="shared" si="1012"/>
        <v>0</v>
      </c>
      <c r="HY336" s="644">
        <f>INDEX(Input!$1:$1048576,HY$93,$C336*2+6)*INDEX(Input!$1:$1048576,$JG$93,$C336*2+6)</f>
        <v>488.99999999999994</v>
      </c>
      <c r="HZ336" s="644">
        <f>INDEX(Input!$1:$1048576,HZ$93,$C336*2+6)*INDEX(Input!$1:$1048576,$JG$93,$C336*2+6)</f>
        <v>734</v>
      </c>
      <c r="IA336" s="644">
        <f>INDEX(Input!$1:$1048576,IA$93,$C336*2+6)*INDEX(Input!$1:$1048576,$JG$93,$C336*2+6)</f>
        <v>703</v>
      </c>
      <c r="IB336" s="644">
        <f t="shared" si="1036"/>
        <v>612.4275960288918</v>
      </c>
      <c r="IC336" s="644">
        <f t="shared" si="1037"/>
        <v>867.54927679452157</v>
      </c>
      <c r="ID336" s="644">
        <f>IF(AND(INDEX(Input!$1:$1048576,IA$93,$C336*2+7)="TOS",Y336&lt;=INDEX(Y:Y,MATCH(C336*1000+2,A:A))),0,1)*MAX(IA336+HR336+HU336+HX336,0%)</f>
        <v>699.0850345454561</v>
      </c>
      <c r="IE336" s="128">
        <f t="shared" si="1112"/>
        <v>0.28105103116064001</v>
      </c>
      <c r="IF336" s="128">
        <f t="shared" si="1108"/>
        <v>0.39812970611837861</v>
      </c>
      <c r="IG336" s="128">
        <f t="shared" si="1014"/>
        <v>0.32081926272098138</v>
      </c>
      <c r="IH336" s="21"/>
      <c r="II336" s="19">
        <f t="shared" si="1015"/>
        <v>1200</v>
      </c>
      <c r="IJ336" s="19">
        <f t="shared" si="1016"/>
        <v>2224.493581030405</v>
      </c>
      <c r="IK336" s="19">
        <f t="shared" si="1017"/>
        <v>3451.75</v>
      </c>
      <c r="IL336" s="19">
        <f t="shared" si="1039"/>
        <v>899.99999999999955</v>
      </c>
      <c r="IM336" s="19">
        <f t="shared" si="1018"/>
        <v>748.7125150661941</v>
      </c>
      <c r="IN336" s="19">
        <f t="shared" si="1019"/>
        <v>184.25</v>
      </c>
      <c r="IO336" s="39">
        <f t="shared" si="1020"/>
        <v>0</v>
      </c>
      <c r="IP336" s="39">
        <f t="shared" si="1021"/>
        <v>0</v>
      </c>
      <c r="IQ336" s="39">
        <f t="shared" si="1022"/>
        <v>0</v>
      </c>
      <c r="IR336" s="39">
        <v>0</v>
      </c>
      <c r="IS336" s="39">
        <v>0</v>
      </c>
      <c r="IT336" s="39">
        <v>0</v>
      </c>
      <c r="IU336" s="39">
        <v>0</v>
      </c>
      <c r="IV336" s="39">
        <v>0</v>
      </c>
      <c r="IW336" s="39">
        <v>0</v>
      </c>
      <c r="IX336" s="39">
        <f>INDEX(Input!$1:$1048576,IX$93,$C336*2+6)+INDEX(Input!$1:$1048576,IX$94,$C336*2+6)</f>
        <v>1600</v>
      </c>
      <c r="IY336" s="39">
        <f>INDEX(Input!$1:$1048576,IY$93,$C336*2+6)+INDEX(Input!$1:$1048576,IY$94,$C336*2+6)</f>
        <v>2503.5492916397525</v>
      </c>
      <c r="IZ336" s="39">
        <f>INDEX(Input!$1:$1048576,IZ$93,$C336*2+6)+INDEX(Input!$1:$1048576,IZ$94,$C336*2+6)</f>
        <v>5773.7109265464023</v>
      </c>
      <c r="JA336" s="19">
        <f t="shared" si="1040"/>
        <v>2499.9999999999995</v>
      </c>
      <c r="JB336" s="19">
        <f t="shared" si="1041"/>
        <v>3252.2618067059466</v>
      </c>
      <c r="JC336" s="19">
        <f t="shared" si="1042"/>
        <v>5957.9609265464023</v>
      </c>
      <c r="JD336" s="19">
        <f t="shared" si="1043"/>
        <v>3908.8782470004971</v>
      </c>
      <c r="JE336" s="21"/>
      <c r="JF336" s="1">
        <f t="shared" si="1023"/>
        <v>4.6698303040990354E-2</v>
      </c>
      <c r="JG336" s="15">
        <f>INDEX(Input!$1:$1048576,JG$93,$C336*2+6)/(1+VLOOKUP(C336*1000+INDEX(Input!$1:$1048576,JG$93+1,$C336*2+6),$A:$KK,$JK$92,FALSE))</f>
        <v>1926</v>
      </c>
      <c r="JH336" s="1">
        <f t="shared" si="1044"/>
        <v>9.8387832765945663E-2</v>
      </c>
      <c r="JI336" s="1">
        <f t="shared" si="1045"/>
        <v>3.3004642503456895E-2</v>
      </c>
      <c r="JJ336" s="1">
        <f t="shared" si="1109"/>
        <v>0</v>
      </c>
      <c r="JK336" s="1">
        <f t="shared" si="1110"/>
        <v>0.13139247526940256</v>
      </c>
      <c r="JL336" s="15">
        <f t="shared" si="1048"/>
        <v>253.06190736886933</v>
      </c>
      <c r="JM336" s="15">
        <f t="shared" si="1074"/>
        <v>2179.0619073688695</v>
      </c>
      <c r="JN336" s="21"/>
      <c r="JO336" s="19">
        <f>INDEX(Input!$1:$1048576,JO$93,$C336*2+6)</f>
        <v>5908.5</v>
      </c>
      <c r="JP336" s="19">
        <f>INDEX(Input!$1:$1048576,JP$93,$C336*2+6)</f>
        <v>3467.7694503767912</v>
      </c>
      <c r="JQ336" s="39">
        <f t="shared" si="1060"/>
        <v>1999.6217529995029</v>
      </c>
      <c r="JR336" s="39">
        <f t="shared" si="1077"/>
        <v>441.10879662370598</v>
      </c>
      <c r="JS336" s="39">
        <f t="shared" si="1062"/>
        <v>8.5176876885815851</v>
      </c>
      <c r="JT336" s="39">
        <f t="shared" si="1050"/>
        <v>1.8387637271558857</v>
      </c>
      <c r="JU336" s="385">
        <f>(JQ336*JM336-INDEX(Input!$1:$1048576,Input!A$18,$C336*2+6)*JL336*INDEX(Input!$1:$1048576,Input!A$19,$C336*2+6))/1000000</f>
        <v>4.3572995911073784</v>
      </c>
      <c r="JV336" s="39">
        <f t="shared" si="1084"/>
        <v>-0.34354744746692134</v>
      </c>
      <c r="JW336" s="1">
        <f t="shared" si="1075"/>
        <v>-7.3082030674011131E-2</v>
      </c>
      <c r="JX336" s="19">
        <f t="shared" si="1066"/>
        <v>7266.0628629328157</v>
      </c>
      <c r="JZ336" s="341"/>
      <c r="KA336" s="342"/>
      <c r="KB336" s="469">
        <f t="shared" si="1063"/>
        <v>2.7822247002359868</v>
      </c>
      <c r="KI336" s="473">
        <f t="shared" si="1113"/>
        <v>123.42759602889186</v>
      </c>
      <c r="KJ336" s="473">
        <f t="shared" si="1114"/>
        <v>133.54927679452157</v>
      </c>
      <c r="KK336" s="473">
        <f t="shared" si="1052"/>
        <v>-3.9149654545439034</v>
      </c>
      <c r="KN336" s="544">
        <f t="shared" si="1067"/>
        <v>3002</v>
      </c>
      <c r="KO336" s="541">
        <f t="shared" si="1027"/>
        <v>5.7758997819944424E-2</v>
      </c>
      <c r="KP336" s="546">
        <f t="shared" si="1028"/>
        <v>279.31869943260563</v>
      </c>
      <c r="KQ336" s="546">
        <f t="shared" si="1029"/>
        <v>187.79702867512424</v>
      </c>
      <c r="KR336" s="548">
        <f t="shared" si="1030"/>
        <v>3.3031714022760204</v>
      </c>
      <c r="KS336" s="548">
        <f t="shared" si="1031"/>
        <v>4.9129506818918456</v>
      </c>
      <c r="KT336" s="473">
        <f t="shared" si="1065"/>
        <v>527.01264777847621</v>
      </c>
      <c r="KU336" s="663">
        <f t="shared" si="1053"/>
        <v>15.794532884206129</v>
      </c>
      <c r="KV336" s="117"/>
    </row>
    <row r="337" spans="1:308" s="26" customFormat="1" ht="15">
      <c r="A337" s="561">
        <f t="shared" si="1032"/>
        <v>3037</v>
      </c>
      <c r="B337" s="561">
        <f t="shared" si="1054"/>
        <v>37</v>
      </c>
      <c r="C337" s="561">
        <f t="shared" si="1055"/>
        <v>3</v>
      </c>
      <c r="D337" s="561" t="str">
        <f t="shared" si="1104"/>
        <v xml:space="preserve">750 CC, 0/0/0.9/3.9, </v>
      </c>
      <c r="E337" s="475">
        <f>INDEX(Input!$1:$1048576,E$93,$C337*2+MIN($B337,2)+5)
+INDEX(Scenarios!E$121:E$200,MATCH($B337,Scenarios!$B$121:$B$200,0))</f>
        <v>2000</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8.9999999999999993E-3</v>
      </c>
      <c r="W337" s="863">
        <f>IFERROR(MAX(0,INDEX(Input!$1:$1048576,W$93,$C337*2+MIN($B337,2)+5)-0%,),"Market")</f>
        <v>3.9000000000000007E-2</v>
      </c>
      <c r="X337" s="476" t="str">
        <f>INDEX(Input!$1:$1048576,X$93,$C337*2+MIN($B337,2)+5)</f>
        <v>Y</v>
      </c>
      <c r="Y337" s="475">
        <f>INDEX(Input!$1:$1048576,Y$93,$C337*2+MIN($B337,2)+5)
++INDEX(Scenarios!Y$121:Y$200,MATCH($B337,Scenarios!$B$121:$B$200,0))</f>
        <v>4108</v>
      </c>
      <c r="Z337" s="477">
        <f>INDEX(Input!$1:$1048576,Z$93,$C337*2+MIN($B337,2)+5)
+INDEX(Scenarios!Z$121:Z$200,MATCH($B337,Scenarios!$B$121:$B$200,0))</f>
        <v>0</v>
      </c>
      <c r="AA337" s="475">
        <f>INDEX(Input!$1:$1048576,AA$93,$C337*2+MIN($B337,2)+5)</f>
        <v>500</v>
      </c>
      <c r="AB337" s="476">
        <f>INDEX(Input!$1:$1048576,AB$93,$C337*2+MIN($B337,2)+5)</f>
        <v>0.62</v>
      </c>
      <c r="AC337" s="475">
        <f>INDEX(Input!$1:$1048576,AC$93,$C337*2+MIN($B337,2)+5)
+INDEX(Scenarios!AC$121:AC$200,MATCH($B337,Scenarios!$B$121:$B$200,0))</f>
        <v>0</v>
      </c>
      <c r="AD337" s="476">
        <f>INDEX(Input!$1:$1048576,AD$93,$C337*2+MIN($B337,2)+5)</f>
        <v>0.35</v>
      </c>
      <c r="AE337" s="475">
        <f>INDEX(Input!$1:$1048576,AE$93,$C337*2+MIN($B337,2)+5)
+INDEX(Scenarios!AE$121:AE$200,MATCH($B337,Scenarios!$B$121:$B$200,0))</f>
        <v>500</v>
      </c>
      <c r="AF337" s="476">
        <f>INDEX(Input!$1:$1048576,AF$93,$C337*2+MIN($B337,2)+5)</f>
        <v>0.97</v>
      </c>
      <c r="AG337" s="475">
        <f>INDEX(Input!$1:$1048576,AG$93,$C337*2+MIN($B337,2)+5)
+INDEX(Scenarios!AG$121:AG$200,MATCH($B337,Scenarios!$B$121:$B$200,0))</f>
        <v>0</v>
      </c>
      <c r="AH337" s="476">
        <f>INDEX(Input!$1:$1048576,AH$93,$C337*2+MIN($B337,2)+5)</f>
        <v>1</v>
      </c>
      <c r="AI337" s="475">
        <f>INDEX(Input!$1:$1048576,AI$93,$C337*2+MIN($B337,2)+5)
+INDEX(Scenarios!AI$121:AI$200,MATCH($B337,Scenarios!$B$121:$B$200,0))</f>
        <v>0</v>
      </c>
      <c r="AJ337" s="476">
        <f>INDEX(Input!$1:$1048576,AJ$93,$C337*2+MIN($B337,2)+5)</f>
        <v>0.35</v>
      </c>
      <c r="AK337" s="150">
        <f>ROUND(INDEX(Input!$1:$1048576,AK$93,$C336*2+MIN($B337,1)+5)+(Y337-VLOOKUP($C337*1000+1,$A:$HH,Y$92,FALSE)),0)</f>
        <v>4982</v>
      </c>
      <c r="AL337" s="150">
        <f>ROUND(INDEX(Input!$1:$1048576,AL$93,$C336*2+MIN($B337,1)+5)-(Y337-VLOOKUP($C337*1000+1,$A:$HH,Y$92,FALSE))/36,0)</f>
        <v>5102</v>
      </c>
      <c r="AM337" s="32" t="str">
        <f t="shared" si="1033"/>
        <v>std/std/std/std</v>
      </c>
      <c r="AN337" s="32" t="str">
        <f t="shared" si="1034"/>
        <v>$0 + 0/0/0/0.9/3.9</v>
      </c>
      <c r="AO337" s="32" t="str">
        <f t="shared" si="1035"/>
        <v>0/0/0/0.9/3.9</v>
      </c>
      <c r="AP337" s="32" t="str">
        <f t="shared" si="989"/>
        <v>0/0/0.9/3.9</v>
      </c>
      <c r="AQ337" s="536">
        <f t="shared" si="988"/>
        <v>485.29871624902148</v>
      </c>
      <c r="AR337" s="32"/>
      <c r="AS337" s="302"/>
      <c r="AT337" s="3">
        <f t="shared" si="1056"/>
        <v>37</v>
      </c>
      <c r="AU337" s="41" t="s">
        <v>121</v>
      </c>
      <c r="AV337" s="41" t="s">
        <v>116</v>
      </c>
      <c r="AW337" s="41" t="str">
        <f>INDEX(Input!$1:$1048576,AW$93,$C337*2+6)</f>
        <v>Kia</v>
      </c>
      <c r="AX337" s="41" t="str">
        <f>INDEX(Input!$1:$1048576,AX$93,$C337*2+6)</f>
        <v>Kia-LR - L3</v>
      </c>
      <c r="AY337" s="41" t="str">
        <f>IF(LEN(D337)=0,"",INDEX(Input!$1:$1048576,AY$93,$C337*2+6))</f>
        <v>Compact Conventional/Sporty Car (43)</v>
      </c>
      <c r="AZ337" s="41" t="str">
        <f>INDEX(Input!$1:$1048576,AZ$93,$C337*2+6)</f>
        <v>Kia Forte</v>
      </c>
      <c r="BA337" s="3">
        <f>INDEX(Input!$1:$1048576,BA$93,$C337*2+6)</f>
        <v>2020</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19695</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990"/>
        <v>2000</v>
      </c>
      <c r="CJ337" s="16" t="str">
        <f>INDEX(Input!$1:$1048576,CJ$93,$C337*2+6)</f>
        <v>N</v>
      </c>
      <c r="CK337" s="1" t="str">
        <f t="shared" si="991"/>
        <v>Market</v>
      </c>
      <c r="CL337" s="1" t="str">
        <f t="shared" si="992"/>
        <v>Market</v>
      </c>
      <c r="CM337" s="1" t="str">
        <f t="shared" si="993"/>
        <v>Market</v>
      </c>
      <c r="CN337" s="1" t="str">
        <f t="shared" si="994"/>
        <v>Market</v>
      </c>
      <c r="CO337" s="1" t="str">
        <f t="shared" si="995"/>
        <v>Market</v>
      </c>
      <c r="CP337" s="304">
        <f t="shared" si="996"/>
        <v>310</v>
      </c>
      <c r="CQ337" s="1">
        <f t="shared" si="997"/>
        <v>0</v>
      </c>
      <c r="CR337" s="1">
        <f t="shared" si="998"/>
        <v>0</v>
      </c>
      <c r="CS337" s="1">
        <f t="shared" si="999"/>
        <v>0</v>
      </c>
      <c r="CT337" s="1">
        <f t="shared" si="1000"/>
        <v>8.9999999999999993E-3</v>
      </c>
      <c r="CU337" s="1">
        <f t="shared" si="1001"/>
        <v>3.9000000000000007E-2</v>
      </c>
      <c r="CV337" s="304">
        <f t="shared" si="1002"/>
        <v>4593</v>
      </c>
      <c r="CW337" s="20" t="s">
        <v>122</v>
      </c>
      <c r="CX337" s="20" t="s">
        <v>122</v>
      </c>
      <c r="CY337" s="20" t="s">
        <v>122</v>
      </c>
      <c r="CZ337" s="20" t="s">
        <v>122</v>
      </c>
      <c r="DA337" s="20" t="s">
        <v>122</v>
      </c>
      <c r="DB337" s="503">
        <f t="shared" si="1003"/>
        <v>0</v>
      </c>
      <c r="DC337" s="127">
        <v>0</v>
      </c>
      <c r="DD337" s="127">
        <v>0</v>
      </c>
      <c r="DE337" s="127">
        <v>0</v>
      </c>
      <c r="DF337" s="127">
        <v>0</v>
      </c>
      <c r="DG337" s="127">
        <v>0</v>
      </c>
      <c r="DH337" s="127">
        <v>0</v>
      </c>
      <c r="DI337" s="127">
        <v>0</v>
      </c>
      <c r="DJ337" s="127">
        <v>0</v>
      </c>
      <c r="DK337" s="127">
        <v>0</v>
      </c>
      <c r="DL337" s="127">
        <v>0</v>
      </c>
      <c r="DM337" s="304">
        <f>INDEX(Input!$1:$1048576,DM$93,$C337*2+6)</f>
        <v>20731.578947368424</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3.6161451871210469E-2</v>
      </c>
      <c r="DZ337" s="7">
        <v>0</v>
      </c>
      <c r="EA337" s="7">
        <v>0.63264685487444172</v>
      </c>
      <c r="EB337" s="7">
        <v>0</v>
      </c>
      <c r="EC337" s="7">
        <v>0</v>
      </c>
      <c r="ED337" s="7">
        <v>0</v>
      </c>
      <c r="EE337" s="7">
        <v>0</v>
      </c>
      <c r="EF337" s="7">
        <v>0</v>
      </c>
      <c r="EG337" s="7">
        <v>0</v>
      </c>
      <c r="EH337" s="7">
        <v>1.0162511563257273E-2</v>
      </c>
      <c r="EI337" s="7">
        <v>1.2865223006530561E-2</v>
      </c>
      <c r="EJ337" s="7">
        <v>0.18536237298420014</v>
      </c>
      <c r="EK337" s="7">
        <v>0.7551102756018212</v>
      </c>
      <c r="EL337" s="7">
        <v>3.6499616844190549E-2</v>
      </c>
      <c r="EM337" s="7">
        <v>5.6801469749018507E-2</v>
      </c>
      <c r="EN337" s="7">
        <v>5.8903840649550732E-2</v>
      </c>
      <c r="EO337" s="7">
        <v>0.56806449089612521</v>
      </c>
      <c r="EP337" s="7">
        <v>0.2741070959193187</v>
      </c>
      <c r="EQ337" s="7">
        <v>5.8713575146425341E-2</v>
      </c>
      <c r="ER337" s="7">
        <v>4.021099738858025E-2</v>
      </c>
      <c r="ES337" s="7">
        <v>0.27439022350532932</v>
      </c>
      <c r="ET337" s="7">
        <v>0.33119169325434783</v>
      </c>
      <c r="EU337" s="6">
        <v>2350</v>
      </c>
      <c r="EV337" s="6">
        <v>0</v>
      </c>
      <c r="EW337" s="6">
        <v>2350</v>
      </c>
      <c r="EX337" s="6">
        <v>0</v>
      </c>
      <c r="EY337" s="6">
        <v>2973.2116112730464</v>
      </c>
      <c r="EZ337" s="6">
        <v>3636</v>
      </c>
      <c r="FA337" s="6">
        <v>0</v>
      </c>
      <c r="FB337" s="6">
        <v>0</v>
      </c>
      <c r="FC337" s="6">
        <v>0</v>
      </c>
      <c r="FD337" s="6">
        <v>0</v>
      </c>
      <c r="FE337" s="6">
        <v>0</v>
      </c>
      <c r="FF337" s="6">
        <v>0</v>
      </c>
      <c r="FG337" s="6">
        <v>0</v>
      </c>
      <c r="FH337" s="6">
        <v>1154.3233972104165</v>
      </c>
      <c r="FI337" s="6">
        <v>1531.4299904380612</v>
      </c>
      <c r="FJ337" s="6">
        <v>2070.7205842538224</v>
      </c>
      <c r="FK337" s="6">
        <v>2218.6393698501024</v>
      </c>
      <c r="FL337" s="6">
        <v>893.91433563489375</v>
      </c>
      <c r="FM337" s="6">
        <v>2123.2116112730464</v>
      </c>
      <c r="FN337" s="6">
        <v>0</v>
      </c>
      <c r="FO337" s="6">
        <v>0</v>
      </c>
      <c r="FP337" s="6">
        <v>0</v>
      </c>
      <c r="FQ337" s="6">
        <v>0</v>
      </c>
      <c r="FR337" s="6">
        <v>0</v>
      </c>
      <c r="FS337" s="6">
        <v>0</v>
      </c>
      <c r="FT337" s="7">
        <v>0.66880830674565217</v>
      </c>
      <c r="FU337" s="7">
        <v>5.6801469749018507E-2</v>
      </c>
      <c r="FV337" s="7">
        <v>0.27439022350532932</v>
      </c>
      <c r="FW337" s="6">
        <v>2350</v>
      </c>
      <c r="FX337" s="6">
        <v>2973.2116112730464</v>
      </c>
      <c r="FY337" s="6">
        <v>3636</v>
      </c>
      <c r="FZ337" s="6">
        <v>2202.331475193394</v>
      </c>
      <c r="GA337" s="6">
        <v>2738.2651629128168</v>
      </c>
      <c r="GB337" s="6">
        <v>16956.734837087184</v>
      </c>
      <c r="GC337" s="7">
        <v>4.8391397220736806E-2</v>
      </c>
      <c r="GD337" s="7">
        <v>5.2410603603887718E-2</v>
      </c>
      <c r="GE337" s="7"/>
      <c r="GF337" s="7"/>
      <c r="GG337" s="7">
        <v>8.3056216889488582E-2</v>
      </c>
      <c r="GH337" s="42">
        <v>3.0522287162042767</v>
      </c>
      <c r="GI337" s="6">
        <v>9190.9270802322117</v>
      </c>
      <c r="GJ337" s="14">
        <v>0.5107463060103955</v>
      </c>
      <c r="GK337" s="14">
        <v>0.5082951978616097</v>
      </c>
      <c r="GL337" s="14">
        <v>0.48925369398960422</v>
      </c>
      <c r="GM337" s="14">
        <v>0.49170480213839013</v>
      </c>
      <c r="GO337" s="5">
        <v>338.16872463277008</v>
      </c>
      <c r="GP337" s="5">
        <v>293.33520778489498</v>
      </c>
      <c r="GQ337" s="5">
        <v>527.27910984145694</v>
      </c>
      <c r="GR337" s="5">
        <v>404.20319246551543</v>
      </c>
      <c r="GS337" s="5">
        <v>334.50205195691484</v>
      </c>
      <c r="GT337" s="5">
        <v>289.18266033348181</v>
      </c>
      <c r="GU337" s="5">
        <v>254.29573314828914</v>
      </c>
      <c r="GV337" s="39" t="s">
        <v>392</v>
      </c>
      <c r="GW337" s="5">
        <v>468.76388888888891</v>
      </c>
      <c r="GX337" s="5">
        <v>351.57291666666669</v>
      </c>
      <c r="GY337" s="5">
        <v>281.25833333333333</v>
      </c>
      <c r="GZ337" s="5">
        <v>240.8550698915011</v>
      </c>
      <c r="HA337" s="5">
        <v>229.8919505212948</v>
      </c>
      <c r="HB337" s="39">
        <v>251.68470082094984</v>
      </c>
      <c r="HC337" s="5">
        <v>124.04062499999996</v>
      </c>
      <c r="HD337" s="5">
        <v>127.75060307017539</v>
      </c>
      <c r="HE337" s="5">
        <v>136.66051366396758</v>
      </c>
      <c r="HF337" s="5">
        <v>133.62067434210525</v>
      </c>
      <c r="HG337" s="5">
        <v>137.88493421052632</v>
      </c>
      <c r="HH337" s="39">
        <v>130.72650526464059</v>
      </c>
      <c r="HI337" s="16"/>
      <c r="HJ337" s="19" t="str">
        <f t="shared" si="1115"/>
        <v>On</v>
      </c>
      <c r="HK337" s="1" t="str">
        <f t="shared" si="1115"/>
        <v>On</v>
      </c>
      <c r="HL337" s="16"/>
      <c r="HM337" s="639">
        <f t="shared" si="1004"/>
        <v>2.8970655363290673E-2</v>
      </c>
      <c r="HN337" s="639">
        <f t="shared" si="1005"/>
        <v>2.1835179285533651E-3</v>
      </c>
      <c r="HO337" s="639">
        <f t="shared" si="1006"/>
        <v>1.5544129749146325E-2</v>
      </c>
      <c r="HP337" s="644">
        <f>(FT337*$GD337-HM337)/$JF337*INDEX(Input!$1:$1048576,$JG$93,$C337*2+6)</f>
        <v>250.84243386428375</v>
      </c>
      <c r="HQ337" s="644">
        <f>(FU337*$GD337-HN337)/$JF337*INDEX(Input!$1:$1048576,$JG$93,$C337*2+6)</f>
        <v>32.725924734629231</v>
      </c>
      <c r="HR337" s="644">
        <f>(FV337*$GD337-HO337)/$JF337*INDEX(Input!$1:$1048576,$JG$93,$C337*2+6)</f>
        <v>-47.973269105336001</v>
      </c>
      <c r="HS337" s="644">
        <f t="shared" ref="HS337:HS361" si="1116">IF(AND(HJ337="On",HK337="On"),IL337/1000*INDEX(KG:KG,MATCH(C337*1000+3,$KF:$KF,0))*SUM(HY337:IA337)*1.1
+INDEX(HR:HR,MATCH(C337*1000+4,$KF:$KF,0))/INDEX(IM:IM,MATCH(C337*1000+4,$KF:$KF,0))*IM337*20%,0)</f>
        <v>-80.315600105515188</v>
      </c>
      <c r="HT337" s="644">
        <f t="shared" si="1008"/>
        <v>94.65555001648994</v>
      </c>
      <c r="HU337" s="644">
        <f t="shared" si="1009"/>
        <v>31.935593408871885</v>
      </c>
      <c r="HV337" s="648">
        <f t="shared" si="1010"/>
        <v>0</v>
      </c>
      <c r="HW337" s="648">
        <f t="shared" si="1011"/>
        <v>0</v>
      </c>
      <c r="HX337" s="648">
        <f t="shared" si="1012"/>
        <v>0</v>
      </c>
      <c r="HY337" s="644">
        <f>INDEX(Input!$1:$1048576,HY$93,$C337*2+6)*INDEX(Input!$1:$1048576,$JG$93,$C337*2+6)</f>
        <v>488.99999999999994</v>
      </c>
      <c r="HZ337" s="644">
        <f>INDEX(Input!$1:$1048576,HZ$93,$C337*2+6)*INDEX(Input!$1:$1048576,$JG$93,$C337*2+6)</f>
        <v>734</v>
      </c>
      <c r="IA337" s="644">
        <f>INDEX(Input!$1:$1048576,IA$93,$C337*2+6)*INDEX(Input!$1:$1048576,$JG$93,$C337*2+6)</f>
        <v>703</v>
      </c>
      <c r="IB337" s="644">
        <f t="shared" si="1036"/>
        <v>659.52683375876848</v>
      </c>
      <c r="IC337" s="644">
        <f t="shared" si="1037"/>
        <v>861.38147475111919</v>
      </c>
      <c r="ID337" s="644">
        <f>IF(AND(INDEX(Input!$1:$1048576,IA$93,$C337*2+7)="TOS",Y337&lt;=INDEX(Y:Y,MATCH(C337*1000+2,A:A))),0,1)*MAX(IA337+HR337+HU337+HX337,0%)</f>
        <v>686.96232430353587</v>
      </c>
      <c r="IE337" s="128">
        <f t="shared" ref="IE337:IE340" si="1117">IB337/SUM($IB337:$ID337)</f>
        <v>0.29871624902150773</v>
      </c>
      <c r="IF337" s="128">
        <f t="shared" si="1108"/>
        <v>0.39014127999586939</v>
      </c>
      <c r="IG337" s="128">
        <f t="shared" si="1014"/>
        <v>0.31114247098262288</v>
      </c>
      <c r="IH337" s="21"/>
      <c r="II337" s="19">
        <f t="shared" si="1015"/>
        <v>1200</v>
      </c>
      <c r="IJ337" s="19">
        <f t="shared" si="1016"/>
        <v>2224.493581030405</v>
      </c>
      <c r="IK337" s="19">
        <f t="shared" si="1017"/>
        <v>3451.75</v>
      </c>
      <c r="IL337" s="19">
        <f t="shared" si="1039"/>
        <v>1150</v>
      </c>
      <c r="IM337" s="19">
        <f t="shared" si="1018"/>
        <v>748.71803024264136</v>
      </c>
      <c r="IN337" s="19">
        <f t="shared" si="1019"/>
        <v>184.25</v>
      </c>
      <c r="IO337" s="39">
        <f t="shared" si="1020"/>
        <v>0</v>
      </c>
      <c r="IP337" s="39">
        <f t="shared" si="1021"/>
        <v>0</v>
      </c>
      <c r="IQ337" s="39">
        <f t="shared" si="1022"/>
        <v>0</v>
      </c>
      <c r="IR337" s="39">
        <v>0</v>
      </c>
      <c r="IS337" s="39">
        <v>0</v>
      </c>
      <c r="IT337" s="39">
        <v>0</v>
      </c>
      <c r="IU337" s="39">
        <v>0</v>
      </c>
      <c r="IV337" s="39">
        <v>0</v>
      </c>
      <c r="IW337" s="39">
        <v>0</v>
      </c>
      <c r="IX337" s="39">
        <f>INDEX(Input!$1:$1048576,IX$93,$C337*2+6)+INDEX(Input!$1:$1048576,IX$94,$C337*2+6)</f>
        <v>1600</v>
      </c>
      <c r="IY337" s="39">
        <f>INDEX(Input!$1:$1048576,IY$93,$C337*2+6)+INDEX(Input!$1:$1048576,IY$94,$C337*2+6)</f>
        <v>2503.5492916397525</v>
      </c>
      <c r="IZ337" s="39">
        <f>INDEX(Input!$1:$1048576,IZ$93,$C337*2+6)+INDEX(Input!$1:$1048576,IZ$94,$C337*2+6)</f>
        <v>5773.7109265464023</v>
      </c>
      <c r="JA337" s="19">
        <f t="shared" si="1040"/>
        <v>2750</v>
      </c>
      <c r="JB337" s="19">
        <f t="shared" si="1041"/>
        <v>3252.2673218823938</v>
      </c>
      <c r="JC337" s="19">
        <f t="shared" si="1042"/>
        <v>5957.9609265464023</v>
      </c>
      <c r="JD337" s="19">
        <f t="shared" si="1043"/>
        <v>3944.0881053606463</v>
      </c>
      <c r="JE337" s="21"/>
      <c r="JF337" s="1">
        <f t="shared" si="1023"/>
        <v>4.6698303040990354E-2</v>
      </c>
      <c r="JG337" s="15">
        <f>INDEX(Input!$1:$1048576,JG$93,$C337*2+6)/(1+VLOOKUP(C337*1000+INDEX(Input!$1:$1048576,JG$93+1,$C337*2+6),$A:$KK,$JK$92,FALSE))</f>
        <v>1926</v>
      </c>
      <c r="JH337" s="1">
        <f t="shared" si="1044"/>
        <v>0.1223235147941729</v>
      </c>
      <c r="JI337" s="1">
        <f t="shared" si="1045"/>
        <v>2.4026761848310818E-2</v>
      </c>
      <c r="JJ337" s="1">
        <f t="shared" si="1109"/>
        <v>0</v>
      </c>
      <c r="JK337" s="1">
        <f t="shared" si="1110"/>
        <v>0.14635027664248373</v>
      </c>
      <c r="JL337" s="15">
        <f t="shared" si="1048"/>
        <v>281.8706328134237</v>
      </c>
      <c r="JM337" s="15">
        <f t="shared" si="1074"/>
        <v>2207.8706328134235</v>
      </c>
      <c r="JN337" s="21"/>
      <c r="JO337" s="19">
        <f>INDEX(Input!$1:$1048576,JO$93,$C337*2+6)</f>
        <v>5908.5</v>
      </c>
      <c r="JP337" s="19">
        <f>INDEX(Input!$1:$1048576,JP$93,$C337*2+6)</f>
        <v>3467.7694503767912</v>
      </c>
      <c r="JQ337" s="39">
        <f t="shared" si="1060"/>
        <v>1964.4118946393537</v>
      </c>
      <c r="JR337" s="39">
        <f t="shared" si="1077"/>
        <v>476.31865498385514</v>
      </c>
      <c r="JS337" s="39">
        <f t="shared" si="1062"/>
        <v>8.7080363010545074</v>
      </c>
      <c r="JT337" s="39">
        <f t="shared" si="1050"/>
        <v>2.0291123396288073</v>
      </c>
      <c r="JU337" s="385">
        <f>(JQ337*JM337-INDEX(Input!$1:$1048576,Input!A$18,$C337*2+6)*JL337*INDEX(Input!$1:$1048576,Input!A$19,$C337*2+6))/1000000</f>
        <v>4.337167332923606</v>
      </c>
      <c r="JV337" s="39">
        <f t="shared" si="1084"/>
        <v>-0.36367970565069374</v>
      </c>
      <c r="JW337" s="1">
        <f t="shared" si="1075"/>
        <v>-7.7364718031964014E-2</v>
      </c>
      <c r="JX337" s="19">
        <f t="shared" si="1066"/>
        <v>7198.7362407204755</v>
      </c>
      <c r="JZ337" s="341"/>
      <c r="KA337" s="342"/>
      <c r="KB337" s="469">
        <f t="shared" si="1063"/>
        <v>2.7822247002359868</v>
      </c>
      <c r="KI337" s="473">
        <f t="shared" ref="KI337:KI361" si="1118">$JM337*IE337-$JG337*HY337/SUM($HY337:$IA337)</f>
        <v>170.52683375876853</v>
      </c>
      <c r="KJ337" s="473">
        <f t="shared" ref="KJ337:KJ361" si="1119">$JM337*IF337-$JG337*HZ337/SUM($HY337:$IA337)</f>
        <v>127.38147475111919</v>
      </c>
      <c r="KK337" s="473">
        <f t="shared" si="1052"/>
        <v>-16.037675696464134</v>
      </c>
      <c r="KN337" s="544">
        <f t="shared" si="1067"/>
        <v>3002</v>
      </c>
      <c r="KO337" s="541">
        <f t="shared" si="1027"/>
        <v>7.1743313020743882E-2</v>
      </c>
      <c r="KP337" s="546">
        <f t="shared" si="1028"/>
        <v>360.04765326878328</v>
      </c>
      <c r="KQ337" s="546">
        <f t="shared" si="1029"/>
        <v>223.00688703527339</v>
      </c>
      <c r="KR337" s="548">
        <f t="shared" si="1030"/>
        <v>3.182972711854041</v>
      </c>
      <c r="KS337" s="548">
        <f t="shared" si="1031"/>
        <v>5.138952749653666</v>
      </c>
      <c r="KT337" s="473">
        <f t="shared" si="1065"/>
        <v>527.01264777847621</v>
      </c>
      <c r="KU337" s="663">
        <f t="shared" si="1053"/>
        <v>15.926500876763686</v>
      </c>
      <c r="KV337" s="117"/>
    </row>
    <row r="338" spans="1:308" s="26" customFormat="1" ht="15">
      <c r="A338" s="561">
        <f t="shared" si="1032"/>
        <v>3038</v>
      </c>
      <c r="B338" s="561">
        <f t="shared" si="1054"/>
        <v>38</v>
      </c>
      <c r="C338" s="561">
        <f t="shared" si="1055"/>
        <v>3</v>
      </c>
      <c r="D338" s="561" t="str">
        <f t="shared" si="1104"/>
        <v xml:space="preserve">1000 CC, 0/0/0.9/3.9, </v>
      </c>
      <c r="E338" s="475">
        <f>INDEX(Input!$1:$1048576,E$93,$C338*2+MIN($B338,2)+5)
+INDEX(Scenarios!E$121:E$200,MATCH($B338,Scenarios!$B$121:$B$200,0))</f>
        <v>2250</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8.9999999999999993E-3</v>
      </c>
      <c r="W338" s="863">
        <f>IFERROR(MAX(0,INDEX(Input!$1:$1048576,W$93,$C338*2+MIN($B338,2)+5)-0%,),"Market")</f>
        <v>3.9000000000000007E-2</v>
      </c>
      <c r="X338" s="476" t="str">
        <f>INDEX(Input!$1:$1048576,X$93,$C338*2+MIN($B338,2)+5)</f>
        <v>Y</v>
      </c>
      <c r="Y338" s="475">
        <f>INDEX(Input!$1:$1048576,Y$93,$C338*2+MIN($B338,2)+5)
++INDEX(Scenarios!Y$121:Y$200,MATCH($B338,Scenarios!$B$121:$B$200,0))</f>
        <v>4108</v>
      </c>
      <c r="Z338" s="477">
        <f>INDEX(Input!$1:$1048576,Z$93,$C338*2+MIN($B338,2)+5)
+INDEX(Scenarios!Z$121:Z$200,MATCH($B338,Scenarios!$B$121:$B$200,0))</f>
        <v>0</v>
      </c>
      <c r="AA338" s="475">
        <f>INDEX(Input!$1:$1048576,AA$93,$C338*2+MIN($B338,2)+5)</f>
        <v>500</v>
      </c>
      <c r="AB338" s="476">
        <f>INDEX(Input!$1:$1048576,AB$93,$C338*2+MIN($B338,2)+5)</f>
        <v>0.62</v>
      </c>
      <c r="AC338" s="475">
        <f>INDEX(Input!$1:$1048576,AC$93,$C338*2+MIN($B338,2)+5)
+INDEX(Scenarios!AC$121:AC$200,MATCH($B338,Scenarios!$B$121:$B$200,0))</f>
        <v>0</v>
      </c>
      <c r="AD338" s="476">
        <f>INDEX(Input!$1:$1048576,AD$93,$C338*2+MIN($B338,2)+5)</f>
        <v>0.35</v>
      </c>
      <c r="AE338" s="475">
        <f>INDEX(Input!$1:$1048576,AE$93,$C338*2+MIN($B338,2)+5)
+INDEX(Scenarios!AE$121:AE$200,MATCH($B338,Scenarios!$B$121:$B$200,0))</f>
        <v>500</v>
      </c>
      <c r="AF338" s="476">
        <f>INDEX(Input!$1:$1048576,AF$93,$C338*2+MIN($B338,2)+5)</f>
        <v>0.97</v>
      </c>
      <c r="AG338" s="475">
        <f>INDEX(Input!$1:$1048576,AG$93,$C338*2+MIN($B338,2)+5)
+INDEX(Scenarios!AG$121:AG$200,MATCH($B338,Scenarios!$B$121:$B$200,0))</f>
        <v>0</v>
      </c>
      <c r="AH338" s="476">
        <f>INDEX(Input!$1:$1048576,AH$93,$C338*2+MIN($B338,2)+5)</f>
        <v>1</v>
      </c>
      <c r="AI338" s="475">
        <f>INDEX(Input!$1:$1048576,AI$93,$C338*2+MIN($B338,2)+5)
+INDEX(Scenarios!AI$121:AI$200,MATCH($B338,Scenarios!$B$121:$B$200,0))</f>
        <v>0</v>
      </c>
      <c r="AJ338" s="476">
        <f>INDEX(Input!$1:$1048576,AJ$93,$C338*2+MIN($B338,2)+5)</f>
        <v>0.35</v>
      </c>
      <c r="AK338" s="150">
        <f>ROUND(INDEX(Input!$1:$1048576,AK$93,$C337*2+MIN($B338,1)+5)+(Y338-VLOOKUP($C338*1000+1,$A:$HH,Y$92,FALSE)),0)</f>
        <v>4982</v>
      </c>
      <c r="AL338" s="150">
        <f>ROUND(INDEX(Input!$1:$1048576,AL$93,$C337*2+MIN($B338,1)+5)-(Y338-VLOOKUP($C338*1000+1,$A:$HH,Y$92,FALSE))/36,0)</f>
        <v>5102</v>
      </c>
      <c r="AM338" s="32" t="str">
        <f t="shared" si="1033"/>
        <v>std/std/std/std</v>
      </c>
      <c r="AN338" s="32" t="str">
        <f t="shared" si="1034"/>
        <v>$0 + 0/0/0/0.9/3.9</v>
      </c>
      <c r="AO338" s="32" t="str">
        <f t="shared" si="1035"/>
        <v>0/0/0/0.9/3.9</v>
      </c>
      <c r="AP338" s="32" t="str">
        <f t="shared" si="989"/>
        <v>0/0/0.9/3.9</v>
      </c>
      <c r="AQ338" s="536">
        <f t="shared" si="988"/>
        <v>485.31655730980572</v>
      </c>
      <c r="AR338" s="32"/>
      <c r="AS338" s="302"/>
      <c r="AT338" s="3">
        <f t="shared" si="1056"/>
        <v>38</v>
      </c>
      <c r="AU338" s="41" t="s">
        <v>121</v>
      </c>
      <c r="AV338" s="41" t="s">
        <v>116</v>
      </c>
      <c r="AW338" s="41" t="str">
        <f>INDEX(Input!$1:$1048576,AW$93,$C338*2+6)</f>
        <v>Kia</v>
      </c>
      <c r="AX338" s="41" t="str">
        <f>INDEX(Input!$1:$1048576,AX$93,$C338*2+6)</f>
        <v>Kia-LR - L3</v>
      </c>
      <c r="AY338" s="41" t="str">
        <f>IF(LEN(D338)=0,"",INDEX(Input!$1:$1048576,AY$93,$C338*2+6))</f>
        <v>Compact Conventional/Sporty Car (43)</v>
      </c>
      <c r="AZ338" s="41" t="str">
        <f>INDEX(Input!$1:$1048576,AZ$93,$C338*2+6)</f>
        <v>Kia Forte</v>
      </c>
      <c r="BA338" s="3">
        <f>INDEX(Input!$1:$1048576,BA$93,$C338*2+6)</f>
        <v>2020</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19695</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990"/>
        <v>2250</v>
      </c>
      <c r="CJ338" s="16" t="str">
        <f>INDEX(Input!$1:$1048576,CJ$93,$C338*2+6)</f>
        <v>N</v>
      </c>
      <c r="CK338" s="1" t="str">
        <f t="shared" si="991"/>
        <v>Market</v>
      </c>
      <c r="CL338" s="1" t="str">
        <f t="shared" si="992"/>
        <v>Market</v>
      </c>
      <c r="CM338" s="1" t="str">
        <f t="shared" si="993"/>
        <v>Market</v>
      </c>
      <c r="CN338" s="1" t="str">
        <f t="shared" si="994"/>
        <v>Market</v>
      </c>
      <c r="CO338" s="1" t="str">
        <f t="shared" si="995"/>
        <v>Market</v>
      </c>
      <c r="CP338" s="304">
        <f t="shared" si="996"/>
        <v>310</v>
      </c>
      <c r="CQ338" s="1">
        <f t="shared" si="997"/>
        <v>0</v>
      </c>
      <c r="CR338" s="1">
        <f t="shared" si="998"/>
        <v>0</v>
      </c>
      <c r="CS338" s="1">
        <f t="shared" si="999"/>
        <v>0</v>
      </c>
      <c r="CT338" s="1">
        <f t="shared" si="1000"/>
        <v>8.9999999999999993E-3</v>
      </c>
      <c r="CU338" s="1">
        <f t="shared" si="1001"/>
        <v>3.9000000000000007E-2</v>
      </c>
      <c r="CV338" s="304">
        <f t="shared" si="1002"/>
        <v>4593</v>
      </c>
      <c r="CW338" s="20" t="s">
        <v>122</v>
      </c>
      <c r="CX338" s="20" t="s">
        <v>122</v>
      </c>
      <c r="CY338" s="20" t="s">
        <v>122</v>
      </c>
      <c r="CZ338" s="20" t="s">
        <v>122</v>
      </c>
      <c r="DA338" s="20" t="s">
        <v>122</v>
      </c>
      <c r="DB338" s="503">
        <f t="shared" si="1003"/>
        <v>0</v>
      </c>
      <c r="DC338" s="127">
        <v>0</v>
      </c>
      <c r="DD338" s="127">
        <v>0</v>
      </c>
      <c r="DE338" s="127">
        <v>0</v>
      </c>
      <c r="DF338" s="127">
        <v>0</v>
      </c>
      <c r="DG338" s="127">
        <v>0</v>
      </c>
      <c r="DH338" s="127">
        <v>0</v>
      </c>
      <c r="DI338" s="127">
        <v>0</v>
      </c>
      <c r="DJ338" s="127">
        <v>0</v>
      </c>
      <c r="DK338" s="127">
        <v>0</v>
      </c>
      <c r="DL338" s="127">
        <v>0</v>
      </c>
      <c r="DM338" s="304">
        <f>INDEX(Input!$1:$1048576,DM$93,$C338*2+6)</f>
        <v>20731.578947368424</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3.7132832121815999E-2</v>
      </c>
      <c r="DZ338" s="7">
        <v>0</v>
      </c>
      <c r="EA338" s="7">
        <v>0.64717374808143679</v>
      </c>
      <c r="EB338" s="7">
        <v>0</v>
      </c>
      <c r="EC338" s="7">
        <v>0</v>
      </c>
      <c r="ED338" s="7">
        <v>0</v>
      </c>
      <c r="EE338" s="7">
        <v>0</v>
      </c>
      <c r="EF338" s="7">
        <v>0</v>
      </c>
      <c r="EG338" s="7">
        <v>0</v>
      </c>
      <c r="EH338" s="7">
        <v>1.0169626100601039E-2</v>
      </c>
      <c r="EI338" s="7">
        <v>1.2867308790116553E-2</v>
      </c>
      <c r="EJ338" s="7">
        <v>0.18557185609755575</v>
      </c>
      <c r="EK338" s="7">
        <v>0.75492584319670797</v>
      </c>
      <c r="EL338" s="7">
        <v>3.6465365815018663E-2</v>
      </c>
      <c r="EM338" s="7">
        <v>5.4139615831126767E-2</v>
      </c>
      <c r="EN338" s="7">
        <v>5.8903840649550704E-2</v>
      </c>
      <c r="EO338" s="7">
        <v>0.56806449089612499</v>
      </c>
      <c r="EP338" s="7">
        <v>0.27410709591931853</v>
      </c>
      <c r="EQ338" s="7">
        <v>5.8713575146425313E-2</v>
      </c>
      <c r="ER338" s="7">
        <v>4.0210997388580236E-2</v>
      </c>
      <c r="ES338" s="7">
        <v>0.2615538039656205</v>
      </c>
      <c r="ET338" s="7">
        <v>0.31569341979674725</v>
      </c>
      <c r="EU338" s="6">
        <v>2600</v>
      </c>
      <c r="EV338" s="6">
        <v>0</v>
      </c>
      <c r="EW338" s="6">
        <v>2600</v>
      </c>
      <c r="EX338" s="6">
        <v>0</v>
      </c>
      <c r="EY338" s="6">
        <v>2973.2169765024496</v>
      </c>
      <c r="EZ338" s="6">
        <v>3636</v>
      </c>
      <c r="FA338" s="6">
        <v>0</v>
      </c>
      <c r="FB338" s="6">
        <v>0</v>
      </c>
      <c r="FC338" s="6">
        <v>0</v>
      </c>
      <c r="FD338" s="6">
        <v>0</v>
      </c>
      <c r="FE338" s="6">
        <v>0</v>
      </c>
      <c r="FF338" s="6">
        <v>0</v>
      </c>
      <c r="FG338" s="6">
        <v>0</v>
      </c>
      <c r="FH338" s="6">
        <v>1154.3218245978892</v>
      </c>
      <c r="FI338" s="6">
        <v>1531.4299904380614</v>
      </c>
      <c r="FJ338" s="6">
        <v>2070.7205842538224</v>
      </c>
      <c r="FK338" s="6">
        <v>2218.639369850102</v>
      </c>
      <c r="FL338" s="6">
        <v>893.91433563489352</v>
      </c>
      <c r="FM338" s="6">
        <v>2123.2169765024496</v>
      </c>
      <c r="FN338" s="6">
        <v>0</v>
      </c>
      <c r="FO338" s="6">
        <v>0</v>
      </c>
      <c r="FP338" s="6">
        <v>0</v>
      </c>
      <c r="FQ338" s="6">
        <v>0</v>
      </c>
      <c r="FR338" s="6">
        <v>0</v>
      </c>
      <c r="FS338" s="6">
        <v>0</v>
      </c>
      <c r="FT338" s="7">
        <v>0.68430658020325275</v>
      </c>
      <c r="FU338" s="7">
        <v>5.4139615831126767E-2</v>
      </c>
      <c r="FV338" s="7">
        <v>0.2615538039656205</v>
      </c>
      <c r="FW338" s="6">
        <v>2600</v>
      </c>
      <c r="FX338" s="6">
        <v>2973.2169765024496</v>
      </c>
      <c r="FY338" s="6">
        <v>3636</v>
      </c>
      <c r="FZ338" s="6">
        <v>2202.331475193394</v>
      </c>
      <c r="GA338" s="6">
        <v>2891.1755646378801</v>
      </c>
      <c r="GB338" s="6">
        <v>16803.824435362119</v>
      </c>
      <c r="GC338" s="7">
        <v>4.8391397220736806E-2</v>
      </c>
      <c r="GD338" s="7">
        <v>5.3578134559226061E-2</v>
      </c>
      <c r="GE338" s="7"/>
      <c r="GF338" s="7"/>
      <c r="GG338" s="7">
        <v>0.10718304567297388</v>
      </c>
      <c r="GH338" s="42">
        <v>3.0645107026055762</v>
      </c>
      <c r="GI338" s="6">
        <v>9317.9764184428532</v>
      </c>
      <c r="GJ338" s="14">
        <v>0.5107463060103955</v>
      </c>
      <c r="GK338" s="14">
        <v>0.5082951978616097</v>
      </c>
      <c r="GL338" s="14">
        <v>0.48925369398960433</v>
      </c>
      <c r="GM338" s="14">
        <v>0.49170480213839018</v>
      </c>
      <c r="GO338" s="5">
        <v>338.16872463277008</v>
      </c>
      <c r="GP338" s="5">
        <v>288.56568471597211</v>
      </c>
      <c r="GQ338" s="5">
        <v>527.27910984145694</v>
      </c>
      <c r="GR338" s="5">
        <v>404.20319246551543</v>
      </c>
      <c r="GS338" s="5">
        <v>334.50205195691484</v>
      </c>
      <c r="GT338" s="5">
        <v>289.18266033348181</v>
      </c>
      <c r="GU338" s="5">
        <v>254.29573314828914</v>
      </c>
      <c r="GV338" s="39" t="s">
        <v>392</v>
      </c>
      <c r="GW338" s="5">
        <v>468.76388888888891</v>
      </c>
      <c r="GX338" s="5">
        <v>351.57291666666669</v>
      </c>
      <c r="GY338" s="5">
        <v>281.25833333333333</v>
      </c>
      <c r="GZ338" s="5">
        <v>240.8550698915011</v>
      </c>
      <c r="HA338" s="5">
        <v>229.8919505212948</v>
      </c>
      <c r="HB338" s="39">
        <v>251.69539251975797</v>
      </c>
      <c r="HC338" s="5">
        <v>124.04062499999996</v>
      </c>
      <c r="HD338" s="5">
        <v>127.75060307017539</v>
      </c>
      <c r="HE338" s="5">
        <v>136.66051366396758</v>
      </c>
      <c r="HF338" s="5">
        <v>133.62067434210525</v>
      </c>
      <c r="HG338" s="5">
        <v>137.88493421052632</v>
      </c>
      <c r="HH338" s="39">
        <v>130.72650526464056</v>
      </c>
      <c r="HI338" s="16"/>
      <c r="HJ338" s="19" t="str">
        <f t="shared" si="1115"/>
        <v>On</v>
      </c>
      <c r="HK338" s="1" t="str">
        <f t="shared" si="1115"/>
        <v>On</v>
      </c>
      <c r="HL338" s="16"/>
      <c r="HM338" s="639">
        <f t="shared" si="1004"/>
        <v>2.8970655363290673E-2</v>
      </c>
      <c r="HN338" s="639">
        <f t="shared" si="1005"/>
        <v>2.1835179285533651E-3</v>
      </c>
      <c r="HO338" s="639">
        <f t="shared" si="1006"/>
        <v>1.5544129749146325E-2</v>
      </c>
      <c r="HP338" s="644">
        <f>(FT338*$GD338-HM338)/$JF338*INDEX(Input!$1:$1048576,$JG$93,$C338*2+6)</f>
        <v>317.29485850000566</v>
      </c>
      <c r="HQ338" s="644">
        <f>(FU338*$GD338-HN338)/$JF338*INDEX(Input!$1:$1048576,$JG$93,$C338*2+6)</f>
        <v>29.579060728110608</v>
      </c>
      <c r="HR338" s="644">
        <f>(FV338*$GD338-HO338)/$JF338*INDEX(Input!$1:$1048576,$JG$93,$C338*2+6)</f>
        <v>-63.125803317115924</v>
      </c>
      <c r="HS338" s="644">
        <f t="shared" si="1116"/>
        <v>-97.607803436798577</v>
      </c>
      <c r="HT338" s="644">
        <f t="shared" si="1008"/>
        <v>91.633893456689478</v>
      </c>
      <c r="HU338" s="644">
        <f t="shared" si="1009"/>
        <v>34.958033416897671</v>
      </c>
      <c r="HV338" s="648">
        <f t="shared" si="1010"/>
        <v>0</v>
      </c>
      <c r="HW338" s="648">
        <f t="shared" si="1011"/>
        <v>0</v>
      </c>
      <c r="HX338" s="648">
        <f t="shared" si="1012"/>
        <v>0</v>
      </c>
      <c r="HY338" s="644">
        <f>INDEX(Input!$1:$1048576,HY$93,$C338*2+6)*INDEX(Input!$1:$1048576,$JG$93,$C338*2+6)</f>
        <v>488.99999999999994</v>
      </c>
      <c r="HZ338" s="644">
        <f>INDEX(Input!$1:$1048576,HZ$93,$C338*2+6)*INDEX(Input!$1:$1048576,$JG$93,$C338*2+6)</f>
        <v>734</v>
      </c>
      <c r="IA338" s="644">
        <f>INDEX(Input!$1:$1048576,IA$93,$C338*2+6)*INDEX(Input!$1:$1048576,$JG$93,$C338*2+6)</f>
        <v>703</v>
      </c>
      <c r="IB338" s="644">
        <f t="shared" si="1036"/>
        <v>708.68705506320703</v>
      </c>
      <c r="IC338" s="644">
        <f t="shared" si="1037"/>
        <v>855.21295418480008</v>
      </c>
      <c r="ID338" s="644">
        <f>IF(AND(INDEX(Input!$1:$1048576,IA$93,$C338*2+7)="TOS",Y338&lt;=INDEX(Y:Y,MATCH(C338*1000+2,A:A))),0,1)*MAX(IA338+HR338+HU338+HX338,0%)</f>
        <v>674.83223009978178</v>
      </c>
      <c r="IE338" s="128">
        <f t="shared" si="1117"/>
        <v>0.3165573098056913</v>
      </c>
      <c r="IF338" s="128">
        <f t="shared" si="1108"/>
        <v>0.38200770023035435</v>
      </c>
      <c r="IG338" s="128">
        <f t="shared" si="1014"/>
        <v>0.30143498996395435</v>
      </c>
      <c r="IH338" s="21"/>
      <c r="II338" s="19">
        <f t="shared" si="1015"/>
        <v>1200</v>
      </c>
      <c r="IJ338" s="19">
        <f t="shared" si="1016"/>
        <v>2224.493581030405</v>
      </c>
      <c r="IK338" s="19">
        <f t="shared" si="1017"/>
        <v>3451.75</v>
      </c>
      <c r="IL338" s="19">
        <f t="shared" si="1039"/>
        <v>1400</v>
      </c>
      <c r="IM338" s="19">
        <f t="shared" si="1018"/>
        <v>748.72339547204456</v>
      </c>
      <c r="IN338" s="19">
        <f t="shared" si="1019"/>
        <v>184.25</v>
      </c>
      <c r="IO338" s="39">
        <f t="shared" si="1020"/>
        <v>0</v>
      </c>
      <c r="IP338" s="39">
        <f t="shared" si="1021"/>
        <v>0</v>
      </c>
      <c r="IQ338" s="39">
        <f t="shared" si="1022"/>
        <v>0</v>
      </c>
      <c r="IR338" s="39">
        <v>0</v>
      </c>
      <c r="IS338" s="39">
        <v>0</v>
      </c>
      <c r="IT338" s="39">
        <v>0</v>
      </c>
      <c r="IU338" s="39">
        <v>0</v>
      </c>
      <c r="IV338" s="39">
        <v>0</v>
      </c>
      <c r="IW338" s="39">
        <v>0</v>
      </c>
      <c r="IX338" s="39">
        <f>INDEX(Input!$1:$1048576,IX$93,$C338*2+6)+INDEX(Input!$1:$1048576,IX$94,$C338*2+6)</f>
        <v>1600</v>
      </c>
      <c r="IY338" s="39">
        <f>INDEX(Input!$1:$1048576,IY$93,$C338*2+6)+INDEX(Input!$1:$1048576,IY$94,$C338*2+6)</f>
        <v>2503.5492916397525</v>
      </c>
      <c r="IZ338" s="39">
        <f>INDEX(Input!$1:$1048576,IZ$93,$C338*2+6)+INDEX(Input!$1:$1048576,IZ$94,$C338*2+6)</f>
        <v>5773.7109265464023</v>
      </c>
      <c r="JA338" s="19">
        <f t="shared" si="1040"/>
        <v>3000</v>
      </c>
      <c r="JB338" s="19">
        <f t="shared" si="1041"/>
        <v>3252.272687111797</v>
      </c>
      <c r="JC338" s="19">
        <f t="shared" si="1042"/>
        <v>5957.9609265464023</v>
      </c>
      <c r="JD338" s="19">
        <f t="shared" si="1043"/>
        <v>3988.003031241793</v>
      </c>
      <c r="JE338" s="21"/>
      <c r="JF338" s="1">
        <f t="shared" si="1023"/>
        <v>4.6698303040990354E-2</v>
      </c>
      <c r="JG338" s="15">
        <f>INDEX(Input!$1:$1048576,JG$93,$C338*2+6)/(1+VLOOKUP(C338*1000+INDEX(Input!$1:$1048576,JG$93+1,$C338*2+6),$A:$KK,$JK$92,FALSE))</f>
        <v>1926</v>
      </c>
      <c r="JH338" s="1">
        <f t="shared" si="1044"/>
        <v>0.14732508614278314</v>
      </c>
      <c r="JI338" s="1">
        <f t="shared" si="1045"/>
        <v>1.5048869904874649E-2</v>
      </c>
      <c r="JJ338" s="1">
        <f t="shared" si="1109"/>
        <v>0</v>
      </c>
      <c r="JK338" s="1">
        <f t="shared" si="1110"/>
        <v>0.16237395604765778</v>
      </c>
      <c r="JL338" s="15">
        <f t="shared" si="1048"/>
        <v>312.73223934778889</v>
      </c>
      <c r="JM338" s="15">
        <f t="shared" si="1074"/>
        <v>2238.7322393477889</v>
      </c>
      <c r="JN338" s="21"/>
      <c r="JO338" s="19">
        <f>INDEX(Input!$1:$1048576,JO$93,$C338*2+6)</f>
        <v>5908.5</v>
      </c>
      <c r="JP338" s="19">
        <f>INDEX(Input!$1:$1048576,JP$93,$C338*2+6)</f>
        <v>3467.7694503767912</v>
      </c>
      <c r="JQ338" s="39">
        <f t="shared" si="1060"/>
        <v>1920.496968758207</v>
      </c>
      <c r="JR338" s="39">
        <f t="shared" si="1077"/>
        <v>520.23358086500184</v>
      </c>
      <c r="JS338" s="39">
        <f t="shared" si="1062"/>
        <v>8.9280709566577094</v>
      </c>
      <c r="JT338" s="39">
        <f t="shared" si="1050"/>
        <v>2.2491469952320093</v>
      </c>
      <c r="JU338" s="385">
        <f>(JQ338*JM338-INDEX(Input!$1:$1048576,Input!A$18,$C338*2+6)*JL338*INDEX(Input!$1:$1048576,Input!A$19,$C338*2+6))/1000000</f>
        <v>4.2994784795287009</v>
      </c>
      <c r="JV338" s="39">
        <f t="shared" si="1084"/>
        <v>-0.40136855904559887</v>
      </c>
      <c r="JW338" s="1">
        <f t="shared" si="1075"/>
        <v>-8.5382178095147782E-2</v>
      </c>
      <c r="JX338" s="19">
        <f t="shared" si="1066"/>
        <v>7191.9255907950619</v>
      </c>
      <c r="JZ338" s="341"/>
      <c r="KA338" s="342"/>
      <c r="KB338" s="469">
        <f t="shared" si="1063"/>
        <v>2.7822247002359868</v>
      </c>
      <c r="KI338" s="473">
        <f t="shared" si="1118"/>
        <v>219.68705506320708</v>
      </c>
      <c r="KJ338" s="473">
        <f t="shared" si="1119"/>
        <v>121.21295418480008</v>
      </c>
      <c r="KK338" s="473">
        <f t="shared" si="1052"/>
        <v>-28.167769900218218</v>
      </c>
      <c r="KN338" s="544">
        <f t="shared" si="1067"/>
        <v>3002</v>
      </c>
      <c r="KO338" s="541">
        <f t="shared" si="1027"/>
        <v>8.6724136598317347E-2</v>
      </c>
      <c r="KP338" s="546">
        <f t="shared" si="1028"/>
        <v>449.73430951727386</v>
      </c>
      <c r="KQ338" s="546">
        <f t="shared" si="1029"/>
        <v>266.92181291642009</v>
      </c>
      <c r="KR338" s="548">
        <f t="shared" si="1030"/>
        <v>3.0803171675279279</v>
      </c>
      <c r="KS338" s="548">
        <f t="shared" si="1031"/>
        <v>5.1900003948577904</v>
      </c>
      <c r="KT338" s="473">
        <f t="shared" si="1065"/>
        <v>527.01264777847621</v>
      </c>
      <c r="KU338" s="663">
        <f t="shared" si="1053"/>
        <v>16.040323310458891</v>
      </c>
      <c r="KV338" s="117"/>
    </row>
    <row r="339" spans="1:308" s="26" customFormat="1" ht="15">
      <c r="A339" s="561">
        <f t="shared" si="1032"/>
        <v>3039</v>
      </c>
      <c r="B339" s="561">
        <f t="shared" si="1054"/>
        <v>39</v>
      </c>
      <c r="C339" s="561">
        <f t="shared" si="1055"/>
        <v>3</v>
      </c>
      <c r="D339" s="561" t="str">
        <f t="shared" si="1104"/>
        <v xml:space="preserve">250 CC, 360 Lease, </v>
      </c>
      <c r="E339" s="475">
        <f>INDEX(Input!$1:$1048576,E$93,$C339*2+MIN($B339,2)+5)
+INDEX(Scenarios!E$121:E$200,MATCH($B339,Scenarios!$B$121:$B$200,0))</f>
        <v>1500</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1.9E-2</v>
      </c>
      <c r="W339" s="863">
        <f>IFERROR(MAX(0,INDEX(Input!$1:$1048576,W$93,$C339*2+MIN($B339,2)+5)-0%,),"Market")</f>
        <v>3.9000000000000007E-2</v>
      </c>
      <c r="X339" s="476" t="str">
        <f>INDEX(Input!$1:$1048576,X$93,$C339*2+MIN($B339,2)+5)</f>
        <v>Y</v>
      </c>
      <c r="Y339" s="475">
        <f>INDEX(Input!$1:$1048576,Y$93,$C339*2+MIN($B339,2)+5)
++INDEX(Scenarios!Y$121:Y$200,MATCH($B339,Scenarios!$B$121:$B$200,0))</f>
        <v>4468</v>
      </c>
      <c r="Z339" s="477">
        <f>INDEX(Input!$1:$1048576,Z$93,$C339*2+MIN($B339,2)+5)
+INDEX(Scenarios!Z$121:Z$200,MATCH($B339,Scenarios!$B$121:$B$200,0))</f>
        <v>0</v>
      </c>
      <c r="AA339" s="475">
        <f>INDEX(Input!$1:$1048576,AA$93,$C339*2+MIN($B339,2)+5)</f>
        <v>500</v>
      </c>
      <c r="AB339" s="476">
        <f>INDEX(Input!$1:$1048576,AB$93,$C339*2+MIN($B339,2)+5)</f>
        <v>0.62</v>
      </c>
      <c r="AC339" s="475">
        <f>INDEX(Input!$1:$1048576,AC$93,$C339*2+MIN($B339,2)+5)
+INDEX(Scenarios!AC$121:AC$200,MATCH($B339,Scenarios!$B$121:$B$200,0))</f>
        <v>0</v>
      </c>
      <c r="AD339" s="476">
        <f>INDEX(Input!$1:$1048576,AD$93,$C339*2+MIN($B339,2)+5)</f>
        <v>0.35</v>
      </c>
      <c r="AE339" s="475">
        <f>INDEX(Input!$1:$1048576,AE$93,$C339*2+MIN($B339,2)+5)
+INDEX(Scenarios!AE$121:AE$200,MATCH($B339,Scenarios!$B$121:$B$200,0))</f>
        <v>500</v>
      </c>
      <c r="AF339" s="476">
        <f>INDEX(Input!$1:$1048576,AF$93,$C339*2+MIN($B339,2)+5)</f>
        <v>0.97</v>
      </c>
      <c r="AG339" s="475">
        <f>INDEX(Input!$1:$1048576,AG$93,$C339*2+MIN($B339,2)+5)
+INDEX(Scenarios!AG$121:AG$200,MATCH($B339,Scenarios!$B$121:$B$200,0))</f>
        <v>0</v>
      </c>
      <c r="AH339" s="476">
        <f>INDEX(Input!$1:$1048576,AH$93,$C339*2+MIN($B339,2)+5)</f>
        <v>1</v>
      </c>
      <c r="AI339" s="475">
        <f>INDEX(Input!$1:$1048576,AI$93,$C339*2+MIN($B339,2)+5)
+INDEX(Scenarios!AI$121:AI$200,MATCH($B339,Scenarios!$B$121:$B$200,0))</f>
        <v>0</v>
      </c>
      <c r="AJ339" s="476">
        <f>INDEX(Input!$1:$1048576,AJ$93,$C339*2+MIN($B339,2)+5)</f>
        <v>0.35</v>
      </c>
      <c r="AK339" s="150">
        <f>ROUND(INDEX(Input!$1:$1048576,AK$93,$C338*2+MIN($B339,1)+5)+(Y339-VLOOKUP($C339*1000+1,$A:$HH,Y$92,FALSE)),0)</f>
        <v>5342</v>
      </c>
      <c r="AL339" s="150">
        <f>ROUND(INDEX(Input!$1:$1048576,AL$93,$C338*2+MIN($B339,1)+5)-(Y339-VLOOKUP($C339*1000+1,$A:$HH,Y$92,FALSE))/36,0)</f>
        <v>5092</v>
      </c>
      <c r="AM339" s="32" t="str">
        <f t="shared" si="1033"/>
        <v>std/std/std/std</v>
      </c>
      <c r="AN339" s="32" t="str">
        <f t="shared" si="1034"/>
        <v>$0 + 0/0/0/1.9/3.9</v>
      </c>
      <c r="AO339" s="32" t="str">
        <f t="shared" si="1035"/>
        <v>0/0/0/1.9/3.9</v>
      </c>
      <c r="AP339" s="32" t="str">
        <f t="shared" si="989"/>
        <v>0/0.9/1.9/3.9</v>
      </c>
      <c r="AQ339" s="536">
        <f t="shared" si="988"/>
        <v>485.25707750810591</v>
      </c>
      <c r="AR339" s="32"/>
      <c r="AS339" s="302"/>
      <c r="AT339" s="3">
        <f t="shared" si="1056"/>
        <v>39</v>
      </c>
      <c r="AU339" s="41" t="s">
        <v>121</v>
      </c>
      <c r="AV339" s="41" t="s">
        <v>116</v>
      </c>
      <c r="AW339" s="41" t="str">
        <f>INDEX(Input!$1:$1048576,AW$93,$C339*2+6)</f>
        <v>Kia</v>
      </c>
      <c r="AX339" s="41" t="str">
        <f>INDEX(Input!$1:$1048576,AX$93,$C339*2+6)</f>
        <v>Kia-LR - L3</v>
      </c>
      <c r="AY339" s="41" t="str">
        <f>IF(LEN(D339)=0,"",INDEX(Input!$1:$1048576,AY$93,$C339*2+6))</f>
        <v>Compact Conventional/Sporty Car (43)</v>
      </c>
      <c r="AZ339" s="41" t="str">
        <f>INDEX(Input!$1:$1048576,AZ$93,$C339*2+6)</f>
        <v>Kia Forte</v>
      </c>
      <c r="BA339" s="3">
        <f>INDEX(Input!$1:$1048576,BA$93,$C339*2+6)</f>
        <v>2020</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19695</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990"/>
        <v>1500</v>
      </c>
      <c r="CJ339" s="16" t="str">
        <f>INDEX(Input!$1:$1048576,CJ$93,$C339*2+6)</f>
        <v>N</v>
      </c>
      <c r="CK339" s="1" t="str">
        <f t="shared" si="991"/>
        <v>Market</v>
      </c>
      <c r="CL339" s="1" t="str">
        <f t="shared" si="992"/>
        <v>Market</v>
      </c>
      <c r="CM339" s="1" t="str">
        <f t="shared" si="993"/>
        <v>Market</v>
      </c>
      <c r="CN339" s="1" t="str">
        <f t="shared" si="994"/>
        <v>Market</v>
      </c>
      <c r="CO339" s="1" t="str">
        <f t="shared" si="995"/>
        <v>Market</v>
      </c>
      <c r="CP339" s="304">
        <f t="shared" si="996"/>
        <v>310</v>
      </c>
      <c r="CQ339" s="1">
        <f t="shared" si="997"/>
        <v>0</v>
      </c>
      <c r="CR339" s="1">
        <f t="shared" si="998"/>
        <v>0</v>
      </c>
      <c r="CS339" s="1">
        <f t="shared" si="999"/>
        <v>0</v>
      </c>
      <c r="CT339" s="1">
        <f t="shared" si="1000"/>
        <v>1.9E-2</v>
      </c>
      <c r="CU339" s="1">
        <f t="shared" si="1001"/>
        <v>3.9000000000000007E-2</v>
      </c>
      <c r="CV339" s="304">
        <f t="shared" si="1002"/>
        <v>4953</v>
      </c>
      <c r="CW339" s="20" t="s">
        <v>122</v>
      </c>
      <c r="CX339" s="20" t="s">
        <v>122</v>
      </c>
      <c r="CY339" s="20" t="s">
        <v>122</v>
      </c>
      <c r="CZ339" s="20" t="s">
        <v>122</v>
      </c>
      <c r="DA339" s="20" t="s">
        <v>122</v>
      </c>
      <c r="DB339" s="503">
        <f t="shared" si="1003"/>
        <v>0</v>
      </c>
      <c r="DC339" s="127">
        <v>0</v>
      </c>
      <c r="DD339" s="127">
        <v>0</v>
      </c>
      <c r="DE339" s="127">
        <v>0</v>
      </c>
      <c r="DF339" s="127">
        <v>0</v>
      </c>
      <c r="DG339" s="127">
        <v>0</v>
      </c>
      <c r="DH339" s="127">
        <v>0</v>
      </c>
      <c r="DI339" s="127">
        <v>0</v>
      </c>
      <c r="DJ339" s="127">
        <v>0</v>
      </c>
      <c r="DK339" s="127">
        <v>0</v>
      </c>
      <c r="DL339" s="127">
        <v>0</v>
      </c>
      <c r="DM339" s="304">
        <f>INDEX(Input!$1:$1048576,DM$93,$C339*2+6)</f>
        <v>20731.578947368424</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3.3503959168401869E-2</v>
      </c>
      <c r="DZ339" s="7">
        <v>0</v>
      </c>
      <c r="EA339" s="7">
        <v>0.59072645499928345</v>
      </c>
      <c r="EB339" s="7">
        <v>0</v>
      </c>
      <c r="EC339" s="7">
        <v>0</v>
      </c>
      <c r="ED339" s="7">
        <v>0</v>
      </c>
      <c r="EE339" s="7">
        <v>0</v>
      </c>
      <c r="EF339" s="7">
        <v>0</v>
      </c>
      <c r="EG339" s="7">
        <v>0</v>
      </c>
      <c r="EH339" s="7">
        <v>1.4121744945922041E-2</v>
      </c>
      <c r="EI339" s="7">
        <v>1.7904815181726721E-2</v>
      </c>
      <c r="EJ339" s="7">
        <v>0.25726243159225526</v>
      </c>
      <c r="EK339" s="7">
        <v>0.65975463255482758</v>
      </c>
      <c r="EL339" s="7">
        <v>5.0956375725268566E-2</v>
      </c>
      <c r="EM339" s="7">
        <v>4.375820612005546E-2</v>
      </c>
      <c r="EN339" s="7">
        <v>6.0273956083923594E-2</v>
      </c>
      <c r="EO339" s="7">
        <v>0.5667455773469493</v>
      </c>
      <c r="EP339" s="7">
        <v>0.27600976301752572</v>
      </c>
      <c r="EQ339" s="7">
        <v>5.7539036077023133E-2</v>
      </c>
      <c r="ER339" s="7">
        <v>3.9431667474578228E-2</v>
      </c>
      <c r="ES339" s="7">
        <v>0.33201137971225919</v>
      </c>
      <c r="ET339" s="7">
        <v>0.37576958583231473</v>
      </c>
      <c r="EU339" s="6">
        <v>1850</v>
      </c>
      <c r="EV339" s="6">
        <v>0</v>
      </c>
      <c r="EW339" s="6">
        <v>1850</v>
      </c>
      <c r="EX339" s="6">
        <v>0</v>
      </c>
      <c r="EY339" s="6">
        <v>2624.5753201404423</v>
      </c>
      <c r="EZ339" s="6">
        <v>3996</v>
      </c>
      <c r="FA339" s="6">
        <v>0</v>
      </c>
      <c r="FB339" s="6">
        <v>0</v>
      </c>
      <c r="FC339" s="6">
        <v>0</v>
      </c>
      <c r="FD339" s="6">
        <v>0</v>
      </c>
      <c r="FE339" s="6">
        <v>0</v>
      </c>
      <c r="FF339" s="6">
        <v>0</v>
      </c>
      <c r="FG339" s="6">
        <v>0</v>
      </c>
      <c r="FH339" s="6">
        <v>1154.3278814843075</v>
      </c>
      <c r="FI339" s="6">
        <v>1531.4299904380618</v>
      </c>
      <c r="FJ339" s="6">
        <v>2070.7205842538215</v>
      </c>
      <c r="FK339" s="6">
        <v>1746.9903521590431</v>
      </c>
      <c r="FL339" s="6">
        <v>893.91433563489363</v>
      </c>
      <c r="FM339" s="6">
        <v>1774.5753201404425</v>
      </c>
      <c r="FN339" s="6">
        <v>0</v>
      </c>
      <c r="FO339" s="6">
        <v>0</v>
      </c>
      <c r="FP339" s="6">
        <v>0</v>
      </c>
      <c r="FQ339" s="6">
        <v>0</v>
      </c>
      <c r="FR339" s="6">
        <v>0</v>
      </c>
      <c r="FS339" s="6">
        <v>0</v>
      </c>
      <c r="FT339" s="7">
        <v>0.62423041416768532</v>
      </c>
      <c r="FU339" s="7">
        <v>4.375820612005546E-2</v>
      </c>
      <c r="FV339" s="7">
        <v>0.33201137971225919</v>
      </c>
      <c r="FW339" s="6">
        <v>1849.9999999999998</v>
      </c>
      <c r="FX339" s="6">
        <v>2624.5753201404423</v>
      </c>
      <c r="FY339" s="6">
        <v>3996</v>
      </c>
      <c r="FZ339" s="6">
        <v>2202.331475193394</v>
      </c>
      <c r="GA339" s="6">
        <v>2596.3904473767216</v>
      </c>
      <c r="GB339" s="6">
        <v>17098.609552623278</v>
      </c>
      <c r="GC339" s="7">
        <v>4.8391397220736806E-2</v>
      </c>
      <c r="GD339" s="7">
        <v>5.0696802818628602E-2</v>
      </c>
      <c r="GE339" s="7"/>
      <c r="GF339" s="7"/>
      <c r="GG339" s="7">
        <v>4.7640814903023229E-2</v>
      </c>
      <c r="GH339" s="42">
        <v>2.381079776756168</v>
      </c>
      <c r="GI339" s="6">
        <v>10867.847872810498</v>
      </c>
      <c r="GJ339" s="14">
        <v>0.51074630601039539</v>
      </c>
      <c r="GK339" s="14">
        <v>0.50829519786160959</v>
      </c>
      <c r="GL339" s="14">
        <v>0.48925369398960433</v>
      </c>
      <c r="GM339" s="14">
        <v>0.49170480213839013</v>
      </c>
      <c r="GO339" s="5">
        <v>338.16872463277008</v>
      </c>
      <c r="GP339" s="5">
        <v>302.87425392274076</v>
      </c>
      <c r="GQ339" s="5">
        <v>527.27910984145694</v>
      </c>
      <c r="GR339" s="5">
        <v>404.20319246551543</v>
      </c>
      <c r="GS339" s="5">
        <v>334.50205195691484</v>
      </c>
      <c r="GT339" s="5">
        <v>289.18266033348181</v>
      </c>
      <c r="GU339" s="5">
        <v>254.29573314828914</v>
      </c>
      <c r="GV339" s="39" t="s">
        <v>392</v>
      </c>
      <c r="GW339" s="5">
        <v>468.76388888888891</v>
      </c>
      <c r="GX339" s="5">
        <v>351.57291666666669</v>
      </c>
      <c r="GY339" s="5">
        <v>281.25833333333333</v>
      </c>
      <c r="GZ339" s="5">
        <v>248.18079879493993</v>
      </c>
      <c r="HA339" s="5">
        <v>229.8919505212948</v>
      </c>
      <c r="HB339" s="39">
        <v>260.72470723658023</v>
      </c>
      <c r="HC339" s="5">
        <v>108.29062499999998</v>
      </c>
      <c r="HD339" s="5">
        <v>117.00060307017539</v>
      </c>
      <c r="HE339" s="5">
        <v>126.67974443319835</v>
      </c>
      <c r="HF339" s="5">
        <v>125.29567434210523</v>
      </c>
      <c r="HG339" s="5">
        <v>130.98493421052632</v>
      </c>
      <c r="HH339" s="39">
        <v>120.17587164886055</v>
      </c>
      <c r="HI339" s="16"/>
      <c r="HJ339" s="19" t="str">
        <f t="shared" si="1115"/>
        <v>On</v>
      </c>
      <c r="HK339" s="1" t="str">
        <f t="shared" si="1115"/>
        <v>On</v>
      </c>
      <c r="HL339" s="16"/>
      <c r="HM339" s="639">
        <f t="shared" si="1004"/>
        <v>2.8970655363290673E-2</v>
      </c>
      <c r="HN339" s="639">
        <f t="shared" si="1005"/>
        <v>2.1835179285533651E-3</v>
      </c>
      <c r="HO339" s="639">
        <f t="shared" si="1006"/>
        <v>1.5544129749146325E-2</v>
      </c>
      <c r="HP339" s="644">
        <f>(FT339*$GD339-HM339)/$JF339*INDEX(Input!$1:$1048576,$JG$93,$C339*2+6)</f>
        <v>110.36054621439153</v>
      </c>
      <c r="HQ339" s="644">
        <f>(FU339*$GD339-HN339)/$JF339*INDEX(Input!$1:$1048576,$JG$93,$C339*2+6)</f>
        <v>1.4387049433665164</v>
      </c>
      <c r="HR339" s="644">
        <f>(FV339*$GD339-HO339)/$JF339*INDEX(Input!$1:$1048576,$JG$93,$C339*2+6)</f>
        <v>53.112749284130409</v>
      </c>
      <c r="HS339" s="644">
        <f t="shared" si="1116"/>
        <v>-45.371964471618391</v>
      </c>
      <c r="HT339" s="644">
        <f t="shared" si="1008"/>
        <v>50.150655298256744</v>
      </c>
      <c r="HU339" s="644">
        <f t="shared" si="1009"/>
        <v>59.256996782537939</v>
      </c>
      <c r="HV339" s="648">
        <f t="shared" si="1010"/>
        <v>0</v>
      </c>
      <c r="HW339" s="648">
        <f t="shared" si="1011"/>
        <v>0</v>
      </c>
      <c r="HX339" s="648">
        <f t="shared" si="1012"/>
        <v>0</v>
      </c>
      <c r="HY339" s="644">
        <f>INDEX(Input!$1:$1048576,HY$93,$C339*2+6)*INDEX(Input!$1:$1048576,$JG$93,$C339*2+6)</f>
        <v>488.99999999999994</v>
      </c>
      <c r="HZ339" s="644">
        <f>INDEX(Input!$1:$1048576,HZ$93,$C339*2+6)*INDEX(Input!$1:$1048576,$JG$93,$C339*2+6)</f>
        <v>734</v>
      </c>
      <c r="IA339" s="644">
        <f>INDEX(Input!$1:$1048576,IA$93,$C339*2+6)*INDEX(Input!$1:$1048576,$JG$93,$C339*2+6)</f>
        <v>703</v>
      </c>
      <c r="IB339" s="644">
        <f t="shared" si="1036"/>
        <v>553.98858174277325</v>
      </c>
      <c r="IC339" s="644">
        <f t="shared" si="1037"/>
        <v>785.58936024162324</v>
      </c>
      <c r="ID339" s="644">
        <f>IF(AND(INDEX(Input!$1:$1048576,IA$93,$C339*2+7)="TOS",Y339&lt;=INDEX(Y:Y,MATCH(C339*1000+2,A:A))),0,1)*MAX(IA339+HR339+HU339+HX339,0%)</f>
        <v>815.36974606666831</v>
      </c>
      <c r="IE339" s="128">
        <f t="shared" si="1117"/>
        <v>0.25707750810591634</v>
      </c>
      <c r="IF339" s="128">
        <f t="shared" si="1108"/>
        <v>0.36455147593494974</v>
      </c>
      <c r="IG339" s="128">
        <f t="shared" si="1014"/>
        <v>0.37837101595913403</v>
      </c>
      <c r="IH339" s="21"/>
      <c r="II339" s="19">
        <f t="shared" si="1015"/>
        <v>1200</v>
      </c>
      <c r="IJ339" s="19">
        <f t="shared" si="1016"/>
        <v>2224.493581030405</v>
      </c>
      <c r="IK339" s="19">
        <f t="shared" si="1017"/>
        <v>3451.75</v>
      </c>
      <c r="IL339" s="19">
        <f t="shared" si="1039"/>
        <v>649.99999999999977</v>
      </c>
      <c r="IM339" s="19">
        <f t="shared" si="1018"/>
        <v>400.08173911003723</v>
      </c>
      <c r="IN339" s="19">
        <f t="shared" si="1019"/>
        <v>544.25</v>
      </c>
      <c r="IO339" s="39">
        <f t="shared" si="1020"/>
        <v>0</v>
      </c>
      <c r="IP339" s="39">
        <f t="shared" si="1021"/>
        <v>0</v>
      </c>
      <c r="IQ339" s="39">
        <f t="shared" si="1022"/>
        <v>0</v>
      </c>
      <c r="IR339" s="39">
        <v>0</v>
      </c>
      <c r="IS339" s="39">
        <v>0</v>
      </c>
      <c r="IT339" s="39">
        <v>0</v>
      </c>
      <c r="IU339" s="39">
        <v>0</v>
      </c>
      <c r="IV339" s="39">
        <v>0</v>
      </c>
      <c r="IW339" s="39">
        <v>0</v>
      </c>
      <c r="IX339" s="39">
        <f>INDEX(Input!$1:$1048576,IX$93,$C339*2+6)+INDEX(Input!$1:$1048576,IX$94,$C339*2+6)</f>
        <v>1600</v>
      </c>
      <c r="IY339" s="39">
        <f>INDEX(Input!$1:$1048576,IY$93,$C339*2+6)+INDEX(Input!$1:$1048576,IY$94,$C339*2+6)</f>
        <v>2503.5492916397525</v>
      </c>
      <c r="IZ339" s="39">
        <f>INDEX(Input!$1:$1048576,IZ$93,$C339*2+6)+INDEX(Input!$1:$1048576,IZ$94,$C339*2+6)</f>
        <v>5773.7109265464023</v>
      </c>
      <c r="JA339" s="19">
        <f t="shared" si="1040"/>
        <v>2250</v>
      </c>
      <c r="JB339" s="19">
        <f t="shared" si="1041"/>
        <v>2903.6310307497897</v>
      </c>
      <c r="JC339" s="19">
        <f t="shared" si="1042"/>
        <v>6317.9609265464023</v>
      </c>
      <c r="JD339" s="19">
        <f t="shared" si="1043"/>
        <v>4027.4806656361411</v>
      </c>
      <c r="JE339" s="21"/>
      <c r="JF339" s="1">
        <f t="shared" si="1023"/>
        <v>4.6698303040990354E-2</v>
      </c>
      <c r="JG339" s="15">
        <f>INDEX(Input!$1:$1048576,JG$93,$C339*2+6)/(1+VLOOKUP(C339*1000+INDEX(Input!$1:$1048576,JG$93+1,$C339*2+6),$A:$KK,$JK$92,FALSE))</f>
        <v>1926</v>
      </c>
      <c r="JH339" s="1">
        <f t="shared" si="1044"/>
        <v>8.5624091610533984E-2</v>
      </c>
      <c r="JI339" s="1">
        <f t="shared" si="1045"/>
        <v>3.3248020565512092E-2</v>
      </c>
      <c r="JJ339" s="1">
        <f t="shared" si="1109"/>
        <v>0</v>
      </c>
      <c r="JK339" s="1">
        <f t="shared" si="1110"/>
        <v>0.11887211217604607</v>
      </c>
      <c r="JL339" s="15">
        <f t="shared" si="1048"/>
        <v>228.94768805106472</v>
      </c>
      <c r="JM339" s="15">
        <f t="shared" si="1074"/>
        <v>2154.9476880510647</v>
      </c>
      <c r="JN339" s="21"/>
      <c r="JO339" s="19">
        <f>INDEX(Input!$1:$1048576,JO$93,$C339*2+6)</f>
        <v>5908.5</v>
      </c>
      <c r="JP339" s="19">
        <f>INDEX(Input!$1:$1048576,JP$93,$C339*2+6)</f>
        <v>3467.7694503767912</v>
      </c>
      <c r="JQ339" s="39">
        <f t="shared" si="1060"/>
        <v>1881.0193343638589</v>
      </c>
      <c r="JR339" s="39">
        <f t="shared" si="1077"/>
        <v>559.71121525934996</v>
      </c>
      <c r="JS339" s="39">
        <f t="shared" si="1062"/>
        <v>8.6790101490829663</v>
      </c>
      <c r="JT339" s="39">
        <f t="shared" si="1050"/>
        <v>2.0000861876572658</v>
      </c>
      <c r="JU339" s="385">
        <f>(JQ339*JM339-INDEX(Input!$1:$1048576,Input!A$18,$C339*2+6)*JL339*INDEX(Input!$1:$1048576,Input!A$19,$C339*2+6))/1000000</f>
        <v>4.0534982657667502</v>
      </c>
      <c r="JV339" s="39">
        <f t="shared" si="1084"/>
        <v>-0.64734877280754954</v>
      </c>
      <c r="JW339" s="1">
        <f t="shared" si="1075"/>
        <v>-0.13770896340500396</v>
      </c>
      <c r="JX339" s="19">
        <f t="shared" si="1066"/>
        <v>8735.9964395498264</v>
      </c>
      <c r="JZ339" s="341"/>
      <c r="KA339" s="342"/>
      <c r="KB339" s="469">
        <f t="shared" si="1063"/>
        <v>2.7822247002359868</v>
      </c>
      <c r="KI339" s="473">
        <f t="shared" si="1118"/>
        <v>64.988581742773306</v>
      </c>
      <c r="KJ339" s="473">
        <f t="shared" si="1119"/>
        <v>51.58936024162324</v>
      </c>
      <c r="KK339" s="473">
        <f t="shared" si="1052"/>
        <v>112.36974606666843</v>
      </c>
      <c r="KN339" s="544">
        <f t="shared" si="1067"/>
        <v>3002</v>
      </c>
      <c r="KO339" s="541">
        <f t="shared" si="1027"/>
        <v>4.6053487126303638E-2</v>
      </c>
      <c r="KP339" s="546">
        <f t="shared" si="1028"/>
        <v>200.47645575695236</v>
      </c>
      <c r="KQ339" s="546">
        <f t="shared" si="1029"/>
        <v>306.39944731076821</v>
      </c>
      <c r="KR339" s="548">
        <f t="shared" si="1030"/>
        <v>3.6695314678764235</v>
      </c>
      <c r="KS339" s="548">
        <f t="shared" si="1031"/>
        <v>2.400966024662337</v>
      </c>
      <c r="KT339" s="473">
        <f t="shared" si="1065"/>
        <v>527.01264777847621</v>
      </c>
      <c r="KU339" s="663">
        <f t="shared" si="1053"/>
        <v>15.105658959603177</v>
      </c>
      <c r="KV339" s="117"/>
    </row>
    <row r="340" spans="1:308" s="26" customFormat="1" ht="15">
      <c r="A340" s="561">
        <f t="shared" si="1032"/>
        <v>3040</v>
      </c>
      <c r="B340" s="561">
        <f t="shared" si="1054"/>
        <v>40</v>
      </c>
      <c r="C340" s="561">
        <f t="shared" si="1055"/>
        <v>3</v>
      </c>
      <c r="D340" s="561" t="str">
        <f t="shared" si="1104"/>
        <v xml:space="preserve">500 CC, 360 Lease, </v>
      </c>
      <c r="E340" s="475">
        <f>INDEX(Input!$1:$1048576,E$93,$C340*2+MIN($B340,2)+5)
+INDEX(Scenarios!E$121:E$200,MATCH($B340,Scenarios!$B$121:$B$200,0))</f>
        <v>1750</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1.9E-2</v>
      </c>
      <c r="W340" s="863">
        <f>IFERROR(MAX(0,INDEX(Input!$1:$1048576,W$93,$C340*2+MIN($B340,2)+5)-0%,),"Market")</f>
        <v>3.9000000000000007E-2</v>
      </c>
      <c r="X340" s="476" t="str">
        <f>INDEX(Input!$1:$1048576,X$93,$C340*2+MIN($B340,2)+5)</f>
        <v>Y</v>
      </c>
      <c r="Y340" s="475">
        <f>INDEX(Input!$1:$1048576,Y$93,$C340*2+MIN($B340,2)+5)
++INDEX(Scenarios!Y$121:Y$200,MATCH($B340,Scenarios!$B$121:$B$200,0))</f>
        <v>4468</v>
      </c>
      <c r="Z340" s="477">
        <f>INDEX(Input!$1:$1048576,Z$93,$C340*2+MIN($B340,2)+5)
+INDEX(Scenarios!Z$121:Z$200,MATCH($B340,Scenarios!$B$121:$B$200,0))</f>
        <v>0</v>
      </c>
      <c r="AA340" s="475">
        <f>INDEX(Input!$1:$1048576,AA$93,$C340*2+MIN($B340,2)+5)</f>
        <v>500</v>
      </c>
      <c r="AB340" s="476">
        <f>INDEX(Input!$1:$1048576,AB$93,$C340*2+MIN($B340,2)+5)</f>
        <v>0.62</v>
      </c>
      <c r="AC340" s="475">
        <f>INDEX(Input!$1:$1048576,AC$93,$C340*2+MIN($B340,2)+5)
+INDEX(Scenarios!AC$121:AC$200,MATCH($B340,Scenarios!$B$121:$B$200,0))</f>
        <v>0</v>
      </c>
      <c r="AD340" s="476">
        <f>INDEX(Input!$1:$1048576,AD$93,$C340*2+MIN($B340,2)+5)</f>
        <v>0.35</v>
      </c>
      <c r="AE340" s="475">
        <f>INDEX(Input!$1:$1048576,AE$93,$C340*2+MIN($B340,2)+5)
+INDEX(Scenarios!AE$121:AE$200,MATCH($B340,Scenarios!$B$121:$B$200,0))</f>
        <v>500</v>
      </c>
      <c r="AF340" s="476">
        <f>INDEX(Input!$1:$1048576,AF$93,$C340*2+MIN($B340,2)+5)</f>
        <v>0.97</v>
      </c>
      <c r="AG340" s="475">
        <f>INDEX(Input!$1:$1048576,AG$93,$C340*2+MIN($B340,2)+5)
+INDEX(Scenarios!AG$121:AG$200,MATCH($B340,Scenarios!$B$121:$B$200,0))</f>
        <v>0</v>
      </c>
      <c r="AH340" s="476">
        <f>INDEX(Input!$1:$1048576,AH$93,$C340*2+MIN($B340,2)+5)</f>
        <v>1</v>
      </c>
      <c r="AI340" s="475">
        <f>INDEX(Input!$1:$1048576,AI$93,$C340*2+MIN($B340,2)+5)
+INDEX(Scenarios!AI$121:AI$200,MATCH($B340,Scenarios!$B$121:$B$200,0))</f>
        <v>0</v>
      </c>
      <c r="AJ340" s="476">
        <f>INDEX(Input!$1:$1048576,AJ$93,$C340*2+MIN($B340,2)+5)</f>
        <v>0.35</v>
      </c>
      <c r="AK340" s="150">
        <f>ROUND(INDEX(Input!$1:$1048576,AK$93,$C339*2+MIN($B340,1)+5)+(Y340-VLOOKUP($C340*1000+1,$A:$HH,Y$92,FALSE)),0)</f>
        <v>5342</v>
      </c>
      <c r="AL340" s="150">
        <f>ROUND(INDEX(Input!$1:$1048576,AL$93,$C339*2+MIN($B340,1)+5)-(Y340-VLOOKUP($C340*1000+1,$A:$HH,Y$92,FALSE))/36,0)</f>
        <v>5092</v>
      </c>
      <c r="AM340" s="32" t="str">
        <f t="shared" si="1033"/>
        <v>std/std/std/std</v>
      </c>
      <c r="AN340" s="32" t="str">
        <f t="shared" si="1034"/>
        <v>$0 + 0/0/0/1.9/3.9</v>
      </c>
      <c r="AO340" s="32" t="str">
        <f t="shared" si="1035"/>
        <v>0/0/0/1.9/3.9</v>
      </c>
      <c r="AP340" s="32" t="str">
        <f t="shared" si="989"/>
        <v>0/0.9/1.9/3.9</v>
      </c>
      <c r="AQ340" s="536">
        <f t="shared" si="988"/>
        <v>485.27459738928047</v>
      </c>
      <c r="AR340" s="32"/>
      <c r="AS340" s="302"/>
      <c r="AT340" s="3">
        <f t="shared" si="1056"/>
        <v>40</v>
      </c>
      <c r="AU340" s="41" t="s">
        <v>121</v>
      </c>
      <c r="AV340" s="41" t="s">
        <v>116</v>
      </c>
      <c r="AW340" s="41" t="str">
        <f>INDEX(Input!$1:$1048576,AW$93,$C340*2+6)</f>
        <v>Kia</v>
      </c>
      <c r="AX340" s="41" t="str">
        <f>INDEX(Input!$1:$1048576,AX$93,$C340*2+6)</f>
        <v>Kia-LR - L3</v>
      </c>
      <c r="AY340" s="41" t="str">
        <f>IF(LEN(D340)=0,"",INDEX(Input!$1:$1048576,AY$93,$C340*2+6))</f>
        <v>Compact Conventional/Sporty Car (43)</v>
      </c>
      <c r="AZ340" s="41" t="str">
        <f>INDEX(Input!$1:$1048576,AZ$93,$C340*2+6)</f>
        <v>Kia Forte</v>
      </c>
      <c r="BA340" s="3">
        <f>INDEX(Input!$1:$1048576,BA$93,$C340*2+6)</f>
        <v>2020</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19695</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990"/>
        <v>1750</v>
      </c>
      <c r="CJ340" s="16" t="str">
        <f>INDEX(Input!$1:$1048576,CJ$93,$C340*2+6)</f>
        <v>N</v>
      </c>
      <c r="CK340" s="1" t="str">
        <f t="shared" si="991"/>
        <v>Market</v>
      </c>
      <c r="CL340" s="1" t="str">
        <f t="shared" si="992"/>
        <v>Market</v>
      </c>
      <c r="CM340" s="1" t="str">
        <f t="shared" si="993"/>
        <v>Market</v>
      </c>
      <c r="CN340" s="1" t="str">
        <f t="shared" si="994"/>
        <v>Market</v>
      </c>
      <c r="CO340" s="1" t="str">
        <f t="shared" si="995"/>
        <v>Market</v>
      </c>
      <c r="CP340" s="304">
        <f t="shared" si="996"/>
        <v>310</v>
      </c>
      <c r="CQ340" s="1">
        <f t="shared" si="997"/>
        <v>0</v>
      </c>
      <c r="CR340" s="1">
        <f t="shared" si="998"/>
        <v>0</v>
      </c>
      <c r="CS340" s="1">
        <f t="shared" si="999"/>
        <v>0</v>
      </c>
      <c r="CT340" s="1">
        <f t="shared" si="1000"/>
        <v>1.9E-2</v>
      </c>
      <c r="CU340" s="1">
        <f t="shared" si="1001"/>
        <v>3.9000000000000007E-2</v>
      </c>
      <c r="CV340" s="304">
        <f t="shared" si="1002"/>
        <v>4953</v>
      </c>
      <c r="CW340" s="20" t="s">
        <v>122</v>
      </c>
      <c r="CX340" s="20" t="s">
        <v>122</v>
      </c>
      <c r="CY340" s="20" t="s">
        <v>122</v>
      </c>
      <c r="CZ340" s="20" t="s">
        <v>122</v>
      </c>
      <c r="DA340" s="20" t="s">
        <v>122</v>
      </c>
      <c r="DB340" s="503">
        <f t="shared" si="1003"/>
        <v>0</v>
      </c>
      <c r="DC340" s="127">
        <v>0</v>
      </c>
      <c r="DD340" s="127">
        <v>0</v>
      </c>
      <c r="DE340" s="127">
        <v>0</v>
      </c>
      <c r="DF340" s="127">
        <v>0</v>
      </c>
      <c r="DG340" s="127">
        <v>0</v>
      </c>
      <c r="DH340" s="127">
        <v>0</v>
      </c>
      <c r="DI340" s="127">
        <v>0</v>
      </c>
      <c r="DJ340" s="127">
        <v>0</v>
      </c>
      <c r="DK340" s="127">
        <v>0</v>
      </c>
      <c r="DL340" s="127">
        <v>0</v>
      </c>
      <c r="DM340" s="304">
        <f>INDEX(Input!$1:$1048576,DM$93,$C340*2+6)</f>
        <v>20731.578947368424</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3.4508023778020341E-2</v>
      </c>
      <c r="DZ340" s="7">
        <v>0</v>
      </c>
      <c r="EA340" s="7">
        <v>0.60614352550185846</v>
      </c>
      <c r="EB340" s="7">
        <v>0</v>
      </c>
      <c r="EC340" s="7">
        <v>0</v>
      </c>
      <c r="ED340" s="7">
        <v>0</v>
      </c>
      <c r="EE340" s="7">
        <v>0</v>
      </c>
      <c r="EF340" s="7">
        <v>0</v>
      </c>
      <c r="EG340" s="7">
        <v>0</v>
      </c>
      <c r="EH340" s="7">
        <v>1.4130605597793264E-2</v>
      </c>
      <c r="EI340" s="7">
        <v>1.7905604790133738E-2</v>
      </c>
      <c r="EJ340" s="7">
        <v>0.25754415371161216</v>
      </c>
      <c r="EK340" s="7">
        <v>0.65952154119400863</v>
      </c>
      <c r="EL340" s="7">
        <v>5.0898094706452034E-2</v>
      </c>
      <c r="EM340" s="7">
        <v>4.1847437807705799E-2</v>
      </c>
      <c r="EN340" s="7">
        <v>6.0273956083923566E-2</v>
      </c>
      <c r="EO340" s="7">
        <v>0.56674557734694919</v>
      </c>
      <c r="EP340" s="7">
        <v>0.27600976301752567</v>
      </c>
      <c r="EQ340" s="7">
        <v>5.7539036077023091E-2</v>
      </c>
      <c r="ER340" s="7">
        <v>3.9431667474578228E-2</v>
      </c>
      <c r="ES340" s="7">
        <v>0.3175010129124155</v>
      </c>
      <c r="ET340" s="7">
        <v>0.35934845072012117</v>
      </c>
      <c r="EU340" s="6">
        <v>2100</v>
      </c>
      <c r="EV340" s="6">
        <v>0</v>
      </c>
      <c r="EW340" s="6">
        <v>2100</v>
      </c>
      <c r="EX340" s="6">
        <v>0</v>
      </c>
      <c r="EY340" s="6">
        <v>2624.7107945268917</v>
      </c>
      <c r="EZ340" s="6">
        <v>3996</v>
      </c>
      <c r="FA340" s="6">
        <v>0</v>
      </c>
      <c r="FB340" s="6">
        <v>0</v>
      </c>
      <c r="FC340" s="6">
        <v>0</v>
      </c>
      <c r="FD340" s="6">
        <v>0</v>
      </c>
      <c r="FE340" s="6">
        <v>0</v>
      </c>
      <c r="FF340" s="6">
        <v>0</v>
      </c>
      <c r="FG340" s="6">
        <v>0</v>
      </c>
      <c r="FH340" s="6">
        <v>1154.3261734256441</v>
      </c>
      <c r="FI340" s="6">
        <v>1531.4299904380614</v>
      </c>
      <c r="FJ340" s="6">
        <v>2070.7205842538219</v>
      </c>
      <c r="FK340" s="6">
        <v>1746.9903521590436</v>
      </c>
      <c r="FL340" s="6">
        <v>893.91433563489397</v>
      </c>
      <c r="FM340" s="6">
        <v>1774.7107945268917</v>
      </c>
      <c r="FN340" s="6">
        <v>0</v>
      </c>
      <c r="FO340" s="6">
        <v>0</v>
      </c>
      <c r="FP340" s="6">
        <v>0</v>
      </c>
      <c r="FQ340" s="6">
        <v>0</v>
      </c>
      <c r="FR340" s="6">
        <v>0</v>
      </c>
      <c r="FS340" s="6">
        <v>0</v>
      </c>
      <c r="FT340" s="7">
        <v>0.64065154927987877</v>
      </c>
      <c r="FU340" s="7">
        <v>4.1847437807705799E-2</v>
      </c>
      <c r="FV340" s="7">
        <v>0.3175010129124155</v>
      </c>
      <c r="FW340" s="6">
        <v>2100</v>
      </c>
      <c r="FX340" s="6">
        <v>2624.7107945268917</v>
      </c>
      <c r="FY340" s="6">
        <v>3996</v>
      </c>
      <c r="FZ340" s="6">
        <v>2202.331475193394</v>
      </c>
      <c r="GA340" s="6">
        <v>2723.9397228229359</v>
      </c>
      <c r="GB340" s="6">
        <v>16971.060277177065</v>
      </c>
      <c r="GC340" s="7">
        <v>4.8391397220736806E-2</v>
      </c>
      <c r="GD340" s="7">
        <v>5.175451327458281E-2</v>
      </c>
      <c r="GE340" s="7"/>
      <c r="GF340" s="7"/>
      <c r="GG340" s="7">
        <v>6.9498221729477824E-2</v>
      </c>
      <c r="GH340" s="42">
        <v>2.6241292831975995</v>
      </c>
      <c r="GI340" s="6">
        <v>10229.286401474721</v>
      </c>
      <c r="GJ340" s="14">
        <v>0.51074630601039561</v>
      </c>
      <c r="GK340" s="14">
        <v>0.5082951978616097</v>
      </c>
      <c r="GL340" s="14">
        <v>0.48925369398960428</v>
      </c>
      <c r="GM340" s="14">
        <v>0.49170480213839024</v>
      </c>
      <c r="GO340" s="5">
        <v>338.16872463277008</v>
      </c>
      <c r="GP340" s="5">
        <v>298.1047308538179</v>
      </c>
      <c r="GQ340" s="5">
        <v>527.27910984145694</v>
      </c>
      <c r="GR340" s="5">
        <v>404.20319246551543</v>
      </c>
      <c r="GS340" s="5">
        <v>334.50205195691484</v>
      </c>
      <c r="GT340" s="5">
        <v>289.18266033348181</v>
      </c>
      <c r="GU340" s="5">
        <v>254.29573314828914</v>
      </c>
      <c r="GV340" s="39" t="s">
        <v>392</v>
      </c>
      <c r="GW340" s="5">
        <v>468.76388888888891</v>
      </c>
      <c r="GX340" s="5">
        <v>351.57291666666669</v>
      </c>
      <c r="GY340" s="5">
        <v>281.25833333333333</v>
      </c>
      <c r="GZ340" s="5">
        <v>248.18079879493993</v>
      </c>
      <c r="HA340" s="5">
        <v>229.8919505212948</v>
      </c>
      <c r="HB340" s="39">
        <v>260.73712795167927</v>
      </c>
      <c r="HC340" s="5">
        <v>108.29062499999998</v>
      </c>
      <c r="HD340" s="5">
        <v>117.00060307017539</v>
      </c>
      <c r="HE340" s="5">
        <v>126.67974443319835</v>
      </c>
      <c r="HF340" s="5">
        <v>125.29567434210523</v>
      </c>
      <c r="HG340" s="5">
        <v>130.98493421052632</v>
      </c>
      <c r="HH340" s="39">
        <v>120.17587164886052</v>
      </c>
      <c r="HI340" s="16"/>
      <c r="HJ340" s="19" t="str">
        <f t="shared" si="1115"/>
        <v>On</v>
      </c>
      <c r="HK340" s="1" t="str">
        <f t="shared" si="1115"/>
        <v>On</v>
      </c>
      <c r="HL340" s="16"/>
      <c r="HM340" s="639">
        <f t="shared" si="1004"/>
        <v>2.8970655363290673E-2</v>
      </c>
      <c r="HN340" s="639">
        <f t="shared" si="1005"/>
        <v>2.1835179285533651E-3</v>
      </c>
      <c r="HO340" s="639">
        <f t="shared" si="1006"/>
        <v>1.5544129749146325E-2</v>
      </c>
      <c r="HP340" s="644">
        <f>(FT340*$GD340-HM340)/$JF340*INDEX(Input!$1:$1048576,$JG$93,$C340*2+6)</f>
        <v>172.64325241418371</v>
      </c>
      <c r="HQ340" s="644">
        <f>(FU340*$GD340-HN340)/$JF340*INDEX(Input!$1:$1048576,$JG$93,$C340*2+6)</f>
        <v>-0.73100555068088968</v>
      </c>
      <c r="HR340" s="644">
        <f>(FV340*$GD340-HO340)/$JF340*INDEX(Input!$1:$1048576,$JG$93,$C340*2+6)</f>
        <v>36.623401666404199</v>
      </c>
      <c r="HS340" s="644">
        <f t="shared" si="1116"/>
        <v>-62.664301869315516</v>
      </c>
      <c r="HT340" s="644">
        <f t="shared" si="1008"/>
        <v>47.147863633787722</v>
      </c>
      <c r="HU340" s="644">
        <f t="shared" si="1009"/>
        <v>62.279570856977436</v>
      </c>
      <c r="HV340" s="648">
        <f t="shared" si="1010"/>
        <v>0</v>
      </c>
      <c r="HW340" s="648">
        <f t="shared" si="1011"/>
        <v>0</v>
      </c>
      <c r="HX340" s="648">
        <f t="shared" si="1012"/>
        <v>0</v>
      </c>
      <c r="HY340" s="644">
        <f>INDEX(Input!$1:$1048576,HY$93,$C340*2+6)*INDEX(Input!$1:$1048576,$JG$93,$C340*2+6)</f>
        <v>488.99999999999994</v>
      </c>
      <c r="HZ340" s="644">
        <f>INDEX(Input!$1:$1048576,HZ$93,$C340*2+6)*INDEX(Input!$1:$1048576,$JG$93,$C340*2+6)</f>
        <v>734</v>
      </c>
      <c r="IA340" s="644">
        <f>INDEX(Input!$1:$1048576,IA$93,$C340*2+6)*INDEX(Input!$1:$1048576,$JG$93,$C340*2+6)</f>
        <v>703</v>
      </c>
      <c r="IB340" s="644">
        <f t="shared" si="1036"/>
        <v>598.9789505448681</v>
      </c>
      <c r="IC340" s="644">
        <f t="shared" si="1037"/>
        <v>780.41685808310694</v>
      </c>
      <c r="ID340" s="644">
        <f>IF(AND(INDEX(Input!$1:$1048576,IA$93,$C340*2+7)="TOS",Y340&lt;=INDEX(Y:Y,MATCH(C340*1000+2,A:A))),0,1)*MAX(IA340+HR340+HU340+HX340,0%)</f>
        <v>801.90297252338166</v>
      </c>
      <c r="IE340" s="128">
        <f t="shared" si="1117"/>
        <v>0.27459738928048572</v>
      </c>
      <c r="IF340" s="128">
        <f t="shared" si="1108"/>
        <v>0.35777623167752326</v>
      </c>
      <c r="IG340" s="128">
        <f t="shared" si="1014"/>
        <v>0.36762637904199102</v>
      </c>
      <c r="IH340" s="21"/>
      <c r="II340" s="19">
        <f t="shared" si="1015"/>
        <v>1200</v>
      </c>
      <c r="IJ340" s="19">
        <f t="shared" si="1016"/>
        <v>2224.493581030405</v>
      </c>
      <c r="IK340" s="19">
        <f t="shared" si="1017"/>
        <v>3451.75</v>
      </c>
      <c r="IL340" s="19">
        <f t="shared" si="1039"/>
        <v>900</v>
      </c>
      <c r="IM340" s="19">
        <f t="shared" si="1018"/>
        <v>400.21721349648669</v>
      </c>
      <c r="IN340" s="19">
        <f t="shared" si="1019"/>
        <v>544.25</v>
      </c>
      <c r="IO340" s="39">
        <f t="shared" si="1020"/>
        <v>0</v>
      </c>
      <c r="IP340" s="39">
        <f t="shared" si="1021"/>
        <v>0</v>
      </c>
      <c r="IQ340" s="39">
        <f t="shared" si="1022"/>
        <v>0</v>
      </c>
      <c r="IR340" s="39">
        <v>0</v>
      </c>
      <c r="IS340" s="39">
        <v>0</v>
      </c>
      <c r="IT340" s="39">
        <v>0</v>
      </c>
      <c r="IU340" s="39">
        <v>0</v>
      </c>
      <c r="IV340" s="39">
        <v>0</v>
      </c>
      <c r="IW340" s="39">
        <v>0</v>
      </c>
      <c r="IX340" s="39">
        <f>INDEX(Input!$1:$1048576,IX$93,$C340*2+6)+INDEX(Input!$1:$1048576,IX$94,$C340*2+6)</f>
        <v>1600</v>
      </c>
      <c r="IY340" s="39">
        <f>INDEX(Input!$1:$1048576,IY$93,$C340*2+6)+INDEX(Input!$1:$1048576,IY$94,$C340*2+6)</f>
        <v>2503.5492916397525</v>
      </c>
      <c r="IZ340" s="39">
        <f>INDEX(Input!$1:$1048576,IZ$93,$C340*2+6)+INDEX(Input!$1:$1048576,IZ$94,$C340*2+6)</f>
        <v>5773.7109265464023</v>
      </c>
      <c r="JA340" s="19">
        <f t="shared" si="1040"/>
        <v>2500</v>
      </c>
      <c r="JB340" s="19">
        <f t="shared" si="1041"/>
        <v>2903.7665051362392</v>
      </c>
      <c r="JC340" s="19">
        <f t="shared" si="1042"/>
        <v>6317.9609265464023</v>
      </c>
      <c r="JD340" s="19">
        <f t="shared" si="1043"/>
        <v>4048.041209435306</v>
      </c>
      <c r="JE340" s="21"/>
      <c r="JF340" s="1">
        <f t="shared" si="1023"/>
        <v>4.6698303040990354E-2</v>
      </c>
      <c r="JG340" s="15">
        <f>INDEX(Input!$1:$1048576,JG$93,$C340*2+6)/(1+VLOOKUP(C340*1000+INDEX(Input!$1:$1048576,JG$93+1,$C340*2+6),$A:$KK,$JK$92,FALSE))</f>
        <v>1926</v>
      </c>
      <c r="JH340" s="1">
        <f t="shared" si="1044"/>
        <v>0.10827396081511267</v>
      </c>
      <c r="JI340" s="1">
        <f t="shared" si="1045"/>
        <v>2.4279923479465029E-2</v>
      </c>
      <c r="JJ340" s="1">
        <f t="shared" si="1109"/>
        <v>0</v>
      </c>
      <c r="JK340" s="1">
        <f t="shared" si="1110"/>
        <v>0.13255388429457771</v>
      </c>
      <c r="JL340" s="15">
        <f t="shared" si="1048"/>
        <v>255.29878115135665</v>
      </c>
      <c r="JM340" s="15">
        <f t="shared" si="1074"/>
        <v>2181.2987811513567</v>
      </c>
      <c r="JN340" s="21"/>
      <c r="JO340" s="19">
        <f>INDEX(Input!$1:$1048576,JO$93,$C340*2+6)</f>
        <v>5908.5</v>
      </c>
      <c r="JP340" s="19">
        <f>INDEX(Input!$1:$1048576,JP$93,$C340*2+6)</f>
        <v>3467.7694503767912</v>
      </c>
      <c r="JQ340" s="39">
        <f t="shared" si="1060"/>
        <v>1860.458790564694</v>
      </c>
      <c r="JR340" s="39">
        <f t="shared" si="1077"/>
        <v>580.27175905851482</v>
      </c>
      <c r="JS340" s="39">
        <f t="shared" si="1062"/>
        <v>8.8299873561916957</v>
      </c>
      <c r="JT340" s="39">
        <f t="shared" si="1050"/>
        <v>2.1510633947659965</v>
      </c>
      <c r="JU340" s="385">
        <f>(JQ340*JM340-INDEX(Input!$1:$1048576,Input!A$18,$C340*2+6)*JL340*INDEX(Input!$1:$1048576,Input!A$19,$C340*2+6))/1000000</f>
        <v>4.0582164922410939</v>
      </c>
      <c r="JV340" s="39">
        <f t="shared" si="1084"/>
        <v>-0.64263054633320582</v>
      </c>
      <c r="JW340" s="1">
        <f t="shared" si="1075"/>
        <v>-0.13670526631900504</v>
      </c>
      <c r="JX340" s="19">
        <f t="shared" si="1066"/>
        <v>8425.670444116673</v>
      </c>
      <c r="JZ340" s="341"/>
      <c r="KA340" s="342"/>
      <c r="KB340" s="469">
        <f t="shared" si="1063"/>
        <v>2.7822247002359868</v>
      </c>
      <c r="KI340" s="473">
        <f t="shared" si="1118"/>
        <v>109.97895054486816</v>
      </c>
      <c r="KJ340" s="473">
        <f t="shared" si="1119"/>
        <v>46.416858083106945</v>
      </c>
      <c r="KK340" s="473">
        <f t="shared" si="1052"/>
        <v>98.902972523381663</v>
      </c>
      <c r="KN340" s="544">
        <f t="shared" si="1067"/>
        <v>3002</v>
      </c>
      <c r="KO340" s="541">
        <f t="shared" si="1027"/>
        <v>5.8844819825465189E-2</v>
      </c>
      <c r="KP340" s="546">
        <f t="shared" si="1028"/>
        <v>269.68629415816787</v>
      </c>
      <c r="KQ340" s="546">
        <f t="shared" si="1029"/>
        <v>326.95999110993307</v>
      </c>
      <c r="KR340" s="548">
        <f t="shared" si="1030"/>
        <v>3.4854658652507164</v>
      </c>
      <c r="KS340" s="548">
        <f t="shared" si="1031"/>
        <v>2.8749155804148816</v>
      </c>
      <c r="KT340" s="473">
        <f t="shared" si="1065"/>
        <v>527.01264777847621</v>
      </c>
      <c r="KU340" s="663">
        <f t="shared" si="1053"/>
        <v>15.272206548824945</v>
      </c>
      <c r="KV340" s="117"/>
    </row>
    <row r="341" spans="1:308" s="26" customFormat="1" ht="15">
      <c r="A341" s="561">
        <f t="shared" si="1032"/>
        <v>3041</v>
      </c>
      <c r="B341" s="561">
        <f t="shared" si="1054"/>
        <v>41</v>
      </c>
      <c r="C341" s="561">
        <f t="shared" si="1055"/>
        <v>3</v>
      </c>
      <c r="D341" s="561" t="str">
        <f t="shared" si="1104"/>
        <v xml:space="preserve">750 CC, 360 Lease, </v>
      </c>
      <c r="E341" s="475">
        <f>INDEX(Input!$1:$1048576,E$93,$C341*2+MIN($B341,2)+5)
+INDEX(Scenarios!E$121:E$200,MATCH($B341,Scenarios!$B$121:$B$200,0))</f>
        <v>2000</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1.9E-2</v>
      </c>
      <c r="W341" s="863">
        <f>IFERROR(MAX(0,INDEX(Input!$1:$1048576,W$93,$C341*2+MIN($B341,2)+5)-0%,),"Market")</f>
        <v>3.9000000000000007E-2</v>
      </c>
      <c r="X341" s="476" t="str">
        <f>INDEX(Input!$1:$1048576,X$93,$C341*2+MIN($B341,2)+5)</f>
        <v>Y</v>
      </c>
      <c r="Y341" s="475">
        <f>INDEX(Input!$1:$1048576,Y$93,$C341*2+MIN($B341,2)+5)
++INDEX(Scenarios!Y$121:Y$200,MATCH($B341,Scenarios!$B$121:$B$200,0))</f>
        <v>4468</v>
      </c>
      <c r="Z341" s="477">
        <f>INDEX(Input!$1:$1048576,Z$93,$C341*2+MIN($B341,2)+5)
+INDEX(Scenarios!Z$121:Z$200,MATCH($B341,Scenarios!$B$121:$B$200,0))</f>
        <v>0</v>
      </c>
      <c r="AA341" s="475">
        <f>INDEX(Input!$1:$1048576,AA$93,$C341*2+MIN($B341,2)+5)</f>
        <v>500</v>
      </c>
      <c r="AB341" s="476">
        <f>INDEX(Input!$1:$1048576,AB$93,$C341*2+MIN($B341,2)+5)</f>
        <v>0.62</v>
      </c>
      <c r="AC341" s="475">
        <f>INDEX(Input!$1:$1048576,AC$93,$C341*2+MIN($B341,2)+5)
+INDEX(Scenarios!AC$121:AC$200,MATCH($B341,Scenarios!$B$121:$B$200,0))</f>
        <v>0</v>
      </c>
      <c r="AD341" s="476">
        <f>INDEX(Input!$1:$1048576,AD$93,$C341*2+MIN($B341,2)+5)</f>
        <v>0.35</v>
      </c>
      <c r="AE341" s="475">
        <f>INDEX(Input!$1:$1048576,AE$93,$C341*2+MIN($B341,2)+5)
+INDEX(Scenarios!AE$121:AE$200,MATCH($B341,Scenarios!$B$121:$B$200,0))</f>
        <v>500</v>
      </c>
      <c r="AF341" s="476">
        <f>INDEX(Input!$1:$1048576,AF$93,$C341*2+MIN($B341,2)+5)</f>
        <v>0.97</v>
      </c>
      <c r="AG341" s="475">
        <f>INDEX(Input!$1:$1048576,AG$93,$C341*2+MIN($B341,2)+5)
+INDEX(Scenarios!AG$121:AG$200,MATCH($B341,Scenarios!$B$121:$B$200,0))</f>
        <v>0</v>
      </c>
      <c r="AH341" s="476">
        <f>INDEX(Input!$1:$1048576,AH$93,$C341*2+MIN($B341,2)+5)</f>
        <v>1</v>
      </c>
      <c r="AI341" s="475">
        <f>INDEX(Input!$1:$1048576,AI$93,$C341*2+MIN($B341,2)+5)
+INDEX(Scenarios!AI$121:AI$200,MATCH($B341,Scenarios!$B$121:$B$200,0))</f>
        <v>0</v>
      </c>
      <c r="AJ341" s="476">
        <f>INDEX(Input!$1:$1048576,AJ$93,$C341*2+MIN($B341,2)+5)</f>
        <v>0.35</v>
      </c>
      <c r="AK341" s="150">
        <f>ROUND(INDEX(Input!$1:$1048576,AK$93,$C340*2+MIN($B341,1)+5)+(Y341-VLOOKUP($C341*1000+1,$A:$HH,Y$92,FALSE)),0)</f>
        <v>5342</v>
      </c>
      <c r="AL341" s="150">
        <f>ROUND(INDEX(Input!$1:$1048576,AL$93,$C340*2+MIN($B341,1)+5)-(Y341-VLOOKUP($C341*1000+1,$A:$HH,Y$92,FALSE))/36,0)</f>
        <v>5092</v>
      </c>
      <c r="AM341" s="32" t="str">
        <f t="shared" si="1033"/>
        <v>std/std/std/std</v>
      </c>
      <c r="AN341" s="32" t="str">
        <f t="shared" si="1034"/>
        <v>$0 + 0/0/0/1.9/3.9</v>
      </c>
      <c r="AO341" s="32" t="str">
        <f t="shared" si="1035"/>
        <v>0/0/0/1.9/3.9</v>
      </c>
      <c r="AP341" s="32" t="str">
        <f t="shared" si="989"/>
        <v>0/0.9/1.9/3.9</v>
      </c>
      <c r="AQ341" s="536">
        <f t="shared" si="988"/>
        <v>485.29236618585475</v>
      </c>
      <c r="AR341" s="32"/>
      <c r="AS341" s="302"/>
      <c r="AT341" s="3">
        <f t="shared" si="1056"/>
        <v>41</v>
      </c>
      <c r="AU341" s="41" t="s">
        <v>121</v>
      </c>
      <c r="AV341" s="41" t="s">
        <v>116</v>
      </c>
      <c r="AW341" s="41" t="str">
        <f>INDEX(Input!$1:$1048576,AW$93,$C341*2+6)</f>
        <v>Kia</v>
      </c>
      <c r="AX341" s="41" t="str">
        <f>INDEX(Input!$1:$1048576,AX$93,$C341*2+6)</f>
        <v>Kia-LR - L3</v>
      </c>
      <c r="AY341" s="41" t="str">
        <f>IF(LEN(D341)=0,"",INDEX(Input!$1:$1048576,AY$93,$C341*2+6))</f>
        <v>Compact Conventional/Sporty Car (43)</v>
      </c>
      <c r="AZ341" s="41" t="str">
        <f>INDEX(Input!$1:$1048576,AZ$93,$C341*2+6)</f>
        <v>Kia Forte</v>
      </c>
      <c r="BA341" s="3">
        <f>INDEX(Input!$1:$1048576,BA$93,$C341*2+6)</f>
        <v>2020</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19695</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990"/>
        <v>2000</v>
      </c>
      <c r="CJ341" s="16" t="str">
        <f>INDEX(Input!$1:$1048576,CJ$93,$C341*2+6)</f>
        <v>N</v>
      </c>
      <c r="CK341" s="1" t="str">
        <f t="shared" si="991"/>
        <v>Market</v>
      </c>
      <c r="CL341" s="1" t="str">
        <f t="shared" si="992"/>
        <v>Market</v>
      </c>
      <c r="CM341" s="1" t="str">
        <f t="shared" si="993"/>
        <v>Market</v>
      </c>
      <c r="CN341" s="1" t="str">
        <f t="shared" si="994"/>
        <v>Market</v>
      </c>
      <c r="CO341" s="1" t="str">
        <f t="shared" si="995"/>
        <v>Market</v>
      </c>
      <c r="CP341" s="304">
        <f t="shared" si="996"/>
        <v>310</v>
      </c>
      <c r="CQ341" s="1">
        <f t="shared" si="997"/>
        <v>0</v>
      </c>
      <c r="CR341" s="1">
        <f t="shared" si="998"/>
        <v>0</v>
      </c>
      <c r="CS341" s="1">
        <f t="shared" si="999"/>
        <v>0</v>
      </c>
      <c r="CT341" s="1">
        <f t="shared" si="1000"/>
        <v>1.9E-2</v>
      </c>
      <c r="CU341" s="1">
        <f t="shared" si="1001"/>
        <v>3.9000000000000007E-2</v>
      </c>
      <c r="CV341" s="304">
        <f t="shared" si="1002"/>
        <v>4953</v>
      </c>
      <c r="CW341" s="20" t="s">
        <v>122</v>
      </c>
      <c r="CX341" s="20" t="s">
        <v>122</v>
      </c>
      <c r="CY341" s="20" t="s">
        <v>122</v>
      </c>
      <c r="CZ341" s="20" t="s">
        <v>122</v>
      </c>
      <c r="DA341" s="20" t="s">
        <v>122</v>
      </c>
      <c r="DB341" s="503">
        <f t="shared" si="1003"/>
        <v>0</v>
      </c>
      <c r="DC341" s="127">
        <v>0</v>
      </c>
      <c r="DD341" s="127">
        <v>0</v>
      </c>
      <c r="DE341" s="127">
        <v>0</v>
      </c>
      <c r="DF341" s="127">
        <v>0</v>
      </c>
      <c r="DG341" s="127">
        <v>0</v>
      </c>
      <c r="DH341" s="127">
        <v>0</v>
      </c>
      <c r="DI341" s="127">
        <v>0</v>
      </c>
      <c r="DJ341" s="127">
        <v>0</v>
      </c>
      <c r="DK341" s="127">
        <v>0</v>
      </c>
      <c r="DL341" s="127">
        <v>0</v>
      </c>
      <c r="DM341" s="304">
        <f>INDEX(Input!$1:$1048576,DM$93,$C341*2+6)</f>
        <v>20731.578947368424</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3.5502713418914707E-2</v>
      </c>
      <c r="DZ341" s="7">
        <v>0</v>
      </c>
      <c r="EA341" s="7">
        <v>0.62125501696486485</v>
      </c>
      <c r="EB341" s="7">
        <v>0</v>
      </c>
      <c r="EC341" s="7">
        <v>0</v>
      </c>
      <c r="ED341" s="7">
        <v>0</v>
      </c>
      <c r="EE341" s="7">
        <v>0</v>
      </c>
      <c r="EF341" s="7">
        <v>0</v>
      </c>
      <c r="EG341" s="7">
        <v>0</v>
      </c>
      <c r="EH341" s="7">
        <v>1.413924359253872E-2</v>
      </c>
      <c r="EI341" s="7">
        <v>1.7906374556666712E-2</v>
      </c>
      <c r="EJ341" s="7">
        <v>0.25781879650562411</v>
      </c>
      <c r="EK341" s="7">
        <v>0.65929430712825177</v>
      </c>
      <c r="EL341" s="7">
        <v>5.0841278216919153E-2</v>
      </c>
      <c r="EM341" s="7">
        <v>3.9973179271155859E-2</v>
      </c>
      <c r="EN341" s="7">
        <v>6.0273956083923615E-2</v>
      </c>
      <c r="EO341" s="7">
        <v>0.56674557734694953</v>
      </c>
      <c r="EP341" s="7">
        <v>0.27600976301752572</v>
      </c>
      <c r="EQ341" s="7">
        <v>5.7539036077023133E-2</v>
      </c>
      <c r="ER341" s="7">
        <v>3.9431667474578228E-2</v>
      </c>
      <c r="ES341" s="7">
        <v>0.30326909034506461</v>
      </c>
      <c r="ET341" s="7">
        <v>0.34324226961622051</v>
      </c>
      <c r="EU341" s="6">
        <v>2350</v>
      </c>
      <c r="EV341" s="6">
        <v>0</v>
      </c>
      <c r="EW341" s="6">
        <v>2350</v>
      </c>
      <c r="EX341" s="6">
        <v>0</v>
      </c>
      <c r="EY341" s="6">
        <v>2624.8428646110469</v>
      </c>
      <c r="EZ341" s="6">
        <v>3996</v>
      </c>
      <c r="FA341" s="6">
        <v>0</v>
      </c>
      <c r="FB341" s="6">
        <v>0</v>
      </c>
      <c r="FC341" s="6">
        <v>0</v>
      </c>
      <c r="FD341" s="6">
        <v>0</v>
      </c>
      <c r="FE341" s="6">
        <v>0</v>
      </c>
      <c r="FF341" s="6">
        <v>0</v>
      </c>
      <c r="FG341" s="6">
        <v>0</v>
      </c>
      <c r="FH341" s="6">
        <v>1154.3245103491281</v>
      </c>
      <c r="FI341" s="6">
        <v>1531.4299904380618</v>
      </c>
      <c r="FJ341" s="6">
        <v>2070.7205842538219</v>
      </c>
      <c r="FK341" s="6">
        <v>1746.9903521590429</v>
      </c>
      <c r="FL341" s="6">
        <v>893.91433563489386</v>
      </c>
      <c r="FM341" s="6">
        <v>1774.8428646110467</v>
      </c>
      <c r="FN341" s="6">
        <v>0</v>
      </c>
      <c r="FO341" s="6">
        <v>0</v>
      </c>
      <c r="FP341" s="6">
        <v>0</v>
      </c>
      <c r="FQ341" s="6">
        <v>0</v>
      </c>
      <c r="FR341" s="6">
        <v>0</v>
      </c>
      <c r="FS341" s="6">
        <v>0</v>
      </c>
      <c r="FT341" s="7">
        <v>0.6567577303837796</v>
      </c>
      <c r="FU341" s="7">
        <v>3.9973179271155859E-2</v>
      </c>
      <c r="FV341" s="7">
        <v>0.30326909034506461</v>
      </c>
      <c r="FW341" s="6">
        <v>2349.9999999999995</v>
      </c>
      <c r="FX341" s="6">
        <v>2624.8428646110469</v>
      </c>
      <c r="FY341" s="6">
        <v>3996</v>
      </c>
      <c r="FZ341" s="6">
        <v>2202.331475193394</v>
      </c>
      <c r="GA341" s="6">
        <v>2860.1672658064717</v>
      </c>
      <c r="GB341" s="6">
        <v>16834.832734193529</v>
      </c>
      <c r="GC341" s="7">
        <v>4.8391397220736806E-2</v>
      </c>
      <c r="GD341" s="7">
        <v>5.2860532845156981E-2</v>
      </c>
      <c r="GE341" s="7"/>
      <c r="GF341" s="7"/>
      <c r="GG341" s="7">
        <v>9.2353928199970403E-2</v>
      </c>
      <c r="GH341" s="42">
        <v>2.7649918746489339</v>
      </c>
      <c r="GI341" s="6">
        <v>9983.1538396822616</v>
      </c>
      <c r="GJ341" s="14">
        <v>0.5107463060103955</v>
      </c>
      <c r="GK341" s="14">
        <v>0.5082951978616097</v>
      </c>
      <c r="GL341" s="14">
        <v>0.48925369398960428</v>
      </c>
      <c r="GM341" s="14">
        <v>0.49170480213839024</v>
      </c>
      <c r="GO341" s="5">
        <v>338.16872463277008</v>
      </c>
      <c r="GP341" s="5">
        <v>293.33520778489498</v>
      </c>
      <c r="GQ341" s="5">
        <v>527.27910984145694</v>
      </c>
      <c r="GR341" s="5">
        <v>404.20319246551543</v>
      </c>
      <c r="GS341" s="5">
        <v>334.50205195691484</v>
      </c>
      <c r="GT341" s="5">
        <v>289.18266033348181</v>
      </c>
      <c r="GU341" s="5">
        <v>254.29573314828914</v>
      </c>
      <c r="GV341" s="39" t="s">
        <v>392</v>
      </c>
      <c r="GW341" s="5">
        <v>468.76388888888891</v>
      </c>
      <c r="GX341" s="5">
        <v>351.57291666666669</v>
      </c>
      <c r="GY341" s="5">
        <v>281.25833333333333</v>
      </c>
      <c r="GZ341" s="5">
        <v>248.18079879493993</v>
      </c>
      <c r="HA341" s="5">
        <v>229.8919505212948</v>
      </c>
      <c r="HB341" s="39">
        <v>260.74923654970587</v>
      </c>
      <c r="HC341" s="5">
        <v>108.29062499999998</v>
      </c>
      <c r="HD341" s="5">
        <v>117.00060307017539</v>
      </c>
      <c r="HE341" s="5">
        <v>126.67974443319835</v>
      </c>
      <c r="HF341" s="5">
        <v>125.29567434210523</v>
      </c>
      <c r="HG341" s="5">
        <v>130.98493421052632</v>
      </c>
      <c r="HH341" s="39">
        <v>120.17587164886056</v>
      </c>
      <c r="HI341" s="16"/>
      <c r="HJ341" s="19" t="str">
        <f t="shared" si="1115"/>
        <v>On</v>
      </c>
      <c r="HK341" s="1" t="str">
        <f t="shared" si="1115"/>
        <v>On</v>
      </c>
      <c r="HL341" s="16"/>
      <c r="HM341" s="639">
        <f t="shared" si="1004"/>
        <v>2.8970655363290673E-2</v>
      </c>
      <c r="HN341" s="639">
        <f t="shared" si="1005"/>
        <v>2.1835179285533651E-3</v>
      </c>
      <c r="HO341" s="639">
        <f t="shared" si="1006"/>
        <v>1.5544129749146325E-2</v>
      </c>
      <c r="HP341" s="644">
        <f>(FT341*$GD341-HM341)/$JF341*INDEX(Input!$1:$1048576,$JG$93,$C341*2+6)</f>
        <v>236.9811856401262</v>
      </c>
      <c r="HQ341" s="644">
        <f>(FU341*$GD341-HN341)/$JF341*INDEX(Input!$1:$1048576,$JG$93,$C341*2+6)</f>
        <v>-2.9082573263173699</v>
      </c>
      <c r="HR341" s="644">
        <f>(FV341*$GD341-HO341)/$JF341*INDEX(Input!$1:$1048576,$JG$93,$C341*2+6)</f>
        <v>20.078803761062161</v>
      </c>
      <c r="HS341" s="644">
        <f t="shared" si="1116"/>
        <v>-79.956635759168805</v>
      </c>
      <c r="HT341" s="644">
        <f t="shared" si="1008"/>
        <v>44.144578369883305</v>
      </c>
      <c r="HU341" s="644">
        <f t="shared" si="1009"/>
        <v>65.302141423573133</v>
      </c>
      <c r="HV341" s="648">
        <f t="shared" si="1010"/>
        <v>0</v>
      </c>
      <c r="HW341" s="648">
        <f t="shared" si="1011"/>
        <v>0</v>
      </c>
      <c r="HX341" s="648">
        <f t="shared" si="1012"/>
        <v>0</v>
      </c>
      <c r="HY341" s="644">
        <f>INDEX(Input!$1:$1048576,HY$93,$C341*2+6)*INDEX(Input!$1:$1048576,$JG$93,$C341*2+6)</f>
        <v>488.99999999999994</v>
      </c>
      <c r="HZ341" s="644">
        <f>INDEX(Input!$1:$1048576,HZ$93,$C341*2+6)*INDEX(Input!$1:$1048576,$JG$93,$C341*2+6)</f>
        <v>734</v>
      </c>
      <c r="IA341" s="644">
        <f>INDEX(Input!$1:$1048576,IA$93,$C341*2+6)*INDEX(Input!$1:$1048576,$JG$93,$C341*2+6)</f>
        <v>703</v>
      </c>
      <c r="IB341" s="644">
        <f t="shared" si="1036"/>
        <v>646.02454988095735</v>
      </c>
      <c r="IC341" s="644">
        <f t="shared" si="1037"/>
        <v>775.23632104356591</v>
      </c>
      <c r="ID341" s="644">
        <f>IF(AND(INDEX(Input!$1:$1048576,IA$93,$C341*2+7)="TOS",Y341&lt;=INDEX(Y:Y,MATCH(C341*1000+2,A:A))),0,1)*MAX(IA341+HR341+HU341+HX341,0%)</f>
        <v>788.38094518463538</v>
      </c>
      <c r="IE341" s="128">
        <f t="shared" ref="IE341:IE342" si="1120">IB341/SUM($IB341:$ID341)</f>
        <v>0.29236618585473179</v>
      </c>
      <c r="IF341" s="128">
        <f t="shared" si="1108"/>
        <v>0.35084252813817512</v>
      </c>
      <c r="IG341" s="128">
        <f t="shared" si="1014"/>
        <v>0.35679128600709303</v>
      </c>
      <c r="IH341" s="21"/>
      <c r="II341" s="19">
        <f t="shared" si="1015"/>
        <v>1200</v>
      </c>
      <c r="IJ341" s="19">
        <f t="shared" si="1016"/>
        <v>2224.493581030405</v>
      </c>
      <c r="IK341" s="19">
        <f t="shared" si="1017"/>
        <v>3451.75</v>
      </c>
      <c r="IL341" s="19">
        <f t="shared" si="1039"/>
        <v>1149.9999999999995</v>
      </c>
      <c r="IM341" s="19">
        <f t="shared" si="1018"/>
        <v>400.3492835806419</v>
      </c>
      <c r="IN341" s="19">
        <f t="shared" si="1019"/>
        <v>544.25</v>
      </c>
      <c r="IO341" s="39">
        <f t="shared" si="1020"/>
        <v>0</v>
      </c>
      <c r="IP341" s="39">
        <f t="shared" si="1021"/>
        <v>0</v>
      </c>
      <c r="IQ341" s="39">
        <f t="shared" si="1022"/>
        <v>0</v>
      </c>
      <c r="IR341" s="39">
        <v>0</v>
      </c>
      <c r="IS341" s="39">
        <v>0</v>
      </c>
      <c r="IT341" s="39">
        <v>0</v>
      </c>
      <c r="IU341" s="39">
        <v>0</v>
      </c>
      <c r="IV341" s="39">
        <v>0</v>
      </c>
      <c r="IW341" s="39">
        <v>0</v>
      </c>
      <c r="IX341" s="39">
        <f>INDEX(Input!$1:$1048576,IX$93,$C341*2+6)+INDEX(Input!$1:$1048576,IX$94,$C341*2+6)</f>
        <v>1600</v>
      </c>
      <c r="IY341" s="39">
        <f>INDEX(Input!$1:$1048576,IY$93,$C341*2+6)+INDEX(Input!$1:$1048576,IY$94,$C341*2+6)</f>
        <v>2503.5492916397525</v>
      </c>
      <c r="IZ341" s="39">
        <f>INDEX(Input!$1:$1048576,IZ$93,$C341*2+6)+INDEX(Input!$1:$1048576,IZ$94,$C341*2+6)</f>
        <v>5773.7109265464023</v>
      </c>
      <c r="JA341" s="19">
        <f t="shared" si="1040"/>
        <v>2749.9999999999995</v>
      </c>
      <c r="JB341" s="19">
        <f t="shared" si="1041"/>
        <v>2903.8985752203944</v>
      </c>
      <c r="JC341" s="19">
        <f t="shared" si="1042"/>
        <v>6317.9609265464023</v>
      </c>
      <c r="JD341" s="19">
        <f t="shared" si="1043"/>
        <v>4077.0115326127361</v>
      </c>
      <c r="JE341" s="21"/>
      <c r="JF341" s="1">
        <f t="shared" si="1023"/>
        <v>4.6698303040990354E-2</v>
      </c>
      <c r="JG341" s="15">
        <f>INDEX(Input!$1:$1048576,JG$93,$C341*2+6)/(1+VLOOKUP(C341*1000+INDEX(Input!$1:$1048576,JG$93+1,$C341*2+6),$A:$KK,$JK$92,FALSE))</f>
        <v>1926</v>
      </c>
      <c r="JH341" s="1">
        <f t="shared" si="1044"/>
        <v>0.13195832402641278</v>
      </c>
      <c r="JI341" s="1">
        <f t="shared" si="1045"/>
        <v>1.5311570111260454E-2</v>
      </c>
      <c r="JJ341" s="1">
        <f t="shared" si="1109"/>
        <v>0</v>
      </c>
      <c r="JK341" s="1">
        <f t="shared" si="1110"/>
        <v>0.14726989413767322</v>
      </c>
      <c r="JL341" s="15">
        <f t="shared" si="1048"/>
        <v>283.64181610915864</v>
      </c>
      <c r="JM341" s="15">
        <f t="shared" si="1074"/>
        <v>2209.6418161091588</v>
      </c>
      <c r="JN341" s="21"/>
      <c r="JO341" s="19">
        <f>INDEX(Input!$1:$1048576,JO$93,$C341*2+6)</f>
        <v>5908.5</v>
      </c>
      <c r="JP341" s="19">
        <f>INDEX(Input!$1:$1048576,JP$93,$C341*2+6)</f>
        <v>3467.7694503767912</v>
      </c>
      <c r="JQ341" s="39">
        <f t="shared" si="1060"/>
        <v>1831.4884673872639</v>
      </c>
      <c r="JR341" s="39">
        <f t="shared" si="1077"/>
        <v>609.24208223594496</v>
      </c>
      <c r="JS341" s="39">
        <f t="shared" si="1062"/>
        <v>9.0087351672203919</v>
      </c>
      <c r="JT341" s="39">
        <f t="shared" si="1050"/>
        <v>2.3298112057946909</v>
      </c>
      <c r="JU341" s="385">
        <f>(JQ341*JM341-INDEX(Input!$1:$1048576,Input!A$18,$C341*2+6)*JL341*INDEX(Input!$1:$1048576,Input!A$19,$C341*2+6))/1000000</f>
        <v>4.0469335032605738</v>
      </c>
      <c r="JV341" s="39">
        <f t="shared" si="1084"/>
        <v>-0.65391353531372598</v>
      </c>
      <c r="JW341" s="1">
        <f t="shared" si="1075"/>
        <v>-0.13910546970531693</v>
      </c>
      <c r="JX341" s="19">
        <f t="shared" si="1066"/>
        <v>8213.9200691694587</v>
      </c>
      <c r="JZ341" s="341"/>
      <c r="KA341" s="342"/>
      <c r="KB341" s="469">
        <f t="shared" si="1063"/>
        <v>2.7822247002359868</v>
      </c>
      <c r="KI341" s="473">
        <f t="shared" si="1118"/>
        <v>157.02454988095741</v>
      </c>
      <c r="KJ341" s="473">
        <f t="shared" si="1119"/>
        <v>41.236321043565908</v>
      </c>
      <c r="KK341" s="473">
        <f t="shared" si="1052"/>
        <v>85.38094518463538</v>
      </c>
      <c r="KN341" s="544">
        <f t="shared" si="1067"/>
        <v>3002</v>
      </c>
      <c r="KO341" s="541">
        <f t="shared" si="1027"/>
        <v>7.2603079813746252E-2</v>
      </c>
      <c r="KP341" s="546">
        <f t="shared" si="1028"/>
        <v>347.80712526124967</v>
      </c>
      <c r="KQ341" s="546">
        <f t="shared" si="1029"/>
        <v>355.93031428736322</v>
      </c>
      <c r="KR341" s="548">
        <f t="shared" si="1030"/>
        <v>3.3344794169271017</v>
      </c>
      <c r="KS341" s="548">
        <f t="shared" si="1031"/>
        <v>3.2583785468407314</v>
      </c>
      <c r="KT341" s="473">
        <f t="shared" si="1065"/>
        <v>527.01264777847621</v>
      </c>
      <c r="KU341" s="663">
        <f t="shared" si="1053"/>
        <v>15.423487109851305</v>
      </c>
      <c r="KV341" s="117"/>
    </row>
    <row r="342" spans="1:308" s="26" customFormat="1" ht="15">
      <c r="A342" s="561">
        <f t="shared" si="1032"/>
        <v>3042</v>
      </c>
      <c r="B342" s="561">
        <f t="shared" si="1054"/>
        <v>42</v>
      </c>
      <c r="C342" s="561">
        <f t="shared" si="1055"/>
        <v>3</v>
      </c>
      <c r="D342" s="561" t="str">
        <f t="shared" si="1104"/>
        <v xml:space="preserve">1000 CC, 360 Lease, </v>
      </c>
      <c r="E342" s="475">
        <f>INDEX(Input!$1:$1048576,E$93,$C342*2+MIN($B342,2)+5)
+INDEX(Scenarios!E$121:E$200,MATCH($B342,Scenarios!$B$121:$B$200,0))</f>
        <v>2250</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1.9E-2</v>
      </c>
      <c r="W342" s="863">
        <f>IFERROR(MAX(0,INDEX(Input!$1:$1048576,W$93,$C342*2+MIN($B342,2)+5)-0%,),"Market")</f>
        <v>3.9000000000000007E-2</v>
      </c>
      <c r="X342" s="476" t="str">
        <f>INDEX(Input!$1:$1048576,X$93,$C342*2+MIN($B342,2)+5)</f>
        <v>Y</v>
      </c>
      <c r="Y342" s="475">
        <f>INDEX(Input!$1:$1048576,Y$93,$C342*2+MIN($B342,2)+5)
++INDEX(Scenarios!Y$121:Y$200,MATCH($B342,Scenarios!$B$121:$B$200,0))</f>
        <v>4468</v>
      </c>
      <c r="Z342" s="477">
        <f>INDEX(Input!$1:$1048576,Z$93,$C342*2+MIN($B342,2)+5)
+INDEX(Scenarios!Z$121:Z$200,MATCH($B342,Scenarios!$B$121:$B$200,0))</f>
        <v>0</v>
      </c>
      <c r="AA342" s="475">
        <f>INDEX(Input!$1:$1048576,AA$93,$C342*2+MIN($B342,2)+5)</f>
        <v>500</v>
      </c>
      <c r="AB342" s="476">
        <f>INDEX(Input!$1:$1048576,AB$93,$C342*2+MIN($B342,2)+5)</f>
        <v>0.62</v>
      </c>
      <c r="AC342" s="475">
        <f>INDEX(Input!$1:$1048576,AC$93,$C342*2+MIN($B342,2)+5)
+INDEX(Scenarios!AC$121:AC$200,MATCH($B342,Scenarios!$B$121:$B$200,0))</f>
        <v>0</v>
      </c>
      <c r="AD342" s="476">
        <f>INDEX(Input!$1:$1048576,AD$93,$C342*2+MIN($B342,2)+5)</f>
        <v>0.35</v>
      </c>
      <c r="AE342" s="475">
        <f>INDEX(Input!$1:$1048576,AE$93,$C342*2+MIN($B342,2)+5)
+INDEX(Scenarios!AE$121:AE$200,MATCH($B342,Scenarios!$B$121:$B$200,0))</f>
        <v>500</v>
      </c>
      <c r="AF342" s="476">
        <f>INDEX(Input!$1:$1048576,AF$93,$C342*2+MIN($B342,2)+5)</f>
        <v>0.97</v>
      </c>
      <c r="AG342" s="475">
        <f>INDEX(Input!$1:$1048576,AG$93,$C342*2+MIN($B342,2)+5)
+INDEX(Scenarios!AG$121:AG$200,MATCH($B342,Scenarios!$B$121:$B$200,0))</f>
        <v>0</v>
      </c>
      <c r="AH342" s="476">
        <f>INDEX(Input!$1:$1048576,AH$93,$C342*2+MIN($B342,2)+5)</f>
        <v>1</v>
      </c>
      <c r="AI342" s="475">
        <f>INDEX(Input!$1:$1048576,AI$93,$C342*2+MIN($B342,2)+5)
+INDEX(Scenarios!AI$121:AI$200,MATCH($B342,Scenarios!$B$121:$B$200,0))</f>
        <v>0</v>
      </c>
      <c r="AJ342" s="476">
        <f>INDEX(Input!$1:$1048576,AJ$93,$C342*2+MIN($B342,2)+5)</f>
        <v>0.35</v>
      </c>
      <c r="AK342" s="150">
        <f>ROUND(INDEX(Input!$1:$1048576,AK$93,$C341*2+MIN($B342,1)+5)+(Y342-VLOOKUP($C342*1000+1,$A:$HH,Y$92,FALSE)),0)</f>
        <v>5342</v>
      </c>
      <c r="AL342" s="150">
        <f>ROUND(INDEX(Input!$1:$1048576,AL$93,$C341*2+MIN($B342,1)+5)-(Y342-VLOOKUP($C342*1000+1,$A:$HH,Y$92,FALSE))/36,0)</f>
        <v>5092</v>
      </c>
      <c r="AM342" s="32" t="str">
        <f t="shared" si="1033"/>
        <v>std/std/std/std</v>
      </c>
      <c r="AN342" s="32" t="str">
        <f t="shared" si="1034"/>
        <v>$0 + 0/0/0/1.9/3.9</v>
      </c>
      <c r="AO342" s="32" t="str">
        <f t="shared" si="1035"/>
        <v>0/0/0/1.9/3.9</v>
      </c>
      <c r="AP342" s="32" t="str">
        <f t="shared" si="989"/>
        <v>0/0.9/1.9/3.9</v>
      </c>
      <c r="AQ342" s="536">
        <f t="shared" si="988"/>
        <v>485.31033187760858</v>
      </c>
      <c r="AR342" s="32"/>
      <c r="AS342" s="302"/>
      <c r="AT342" s="3">
        <f t="shared" si="1056"/>
        <v>42</v>
      </c>
      <c r="AU342" s="41" t="s">
        <v>121</v>
      </c>
      <c r="AV342" s="41" t="s">
        <v>116</v>
      </c>
      <c r="AW342" s="41" t="str">
        <f>INDEX(Input!$1:$1048576,AW$93,$C342*2+6)</f>
        <v>Kia</v>
      </c>
      <c r="AX342" s="41" t="str">
        <f>INDEX(Input!$1:$1048576,AX$93,$C342*2+6)</f>
        <v>Kia-LR - L3</v>
      </c>
      <c r="AY342" s="41" t="str">
        <f>IF(LEN(D342)=0,"",INDEX(Input!$1:$1048576,AY$93,$C342*2+6))</f>
        <v>Compact Conventional/Sporty Car (43)</v>
      </c>
      <c r="AZ342" s="41" t="str">
        <f>INDEX(Input!$1:$1048576,AZ$93,$C342*2+6)</f>
        <v>Kia Forte</v>
      </c>
      <c r="BA342" s="3">
        <f>INDEX(Input!$1:$1048576,BA$93,$C342*2+6)</f>
        <v>2020</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19695</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990"/>
        <v>2250</v>
      </c>
      <c r="CJ342" s="16" t="str">
        <f>INDEX(Input!$1:$1048576,CJ$93,$C342*2+6)</f>
        <v>N</v>
      </c>
      <c r="CK342" s="1" t="str">
        <f t="shared" si="991"/>
        <v>Market</v>
      </c>
      <c r="CL342" s="1" t="str">
        <f t="shared" si="992"/>
        <v>Market</v>
      </c>
      <c r="CM342" s="1" t="str">
        <f t="shared" si="993"/>
        <v>Market</v>
      </c>
      <c r="CN342" s="1" t="str">
        <f t="shared" si="994"/>
        <v>Market</v>
      </c>
      <c r="CO342" s="1" t="str">
        <f t="shared" si="995"/>
        <v>Market</v>
      </c>
      <c r="CP342" s="304">
        <f t="shared" si="996"/>
        <v>310</v>
      </c>
      <c r="CQ342" s="1">
        <f t="shared" si="997"/>
        <v>0</v>
      </c>
      <c r="CR342" s="1">
        <f t="shared" si="998"/>
        <v>0</v>
      </c>
      <c r="CS342" s="1">
        <f t="shared" si="999"/>
        <v>0</v>
      </c>
      <c r="CT342" s="1">
        <f t="shared" si="1000"/>
        <v>1.9E-2</v>
      </c>
      <c r="CU342" s="1">
        <f t="shared" si="1001"/>
        <v>3.9000000000000007E-2</v>
      </c>
      <c r="CV342" s="304">
        <f t="shared" si="1002"/>
        <v>4953</v>
      </c>
      <c r="CW342" s="20" t="s">
        <v>122</v>
      </c>
      <c r="CX342" s="20" t="s">
        <v>122</v>
      </c>
      <c r="CY342" s="20" t="s">
        <v>122</v>
      </c>
      <c r="CZ342" s="20" t="s">
        <v>122</v>
      </c>
      <c r="DA342" s="20" t="s">
        <v>122</v>
      </c>
      <c r="DB342" s="503">
        <f t="shared" si="1003"/>
        <v>0</v>
      </c>
      <c r="DC342" s="127">
        <v>0</v>
      </c>
      <c r="DD342" s="127">
        <v>0</v>
      </c>
      <c r="DE342" s="127">
        <v>0</v>
      </c>
      <c r="DF342" s="127">
        <v>0</v>
      </c>
      <c r="DG342" s="127">
        <v>0</v>
      </c>
      <c r="DH342" s="127">
        <v>0</v>
      </c>
      <c r="DI342" s="127">
        <v>0</v>
      </c>
      <c r="DJ342" s="127">
        <v>0</v>
      </c>
      <c r="DK342" s="127">
        <v>0</v>
      </c>
      <c r="DL342" s="127">
        <v>0</v>
      </c>
      <c r="DM342" s="304">
        <f>INDEX(Input!$1:$1048576,DM$93,$C342*2+6)</f>
        <v>20731.578947368424</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3.6486314626239226E-2</v>
      </c>
      <c r="DZ342" s="7">
        <v>0</v>
      </c>
      <c r="EA342" s="7">
        <v>0.63603397195304923</v>
      </c>
      <c r="EB342" s="7">
        <v>0</v>
      </c>
      <c r="EC342" s="7">
        <v>0</v>
      </c>
      <c r="ED342" s="7">
        <v>0</v>
      </c>
      <c r="EE342" s="7">
        <v>0</v>
      </c>
      <c r="EF342" s="7">
        <v>0</v>
      </c>
      <c r="EG342" s="7">
        <v>0</v>
      </c>
      <c r="EH342" s="7">
        <v>1.4147652337522999E-2</v>
      </c>
      <c r="EI342" s="7">
        <v>1.790712389382932E-2</v>
      </c>
      <c r="EJ342" s="7">
        <v>0.25808615036316535</v>
      </c>
      <c r="EK342" s="7">
        <v>0.65907310378569306</v>
      </c>
      <c r="EL342" s="7">
        <v>5.0785969619789505E-2</v>
      </c>
      <c r="EM342" s="7">
        <v>3.8138777262379978E-2</v>
      </c>
      <c r="EN342" s="7">
        <v>6.0273956083923587E-2</v>
      </c>
      <c r="EO342" s="7">
        <v>0.5667455773469493</v>
      </c>
      <c r="EP342" s="7">
        <v>0.27600976301752561</v>
      </c>
      <c r="EQ342" s="7">
        <v>5.7539036077023126E-2</v>
      </c>
      <c r="ER342" s="7">
        <v>3.9431667474578207E-2</v>
      </c>
      <c r="ES342" s="7">
        <v>0.28934093615833167</v>
      </c>
      <c r="ET342" s="7">
        <v>0.32747971342071153</v>
      </c>
      <c r="EU342" s="6">
        <v>2600</v>
      </c>
      <c r="EV342" s="6">
        <v>0</v>
      </c>
      <c r="EW342" s="6">
        <v>2600</v>
      </c>
      <c r="EX342" s="6">
        <v>0</v>
      </c>
      <c r="EY342" s="6">
        <v>2624.9714295952163</v>
      </c>
      <c r="EZ342" s="6">
        <v>3996</v>
      </c>
      <c r="FA342" s="6">
        <v>0</v>
      </c>
      <c r="FB342" s="6">
        <v>0</v>
      </c>
      <c r="FC342" s="6">
        <v>0</v>
      </c>
      <c r="FD342" s="6">
        <v>0</v>
      </c>
      <c r="FE342" s="6">
        <v>0</v>
      </c>
      <c r="FF342" s="6">
        <v>0</v>
      </c>
      <c r="FG342" s="6">
        <v>0</v>
      </c>
      <c r="FH342" s="6">
        <v>1154.3228933608457</v>
      </c>
      <c r="FI342" s="6">
        <v>1531.4299904380618</v>
      </c>
      <c r="FJ342" s="6">
        <v>2070.7205842538219</v>
      </c>
      <c r="FK342" s="6">
        <v>1746.9903521590436</v>
      </c>
      <c r="FL342" s="6">
        <v>893.91433563489352</v>
      </c>
      <c r="FM342" s="6">
        <v>1774.9714295952165</v>
      </c>
      <c r="FN342" s="6">
        <v>0</v>
      </c>
      <c r="FO342" s="6">
        <v>0</v>
      </c>
      <c r="FP342" s="6">
        <v>0</v>
      </c>
      <c r="FQ342" s="6">
        <v>0</v>
      </c>
      <c r="FR342" s="6">
        <v>0</v>
      </c>
      <c r="FS342" s="6">
        <v>0</v>
      </c>
      <c r="FT342" s="7">
        <v>0.67252028657928842</v>
      </c>
      <c r="FU342" s="7">
        <v>3.8138777262379978E-2</v>
      </c>
      <c r="FV342" s="7">
        <v>0.28934093615833167</v>
      </c>
      <c r="FW342" s="6">
        <v>2600.0000000000005</v>
      </c>
      <c r="FX342" s="6">
        <v>2624.9714295952163</v>
      </c>
      <c r="FY342" s="6">
        <v>3996</v>
      </c>
      <c r="FZ342" s="6">
        <v>2202.331475193394</v>
      </c>
      <c r="GA342" s="6">
        <v>3004.8723266682864</v>
      </c>
      <c r="GB342" s="6">
        <v>16690.127673331714</v>
      </c>
      <c r="GC342" s="7">
        <v>4.8391397220736806E-2</v>
      </c>
      <c r="GD342" s="7">
        <v>5.4016302212517908E-2</v>
      </c>
      <c r="GE342" s="7"/>
      <c r="GF342" s="7"/>
      <c r="GG342" s="7">
        <v>0.11623770576665025</v>
      </c>
      <c r="GH342" s="42">
        <v>2.8525670822450309</v>
      </c>
      <c r="GI342" s="6">
        <v>9909.1797214306243</v>
      </c>
      <c r="GJ342" s="14">
        <v>0.51074630601039561</v>
      </c>
      <c r="GK342" s="14">
        <v>0.5082951978616097</v>
      </c>
      <c r="GL342" s="14">
        <v>0.48925369398960428</v>
      </c>
      <c r="GM342" s="14">
        <v>0.49170480213839035</v>
      </c>
      <c r="GO342" s="5">
        <v>338.16872463277008</v>
      </c>
      <c r="GP342" s="5">
        <v>288.56568471597211</v>
      </c>
      <c r="GQ342" s="5">
        <v>527.27910984145694</v>
      </c>
      <c r="GR342" s="5">
        <v>404.20319246551543</v>
      </c>
      <c r="GS342" s="5">
        <v>334.50205195691484</v>
      </c>
      <c r="GT342" s="5">
        <v>289.18266033348181</v>
      </c>
      <c r="GU342" s="5">
        <v>254.29573314828914</v>
      </c>
      <c r="GV342" s="39" t="s">
        <v>392</v>
      </c>
      <c r="GW342" s="5">
        <v>468.76388888888891</v>
      </c>
      <c r="GX342" s="5">
        <v>351.57291666666669</v>
      </c>
      <c r="GY342" s="5">
        <v>281.25833333333333</v>
      </c>
      <c r="GZ342" s="5">
        <v>248.18079879493993</v>
      </c>
      <c r="HA342" s="5">
        <v>229.8919505212948</v>
      </c>
      <c r="HB342" s="39">
        <v>260.76102378921246</v>
      </c>
      <c r="HC342" s="5">
        <v>108.29062499999998</v>
      </c>
      <c r="HD342" s="5">
        <v>117.00060307017539</v>
      </c>
      <c r="HE342" s="5">
        <v>126.67974443319835</v>
      </c>
      <c r="HF342" s="5">
        <v>125.29567434210523</v>
      </c>
      <c r="HG342" s="5">
        <v>130.98493421052632</v>
      </c>
      <c r="HH342" s="39">
        <v>120.17587164886054</v>
      </c>
      <c r="HI342" s="16"/>
      <c r="HJ342" s="19" t="str">
        <f t="shared" si="1115"/>
        <v>On</v>
      </c>
      <c r="HK342" s="1" t="str">
        <f t="shared" si="1115"/>
        <v>On</v>
      </c>
      <c r="HL342" s="16"/>
      <c r="HM342" s="639">
        <f t="shared" si="1004"/>
        <v>2.8970655363290673E-2</v>
      </c>
      <c r="HN342" s="639">
        <f t="shared" si="1005"/>
        <v>2.1835179285533651E-3</v>
      </c>
      <c r="HO342" s="639">
        <f t="shared" si="1006"/>
        <v>1.5544129749146325E-2</v>
      </c>
      <c r="HP342" s="644">
        <f>(FT342*$GD342-HM342)/$JF342*INDEX(Input!$1:$1048576,$JG$93,$C342*2+6)</f>
        <v>303.40360497570441</v>
      </c>
      <c r="HQ342" s="644">
        <f>(FU342*$GD342-HN342)/$JF342*INDEX(Input!$1:$1048576,$JG$93,$C342*2+6)</f>
        <v>-5.0895351833628428</v>
      </c>
      <c r="HR342" s="644">
        <f>(FV342*$GD342-HO342)/$JF342*INDEX(Input!$1:$1048576,$JG$93,$C342*2+6)</f>
        <v>3.5056000142972215</v>
      </c>
      <c r="HS342" s="644">
        <f t="shared" si="1116"/>
        <v>-97.248966037314915</v>
      </c>
      <c r="HT342" s="644">
        <f t="shared" si="1008"/>
        <v>41.140784891600589</v>
      </c>
      <c r="HU342" s="644">
        <f t="shared" si="1009"/>
        <v>68.324708378461594</v>
      </c>
      <c r="HV342" s="648">
        <f t="shared" si="1010"/>
        <v>0</v>
      </c>
      <c r="HW342" s="648">
        <f t="shared" si="1011"/>
        <v>0</v>
      </c>
      <c r="HX342" s="648">
        <f t="shared" si="1012"/>
        <v>0</v>
      </c>
      <c r="HY342" s="644">
        <f>INDEX(Input!$1:$1048576,HY$93,$C342*2+6)*INDEX(Input!$1:$1048576,$JG$93,$C342*2+6)</f>
        <v>488.99999999999994</v>
      </c>
      <c r="HZ342" s="644">
        <f>INDEX(Input!$1:$1048576,HZ$93,$C342*2+6)*INDEX(Input!$1:$1048576,$JG$93,$C342*2+6)</f>
        <v>734</v>
      </c>
      <c r="IA342" s="644">
        <f>INDEX(Input!$1:$1048576,IA$93,$C342*2+6)*INDEX(Input!$1:$1048576,$JG$93,$C342*2+6)</f>
        <v>703</v>
      </c>
      <c r="IB342" s="644">
        <f t="shared" si="1036"/>
        <v>695.15463893838955</v>
      </c>
      <c r="IC342" s="644">
        <f t="shared" si="1037"/>
        <v>770.05124970823772</v>
      </c>
      <c r="ID342" s="644">
        <f>IF(AND(INDEX(Input!$1:$1048576,IA$93,$C342*2+7)="TOS",Y342&lt;=INDEX(Y:Y,MATCH(C342*1000+2,A:A))),0,1)*MAX(IA342+HR342+HU342+HX342,0%)</f>
        <v>774.83030839275875</v>
      </c>
      <c r="IE342" s="128">
        <f t="shared" si="1120"/>
        <v>0.31033187760856829</v>
      </c>
      <c r="IF342" s="128">
        <f t="shared" si="1108"/>
        <v>0.3437673242628847</v>
      </c>
      <c r="IG342" s="128">
        <f t="shared" si="1014"/>
        <v>0.34590079812854696</v>
      </c>
      <c r="IH342" s="21"/>
      <c r="II342" s="19">
        <f t="shared" si="1015"/>
        <v>1200</v>
      </c>
      <c r="IJ342" s="19">
        <f t="shared" si="1016"/>
        <v>2224.493581030405</v>
      </c>
      <c r="IK342" s="19">
        <f t="shared" si="1017"/>
        <v>3451.75</v>
      </c>
      <c r="IL342" s="19">
        <f t="shared" si="1039"/>
        <v>1400.0000000000005</v>
      </c>
      <c r="IM342" s="19">
        <f t="shared" si="1018"/>
        <v>400.47784856481121</v>
      </c>
      <c r="IN342" s="19">
        <f t="shared" si="1019"/>
        <v>544.25</v>
      </c>
      <c r="IO342" s="39">
        <f t="shared" si="1020"/>
        <v>0</v>
      </c>
      <c r="IP342" s="39">
        <f t="shared" si="1021"/>
        <v>0</v>
      </c>
      <c r="IQ342" s="39">
        <f t="shared" si="1022"/>
        <v>0</v>
      </c>
      <c r="IR342" s="39">
        <v>0</v>
      </c>
      <c r="IS342" s="39">
        <v>0</v>
      </c>
      <c r="IT342" s="39">
        <v>0</v>
      </c>
      <c r="IU342" s="39">
        <v>0</v>
      </c>
      <c r="IV342" s="39">
        <v>0</v>
      </c>
      <c r="IW342" s="39">
        <v>0</v>
      </c>
      <c r="IX342" s="39">
        <f>INDEX(Input!$1:$1048576,IX$93,$C342*2+6)+INDEX(Input!$1:$1048576,IX$94,$C342*2+6)</f>
        <v>1600</v>
      </c>
      <c r="IY342" s="39">
        <f>INDEX(Input!$1:$1048576,IY$93,$C342*2+6)+INDEX(Input!$1:$1048576,IY$94,$C342*2+6)</f>
        <v>2503.5492916397525</v>
      </c>
      <c r="IZ342" s="39">
        <f>INDEX(Input!$1:$1048576,IZ$93,$C342*2+6)+INDEX(Input!$1:$1048576,IZ$94,$C342*2+6)</f>
        <v>5773.7109265464023</v>
      </c>
      <c r="JA342" s="19">
        <f t="shared" si="1040"/>
        <v>3000.0000000000005</v>
      </c>
      <c r="JB342" s="19">
        <f t="shared" si="1041"/>
        <v>2904.0271402045637</v>
      </c>
      <c r="JC342" s="19">
        <f t="shared" si="1042"/>
        <v>6317.9609265464023</v>
      </c>
      <c r="JD342" s="19">
        <f t="shared" si="1043"/>
        <v>4114.6929994379998</v>
      </c>
      <c r="JE342" s="21"/>
      <c r="JF342" s="1">
        <f t="shared" si="1023"/>
        <v>4.6698303040990354E-2</v>
      </c>
      <c r="JG342" s="15">
        <f>INDEX(Input!$1:$1048576,JG$93,$C342*2+6)/(1+VLOOKUP(C342*1000+INDEX(Input!$1:$1048576,JG$93+1,$C342*2+6),$A:$KK,$JK$92,FALSE))</f>
        <v>1926</v>
      </c>
      <c r="JH342" s="1">
        <f t="shared" si="1044"/>
        <v>0.15670803209067435</v>
      </c>
      <c r="JI342" s="1">
        <f t="shared" si="1045"/>
        <v>6.3429528726621325E-3</v>
      </c>
      <c r="JJ342" s="1">
        <f t="shared" si="1109"/>
        <v>0</v>
      </c>
      <c r="JK342" s="1">
        <f t="shared" si="1110"/>
        <v>0.16305098496333648</v>
      </c>
      <c r="JL342" s="15">
        <f t="shared" si="1048"/>
        <v>314.03619703938602</v>
      </c>
      <c r="JM342" s="15">
        <f t="shared" si="1074"/>
        <v>2240.036197039386</v>
      </c>
      <c r="JN342" s="21"/>
      <c r="JO342" s="19">
        <f>INDEX(Input!$1:$1048576,JO$93,$C342*2+6)</f>
        <v>5908.5</v>
      </c>
      <c r="JP342" s="19">
        <f>INDEX(Input!$1:$1048576,JP$93,$C342*2+6)</f>
        <v>3467.7694503767912</v>
      </c>
      <c r="JQ342" s="39">
        <f t="shared" si="1060"/>
        <v>1793.8070005620002</v>
      </c>
      <c r="JR342" s="39">
        <f t="shared" si="1077"/>
        <v>646.92354906120863</v>
      </c>
      <c r="JS342" s="39">
        <f t="shared" si="1062"/>
        <v>9.2170612584456819</v>
      </c>
      <c r="JT342" s="39">
        <f t="shared" si="1050"/>
        <v>2.5381372970199818</v>
      </c>
      <c r="JU342" s="385">
        <f>(JQ342*JM342-INDEX(Input!$1:$1048576,Input!A$18,$C342*2+6)*JL342*INDEX(Input!$1:$1048576,Input!A$19,$C342*2+6))/1000000</f>
        <v>4.0181926117615312</v>
      </c>
      <c r="JV342" s="39">
        <f t="shared" si="1084"/>
        <v>-0.68265442681276856</v>
      </c>
      <c r="JW342" s="1">
        <f t="shared" si="1075"/>
        <v>-0.14521945113530177</v>
      </c>
      <c r="JX342" s="19">
        <f t="shared" si="1066"/>
        <v>8082.3080936165188</v>
      </c>
      <c r="JZ342" s="341"/>
      <c r="KA342" s="342"/>
      <c r="KB342" s="469">
        <f t="shared" si="1063"/>
        <v>2.7822247002359868</v>
      </c>
      <c r="KI342" s="473">
        <f t="shared" si="1118"/>
        <v>206.1546389383895</v>
      </c>
      <c r="KJ342" s="473">
        <f t="shared" si="1119"/>
        <v>36.051249708237719</v>
      </c>
      <c r="KK342" s="473">
        <f t="shared" si="1052"/>
        <v>71.830308392758752</v>
      </c>
      <c r="KN342" s="544">
        <f t="shared" si="1067"/>
        <v>3002</v>
      </c>
      <c r="KO342" s="541">
        <f t="shared" si="1027"/>
        <v>8.735710300298849E-2</v>
      </c>
      <c r="KP342" s="546">
        <f t="shared" si="1028"/>
        <v>434.98621725120421</v>
      </c>
      <c r="KQ342" s="546">
        <f t="shared" si="1029"/>
        <v>393.61178111262689</v>
      </c>
      <c r="KR342" s="548">
        <f t="shared" si="1030"/>
        <v>3.2079988124457288</v>
      </c>
      <c r="KS342" s="548">
        <f t="shared" si="1031"/>
        <v>3.5452070678058214</v>
      </c>
      <c r="KT342" s="473">
        <f t="shared" si="1065"/>
        <v>527.01264777847621</v>
      </c>
      <c r="KU342" s="663">
        <f t="shared" si="1053"/>
        <v>15.558295477796044</v>
      </c>
      <c r="KV342" s="117"/>
    </row>
    <row r="343" spans="1:308" s="26" customFormat="1" ht="15">
      <c r="A343" s="561">
        <f t="shared" si="1032"/>
        <v>3043</v>
      </c>
      <c r="B343" s="561">
        <f t="shared" si="1054"/>
        <v>43</v>
      </c>
      <c r="C343" s="561">
        <f t="shared" si="1055"/>
        <v>3</v>
      </c>
      <c r="D343" s="561" t="str">
        <f t="shared" si="1104"/>
        <v xml:space="preserve">0/0/0.9/3.9, 360 Lease, </v>
      </c>
      <c r="E343" s="475">
        <f>INDEX(Input!$1:$1048576,E$93,$C343*2+MIN($B343,2)+5)
+INDEX(Scenarios!E$121:E$200,MATCH($B343,Scenarios!$B$121:$B$200,0))</f>
        <v>1250</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8.9999999999999993E-3</v>
      </c>
      <c r="W343" s="863">
        <f>IFERROR(MAX(0,INDEX(Input!$1:$1048576,W$93,$C343*2+MIN($B343,2)+5)-0%,),"Market")</f>
        <v>3.9000000000000007E-2</v>
      </c>
      <c r="X343" s="476" t="str">
        <f>INDEX(Input!$1:$1048576,X$93,$C343*2+MIN($B343,2)+5)</f>
        <v>Y</v>
      </c>
      <c r="Y343" s="475">
        <f>INDEX(Input!$1:$1048576,Y$93,$C343*2+MIN($B343,2)+5)
++INDEX(Scenarios!Y$121:Y$200,MATCH($B343,Scenarios!$B$121:$B$200,0))</f>
        <v>4468</v>
      </c>
      <c r="Z343" s="477">
        <f>INDEX(Input!$1:$1048576,Z$93,$C343*2+MIN($B343,2)+5)
+INDEX(Scenarios!Z$121:Z$200,MATCH($B343,Scenarios!$B$121:$B$200,0))</f>
        <v>0</v>
      </c>
      <c r="AA343" s="475">
        <f>INDEX(Input!$1:$1048576,AA$93,$C343*2+MIN($B343,2)+5)</f>
        <v>500</v>
      </c>
      <c r="AB343" s="476">
        <f>INDEX(Input!$1:$1048576,AB$93,$C343*2+MIN($B343,2)+5)</f>
        <v>0.62</v>
      </c>
      <c r="AC343" s="475">
        <f>INDEX(Input!$1:$1048576,AC$93,$C343*2+MIN($B343,2)+5)
+INDEX(Scenarios!AC$121:AC$200,MATCH($B343,Scenarios!$B$121:$B$200,0))</f>
        <v>0</v>
      </c>
      <c r="AD343" s="476">
        <f>INDEX(Input!$1:$1048576,AD$93,$C343*2+MIN($B343,2)+5)</f>
        <v>0.35</v>
      </c>
      <c r="AE343" s="475">
        <f>INDEX(Input!$1:$1048576,AE$93,$C343*2+MIN($B343,2)+5)
+INDEX(Scenarios!AE$121:AE$200,MATCH($B343,Scenarios!$B$121:$B$200,0))</f>
        <v>500</v>
      </c>
      <c r="AF343" s="476">
        <f>INDEX(Input!$1:$1048576,AF$93,$C343*2+MIN($B343,2)+5)</f>
        <v>0.97</v>
      </c>
      <c r="AG343" s="475">
        <f>INDEX(Input!$1:$1048576,AG$93,$C343*2+MIN($B343,2)+5)
+INDEX(Scenarios!AG$121:AG$200,MATCH($B343,Scenarios!$B$121:$B$200,0))</f>
        <v>0</v>
      </c>
      <c r="AH343" s="476">
        <f>INDEX(Input!$1:$1048576,AH$93,$C343*2+MIN($B343,2)+5)</f>
        <v>1</v>
      </c>
      <c r="AI343" s="475">
        <f>INDEX(Input!$1:$1048576,AI$93,$C343*2+MIN($B343,2)+5)
+INDEX(Scenarios!AI$121:AI$200,MATCH($B343,Scenarios!$B$121:$B$200,0))</f>
        <v>0</v>
      </c>
      <c r="AJ343" s="476">
        <f>INDEX(Input!$1:$1048576,AJ$93,$C343*2+MIN($B343,2)+5)</f>
        <v>0.35</v>
      </c>
      <c r="AK343" s="150">
        <f>ROUND(INDEX(Input!$1:$1048576,AK$93,$C342*2+MIN($B343,1)+5)+(Y343-VLOOKUP($C343*1000+1,$A:$HH,Y$92,FALSE)),0)</f>
        <v>5342</v>
      </c>
      <c r="AL343" s="150">
        <f>ROUND(INDEX(Input!$1:$1048576,AL$93,$C342*2+MIN($B343,1)+5)-(Y343-VLOOKUP($C343*1000+1,$A:$HH,Y$92,FALSE))/36,0)</f>
        <v>5092</v>
      </c>
      <c r="AM343" s="32" t="str">
        <f t="shared" si="1033"/>
        <v>std/std/std/std</v>
      </c>
      <c r="AN343" s="32" t="str">
        <f t="shared" si="1034"/>
        <v>$0 + 0/0/0/0.9/3.9</v>
      </c>
      <c r="AO343" s="32" t="str">
        <f t="shared" si="1035"/>
        <v>0/0/0/0.9/3.9</v>
      </c>
      <c r="AP343" s="32" t="str">
        <f t="shared" si="989"/>
        <v>0/0/0.9/3.9</v>
      </c>
      <c r="AQ343" s="536">
        <f t="shared" si="988"/>
        <v>485.22715208685526</v>
      </c>
      <c r="AR343" s="32"/>
      <c r="AS343" s="302"/>
      <c r="AT343" s="3">
        <f t="shared" si="1056"/>
        <v>43</v>
      </c>
      <c r="AU343" s="41" t="s">
        <v>121</v>
      </c>
      <c r="AV343" s="41" t="s">
        <v>116</v>
      </c>
      <c r="AW343" s="41" t="str">
        <f>INDEX(Input!$1:$1048576,AW$93,$C343*2+6)</f>
        <v>Kia</v>
      </c>
      <c r="AX343" s="41" t="str">
        <f>INDEX(Input!$1:$1048576,AX$93,$C343*2+6)</f>
        <v>Kia-LR - L3</v>
      </c>
      <c r="AY343" s="41" t="str">
        <f>IF(LEN(D343)=0,"",INDEX(Input!$1:$1048576,AY$93,$C343*2+6))</f>
        <v>Compact Conventional/Sporty Car (43)</v>
      </c>
      <c r="AZ343" s="41" t="str">
        <f>INDEX(Input!$1:$1048576,AZ$93,$C343*2+6)</f>
        <v>Kia Forte</v>
      </c>
      <c r="BA343" s="3">
        <f>INDEX(Input!$1:$1048576,BA$93,$C343*2+6)</f>
        <v>2020</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19695</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990"/>
        <v>1250</v>
      </c>
      <c r="CJ343" s="16" t="str">
        <f>INDEX(Input!$1:$1048576,CJ$93,$C343*2+6)</f>
        <v>N</v>
      </c>
      <c r="CK343" s="1" t="str">
        <f t="shared" si="991"/>
        <v>Market</v>
      </c>
      <c r="CL343" s="1" t="str">
        <f t="shared" si="992"/>
        <v>Market</v>
      </c>
      <c r="CM343" s="1" t="str">
        <f t="shared" si="993"/>
        <v>Market</v>
      </c>
      <c r="CN343" s="1" t="str">
        <f t="shared" si="994"/>
        <v>Market</v>
      </c>
      <c r="CO343" s="1" t="str">
        <f t="shared" si="995"/>
        <v>Market</v>
      </c>
      <c r="CP343" s="304">
        <f t="shared" si="996"/>
        <v>310</v>
      </c>
      <c r="CQ343" s="1">
        <f t="shared" si="997"/>
        <v>0</v>
      </c>
      <c r="CR343" s="1">
        <f t="shared" si="998"/>
        <v>0</v>
      </c>
      <c r="CS343" s="1">
        <f t="shared" si="999"/>
        <v>0</v>
      </c>
      <c r="CT343" s="1">
        <f t="shared" si="1000"/>
        <v>8.9999999999999993E-3</v>
      </c>
      <c r="CU343" s="1">
        <f t="shared" si="1001"/>
        <v>3.9000000000000007E-2</v>
      </c>
      <c r="CV343" s="304">
        <f t="shared" si="1002"/>
        <v>4953</v>
      </c>
      <c r="CW343" s="20" t="s">
        <v>122</v>
      </c>
      <c r="CX343" s="20" t="s">
        <v>122</v>
      </c>
      <c r="CY343" s="20" t="s">
        <v>122</v>
      </c>
      <c r="CZ343" s="20" t="s">
        <v>122</v>
      </c>
      <c r="DA343" s="20" t="s">
        <v>122</v>
      </c>
      <c r="DB343" s="503">
        <f t="shared" si="1003"/>
        <v>0</v>
      </c>
      <c r="DC343" s="127">
        <v>0</v>
      </c>
      <c r="DD343" s="127">
        <v>0</v>
      </c>
      <c r="DE343" s="127">
        <v>0</v>
      </c>
      <c r="DF343" s="127">
        <v>0</v>
      </c>
      <c r="DG343" s="127">
        <v>0</v>
      </c>
      <c r="DH343" s="127">
        <v>0</v>
      </c>
      <c r="DI343" s="127">
        <v>0</v>
      </c>
      <c r="DJ343" s="127">
        <v>0</v>
      </c>
      <c r="DK343" s="127">
        <v>0</v>
      </c>
      <c r="DL343" s="127">
        <v>0</v>
      </c>
      <c r="DM343" s="304">
        <f>INDEX(Input!$1:$1048576,DM$93,$C343*2+6)</f>
        <v>20731.578947368424</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3.1937023149313806E-2</v>
      </c>
      <c r="DZ343" s="7">
        <v>0</v>
      </c>
      <c r="EA343" s="7">
        <v>0.56521080860847339</v>
      </c>
      <c r="EB343" s="7">
        <v>0</v>
      </c>
      <c r="EC343" s="7">
        <v>0</v>
      </c>
      <c r="ED343" s="7">
        <v>0</v>
      </c>
      <c r="EE343" s="7">
        <v>0</v>
      </c>
      <c r="EF343" s="7">
        <v>0</v>
      </c>
      <c r="EG343" s="7">
        <v>0</v>
      </c>
      <c r="EH343" s="7">
        <v>1.0131335432965516E-2</v>
      </c>
      <c r="EI343" s="7">
        <v>1.2856083036115728E-2</v>
      </c>
      <c r="EJ343" s="7">
        <v>0.18444441127842306</v>
      </c>
      <c r="EK343" s="7">
        <v>0.7559184643025072</v>
      </c>
      <c r="EL343" s="7">
        <v>3.6649705949988183E-2</v>
      </c>
      <c r="EM343" s="7">
        <v>6.2471371094597349E-2</v>
      </c>
      <c r="EN343" s="7">
        <v>6.0273956083923573E-2</v>
      </c>
      <c r="EO343" s="7">
        <v>0.5667455773469493</v>
      </c>
      <c r="EP343" s="7">
        <v>0.27600976301752567</v>
      </c>
      <c r="EQ343" s="7">
        <v>5.7539036077023119E-2</v>
      </c>
      <c r="ER343" s="7">
        <v>3.9431667474578221E-2</v>
      </c>
      <c r="ES343" s="7">
        <v>0.34038079714761532</v>
      </c>
      <c r="ET343" s="7">
        <v>0.40285216824221276</v>
      </c>
      <c r="EU343" s="6">
        <v>1600</v>
      </c>
      <c r="EV343" s="6">
        <v>0</v>
      </c>
      <c r="EW343" s="6">
        <v>1600</v>
      </c>
      <c r="EX343" s="6">
        <v>0</v>
      </c>
      <c r="EY343" s="6">
        <v>2973.1881006661247</v>
      </c>
      <c r="EZ343" s="6">
        <v>3996</v>
      </c>
      <c r="FA343" s="6">
        <v>0</v>
      </c>
      <c r="FB343" s="6">
        <v>0</v>
      </c>
      <c r="FC343" s="6">
        <v>0</v>
      </c>
      <c r="FD343" s="6">
        <v>0</v>
      </c>
      <c r="FE343" s="6">
        <v>0</v>
      </c>
      <c r="FF343" s="6">
        <v>0</v>
      </c>
      <c r="FG343" s="6">
        <v>0</v>
      </c>
      <c r="FH343" s="6">
        <v>1154.3303144937822</v>
      </c>
      <c r="FI343" s="6">
        <v>1531.4299904380618</v>
      </c>
      <c r="FJ343" s="6">
        <v>2070.7205842538219</v>
      </c>
      <c r="FK343" s="6">
        <v>2218.6393698501024</v>
      </c>
      <c r="FL343" s="6">
        <v>893.91433563489363</v>
      </c>
      <c r="FM343" s="6">
        <v>2123.1881006661247</v>
      </c>
      <c r="FN343" s="6">
        <v>0</v>
      </c>
      <c r="FO343" s="6">
        <v>0</v>
      </c>
      <c r="FP343" s="6">
        <v>0</v>
      </c>
      <c r="FQ343" s="6">
        <v>0</v>
      </c>
      <c r="FR343" s="6">
        <v>0</v>
      </c>
      <c r="FS343" s="6">
        <v>0</v>
      </c>
      <c r="FT343" s="7">
        <v>0.59714783175778718</v>
      </c>
      <c r="FU343" s="7">
        <v>6.2471371094597349E-2</v>
      </c>
      <c r="FV343" s="7">
        <v>0.34038079714761532</v>
      </c>
      <c r="FW343" s="6">
        <v>1600</v>
      </c>
      <c r="FX343" s="6">
        <v>2973.1881006661247</v>
      </c>
      <c r="FY343" s="6">
        <v>3996</v>
      </c>
      <c r="FZ343" s="6">
        <v>2202.331475193394</v>
      </c>
      <c r="GA343" s="6">
        <v>2501.337333385085</v>
      </c>
      <c r="GB343" s="6">
        <v>17193.662666614917</v>
      </c>
      <c r="GC343" s="7">
        <v>4.8391397220736806E-2</v>
      </c>
      <c r="GD343" s="7">
        <v>5.0081875518563357E-2</v>
      </c>
      <c r="GE343" s="7"/>
      <c r="GF343" s="7"/>
      <c r="GG343" s="7">
        <v>3.4933446747062349E-2</v>
      </c>
      <c r="GH343" s="42">
        <v>2.3010058660533361</v>
      </c>
      <c r="GI343" s="6">
        <v>11060.63754663516</v>
      </c>
      <c r="GJ343" s="14">
        <v>0.51074630601039561</v>
      </c>
      <c r="GK343" s="14">
        <v>0.50829519786160982</v>
      </c>
      <c r="GL343" s="14">
        <v>0.48925369398960444</v>
      </c>
      <c r="GM343" s="14">
        <v>0.49170480213839018</v>
      </c>
      <c r="GO343" s="5">
        <v>338.16872463277008</v>
      </c>
      <c r="GP343" s="5">
        <v>307.64377699166363</v>
      </c>
      <c r="GQ343" s="5">
        <v>527.27910984145694</v>
      </c>
      <c r="GR343" s="5">
        <v>404.20319246551543</v>
      </c>
      <c r="GS343" s="5">
        <v>334.50205195691484</v>
      </c>
      <c r="GT343" s="5">
        <v>289.18266033348181</v>
      </c>
      <c r="GU343" s="5">
        <v>254.29573314828914</v>
      </c>
      <c r="GV343" s="39" t="s">
        <v>392</v>
      </c>
      <c r="GW343" s="5">
        <v>468.76388888888891</v>
      </c>
      <c r="GX343" s="5">
        <v>351.57291666666669</v>
      </c>
      <c r="GY343" s="5">
        <v>281.25833333333333</v>
      </c>
      <c r="GZ343" s="5">
        <v>240.8550698915011</v>
      </c>
      <c r="HA343" s="5">
        <v>229.8919505212948</v>
      </c>
      <c r="HB343" s="39">
        <v>251.63784945465915</v>
      </c>
      <c r="HC343" s="5">
        <v>108.29062499999998</v>
      </c>
      <c r="HD343" s="5">
        <v>117.00060307017539</v>
      </c>
      <c r="HE343" s="5">
        <v>126.67974443319835</v>
      </c>
      <c r="HF343" s="5">
        <v>125.29567434210523</v>
      </c>
      <c r="HG343" s="5">
        <v>130.98493421052632</v>
      </c>
      <c r="HH343" s="39">
        <v>120.17587164886055</v>
      </c>
      <c r="HI343" s="16"/>
      <c r="HJ343" s="19" t="str">
        <f t="shared" si="1115"/>
        <v>On</v>
      </c>
      <c r="HK343" s="1" t="str">
        <f t="shared" si="1115"/>
        <v>On</v>
      </c>
      <c r="HL343" s="16"/>
      <c r="HM343" s="639">
        <f t="shared" si="1004"/>
        <v>2.8970655363290673E-2</v>
      </c>
      <c r="HN343" s="639">
        <f t="shared" si="1005"/>
        <v>2.1835179285533651E-3</v>
      </c>
      <c r="HO343" s="639">
        <f t="shared" si="1006"/>
        <v>1.5544129749146325E-2</v>
      </c>
      <c r="HP343" s="644">
        <f>(FT343*$GD343-HM343)/$JF343*INDEX(Input!$1:$1048576,$JG$93,$C343*2+6)</f>
        <v>38.588544672023467</v>
      </c>
      <c r="HQ343" s="644">
        <f>(FU343*$GD343-HN343)/$JF343*INDEX(Input!$1:$1048576,$JG$93,$C343*2+6)</f>
        <v>38.981903805126557</v>
      </c>
      <c r="HR343" s="644">
        <f>(FV343*$GD343-HO343)/$JF343*INDEX(Input!$1:$1048576,$JG$93,$C343*2+6)</f>
        <v>61.979817109275153</v>
      </c>
      <c r="HS343" s="644">
        <f t="shared" si="1116"/>
        <v>-28.438982471222271</v>
      </c>
      <c r="HT343" s="644">
        <f t="shared" si="1008"/>
        <v>103.71944458581785</v>
      </c>
      <c r="HU343" s="644">
        <f t="shared" si="1009"/>
        <v>56.593778105399416</v>
      </c>
      <c r="HV343" s="648">
        <f t="shared" si="1010"/>
        <v>0</v>
      </c>
      <c r="HW343" s="648">
        <f t="shared" si="1011"/>
        <v>0</v>
      </c>
      <c r="HX343" s="648">
        <f t="shared" si="1012"/>
        <v>0</v>
      </c>
      <c r="HY343" s="644">
        <f>INDEX(Input!$1:$1048576,HY$93,$C343*2+6)*INDEX(Input!$1:$1048576,$JG$93,$C343*2+6)</f>
        <v>488.99999999999994</v>
      </c>
      <c r="HZ343" s="644">
        <f>INDEX(Input!$1:$1048576,HZ$93,$C343*2+6)*INDEX(Input!$1:$1048576,$JG$93,$C343*2+6)</f>
        <v>734</v>
      </c>
      <c r="IA343" s="644">
        <f>INDEX(Input!$1:$1048576,IA$93,$C343*2+6)*INDEX(Input!$1:$1048576,$JG$93,$C343*2+6)</f>
        <v>703</v>
      </c>
      <c r="IB343" s="644">
        <f t="shared" si="1036"/>
        <v>499.14956220080069</v>
      </c>
      <c r="IC343" s="644">
        <f t="shared" si="1037"/>
        <v>876.70134839094442</v>
      </c>
      <c r="ID343" s="644">
        <f>IF(AND(INDEX(Input!$1:$1048576,IA$93,$C343*2+7)="TOS",Y343&lt;=INDEX(Y:Y,MATCH(C343*1000+2,A:A))),0,1)*MAX(IA343+HR343+HU343+HX343,0%)</f>
        <v>821.57359521467458</v>
      </c>
      <c r="IE343" s="128">
        <f t="shared" ref="IE343:IE361" si="1121">IB343/SUM($IB343:$ID343)</f>
        <v>0.22715208685525273</v>
      </c>
      <c r="IF343" s="128">
        <f t="shared" si="1108"/>
        <v>0.39896767605638811</v>
      </c>
      <c r="IG343" s="128">
        <f t="shared" si="1014"/>
        <v>0.3738802370883591</v>
      </c>
      <c r="IH343" s="21"/>
      <c r="II343" s="19">
        <f t="shared" si="1015"/>
        <v>1200</v>
      </c>
      <c r="IJ343" s="19">
        <f t="shared" si="1016"/>
        <v>2224.493581030405</v>
      </c>
      <c r="IK343" s="19">
        <f t="shared" si="1017"/>
        <v>3451.75</v>
      </c>
      <c r="IL343" s="19">
        <f t="shared" si="1039"/>
        <v>400</v>
      </c>
      <c r="IM343" s="19">
        <f t="shared" si="1018"/>
        <v>748.69451963571964</v>
      </c>
      <c r="IN343" s="19">
        <f t="shared" si="1019"/>
        <v>544.25</v>
      </c>
      <c r="IO343" s="39">
        <f t="shared" si="1020"/>
        <v>0</v>
      </c>
      <c r="IP343" s="39">
        <f t="shared" si="1021"/>
        <v>0</v>
      </c>
      <c r="IQ343" s="39">
        <f t="shared" si="1022"/>
        <v>0</v>
      </c>
      <c r="IR343" s="39">
        <v>0</v>
      </c>
      <c r="IS343" s="39">
        <v>0</v>
      </c>
      <c r="IT343" s="39">
        <v>0</v>
      </c>
      <c r="IU343" s="39">
        <v>0</v>
      </c>
      <c r="IV343" s="39">
        <v>0</v>
      </c>
      <c r="IW343" s="39">
        <v>0</v>
      </c>
      <c r="IX343" s="39">
        <f>INDEX(Input!$1:$1048576,IX$93,$C343*2+6)+INDEX(Input!$1:$1048576,IX$94,$C343*2+6)</f>
        <v>1600</v>
      </c>
      <c r="IY343" s="39">
        <f>INDEX(Input!$1:$1048576,IY$93,$C343*2+6)+INDEX(Input!$1:$1048576,IY$94,$C343*2+6)</f>
        <v>2503.5492916397525</v>
      </c>
      <c r="IZ343" s="39">
        <f>INDEX(Input!$1:$1048576,IZ$93,$C343*2+6)+INDEX(Input!$1:$1048576,IZ$94,$C343*2+6)</f>
        <v>5773.7109265464023</v>
      </c>
      <c r="JA343" s="19">
        <f t="shared" si="1040"/>
        <v>2000</v>
      </c>
      <c r="JB343" s="19">
        <f t="shared" si="1041"/>
        <v>3252.2438112754721</v>
      </c>
      <c r="JC343" s="19">
        <f t="shared" si="1042"/>
        <v>6317.9609265464023</v>
      </c>
      <c r="JD343" s="19">
        <f t="shared" si="1043"/>
        <v>4114.0050581960095</v>
      </c>
      <c r="JE343" s="21"/>
      <c r="JF343" s="1">
        <f t="shared" si="1023"/>
        <v>4.6698303040990354E-2</v>
      </c>
      <c r="JG343" s="15">
        <f>INDEX(Input!$1:$1048576,JG$93,$C343*2+6)/(1+VLOOKUP(C343*1000+INDEX(Input!$1:$1048576,JG$93+1,$C343*2+6),$A:$KK,$JK$92,FALSE))</f>
        <v>1926</v>
      </c>
      <c r="JH343" s="1">
        <f t="shared" si="1044"/>
        <v>7.2456004977375491E-2</v>
      </c>
      <c r="JI343" s="1">
        <f t="shared" si="1045"/>
        <v>6.847052970923935E-2</v>
      </c>
      <c r="JJ343" s="1">
        <f t="shared" si="1109"/>
        <v>0</v>
      </c>
      <c r="JK343" s="1">
        <f t="shared" si="1110"/>
        <v>0.14092653468661484</v>
      </c>
      <c r="JL343" s="15">
        <f t="shared" si="1048"/>
        <v>271.4245058064202</v>
      </c>
      <c r="JM343" s="15">
        <f t="shared" si="1074"/>
        <v>2197.4245058064203</v>
      </c>
      <c r="JN343" s="21"/>
      <c r="JO343" s="19">
        <f>INDEX(Input!$1:$1048576,JO$93,$C343*2+6)</f>
        <v>5908.5</v>
      </c>
      <c r="JP343" s="19">
        <f>INDEX(Input!$1:$1048576,JP$93,$C343*2+6)</f>
        <v>3467.7694503767912</v>
      </c>
      <c r="JQ343" s="39">
        <f t="shared" si="1060"/>
        <v>1794.4949418039905</v>
      </c>
      <c r="JR343" s="39">
        <f t="shared" si="1077"/>
        <v>646.23560781921833</v>
      </c>
      <c r="JS343" s="39">
        <f t="shared" si="1062"/>
        <v>9.0402155318914801</v>
      </c>
      <c r="JT343" s="39">
        <f t="shared" si="1050"/>
        <v>2.36129157046578</v>
      </c>
      <c r="JU343" s="385">
        <f>(JQ343*JM343-INDEX(Input!$1:$1048576,Input!A$18,$C343*2+6)*JL343*INDEX(Input!$1:$1048576,Input!A$19,$C343*2+6))/1000000</f>
        <v>3.9432671606657546</v>
      </c>
      <c r="JV343" s="39">
        <f t="shared" si="1084"/>
        <v>-0.7575798779085452</v>
      </c>
      <c r="JW343" s="1">
        <f t="shared" si="1075"/>
        <v>-0.1611581639844866</v>
      </c>
      <c r="JX343" s="19">
        <f t="shared" si="1066"/>
        <v>8699.6255678912494</v>
      </c>
      <c r="JZ343" s="341"/>
      <c r="KA343" s="342"/>
      <c r="KB343" s="469">
        <f t="shared" si="1063"/>
        <v>2.7822247002359868</v>
      </c>
      <c r="KI343" s="473">
        <f t="shared" si="1118"/>
        <v>10.149562200800858</v>
      </c>
      <c r="KJ343" s="473">
        <f t="shared" si="1119"/>
        <v>142.70134839094464</v>
      </c>
      <c r="KK343" s="473">
        <f t="shared" si="1052"/>
        <v>118.5735952146747</v>
      </c>
      <c r="KN343" s="544">
        <f t="shared" si="1067"/>
        <v>3002</v>
      </c>
      <c r="KO343" s="541">
        <f t="shared" si="1027"/>
        <v>6.6672559961061584E-2</v>
      </c>
      <c r="KP343" s="546">
        <f t="shared" si="1028"/>
        <v>273.67501680747091</v>
      </c>
      <c r="KQ343" s="546">
        <f t="shared" si="1029"/>
        <v>392.92383987063658</v>
      </c>
      <c r="KR343" s="548">
        <f t="shared" si="1030"/>
        <v>3.8915574764852119</v>
      </c>
      <c r="KS343" s="548">
        <f t="shared" si="1031"/>
        <v>2.7105050641237995</v>
      </c>
      <c r="KT343" s="473">
        <f t="shared" si="1065"/>
        <v>527.01264777847621</v>
      </c>
      <c r="KU343" s="663">
        <f t="shared" si="1053"/>
        <v>15.173819754383379</v>
      </c>
      <c r="KV343" s="117"/>
    </row>
    <row r="344" spans="1:308" s="26" customFormat="1" ht="15">
      <c r="A344" s="561">
        <f t="shared" si="1032"/>
        <v>3044</v>
      </c>
      <c r="B344" s="561">
        <f t="shared" si="1054"/>
        <v>44</v>
      </c>
      <c r="C344" s="561">
        <f t="shared" si="1055"/>
        <v>3</v>
      </c>
      <c r="D344" s="561" t="str">
        <f t="shared" si="1104"/>
        <v xml:space="preserve">0/0/0/3.9, 360 Lease, </v>
      </c>
      <c r="E344" s="475">
        <f>INDEX(Input!$1:$1048576,E$93,$C344*2+MIN($B344,2)+5)
+INDEX(Scenarios!E$121:E$200,MATCH($B344,Scenarios!$B$121:$B$200,0))</f>
        <v>1250</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63">
        <f>IFERROR(MAX(0,INDEX(Input!$1:$1048576,W$93,$C344*2+MIN($B344,2)+5)-0%,),"Market")</f>
        <v>3.9000000000000007E-2</v>
      </c>
      <c r="X344" s="476" t="str">
        <f>INDEX(Input!$1:$1048576,X$93,$C344*2+MIN($B344,2)+5)</f>
        <v>Y</v>
      </c>
      <c r="Y344" s="475">
        <f>INDEX(Input!$1:$1048576,Y$93,$C344*2+MIN($B344,2)+5)
++INDEX(Scenarios!Y$121:Y$200,MATCH($B344,Scenarios!$B$121:$B$200,0))</f>
        <v>4468</v>
      </c>
      <c r="Z344" s="477">
        <f>INDEX(Input!$1:$1048576,Z$93,$C344*2+MIN($B344,2)+5)
+INDEX(Scenarios!Z$121:Z$200,MATCH($B344,Scenarios!$B$121:$B$200,0))</f>
        <v>0</v>
      </c>
      <c r="AA344" s="475">
        <f>INDEX(Input!$1:$1048576,AA$93,$C344*2+MIN($B344,2)+5)</f>
        <v>500</v>
      </c>
      <c r="AB344" s="476">
        <f>INDEX(Input!$1:$1048576,AB$93,$C344*2+MIN($B344,2)+5)</f>
        <v>0.62</v>
      </c>
      <c r="AC344" s="475">
        <f>INDEX(Input!$1:$1048576,AC$93,$C344*2+MIN($B344,2)+5)
+INDEX(Scenarios!AC$121:AC$200,MATCH($B344,Scenarios!$B$121:$B$200,0))</f>
        <v>0</v>
      </c>
      <c r="AD344" s="476">
        <f>INDEX(Input!$1:$1048576,AD$93,$C344*2+MIN($B344,2)+5)</f>
        <v>0.35</v>
      </c>
      <c r="AE344" s="475">
        <f>INDEX(Input!$1:$1048576,AE$93,$C344*2+MIN($B344,2)+5)
+INDEX(Scenarios!AE$121:AE$200,MATCH($B344,Scenarios!$B$121:$B$200,0))</f>
        <v>500</v>
      </c>
      <c r="AF344" s="476">
        <f>INDEX(Input!$1:$1048576,AF$93,$C344*2+MIN($B344,2)+5)</f>
        <v>0.97</v>
      </c>
      <c r="AG344" s="475">
        <f>INDEX(Input!$1:$1048576,AG$93,$C344*2+MIN($B344,2)+5)
+INDEX(Scenarios!AG$121:AG$200,MATCH($B344,Scenarios!$B$121:$B$200,0))</f>
        <v>0</v>
      </c>
      <c r="AH344" s="476">
        <f>INDEX(Input!$1:$1048576,AH$93,$C344*2+MIN($B344,2)+5)</f>
        <v>1</v>
      </c>
      <c r="AI344" s="475">
        <f>INDEX(Input!$1:$1048576,AI$93,$C344*2+MIN($B344,2)+5)
+INDEX(Scenarios!AI$121:AI$200,MATCH($B344,Scenarios!$B$121:$B$200,0))</f>
        <v>0</v>
      </c>
      <c r="AJ344" s="476">
        <f>INDEX(Input!$1:$1048576,AJ$93,$C344*2+MIN($B344,2)+5)</f>
        <v>0.35</v>
      </c>
      <c r="AK344" s="150">
        <f>ROUND(INDEX(Input!$1:$1048576,AK$93,$C343*2+MIN($B344,1)+5)+(Y344-VLOOKUP($C344*1000+1,$A:$HH,Y$92,FALSE)),0)</f>
        <v>5342</v>
      </c>
      <c r="AL344" s="150">
        <f>ROUND(INDEX(Input!$1:$1048576,AL$93,$C343*2+MIN($B344,1)+5)-(Y344-VLOOKUP($C344*1000+1,$A:$HH,Y$92,FALSE))/36,0)</f>
        <v>5092</v>
      </c>
      <c r="AM344" s="32" t="str">
        <f t="shared" si="1033"/>
        <v>std/std/std/std</v>
      </c>
      <c r="AN344" s="32" t="str">
        <f t="shared" si="1034"/>
        <v>$0 + 0/0/0/0/3.9</v>
      </c>
      <c r="AO344" s="32" t="str">
        <f t="shared" si="1035"/>
        <v>0/0/0/0/3.9</v>
      </c>
      <c r="AP344" s="32" t="str">
        <f t="shared" si="989"/>
        <v>0/0/0/3.9</v>
      </c>
      <c r="AQ344" s="536">
        <f t="shared" si="988"/>
        <v>485.21242871804492</v>
      </c>
      <c r="AR344" s="32"/>
      <c r="AS344" s="302"/>
      <c r="AT344" s="3">
        <f t="shared" si="1056"/>
        <v>44</v>
      </c>
      <c r="AU344" s="41" t="s">
        <v>121</v>
      </c>
      <c r="AV344" s="41" t="s">
        <v>116</v>
      </c>
      <c r="AW344" s="41" t="str">
        <f>INDEX(Input!$1:$1048576,AW$93,$C344*2+6)</f>
        <v>Kia</v>
      </c>
      <c r="AX344" s="41" t="str">
        <f>INDEX(Input!$1:$1048576,AX$93,$C344*2+6)</f>
        <v>Kia-LR - L3</v>
      </c>
      <c r="AY344" s="41" t="str">
        <f>IF(LEN(D344)=0,"",INDEX(Input!$1:$1048576,AY$93,$C344*2+6))</f>
        <v>Compact Conventional/Sporty Car (43)</v>
      </c>
      <c r="AZ344" s="41" t="str">
        <f>INDEX(Input!$1:$1048576,AZ$93,$C344*2+6)</f>
        <v>Kia Forte</v>
      </c>
      <c r="BA344" s="3">
        <f>INDEX(Input!$1:$1048576,BA$93,$C344*2+6)</f>
        <v>2020</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19695</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990"/>
        <v>1250</v>
      </c>
      <c r="CJ344" s="16" t="str">
        <f>INDEX(Input!$1:$1048576,CJ$93,$C344*2+6)</f>
        <v>N</v>
      </c>
      <c r="CK344" s="1" t="str">
        <f t="shared" si="991"/>
        <v>Market</v>
      </c>
      <c r="CL344" s="1" t="str">
        <f t="shared" si="992"/>
        <v>Market</v>
      </c>
      <c r="CM344" s="1" t="str">
        <f t="shared" si="993"/>
        <v>Market</v>
      </c>
      <c r="CN344" s="1" t="str">
        <f t="shared" si="994"/>
        <v>Market</v>
      </c>
      <c r="CO344" s="1" t="str">
        <f t="shared" si="995"/>
        <v>Market</v>
      </c>
      <c r="CP344" s="304">
        <f t="shared" si="996"/>
        <v>310</v>
      </c>
      <c r="CQ344" s="1">
        <f t="shared" si="997"/>
        <v>0</v>
      </c>
      <c r="CR344" s="1">
        <f t="shared" si="998"/>
        <v>0</v>
      </c>
      <c r="CS344" s="1">
        <f t="shared" si="999"/>
        <v>0</v>
      </c>
      <c r="CT344" s="1">
        <f t="shared" si="1000"/>
        <v>0</v>
      </c>
      <c r="CU344" s="1">
        <f t="shared" si="1001"/>
        <v>3.9000000000000007E-2</v>
      </c>
      <c r="CV344" s="304">
        <f t="shared" si="1002"/>
        <v>4953</v>
      </c>
      <c r="CW344" s="20" t="s">
        <v>122</v>
      </c>
      <c r="CX344" s="20" t="s">
        <v>122</v>
      </c>
      <c r="CY344" s="20" t="s">
        <v>122</v>
      </c>
      <c r="CZ344" s="20" t="s">
        <v>122</v>
      </c>
      <c r="DA344" s="20" t="s">
        <v>122</v>
      </c>
      <c r="DB344" s="503">
        <f t="shared" si="1003"/>
        <v>0</v>
      </c>
      <c r="DC344" s="127">
        <v>0</v>
      </c>
      <c r="DD344" s="127">
        <v>0</v>
      </c>
      <c r="DE344" s="127">
        <v>0</v>
      </c>
      <c r="DF344" s="127">
        <v>0</v>
      </c>
      <c r="DG344" s="127">
        <v>0</v>
      </c>
      <c r="DH344" s="127">
        <v>0</v>
      </c>
      <c r="DI344" s="127">
        <v>0</v>
      </c>
      <c r="DJ344" s="127">
        <v>0</v>
      </c>
      <c r="DK344" s="127">
        <v>0</v>
      </c>
      <c r="DL344" s="127">
        <v>0</v>
      </c>
      <c r="DM344" s="304">
        <f>INDEX(Input!$1:$1048576,DM$93,$C344*2+6)</f>
        <v>20731.578947368424</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3.1201641370702263E-2</v>
      </c>
      <c r="DZ344" s="7">
        <v>0</v>
      </c>
      <c r="EA344" s="7">
        <v>0.55200200166559565</v>
      </c>
      <c r="EB344" s="7">
        <v>0</v>
      </c>
      <c r="EC344" s="7">
        <v>0</v>
      </c>
      <c r="ED344" s="7">
        <v>0</v>
      </c>
      <c r="EE344" s="7">
        <v>0</v>
      </c>
      <c r="EF344" s="7">
        <v>0</v>
      </c>
      <c r="EG344" s="7">
        <v>0</v>
      </c>
      <c r="EH344" s="7">
        <v>7.2729942213702074E-3</v>
      </c>
      <c r="EI344" s="7">
        <v>9.2317908517729527E-3</v>
      </c>
      <c r="EJ344" s="7">
        <v>0.13237533065412269</v>
      </c>
      <c r="EK344" s="7">
        <v>0.82478610373109151</v>
      </c>
      <c r="EL344" s="7">
        <v>2.6333780541642478E-2</v>
      </c>
      <c r="EM344" s="7">
        <v>8.484004371787103E-2</v>
      </c>
      <c r="EN344" s="7">
        <v>6.0273956083923587E-2</v>
      </c>
      <c r="EO344" s="7">
        <v>0.56674557734694941</v>
      </c>
      <c r="EP344" s="7">
        <v>0.27600976301752572</v>
      </c>
      <c r="EQ344" s="7">
        <v>5.7539036077023126E-2</v>
      </c>
      <c r="ER344" s="7">
        <v>3.9431667474578228E-2</v>
      </c>
      <c r="ES344" s="7">
        <v>0.33195631324583108</v>
      </c>
      <c r="ET344" s="7">
        <v>0.41679635696370204</v>
      </c>
      <c r="EU344" s="6">
        <v>1600</v>
      </c>
      <c r="EV344" s="6">
        <v>0</v>
      </c>
      <c r="EW344" s="6">
        <v>1600</v>
      </c>
      <c r="EX344" s="6">
        <v>0</v>
      </c>
      <c r="EY344" s="6">
        <v>3343.8234311748397</v>
      </c>
      <c r="EZ344" s="6">
        <v>3996</v>
      </c>
      <c r="FA344" s="6">
        <v>0</v>
      </c>
      <c r="FB344" s="6">
        <v>0</v>
      </c>
      <c r="FC344" s="6">
        <v>0</v>
      </c>
      <c r="FD344" s="6">
        <v>0</v>
      </c>
      <c r="FE344" s="6">
        <v>0</v>
      </c>
      <c r="FF344" s="6">
        <v>0</v>
      </c>
      <c r="FG344" s="6">
        <v>0</v>
      </c>
      <c r="FH344" s="6">
        <v>1154.3311973665411</v>
      </c>
      <c r="FI344" s="6">
        <v>1531.4299904380625</v>
      </c>
      <c r="FJ344" s="6">
        <v>2070.7205842538219</v>
      </c>
      <c r="FK344" s="6">
        <v>2635.3956133202914</v>
      </c>
      <c r="FL344" s="6">
        <v>893.9143356348934</v>
      </c>
      <c r="FM344" s="6">
        <v>2493.8234311748397</v>
      </c>
      <c r="FN344" s="6">
        <v>0</v>
      </c>
      <c r="FO344" s="6">
        <v>0</v>
      </c>
      <c r="FP344" s="6">
        <v>0</v>
      </c>
      <c r="FQ344" s="6">
        <v>0</v>
      </c>
      <c r="FR344" s="6">
        <v>0</v>
      </c>
      <c r="FS344" s="6">
        <v>0</v>
      </c>
      <c r="FT344" s="7">
        <v>0.5832036430362979</v>
      </c>
      <c r="FU344" s="7">
        <v>8.484004371787103E-2</v>
      </c>
      <c r="FV344" s="7">
        <v>0.33195631324583108</v>
      </c>
      <c r="FW344" s="6">
        <v>1600.0000000000002</v>
      </c>
      <c r="FX344" s="6">
        <v>3343.8234311748397</v>
      </c>
      <c r="FY344" s="6">
        <v>3996</v>
      </c>
      <c r="FZ344" s="6">
        <v>2202.331475193394</v>
      </c>
      <c r="GA344" s="6">
        <v>2543.3133826741328</v>
      </c>
      <c r="GB344" s="6">
        <v>17151.686617325868</v>
      </c>
      <c r="GC344" s="7">
        <v>4.8391397220736806E-2</v>
      </c>
      <c r="GD344" s="7">
        <v>5.0621152378392639E-2</v>
      </c>
      <c r="GE344" s="7"/>
      <c r="GF344" s="7"/>
      <c r="GG344" s="7">
        <v>4.6077511411477333E-2</v>
      </c>
      <c r="GH344" s="42">
        <v>2.6614215221970641</v>
      </c>
      <c r="GI344" s="6">
        <v>9943.4940138660459</v>
      </c>
      <c r="GJ344" s="14">
        <v>0.51074630601039561</v>
      </c>
      <c r="GK344" s="14">
        <v>0.5082951978616097</v>
      </c>
      <c r="GL344" s="14">
        <v>0.48925369398960433</v>
      </c>
      <c r="GM344" s="14">
        <v>0.49170480213839035</v>
      </c>
      <c r="GO344" s="5">
        <v>338.16872463277008</v>
      </c>
      <c r="GP344" s="5">
        <v>307.64377699166363</v>
      </c>
      <c r="GQ344" s="5">
        <v>527.27910984145694</v>
      </c>
      <c r="GR344" s="5">
        <v>404.20319246551543</v>
      </c>
      <c r="GS344" s="5">
        <v>334.50205195691484</v>
      </c>
      <c r="GT344" s="5">
        <v>289.18266033348181</v>
      </c>
      <c r="GU344" s="5">
        <v>254.29573314828914</v>
      </c>
      <c r="GV344" s="39" t="s">
        <v>392</v>
      </c>
      <c r="GW344" s="5">
        <v>468.76388888888891</v>
      </c>
      <c r="GX344" s="5">
        <v>351.57291666666669</v>
      </c>
      <c r="GY344" s="5">
        <v>281.25833333333333</v>
      </c>
      <c r="GZ344" s="5">
        <v>234.38194444444446</v>
      </c>
      <c r="HA344" s="5">
        <v>229.8919505212948</v>
      </c>
      <c r="HB344" s="39">
        <v>243.25552448168622</v>
      </c>
      <c r="HC344" s="5">
        <v>108.29062499999998</v>
      </c>
      <c r="HD344" s="5">
        <v>117.00060307017539</v>
      </c>
      <c r="HE344" s="5">
        <v>126.67974443319835</v>
      </c>
      <c r="HF344" s="5">
        <v>125.29567434210523</v>
      </c>
      <c r="HG344" s="5">
        <v>130.98493421052632</v>
      </c>
      <c r="HH344" s="39">
        <v>120.17587164886056</v>
      </c>
      <c r="HI344" s="16"/>
      <c r="HJ344" s="19" t="str">
        <f t="shared" si="1115"/>
        <v>On</v>
      </c>
      <c r="HK344" s="1" t="str">
        <f t="shared" si="1115"/>
        <v>On</v>
      </c>
      <c r="HL344" s="16"/>
      <c r="HM344" s="639">
        <f t="shared" si="1004"/>
        <v>2.8970655363290673E-2</v>
      </c>
      <c r="HN344" s="639">
        <f t="shared" si="1005"/>
        <v>2.1835179285533651E-3</v>
      </c>
      <c r="HO344" s="639">
        <f t="shared" si="1006"/>
        <v>1.5544129749146325E-2</v>
      </c>
      <c r="HP344" s="644">
        <f>(FT344*$GD344-HM344)/$JF344*INDEX(Input!$1:$1048576,$JG$93,$C344*2+6)</f>
        <v>22.757532265494131</v>
      </c>
      <c r="HQ344" s="644">
        <f>(FU344*$GD344-HN344)/$JF344*INDEX(Input!$1:$1048576,$JG$93,$C344*2+6)</f>
        <v>87.072503896323937</v>
      </c>
      <c r="HR344" s="644">
        <f>(FV344*$GD344-HO344)/$JF344*INDEX(Input!$1:$1048576,$JG$93,$C344*2+6)</f>
        <v>51.961877715756401</v>
      </c>
      <c r="HS344" s="644">
        <f t="shared" si="1116"/>
        <v>-28.820890637278325</v>
      </c>
      <c r="HT344" s="644">
        <f t="shared" si="1008"/>
        <v>157.45891131450335</v>
      </c>
      <c r="HU344" s="644">
        <f t="shared" si="1009"/>
        <v>56.975686271455466</v>
      </c>
      <c r="HV344" s="648">
        <f t="shared" si="1010"/>
        <v>0</v>
      </c>
      <c r="HW344" s="648">
        <f t="shared" si="1011"/>
        <v>0</v>
      </c>
      <c r="HX344" s="648">
        <f t="shared" si="1012"/>
        <v>0</v>
      </c>
      <c r="HY344" s="644">
        <f>INDEX(Input!$1:$1048576,HY$93,$C344*2+6)*INDEX(Input!$1:$1048576,$JG$93,$C344*2+6)</f>
        <v>488.99999999999994</v>
      </c>
      <c r="HZ344" s="644">
        <f>INDEX(Input!$1:$1048576,HZ$93,$C344*2+6)*INDEX(Input!$1:$1048576,$JG$93,$C344*2+6)</f>
        <v>734</v>
      </c>
      <c r="IA344" s="644">
        <f>INDEX(Input!$1:$1048576,IA$93,$C344*2+6)*INDEX(Input!$1:$1048576,$JG$93,$C344*2+6)</f>
        <v>703</v>
      </c>
      <c r="IB344" s="644">
        <f t="shared" si="1036"/>
        <v>482.93664162821597</v>
      </c>
      <c r="IC344" s="644">
        <f t="shared" si="1037"/>
        <v>978.53141521082728</v>
      </c>
      <c r="ID344" s="644">
        <f>IF(AND(INDEX(Input!$1:$1048576,IA$93,$C344*2+7)="TOS",Y344&lt;=INDEX(Y:Y,MATCH(C344*1000+2,A:A))),0,1)*MAX(IA344+HR344+HU344+HX344,0%)</f>
        <v>811.93756398721189</v>
      </c>
      <c r="IE344" s="128">
        <f t="shared" si="1121"/>
        <v>0.21242871804491081</v>
      </c>
      <c r="IF344" s="128">
        <f t="shared" si="1108"/>
        <v>0.43042535227619705</v>
      </c>
      <c r="IG344" s="128">
        <f t="shared" si="1014"/>
        <v>0.35714592967889219</v>
      </c>
      <c r="IH344" s="21"/>
      <c r="II344" s="19">
        <f t="shared" si="1015"/>
        <v>1200</v>
      </c>
      <c r="IJ344" s="19">
        <f t="shared" si="1016"/>
        <v>2224.493581030405</v>
      </c>
      <c r="IK344" s="19">
        <f t="shared" si="1017"/>
        <v>3451.75</v>
      </c>
      <c r="IL344" s="19">
        <f t="shared" si="1039"/>
        <v>400.00000000000023</v>
      </c>
      <c r="IM344" s="19">
        <f t="shared" si="1018"/>
        <v>1119.3298501444347</v>
      </c>
      <c r="IN344" s="19">
        <f t="shared" si="1019"/>
        <v>544.25</v>
      </c>
      <c r="IO344" s="39">
        <f t="shared" si="1020"/>
        <v>0</v>
      </c>
      <c r="IP344" s="39">
        <f t="shared" si="1021"/>
        <v>0</v>
      </c>
      <c r="IQ344" s="39">
        <f t="shared" si="1022"/>
        <v>0</v>
      </c>
      <c r="IR344" s="39">
        <v>0</v>
      </c>
      <c r="IS344" s="39">
        <v>0</v>
      </c>
      <c r="IT344" s="39">
        <v>0</v>
      </c>
      <c r="IU344" s="39">
        <v>0</v>
      </c>
      <c r="IV344" s="39">
        <v>0</v>
      </c>
      <c r="IW344" s="39">
        <v>0</v>
      </c>
      <c r="IX344" s="39">
        <f>INDEX(Input!$1:$1048576,IX$93,$C344*2+6)+INDEX(Input!$1:$1048576,IX$94,$C344*2+6)</f>
        <v>1600</v>
      </c>
      <c r="IY344" s="39">
        <f>INDEX(Input!$1:$1048576,IY$93,$C344*2+6)+INDEX(Input!$1:$1048576,IY$94,$C344*2+6)</f>
        <v>2503.5492916397525</v>
      </c>
      <c r="IZ344" s="39">
        <f>INDEX(Input!$1:$1048576,IZ$93,$C344*2+6)+INDEX(Input!$1:$1048576,IZ$94,$C344*2+6)</f>
        <v>5773.7109265464023</v>
      </c>
      <c r="JA344" s="19">
        <f t="shared" si="1040"/>
        <v>2000.0000000000002</v>
      </c>
      <c r="JB344" s="19">
        <f t="shared" si="1041"/>
        <v>3622.8791417841871</v>
      </c>
      <c r="JC344" s="19">
        <f t="shared" si="1042"/>
        <v>6317.9609265464023</v>
      </c>
      <c r="JD344" s="19">
        <f t="shared" si="1043"/>
        <v>4240.6704957326965</v>
      </c>
      <c r="JE344" s="21"/>
      <c r="JF344" s="1">
        <f t="shared" si="1023"/>
        <v>4.6698303040990354E-2</v>
      </c>
      <c r="JG344" s="15">
        <f>INDEX(Input!$1:$1048576,JG$93,$C344*2+6)/(1+VLOOKUP(C344*1000+INDEX(Input!$1:$1048576,JG$93+1,$C344*2+6),$A:$KK,$JK$92,FALSE))</f>
        <v>1926</v>
      </c>
      <c r="JH344" s="1">
        <f t="shared" si="1044"/>
        <v>8.4004108970703262E-2</v>
      </c>
      <c r="JI344" s="1">
        <f t="shared" si="1045"/>
        <v>9.6372641198691836E-2</v>
      </c>
      <c r="JJ344" s="1">
        <f t="shared" si="1109"/>
        <v>0</v>
      </c>
      <c r="JK344" s="1">
        <f t="shared" si="1110"/>
        <v>0.18037675016939508</v>
      </c>
      <c r="JL344" s="15">
        <f t="shared" si="1048"/>
        <v>347.4056208262549</v>
      </c>
      <c r="JM344" s="15">
        <f t="shared" si="1074"/>
        <v>2273.405620826255</v>
      </c>
      <c r="JN344" s="21"/>
      <c r="JO344" s="19">
        <f>INDEX(Input!$1:$1048576,JO$93,$C344*2+6)</f>
        <v>5908.5</v>
      </c>
      <c r="JP344" s="19">
        <f>INDEX(Input!$1:$1048576,JP$93,$C344*2+6)</f>
        <v>3467.7694503767912</v>
      </c>
      <c r="JQ344" s="39">
        <f t="shared" si="1060"/>
        <v>1667.8295042673035</v>
      </c>
      <c r="JR344" s="39">
        <f t="shared" si="1077"/>
        <v>772.90104535590535</v>
      </c>
      <c r="JS344" s="39">
        <f t="shared" si="1062"/>
        <v>9.6407641410707736</v>
      </c>
      <c r="JT344" s="39">
        <f t="shared" si="1050"/>
        <v>2.9618401796450735</v>
      </c>
      <c r="JU344" s="385">
        <f>(JQ344*JM344-INDEX(Input!$1:$1048576,Input!A$18,$C344*2+6)*JL344*INDEX(Input!$1:$1048576,Input!A$19,$C344*2+6))/1000000</f>
        <v>3.7916529695811541</v>
      </c>
      <c r="JV344" s="39">
        <f t="shared" si="1084"/>
        <v>-0.9091940689931457</v>
      </c>
      <c r="JW344" s="1">
        <f t="shared" si="1075"/>
        <v>-0.19341068993150889</v>
      </c>
      <c r="JX344" s="19">
        <f t="shared" si="1066"/>
        <v>8525.5965997347921</v>
      </c>
      <c r="JZ344" s="341"/>
      <c r="KA344" s="342"/>
      <c r="KB344" s="469">
        <f t="shared" si="1063"/>
        <v>2.7822247002359868</v>
      </c>
      <c r="KI344" s="473">
        <f t="shared" si="1118"/>
        <v>-6.063358371783977</v>
      </c>
      <c r="KJ344" s="473">
        <f t="shared" si="1119"/>
        <v>244.53141521082728</v>
      </c>
      <c r="KK344" s="473">
        <f t="shared" si="1052"/>
        <v>108.93756398721189</v>
      </c>
      <c r="KN344" s="544">
        <f t="shared" si="1067"/>
        <v>3002</v>
      </c>
      <c r="KO344" s="541">
        <f t="shared" si="1027"/>
        <v>0.10355526981195595</v>
      </c>
      <c r="KP344" s="546">
        <f t="shared" si="1028"/>
        <v>438.14749704221731</v>
      </c>
      <c r="KQ344" s="546">
        <f t="shared" si="1029"/>
        <v>519.58927740732361</v>
      </c>
      <c r="KR344" s="548">
        <f t="shared" si="1030"/>
        <v>3.7754032159430535</v>
      </c>
      <c r="KS344" s="548">
        <f t="shared" si="1031"/>
        <v>3.1836366555613433</v>
      </c>
      <c r="KT344" s="473">
        <f t="shared" si="1065"/>
        <v>527.01264777847621</v>
      </c>
      <c r="KU344" s="663">
        <f t="shared" si="1053"/>
        <v>15.390177735993733</v>
      </c>
      <c r="KV344" s="117"/>
    </row>
    <row r="345" spans="1:308" s="26" customFormat="1" ht="15">
      <c r="A345" s="561">
        <f t="shared" si="1032"/>
        <v>3045</v>
      </c>
      <c r="B345" s="561">
        <f t="shared" si="1054"/>
        <v>45</v>
      </c>
      <c r="C345" s="561">
        <f t="shared" si="1055"/>
        <v>3</v>
      </c>
      <c r="D345" s="561" t="str">
        <f t="shared" si="1104"/>
        <v xml:space="preserve">0/0/0/3.9, 360 Lease, </v>
      </c>
      <c r="E345" s="475">
        <f>INDEX(Input!$1:$1048576,E$93,$C345*2+MIN($B345,2)+5)
+INDEX(Scenarios!E$121:E$200,MATCH($B345,Scenarios!$B$121:$B$200,0))</f>
        <v>1250</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63">
        <f>IFERROR(MAX(0,INDEX(Input!$1:$1048576,W$93,$C345*2+MIN($B345,2)+5)-0%,),"Market")</f>
        <v>3.9000000000000007E-2</v>
      </c>
      <c r="X345" s="476" t="str">
        <f>INDEX(Input!$1:$1048576,X$93,$C345*2+MIN($B345,2)+5)</f>
        <v>Y</v>
      </c>
      <c r="Y345" s="475">
        <f>INDEX(Input!$1:$1048576,Y$93,$C345*2+MIN($B345,2)+5)
++INDEX(Scenarios!Y$121:Y$200,MATCH($B345,Scenarios!$B$121:$B$200,0))</f>
        <v>4468</v>
      </c>
      <c r="Z345" s="477">
        <f>INDEX(Input!$1:$1048576,Z$93,$C345*2+MIN($B345,2)+5)
+INDEX(Scenarios!Z$121:Z$200,MATCH($B345,Scenarios!$B$121:$B$200,0))</f>
        <v>0</v>
      </c>
      <c r="AA345" s="475">
        <f>INDEX(Input!$1:$1048576,AA$93,$C345*2+MIN($B345,2)+5)</f>
        <v>500</v>
      </c>
      <c r="AB345" s="476">
        <f>INDEX(Input!$1:$1048576,AB$93,$C345*2+MIN($B345,2)+5)</f>
        <v>0.62</v>
      </c>
      <c r="AC345" s="475">
        <f>INDEX(Input!$1:$1048576,AC$93,$C345*2+MIN($B345,2)+5)
+INDEX(Scenarios!AC$121:AC$200,MATCH($B345,Scenarios!$B$121:$B$200,0))</f>
        <v>0</v>
      </c>
      <c r="AD345" s="476">
        <f>INDEX(Input!$1:$1048576,AD$93,$C345*2+MIN($B345,2)+5)</f>
        <v>0.35</v>
      </c>
      <c r="AE345" s="475">
        <f>INDEX(Input!$1:$1048576,AE$93,$C345*2+MIN($B345,2)+5)
+INDEX(Scenarios!AE$121:AE$200,MATCH($B345,Scenarios!$B$121:$B$200,0))</f>
        <v>500</v>
      </c>
      <c r="AF345" s="476">
        <f>INDEX(Input!$1:$1048576,AF$93,$C345*2+MIN($B345,2)+5)</f>
        <v>0.97</v>
      </c>
      <c r="AG345" s="475">
        <f>INDEX(Input!$1:$1048576,AG$93,$C345*2+MIN($B345,2)+5)
+INDEX(Scenarios!AG$121:AG$200,MATCH($B345,Scenarios!$B$121:$B$200,0))</f>
        <v>0</v>
      </c>
      <c r="AH345" s="476">
        <f>INDEX(Input!$1:$1048576,AH$93,$C345*2+MIN($B345,2)+5)</f>
        <v>1</v>
      </c>
      <c r="AI345" s="475">
        <f>INDEX(Input!$1:$1048576,AI$93,$C345*2+MIN($B345,2)+5)
+INDEX(Scenarios!AI$121:AI$200,MATCH($B345,Scenarios!$B$121:$B$200,0))</f>
        <v>0</v>
      </c>
      <c r="AJ345" s="476">
        <f>INDEX(Input!$1:$1048576,AJ$93,$C345*2+MIN($B345,2)+5)</f>
        <v>0.35</v>
      </c>
      <c r="AK345" s="150">
        <f>ROUND(INDEX(Input!$1:$1048576,AK$93,$C344*2+MIN($B345,1)+5)+(Y345-VLOOKUP($C345*1000+1,$A:$HH,Y$92,FALSE)),0)</f>
        <v>5342</v>
      </c>
      <c r="AL345" s="150">
        <f>ROUND(INDEX(Input!$1:$1048576,AL$93,$C344*2+MIN($B345,1)+5)-(Y345-VLOOKUP($C345*1000+1,$A:$HH,Y$92,FALSE))/36,0)</f>
        <v>5092</v>
      </c>
      <c r="AM345" s="32" t="str">
        <f t="shared" si="1033"/>
        <v>std/std/std/std</v>
      </c>
      <c r="AN345" s="32" t="str">
        <f t="shared" si="1034"/>
        <v>$0 + 0/0/0/0/3.9</v>
      </c>
      <c r="AO345" s="32" t="str">
        <f t="shared" si="1035"/>
        <v>0/0/0/0/3.9</v>
      </c>
      <c r="AP345" s="32" t="str">
        <f t="shared" si="989"/>
        <v>0/0/0/3.9</v>
      </c>
      <c r="AQ345" s="536">
        <f t="shared" si="988"/>
        <v>485.21242871804492</v>
      </c>
      <c r="AR345" s="32"/>
      <c r="AS345" s="302"/>
      <c r="AT345" s="3">
        <f t="shared" si="1056"/>
        <v>45</v>
      </c>
      <c r="AU345" s="41" t="s">
        <v>121</v>
      </c>
      <c r="AV345" s="41" t="s">
        <v>116</v>
      </c>
      <c r="AW345" s="41" t="str">
        <f>INDEX(Input!$1:$1048576,AW$93,$C345*2+6)</f>
        <v>Kia</v>
      </c>
      <c r="AX345" s="41" t="str">
        <f>INDEX(Input!$1:$1048576,AX$93,$C345*2+6)</f>
        <v>Kia-LR - L3</v>
      </c>
      <c r="AY345" s="41" t="str">
        <f>IF(LEN(D345)=0,"",INDEX(Input!$1:$1048576,AY$93,$C345*2+6))</f>
        <v>Compact Conventional/Sporty Car (43)</v>
      </c>
      <c r="AZ345" s="41" t="str">
        <f>INDEX(Input!$1:$1048576,AZ$93,$C345*2+6)</f>
        <v>Kia Forte</v>
      </c>
      <c r="BA345" s="3">
        <f>INDEX(Input!$1:$1048576,BA$93,$C345*2+6)</f>
        <v>2020</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19695</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990"/>
        <v>1250</v>
      </c>
      <c r="CJ345" s="16" t="str">
        <f>INDEX(Input!$1:$1048576,CJ$93,$C345*2+6)</f>
        <v>N</v>
      </c>
      <c r="CK345" s="1" t="str">
        <f t="shared" si="991"/>
        <v>Market</v>
      </c>
      <c r="CL345" s="1" t="str">
        <f t="shared" si="992"/>
        <v>Market</v>
      </c>
      <c r="CM345" s="1" t="str">
        <f t="shared" si="993"/>
        <v>Market</v>
      </c>
      <c r="CN345" s="1" t="str">
        <f t="shared" si="994"/>
        <v>Market</v>
      </c>
      <c r="CO345" s="1" t="str">
        <f t="shared" si="995"/>
        <v>Market</v>
      </c>
      <c r="CP345" s="304">
        <f t="shared" si="996"/>
        <v>310</v>
      </c>
      <c r="CQ345" s="1">
        <f t="shared" si="997"/>
        <v>0</v>
      </c>
      <c r="CR345" s="1">
        <f t="shared" si="998"/>
        <v>0</v>
      </c>
      <c r="CS345" s="1">
        <f t="shared" si="999"/>
        <v>0</v>
      </c>
      <c r="CT345" s="1">
        <f t="shared" si="1000"/>
        <v>0</v>
      </c>
      <c r="CU345" s="1">
        <f t="shared" si="1001"/>
        <v>3.9000000000000007E-2</v>
      </c>
      <c r="CV345" s="304">
        <f t="shared" si="1002"/>
        <v>4953</v>
      </c>
      <c r="CW345" s="20" t="s">
        <v>122</v>
      </c>
      <c r="CX345" s="20" t="s">
        <v>122</v>
      </c>
      <c r="CY345" s="20" t="s">
        <v>122</v>
      </c>
      <c r="CZ345" s="20" t="s">
        <v>122</v>
      </c>
      <c r="DA345" s="20" t="s">
        <v>122</v>
      </c>
      <c r="DB345" s="503">
        <f t="shared" si="1003"/>
        <v>0</v>
      </c>
      <c r="DC345" s="127">
        <v>0</v>
      </c>
      <c r="DD345" s="127">
        <v>0</v>
      </c>
      <c r="DE345" s="127">
        <v>0</v>
      </c>
      <c r="DF345" s="127">
        <v>0</v>
      </c>
      <c r="DG345" s="127">
        <v>0</v>
      </c>
      <c r="DH345" s="127">
        <v>0</v>
      </c>
      <c r="DI345" s="127">
        <v>0</v>
      </c>
      <c r="DJ345" s="127">
        <v>0</v>
      </c>
      <c r="DK345" s="127">
        <v>0</v>
      </c>
      <c r="DL345" s="127">
        <v>0</v>
      </c>
      <c r="DM345" s="304">
        <f>INDEX(Input!$1:$1048576,DM$93,$C345*2+6)</f>
        <v>20731.578947368424</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3.1201641370702263E-2</v>
      </c>
      <c r="DZ345" s="7">
        <v>0</v>
      </c>
      <c r="EA345" s="7">
        <v>0.55200200166559565</v>
      </c>
      <c r="EB345" s="7">
        <v>0</v>
      </c>
      <c r="EC345" s="7">
        <v>0</v>
      </c>
      <c r="ED345" s="7">
        <v>0</v>
      </c>
      <c r="EE345" s="7">
        <v>0</v>
      </c>
      <c r="EF345" s="7">
        <v>0</v>
      </c>
      <c r="EG345" s="7">
        <v>0</v>
      </c>
      <c r="EH345" s="7">
        <v>7.2729942213702074E-3</v>
      </c>
      <c r="EI345" s="7">
        <v>9.2317908517729527E-3</v>
      </c>
      <c r="EJ345" s="7">
        <v>0.13237533065412269</v>
      </c>
      <c r="EK345" s="7">
        <v>0.82478610373109151</v>
      </c>
      <c r="EL345" s="7">
        <v>2.6333780541642478E-2</v>
      </c>
      <c r="EM345" s="7">
        <v>8.484004371787103E-2</v>
      </c>
      <c r="EN345" s="7">
        <v>6.0273956083923587E-2</v>
      </c>
      <c r="EO345" s="7">
        <v>0.56674557734694941</v>
      </c>
      <c r="EP345" s="7">
        <v>0.27600976301752572</v>
      </c>
      <c r="EQ345" s="7">
        <v>5.7539036077023126E-2</v>
      </c>
      <c r="ER345" s="7">
        <v>3.9431667474578228E-2</v>
      </c>
      <c r="ES345" s="7">
        <v>0.33195631324583108</v>
      </c>
      <c r="ET345" s="7">
        <v>0.41679635696370204</v>
      </c>
      <c r="EU345" s="6">
        <v>1600</v>
      </c>
      <c r="EV345" s="6">
        <v>0</v>
      </c>
      <c r="EW345" s="6">
        <v>1600</v>
      </c>
      <c r="EX345" s="6">
        <v>0</v>
      </c>
      <c r="EY345" s="6">
        <v>3343.8234311748397</v>
      </c>
      <c r="EZ345" s="6">
        <v>3996</v>
      </c>
      <c r="FA345" s="6">
        <v>0</v>
      </c>
      <c r="FB345" s="6">
        <v>0</v>
      </c>
      <c r="FC345" s="6">
        <v>0</v>
      </c>
      <c r="FD345" s="6">
        <v>0</v>
      </c>
      <c r="FE345" s="6">
        <v>0</v>
      </c>
      <c r="FF345" s="6">
        <v>0</v>
      </c>
      <c r="FG345" s="6">
        <v>0</v>
      </c>
      <c r="FH345" s="6">
        <v>1154.3311973665411</v>
      </c>
      <c r="FI345" s="6">
        <v>1531.4299904380625</v>
      </c>
      <c r="FJ345" s="6">
        <v>2070.7205842538219</v>
      </c>
      <c r="FK345" s="6">
        <v>2635.3956133202914</v>
      </c>
      <c r="FL345" s="6">
        <v>893.9143356348934</v>
      </c>
      <c r="FM345" s="6">
        <v>2493.8234311748397</v>
      </c>
      <c r="FN345" s="6">
        <v>0</v>
      </c>
      <c r="FO345" s="6">
        <v>0</v>
      </c>
      <c r="FP345" s="6">
        <v>0</v>
      </c>
      <c r="FQ345" s="6">
        <v>0</v>
      </c>
      <c r="FR345" s="6">
        <v>0</v>
      </c>
      <c r="FS345" s="6">
        <v>0</v>
      </c>
      <c r="FT345" s="7">
        <v>0.5832036430362979</v>
      </c>
      <c r="FU345" s="7">
        <v>8.484004371787103E-2</v>
      </c>
      <c r="FV345" s="7">
        <v>0.33195631324583108</v>
      </c>
      <c r="FW345" s="6">
        <v>1600.0000000000002</v>
      </c>
      <c r="FX345" s="6">
        <v>3343.8234311748397</v>
      </c>
      <c r="FY345" s="6">
        <v>3996</v>
      </c>
      <c r="FZ345" s="6">
        <v>2202.331475193394</v>
      </c>
      <c r="GA345" s="6">
        <v>2543.3133826741328</v>
      </c>
      <c r="GB345" s="6">
        <v>17151.686617325868</v>
      </c>
      <c r="GC345" s="7">
        <v>4.8391397220736806E-2</v>
      </c>
      <c r="GD345" s="7">
        <v>5.0621152378392639E-2</v>
      </c>
      <c r="GE345" s="7"/>
      <c r="GF345" s="7"/>
      <c r="GG345" s="7">
        <v>4.6077511411477333E-2</v>
      </c>
      <c r="GH345" s="42">
        <v>2.6614215221970641</v>
      </c>
      <c r="GI345" s="6">
        <v>9943.4940138660459</v>
      </c>
      <c r="GJ345" s="14">
        <v>0.51074630601039561</v>
      </c>
      <c r="GK345" s="14">
        <v>0.5082951978616097</v>
      </c>
      <c r="GL345" s="14">
        <v>0.48925369398960433</v>
      </c>
      <c r="GM345" s="14">
        <v>0.49170480213839035</v>
      </c>
      <c r="GO345" s="5">
        <v>338.16872463277008</v>
      </c>
      <c r="GP345" s="5">
        <v>307.64377699166363</v>
      </c>
      <c r="GQ345" s="5">
        <v>527.27910984145694</v>
      </c>
      <c r="GR345" s="5">
        <v>404.20319246551543</v>
      </c>
      <c r="GS345" s="5">
        <v>334.50205195691484</v>
      </c>
      <c r="GT345" s="5">
        <v>289.18266033348181</v>
      </c>
      <c r="GU345" s="5">
        <v>254.29573314828914</v>
      </c>
      <c r="GV345" s="39" t="s">
        <v>392</v>
      </c>
      <c r="GW345" s="5">
        <v>468.76388888888891</v>
      </c>
      <c r="GX345" s="5">
        <v>351.57291666666669</v>
      </c>
      <c r="GY345" s="5">
        <v>281.25833333333333</v>
      </c>
      <c r="GZ345" s="5">
        <v>234.38194444444446</v>
      </c>
      <c r="HA345" s="5">
        <v>229.8919505212948</v>
      </c>
      <c r="HB345" s="39">
        <v>243.25552448168622</v>
      </c>
      <c r="HC345" s="5">
        <v>108.29062499999998</v>
      </c>
      <c r="HD345" s="5">
        <v>117.00060307017539</v>
      </c>
      <c r="HE345" s="5">
        <v>126.67974443319835</v>
      </c>
      <c r="HF345" s="5">
        <v>125.29567434210523</v>
      </c>
      <c r="HG345" s="5">
        <v>130.98493421052632</v>
      </c>
      <c r="HH345" s="39">
        <v>120.17587164886056</v>
      </c>
      <c r="HI345" s="16"/>
      <c r="HJ345" s="19" t="str">
        <f t="shared" si="1115"/>
        <v>On</v>
      </c>
      <c r="HK345" s="1" t="str">
        <f t="shared" si="1115"/>
        <v>On</v>
      </c>
      <c r="HL345" s="16"/>
      <c r="HM345" s="639">
        <f t="shared" si="1004"/>
        <v>2.8970655363290673E-2</v>
      </c>
      <c r="HN345" s="639">
        <f t="shared" si="1005"/>
        <v>2.1835179285533651E-3</v>
      </c>
      <c r="HO345" s="639">
        <f t="shared" si="1006"/>
        <v>1.5544129749146325E-2</v>
      </c>
      <c r="HP345" s="644">
        <f>(FT345*$GD345-HM345)/$JF345*INDEX(Input!$1:$1048576,$JG$93,$C345*2+6)</f>
        <v>22.757532265494131</v>
      </c>
      <c r="HQ345" s="644">
        <f>(FU345*$GD345-HN345)/$JF345*INDEX(Input!$1:$1048576,$JG$93,$C345*2+6)</f>
        <v>87.072503896323937</v>
      </c>
      <c r="HR345" s="644">
        <f>(FV345*$GD345-HO345)/$JF345*INDEX(Input!$1:$1048576,$JG$93,$C345*2+6)</f>
        <v>51.961877715756401</v>
      </c>
      <c r="HS345" s="644">
        <f t="shared" si="1116"/>
        <v>-28.820890637278325</v>
      </c>
      <c r="HT345" s="644">
        <f t="shared" si="1008"/>
        <v>157.45891131450335</v>
      </c>
      <c r="HU345" s="644">
        <f t="shared" si="1009"/>
        <v>56.975686271455466</v>
      </c>
      <c r="HV345" s="648">
        <f t="shared" si="1010"/>
        <v>0</v>
      </c>
      <c r="HW345" s="648">
        <f t="shared" si="1011"/>
        <v>0</v>
      </c>
      <c r="HX345" s="648">
        <f t="shared" si="1012"/>
        <v>0</v>
      </c>
      <c r="HY345" s="644">
        <f>INDEX(Input!$1:$1048576,HY$93,$C345*2+6)*INDEX(Input!$1:$1048576,$JG$93,$C345*2+6)</f>
        <v>488.99999999999994</v>
      </c>
      <c r="HZ345" s="644">
        <f>INDEX(Input!$1:$1048576,HZ$93,$C345*2+6)*INDEX(Input!$1:$1048576,$JG$93,$C345*2+6)</f>
        <v>734</v>
      </c>
      <c r="IA345" s="644">
        <f>INDEX(Input!$1:$1048576,IA$93,$C345*2+6)*INDEX(Input!$1:$1048576,$JG$93,$C345*2+6)</f>
        <v>703</v>
      </c>
      <c r="IB345" s="644">
        <f t="shared" si="1036"/>
        <v>482.93664162821597</v>
      </c>
      <c r="IC345" s="644">
        <f t="shared" si="1037"/>
        <v>978.53141521082728</v>
      </c>
      <c r="ID345" s="644">
        <f>IF(AND(INDEX(Input!$1:$1048576,IA$93,$C345*2+7)="TOS",Y345&lt;=INDEX(Y:Y,MATCH(C345*1000+2,A:A))),0,1)*MAX(IA345+HR345+HU345+HX345,0%)</f>
        <v>811.93756398721189</v>
      </c>
      <c r="IE345" s="128">
        <f t="shared" si="1121"/>
        <v>0.21242871804491081</v>
      </c>
      <c r="IF345" s="128">
        <f t="shared" si="1108"/>
        <v>0.43042535227619705</v>
      </c>
      <c r="IG345" s="128">
        <f t="shared" si="1014"/>
        <v>0.35714592967889219</v>
      </c>
      <c r="IH345" s="21"/>
      <c r="II345" s="19">
        <f t="shared" si="1015"/>
        <v>1200</v>
      </c>
      <c r="IJ345" s="19">
        <f t="shared" si="1016"/>
        <v>2224.493581030405</v>
      </c>
      <c r="IK345" s="19">
        <f t="shared" si="1017"/>
        <v>3451.75</v>
      </c>
      <c r="IL345" s="19">
        <f t="shared" si="1039"/>
        <v>400.00000000000023</v>
      </c>
      <c r="IM345" s="19">
        <f t="shared" si="1018"/>
        <v>1119.3298501444347</v>
      </c>
      <c r="IN345" s="19">
        <f t="shared" si="1019"/>
        <v>544.25</v>
      </c>
      <c r="IO345" s="39">
        <f t="shared" si="1020"/>
        <v>0</v>
      </c>
      <c r="IP345" s="39">
        <f t="shared" si="1021"/>
        <v>0</v>
      </c>
      <c r="IQ345" s="39">
        <f t="shared" si="1022"/>
        <v>0</v>
      </c>
      <c r="IR345" s="39">
        <v>0</v>
      </c>
      <c r="IS345" s="39">
        <v>0</v>
      </c>
      <c r="IT345" s="39">
        <v>0</v>
      </c>
      <c r="IU345" s="39">
        <v>0</v>
      </c>
      <c r="IV345" s="39">
        <v>0</v>
      </c>
      <c r="IW345" s="39">
        <v>0</v>
      </c>
      <c r="IX345" s="39">
        <f>INDEX(Input!$1:$1048576,IX$93,$C345*2+6)+INDEX(Input!$1:$1048576,IX$94,$C345*2+6)</f>
        <v>1600</v>
      </c>
      <c r="IY345" s="39">
        <f>INDEX(Input!$1:$1048576,IY$93,$C345*2+6)+INDEX(Input!$1:$1048576,IY$94,$C345*2+6)</f>
        <v>2503.5492916397525</v>
      </c>
      <c r="IZ345" s="39">
        <f>INDEX(Input!$1:$1048576,IZ$93,$C345*2+6)+INDEX(Input!$1:$1048576,IZ$94,$C345*2+6)</f>
        <v>5773.7109265464023</v>
      </c>
      <c r="JA345" s="19">
        <f t="shared" si="1040"/>
        <v>2000.0000000000002</v>
      </c>
      <c r="JB345" s="19">
        <f t="shared" si="1041"/>
        <v>3622.8791417841871</v>
      </c>
      <c r="JC345" s="19">
        <f t="shared" si="1042"/>
        <v>6317.9609265464023</v>
      </c>
      <c r="JD345" s="19">
        <f t="shared" si="1043"/>
        <v>4240.6704957326965</v>
      </c>
      <c r="JE345" s="21"/>
      <c r="JF345" s="1">
        <f t="shared" si="1023"/>
        <v>4.6698303040990354E-2</v>
      </c>
      <c r="JG345" s="15">
        <f>INDEX(Input!$1:$1048576,JG$93,$C345*2+6)/(1+VLOOKUP(C345*1000+INDEX(Input!$1:$1048576,JG$93+1,$C345*2+6),$A:$KK,$JK$92,FALSE))</f>
        <v>1926</v>
      </c>
      <c r="JH345" s="1">
        <f t="shared" si="1044"/>
        <v>8.4004108970703262E-2</v>
      </c>
      <c r="JI345" s="1">
        <f t="shared" si="1045"/>
        <v>9.6372641198691836E-2</v>
      </c>
      <c r="JJ345" s="1">
        <f t="shared" si="1109"/>
        <v>0</v>
      </c>
      <c r="JK345" s="1">
        <f t="shared" si="1110"/>
        <v>0.18037675016939508</v>
      </c>
      <c r="JL345" s="15">
        <f t="shared" si="1048"/>
        <v>347.4056208262549</v>
      </c>
      <c r="JM345" s="15">
        <f t="shared" si="1074"/>
        <v>2273.405620826255</v>
      </c>
      <c r="JN345" s="21"/>
      <c r="JO345" s="19">
        <f>INDEX(Input!$1:$1048576,JO$93,$C345*2+6)</f>
        <v>5908.5</v>
      </c>
      <c r="JP345" s="19">
        <f>INDEX(Input!$1:$1048576,JP$93,$C345*2+6)</f>
        <v>3467.7694503767912</v>
      </c>
      <c r="JQ345" s="39">
        <f t="shared" si="1060"/>
        <v>1667.8295042673035</v>
      </c>
      <c r="JR345" s="39">
        <f t="shared" si="1077"/>
        <v>772.90104535590535</v>
      </c>
      <c r="JS345" s="39">
        <f t="shared" si="1062"/>
        <v>9.6407641410707736</v>
      </c>
      <c r="JT345" s="39">
        <f t="shared" si="1050"/>
        <v>2.9618401796450735</v>
      </c>
      <c r="JU345" s="385">
        <f>(JQ345*JM345-INDEX(Input!$1:$1048576,Input!A$18,$C345*2+6)*JL345*INDEX(Input!$1:$1048576,Input!A$19,$C345*2+6))/1000000</f>
        <v>3.7916529695811541</v>
      </c>
      <c r="JV345" s="39">
        <f t="shared" si="1084"/>
        <v>-0.9091940689931457</v>
      </c>
      <c r="JW345" s="1">
        <f t="shared" si="1075"/>
        <v>-0.19341068993150889</v>
      </c>
      <c r="JX345" s="19">
        <f t="shared" si="1066"/>
        <v>8525.5965997347921</v>
      </c>
      <c r="JZ345" s="341"/>
      <c r="KA345" s="342"/>
      <c r="KB345" s="469">
        <f t="shared" si="1063"/>
        <v>2.7822247002359868</v>
      </c>
      <c r="KI345" s="473">
        <f t="shared" si="1118"/>
        <v>-6.063358371783977</v>
      </c>
      <c r="KJ345" s="473">
        <f t="shared" si="1119"/>
        <v>244.53141521082728</v>
      </c>
      <c r="KK345" s="473">
        <f t="shared" si="1052"/>
        <v>108.93756398721189</v>
      </c>
      <c r="KN345" s="544">
        <f t="shared" si="1067"/>
        <v>3002</v>
      </c>
      <c r="KO345" s="541">
        <f t="shared" si="1027"/>
        <v>0.10355526981195595</v>
      </c>
      <c r="KP345" s="546">
        <f t="shared" si="1028"/>
        <v>438.14749704221731</v>
      </c>
      <c r="KQ345" s="546">
        <f t="shared" si="1029"/>
        <v>519.58927740732361</v>
      </c>
      <c r="KR345" s="548">
        <f t="shared" si="1030"/>
        <v>3.7754032159430535</v>
      </c>
      <c r="KS345" s="548">
        <f t="shared" si="1031"/>
        <v>3.1836366555613433</v>
      </c>
      <c r="KT345" s="473">
        <f t="shared" si="1065"/>
        <v>527.01264777847621</v>
      </c>
      <c r="KU345" s="663">
        <f t="shared" si="1053"/>
        <v>15.390178735993732</v>
      </c>
      <c r="KV345" s="117"/>
    </row>
    <row r="346" spans="1:308" s="26" customFormat="1" ht="15">
      <c r="A346" s="561">
        <f t="shared" si="1032"/>
        <v>3046</v>
      </c>
      <c r="B346" s="561">
        <f t="shared" si="1054"/>
        <v>46</v>
      </c>
      <c r="C346" s="561">
        <f t="shared" si="1055"/>
        <v>3</v>
      </c>
      <c r="D346" s="561" t="str">
        <f t="shared" si="1104"/>
        <v xml:space="preserve">0/0/0/3.9, 360 Lease, </v>
      </c>
      <c r="E346" s="475">
        <f>INDEX(Input!$1:$1048576,E$93,$C346*2+MIN($B346,2)+5)
+INDEX(Scenarios!E$121:E$200,MATCH($B346,Scenarios!$B$121:$B$200,0))</f>
        <v>1250</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63">
        <f>IFERROR(MAX(0,INDEX(Input!$1:$1048576,W$93,$C346*2+MIN($B346,2)+5)-0%,),"Market")</f>
        <v>3.9000000000000007E-2</v>
      </c>
      <c r="X346" s="476" t="str">
        <f>INDEX(Input!$1:$1048576,X$93,$C346*2+MIN($B346,2)+5)</f>
        <v>Y</v>
      </c>
      <c r="Y346" s="475">
        <f>INDEX(Input!$1:$1048576,Y$93,$C346*2+MIN($B346,2)+5)
++INDEX(Scenarios!Y$121:Y$200,MATCH($B346,Scenarios!$B$121:$B$200,0))</f>
        <v>4468</v>
      </c>
      <c r="Z346" s="477">
        <f>INDEX(Input!$1:$1048576,Z$93,$C346*2+MIN($B346,2)+5)
+INDEX(Scenarios!Z$121:Z$200,MATCH($B346,Scenarios!$B$121:$B$200,0))</f>
        <v>0</v>
      </c>
      <c r="AA346" s="475">
        <f>INDEX(Input!$1:$1048576,AA$93,$C346*2+MIN($B346,2)+5)</f>
        <v>500</v>
      </c>
      <c r="AB346" s="476">
        <f>INDEX(Input!$1:$1048576,AB$93,$C346*2+MIN($B346,2)+5)</f>
        <v>0.62</v>
      </c>
      <c r="AC346" s="475">
        <f>INDEX(Input!$1:$1048576,AC$93,$C346*2+MIN($B346,2)+5)
+INDEX(Scenarios!AC$121:AC$200,MATCH($B346,Scenarios!$B$121:$B$200,0))</f>
        <v>0</v>
      </c>
      <c r="AD346" s="476">
        <f>INDEX(Input!$1:$1048576,AD$93,$C346*2+MIN($B346,2)+5)</f>
        <v>0.35</v>
      </c>
      <c r="AE346" s="475">
        <f>INDEX(Input!$1:$1048576,AE$93,$C346*2+MIN($B346,2)+5)
+INDEX(Scenarios!AE$121:AE$200,MATCH($B346,Scenarios!$B$121:$B$200,0))</f>
        <v>500</v>
      </c>
      <c r="AF346" s="476">
        <f>INDEX(Input!$1:$1048576,AF$93,$C346*2+MIN($B346,2)+5)</f>
        <v>0.97</v>
      </c>
      <c r="AG346" s="475">
        <f>INDEX(Input!$1:$1048576,AG$93,$C346*2+MIN($B346,2)+5)
+INDEX(Scenarios!AG$121:AG$200,MATCH($B346,Scenarios!$B$121:$B$200,0))</f>
        <v>0</v>
      </c>
      <c r="AH346" s="476">
        <f>INDEX(Input!$1:$1048576,AH$93,$C346*2+MIN($B346,2)+5)</f>
        <v>1</v>
      </c>
      <c r="AI346" s="475">
        <f>INDEX(Input!$1:$1048576,AI$93,$C346*2+MIN($B346,2)+5)
+INDEX(Scenarios!AI$121:AI$200,MATCH($B346,Scenarios!$B$121:$B$200,0))</f>
        <v>0</v>
      </c>
      <c r="AJ346" s="476">
        <f>INDEX(Input!$1:$1048576,AJ$93,$C346*2+MIN($B346,2)+5)</f>
        <v>0.35</v>
      </c>
      <c r="AK346" s="150">
        <f>ROUND(INDEX(Input!$1:$1048576,AK$93,$C345*2+MIN($B346,1)+5)+(Y346-VLOOKUP($C346*1000+1,$A:$HH,Y$92,FALSE)),0)</f>
        <v>5342</v>
      </c>
      <c r="AL346" s="150">
        <f>ROUND(INDEX(Input!$1:$1048576,AL$93,$C345*2+MIN($B346,1)+5)-(Y346-VLOOKUP($C346*1000+1,$A:$HH,Y$92,FALSE))/36,0)</f>
        <v>5092</v>
      </c>
      <c r="AM346" s="32" t="str">
        <f t="shared" si="1033"/>
        <v>std/std/std/std</v>
      </c>
      <c r="AN346" s="32" t="str">
        <f t="shared" si="1034"/>
        <v>$0 + 0/0/0/0/3.9</v>
      </c>
      <c r="AO346" s="32" t="str">
        <f t="shared" si="1035"/>
        <v>0/0/0/0/3.9</v>
      </c>
      <c r="AP346" s="32" t="str">
        <f t="shared" si="989"/>
        <v>0/0/0/3.9</v>
      </c>
      <c r="AQ346" s="536">
        <f t="shared" si="988"/>
        <v>485.21242871804492</v>
      </c>
      <c r="AR346" s="32"/>
      <c r="AS346" s="302"/>
      <c r="AT346" s="3">
        <f t="shared" si="1056"/>
        <v>46</v>
      </c>
      <c r="AU346" s="41" t="s">
        <v>121</v>
      </c>
      <c r="AV346" s="41" t="s">
        <v>116</v>
      </c>
      <c r="AW346" s="41" t="str">
        <f>INDEX(Input!$1:$1048576,AW$93,$C346*2+6)</f>
        <v>Kia</v>
      </c>
      <c r="AX346" s="41" t="str">
        <f>INDEX(Input!$1:$1048576,AX$93,$C346*2+6)</f>
        <v>Kia-LR - L3</v>
      </c>
      <c r="AY346" s="41" t="str">
        <f>IF(LEN(D346)=0,"",INDEX(Input!$1:$1048576,AY$93,$C346*2+6))</f>
        <v>Compact Conventional/Sporty Car (43)</v>
      </c>
      <c r="AZ346" s="41" t="str">
        <f>INDEX(Input!$1:$1048576,AZ$93,$C346*2+6)</f>
        <v>Kia Forte</v>
      </c>
      <c r="BA346" s="3">
        <f>INDEX(Input!$1:$1048576,BA$93,$C346*2+6)</f>
        <v>2020</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19695</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990"/>
        <v>1250</v>
      </c>
      <c r="CJ346" s="16" t="str">
        <f>INDEX(Input!$1:$1048576,CJ$93,$C346*2+6)</f>
        <v>N</v>
      </c>
      <c r="CK346" s="1" t="str">
        <f t="shared" si="991"/>
        <v>Market</v>
      </c>
      <c r="CL346" s="1" t="str">
        <f t="shared" si="992"/>
        <v>Market</v>
      </c>
      <c r="CM346" s="1" t="str">
        <f t="shared" si="993"/>
        <v>Market</v>
      </c>
      <c r="CN346" s="1" t="str">
        <f t="shared" si="994"/>
        <v>Market</v>
      </c>
      <c r="CO346" s="1" t="str">
        <f t="shared" si="995"/>
        <v>Market</v>
      </c>
      <c r="CP346" s="304">
        <f t="shared" si="996"/>
        <v>310</v>
      </c>
      <c r="CQ346" s="1">
        <f t="shared" si="997"/>
        <v>0</v>
      </c>
      <c r="CR346" s="1">
        <f t="shared" si="998"/>
        <v>0</v>
      </c>
      <c r="CS346" s="1">
        <f t="shared" si="999"/>
        <v>0</v>
      </c>
      <c r="CT346" s="1">
        <f t="shared" si="1000"/>
        <v>0</v>
      </c>
      <c r="CU346" s="1">
        <f t="shared" si="1001"/>
        <v>3.9000000000000007E-2</v>
      </c>
      <c r="CV346" s="304">
        <f t="shared" si="1002"/>
        <v>4953</v>
      </c>
      <c r="CW346" s="20" t="s">
        <v>122</v>
      </c>
      <c r="CX346" s="20" t="s">
        <v>122</v>
      </c>
      <c r="CY346" s="20" t="s">
        <v>122</v>
      </c>
      <c r="CZ346" s="20" t="s">
        <v>122</v>
      </c>
      <c r="DA346" s="20" t="s">
        <v>122</v>
      </c>
      <c r="DB346" s="503">
        <f t="shared" si="1003"/>
        <v>0</v>
      </c>
      <c r="DC346" s="127">
        <v>0</v>
      </c>
      <c r="DD346" s="127">
        <v>0</v>
      </c>
      <c r="DE346" s="127">
        <v>0</v>
      </c>
      <c r="DF346" s="127">
        <v>0</v>
      </c>
      <c r="DG346" s="127">
        <v>0</v>
      </c>
      <c r="DH346" s="127">
        <v>0</v>
      </c>
      <c r="DI346" s="127">
        <v>0</v>
      </c>
      <c r="DJ346" s="127">
        <v>0</v>
      </c>
      <c r="DK346" s="127">
        <v>0</v>
      </c>
      <c r="DL346" s="127">
        <v>0</v>
      </c>
      <c r="DM346" s="304">
        <f>INDEX(Input!$1:$1048576,DM$93,$C346*2+6)</f>
        <v>20731.578947368424</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3.1201641370702263E-2</v>
      </c>
      <c r="DZ346" s="7">
        <v>0</v>
      </c>
      <c r="EA346" s="7">
        <v>0.55200200166559565</v>
      </c>
      <c r="EB346" s="7">
        <v>0</v>
      </c>
      <c r="EC346" s="7">
        <v>0</v>
      </c>
      <c r="ED346" s="7">
        <v>0</v>
      </c>
      <c r="EE346" s="7">
        <v>0</v>
      </c>
      <c r="EF346" s="7">
        <v>0</v>
      </c>
      <c r="EG346" s="7">
        <v>0</v>
      </c>
      <c r="EH346" s="7">
        <v>7.2729942213702074E-3</v>
      </c>
      <c r="EI346" s="7">
        <v>9.2317908517729527E-3</v>
      </c>
      <c r="EJ346" s="7">
        <v>0.13237533065412269</v>
      </c>
      <c r="EK346" s="7">
        <v>0.82478610373109151</v>
      </c>
      <c r="EL346" s="7">
        <v>2.6333780541642478E-2</v>
      </c>
      <c r="EM346" s="7">
        <v>8.484004371787103E-2</v>
      </c>
      <c r="EN346" s="7">
        <v>6.0273956083923587E-2</v>
      </c>
      <c r="EO346" s="7">
        <v>0.56674557734694941</v>
      </c>
      <c r="EP346" s="7">
        <v>0.27600976301752572</v>
      </c>
      <c r="EQ346" s="7">
        <v>5.7539036077023126E-2</v>
      </c>
      <c r="ER346" s="7">
        <v>3.9431667474578228E-2</v>
      </c>
      <c r="ES346" s="7">
        <v>0.33195631324583108</v>
      </c>
      <c r="ET346" s="7">
        <v>0.41679635696370204</v>
      </c>
      <c r="EU346" s="6">
        <v>1600</v>
      </c>
      <c r="EV346" s="6">
        <v>0</v>
      </c>
      <c r="EW346" s="6">
        <v>1600</v>
      </c>
      <c r="EX346" s="6">
        <v>0</v>
      </c>
      <c r="EY346" s="6">
        <v>3343.8234311748397</v>
      </c>
      <c r="EZ346" s="6">
        <v>3996</v>
      </c>
      <c r="FA346" s="6">
        <v>0</v>
      </c>
      <c r="FB346" s="6">
        <v>0</v>
      </c>
      <c r="FC346" s="6">
        <v>0</v>
      </c>
      <c r="FD346" s="6">
        <v>0</v>
      </c>
      <c r="FE346" s="6">
        <v>0</v>
      </c>
      <c r="FF346" s="6">
        <v>0</v>
      </c>
      <c r="FG346" s="6">
        <v>0</v>
      </c>
      <c r="FH346" s="6">
        <v>1154.3311973665411</v>
      </c>
      <c r="FI346" s="6">
        <v>1531.4299904380625</v>
      </c>
      <c r="FJ346" s="6">
        <v>2070.7205842538219</v>
      </c>
      <c r="FK346" s="6">
        <v>2635.3956133202914</v>
      </c>
      <c r="FL346" s="6">
        <v>893.9143356348934</v>
      </c>
      <c r="FM346" s="6">
        <v>2493.8234311748397</v>
      </c>
      <c r="FN346" s="6">
        <v>0</v>
      </c>
      <c r="FO346" s="6">
        <v>0</v>
      </c>
      <c r="FP346" s="6">
        <v>0</v>
      </c>
      <c r="FQ346" s="6">
        <v>0</v>
      </c>
      <c r="FR346" s="6">
        <v>0</v>
      </c>
      <c r="FS346" s="6">
        <v>0</v>
      </c>
      <c r="FT346" s="7">
        <v>0.5832036430362979</v>
      </c>
      <c r="FU346" s="7">
        <v>8.484004371787103E-2</v>
      </c>
      <c r="FV346" s="7">
        <v>0.33195631324583108</v>
      </c>
      <c r="FW346" s="6">
        <v>1600.0000000000002</v>
      </c>
      <c r="FX346" s="6">
        <v>3343.8234311748397</v>
      </c>
      <c r="FY346" s="6">
        <v>3996</v>
      </c>
      <c r="FZ346" s="6">
        <v>2202.331475193394</v>
      </c>
      <c r="GA346" s="6">
        <v>2543.3133826741328</v>
      </c>
      <c r="GB346" s="6">
        <v>17151.686617325868</v>
      </c>
      <c r="GC346" s="7">
        <v>4.8391397220736806E-2</v>
      </c>
      <c r="GD346" s="7">
        <v>5.0621152378392639E-2</v>
      </c>
      <c r="GE346" s="7"/>
      <c r="GF346" s="7"/>
      <c r="GG346" s="7">
        <v>4.6077511411477333E-2</v>
      </c>
      <c r="GH346" s="42">
        <v>2.6614215221970641</v>
      </c>
      <c r="GI346" s="6">
        <v>9943.4940138660459</v>
      </c>
      <c r="GJ346" s="14">
        <v>0.51074630601039561</v>
      </c>
      <c r="GK346" s="14">
        <v>0.5082951978616097</v>
      </c>
      <c r="GL346" s="14">
        <v>0.48925369398960433</v>
      </c>
      <c r="GM346" s="14">
        <v>0.49170480213839035</v>
      </c>
      <c r="GO346" s="5">
        <v>338.16872463277008</v>
      </c>
      <c r="GP346" s="5">
        <v>307.64377699166363</v>
      </c>
      <c r="GQ346" s="5">
        <v>527.27910984145694</v>
      </c>
      <c r="GR346" s="5">
        <v>404.20319246551543</v>
      </c>
      <c r="GS346" s="5">
        <v>334.50205195691484</v>
      </c>
      <c r="GT346" s="5">
        <v>289.18266033348181</v>
      </c>
      <c r="GU346" s="5">
        <v>254.29573314828914</v>
      </c>
      <c r="GV346" s="39" t="s">
        <v>392</v>
      </c>
      <c r="GW346" s="5">
        <v>468.76388888888891</v>
      </c>
      <c r="GX346" s="5">
        <v>351.57291666666669</v>
      </c>
      <c r="GY346" s="5">
        <v>281.25833333333333</v>
      </c>
      <c r="GZ346" s="5">
        <v>234.38194444444446</v>
      </c>
      <c r="HA346" s="5">
        <v>229.8919505212948</v>
      </c>
      <c r="HB346" s="39">
        <v>243.25552448168622</v>
      </c>
      <c r="HC346" s="5">
        <v>108.29062499999998</v>
      </c>
      <c r="HD346" s="5">
        <v>117.00060307017539</v>
      </c>
      <c r="HE346" s="5">
        <v>126.67974443319835</v>
      </c>
      <c r="HF346" s="5">
        <v>125.29567434210523</v>
      </c>
      <c r="HG346" s="5">
        <v>130.98493421052632</v>
      </c>
      <c r="HH346" s="39">
        <v>120.17587164886056</v>
      </c>
      <c r="HI346" s="16"/>
      <c r="HJ346" s="19" t="str">
        <f t="shared" si="1115"/>
        <v>On</v>
      </c>
      <c r="HK346" s="1" t="str">
        <f t="shared" si="1115"/>
        <v>On</v>
      </c>
      <c r="HL346" s="16"/>
      <c r="HM346" s="639">
        <f t="shared" si="1004"/>
        <v>2.8970655363290673E-2</v>
      </c>
      <c r="HN346" s="639">
        <f t="shared" si="1005"/>
        <v>2.1835179285533651E-3</v>
      </c>
      <c r="HO346" s="639">
        <f t="shared" si="1006"/>
        <v>1.5544129749146325E-2</v>
      </c>
      <c r="HP346" s="644">
        <f>(FT346*$GD346-HM346)/$JF346*INDEX(Input!$1:$1048576,$JG$93,$C346*2+6)</f>
        <v>22.757532265494131</v>
      </c>
      <c r="HQ346" s="644">
        <f>(FU346*$GD346-HN346)/$JF346*INDEX(Input!$1:$1048576,$JG$93,$C346*2+6)</f>
        <v>87.072503896323937</v>
      </c>
      <c r="HR346" s="644">
        <f>(FV346*$GD346-HO346)/$JF346*INDEX(Input!$1:$1048576,$JG$93,$C346*2+6)</f>
        <v>51.961877715756401</v>
      </c>
      <c r="HS346" s="644">
        <f t="shared" si="1116"/>
        <v>-28.820890637278325</v>
      </c>
      <c r="HT346" s="644">
        <f t="shared" si="1008"/>
        <v>157.45891131450335</v>
      </c>
      <c r="HU346" s="644">
        <f t="shared" si="1009"/>
        <v>56.975686271455466</v>
      </c>
      <c r="HV346" s="648">
        <f t="shared" si="1010"/>
        <v>0</v>
      </c>
      <c r="HW346" s="648">
        <f t="shared" si="1011"/>
        <v>0</v>
      </c>
      <c r="HX346" s="648">
        <f t="shared" si="1012"/>
        <v>0</v>
      </c>
      <c r="HY346" s="644">
        <f>INDEX(Input!$1:$1048576,HY$93,$C346*2+6)*INDEX(Input!$1:$1048576,$JG$93,$C346*2+6)</f>
        <v>488.99999999999994</v>
      </c>
      <c r="HZ346" s="644">
        <f>INDEX(Input!$1:$1048576,HZ$93,$C346*2+6)*INDEX(Input!$1:$1048576,$JG$93,$C346*2+6)</f>
        <v>734</v>
      </c>
      <c r="IA346" s="644">
        <f>INDEX(Input!$1:$1048576,IA$93,$C346*2+6)*INDEX(Input!$1:$1048576,$JG$93,$C346*2+6)</f>
        <v>703</v>
      </c>
      <c r="IB346" s="644">
        <f t="shared" si="1036"/>
        <v>482.93664162821597</v>
      </c>
      <c r="IC346" s="644">
        <f t="shared" si="1037"/>
        <v>978.53141521082728</v>
      </c>
      <c r="ID346" s="644">
        <f>IF(AND(INDEX(Input!$1:$1048576,IA$93,$C346*2+7)="TOS",Y346&lt;=INDEX(Y:Y,MATCH(C346*1000+2,A:A))),0,1)*MAX(IA346+HR346+HU346+HX346,0%)</f>
        <v>811.93756398721189</v>
      </c>
      <c r="IE346" s="128">
        <f t="shared" si="1121"/>
        <v>0.21242871804491081</v>
      </c>
      <c r="IF346" s="128">
        <f t="shared" si="1108"/>
        <v>0.43042535227619705</v>
      </c>
      <c r="IG346" s="128">
        <f t="shared" si="1014"/>
        <v>0.35714592967889219</v>
      </c>
      <c r="IH346" s="21"/>
      <c r="II346" s="19">
        <f t="shared" si="1015"/>
        <v>1200</v>
      </c>
      <c r="IJ346" s="19">
        <f t="shared" si="1016"/>
        <v>2224.493581030405</v>
      </c>
      <c r="IK346" s="19">
        <f t="shared" si="1017"/>
        <v>3451.75</v>
      </c>
      <c r="IL346" s="19">
        <f t="shared" si="1039"/>
        <v>400.00000000000023</v>
      </c>
      <c r="IM346" s="19">
        <f t="shared" si="1018"/>
        <v>1119.3298501444347</v>
      </c>
      <c r="IN346" s="19">
        <f t="shared" si="1019"/>
        <v>544.25</v>
      </c>
      <c r="IO346" s="39">
        <f t="shared" si="1020"/>
        <v>0</v>
      </c>
      <c r="IP346" s="39">
        <f t="shared" si="1021"/>
        <v>0</v>
      </c>
      <c r="IQ346" s="39">
        <f t="shared" si="1022"/>
        <v>0</v>
      </c>
      <c r="IR346" s="39">
        <v>0</v>
      </c>
      <c r="IS346" s="39">
        <v>0</v>
      </c>
      <c r="IT346" s="39">
        <v>0</v>
      </c>
      <c r="IU346" s="39">
        <v>0</v>
      </c>
      <c r="IV346" s="39">
        <v>0</v>
      </c>
      <c r="IW346" s="39">
        <v>0</v>
      </c>
      <c r="IX346" s="39">
        <f>INDEX(Input!$1:$1048576,IX$93,$C346*2+6)+INDEX(Input!$1:$1048576,IX$94,$C346*2+6)</f>
        <v>1600</v>
      </c>
      <c r="IY346" s="39">
        <f>INDEX(Input!$1:$1048576,IY$93,$C346*2+6)+INDEX(Input!$1:$1048576,IY$94,$C346*2+6)</f>
        <v>2503.5492916397525</v>
      </c>
      <c r="IZ346" s="39">
        <f>INDEX(Input!$1:$1048576,IZ$93,$C346*2+6)+INDEX(Input!$1:$1048576,IZ$94,$C346*2+6)</f>
        <v>5773.7109265464023</v>
      </c>
      <c r="JA346" s="19">
        <f t="shared" si="1040"/>
        <v>2000.0000000000002</v>
      </c>
      <c r="JB346" s="19">
        <f t="shared" si="1041"/>
        <v>3622.8791417841871</v>
      </c>
      <c r="JC346" s="19">
        <f t="shared" si="1042"/>
        <v>6317.9609265464023</v>
      </c>
      <c r="JD346" s="19">
        <f t="shared" si="1043"/>
        <v>4240.6704957326965</v>
      </c>
      <c r="JE346" s="21"/>
      <c r="JF346" s="1">
        <f t="shared" si="1023"/>
        <v>4.6698303040990354E-2</v>
      </c>
      <c r="JG346" s="15">
        <f>INDEX(Input!$1:$1048576,JG$93,$C346*2+6)/(1+VLOOKUP(C346*1000+INDEX(Input!$1:$1048576,JG$93+1,$C346*2+6),$A:$KK,$JK$92,FALSE))</f>
        <v>1926</v>
      </c>
      <c r="JH346" s="1">
        <f t="shared" si="1044"/>
        <v>8.4004108970703262E-2</v>
      </c>
      <c r="JI346" s="1">
        <f t="shared" si="1045"/>
        <v>9.6372641198691836E-2</v>
      </c>
      <c r="JJ346" s="1">
        <f t="shared" si="1109"/>
        <v>0</v>
      </c>
      <c r="JK346" s="1">
        <f t="shared" si="1110"/>
        <v>0.18037675016939508</v>
      </c>
      <c r="JL346" s="15">
        <f t="shared" si="1048"/>
        <v>347.4056208262549</v>
      </c>
      <c r="JM346" s="15">
        <f t="shared" si="1074"/>
        <v>2273.405620826255</v>
      </c>
      <c r="JN346" s="21"/>
      <c r="JO346" s="19">
        <f>INDEX(Input!$1:$1048576,JO$93,$C346*2+6)</f>
        <v>5908.5</v>
      </c>
      <c r="JP346" s="19">
        <f>INDEX(Input!$1:$1048576,JP$93,$C346*2+6)</f>
        <v>3467.7694503767912</v>
      </c>
      <c r="JQ346" s="39">
        <f t="shared" si="1060"/>
        <v>1667.8295042673035</v>
      </c>
      <c r="JR346" s="39">
        <f t="shared" si="1077"/>
        <v>772.90104535590535</v>
      </c>
      <c r="JS346" s="39">
        <f t="shared" si="1062"/>
        <v>9.6407641410707736</v>
      </c>
      <c r="JT346" s="39">
        <f t="shared" si="1050"/>
        <v>2.9618401796450735</v>
      </c>
      <c r="JU346" s="385">
        <f>(JQ346*JM346-INDEX(Input!$1:$1048576,Input!A$18,$C346*2+6)*JL346*INDEX(Input!$1:$1048576,Input!A$19,$C346*2+6))/1000000</f>
        <v>3.7916529695811541</v>
      </c>
      <c r="JV346" s="39">
        <f t="shared" si="1084"/>
        <v>-0.9091940689931457</v>
      </c>
      <c r="JW346" s="1">
        <f t="shared" si="1075"/>
        <v>-0.19341068993150889</v>
      </c>
      <c r="JX346" s="19">
        <f t="shared" si="1066"/>
        <v>8525.5965997347921</v>
      </c>
      <c r="JZ346" s="341"/>
      <c r="KA346" s="342"/>
      <c r="KB346" s="469">
        <f t="shared" si="1063"/>
        <v>2.7822247002359868</v>
      </c>
      <c r="KI346" s="473">
        <f t="shared" si="1118"/>
        <v>-6.063358371783977</v>
      </c>
      <c r="KJ346" s="473">
        <f t="shared" si="1119"/>
        <v>244.53141521082728</v>
      </c>
      <c r="KK346" s="473">
        <f t="shared" si="1052"/>
        <v>108.93756398721189</v>
      </c>
      <c r="KN346" s="544">
        <f t="shared" si="1067"/>
        <v>3002</v>
      </c>
      <c r="KO346" s="541">
        <f t="shared" si="1027"/>
        <v>0.10355526981195595</v>
      </c>
      <c r="KP346" s="546">
        <f t="shared" si="1028"/>
        <v>438.14749704221731</v>
      </c>
      <c r="KQ346" s="546">
        <f t="shared" si="1029"/>
        <v>519.58927740732361</v>
      </c>
      <c r="KR346" s="548">
        <f t="shared" si="1030"/>
        <v>3.7754032159430535</v>
      </c>
      <c r="KS346" s="548">
        <f t="shared" si="1031"/>
        <v>3.1836366555613433</v>
      </c>
      <c r="KT346" s="473">
        <f t="shared" si="1065"/>
        <v>527.01264777847621</v>
      </c>
      <c r="KU346" s="663">
        <f t="shared" si="1053"/>
        <v>15.390179735993732</v>
      </c>
      <c r="KV346" s="117"/>
    </row>
    <row r="347" spans="1:308" s="26" customFormat="1" ht="15">
      <c r="A347" s="561">
        <f t="shared" si="1032"/>
        <v>3047</v>
      </c>
      <c r="B347" s="561">
        <f t="shared" si="1054"/>
        <v>47</v>
      </c>
      <c r="C347" s="561">
        <f t="shared" si="1055"/>
        <v>3</v>
      </c>
      <c r="D347" s="561" t="str">
        <f t="shared" si="1104"/>
        <v xml:space="preserve">250 CC, -360 Lease, </v>
      </c>
      <c r="E347" s="475">
        <f>INDEX(Input!$1:$1048576,E$93,$C347*2+MIN($B347,2)+5)
+INDEX(Scenarios!E$121:E$200,MATCH($B347,Scenarios!$B$121:$B$200,0))</f>
        <v>1500</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1.9E-2</v>
      </c>
      <c r="W347" s="863">
        <f>IFERROR(MAX(0,INDEX(Input!$1:$1048576,W$93,$C347*2+MIN($B347,2)+5)-0%,),"Market")</f>
        <v>3.9000000000000007E-2</v>
      </c>
      <c r="X347" s="476" t="str">
        <f>INDEX(Input!$1:$1048576,X$93,$C347*2+MIN($B347,2)+5)</f>
        <v>Y</v>
      </c>
      <c r="Y347" s="475">
        <f>INDEX(Input!$1:$1048576,Y$93,$C347*2+MIN($B347,2)+5)
++INDEX(Scenarios!Y$121:Y$200,MATCH($B347,Scenarios!$B$121:$B$200,0))</f>
        <v>3748</v>
      </c>
      <c r="Z347" s="477">
        <f>INDEX(Input!$1:$1048576,Z$93,$C347*2+MIN($B347,2)+5)
+INDEX(Scenarios!Z$121:Z$200,MATCH($B347,Scenarios!$B$121:$B$200,0))</f>
        <v>0</v>
      </c>
      <c r="AA347" s="475">
        <f>INDEX(Input!$1:$1048576,AA$93,$C347*2+MIN($B347,2)+5)</f>
        <v>500</v>
      </c>
      <c r="AB347" s="476">
        <f>INDEX(Input!$1:$1048576,AB$93,$C347*2+MIN($B347,2)+5)</f>
        <v>0.62</v>
      </c>
      <c r="AC347" s="475">
        <f>INDEX(Input!$1:$1048576,AC$93,$C347*2+MIN($B347,2)+5)
+INDEX(Scenarios!AC$121:AC$200,MATCH($B347,Scenarios!$B$121:$B$200,0))</f>
        <v>0</v>
      </c>
      <c r="AD347" s="476">
        <f>INDEX(Input!$1:$1048576,AD$93,$C347*2+MIN($B347,2)+5)</f>
        <v>0.35</v>
      </c>
      <c r="AE347" s="475">
        <f>INDEX(Input!$1:$1048576,AE$93,$C347*2+MIN($B347,2)+5)
+INDEX(Scenarios!AE$121:AE$200,MATCH($B347,Scenarios!$B$121:$B$200,0))</f>
        <v>500</v>
      </c>
      <c r="AF347" s="476">
        <f>INDEX(Input!$1:$1048576,AF$93,$C347*2+MIN($B347,2)+5)</f>
        <v>0.97</v>
      </c>
      <c r="AG347" s="475">
        <f>INDEX(Input!$1:$1048576,AG$93,$C347*2+MIN($B347,2)+5)
+INDEX(Scenarios!AG$121:AG$200,MATCH($B347,Scenarios!$B$121:$B$200,0))</f>
        <v>0</v>
      </c>
      <c r="AH347" s="476">
        <f>INDEX(Input!$1:$1048576,AH$93,$C347*2+MIN($B347,2)+5)</f>
        <v>1</v>
      </c>
      <c r="AI347" s="475">
        <f>INDEX(Input!$1:$1048576,AI$93,$C347*2+MIN($B347,2)+5)
+INDEX(Scenarios!AI$121:AI$200,MATCH($B347,Scenarios!$B$121:$B$200,0))</f>
        <v>0</v>
      </c>
      <c r="AJ347" s="476">
        <f>INDEX(Input!$1:$1048576,AJ$93,$C347*2+MIN($B347,2)+5)</f>
        <v>0.35</v>
      </c>
      <c r="AK347" s="150">
        <f>ROUND(INDEX(Input!$1:$1048576,AK$93,$C346*2+MIN($B347,1)+5)+(Y347-VLOOKUP($C347*1000+1,$A:$HH,Y$92,FALSE)),0)</f>
        <v>4622</v>
      </c>
      <c r="AL347" s="150">
        <f>ROUND(INDEX(Input!$1:$1048576,AL$93,$C346*2+MIN($B347,1)+5)-(Y347-VLOOKUP($C347*1000+1,$A:$HH,Y$92,FALSE))/36,0)</f>
        <v>5112</v>
      </c>
      <c r="AM347" s="32" t="str">
        <f t="shared" si="1033"/>
        <v>std/std/std/std</v>
      </c>
      <c r="AN347" s="32" t="str">
        <f t="shared" si="1034"/>
        <v>$0 + 0/0/0/1.9/3.9</v>
      </c>
      <c r="AO347" s="32" t="str">
        <f t="shared" si="1035"/>
        <v>0/0/0/1.9/3.9</v>
      </c>
      <c r="AP347" s="32" t="str">
        <f t="shared" si="989"/>
        <v>0/0.9/1.9/3.9</v>
      </c>
      <c r="AQ347" s="536">
        <f t="shared" si="988"/>
        <v>485.29882106145368</v>
      </c>
      <c r="AR347" s="32"/>
      <c r="AS347" s="302"/>
      <c r="AT347" s="3">
        <f t="shared" si="1056"/>
        <v>47</v>
      </c>
      <c r="AU347" s="41" t="s">
        <v>121</v>
      </c>
      <c r="AV347" s="41" t="s">
        <v>116</v>
      </c>
      <c r="AW347" s="41" t="str">
        <f>INDEX(Input!$1:$1048576,AW$93,$C347*2+6)</f>
        <v>Kia</v>
      </c>
      <c r="AX347" s="41" t="str">
        <f>INDEX(Input!$1:$1048576,AX$93,$C347*2+6)</f>
        <v>Kia-LR - L3</v>
      </c>
      <c r="AY347" s="41" t="str">
        <f>IF(LEN(D347)=0,"",INDEX(Input!$1:$1048576,AY$93,$C347*2+6))</f>
        <v>Compact Conventional/Sporty Car (43)</v>
      </c>
      <c r="AZ347" s="41" t="str">
        <f>INDEX(Input!$1:$1048576,AZ$93,$C347*2+6)</f>
        <v>Kia Forte</v>
      </c>
      <c r="BA347" s="3">
        <f>INDEX(Input!$1:$1048576,BA$93,$C347*2+6)</f>
        <v>2020</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19695</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990"/>
        <v>1500</v>
      </c>
      <c r="CJ347" s="16" t="str">
        <f>INDEX(Input!$1:$1048576,CJ$93,$C347*2+6)</f>
        <v>N</v>
      </c>
      <c r="CK347" s="1" t="str">
        <f t="shared" si="991"/>
        <v>Market</v>
      </c>
      <c r="CL347" s="1" t="str">
        <f t="shared" si="992"/>
        <v>Market</v>
      </c>
      <c r="CM347" s="1" t="str">
        <f t="shared" si="993"/>
        <v>Market</v>
      </c>
      <c r="CN347" s="1" t="str">
        <f t="shared" si="994"/>
        <v>Market</v>
      </c>
      <c r="CO347" s="1" t="str">
        <f t="shared" si="995"/>
        <v>Market</v>
      </c>
      <c r="CP347" s="304">
        <f t="shared" si="996"/>
        <v>310</v>
      </c>
      <c r="CQ347" s="1">
        <f t="shared" si="997"/>
        <v>0</v>
      </c>
      <c r="CR347" s="1">
        <f t="shared" si="998"/>
        <v>0</v>
      </c>
      <c r="CS347" s="1">
        <f t="shared" si="999"/>
        <v>0</v>
      </c>
      <c r="CT347" s="1">
        <f t="shared" si="1000"/>
        <v>1.9E-2</v>
      </c>
      <c r="CU347" s="1">
        <f t="shared" si="1001"/>
        <v>3.9000000000000007E-2</v>
      </c>
      <c r="CV347" s="304">
        <f t="shared" si="1002"/>
        <v>4233</v>
      </c>
      <c r="CW347" s="20" t="s">
        <v>122</v>
      </c>
      <c r="CX347" s="20" t="s">
        <v>122</v>
      </c>
      <c r="CY347" s="20" t="s">
        <v>122</v>
      </c>
      <c r="CZ347" s="20" t="s">
        <v>122</v>
      </c>
      <c r="DA347" s="20" t="s">
        <v>122</v>
      </c>
      <c r="DB347" s="503">
        <f t="shared" si="1003"/>
        <v>0</v>
      </c>
      <c r="DC347" s="127">
        <v>0</v>
      </c>
      <c r="DD347" s="127">
        <v>0</v>
      </c>
      <c r="DE347" s="127">
        <v>0</v>
      </c>
      <c r="DF347" s="127">
        <v>0</v>
      </c>
      <c r="DG347" s="127">
        <v>0</v>
      </c>
      <c r="DH347" s="127">
        <v>0</v>
      </c>
      <c r="DI347" s="127">
        <v>0</v>
      </c>
      <c r="DJ347" s="127">
        <v>0</v>
      </c>
      <c r="DK347" s="127">
        <v>0</v>
      </c>
      <c r="DL347" s="127">
        <v>0</v>
      </c>
      <c r="DM347" s="304">
        <f>INDEX(Input!$1:$1048576,DM$93,$C347*2+6)</f>
        <v>20731.578947368424</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3.5953448029494739E-2</v>
      </c>
      <c r="DZ347" s="7">
        <v>0</v>
      </c>
      <c r="EA347" s="7">
        <v>0.63360014000643294</v>
      </c>
      <c r="EB347" s="7">
        <v>0</v>
      </c>
      <c r="EC347" s="7">
        <v>0</v>
      </c>
      <c r="ED347" s="7">
        <v>0</v>
      </c>
      <c r="EE347" s="7">
        <v>0</v>
      </c>
      <c r="EF347" s="7">
        <v>0</v>
      </c>
      <c r="EG347" s="7">
        <v>0</v>
      </c>
      <c r="EH347" s="7">
        <v>1.4140678527987036E-2</v>
      </c>
      <c r="EI347" s="7">
        <v>1.7906502429548974E-2</v>
      </c>
      <c r="EJ347" s="7">
        <v>0.25786441990461517</v>
      </c>
      <c r="EK347" s="7">
        <v>0.65925655922198001</v>
      </c>
      <c r="EL347" s="7">
        <v>5.0831839915868655E-2</v>
      </c>
      <c r="EM347" s="7">
        <v>4.7310644885789371E-2</v>
      </c>
      <c r="EN347" s="7">
        <v>5.765977810677482E-2</v>
      </c>
      <c r="EO347" s="7">
        <v>0.56931800922069564</v>
      </c>
      <c r="EP347" s="7">
        <v>0.27223179348574295</v>
      </c>
      <c r="EQ347" s="7">
        <v>5.9840818106432804E-2</v>
      </c>
      <c r="ER347" s="7">
        <v>4.0949601080353948E-2</v>
      </c>
      <c r="ES347" s="7">
        <v>0.28313576707828297</v>
      </c>
      <c r="ET347" s="7">
        <v>0.33044641196407226</v>
      </c>
      <c r="EU347" s="6">
        <v>1850</v>
      </c>
      <c r="EV347" s="6">
        <v>0</v>
      </c>
      <c r="EW347" s="6">
        <v>1850</v>
      </c>
      <c r="EX347" s="6">
        <v>0</v>
      </c>
      <c r="EY347" s="6">
        <v>2624.864803967459</v>
      </c>
      <c r="EZ347" s="6">
        <v>3276</v>
      </c>
      <c r="FA347" s="6">
        <v>0</v>
      </c>
      <c r="FB347" s="6">
        <v>0</v>
      </c>
      <c r="FC347" s="6">
        <v>0</v>
      </c>
      <c r="FD347" s="6">
        <v>0</v>
      </c>
      <c r="FE347" s="6">
        <v>0</v>
      </c>
      <c r="FF347" s="6">
        <v>0</v>
      </c>
      <c r="FG347" s="6">
        <v>0</v>
      </c>
      <c r="FH347" s="6">
        <v>1154.3242342772403</v>
      </c>
      <c r="FI347" s="6">
        <v>1531.4299904380621</v>
      </c>
      <c r="FJ347" s="6">
        <v>2070.7205842538219</v>
      </c>
      <c r="FK347" s="6">
        <v>1746.9903521590436</v>
      </c>
      <c r="FL347" s="6">
        <v>893.91433563489386</v>
      </c>
      <c r="FM347" s="6">
        <v>1774.8648039674592</v>
      </c>
      <c r="FN347" s="6">
        <v>0</v>
      </c>
      <c r="FO347" s="6">
        <v>0</v>
      </c>
      <c r="FP347" s="6">
        <v>0</v>
      </c>
      <c r="FQ347" s="6">
        <v>0</v>
      </c>
      <c r="FR347" s="6">
        <v>0</v>
      </c>
      <c r="FS347" s="6">
        <v>0</v>
      </c>
      <c r="FT347" s="7">
        <v>0.66955358803592768</v>
      </c>
      <c r="FU347" s="7">
        <v>4.7310644885789371E-2</v>
      </c>
      <c r="FV347" s="7">
        <v>0.28313576707828297</v>
      </c>
      <c r="FW347" s="6">
        <v>1850</v>
      </c>
      <c r="FX347" s="6">
        <v>2624.864803967459</v>
      </c>
      <c r="FY347" s="6">
        <v>3276</v>
      </c>
      <c r="FZ347" s="6">
        <v>2202.331475193394</v>
      </c>
      <c r="GA347" s="6">
        <v>2290.4109574286331</v>
      </c>
      <c r="GB347" s="6">
        <v>17404.589042571366</v>
      </c>
      <c r="GC347" s="7">
        <v>4.8391397220736806E-2</v>
      </c>
      <c r="GD347" s="7">
        <v>4.9064751909702393E-2</v>
      </c>
      <c r="GE347" s="7"/>
      <c r="GF347" s="7"/>
      <c r="GG347" s="7">
        <v>1.3914760218517503E-2</v>
      </c>
      <c r="GH347" s="42">
        <v>3.111407964136045</v>
      </c>
      <c r="GI347" s="6">
        <v>8620.342688341585</v>
      </c>
      <c r="GJ347" s="14">
        <v>0.51074630601039561</v>
      </c>
      <c r="GK347" s="14">
        <v>0.5082951978616097</v>
      </c>
      <c r="GL347" s="14">
        <v>0.48925369398960439</v>
      </c>
      <c r="GM347" s="14">
        <v>0.49170480213839046</v>
      </c>
      <c r="GO347" s="5">
        <v>338.16872463277008</v>
      </c>
      <c r="GP347" s="5">
        <v>302.87425392274076</v>
      </c>
      <c r="GQ347" s="5">
        <v>527.27910984145694</v>
      </c>
      <c r="GR347" s="5">
        <v>404.20319246551543</v>
      </c>
      <c r="GS347" s="5">
        <v>334.50205195691484</v>
      </c>
      <c r="GT347" s="5">
        <v>289.18266033348181</v>
      </c>
      <c r="GU347" s="5">
        <v>254.29573314828914</v>
      </c>
      <c r="GV347" s="39" t="s">
        <v>392</v>
      </c>
      <c r="GW347" s="5">
        <v>468.76388888888891</v>
      </c>
      <c r="GX347" s="5">
        <v>351.57291666666669</v>
      </c>
      <c r="GY347" s="5">
        <v>281.25833333333333</v>
      </c>
      <c r="GZ347" s="5">
        <v>248.18079879493993</v>
      </c>
      <c r="HA347" s="5">
        <v>229.8919505212948</v>
      </c>
      <c r="HB347" s="39">
        <v>260.75124801846084</v>
      </c>
      <c r="HC347" s="5">
        <v>139.79062499999998</v>
      </c>
      <c r="HD347" s="5">
        <v>138.50060307017537</v>
      </c>
      <c r="HE347" s="5">
        <v>146.64128289473683</v>
      </c>
      <c r="HF347" s="5">
        <v>141.94567434210524</v>
      </c>
      <c r="HG347" s="5">
        <v>144.78493421052633</v>
      </c>
      <c r="HH347" s="39">
        <v>141.25463405383698</v>
      </c>
      <c r="HI347" s="16"/>
      <c r="HJ347" s="19" t="str">
        <f t="shared" si="1115"/>
        <v>On</v>
      </c>
      <c r="HK347" s="1" t="str">
        <f t="shared" si="1115"/>
        <v>On</v>
      </c>
      <c r="HL347" s="16"/>
      <c r="HM347" s="639">
        <f t="shared" si="1004"/>
        <v>2.8970655363290673E-2</v>
      </c>
      <c r="HN347" s="639">
        <f t="shared" si="1005"/>
        <v>2.1835179285533651E-3</v>
      </c>
      <c r="HO347" s="639">
        <f t="shared" si="1006"/>
        <v>1.5544129749146325E-2</v>
      </c>
      <c r="HP347" s="644">
        <f>(FT347*$GD347-HM347)/$JF347*INDEX(Input!$1:$1048576,$JG$93,$C347*2+6)</f>
        <v>160.05869779365929</v>
      </c>
      <c r="HQ347" s="644">
        <f>(FU347*$GD347-HN347)/$JF347*INDEX(Input!$1:$1048576,$JG$93,$C347*2+6)</f>
        <v>5.6819941271783811</v>
      </c>
      <c r="HR347" s="644">
        <f>(FV347*$GD347-HO347)/$JF347*INDEX(Input!$1:$1048576,$JG$93,$C347*2+6)</f>
        <v>-68.140132064547288</v>
      </c>
      <c r="HS347" s="644">
        <f t="shared" si="1116"/>
        <v>-45.37226276006632</v>
      </c>
      <c r="HT347" s="644">
        <f t="shared" si="1008"/>
        <v>50.192628378559434</v>
      </c>
      <c r="HU347" s="644">
        <f t="shared" si="1009"/>
        <v>-8.1937296511093685</v>
      </c>
      <c r="HV347" s="648">
        <f t="shared" si="1010"/>
        <v>0</v>
      </c>
      <c r="HW347" s="648">
        <f t="shared" si="1011"/>
        <v>0</v>
      </c>
      <c r="HX347" s="648">
        <f t="shared" si="1012"/>
        <v>0</v>
      </c>
      <c r="HY347" s="644">
        <f>INDEX(Input!$1:$1048576,HY$93,$C347*2+6)*INDEX(Input!$1:$1048576,$JG$93,$C347*2+6)</f>
        <v>488.99999999999994</v>
      </c>
      <c r="HZ347" s="644">
        <f>INDEX(Input!$1:$1048576,HZ$93,$C347*2+6)*INDEX(Input!$1:$1048576,$JG$93,$C347*2+6)</f>
        <v>734</v>
      </c>
      <c r="IA347" s="644">
        <f>INDEX(Input!$1:$1048576,IA$93,$C347*2+6)*INDEX(Input!$1:$1048576,$JG$93,$C347*2+6)</f>
        <v>703</v>
      </c>
      <c r="IB347" s="644">
        <f t="shared" si="1036"/>
        <v>603.68643503359294</v>
      </c>
      <c r="IC347" s="644">
        <f t="shared" si="1037"/>
        <v>789.87462250573788</v>
      </c>
      <c r="ID347" s="644">
        <f>IF(AND(INDEX(Input!$1:$1048576,IA$93,$C347*2+7)="TOS",Y347&lt;=INDEX(Y:Y,MATCH(C347*1000+2,A:A))),0,1)*MAX(IA347+HR347+HU347+HX347,0%)</f>
        <v>626.66613828434333</v>
      </c>
      <c r="IE347" s="128">
        <f t="shared" si="1121"/>
        <v>0.29882106145366577</v>
      </c>
      <c r="IF347" s="128">
        <f t="shared" si="1108"/>
        <v>0.39098306573568092</v>
      </c>
      <c r="IG347" s="128">
        <f t="shared" si="1014"/>
        <v>0.31019587281065336</v>
      </c>
      <c r="IH347" s="21"/>
      <c r="II347" s="19">
        <f t="shared" si="1015"/>
        <v>1200</v>
      </c>
      <c r="IJ347" s="19">
        <f t="shared" si="1016"/>
        <v>2224.493581030405</v>
      </c>
      <c r="IK347" s="19">
        <f t="shared" si="1017"/>
        <v>3451.75</v>
      </c>
      <c r="IL347" s="19">
        <f t="shared" si="1039"/>
        <v>650</v>
      </c>
      <c r="IM347" s="19">
        <f t="shared" si="1018"/>
        <v>400.37122293705397</v>
      </c>
      <c r="IN347" s="19">
        <f t="shared" si="1019"/>
        <v>-175.75</v>
      </c>
      <c r="IO347" s="39">
        <f t="shared" si="1020"/>
        <v>0</v>
      </c>
      <c r="IP347" s="39">
        <f t="shared" si="1021"/>
        <v>0</v>
      </c>
      <c r="IQ347" s="39">
        <f t="shared" si="1022"/>
        <v>0</v>
      </c>
      <c r="IR347" s="39">
        <v>0</v>
      </c>
      <c r="IS347" s="39">
        <v>0</v>
      </c>
      <c r="IT347" s="39">
        <v>0</v>
      </c>
      <c r="IU347" s="39">
        <v>0</v>
      </c>
      <c r="IV347" s="39">
        <v>0</v>
      </c>
      <c r="IW347" s="39">
        <v>0</v>
      </c>
      <c r="IX347" s="39">
        <f>INDEX(Input!$1:$1048576,IX$93,$C347*2+6)+INDEX(Input!$1:$1048576,IX$94,$C347*2+6)</f>
        <v>1600</v>
      </c>
      <c r="IY347" s="39">
        <f>INDEX(Input!$1:$1048576,IY$93,$C347*2+6)+INDEX(Input!$1:$1048576,IY$94,$C347*2+6)</f>
        <v>2503.5492916397525</v>
      </c>
      <c r="IZ347" s="39">
        <f>INDEX(Input!$1:$1048576,IZ$93,$C347*2+6)+INDEX(Input!$1:$1048576,IZ$94,$C347*2+6)</f>
        <v>5773.7109265464023</v>
      </c>
      <c r="JA347" s="19">
        <f t="shared" si="1040"/>
        <v>2250</v>
      </c>
      <c r="JB347" s="19">
        <f t="shared" si="1041"/>
        <v>2903.9205145768065</v>
      </c>
      <c r="JC347" s="19">
        <f t="shared" si="1042"/>
        <v>5597.9609265464023</v>
      </c>
      <c r="JD347" s="19">
        <f t="shared" si="1043"/>
        <v>3544.1955092827193</v>
      </c>
      <c r="JE347" s="21"/>
      <c r="JF347" s="1">
        <f t="shared" si="1023"/>
        <v>4.6698303040990354E-2</v>
      </c>
      <c r="JG347" s="15">
        <f>INDEX(Input!$1:$1048576,JG$93,$C347*2+6)/(1+VLOOKUP(C347*1000+INDEX(Input!$1:$1048576,JG$93+1,$C347*2+6),$A:$KK,$JK$92,FALSE))</f>
        <v>1926</v>
      </c>
      <c r="JH347" s="1">
        <f t="shared" si="1044"/>
        <v>5.0675264722892195E-2</v>
      </c>
      <c r="JI347" s="1">
        <f t="shared" si="1045"/>
        <v>-1.7514870366647222E-3</v>
      </c>
      <c r="JJ347" s="1">
        <f t="shared" si="1109"/>
        <v>0</v>
      </c>
      <c r="JK347" s="1">
        <f t="shared" si="1110"/>
        <v>4.8923777686227472E-2</v>
      </c>
      <c r="JL347" s="15">
        <f t="shared" si="1048"/>
        <v>94.227195823674109</v>
      </c>
      <c r="JM347" s="15">
        <f t="shared" si="1074"/>
        <v>2020.227195823674</v>
      </c>
      <c r="JN347" s="21"/>
      <c r="JO347" s="19">
        <f>INDEX(Input!$1:$1048576,JO$93,$C347*2+6)</f>
        <v>5908.5</v>
      </c>
      <c r="JP347" s="19">
        <f>INDEX(Input!$1:$1048576,JP$93,$C347*2+6)</f>
        <v>3467.7694503767912</v>
      </c>
      <c r="JQ347" s="39">
        <f t="shared" si="1060"/>
        <v>2364.3044907172807</v>
      </c>
      <c r="JR347" s="39">
        <f t="shared" si="1077"/>
        <v>76.42605890592813</v>
      </c>
      <c r="JS347" s="39">
        <f t="shared" si="1062"/>
        <v>7.1600801551690862</v>
      </c>
      <c r="JT347" s="39">
        <f t="shared" si="1050"/>
        <v>0.48115619374338631</v>
      </c>
      <c r="JU347" s="385">
        <f>(JQ347*JM347-INDEX(Input!$1:$1048576,Input!A$18,$C347*2+6)*JL347*INDEX(Input!$1:$1048576,Input!A$19,$C347*2+6))/1000000</f>
        <v>4.7764322313550913</v>
      </c>
      <c r="JV347" s="39">
        <f t="shared" si="1084"/>
        <v>7.5585192780791566E-2</v>
      </c>
      <c r="JW347" s="1">
        <f t="shared" si="1075"/>
        <v>1.6079058127301985E-2</v>
      </c>
      <c r="JX347" s="19">
        <f t="shared" si="1066"/>
        <v>5106.3410041806446</v>
      </c>
      <c r="JZ347" s="341"/>
      <c r="KA347" s="342"/>
      <c r="KB347" s="469">
        <f t="shared" si="1063"/>
        <v>2.7822247002359868</v>
      </c>
      <c r="KI347" s="473">
        <f t="shared" si="1118"/>
        <v>114.686435033593</v>
      </c>
      <c r="KJ347" s="473">
        <f t="shared" si="1119"/>
        <v>55.874622505737875</v>
      </c>
      <c r="KK347" s="473">
        <f t="shared" si="1052"/>
        <v>-76.333861715656667</v>
      </c>
      <c r="KN347" s="544">
        <f t="shared" si="1067"/>
        <v>3002</v>
      </c>
      <c r="KO347" s="541">
        <f t="shared" si="1027"/>
        <v>-1.9342457964728554E-2</v>
      </c>
      <c r="KP347" s="546">
        <f t="shared" si="1028"/>
        <v>-36.859022926249764</v>
      </c>
      <c r="KQ347" s="546">
        <f t="shared" si="1029"/>
        <v>-176.88570904265362</v>
      </c>
      <c r="KR347" s="548">
        <f t="shared" si="1030"/>
        <v>8.3826110416640454</v>
      </c>
      <c r="KS347" s="548">
        <f t="shared" si="1031"/>
        <v>1.7467485317992777</v>
      </c>
      <c r="KT347" s="473">
        <f t="shared" si="1065"/>
        <v>527.01264777847621</v>
      </c>
      <c r="KU347" s="663">
        <f t="shared" si="1053"/>
        <v>15.744931847739922</v>
      </c>
      <c r="KV347" s="117"/>
    </row>
    <row r="348" spans="1:308" s="26" customFormat="1" ht="15">
      <c r="A348" s="561">
        <f t="shared" si="1032"/>
        <v>3048</v>
      </c>
      <c r="B348" s="561">
        <f t="shared" si="1054"/>
        <v>48</v>
      </c>
      <c r="C348" s="561">
        <f t="shared" si="1055"/>
        <v>3</v>
      </c>
      <c r="D348" s="561" t="str">
        <f t="shared" si="1104"/>
        <v xml:space="preserve">500 CC, -360 Lease, </v>
      </c>
      <c r="E348" s="475">
        <f>INDEX(Input!$1:$1048576,E$93,$C348*2+MIN($B348,2)+5)
+INDEX(Scenarios!E$121:E$200,MATCH($B348,Scenarios!$B$121:$B$200,0))</f>
        <v>1750</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1.9E-2</v>
      </c>
      <c r="W348" s="863">
        <f>IFERROR(MAX(0,INDEX(Input!$1:$1048576,W$93,$C348*2+MIN($B348,2)+5)-0%,),"Market")</f>
        <v>3.9000000000000007E-2</v>
      </c>
      <c r="X348" s="476" t="str">
        <f>INDEX(Input!$1:$1048576,X$93,$C348*2+MIN($B348,2)+5)</f>
        <v>Y</v>
      </c>
      <c r="Y348" s="475">
        <f>INDEX(Input!$1:$1048576,Y$93,$C348*2+MIN($B348,2)+5)
++INDEX(Scenarios!Y$121:Y$200,MATCH($B348,Scenarios!$B$121:$B$200,0))</f>
        <v>3748</v>
      </c>
      <c r="Z348" s="477">
        <f>INDEX(Input!$1:$1048576,Z$93,$C348*2+MIN($B348,2)+5)
+INDEX(Scenarios!Z$121:Z$200,MATCH($B348,Scenarios!$B$121:$B$200,0))</f>
        <v>0</v>
      </c>
      <c r="AA348" s="475">
        <f>INDEX(Input!$1:$1048576,AA$93,$C348*2+MIN($B348,2)+5)</f>
        <v>500</v>
      </c>
      <c r="AB348" s="476">
        <f>INDEX(Input!$1:$1048576,AB$93,$C348*2+MIN($B348,2)+5)</f>
        <v>0.62</v>
      </c>
      <c r="AC348" s="475">
        <f>INDEX(Input!$1:$1048576,AC$93,$C348*2+MIN($B348,2)+5)
+INDEX(Scenarios!AC$121:AC$200,MATCH($B348,Scenarios!$B$121:$B$200,0))</f>
        <v>0</v>
      </c>
      <c r="AD348" s="476">
        <f>INDEX(Input!$1:$1048576,AD$93,$C348*2+MIN($B348,2)+5)</f>
        <v>0.35</v>
      </c>
      <c r="AE348" s="475">
        <f>INDEX(Input!$1:$1048576,AE$93,$C348*2+MIN($B348,2)+5)
+INDEX(Scenarios!AE$121:AE$200,MATCH($B348,Scenarios!$B$121:$B$200,0))</f>
        <v>500</v>
      </c>
      <c r="AF348" s="476">
        <f>INDEX(Input!$1:$1048576,AF$93,$C348*2+MIN($B348,2)+5)</f>
        <v>0.97</v>
      </c>
      <c r="AG348" s="475">
        <f>INDEX(Input!$1:$1048576,AG$93,$C348*2+MIN($B348,2)+5)
+INDEX(Scenarios!AG$121:AG$200,MATCH($B348,Scenarios!$B$121:$B$200,0))</f>
        <v>0</v>
      </c>
      <c r="AH348" s="476">
        <f>INDEX(Input!$1:$1048576,AH$93,$C348*2+MIN($B348,2)+5)</f>
        <v>1</v>
      </c>
      <c r="AI348" s="475">
        <f>INDEX(Input!$1:$1048576,AI$93,$C348*2+MIN($B348,2)+5)
+INDEX(Scenarios!AI$121:AI$200,MATCH($B348,Scenarios!$B$121:$B$200,0))</f>
        <v>0</v>
      </c>
      <c r="AJ348" s="476">
        <f>INDEX(Input!$1:$1048576,AJ$93,$C348*2+MIN($B348,2)+5)</f>
        <v>0.35</v>
      </c>
      <c r="AK348" s="150">
        <f>ROUND(INDEX(Input!$1:$1048576,AK$93,$C347*2+MIN($B348,1)+5)+(Y348-VLOOKUP($C348*1000+1,$A:$HH,Y$92,FALSE)),0)</f>
        <v>4622</v>
      </c>
      <c r="AL348" s="150">
        <f>ROUND(INDEX(Input!$1:$1048576,AL$93,$C347*2+MIN($B348,1)+5)-(Y348-VLOOKUP($C348*1000+1,$A:$HH,Y$92,FALSE))/36,0)</f>
        <v>5112</v>
      </c>
      <c r="AM348" s="32" t="str">
        <f t="shared" si="1033"/>
        <v>std/std/std/std</v>
      </c>
      <c r="AN348" s="32" t="str">
        <f t="shared" si="1034"/>
        <v>$0 + 0/0/0/1.9/3.9</v>
      </c>
      <c r="AO348" s="32" t="str">
        <f t="shared" si="1035"/>
        <v>0/0/0/1.9/3.9</v>
      </c>
      <c r="AP348" s="32" t="str">
        <f t="shared" si="989"/>
        <v>0/0.9/1.9/3.9</v>
      </c>
      <c r="AQ348" s="536">
        <f t="shared" si="988"/>
        <v>485.31675248166948</v>
      </c>
      <c r="AR348" s="32"/>
      <c r="AS348" s="302"/>
      <c r="AT348" s="3">
        <f t="shared" si="1056"/>
        <v>48</v>
      </c>
      <c r="AU348" s="41" t="s">
        <v>121</v>
      </c>
      <c r="AV348" s="41" t="s">
        <v>116</v>
      </c>
      <c r="AW348" s="41" t="str">
        <f>INDEX(Input!$1:$1048576,AW$93,$C348*2+6)</f>
        <v>Kia</v>
      </c>
      <c r="AX348" s="41" t="str">
        <f>INDEX(Input!$1:$1048576,AX$93,$C348*2+6)</f>
        <v>Kia-LR - L3</v>
      </c>
      <c r="AY348" s="41" t="str">
        <f>IF(LEN(D348)=0,"",INDEX(Input!$1:$1048576,AY$93,$C348*2+6))</f>
        <v>Compact Conventional/Sporty Car (43)</v>
      </c>
      <c r="AZ348" s="41" t="str">
        <f>INDEX(Input!$1:$1048576,AZ$93,$C348*2+6)</f>
        <v>Kia Forte</v>
      </c>
      <c r="BA348" s="3">
        <f>INDEX(Input!$1:$1048576,BA$93,$C348*2+6)</f>
        <v>2020</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19695</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990"/>
        <v>1750</v>
      </c>
      <c r="CJ348" s="16" t="str">
        <f>INDEX(Input!$1:$1048576,CJ$93,$C348*2+6)</f>
        <v>N</v>
      </c>
      <c r="CK348" s="1" t="str">
        <f t="shared" si="991"/>
        <v>Market</v>
      </c>
      <c r="CL348" s="1" t="str">
        <f t="shared" si="992"/>
        <v>Market</v>
      </c>
      <c r="CM348" s="1" t="str">
        <f t="shared" si="993"/>
        <v>Market</v>
      </c>
      <c r="CN348" s="1" t="str">
        <f t="shared" si="994"/>
        <v>Market</v>
      </c>
      <c r="CO348" s="1" t="str">
        <f t="shared" si="995"/>
        <v>Market</v>
      </c>
      <c r="CP348" s="304">
        <f t="shared" si="996"/>
        <v>310</v>
      </c>
      <c r="CQ348" s="1">
        <f t="shared" si="997"/>
        <v>0</v>
      </c>
      <c r="CR348" s="1">
        <f t="shared" si="998"/>
        <v>0</v>
      </c>
      <c r="CS348" s="1">
        <f t="shared" si="999"/>
        <v>0</v>
      </c>
      <c r="CT348" s="1">
        <f t="shared" si="1000"/>
        <v>1.9E-2</v>
      </c>
      <c r="CU348" s="1">
        <f t="shared" si="1001"/>
        <v>3.9000000000000007E-2</v>
      </c>
      <c r="CV348" s="304">
        <f t="shared" si="1002"/>
        <v>4233</v>
      </c>
      <c r="CW348" s="20" t="s">
        <v>122</v>
      </c>
      <c r="CX348" s="20" t="s">
        <v>122</v>
      </c>
      <c r="CY348" s="20" t="s">
        <v>122</v>
      </c>
      <c r="CZ348" s="20" t="s">
        <v>122</v>
      </c>
      <c r="DA348" s="20" t="s">
        <v>122</v>
      </c>
      <c r="DB348" s="503">
        <f t="shared" si="1003"/>
        <v>0</v>
      </c>
      <c r="DC348" s="127">
        <v>0</v>
      </c>
      <c r="DD348" s="127">
        <v>0</v>
      </c>
      <c r="DE348" s="127">
        <v>0</v>
      </c>
      <c r="DF348" s="127">
        <v>0</v>
      </c>
      <c r="DG348" s="127">
        <v>0</v>
      </c>
      <c r="DH348" s="127">
        <v>0</v>
      </c>
      <c r="DI348" s="127">
        <v>0</v>
      </c>
      <c r="DJ348" s="127">
        <v>0</v>
      </c>
      <c r="DK348" s="127">
        <v>0</v>
      </c>
      <c r="DL348" s="127">
        <v>0</v>
      </c>
      <c r="DM348" s="304">
        <f>INDEX(Input!$1:$1048576,DM$93,$C348*2+6)</f>
        <v>20731.578947368424</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3.6915628030231823E-2</v>
      </c>
      <c r="DZ348" s="7">
        <v>0</v>
      </c>
      <c r="EA348" s="7">
        <v>0.6481271049660603</v>
      </c>
      <c r="EB348" s="7">
        <v>0</v>
      </c>
      <c r="EC348" s="7">
        <v>0</v>
      </c>
      <c r="ED348" s="7">
        <v>0</v>
      </c>
      <c r="EE348" s="7">
        <v>0</v>
      </c>
      <c r="EF348" s="7">
        <v>0</v>
      </c>
      <c r="EG348" s="7">
        <v>0</v>
      </c>
      <c r="EH348" s="7">
        <v>1.4148907975403245E-2</v>
      </c>
      <c r="EI348" s="7">
        <v>1.7907235788782509E-2</v>
      </c>
      <c r="EJ348" s="7">
        <v>0.25812607304265989</v>
      </c>
      <c r="EK348" s="7">
        <v>0.65904007254301966</v>
      </c>
      <c r="EL348" s="7">
        <v>5.0777710650134762E-2</v>
      </c>
      <c r="EM348" s="7">
        <v>4.5094457124704689E-2</v>
      </c>
      <c r="EN348" s="7">
        <v>5.7659778106774813E-2</v>
      </c>
      <c r="EO348" s="7">
        <v>0.56931800922069542</v>
      </c>
      <c r="EP348" s="7">
        <v>0.27223179348574278</v>
      </c>
      <c r="EQ348" s="7">
        <v>5.9840818106432825E-2</v>
      </c>
      <c r="ER348" s="7">
        <v>4.094960108035392E-2</v>
      </c>
      <c r="ES348" s="7">
        <v>0.26986280987900318</v>
      </c>
      <c r="ET348" s="7">
        <v>0.31495726700370791</v>
      </c>
      <c r="EU348" s="6">
        <v>2100</v>
      </c>
      <c r="EV348" s="6">
        <v>0</v>
      </c>
      <c r="EW348" s="6">
        <v>2100</v>
      </c>
      <c r="EX348" s="6">
        <v>0</v>
      </c>
      <c r="EY348" s="6">
        <v>2624.9906275925982</v>
      </c>
      <c r="EZ348" s="6">
        <v>3276</v>
      </c>
      <c r="FA348" s="6">
        <v>0</v>
      </c>
      <c r="FB348" s="6">
        <v>0</v>
      </c>
      <c r="FC348" s="6">
        <v>0</v>
      </c>
      <c r="FD348" s="6">
        <v>0</v>
      </c>
      <c r="FE348" s="6">
        <v>0</v>
      </c>
      <c r="FF348" s="6">
        <v>0</v>
      </c>
      <c r="FG348" s="6">
        <v>0</v>
      </c>
      <c r="FH348" s="6">
        <v>1154.3226520686055</v>
      </c>
      <c r="FI348" s="6">
        <v>1531.4299904380623</v>
      </c>
      <c r="FJ348" s="6">
        <v>2070.7205842538219</v>
      </c>
      <c r="FK348" s="6">
        <v>1746.9903521590431</v>
      </c>
      <c r="FL348" s="6">
        <v>893.91433563489375</v>
      </c>
      <c r="FM348" s="6">
        <v>1774.9906275925982</v>
      </c>
      <c r="FN348" s="6">
        <v>0</v>
      </c>
      <c r="FO348" s="6">
        <v>0</v>
      </c>
      <c r="FP348" s="6">
        <v>0</v>
      </c>
      <c r="FQ348" s="6">
        <v>0</v>
      </c>
      <c r="FR348" s="6">
        <v>0</v>
      </c>
      <c r="FS348" s="6">
        <v>0</v>
      </c>
      <c r="FT348" s="7">
        <v>0.68504273299629215</v>
      </c>
      <c r="FU348" s="7">
        <v>4.5094457124704689E-2</v>
      </c>
      <c r="FV348" s="7">
        <v>0.26986280987900318</v>
      </c>
      <c r="FW348" s="6">
        <v>2100</v>
      </c>
      <c r="FX348" s="6">
        <v>2624.9906275925982</v>
      </c>
      <c r="FY348" s="6">
        <v>3276</v>
      </c>
      <c r="FZ348" s="6">
        <v>2202.331475193394</v>
      </c>
      <c r="GA348" s="6">
        <v>2441.0328317645544</v>
      </c>
      <c r="GB348" s="6">
        <v>17253.967168235446</v>
      </c>
      <c r="GC348" s="7">
        <v>4.8391397220736806E-2</v>
      </c>
      <c r="GD348" s="7">
        <v>5.0164352670786699E-2</v>
      </c>
      <c r="GE348" s="7"/>
      <c r="GF348" s="7"/>
      <c r="GG348" s="7">
        <v>3.6637823081705552E-2</v>
      </c>
      <c r="GH348" s="42">
        <v>3.0229485745678053</v>
      </c>
      <c r="GI348" s="6">
        <v>8956.1949372978288</v>
      </c>
      <c r="GJ348" s="14">
        <v>0.51074630601039539</v>
      </c>
      <c r="GK348" s="14">
        <v>0.50829519786160959</v>
      </c>
      <c r="GL348" s="14">
        <v>0.48925369398960417</v>
      </c>
      <c r="GM348" s="14">
        <v>0.4917048021383903</v>
      </c>
      <c r="GO348" s="5">
        <v>338.16872463277008</v>
      </c>
      <c r="GP348" s="5">
        <v>298.1047308538179</v>
      </c>
      <c r="GQ348" s="5">
        <v>527.27910984145694</v>
      </c>
      <c r="GR348" s="5">
        <v>404.20319246551543</v>
      </c>
      <c r="GS348" s="5">
        <v>334.50205195691484</v>
      </c>
      <c r="GT348" s="5">
        <v>289.18266033348181</v>
      </c>
      <c r="GU348" s="5">
        <v>254.29573314828914</v>
      </c>
      <c r="GV348" s="39" t="s">
        <v>392</v>
      </c>
      <c r="GW348" s="5">
        <v>468.76388888888891</v>
      </c>
      <c r="GX348" s="5">
        <v>351.57291666666669</v>
      </c>
      <c r="GY348" s="5">
        <v>281.25833333333333</v>
      </c>
      <c r="GZ348" s="5">
        <v>248.18079879493993</v>
      </c>
      <c r="HA348" s="5">
        <v>229.8919505212948</v>
      </c>
      <c r="HB348" s="39">
        <v>260.76278392160498</v>
      </c>
      <c r="HC348" s="5">
        <v>139.79062499999998</v>
      </c>
      <c r="HD348" s="5">
        <v>138.50060307017537</v>
      </c>
      <c r="HE348" s="5">
        <v>146.64128289473683</v>
      </c>
      <c r="HF348" s="5">
        <v>141.94567434210524</v>
      </c>
      <c r="HG348" s="5">
        <v>144.78493421052633</v>
      </c>
      <c r="HH348" s="39">
        <v>141.25463405383695</v>
      </c>
      <c r="HI348" s="16"/>
      <c r="HJ348" s="19" t="str">
        <f t="shared" si="1115"/>
        <v>On</v>
      </c>
      <c r="HK348" s="1" t="str">
        <f t="shared" si="1115"/>
        <v>On</v>
      </c>
      <c r="HL348" s="16"/>
      <c r="HM348" s="639">
        <f t="shared" si="1004"/>
        <v>2.8970655363290673E-2</v>
      </c>
      <c r="HN348" s="639">
        <f t="shared" si="1005"/>
        <v>2.1835179285533651E-3</v>
      </c>
      <c r="HO348" s="639">
        <f t="shared" si="1006"/>
        <v>1.5544129749146325E-2</v>
      </c>
      <c r="HP348" s="644">
        <f>(FT348*$GD348-HM348)/$JF348*INDEX(Input!$1:$1048576,$JG$93,$C348*2+6)</f>
        <v>222.47015266620801</v>
      </c>
      <c r="HQ348" s="644">
        <f>(FU348*$GD348-HN348)/$JF348*INDEX(Input!$1:$1048576,$JG$93,$C348*2+6)</f>
        <v>3.2424098221325628</v>
      </c>
      <c r="HR348" s="644">
        <f>(FV348*$GD348-HO348)/$JF348*INDEX(Input!$1:$1048576,$JG$93,$C348*2+6)</f>
        <v>-82.760653055398237</v>
      </c>
      <c r="HS348" s="644">
        <f t="shared" si="1116"/>
        <v>-62.664590213475208</v>
      </c>
      <c r="HT348" s="644">
        <f t="shared" si="1008"/>
        <v>47.188437422863572</v>
      </c>
      <c r="HU348" s="644">
        <f t="shared" si="1009"/>
        <v>-5.1711655209580973</v>
      </c>
      <c r="HV348" s="648">
        <f t="shared" si="1010"/>
        <v>0</v>
      </c>
      <c r="HW348" s="648">
        <f t="shared" si="1011"/>
        <v>0</v>
      </c>
      <c r="HX348" s="648">
        <f t="shared" si="1012"/>
        <v>0</v>
      </c>
      <c r="HY348" s="644">
        <f>INDEX(Input!$1:$1048576,HY$93,$C348*2+6)*INDEX(Input!$1:$1048576,$JG$93,$C348*2+6)</f>
        <v>488.99999999999994</v>
      </c>
      <c r="HZ348" s="644">
        <f>INDEX(Input!$1:$1048576,HZ$93,$C348*2+6)*INDEX(Input!$1:$1048576,$JG$93,$C348*2+6)</f>
        <v>734</v>
      </c>
      <c r="IA348" s="644">
        <f>INDEX(Input!$1:$1048576,IA$93,$C348*2+6)*INDEX(Input!$1:$1048576,$JG$93,$C348*2+6)</f>
        <v>703</v>
      </c>
      <c r="IB348" s="644">
        <f t="shared" si="1036"/>
        <v>648.80556245273283</v>
      </c>
      <c r="IC348" s="644">
        <f t="shared" si="1037"/>
        <v>784.43084724499613</v>
      </c>
      <c r="ID348" s="644">
        <f>IF(AND(INDEX(Input!$1:$1048576,IA$93,$C348*2+7)="TOS",Y348&lt;=INDEX(Y:Y,MATCH(C348*1000+2,A:A))),0,1)*MAX(IA348+HR348+HU348+HX348,0%)</f>
        <v>615.06818142364364</v>
      </c>
      <c r="IE348" s="128">
        <f t="shared" si="1121"/>
        <v>0.3167524816695037</v>
      </c>
      <c r="IF348" s="128">
        <f t="shared" si="1108"/>
        <v>0.38296591759116677</v>
      </c>
      <c r="IG348" s="128">
        <f t="shared" si="1014"/>
        <v>0.30028160073932952</v>
      </c>
      <c r="IH348" s="21"/>
      <c r="II348" s="19">
        <f t="shared" si="1015"/>
        <v>1200</v>
      </c>
      <c r="IJ348" s="19">
        <f t="shared" si="1016"/>
        <v>2224.493581030405</v>
      </c>
      <c r="IK348" s="19">
        <f t="shared" si="1017"/>
        <v>3451.75</v>
      </c>
      <c r="IL348" s="19">
        <f t="shared" si="1039"/>
        <v>900</v>
      </c>
      <c r="IM348" s="19">
        <f t="shared" si="1018"/>
        <v>400.49704656219319</v>
      </c>
      <c r="IN348" s="19">
        <f t="shared" si="1019"/>
        <v>-175.75</v>
      </c>
      <c r="IO348" s="39">
        <f t="shared" si="1020"/>
        <v>0</v>
      </c>
      <c r="IP348" s="39">
        <f t="shared" si="1021"/>
        <v>0</v>
      </c>
      <c r="IQ348" s="39">
        <f t="shared" si="1022"/>
        <v>0</v>
      </c>
      <c r="IR348" s="39">
        <v>0</v>
      </c>
      <c r="IS348" s="39">
        <v>0</v>
      </c>
      <c r="IT348" s="39">
        <v>0</v>
      </c>
      <c r="IU348" s="39">
        <v>0</v>
      </c>
      <c r="IV348" s="39">
        <v>0</v>
      </c>
      <c r="IW348" s="39">
        <v>0</v>
      </c>
      <c r="IX348" s="39">
        <f>INDEX(Input!$1:$1048576,IX$93,$C348*2+6)+INDEX(Input!$1:$1048576,IX$94,$C348*2+6)</f>
        <v>1600</v>
      </c>
      <c r="IY348" s="39">
        <f>INDEX(Input!$1:$1048576,IY$93,$C348*2+6)+INDEX(Input!$1:$1048576,IY$94,$C348*2+6)</f>
        <v>2503.5492916397525</v>
      </c>
      <c r="IZ348" s="39">
        <f>INDEX(Input!$1:$1048576,IZ$93,$C348*2+6)+INDEX(Input!$1:$1048576,IZ$94,$C348*2+6)</f>
        <v>5773.7109265464023</v>
      </c>
      <c r="JA348" s="19">
        <f t="shared" si="1040"/>
        <v>2500</v>
      </c>
      <c r="JB348" s="19">
        <f t="shared" si="1041"/>
        <v>2904.0463382019457</v>
      </c>
      <c r="JC348" s="19">
        <f t="shared" si="1042"/>
        <v>5597.9609265464023</v>
      </c>
      <c r="JD348" s="19">
        <f t="shared" si="1043"/>
        <v>3584.996642710109</v>
      </c>
      <c r="JE348" s="21"/>
      <c r="JF348" s="1">
        <f t="shared" si="1023"/>
        <v>4.6698303040990354E-2</v>
      </c>
      <c r="JG348" s="15">
        <f>INDEX(Input!$1:$1048576,JG$93,$C348*2+6)/(1+VLOOKUP(C348*1000+INDEX(Input!$1:$1048576,JG$93+1,$C348*2+6),$A:$KK,$JK$92,FALSE))</f>
        <v>1926</v>
      </c>
      <c r="JH348" s="1">
        <f t="shared" si="1044"/>
        <v>7.4222175198827789E-2</v>
      </c>
      <c r="JI348" s="1">
        <f t="shared" si="1045"/>
        <v>-1.0720310649828523E-2</v>
      </c>
      <c r="JJ348" s="1">
        <f t="shared" si="1109"/>
        <v>0</v>
      </c>
      <c r="JK348" s="1">
        <f t="shared" si="1110"/>
        <v>6.3501864548999268E-2</v>
      </c>
      <c r="JL348" s="15">
        <f t="shared" si="1048"/>
        <v>122.3045911213726</v>
      </c>
      <c r="JM348" s="15">
        <f t="shared" si="1074"/>
        <v>2048.3045911213726</v>
      </c>
      <c r="JN348" s="21"/>
      <c r="JO348" s="19">
        <f>INDEX(Input!$1:$1048576,JO$93,$C348*2+6)</f>
        <v>5908.5</v>
      </c>
      <c r="JP348" s="19">
        <f>INDEX(Input!$1:$1048576,JP$93,$C348*2+6)</f>
        <v>3467.7694503767912</v>
      </c>
      <c r="JQ348" s="39">
        <f t="shared" si="1060"/>
        <v>2323.503357289891</v>
      </c>
      <c r="JR348" s="39">
        <f t="shared" si="1077"/>
        <v>117.22719233331782</v>
      </c>
      <c r="JS348" s="39">
        <f t="shared" si="1062"/>
        <v>7.3431650824178236</v>
      </c>
      <c r="JT348" s="39">
        <f t="shared" si="1050"/>
        <v>0.66424112099212318</v>
      </c>
      <c r="JU348" s="385">
        <f>(JQ348*JM348-INDEX(Input!$1:$1048576,Input!A$18,$C348*2+6)*JL348*INDEX(Input!$1:$1048576,Input!A$19,$C348*2+6))/1000000</f>
        <v>4.7592425942228065</v>
      </c>
      <c r="JV348" s="39">
        <f t="shared" si="1084"/>
        <v>5.8395555648506736E-2</v>
      </c>
      <c r="JW348" s="1">
        <f t="shared" si="1075"/>
        <v>1.2422347540629035E-2</v>
      </c>
      <c r="JX348" s="19">
        <f t="shared" si="1066"/>
        <v>5431.0399544440961</v>
      </c>
      <c r="JZ348" s="341"/>
      <c r="KA348" s="342"/>
      <c r="KB348" s="469">
        <f t="shared" si="1063"/>
        <v>2.7822247002359868</v>
      </c>
      <c r="KI348" s="473">
        <f t="shared" si="1118"/>
        <v>159.80556245273289</v>
      </c>
      <c r="KJ348" s="473">
        <f t="shared" si="1119"/>
        <v>50.43084724499613</v>
      </c>
      <c r="KK348" s="473">
        <f t="shared" si="1052"/>
        <v>-87.931818576356363</v>
      </c>
      <c r="KN348" s="544">
        <f t="shared" si="1067"/>
        <v>3002</v>
      </c>
      <c r="KO348" s="541">
        <f t="shared" si="1027"/>
        <v>-5.7131446299143462E-3</v>
      </c>
      <c r="KP348" s="546">
        <f t="shared" si="1028"/>
        <v>50.42709847731301</v>
      </c>
      <c r="KQ348" s="546">
        <f t="shared" si="1029"/>
        <v>-136.08457561526393</v>
      </c>
      <c r="KR348" s="548">
        <f t="shared" si="1030"/>
        <v>-1.8097671899022802</v>
      </c>
      <c r="KS348" s="548">
        <f t="shared" si="1031"/>
        <v>0.67062198558214847</v>
      </c>
      <c r="KT348" s="473">
        <f t="shared" si="1065"/>
        <v>527.01264777847621</v>
      </c>
      <c r="KU348" s="663">
        <f t="shared" si="1053"/>
        <v>15.858425769385567</v>
      </c>
      <c r="KV348" s="117"/>
    </row>
    <row r="349" spans="1:308" s="26" customFormat="1" ht="15">
      <c r="A349" s="561">
        <f t="shared" si="1032"/>
        <v>3049</v>
      </c>
      <c r="B349" s="561">
        <f t="shared" si="1054"/>
        <v>49</v>
      </c>
      <c r="C349" s="561">
        <f t="shared" si="1055"/>
        <v>3</v>
      </c>
      <c r="D349" s="561" t="str">
        <f t="shared" si="1104"/>
        <v xml:space="preserve">750 CC, -360 Lease, </v>
      </c>
      <c r="E349" s="475">
        <f>INDEX(Input!$1:$1048576,E$93,$C349*2+MIN($B349,2)+5)
+INDEX(Scenarios!E$121:E$200,MATCH($B349,Scenarios!$B$121:$B$200,0))</f>
        <v>2000</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1.9E-2</v>
      </c>
      <c r="W349" s="863">
        <f>IFERROR(MAX(0,INDEX(Input!$1:$1048576,W$93,$C349*2+MIN($B349,2)+5)-0%,),"Market")</f>
        <v>3.9000000000000007E-2</v>
      </c>
      <c r="X349" s="476" t="str">
        <f>INDEX(Input!$1:$1048576,X$93,$C349*2+MIN($B349,2)+5)</f>
        <v>Y</v>
      </c>
      <c r="Y349" s="475">
        <f>INDEX(Input!$1:$1048576,Y$93,$C349*2+MIN($B349,2)+5)
++INDEX(Scenarios!Y$121:Y$200,MATCH($B349,Scenarios!$B$121:$B$200,0))</f>
        <v>3748</v>
      </c>
      <c r="Z349" s="477">
        <f>INDEX(Input!$1:$1048576,Z$93,$C349*2+MIN($B349,2)+5)
+INDEX(Scenarios!Z$121:Z$200,MATCH($B349,Scenarios!$B$121:$B$200,0))</f>
        <v>0</v>
      </c>
      <c r="AA349" s="475">
        <f>INDEX(Input!$1:$1048576,AA$93,$C349*2+MIN($B349,2)+5)</f>
        <v>500</v>
      </c>
      <c r="AB349" s="476">
        <f>INDEX(Input!$1:$1048576,AB$93,$C349*2+MIN($B349,2)+5)</f>
        <v>0.62</v>
      </c>
      <c r="AC349" s="475">
        <f>INDEX(Input!$1:$1048576,AC$93,$C349*2+MIN($B349,2)+5)
+INDEX(Scenarios!AC$121:AC$200,MATCH($B349,Scenarios!$B$121:$B$200,0))</f>
        <v>0</v>
      </c>
      <c r="AD349" s="476">
        <f>INDEX(Input!$1:$1048576,AD$93,$C349*2+MIN($B349,2)+5)</f>
        <v>0.35</v>
      </c>
      <c r="AE349" s="475">
        <f>INDEX(Input!$1:$1048576,AE$93,$C349*2+MIN($B349,2)+5)
+INDEX(Scenarios!AE$121:AE$200,MATCH($B349,Scenarios!$B$121:$B$200,0))</f>
        <v>500</v>
      </c>
      <c r="AF349" s="476">
        <f>INDEX(Input!$1:$1048576,AF$93,$C349*2+MIN($B349,2)+5)</f>
        <v>0.97</v>
      </c>
      <c r="AG349" s="475">
        <f>INDEX(Input!$1:$1048576,AG$93,$C349*2+MIN($B349,2)+5)
+INDEX(Scenarios!AG$121:AG$200,MATCH($B349,Scenarios!$B$121:$B$200,0))</f>
        <v>0</v>
      </c>
      <c r="AH349" s="476">
        <f>INDEX(Input!$1:$1048576,AH$93,$C349*2+MIN($B349,2)+5)</f>
        <v>1</v>
      </c>
      <c r="AI349" s="475">
        <f>INDEX(Input!$1:$1048576,AI$93,$C349*2+MIN($B349,2)+5)
+INDEX(Scenarios!AI$121:AI$200,MATCH($B349,Scenarios!$B$121:$B$200,0))</f>
        <v>0</v>
      </c>
      <c r="AJ349" s="476">
        <f>INDEX(Input!$1:$1048576,AJ$93,$C349*2+MIN($B349,2)+5)</f>
        <v>0.35</v>
      </c>
      <c r="AK349" s="150">
        <f>ROUND(INDEX(Input!$1:$1048576,AK$93,$C348*2+MIN($B349,1)+5)+(Y349-VLOOKUP($C349*1000+1,$A:$HH,Y$92,FALSE)),0)</f>
        <v>4622</v>
      </c>
      <c r="AL349" s="150">
        <f>ROUND(INDEX(Input!$1:$1048576,AL$93,$C348*2+MIN($B349,1)+5)-(Y349-VLOOKUP($C349*1000+1,$A:$HH,Y$92,FALSE))/36,0)</f>
        <v>5112</v>
      </c>
      <c r="AM349" s="32" t="str">
        <f t="shared" si="1033"/>
        <v>std/std/std/std</v>
      </c>
      <c r="AN349" s="32" t="str">
        <f t="shared" si="1034"/>
        <v>$0 + 0/0/0/1.9/3.9</v>
      </c>
      <c r="AO349" s="32" t="str">
        <f t="shared" si="1035"/>
        <v>0/0/0/1.9/3.9</v>
      </c>
      <c r="AP349" s="32" t="str">
        <f t="shared" si="989"/>
        <v>0/0.9/1.9/3.9</v>
      </c>
      <c r="AQ349" s="536">
        <f t="shared" si="988"/>
        <v>485.33482787265854</v>
      </c>
      <c r="AR349" s="32"/>
      <c r="AS349" s="302"/>
      <c r="AT349" s="3">
        <f t="shared" si="1056"/>
        <v>49</v>
      </c>
      <c r="AU349" s="41" t="s">
        <v>121</v>
      </c>
      <c r="AV349" s="41" t="s">
        <v>116</v>
      </c>
      <c r="AW349" s="41" t="str">
        <f>INDEX(Input!$1:$1048576,AW$93,$C349*2+6)</f>
        <v>Kia</v>
      </c>
      <c r="AX349" s="41" t="str">
        <f>INDEX(Input!$1:$1048576,AX$93,$C349*2+6)</f>
        <v>Kia-LR - L3</v>
      </c>
      <c r="AY349" s="41" t="str">
        <f>IF(LEN(D349)=0,"",INDEX(Input!$1:$1048576,AY$93,$C349*2+6))</f>
        <v>Compact Conventional/Sporty Car (43)</v>
      </c>
      <c r="AZ349" s="41" t="str">
        <f>INDEX(Input!$1:$1048576,AZ$93,$C349*2+6)</f>
        <v>Kia Forte</v>
      </c>
      <c r="BA349" s="3">
        <f>INDEX(Input!$1:$1048576,BA$93,$C349*2+6)</f>
        <v>2020</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19695</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990"/>
        <v>2000</v>
      </c>
      <c r="CJ349" s="16" t="str">
        <f>INDEX(Input!$1:$1048576,CJ$93,$C349*2+6)</f>
        <v>N</v>
      </c>
      <c r="CK349" s="1" t="str">
        <f t="shared" si="991"/>
        <v>Market</v>
      </c>
      <c r="CL349" s="1" t="str">
        <f t="shared" si="992"/>
        <v>Market</v>
      </c>
      <c r="CM349" s="1" t="str">
        <f t="shared" si="993"/>
        <v>Market</v>
      </c>
      <c r="CN349" s="1" t="str">
        <f t="shared" si="994"/>
        <v>Market</v>
      </c>
      <c r="CO349" s="1" t="str">
        <f t="shared" si="995"/>
        <v>Market</v>
      </c>
      <c r="CP349" s="304">
        <f t="shared" si="996"/>
        <v>310</v>
      </c>
      <c r="CQ349" s="1">
        <f t="shared" si="997"/>
        <v>0</v>
      </c>
      <c r="CR349" s="1">
        <f t="shared" si="998"/>
        <v>0</v>
      </c>
      <c r="CS349" s="1">
        <f t="shared" si="999"/>
        <v>0</v>
      </c>
      <c r="CT349" s="1">
        <f t="shared" si="1000"/>
        <v>1.9E-2</v>
      </c>
      <c r="CU349" s="1">
        <f t="shared" si="1001"/>
        <v>3.9000000000000007E-2</v>
      </c>
      <c r="CV349" s="304">
        <f t="shared" si="1002"/>
        <v>4233</v>
      </c>
      <c r="CW349" s="20" t="s">
        <v>122</v>
      </c>
      <c r="CX349" s="20" t="s">
        <v>122</v>
      </c>
      <c r="CY349" s="20" t="s">
        <v>122</v>
      </c>
      <c r="CZ349" s="20" t="s">
        <v>122</v>
      </c>
      <c r="DA349" s="20" t="s">
        <v>122</v>
      </c>
      <c r="DB349" s="503">
        <f t="shared" si="1003"/>
        <v>0</v>
      </c>
      <c r="DC349" s="127">
        <v>0</v>
      </c>
      <c r="DD349" s="127">
        <v>0</v>
      </c>
      <c r="DE349" s="127">
        <v>0</v>
      </c>
      <c r="DF349" s="127">
        <v>0</v>
      </c>
      <c r="DG349" s="127">
        <v>0</v>
      </c>
      <c r="DH349" s="127">
        <v>0</v>
      </c>
      <c r="DI349" s="127">
        <v>0</v>
      </c>
      <c r="DJ349" s="127">
        <v>0</v>
      </c>
      <c r="DK349" s="127">
        <v>0</v>
      </c>
      <c r="DL349" s="127">
        <v>0</v>
      </c>
      <c r="DM349" s="304">
        <f>INDEX(Input!$1:$1048576,DM$93,$C349*2+6)</f>
        <v>20731.578947368424</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3.7863985282269301E-2</v>
      </c>
      <c r="DZ349" s="7">
        <v>0</v>
      </c>
      <c r="EA349" s="7">
        <v>0.66227637231468006</v>
      </c>
      <c r="EB349" s="7">
        <v>0</v>
      </c>
      <c r="EC349" s="7">
        <v>0</v>
      </c>
      <c r="ED349" s="7">
        <v>0</v>
      </c>
      <c r="EE349" s="7">
        <v>0</v>
      </c>
      <c r="EF349" s="7">
        <v>0</v>
      </c>
      <c r="EG349" s="7">
        <v>0</v>
      </c>
      <c r="EH349" s="7">
        <v>1.4156900004019899E-2</v>
      </c>
      <c r="EI349" s="7">
        <v>1.7907947990669752E-2</v>
      </c>
      <c r="EJ349" s="7">
        <v>0.2583801775117856</v>
      </c>
      <c r="EK349" s="7">
        <v>0.65882983148479568</v>
      </c>
      <c r="EL349" s="7">
        <v>5.0725143008728796E-2</v>
      </c>
      <c r="EM349" s="7">
        <v>4.2934148685120618E-2</v>
      </c>
      <c r="EN349" s="7">
        <v>5.7659778106774834E-2</v>
      </c>
      <c r="EO349" s="7">
        <v>0.56931800922069553</v>
      </c>
      <c r="EP349" s="7">
        <v>0.27223179348574295</v>
      </c>
      <c r="EQ349" s="7">
        <v>5.9840818106432832E-2</v>
      </c>
      <c r="ER349" s="7">
        <v>4.0949601080353962E-2</v>
      </c>
      <c r="ES349" s="7">
        <v>0.25692549371792994</v>
      </c>
      <c r="ET349" s="7">
        <v>0.29985964240305057</v>
      </c>
      <c r="EU349" s="6">
        <v>2350</v>
      </c>
      <c r="EV349" s="6">
        <v>0</v>
      </c>
      <c r="EW349" s="6">
        <v>2350</v>
      </c>
      <c r="EX349" s="6">
        <v>0</v>
      </c>
      <c r="EY349" s="6">
        <v>2625.1128212177473</v>
      </c>
      <c r="EZ349" s="6">
        <v>3276</v>
      </c>
      <c r="FA349" s="6">
        <v>0</v>
      </c>
      <c r="FB349" s="6">
        <v>0</v>
      </c>
      <c r="FC349" s="6">
        <v>0</v>
      </c>
      <c r="FD349" s="6">
        <v>0</v>
      </c>
      <c r="FE349" s="6">
        <v>0</v>
      </c>
      <c r="FF349" s="6">
        <v>0</v>
      </c>
      <c r="FG349" s="6">
        <v>0</v>
      </c>
      <c r="FH349" s="6">
        <v>1154.3211172671909</v>
      </c>
      <c r="FI349" s="6">
        <v>1531.4299904380616</v>
      </c>
      <c r="FJ349" s="6">
        <v>2070.7205842538219</v>
      </c>
      <c r="FK349" s="6">
        <v>1746.9903521590438</v>
      </c>
      <c r="FL349" s="6">
        <v>893.91433563489397</v>
      </c>
      <c r="FM349" s="6">
        <v>1775.1128212177473</v>
      </c>
      <c r="FN349" s="6">
        <v>0</v>
      </c>
      <c r="FO349" s="6">
        <v>0</v>
      </c>
      <c r="FP349" s="6">
        <v>0</v>
      </c>
      <c r="FQ349" s="6">
        <v>0</v>
      </c>
      <c r="FR349" s="6">
        <v>0</v>
      </c>
      <c r="FS349" s="6">
        <v>0</v>
      </c>
      <c r="FT349" s="7">
        <v>0.70014035759694937</v>
      </c>
      <c r="FU349" s="7">
        <v>4.2934148685120618E-2</v>
      </c>
      <c r="FV349" s="7">
        <v>0.25692549371792994</v>
      </c>
      <c r="FW349" s="6">
        <v>2350</v>
      </c>
      <c r="FX349" s="6">
        <v>2625.1128212177473</v>
      </c>
      <c r="FY349" s="6">
        <v>3276</v>
      </c>
      <c r="FZ349" s="6">
        <v>2202.331475193394</v>
      </c>
      <c r="GA349" s="6">
        <v>2599.7247419541491</v>
      </c>
      <c r="GB349" s="6">
        <v>17095.275258045851</v>
      </c>
      <c r="GC349" s="7">
        <v>4.8391397220736806E-2</v>
      </c>
      <c r="GD349" s="7">
        <v>5.1312310165778578E-2</v>
      </c>
      <c r="GE349" s="7"/>
      <c r="GF349" s="7"/>
      <c r="GG349" s="7">
        <v>6.0360169633417705E-2</v>
      </c>
      <c r="GH349" s="42">
        <v>2.9914788205152401</v>
      </c>
      <c r="GI349" s="6">
        <v>9183.4250392565391</v>
      </c>
      <c r="GJ349" s="14">
        <v>0.5107463060103955</v>
      </c>
      <c r="GK349" s="14">
        <v>0.5082951978616097</v>
      </c>
      <c r="GL349" s="14">
        <v>0.48925369398960444</v>
      </c>
      <c r="GM349" s="14">
        <v>0.4917048021383903</v>
      </c>
      <c r="GO349" s="5">
        <v>338.16872463277008</v>
      </c>
      <c r="GP349" s="5">
        <v>293.33520778489498</v>
      </c>
      <c r="GQ349" s="5">
        <v>527.27910984145694</v>
      </c>
      <c r="GR349" s="5">
        <v>404.20319246551543</v>
      </c>
      <c r="GS349" s="5">
        <v>334.50205195691484</v>
      </c>
      <c r="GT349" s="5">
        <v>289.18266033348181</v>
      </c>
      <c r="GU349" s="5">
        <v>254.29573314828914</v>
      </c>
      <c r="GV349" s="39" t="s">
        <v>392</v>
      </c>
      <c r="GW349" s="5">
        <v>468.76388888888891</v>
      </c>
      <c r="GX349" s="5">
        <v>351.57291666666669</v>
      </c>
      <c r="GY349" s="5">
        <v>281.25833333333333</v>
      </c>
      <c r="GZ349" s="5">
        <v>248.18079879493993</v>
      </c>
      <c r="HA349" s="5">
        <v>229.8919505212948</v>
      </c>
      <c r="HB349" s="39">
        <v>260.77398701500641</v>
      </c>
      <c r="HC349" s="5">
        <v>139.79062499999998</v>
      </c>
      <c r="HD349" s="5">
        <v>138.50060307017537</v>
      </c>
      <c r="HE349" s="5">
        <v>146.64128289473683</v>
      </c>
      <c r="HF349" s="5">
        <v>141.94567434210524</v>
      </c>
      <c r="HG349" s="5">
        <v>144.78493421052633</v>
      </c>
      <c r="HH349" s="39">
        <v>141.25463405383698</v>
      </c>
      <c r="HI349" s="16"/>
      <c r="HJ349" s="19" t="str">
        <f t="shared" si="1115"/>
        <v>On</v>
      </c>
      <c r="HK349" s="1" t="str">
        <f t="shared" si="1115"/>
        <v>On</v>
      </c>
      <c r="HL349" s="16"/>
      <c r="HM349" s="639">
        <f t="shared" si="1004"/>
        <v>2.8970655363290673E-2</v>
      </c>
      <c r="HN349" s="639">
        <f t="shared" si="1005"/>
        <v>2.1835179285533651E-3</v>
      </c>
      <c r="HO349" s="639">
        <f t="shared" si="1006"/>
        <v>1.5544129749146325E-2</v>
      </c>
      <c r="HP349" s="644">
        <f>(FT349*$GD349-HM349)/$JF349*INDEX(Input!$1:$1048576,$JG$93,$C349*2+6)</f>
        <v>286.85508155993404</v>
      </c>
      <c r="HQ349" s="644">
        <f>(FU349*$GD349-HN349)/$JF349*INDEX(Input!$1:$1048576,$JG$93,$C349*2+6)</f>
        <v>0.8055849790466072</v>
      </c>
      <c r="HR349" s="644">
        <f>(FV349*$GD349-HO349)/$JF349*INDEX(Input!$1:$1048576,$JG$93,$C349*2+6)</f>
        <v>-97.363008087843383</v>
      </c>
      <c r="HS349" s="644">
        <f t="shared" si="1116"/>
        <v>-79.956913926478023</v>
      </c>
      <c r="HT349" s="644">
        <f t="shared" si="1008"/>
        <v>44.183720143183898</v>
      </c>
      <c r="HU349" s="644">
        <f t="shared" si="1009"/>
        <v>-2.1486051312128915</v>
      </c>
      <c r="HV349" s="648">
        <f t="shared" si="1010"/>
        <v>0</v>
      </c>
      <c r="HW349" s="648">
        <f t="shared" si="1011"/>
        <v>0</v>
      </c>
      <c r="HX349" s="648">
        <f t="shared" si="1012"/>
        <v>0</v>
      </c>
      <c r="HY349" s="644">
        <f>INDEX(Input!$1:$1048576,HY$93,$C349*2+6)*INDEX(Input!$1:$1048576,$JG$93,$C349*2+6)</f>
        <v>488.99999999999994</v>
      </c>
      <c r="HZ349" s="644">
        <f>INDEX(Input!$1:$1048576,HZ$93,$C349*2+6)*INDEX(Input!$1:$1048576,$JG$93,$C349*2+6)</f>
        <v>734</v>
      </c>
      <c r="IA349" s="644">
        <f>INDEX(Input!$1:$1048576,IA$93,$C349*2+6)*INDEX(Input!$1:$1048576,$JG$93,$C349*2+6)</f>
        <v>703</v>
      </c>
      <c r="IB349" s="644">
        <f t="shared" si="1036"/>
        <v>695.89816763345607</v>
      </c>
      <c r="IC349" s="644">
        <f t="shared" si="1037"/>
        <v>778.98930512223046</v>
      </c>
      <c r="ID349" s="644">
        <f>IF(AND(INDEX(Input!$1:$1048576,IA$93,$C349*2+7)="TOS",Y349&lt;=INDEX(Y:Y,MATCH(C349*1000+2,A:A))),0,1)*MAX(IA349+HR349+HU349+HX349,0%)</f>
        <v>603.48838678094376</v>
      </c>
      <c r="IE349" s="128">
        <f t="shared" si="1121"/>
        <v>0.33482787265851188</v>
      </c>
      <c r="IF349" s="128">
        <f t="shared" si="1108"/>
        <v>0.3748067518913083</v>
      </c>
      <c r="IG349" s="128">
        <f t="shared" si="1014"/>
        <v>0.29036537545017976</v>
      </c>
      <c r="IH349" s="21"/>
      <c r="II349" s="19">
        <f t="shared" si="1015"/>
        <v>1200</v>
      </c>
      <c r="IJ349" s="19">
        <f t="shared" si="1016"/>
        <v>2224.493581030405</v>
      </c>
      <c r="IK349" s="19">
        <f t="shared" si="1017"/>
        <v>3451.75</v>
      </c>
      <c r="IL349" s="19">
        <f t="shared" si="1039"/>
        <v>1150</v>
      </c>
      <c r="IM349" s="19">
        <f t="shared" si="1018"/>
        <v>400.61924018734226</v>
      </c>
      <c r="IN349" s="19">
        <f t="shared" si="1019"/>
        <v>-175.75</v>
      </c>
      <c r="IO349" s="39">
        <f t="shared" si="1020"/>
        <v>0</v>
      </c>
      <c r="IP349" s="39">
        <f t="shared" si="1021"/>
        <v>0</v>
      </c>
      <c r="IQ349" s="39">
        <f t="shared" si="1022"/>
        <v>0</v>
      </c>
      <c r="IR349" s="39">
        <v>0</v>
      </c>
      <c r="IS349" s="39">
        <v>0</v>
      </c>
      <c r="IT349" s="39">
        <v>0</v>
      </c>
      <c r="IU349" s="39">
        <v>0</v>
      </c>
      <c r="IV349" s="39">
        <v>0</v>
      </c>
      <c r="IW349" s="39">
        <v>0</v>
      </c>
      <c r="IX349" s="39">
        <f>INDEX(Input!$1:$1048576,IX$93,$C349*2+6)+INDEX(Input!$1:$1048576,IX$94,$C349*2+6)</f>
        <v>1600</v>
      </c>
      <c r="IY349" s="39">
        <f>INDEX(Input!$1:$1048576,IY$93,$C349*2+6)+INDEX(Input!$1:$1048576,IY$94,$C349*2+6)</f>
        <v>2503.5492916397525</v>
      </c>
      <c r="IZ349" s="39">
        <f>INDEX(Input!$1:$1048576,IZ$93,$C349*2+6)+INDEX(Input!$1:$1048576,IZ$94,$C349*2+6)</f>
        <v>5773.7109265464023</v>
      </c>
      <c r="JA349" s="19">
        <f t="shared" si="1040"/>
        <v>2750</v>
      </c>
      <c r="JB349" s="19">
        <f t="shared" si="1041"/>
        <v>2904.1685318270947</v>
      </c>
      <c r="JC349" s="19">
        <f t="shared" si="1042"/>
        <v>5597.9609265464023</v>
      </c>
      <c r="JD349" s="19">
        <f t="shared" si="1043"/>
        <v>3634.7326503620529</v>
      </c>
      <c r="JE349" s="21"/>
      <c r="JF349" s="1">
        <f t="shared" si="1023"/>
        <v>4.6698303040990354E-2</v>
      </c>
      <c r="JG349" s="15">
        <f>INDEX(Input!$1:$1048576,JG$93,$C349*2+6)/(1+VLOOKUP(C349*1000+INDEX(Input!$1:$1048576,JG$93+1,$C349*2+6),$A:$KK,$JK$92,FALSE))</f>
        <v>1926</v>
      </c>
      <c r="JH349" s="1">
        <f t="shared" si="1044"/>
        <v>9.8804599403498061E-2</v>
      </c>
      <c r="JI349" s="1">
        <f t="shared" si="1045"/>
        <v>-1.9689407536088794E-2</v>
      </c>
      <c r="JJ349" s="1">
        <f t="shared" si="1109"/>
        <v>0</v>
      </c>
      <c r="JK349" s="1">
        <f t="shared" si="1110"/>
        <v>7.9115191867409271E-2</v>
      </c>
      <c r="JL349" s="15">
        <f t="shared" si="1048"/>
        <v>152.37585953663026</v>
      </c>
      <c r="JM349" s="15">
        <f t="shared" si="1074"/>
        <v>2078.3758595366303</v>
      </c>
      <c r="JN349" s="21"/>
      <c r="JO349" s="19">
        <f>INDEX(Input!$1:$1048576,JO$93,$C349*2+6)</f>
        <v>5908.5</v>
      </c>
      <c r="JP349" s="19">
        <f>INDEX(Input!$1:$1048576,JP$93,$C349*2+6)</f>
        <v>3467.7694503767912</v>
      </c>
      <c r="JQ349" s="39">
        <f t="shared" si="1060"/>
        <v>2273.7673496379471</v>
      </c>
      <c r="JR349" s="39">
        <f t="shared" si="1077"/>
        <v>166.96319998526178</v>
      </c>
      <c r="JS349" s="39">
        <f t="shared" si="1062"/>
        <v>7.5543405963820858</v>
      </c>
      <c r="JT349" s="39">
        <f t="shared" si="1050"/>
        <v>0.87541663495638589</v>
      </c>
      <c r="JU349" s="385">
        <f>(JQ349*JM349-INDEX(Input!$1:$1048576,Input!A$18,$C349*2+6)*JL349*INDEX(Input!$1:$1048576,Input!A$19,$C349*2+6))/1000000</f>
        <v>4.7257431696900936</v>
      </c>
      <c r="JV349" s="39">
        <f t="shared" si="1084"/>
        <v>2.4896131115793807E-2</v>
      </c>
      <c r="JW349" s="1">
        <f t="shared" si="1075"/>
        <v>5.2960947062307417E-3</v>
      </c>
      <c r="JX349" s="19">
        <f t="shared" si="1066"/>
        <v>5745.1136788891472</v>
      </c>
      <c r="JZ349" s="341"/>
      <c r="KA349" s="342"/>
      <c r="KB349" s="469">
        <f t="shared" si="1063"/>
        <v>2.7822247002359868</v>
      </c>
      <c r="KI349" s="473">
        <f t="shared" si="1118"/>
        <v>206.89816763345613</v>
      </c>
      <c r="KJ349" s="473">
        <f t="shared" si="1119"/>
        <v>44.989305122230462</v>
      </c>
      <c r="KK349" s="473">
        <f t="shared" si="1052"/>
        <v>-99.511613219056244</v>
      </c>
      <c r="KN349" s="544">
        <f t="shared" si="1067"/>
        <v>3002</v>
      </c>
      <c r="KO349" s="541">
        <f t="shared" si="1027"/>
        <v>8.8840334651791864E-3</v>
      </c>
      <c r="KP349" s="546">
        <f t="shared" si="1028"/>
        <v>146.78415886231846</v>
      </c>
      <c r="KQ349" s="546">
        <f t="shared" si="1029"/>
        <v>-86.348567963319965</v>
      </c>
      <c r="KR349" s="548">
        <f t="shared" si="1030"/>
        <v>0.96681297305088632</v>
      </c>
      <c r="KS349" s="548">
        <f t="shared" si="1031"/>
        <v>-1.643487927752721</v>
      </c>
      <c r="KT349" s="473">
        <f t="shared" si="1065"/>
        <v>527.01264777847621</v>
      </c>
      <c r="KU349" s="663">
        <f t="shared" si="1053"/>
        <v>15.950610045594127</v>
      </c>
      <c r="KV349" s="117"/>
    </row>
    <row r="350" spans="1:308" s="26" customFormat="1" ht="15">
      <c r="A350" s="561">
        <f t="shared" si="1032"/>
        <v>3050</v>
      </c>
      <c r="B350" s="561">
        <f t="shared" si="1054"/>
        <v>50</v>
      </c>
      <c r="C350" s="561">
        <f t="shared" si="1055"/>
        <v>3</v>
      </c>
      <c r="D350" s="561" t="str">
        <f t="shared" si="1104"/>
        <v xml:space="preserve">1000 CC, -360 Lease, </v>
      </c>
      <c r="E350" s="475">
        <f>INDEX(Input!$1:$1048576,E$93,$C350*2+MIN($B350,2)+5)
+INDEX(Scenarios!E$121:E$200,MATCH($B350,Scenarios!$B$121:$B$200,0))</f>
        <v>2250</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1.9E-2</v>
      </c>
      <c r="W350" s="863">
        <f>IFERROR(MAX(0,INDEX(Input!$1:$1048576,W$93,$C350*2+MIN($B350,2)+5)-0%,),"Market")</f>
        <v>3.9000000000000007E-2</v>
      </c>
      <c r="X350" s="476" t="str">
        <f>INDEX(Input!$1:$1048576,X$93,$C350*2+MIN($B350,2)+5)</f>
        <v>Y</v>
      </c>
      <c r="Y350" s="475">
        <f>INDEX(Input!$1:$1048576,Y$93,$C350*2+MIN($B350,2)+5)
++INDEX(Scenarios!Y$121:Y$200,MATCH($B350,Scenarios!$B$121:$B$200,0))</f>
        <v>3748</v>
      </c>
      <c r="Z350" s="477">
        <f>INDEX(Input!$1:$1048576,Z$93,$C350*2+MIN($B350,2)+5)
+INDEX(Scenarios!Z$121:Z$200,MATCH($B350,Scenarios!$B$121:$B$200,0))</f>
        <v>0</v>
      </c>
      <c r="AA350" s="475">
        <f>INDEX(Input!$1:$1048576,AA$93,$C350*2+MIN($B350,2)+5)</f>
        <v>500</v>
      </c>
      <c r="AB350" s="476">
        <f>INDEX(Input!$1:$1048576,AB$93,$C350*2+MIN($B350,2)+5)</f>
        <v>0.62</v>
      </c>
      <c r="AC350" s="475">
        <f>INDEX(Input!$1:$1048576,AC$93,$C350*2+MIN($B350,2)+5)
+INDEX(Scenarios!AC$121:AC$200,MATCH($B350,Scenarios!$B$121:$B$200,0))</f>
        <v>0</v>
      </c>
      <c r="AD350" s="476">
        <f>INDEX(Input!$1:$1048576,AD$93,$C350*2+MIN($B350,2)+5)</f>
        <v>0.35</v>
      </c>
      <c r="AE350" s="475">
        <f>INDEX(Input!$1:$1048576,AE$93,$C350*2+MIN($B350,2)+5)
+INDEX(Scenarios!AE$121:AE$200,MATCH($B350,Scenarios!$B$121:$B$200,0))</f>
        <v>500</v>
      </c>
      <c r="AF350" s="476">
        <f>INDEX(Input!$1:$1048576,AF$93,$C350*2+MIN($B350,2)+5)</f>
        <v>0.97</v>
      </c>
      <c r="AG350" s="475">
        <f>INDEX(Input!$1:$1048576,AG$93,$C350*2+MIN($B350,2)+5)
+INDEX(Scenarios!AG$121:AG$200,MATCH($B350,Scenarios!$B$121:$B$200,0))</f>
        <v>0</v>
      </c>
      <c r="AH350" s="476">
        <f>INDEX(Input!$1:$1048576,AH$93,$C350*2+MIN($B350,2)+5)</f>
        <v>1</v>
      </c>
      <c r="AI350" s="475">
        <f>INDEX(Input!$1:$1048576,AI$93,$C350*2+MIN($B350,2)+5)
+INDEX(Scenarios!AI$121:AI$200,MATCH($B350,Scenarios!$B$121:$B$200,0))</f>
        <v>0</v>
      </c>
      <c r="AJ350" s="476">
        <f>INDEX(Input!$1:$1048576,AJ$93,$C350*2+MIN($B350,2)+5)</f>
        <v>0.35</v>
      </c>
      <c r="AK350" s="150">
        <f>ROUND(INDEX(Input!$1:$1048576,AK$93,$C349*2+MIN($B350,1)+5)+(Y350-VLOOKUP($C350*1000+1,$A:$HH,Y$92,FALSE)),0)</f>
        <v>4622</v>
      </c>
      <c r="AL350" s="150">
        <f>ROUND(INDEX(Input!$1:$1048576,AL$93,$C349*2+MIN($B350,1)+5)-(Y350-VLOOKUP($C350*1000+1,$A:$HH,Y$92,FALSE))/36,0)</f>
        <v>5112</v>
      </c>
      <c r="AM350" s="32" t="str">
        <f t="shared" si="1033"/>
        <v>std/std/std/std</v>
      </c>
      <c r="AN350" s="32" t="str">
        <f t="shared" si="1034"/>
        <v>$0 + 0/0/0/1.9/3.9</v>
      </c>
      <c r="AO350" s="32" t="str">
        <f t="shared" si="1035"/>
        <v>0/0/0/1.9/3.9</v>
      </c>
      <c r="AP350" s="32" t="str">
        <f t="shared" si="989"/>
        <v>0/0.9/1.9/3.9</v>
      </c>
      <c r="AQ350" s="536">
        <f t="shared" si="988"/>
        <v>485.35299454698452</v>
      </c>
      <c r="AR350" s="32"/>
      <c r="AS350" s="302"/>
      <c r="AT350" s="3">
        <f t="shared" si="1056"/>
        <v>50</v>
      </c>
      <c r="AU350" s="41" t="s">
        <v>121</v>
      </c>
      <c r="AV350" s="41" t="s">
        <v>116</v>
      </c>
      <c r="AW350" s="41" t="str">
        <f>INDEX(Input!$1:$1048576,AW$93,$C350*2+6)</f>
        <v>Kia</v>
      </c>
      <c r="AX350" s="41" t="str">
        <f>INDEX(Input!$1:$1048576,AX$93,$C350*2+6)</f>
        <v>Kia-LR - L3</v>
      </c>
      <c r="AY350" s="41" t="str">
        <f>IF(LEN(D350)=0,"",INDEX(Input!$1:$1048576,AY$93,$C350*2+6))</f>
        <v>Compact Conventional/Sporty Car (43)</v>
      </c>
      <c r="AZ350" s="41" t="str">
        <f>INDEX(Input!$1:$1048576,AZ$93,$C350*2+6)</f>
        <v>Kia Forte</v>
      </c>
      <c r="BA350" s="3">
        <f>INDEX(Input!$1:$1048576,BA$93,$C350*2+6)</f>
        <v>2020</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19695</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990"/>
        <v>2250</v>
      </c>
      <c r="CJ350" s="16" t="str">
        <f>INDEX(Input!$1:$1048576,CJ$93,$C350*2+6)</f>
        <v>N</v>
      </c>
      <c r="CK350" s="1" t="str">
        <f t="shared" si="991"/>
        <v>Market</v>
      </c>
      <c r="CL350" s="1" t="str">
        <f t="shared" si="992"/>
        <v>Market</v>
      </c>
      <c r="CM350" s="1" t="str">
        <f t="shared" si="993"/>
        <v>Market</v>
      </c>
      <c r="CN350" s="1" t="str">
        <f t="shared" si="994"/>
        <v>Market</v>
      </c>
      <c r="CO350" s="1" t="str">
        <f t="shared" si="995"/>
        <v>Market</v>
      </c>
      <c r="CP350" s="304">
        <f t="shared" si="996"/>
        <v>310</v>
      </c>
      <c r="CQ350" s="1">
        <f t="shared" si="997"/>
        <v>0</v>
      </c>
      <c r="CR350" s="1">
        <f t="shared" si="998"/>
        <v>0</v>
      </c>
      <c r="CS350" s="1">
        <f t="shared" si="999"/>
        <v>0</v>
      </c>
      <c r="CT350" s="1">
        <f t="shared" si="1000"/>
        <v>1.9E-2</v>
      </c>
      <c r="CU350" s="1">
        <f t="shared" si="1001"/>
        <v>3.9000000000000007E-2</v>
      </c>
      <c r="CV350" s="304">
        <f t="shared" si="1002"/>
        <v>4233</v>
      </c>
      <c r="CW350" s="20" t="s">
        <v>122</v>
      </c>
      <c r="CX350" s="20" t="s">
        <v>122</v>
      </c>
      <c r="CY350" s="20" t="s">
        <v>122</v>
      </c>
      <c r="CZ350" s="20" t="s">
        <v>122</v>
      </c>
      <c r="DA350" s="20" t="s">
        <v>122</v>
      </c>
      <c r="DB350" s="503">
        <f t="shared" si="1003"/>
        <v>0</v>
      </c>
      <c r="DC350" s="127">
        <v>0</v>
      </c>
      <c r="DD350" s="127">
        <v>0</v>
      </c>
      <c r="DE350" s="127">
        <v>0</v>
      </c>
      <c r="DF350" s="127">
        <v>0</v>
      </c>
      <c r="DG350" s="127">
        <v>0</v>
      </c>
      <c r="DH350" s="127">
        <v>0</v>
      </c>
      <c r="DI350" s="127">
        <v>0</v>
      </c>
      <c r="DJ350" s="127">
        <v>0</v>
      </c>
      <c r="DK350" s="127">
        <v>0</v>
      </c>
      <c r="DL350" s="127">
        <v>0</v>
      </c>
      <c r="DM350" s="304">
        <f>INDEX(Input!$1:$1048576,DM$93,$C350*2+6)</f>
        <v>20731.578947368424</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3.8797176400145759E-2</v>
      </c>
      <c r="DZ350" s="7">
        <v>0</v>
      </c>
      <c r="EA350" s="7">
        <v>0.67602837343319244</v>
      </c>
      <c r="EB350" s="7">
        <v>0</v>
      </c>
      <c r="EC350" s="7">
        <v>0</v>
      </c>
      <c r="ED350" s="7">
        <v>0</v>
      </c>
      <c r="EE350" s="7">
        <v>0</v>
      </c>
      <c r="EF350" s="7">
        <v>0</v>
      </c>
      <c r="EG350" s="7">
        <v>0</v>
      </c>
      <c r="EH350" s="7">
        <v>1.4164652362784903E-2</v>
      </c>
      <c r="EI350" s="7">
        <v>1.7908638834610354E-2</v>
      </c>
      <c r="EJ350" s="7">
        <v>0.25862666174037635</v>
      </c>
      <c r="EK350" s="7">
        <v>0.65862589526426141</v>
      </c>
      <c r="EL350" s="7">
        <v>5.0674151797966749E-2</v>
      </c>
      <c r="EM350" s="7">
        <v>4.0832724538140644E-2</v>
      </c>
      <c r="EN350" s="7">
        <v>5.765977810677482E-2</v>
      </c>
      <c r="EO350" s="7">
        <v>0.56931800922069564</v>
      </c>
      <c r="EP350" s="7">
        <v>0.27223179348574283</v>
      </c>
      <c r="EQ350" s="7">
        <v>5.9840818106432825E-2</v>
      </c>
      <c r="ER350" s="7">
        <v>4.0949601080353948E-2</v>
      </c>
      <c r="ES350" s="7">
        <v>0.24434172562852119</v>
      </c>
      <c r="ET350" s="7">
        <v>0.28517445016666182</v>
      </c>
      <c r="EU350" s="6">
        <v>2600</v>
      </c>
      <c r="EV350" s="6">
        <v>0</v>
      </c>
      <c r="EW350" s="6">
        <v>2600</v>
      </c>
      <c r="EX350" s="6">
        <v>0</v>
      </c>
      <c r="EY350" s="6">
        <v>2625.2313504255853</v>
      </c>
      <c r="EZ350" s="6">
        <v>3276</v>
      </c>
      <c r="FA350" s="6">
        <v>0</v>
      </c>
      <c r="FB350" s="6">
        <v>0</v>
      </c>
      <c r="FC350" s="6">
        <v>0</v>
      </c>
      <c r="FD350" s="6">
        <v>0</v>
      </c>
      <c r="FE350" s="6">
        <v>0</v>
      </c>
      <c r="FF350" s="6">
        <v>0</v>
      </c>
      <c r="FG350" s="6">
        <v>0</v>
      </c>
      <c r="FH350" s="6">
        <v>1154.3196301471539</v>
      </c>
      <c r="FI350" s="6">
        <v>1531.4299904380616</v>
      </c>
      <c r="FJ350" s="6">
        <v>2070.7205842538215</v>
      </c>
      <c r="FK350" s="6">
        <v>1746.9903521590438</v>
      </c>
      <c r="FL350" s="6">
        <v>893.91433563489363</v>
      </c>
      <c r="FM350" s="6">
        <v>1775.2313504255851</v>
      </c>
      <c r="FN350" s="6">
        <v>0</v>
      </c>
      <c r="FO350" s="6">
        <v>0</v>
      </c>
      <c r="FP350" s="6">
        <v>0</v>
      </c>
      <c r="FQ350" s="6">
        <v>0</v>
      </c>
      <c r="FR350" s="6">
        <v>0</v>
      </c>
      <c r="FS350" s="6">
        <v>0</v>
      </c>
      <c r="FT350" s="7">
        <v>0.71482554983333824</v>
      </c>
      <c r="FU350" s="7">
        <v>4.0832724538140644E-2</v>
      </c>
      <c r="FV350" s="7">
        <v>0.24434172562852119</v>
      </c>
      <c r="FW350" s="6">
        <v>2600</v>
      </c>
      <c r="FX350" s="6">
        <v>2625.2313504255853</v>
      </c>
      <c r="FY350" s="6">
        <v>3276</v>
      </c>
      <c r="FZ350" s="6">
        <v>2202.331475193394</v>
      </c>
      <c r="GA350" s="6">
        <v>2766.2052713065336</v>
      </c>
      <c r="GB350" s="6">
        <v>16928.794728693465</v>
      </c>
      <c r="GC350" s="7">
        <v>4.8391397220736806E-2</v>
      </c>
      <c r="GD350" s="7">
        <v>5.2509996687748695E-2</v>
      </c>
      <c r="GE350" s="7"/>
      <c r="GF350" s="7"/>
      <c r="GG350" s="7">
        <v>8.5110158076753678E-2</v>
      </c>
      <c r="GH350" s="42">
        <v>2.9727300237681735</v>
      </c>
      <c r="GI350" s="6">
        <v>9391.4284979468739</v>
      </c>
      <c r="GJ350" s="14">
        <v>0.51074630601039539</v>
      </c>
      <c r="GK350" s="14">
        <v>0.5082951978616097</v>
      </c>
      <c r="GL350" s="14">
        <v>0.48925369398960433</v>
      </c>
      <c r="GM350" s="14">
        <v>0.49170480213839041</v>
      </c>
      <c r="GO350" s="5">
        <v>338.16872463277008</v>
      </c>
      <c r="GP350" s="5">
        <v>288.56568471597211</v>
      </c>
      <c r="GQ350" s="5">
        <v>527.27910984145694</v>
      </c>
      <c r="GR350" s="5">
        <v>404.20319246551543</v>
      </c>
      <c r="GS350" s="5">
        <v>334.50205195691484</v>
      </c>
      <c r="GT350" s="5">
        <v>289.18266033348181</v>
      </c>
      <c r="GU350" s="5">
        <v>254.29573314828914</v>
      </c>
      <c r="GV350" s="39" t="s">
        <v>392</v>
      </c>
      <c r="GW350" s="5">
        <v>468.76388888888891</v>
      </c>
      <c r="GX350" s="5">
        <v>351.57291666666669</v>
      </c>
      <c r="GY350" s="5">
        <v>281.25833333333333</v>
      </c>
      <c r="GZ350" s="5">
        <v>248.18079879493993</v>
      </c>
      <c r="HA350" s="5">
        <v>229.8919505212948</v>
      </c>
      <c r="HB350" s="39">
        <v>260.78485414317777</v>
      </c>
      <c r="HC350" s="5">
        <v>139.79062499999998</v>
      </c>
      <c r="HD350" s="5">
        <v>138.50060307017537</v>
      </c>
      <c r="HE350" s="5">
        <v>146.64128289473683</v>
      </c>
      <c r="HF350" s="5">
        <v>141.94567434210524</v>
      </c>
      <c r="HG350" s="5">
        <v>144.78493421052633</v>
      </c>
      <c r="HH350" s="39">
        <v>141.25463405383698</v>
      </c>
      <c r="HI350" s="16"/>
      <c r="HJ350" s="19" t="str">
        <f t="shared" si="1115"/>
        <v>On</v>
      </c>
      <c r="HK350" s="1" t="str">
        <f t="shared" si="1115"/>
        <v>On</v>
      </c>
      <c r="HL350" s="16"/>
      <c r="HM350" s="639">
        <f t="shared" si="1004"/>
        <v>2.8970655363290673E-2</v>
      </c>
      <c r="HN350" s="639">
        <f t="shared" si="1005"/>
        <v>2.1835179285533651E-3</v>
      </c>
      <c r="HO350" s="639">
        <f t="shared" si="1006"/>
        <v>1.5544129749146325E-2</v>
      </c>
      <c r="HP350" s="644">
        <f>(FT350*$GD350-HM350)/$JF350*INDEX(Input!$1:$1048576,$JG$93,$C350*2+6)</f>
        <v>353.2433760420613</v>
      </c>
      <c r="HQ350" s="644">
        <f>(FU350*$GD350-HN350)/$JF350*INDEX(Input!$1:$1048576,$JG$93,$C350*2+6)</f>
        <v>-1.6246502761912045</v>
      </c>
      <c r="HR350" s="644">
        <f>(FV350*$GD350-HO350)/$JF350*INDEX(Input!$1:$1048576,$JG$93,$C350*2+6)</f>
        <v>-111.92432072868063</v>
      </c>
      <c r="HS350" s="644">
        <f t="shared" si="1116"/>
        <v>-97.249233863610641</v>
      </c>
      <c r="HT350" s="644">
        <f t="shared" si="1008"/>
        <v>41.178471549255548</v>
      </c>
      <c r="HU350" s="644">
        <f t="shared" si="1009"/>
        <v>0.87395148266212275</v>
      </c>
      <c r="HV350" s="648">
        <f t="shared" si="1010"/>
        <v>0</v>
      </c>
      <c r="HW350" s="648">
        <f t="shared" si="1011"/>
        <v>0</v>
      </c>
      <c r="HX350" s="648">
        <f t="shared" si="1012"/>
        <v>0</v>
      </c>
      <c r="HY350" s="644">
        <f>INDEX(Input!$1:$1048576,HY$93,$C350*2+6)*INDEX(Input!$1:$1048576,$JG$93,$C350*2+6)</f>
        <v>488.99999999999994</v>
      </c>
      <c r="HZ350" s="644">
        <f>INDEX(Input!$1:$1048576,HZ$93,$C350*2+6)*INDEX(Input!$1:$1048576,$JG$93,$C350*2+6)</f>
        <v>734</v>
      </c>
      <c r="IA350" s="644">
        <f>INDEX(Input!$1:$1048576,IA$93,$C350*2+6)*INDEX(Input!$1:$1048576,$JG$93,$C350*2+6)</f>
        <v>703</v>
      </c>
      <c r="IB350" s="644">
        <f t="shared" si="1036"/>
        <v>744.99414217845026</v>
      </c>
      <c r="IC350" s="644">
        <f t="shared" si="1037"/>
        <v>773.55382127306427</v>
      </c>
      <c r="ID350" s="644">
        <f>IF(AND(INDEX(Input!$1:$1048576,IA$93,$C350*2+7)="TOS",Y350&lt;=INDEX(Y:Y,MATCH(C350*1000+2,A:A))),0,1)*MAX(IA350+HR350+HU350+HX350,0%)</f>
        <v>591.94963075398152</v>
      </c>
      <c r="IE350" s="128">
        <f t="shared" si="1121"/>
        <v>0.35299454698450189</v>
      </c>
      <c r="IF350" s="128">
        <f t="shared" si="1108"/>
        <v>0.36652674866671486</v>
      </c>
      <c r="IG350" s="128">
        <f t="shared" si="1014"/>
        <v>0.28047870434878319</v>
      </c>
      <c r="IH350" s="21"/>
      <c r="II350" s="19">
        <f t="shared" si="1015"/>
        <v>1200</v>
      </c>
      <c r="IJ350" s="19">
        <f t="shared" si="1016"/>
        <v>2224.493581030405</v>
      </c>
      <c r="IK350" s="19">
        <f t="shared" si="1017"/>
        <v>3451.75</v>
      </c>
      <c r="IL350" s="19">
        <f t="shared" si="1039"/>
        <v>1400</v>
      </c>
      <c r="IM350" s="19">
        <f t="shared" si="1018"/>
        <v>400.73776939518029</v>
      </c>
      <c r="IN350" s="19">
        <f t="shared" si="1019"/>
        <v>-175.75</v>
      </c>
      <c r="IO350" s="39">
        <f t="shared" si="1020"/>
        <v>0</v>
      </c>
      <c r="IP350" s="39">
        <f t="shared" si="1021"/>
        <v>0</v>
      </c>
      <c r="IQ350" s="39">
        <f t="shared" si="1022"/>
        <v>0</v>
      </c>
      <c r="IR350" s="39">
        <v>0</v>
      </c>
      <c r="IS350" s="39">
        <v>0</v>
      </c>
      <c r="IT350" s="39">
        <v>0</v>
      </c>
      <c r="IU350" s="39">
        <v>0</v>
      </c>
      <c r="IV350" s="39">
        <v>0</v>
      </c>
      <c r="IW350" s="39">
        <v>0</v>
      </c>
      <c r="IX350" s="39">
        <f>INDEX(Input!$1:$1048576,IX$93,$C350*2+6)+INDEX(Input!$1:$1048576,IX$94,$C350*2+6)</f>
        <v>1600</v>
      </c>
      <c r="IY350" s="39">
        <f>INDEX(Input!$1:$1048576,IY$93,$C350*2+6)+INDEX(Input!$1:$1048576,IY$94,$C350*2+6)</f>
        <v>2503.5492916397525</v>
      </c>
      <c r="IZ350" s="39">
        <f>INDEX(Input!$1:$1048576,IZ$93,$C350*2+6)+INDEX(Input!$1:$1048576,IZ$94,$C350*2+6)</f>
        <v>5773.7109265464023</v>
      </c>
      <c r="JA350" s="19">
        <f t="shared" si="1040"/>
        <v>3000</v>
      </c>
      <c r="JB350" s="19">
        <f t="shared" si="1041"/>
        <v>2904.2870610349328</v>
      </c>
      <c r="JC350" s="19">
        <f t="shared" si="1042"/>
        <v>5597.9609265464023</v>
      </c>
      <c r="JD350" s="19">
        <f t="shared" si="1043"/>
        <v>3693.5913623022971</v>
      </c>
      <c r="JE350" s="21"/>
      <c r="JF350" s="1">
        <f t="shared" si="1023"/>
        <v>4.6698303040990354E-2</v>
      </c>
      <c r="JG350" s="15">
        <f>INDEX(Input!$1:$1048576,JG$93,$C350*2+6)/(1+VLOOKUP(C350*1000+INDEX(Input!$1:$1048576,JG$93+1,$C350*2+6),$A:$KK,$JK$92,FALSE))</f>
        <v>1926</v>
      </c>
      <c r="JH350" s="1">
        <f t="shared" si="1044"/>
        <v>0.12445192369532161</v>
      </c>
      <c r="JI350" s="1">
        <f t="shared" si="1045"/>
        <v>-2.8658780286444949E-2</v>
      </c>
      <c r="JJ350" s="1">
        <f t="shared" si="1109"/>
        <v>0</v>
      </c>
      <c r="JK350" s="1">
        <f t="shared" si="1110"/>
        <v>9.5793143408876666E-2</v>
      </c>
      <c r="JL350" s="15">
        <f t="shared" si="1048"/>
        <v>184.49759420549645</v>
      </c>
      <c r="JM350" s="15">
        <f t="shared" si="1074"/>
        <v>2110.4975942054966</v>
      </c>
      <c r="JN350" s="21"/>
      <c r="JO350" s="19">
        <f>INDEX(Input!$1:$1048576,JO$93,$C350*2+6)</f>
        <v>5908.5</v>
      </c>
      <c r="JP350" s="19">
        <f>INDEX(Input!$1:$1048576,JP$93,$C350*2+6)</f>
        <v>3467.7694503767912</v>
      </c>
      <c r="JQ350" s="39">
        <f t="shared" si="1060"/>
        <v>2214.9086376977029</v>
      </c>
      <c r="JR350" s="39">
        <f t="shared" si="1077"/>
        <v>225.8219119255059</v>
      </c>
      <c r="JS350" s="39">
        <f t="shared" si="1062"/>
        <v>7.7953156841172007</v>
      </c>
      <c r="JT350" s="39">
        <f t="shared" si="1050"/>
        <v>1.1163917226915006</v>
      </c>
      <c r="JU350" s="385">
        <f>(JQ350*JM350-INDEX(Input!$1:$1048576,Input!A$18,$C350*2+6)*JL350*INDEX(Input!$1:$1048576,Input!A$19,$C350*2+6))/1000000</f>
        <v>4.6745593512459758</v>
      </c>
      <c r="JV350" s="39">
        <f t="shared" si="1084"/>
        <v>-2.6287687328323983E-2</v>
      </c>
      <c r="JW350" s="1">
        <f t="shared" si="1075"/>
        <v>-5.5921171466784565E-3</v>
      </c>
      <c r="JX350" s="19">
        <f t="shared" si="1066"/>
        <v>6050.9825480328218</v>
      </c>
      <c r="JZ350" s="341"/>
      <c r="KA350" s="342"/>
      <c r="KB350" s="469">
        <f t="shared" si="1063"/>
        <v>2.7822247002359868</v>
      </c>
      <c r="KI350" s="473">
        <f t="shared" si="1118"/>
        <v>255.99414217845043</v>
      </c>
      <c r="KJ350" s="473">
        <f t="shared" si="1119"/>
        <v>39.553821273064386</v>
      </c>
      <c r="KK350" s="473">
        <f t="shared" si="1052"/>
        <v>-111.05036924601836</v>
      </c>
      <c r="KN350" s="544">
        <f t="shared" si="1067"/>
        <v>3002</v>
      </c>
      <c r="KO350" s="541">
        <f t="shared" si="1027"/>
        <v>2.4476547728623954E-2</v>
      </c>
      <c r="KP350" s="546">
        <f t="shared" si="1028"/>
        <v>252.25614390255544</v>
      </c>
      <c r="KQ350" s="546">
        <f t="shared" si="1029"/>
        <v>-27.489856023075845</v>
      </c>
      <c r="KR350" s="548">
        <f t="shared" si="1030"/>
        <v>1.549957830259455</v>
      </c>
      <c r="KS350" s="548">
        <f t="shared" si="1031"/>
        <v>-14.222933184685122</v>
      </c>
      <c r="KT350" s="473">
        <f t="shared" si="1065"/>
        <v>527.01264777847621</v>
      </c>
      <c r="KU350" s="663">
        <f t="shared" si="1053"/>
        <v>16.021434391493582</v>
      </c>
      <c r="KV350" s="117"/>
    </row>
    <row r="351" spans="1:308" s="26" customFormat="1" ht="15" outlineLevel="1">
      <c r="A351" s="561">
        <f t="shared" si="1032"/>
        <v>3051</v>
      </c>
      <c r="B351" s="561">
        <f t="shared" si="1054"/>
        <v>51</v>
      </c>
      <c r="C351" s="561">
        <f t="shared" si="1055"/>
        <v>3</v>
      </c>
      <c r="D351" s="561" t="str">
        <f t="shared" si="1104"/>
        <v xml:space="preserve">0/0/0.9/3.9, -360 Lease, </v>
      </c>
      <c r="E351" s="475">
        <f>INDEX(Input!$1:$1048576,E$93,$C351*2+MIN($B351,2)+5)
+INDEX(Scenarios!E$121:E$200,MATCH($B351,Scenarios!$B$121:$B$200,0))</f>
        <v>1250</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8.9999999999999993E-3</v>
      </c>
      <c r="W351" s="863">
        <f>IFERROR(MAX(0,INDEX(Input!$1:$1048576,W$93,$C351*2+MIN($B351,2)+5)-0%,),"Market")</f>
        <v>3.9000000000000007E-2</v>
      </c>
      <c r="X351" s="476" t="str">
        <f>INDEX(Input!$1:$1048576,X$93,$C351*2+MIN($B351,2)+5)</f>
        <v>Y</v>
      </c>
      <c r="Y351" s="475">
        <f>INDEX(Input!$1:$1048576,Y$93,$C351*2+MIN($B351,2)+5)
++INDEX(Scenarios!Y$121:Y$200,MATCH($B351,Scenarios!$B$121:$B$200,0))</f>
        <v>3748</v>
      </c>
      <c r="Z351" s="477">
        <f>INDEX(Input!$1:$1048576,Z$93,$C351*2+MIN($B351,2)+5)
+INDEX(Scenarios!Z$121:Z$200,MATCH($B351,Scenarios!$B$121:$B$200,0))</f>
        <v>0</v>
      </c>
      <c r="AA351" s="475">
        <f>INDEX(Input!$1:$1048576,AA$93,$C351*2+MIN($B351,2)+5)</f>
        <v>500</v>
      </c>
      <c r="AB351" s="476">
        <f>INDEX(Input!$1:$1048576,AB$93,$C351*2+MIN($B351,2)+5)</f>
        <v>0.62</v>
      </c>
      <c r="AC351" s="475">
        <f>INDEX(Input!$1:$1048576,AC$93,$C351*2+MIN($B351,2)+5)
+INDEX(Scenarios!AC$121:AC$200,MATCH($B351,Scenarios!$B$121:$B$200,0))</f>
        <v>0</v>
      </c>
      <c r="AD351" s="476">
        <f>INDEX(Input!$1:$1048576,AD$93,$C351*2+MIN($B351,2)+5)</f>
        <v>0.35</v>
      </c>
      <c r="AE351" s="475">
        <f>INDEX(Input!$1:$1048576,AE$93,$C351*2+MIN($B351,2)+5)
+INDEX(Scenarios!AE$121:AE$200,MATCH($B351,Scenarios!$B$121:$B$200,0))</f>
        <v>500</v>
      </c>
      <c r="AF351" s="476">
        <f>INDEX(Input!$1:$1048576,AF$93,$C351*2+MIN($B351,2)+5)</f>
        <v>0.97</v>
      </c>
      <c r="AG351" s="475">
        <f>INDEX(Input!$1:$1048576,AG$93,$C351*2+MIN($B351,2)+5)
+INDEX(Scenarios!AG$121:AG$200,MATCH($B351,Scenarios!$B$121:$B$200,0))</f>
        <v>0</v>
      </c>
      <c r="AH351" s="476">
        <f>INDEX(Input!$1:$1048576,AH$93,$C351*2+MIN($B351,2)+5)</f>
        <v>1</v>
      </c>
      <c r="AI351" s="475">
        <f>INDEX(Input!$1:$1048576,AI$93,$C351*2+MIN($B351,2)+5)
+INDEX(Scenarios!AI$121:AI$200,MATCH($B351,Scenarios!$B$121:$B$200,0))</f>
        <v>0</v>
      </c>
      <c r="AJ351" s="476">
        <f>INDEX(Input!$1:$1048576,AJ$93,$C351*2+MIN($B351,2)+5)</f>
        <v>0.35</v>
      </c>
      <c r="AK351" s="150">
        <f>ROUND(INDEX(Input!$1:$1048576,AK$93,$C350*2+MIN($B351,1)+5)+(Y351-VLOOKUP($C351*1000+1,$A:$HH,Y$92,FALSE)),0)</f>
        <v>4622</v>
      </c>
      <c r="AL351" s="150">
        <f>ROUND(INDEX(Input!$1:$1048576,AL$93,$C350*2+MIN($B351,1)+5)-(Y351-VLOOKUP($C351*1000+1,$A:$HH,Y$92,FALSE))/36,0)</f>
        <v>5112</v>
      </c>
      <c r="AM351" s="32" t="str">
        <f t="shared" si="1033"/>
        <v>std/std/std/std</v>
      </c>
      <c r="AN351" s="32" t="str">
        <f t="shared" si="1034"/>
        <v>$0 + 0/0/0/0.9/3.9</v>
      </c>
      <c r="AO351" s="32" t="str">
        <f t="shared" si="1035"/>
        <v>0/0/0/0.9/3.9</v>
      </c>
      <c r="AP351" s="32" t="str">
        <f t="shared" si="989"/>
        <v>0/0/0.9/3.9</v>
      </c>
      <c r="AQ351" s="536">
        <f t="shared" si="988"/>
        <v>485.26539908362122</v>
      </c>
      <c r="AR351" s="32"/>
      <c r="AS351" s="302"/>
      <c r="AT351" s="3">
        <f t="shared" si="1056"/>
        <v>51</v>
      </c>
      <c r="AU351" s="41" t="s">
        <v>121</v>
      </c>
      <c r="AV351" s="41" t="s">
        <v>116</v>
      </c>
      <c r="AW351" s="41" t="str">
        <f>INDEX(Input!$1:$1048576,AW$93,$C351*2+6)</f>
        <v>Kia</v>
      </c>
      <c r="AX351" s="41" t="str">
        <f>INDEX(Input!$1:$1048576,AX$93,$C351*2+6)</f>
        <v>Kia-LR - L3</v>
      </c>
      <c r="AY351" s="41" t="str">
        <f>IF(LEN(D351)=0,"",INDEX(Input!$1:$1048576,AY$93,$C351*2+6))</f>
        <v>Compact Conventional/Sporty Car (43)</v>
      </c>
      <c r="AZ351" s="41" t="str">
        <f>INDEX(Input!$1:$1048576,AZ$93,$C351*2+6)</f>
        <v>Kia Forte</v>
      </c>
      <c r="BA351" s="3">
        <f>INDEX(Input!$1:$1048576,BA$93,$C351*2+6)</f>
        <v>2020</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19695</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990"/>
        <v>1250</v>
      </c>
      <c r="CJ351" s="16" t="str">
        <f>INDEX(Input!$1:$1048576,CJ$93,$C351*2+6)</f>
        <v>N</v>
      </c>
      <c r="CK351" s="1" t="str">
        <f t="shared" si="991"/>
        <v>Market</v>
      </c>
      <c r="CL351" s="1" t="str">
        <f t="shared" si="992"/>
        <v>Market</v>
      </c>
      <c r="CM351" s="1" t="str">
        <f t="shared" si="993"/>
        <v>Market</v>
      </c>
      <c r="CN351" s="1" t="str">
        <f t="shared" si="994"/>
        <v>Market</v>
      </c>
      <c r="CO351" s="1" t="str">
        <f t="shared" si="995"/>
        <v>Market</v>
      </c>
      <c r="CP351" s="304">
        <f t="shared" si="996"/>
        <v>310</v>
      </c>
      <c r="CQ351" s="1">
        <f t="shared" si="997"/>
        <v>0</v>
      </c>
      <c r="CR351" s="1">
        <f t="shared" si="998"/>
        <v>0</v>
      </c>
      <c r="CS351" s="1">
        <f t="shared" si="999"/>
        <v>0</v>
      </c>
      <c r="CT351" s="1">
        <f t="shared" si="1000"/>
        <v>8.9999999999999993E-3</v>
      </c>
      <c r="CU351" s="1">
        <f t="shared" si="1001"/>
        <v>3.9000000000000007E-2</v>
      </c>
      <c r="CV351" s="304">
        <f t="shared" si="1002"/>
        <v>4233</v>
      </c>
      <c r="CW351" s="20" t="s">
        <v>122</v>
      </c>
      <c r="CX351" s="20" t="s">
        <v>122</v>
      </c>
      <c r="CY351" s="20" t="s">
        <v>122</v>
      </c>
      <c r="CZ351" s="20" t="s">
        <v>122</v>
      </c>
      <c r="DA351" s="20" t="s">
        <v>122</v>
      </c>
      <c r="DB351" s="503">
        <f t="shared" si="1003"/>
        <v>0</v>
      </c>
      <c r="DC351" s="127">
        <v>0</v>
      </c>
      <c r="DD351" s="127">
        <v>0</v>
      </c>
      <c r="DE351" s="127">
        <v>0</v>
      </c>
      <c r="DF351" s="127">
        <v>0</v>
      </c>
      <c r="DG351" s="127">
        <v>0</v>
      </c>
      <c r="DH351" s="127">
        <v>0</v>
      </c>
      <c r="DI351" s="127">
        <v>0</v>
      </c>
      <c r="DJ351" s="127">
        <v>0</v>
      </c>
      <c r="DK351" s="127">
        <v>0</v>
      </c>
      <c r="DL351" s="127">
        <v>0</v>
      </c>
      <c r="DM351" s="304">
        <f>INDEX(Input!$1:$1048576,DM$93,$C351*2+6)</f>
        <v>20731.578947368424</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3.4330627152340407E-2</v>
      </c>
      <c r="DZ351" s="7">
        <v>0</v>
      </c>
      <c r="EA351" s="7">
        <v>0.60726556438151491</v>
      </c>
      <c r="EB351" s="7">
        <v>0</v>
      </c>
      <c r="EC351" s="7">
        <v>0</v>
      </c>
      <c r="ED351" s="7">
        <v>0</v>
      </c>
      <c r="EE351" s="7">
        <v>0</v>
      </c>
      <c r="EF351" s="7">
        <v>0</v>
      </c>
      <c r="EG351" s="7">
        <v>0</v>
      </c>
      <c r="EH351" s="7">
        <v>1.0147861893587466E-2</v>
      </c>
      <c r="EI351" s="7">
        <v>1.2860928132660194E-2</v>
      </c>
      <c r="EJ351" s="7">
        <v>0.18493102260064304</v>
      </c>
      <c r="EK351" s="7">
        <v>0.75549004362899896</v>
      </c>
      <c r="EL351" s="7">
        <v>3.6570143744110363E-2</v>
      </c>
      <c r="EM351" s="7">
        <v>6.7638484147016523E-2</v>
      </c>
      <c r="EN351" s="7">
        <v>5.7659778106774827E-2</v>
      </c>
      <c r="EO351" s="7">
        <v>0.56931800922069553</v>
      </c>
      <c r="EP351" s="7">
        <v>0.27223179348574278</v>
      </c>
      <c r="EQ351" s="7">
        <v>5.9840818106432818E-2</v>
      </c>
      <c r="ER351" s="7">
        <v>4.0949601080353955E-2</v>
      </c>
      <c r="ES351" s="7">
        <v>0.2907653243191281</v>
      </c>
      <c r="ET351" s="7">
        <v>0.35840380846614467</v>
      </c>
      <c r="EU351" s="6">
        <v>1600</v>
      </c>
      <c r="EV351" s="6">
        <v>0</v>
      </c>
      <c r="EW351" s="6">
        <v>1600</v>
      </c>
      <c r="EX351" s="6">
        <v>0</v>
      </c>
      <c r="EY351" s="6">
        <v>2973.2005636342951</v>
      </c>
      <c r="EZ351" s="6">
        <v>3276</v>
      </c>
      <c r="FA351" s="6">
        <v>0</v>
      </c>
      <c r="FB351" s="6">
        <v>0</v>
      </c>
      <c r="FC351" s="6">
        <v>0</v>
      </c>
      <c r="FD351" s="6">
        <v>0</v>
      </c>
      <c r="FE351" s="6">
        <v>0</v>
      </c>
      <c r="FF351" s="6">
        <v>0</v>
      </c>
      <c r="FG351" s="6">
        <v>0</v>
      </c>
      <c r="FH351" s="6">
        <v>1154.3266423496675</v>
      </c>
      <c r="FI351" s="6">
        <v>1531.4299904380616</v>
      </c>
      <c r="FJ351" s="6">
        <v>2070.7205842538224</v>
      </c>
      <c r="FK351" s="6">
        <v>2218.639369850102</v>
      </c>
      <c r="FL351" s="6">
        <v>893.9143356348934</v>
      </c>
      <c r="FM351" s="6">
        <v>2123.2005636342951</v>
      </c>
      <c r="FN351" s="6">
        <v>0</v>
      </c>
      <c r="FO351" s="6">
        <v>0</v>
      </c>
      <c r="FP351" s="6">
        <v>0</v>
      </c>
      <c r="FQ351" s="6">
        <v>0</v>
      </c>
      <c r="FR351" s="6">
        <v>0</v>
      </c>
      <c r="FS351" s="6">
        <v>0</v>
      </c>
      <c r="FT351" s="7">
        <v>0.64159619153385528</v>
      </c>
      <c r="FU351" s="7">
        <v>6.7638484147016523E-2</v>
      </c>
      <c r="FV351" s="7">
        <v>0.2907653243191281</v>
      </c>
      <c r="FW351" s="6">
        <v>1600.0000000000002</v>
      </c>
      <c r="FX351" s="6">
        <v>2973.2005636342951</v>
      </c>
      <c r="FY351" s="6">
        <v>3276</v>
      </c>
      <c r="FZ351" s="6">
        <v>2202.331475193394</v>
      </c>
      <c r="GA351" s="6">
        <v>2180.203888112911</v>
      </c>
      <c r="GB351" s="6">
        <v>17514.796111887088</v>
      </c>
      <c r="GC351" s="7">
        <v>4.8391397220736806E-2</v>
      </c>
      <c r="GD351" s="7">
        <v>4.8427652719145044E-2</v>
      </c>
      <c r="GE351" s="7"/>
      <c r="GF351" s="7"/>
      <c r="GG351" s="7">
        <v>7.4921371339740776E-4</v>
      </c>
      <c r="GH351" s="42">
        <v>-0.66684921549249587</v>
      </c>
      <c r="GI351" s="6">
        <v>-27354.208903321934</v>
      </c>
      <c r="GJ351" s="14">
        <v>0.5107463060103955</v>
      </c>
      <c r="GK351" s="14">
        <v>0.50829519786160993</v>
      </c>
      <c r="GL351" s="14">
        <v>0.48925369398960439</v>
      </c>
      <c r="GM351" s="14">
        <v>0.49170480213839052</v>
      </c>
      <c r="GO351" s="5">
        <v>338.16872463277008</v>
      </c>
      <c r="GP351" s="5">
        <v>307.64377699166363</v>
      </c>
      <c r="GQ351" s="5">
        <v>527.27910984145694</v>
      </c>
      <c r="GR351" s="5">
        <v>404.20319246551543</v>
      </c>
      <c r="GS351" s="5">
        <v>334.50205195691484</v>
      </c>
      <c r="GT351" s="5">
        <v>289.18266033348181</v>
      </c>
      <c r="GU351" s="5">
        <v>254.29573314828914</v>
      </c>
      <c r="GV351" s="39" t="s">
        <v>392</v>
      </c>
      <c r="GW351" s="5">
        <v>468.76388888888891</v>
      </c>
      <c r="GX351" s="5">
        <v>351.57291666666669</v>
      </c>
      <c r="GY351" s="5">
        <v>281.25833333333333</v>
      </c>
      <c r="GZ351" s="5">
        <v>240.8550698915011</v>
      </c>
      <c r="HA351" s="5">
        <v>229.8919505212948</v>
      </c>
      <c r="HB351" s="39">
        <v>251.66268535484443</v>
      </c>
      <c r="HC351" s="5">
        <v>139.79062499999998</v>
      </c>
      <c r="HD351" s="5">
        <v>138.50060307017537</v>
      </c>
      <c r="HE351" s="5">
        <v>146.64128289473683</v>
      </c>
      <c r="HF351" s="5">
        <v>141.94567434210524</v>
      </c>
      <c r="HG351" s="5">
        <v>144.78493421052633</v>
      </c>
      <c r="HH351" s="39">
        <v>141.25463405383695</v>
      </c>
      <c r="HI351" s="16"/>
      <c r="HJ351" s="19" t="str">
        <f t="shared" ref="HJ351:HK366" si="1122">HJ350</f>
        <v>On</v>
      </c>
      <c r="HK351" s="1" t="str">
        <f t="shared" si="1122"/>
        <v>On</v>
      </c>
      <c r="HL351" s="16"/>
      <c r="HM351" s="639">
        <f t="shared" si="1004"/>
        <v>2.8970655363290673E-2</v>
      </c>
      <c r="HN351" s="639">
        <f t="shared" si="1005"/>
        <v>2.1835179285533651E-3</v>
      </c>
      <c r="HO351" s="639">
        <f t="shared" si="1006"/>
        <v>1.5544129749146325E-2</v>
      </c>
      <c r="HP351" s="644">
        <f>(FT351*$GD351-HM351)/$JF351*INDEX(Input!$1:$1048576,$JG$93,$C351*2+6)</f>
        <v>86.625397225709364</v>
      </c>
      <c r="HQ351" s="644">
        <f>(FU351*$GD351-HN351)/$JF351*INDEX(Input!$1:$1048576,$JG$93,$C351*2+6)</f>
        <v>45.040140016841129</v>
      </c>
      <c r="HR351" s="644">
        <f>(FV351*$GD351-HO351)/$JF351*INDEX(Input!$1:$1048576,$JG$93,$C351*2+6)</f>
        <v>-60.341157913342442</v>
      </c>
      <c r="HS351" s="644">
        <f t="shared" si="1116"/>
        <v>-28.438995313250352</v>
      </c>
      <c r="HT351" s="644">
        <f t="shared" si="1008"/>
        <v>103.72125162688548</v>
      </c>
      <c r="HU351" s="644">
        <f t="shared" si="1009"/>
        <v>-10.85723377466773</v>
      </c>
      <c r="HV351" s="648">
        <f t="shared" si="1010"/>
        <v>0</v>
      </c>
      <c r="HW351" s="648">
        <f t="shared" si="1011"/>
        <v>0</v>
      </c>
      <c r="HX351" s="648">
        <f t="shared" si="1012"/>
        <v>0</v>
      </c>
      <c r="HY351" s="644">
        <f>INDEX(Input!$1:$1048576,HY$93,$C351*2+6)*INDEX(Input!$1:$1048576,$JG$93,$C351*2+6)</f>
        <v>488.99999999999994</v>
      </c>
      <c r="HZ351" s="644">
        <f>INDEX(Input!$1:$1048576,HZ$93,$C351*2+6)*INDEX(Input!$1:$1048576,$JG$93,$C351*2+6)</f>
        <v>734</v>
      </c>
      <c r="IA351" s="644">
        <f>INDEX(Input!$1:$1048576,IA$93,$C351*2+6)*INDEX(Input!$1:$1048576,$JG$93,$C351*2+6)</f>
        <v>703</v>
      </c>
      <c r="IB351" s="644">
        <f t="shared" si="1036"/>
        <v>547.1864019124589</v>
      </c>
      <c r="IC351" s="644">
        <f t="shared" si="1037"/>
        <v>882.76139164372671</v>
      </c>
      <c r="ID351" s="644">
        <f>IF(AND(INDEX(Input!$1:$1048576,IA$93,$C351*2+7)="TOS",Y351&lt;=INDEX(Y:Y,MATCH(C351*1000+2,A:A))),0,1)*MAX(IA351+HR351+HU351+HX351,0%)</f>
        <v>631.80160831198987</v>
      </c>
      <c r="IE351" s="128">
        <f t="shared" si="1121"/>
        <v>0.26539908362124265</v>
      </c>
      <c r="IF351" s="128">
        <f t="shared" si="1108"/>
        <v>0.42816134242301523</v>
      </c>
      <c r="IG351" s="128">
        <f t="shared" si="1014"/>
        <v>0.30643957395574212</v>
      </c>
      <c r="IH351" s="21"/>
      <c r="II351" s="19">
        <f t="shared" si="1015"/>
        <v>1200</v>
      </c>
      <c r="IJ351" s="19">
        <f t="shared" si="1016"/>
        <v>2224.493581030405</v>
      </c>
      <c r="IK351" s="19">
        <f t="shared" si="1017"/>
        <v>3451.75</v>
      </c>
      <c r="IL351" s="19">
        <f t="shared" si="1039"/>
        <v>400.00000000000023</v>
      </c>
      <c r="IM351" s="19">
        <f t="shared" si="1018"/>
        <v>748.70698260389008</v>
      </c>
      <c r="IN351" s="19">
        <f t="shared" si="1019"/>
        <v>-175.75</v>
      </c>
      <c r="IO351" s="39">
        <f t="shared" si="1020"/>
        <v>0</v>
      </c>
      <c r="IP351" s="39">
        <f t="shared" si="1021"/>
        <v>0</v>
      </c>
      <c r="IQ351" s="39">
        <f t="shared" si="1022"/>
        <v>0</v>
      </c>
      <c r="IR351" s="39">
        <v>0</v>
      </c>
      <c r="IS351" s="39">
        <v>0</v>
      </c>
      <c r="IT351" s="39">
        <v>0</v>
      </c>
      <c r="IU351" s="39">
        <v>0</v>
      </c>
      <c r="IV351" s="39">
        <v>0</v>
      </c>
      <c r="IW351" s="39">
        <v>0</v>
      </c>
      <c r="IX351" s="39">
        <f>INDEX(Input!$1:$1048576,IX$93,$C351*2+6)+INDEX(Input!$1:$1048576,IX$94,$C351*2+6)</f>
        <v>1600</v>
      </c>
      <c r="IY351" s="39">
        <f>INDEX(Input!$1:$1048576,IY$93,$C351*2+6)+INDEX(Input!$1:$1048576,IY$94,$C351*2+6)</f>
        <v>2503.5492916397525</v>
      </c>
      <c r="IZ351" s="39">
        <f>INDEX(Input!$1:$1048576,IZ$93,$C351*2+6)+INDEX(Input!$1:$1048576,IZ$94,$C351*2+6)</f>
        <v>5773.7109265464023</v>
      </c>
      <c r="JA351" s="19">
        <f t="shared" si="1040"/>
        <v>2000.0000000000002</v>
      </c>
      <c r="JB351" s="19">
        <f t="shared" si="1041"/>
        <v>3252.2562742436426</v>
      </c>
      <c r="JC351" s="19">
        <f t="shared" si="1042"/>
        <v>5597.9609265464023</v>
      </c>
      <c r="JD351" s="19">
        <f t="shared" si="1043"/>
        <v>3638.725340878088</v>
      </c>
      <c r="JE351" s="21"/>
      <c r="JF351" s="1">
        <f t="shared" si="1023"/>
        <v>4.6698303040990354E-2</v>
      </c>
      <c r="JG351" s="15">
        <f>INDEX(Input!$1:$1048576,JG$93,$C351*2+6)/(1+VLOOKUP(C351*1000+INDEX(Input!$1:$1048576,JG$93+1,$C351*2+6),$A:$KK,$JK$92,FALSE))</f>
        <v>1926</v>
      </c>
      <c r="JH351" s="1">
        <f t="shared" si="1044"/>
        <v>3.7032388021395669E-2</v>
      </c>
      <c r="JI351" s="1">
        <f t="shared" si="1045"/>
        <v>3.345016746571515E-2</v>
      </c>
      <c r="JJ351" s="1">
        <f t="shared" si="1109"/>
        <v>0</v>
      </c>
      <c r="JK351" s="1">
        <f t="shared" si="1110"/>
        <v>7.0482555487110826E-2</v>
      </c>
      <c r="JL351" s="15">
        <f t="shared" si="1048"/>
        <v>135.74940186817545</v>
      </c>
      <c r="JM351" s="15">
        <f t="shared" si="1074"/>
        <v>2061.7494018681755</v>
      </c>
      <c r="JN351" s="21"/>
      <c r="JO351" s="19">
        <f>INDEX(Input!$1:$1048576,JO$93,$C351*2+6)</f>
        <v>5908.5</v>
      </c>
      <c r="JP351" s="19">
        <f>INDEX(Input!$1:$1048576,JP$93,$C351*2+6)</f>
        <v>3467.7694503767912</v>
      </c>
      <c r="JQ351" s="39">
        <f t="shared" si="1060"/>
        <v>2269.774659121912</v>
      </c>
      <c r="JR351" s="39">
        <f t="shared" si="1077"/>
        <v>170.95589050129684</v>
      </c>
      <c r="JS351" s="39">
        <f t="shared" si="1062"/>
        <v>7.5021397951179702</v>
      </c>
      <c r="JT351" s="39">
        <f t="shared" si="1050"/>
        <v>0.82321583369227036</v>
      </c>
      <c r="JU351" s="385">
        <f>(JQ351*JM351-INDEX(Input!$1:$1048576,Input!A$18,$C351*2+6)*JL351*INDEX(Input!$1:$1048576,Input!A$19,$C351*2+6))/1000000</f>
        <v>4.6797065458201441</v>
      </c>
      <c r="JV351" s="39">
        <f t="shared" si="1084"/>
        <v>-2.1140492754155638E-2</v>
      </c>
      <c r="JW351" s="1">
        <f t="shared" si="1075"/>
        <v>-4.4971666979760419E-3</v>
      </c>
      <c r="JX351" s="19">
        <f t="shared" si="1066"/>
        <v>6064.2317561861892</v>
      </c>
      <c r="JZ351" s="341"/>
      <c r="KA351" s="342"/>
      <c r="KB351" s="469">
        <f t="shared" si="1063"/>
        <v>2.7822247002359868</v>
      </c>
      <c r="KI351" s="473">
        <f t="shared" si="1118"/>
        <v>58.186401912458962</v>
      </c>
      <c r="KJ351" s="473">
        <f t="shared" si="1119"/>
        <v>148.76139164372671</v>
      </c>
      <c r="KK351" s="473">
        <f t="shared" si="1052"/>
        <v>-71.198391688010133</v>
      </c>
      <c r="KN351" s="544">
        <f t="shared" si="1067"/>
        <v>3002</v>
      </c>
      <c r="KO351" s="541">
        <f t="shared" si="1027"/>
        <v>8.1322779361570063E-4</v>
      </c>
      <c r="KP351" s="546">
        <f t="shared" si="1028"/>
        <v>38.941986711603349</v>
      </c>
      <c r="KQ351" s="546">
        <f t="shared" si="1029"/>
        <v>-82.355877447284911</v>
      </c>
      <c r="KR351" s="548">
        <f t="shared" si="1030"/>
        <v>0.33358428326788381</v>
      </c>
      <c r="KS351" s="548">
        <f t="shared" si="1031"/>
        <v>-0.1577353690941207</v>
      </c>
      <c r="KT351" s="473">
        <f t="shared" si="1065"/>
        <v>527.01264777847621</v>
      </c>
      <c r="KU351" s="663">
        <f t="shared" si="1053"/>
        <v>15.762350150184872</v>
      </c>
      <c r="KV351" s="117"/>
    </row>
    <row r="352" spans="1:308" s="26" customFormat="1" ht="15" outlineLevel="1">
      <c r="A352" s="561">
        <f t="shared" si="1032"/>
        <v>3052</v>
      </c>
      <c r="B352" s="561">
        <f t="shared" si="1054"/>
        <v>52</v>
      </c>
      <c r="C352" s="561">
        <f t="shared" si="1055"/>
        <v>3</v>
      </c>
      <c r="D352" s="561" t="str">
        <f t="shared" si="1104"/>
        <v xml:space="preserve">0/0/0/3.9, -360 Lease, </v>
      </c>
      <c r="E352" s="475">
        <f>INDEX(Input!$1:$1048576,E$93,$C352*2+MIN($B352,2)+5)
+INDEX(Scenarios!E$121:E$200,MATCH($B352,Scenarios!$B$121:$B$200,0))</f>
        <v>1250</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63">
        <f>IFERROR(MAX(0,INDEX(Input!$1:$1048576,W$93,$C352*2+MIN($B352,2)+5)-0%,),"Market")</f>
        <v>3.9000000000000007E-2</v>
      </c>
      <c r="X352" s="476" t="str">
        <f>INDEX(Input!$1:$1048576,X$93,$C352*2+MIN($B352,2)+5)</f>
        <v>Y</v>
      </c>
      <c r="Y352" s="475">
        <f>INDEX(Input!$1:$1048576,Y$93,$C352*2+MIN($B352,2)+5)
++INDEX(Scenarios!Y$121:Y$200,MATCH($B352,Scenarios!$B$121:$B$200,0))</f>
        <v>3748</v>
      </c>
      <c r="Z352" s="477">
        <f>INDEX(Input!$1:$1048576,Z$93,$C352*2+MIN($B352,2)+5)
+INDEX(Scenarios!Z$121:Z$200,MATCH($B352,Scenarios!$B$121:$B$200,0))</f>
        <v>0</v>
      </c>
      <c r="AA352" s="475">
        <f>INDEX(Input!$1:$1048576,AA$93,$C352*2+MIN($B352,2)+5)</f>
        <v>500</v>
      </c>
      <c r="AB352" s="476">
        <f>INDEX(Input!$1:$1048576,AB$93,$C352*2+MIN($B352,2)+5)</f>
        <v>0.62</v>
      </c>
      <c r="AC352" s="475">
        <f>INDEX(Input!$1:$1048576,AC$93,$C352*2+MIN($B352,2)+5)
+INDEX(Scenarios!AC$121:AC$200,MATCH($B352,Scenarios!$B$121:$B$200,0))</f>
        <v>0</v>
      </c>
      <c r="AD352" s="476">
        <f>INDEX(Input!$1:$1048576,AD$93,$C352*2+MIN($B352,2)+5)</f>
        <v>0.35</v>
      </c>
      <c r="AE352" s="475">
        <f>INDEX(Input!$1:$1048576,AE$93,$C352*2+MIN($B352,2)+5)
+INDEX(Scenarios!AE$121:AE$200,MATCH($B352,Scenarios!$B$121:$B$200,0))</f>
        <v>500</v>
      </c>
      <c r="AF352" s="476">
        <f>INDEX(Input!$1:$1048576,AF$93,$C352*2+MIN($B352,2)+5)</f>
        <v>0.97</v>
      </c>
      <c r="AG352" s="475">
        <f>INDEX(Input!$1:$1048576,AG$93,$C352*2+MIN($B352,2)+5)
+INDEX(Scenarios!AG$121:AG$200,MATCH($B352,Scenarios!$B$121:$B$200,0))</f>
        <v>0</v>
      </c>
      <c r="AH352" s="476">
        <f>INDEX(Input!$1:$1048576,AH$93,$C352*2+MIN($B352,2)+5)</f>
        <v>1</v>
      </c>
      <c r="AI352" s="475">
        <f>INDEX(Input!$1:$1048576,AI$93,$C352*2+MIN($B352,2)+5)
+INDEX(Scenarios!AI$121:AI$200,MATCH($B352,Scenarios!$B$121:$B$200,0))</f>
        <v>0</v>
      </c>
      <c r="AJ352" s="476">
        <f>INDEX(Input!$1:$1048576,AJ$93,$C352*2+MIN($B352,2)+5)</f>
        <v>0.35</v>
      </c>
      <c r="AK352" s="150">
        <f>ROUND(INDEX(Input!$1:$1048576,AK$93,$C351*2+MIN($B352,1)+5)+(Y352-VLOOKUP($C352*1000+1,$A:$HH,Y$92,FALSE)),0)</f>
        <v>4622</v>
      </c>
      <c r="AL352" s="150">
        <f>ROUND(INDEX(Input!$1:$1048576,AL$93,$C351*2+MIN($B352,1)+5)-(Y352-VLOOKUP($C352*1000+1,$A:$HH,Y$92,FALSE))/36,0)</f>
        <v>5112</v>
      </c>
      <c r="AM352" s="32" t="str">
        <f t="shared" si="1033"/>
        <v>std/std/std/std</v>
      </c>
      <c r="AN352" s="32" t="str">
        <f t="shared" si="1034"/>
        <v>$0 + 0/0/0/0/3.9</v>
      </c>
      <c r="AO352" s="32" t="str">
        <f t="shared" si="1035"/>
        <v>0/0/0/0/3.9</v>
      </c>
      <c r="AP352" s="32" t="str">
        <f t="shared" si="989"/>
        <v>0/0/0/3.9</v>
      </c>
      <c r="AQ352" s="536">
        <f t="shared" si="988"/>
        <v>485.24737156641464</v>
      </c>
      <c r="AR352" s="32"/>
      <c r="AS352" s="302"/>
      <c r="AT352" s="3">
        <f t="shared" si="1056"/>
        <v>52</v>
      </c>
      <c r="AU352" s="41" t="s">
        <v>121</v>
      </c>
      <c r="AV352" s="41" t="s">
        <v>116</v>
      </c>
      <c r="AW352" s="41" t="str">
        <f>INDEX(Input!$1:$1048576,AW$93,$C352*2+6)</f>
        <v>Kia</v>
      </c>
      <c r="AX352" s="41" t="str">
        <f>INDEX(Input!$1:$1048576,AX$93,$C352*2+6)</f>
        <v>Kia-LR - L3</v>
      </c>
      <c r="AY352" s="41" t="str">
        <f>IF(LEN(D352)=0,"",INDEX(Input!$1:$1048576,AY$93,$C352*2+6))</f>
        <v>Compact Conventional/Sporty Car (43)</v>
      </c>
      <c r="AZ352" s="41" t="str">
        <f>INDEX(Input!$1:$1048576,AZ$93,$C352*2+6)</f>
        <v>Kia Forte</v>
      </c>
      <c r="BA352" s="3">
        <f>INDEX(Input!$1:$1048576,BA$93,$C352*2+6)</f>
        <v>2020</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19695</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990"/>
        <v>1250</v>
      </c>
      <c r="CJ352" s="16" t="str">
        <f>INDEX(Input!$1:$1048576,CJ$93,$C352*2+6)</f>
        <v>N</v>
      </c>
      <c r="CK352" s="1" t="str">
        <f t="shared" si="991"/>
        <v>Market</v>
      </c>
      <c r="CL352" s="1" t="str">
        <f t="shared" si="992"/>
        <v>Market</v>
      </c>
      <c r="CM352" s="1" t="str">
        <f t="shared" si="993"/>
        <v>Market</v>
      </c>
      <c r="CN352" s="1" t="str">
        <f t="shared" si="994"/>
        <v>Market</v>
      </c>
      <c r="CO352" s="1" t="str">
        <f t="shared" si="995"/>
        <v>Market</v>
      </c>
      <c r="CP352" s="304">
        <f t="shared" si="996"/>
        <v>310</v>
      </c>
      <c r="CQ352" s="1">
        <f t="shared" si="997"/>
        <v>0</v>
      </c>
      <c r="CR352" s="1">
        <f t="shared" si="998"/>
        <v>0</v>
      </c>
      <c r="CS352" s="1">
        <f t="shared" si="999"/>
        <v>0</v>
      </c>
      <c r="CT352" s="1">
        <f t="shared" si="1000"/>
        <v>0</v>
      </c>
      <c r="CU352" s="1">
        <f t="shared" si="1001"/>
        <v>3.9000000000000007E-2</v>
      </c>
      <c r="CV352" s="304">
        <f t="shared" si="1002"/>
        <v>4233</v>
      </c>
      <c r="CW352" s="20" t="s">
        <v>122</v>
      </c>
      <c r="CX352" s="20" t="s">
        <v>122</v>
      </c>
      <c r="CY352" s="20" t="s">
        <v>122</v>
      </c>
      <c r="CZ352" s="20" t="s">
        <v>122</v>
      </c>
      <c r="DA352" s="20" t="s">
        <v>122</v>
      </c>
      <c r="DB352" s="503">
        <f t="shared" si="1003"/>
        <v>0</v>
      </c>
      <c r="DC352" s="127">
        <v>0</v>
      </c>
      <c r="DD352" s="127">
        <v>0</v>
      </c>
      <c r="DE352" s="127">
        <v>0</v>
      </c>
      <c r="DF352" s="127">
        <v>0</v>
      </c>
      <c r="DG352" s="127">
        <v>0</v>
      </c>
      <c r="DH352" s="127">
        <v>0</v>
      </c>
      <c r="DI352" s="127">
        <v>0</v>
      </c>
      <c r="DJ352" s="127">
        <v>0</v>
      </c>
      <c r="DK352" s="127">
        <v>0</v>
      </c>
      <c r="DL352" s="127">
        <v>0</v>
      </c>
      <c r="DM352" s="304">
        <f>INDEX(Input!$1:$1048576,DM$93,$C352*2+6)</f>
        <v>20731.578947368424</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3.3475599382975091E-2</v>
      </c>
      <c r="DZ352" s="7">
        <v>0</v>
      </c>
      <c r="EA352" s="7">
        <v>0.59194294410610471</v>
      </c>
      <c r="EB352" s="7">
        <v>0</v>
      </c>
      <c r="EC352" s="7">
        <v>0</v>
      </c>
      <c r="ED352" s="7">
        <v>0</v>
      </c>
      <c r="EE352" s="7">
        <v>0</v>
      </c>
      <c r="EF352" s="7">
        <v>0</v>
      </c>
      <c r="EG352" s="7">
        <v>0</v>
      </c>
      <c r="EH352" s="7">
        <v>7.2860459575040271E-3</v>
      </c>
      <c r="EI352" s="7">
        <v>9.2371797817069317E-3</v>
      </c>
      <c r="EJ352" s="7">
        <v>0.13274163353536481</v>
      </c>
      <c r="EK352" s="7">
        <v>0.82445069238458779</v>
      </c>
      <c r="EL352" s="7">
        <v>2.6284448340836507E-2</v>
      </c>
      <c r="EM352" s="7">
        <v>9.1635883448241931E-2</v>
      </c>
      <c r="EN352" s="7">
        <v>5.7659778106774813E-2</v>
      </c>
      <c r="EO352" s="7">
        <v>0.56931800922069564</v>
      </c>
      <c r="EP352" s="7">
        <v>0.27223179348574278</v>
      </c>
      <c r="EQ352" s="7">
        <v>5.9840818106432832E-2</v>
      </c>
      <c r="ER352" s="7">
        <v>4.0949601080353955E-2</v>
      </c>
      <c r="ES352" s="7">
        <v>0.28294557306267826</v>
      </c>
      <c r="ET352" s="7">
        <v>0.37458145651092023</v>
      </c>
      <c r="EU352" s="6">
        <v>1600</v>
      </c>
      <c r="EV352" s="6">
        <v>0</v>
      </c>
      <c r="EW352" s="6">
        <v>1600</v>
      </c>
      <c r="EX352" s="6">
        <v>0</v>
      </c>
      <c r="EY352" s="6">
        <v>3343.677194703183</v>
      </c>
      <c r="EZ352" s="6">
        <v>3276</v>
      </c>
      <c r="FA352" s="6">
        <v>0</v>
      </c>
      <c r="FB352" s="6">
        <v>0</v>
      </c>
      <c r="FC352" s="6">
        <v>0</v>
      </c>
      <c r="FD352" s="6">
        <v>0</v>
      </c>
      <c r="FE352" s="6">
        <v>0</v>
      </c>
      <c r="FF352" s="6">
        <v>0</v>
      </c>
      <c r="FG352" s="6">
        <v>0</v>
      </c>
      <c r="FH352" s="6">
        <v>1154.3276521939877</v>
      </c>
      <c r="FI352" s="6">
        <v>1531.4299904380618</v>
      </c>
      <c r="FJ352" s="6">
        <v>2070.7205842538219</v>
      </c>
      <c r="FK352" s="6">
        <v>2635.3956133202914</v>
      </c>
      <c r="FL352" s="6">
        <v>893.91433563489363</v>
      </c>
      <c r="FM352" s="6">
        <v>2493.677194703183</v>
      </c>
      <c r="FN352" s="6">
        <v>0</v>
      </c>
      <c r="FO352" s="6">
        <v>0</v>
      </c>
      <c r="FP352" s="6">
        <v>0</v>
      </c>
      <c r="FQ352" s="6">
        <v>0</v>
      </c>
      <c r="FR352" s="6">
        <v>0</v>
      </c>
      <c r="FS352" s="6">
        <v>0</v>
      </c>
      <c r="FT352" s="7">
        <v>0.62541854348907977</v>
      </c>
      <c r="FU352" s="7">
        <v>9.1635883448241931E-2</v>
      </c>
      <c r="FV352" s="7">
        <v>0.28294557306267826</v>
      </c>
      <c r="FW352" s="6">
        <v>1600</v>
      </c>
      <c r="FX352" s="6">
        <v>3343.6771947031834</v>
      </c>
      <c r="FY352" s="6">
        <v>3276</v>
      </c>
      <c r="FZ352" s="6">
        <v>2202.331475193394</v>
      </c>
      <c r="GA352" s="6">
        <v>2234.000180638227</v>
      </c>
      <c r="GB352" s="6">
        <v>17460.999819361772</v>
      </c>
      <c r="GC352" s="7">
        <v>4.8391397220736806E-2</v>
      </c>
      <c r="GD352" s="7">
        <v>4.8992908898366661E-2</v>
      </c>
      <c r="GE352" s="7"/>
      <c r="GF352" s="7"/>
      <c r="GG352" s="7">
        <v>1.243013659816569E-2</v>
      </c>
      <c r="GH352" s="42">
        <v>7.730393044557375</v>
      </c>
      <c r="GI352" s="6">
        <v>4781.7360960670594</v>
      </c>
      <c r="GJ352" s="14">
        <v>0.51074630601039561</v>
      </c>
      <c r="GK352" s="14">
        <v>0.5082951978616097</v>
      </c>
      <c r="GL352" s="14">
        <v>0.48925369398960444</v>
      </c>
      <c r="GM352" s="14">
        <v>0.49170480213839041</v>
      </c>
      <c r="GO352" s="5">
        <v>338.16872463277008</v>
      </c>
      <c r="GP352" s="5">
        <v>307.64377699166363</v>
      </c>
      <c r="GQ352" s="5">
        <v>527.27910984145694</v>
      </c>
      <c r="GR352" s="5">
        <v>404.20319246551543</v>
      </c>
      <c r="GS352" s="5">
        <v>334.50205195691484</v>
      </c>
      <c r="GT352" s="5">
        <v>289.18266033348181</v>
      </c>
      <c r="GU352" s="5">
        <v>254.29573314828914</v>
      </c>
      <c r="GV352" s="39" t="s">
        <v>392</v>
      </c>
      <c r="GW352" s="5">
        <v>468.76388888888891</v>
      </c>
      <c r="GX352" s="5">
        <v>351.57291666666669</v>
      </c>
      <c r="GY352" s="5">
        <v>281.25833333333333</v>
      </c>
      <c r="GZ352" s="5">
        <v>234.38194444444446</v>
      </c>
      <c r="HA352" s="5">
        <v>229.8919505212948</v>
      </c>
      <c r="HB352" s="39">
        <v>243.27660756451198</v>
      </c>
      <c r="HC352" s="5">
        <v>139.79062499999998</v>
      </c>
      <c r="HD352" s="5">
        <v>138.50060307017537</v>
      </c>
      <c r="HE352" s="5">
        <v>146.64128289473683</v>
      </c>
      <c r="HF352" s="5">
        <v>141.94567434210524</v>
      </c>
      <c r="HG352" s="5">
        <v>144.78493421052633</v>
      </c>
      <c r="HH352" s="39">
        <v>141.25463405383698</v>
      </c>
      <c r="HI352" s="16"/>
      <c r="HJ352" s="19" t="str">
        <f t="shared" si="1122"/>
        <v>On</v>
      </c>
      <c r="HK352" s="1" t="str">
        <f t="shared" si="1122"/>
        <v>On</v>
      </c>
      <c r="HL352" s="16"/>
      <c r="HM352" s="639">
        <f t="shared" si="1004"/>
        <v>2.8970655363290673E-2</v>
      </c>
      <c r="HN352" s="639">
        <f t="shared" si="1005"/>
        <v>2.1835179285533651E-3</v>
      </c>
      <c r="HO352" s="639">
        <f t="shared" si="1006"/>
        <v>1.5544129749146325E-2</v>
      </c>
      <c r="HP352" s="644">
        <f>(FT352*$GD352-HM352)/$JF352*INDEX(Input!$1:$1048576,$JG$93,$C352*2+6)</f>
        <v>68.893847403486348</v>
      </c>
      <c r="HQ352" s="644">
        <f>(FU352*$GD352-HN352)/$JF352*INDEX(Input!$1:$1048576,$JG$93,$C352*2+6)</f>
        <v>95.10704953624105</v>
      </c>
      <c r="HR352" s="644">
        <f>(FV352*$GD352-HO352)/$JF352*INDEX(Input!$1:$1048576,$JG$93,$C352*2+6)</f>
        <v>-69.363392073061959</v>
      </c>
      <c r="HS352" s="644">
        <f t="shared" si="1116"/>
        <v>-28.820739953039379</v>
      </c>
      <c r="HT352" s="644">
        <f t="shared" si="1008"/>
        <v>157.43770807413145</v>
      </c>
      <c r="HU352" s="644">
        <f t="shared" si="1009"/>
        <v>-10.475489134878693</v>
      </c>
      <c r="HV352" s="648">
        <f t="shared" si="1010"/>
        <v>0</v>
      </c>
      <c r="HW352" s="648">
        <f t="shared" si="1011"/>
        <v>0</v>
      </c>
      <c r="HX352" s="648">
        <f t="shared" si="1012"/>
        <v>0</v>
      </c>
      <c r="HY352" s="644">
        <f>INDEX(Input!$1:$1048576,HY$93,$C352*2+6)*INDEX(Input!$1:$1048576,$JG$93,$C352*2+6)</f>
        <v>488.99999999999994</v>
      </c>
      <c r="HZ352" s="644">
        <f>INDEX(Input!$1:$1048576,HZ$93,$C352*2+6)*INDEX(Input!$1:$1048576,$JG$93,$C352*2+6)</f>
        <v>734</v>
      </c>
      <c r="IA352" s="644">
        <f>INDEX(Input!$1:$1048576,IA$93,$C352*2+6)*INDEX(Input!$1:$1048576,$JG$93,$C352*2+6)</f>
        <v>703</v>
      </c>
      <c r="IB352" s="644">
        <f t="shared" si="1036"/>
        <v>529.07310745044697</v>
      </c>
      <c r="IC352" s="644">
        <f t="shared" si="1037"/>
        <v>986.54475761037247</v>
      </c>
      <c r="ID352" s="644">
        <f>IF(AND(INDEX(Input!$1:$1048576,IA$93,$C352*2+7)="TOS",Y352&lt;=INDEX(Y:Y,MATCH(C352*1000+2,A:A))),0,1)*MAX(IA352+HR352+HU352+HX352,0%)</f>
        <v>623.16111879205937</v>
      </c>
      <c r="IE352" s="128">
        <f t="shared" si="1121"/>
        <v>0.2473715664146626</v>
      </c>
      <c r="IF352" s="128">
        <f t="shared" si="1108"/>
        <v>0.4612654065981015</v>
      </c>
      <c r="IG352" s="128">
        <f t="shared" si="1014"/>
        <v>0.29136302698723593</v>
      </c>
      <c r="IH352" s="21"/>
      <c r="II352" s="19">
        <f t="shared" si="1015"/>
        <v>1200</v>
      </c>
      <c r="IJ352" s="19">
        <f t="shared" si="1016"/>
        <v>2224.493581030405</v>
      </c>
      <c r="IK352" s="19">
        <f t="shared" si="1017"/>
        <v>3451.75</v>
      </c>
      <c r="IL352" s="19">
        <f t="shared" si="1039"/>
        <v>400</v>
      </c>
      <c r="IM352" s="19">
        <f t="shared" si="1018"/>
        <v>1119.1836136727784</v>
      </c>
      <c r="IN352" s="19">
        <f t="shared" si="1019"/>
        <v>-175.75</v>
      </c>
      <c r="IO352" s="39">
        <f t="shared" si="1020"/>
        <v>0</v>
      </c>
      <c r="IP352" s="39">
        <f t="shared" si="1021"/>
        <v>0</v>
      </c>
      <c r="IQ352" s="39">
        <f t="shared" si="1022"/>
        <v>0</v>
      </c>
      <c r="IR352" s="39">
        <v>0</v>
      </c>
      <c r="IS352" s="39">
        <v>0</v>
      </c>
      <c r="IT352" s="39">
        <v>0</v>
      </c>
      <c r="IU352" s="39">
        <v>0</v>
      </c>
      <c r="IV352" s="39">
        <v>0</v>
      </c>
      <c r="IW352" s="39">
        <v>0</v>
      </c>
      <c r="IX352" s="39">
        <f>INDEX(Input!$1:$1048576,IX$93,$C352*2+6)+INDEX(Input!$1:$1048576,IX$94,$C352*2+6)</f>
        <v>1600</v>
      </c>
      <c r="IY352" s="39">
        <f>INDEX(Input!$1:$1048576,IY$93,$C352*2+6)+INDEX(Input!$1:$1048576,IY$94,$C352*2+6)</f>
        <v>2503.5492916397525</v>
      </c>
      <c r="IZ352" s="39">
        <f>INDEX(Input!$1:$1048576,IZ$93,$C352*2+6)+INDEX(Input!$1:$1048576,IZ$94,$C352*2+6)</f>
        <v>5773.7109265464023</v>
      </c>
      <c r="JA352" s="19">
        <f t="shared" si="1040"/>
        <v>2000</v>
      </c>
      <c r="JB352" s="19">
        <f t="shared" si="1041"/>
        <v>3622.7329053125309</v>
      </c>
      <c r="JC352" s="19">
        <f t="shared" si="1042"/>
        <v>5597.9609265464023</v>
      </c>
      <c r="JD352" s="19">
        <f t="shared" si="1043"/>
        <v>3796.8233399094634</v>
      </c>
      <c r="JE352" s="21"/>
      <c r="JF352" s="1">
        <f t="shared" si="1023"/>
        <v>4.6698303040990354E-2</v>
      </c>
      <c r="JG352" s="15">
        <f>INDEX(Input!$1:$1048576,JG$93,$C352*2+6)/(1+VLOOKUP(C352*1000+INDEX(Input!$1:$1048576,JG$93+1,$C352*2+6),$A:$KK,$JK$92,FALSE))</f>
        <v>1926</v>
      </c>
      <c r="JH352" s="1">
        <f t="shared" si="1044"/>
        <v>4.9136814572515806E-2</v>
      </c>
      <c r="JI352" s="1">
        <f t="shared" si="1045"/>
        <v>6.1340331768542769E-2</v>
      </c>
      <c r="JJ352" s="1">
        <f t="shared" si="1109"/>
        <v>0</v>
      </c>
      <c r="JK352" s="1">
        <f t="shared" si="1110"/>
        <v>0.11047714634105857</v>
      </c>
      <c r="JL352" s="15">
        <f t="shared" si="1048"/>
        <v>212.77898385287881</v>
      </c>
      <c r="JM352" s="15">
        <f t="shared" si="1074"/>
        <v>2138.7789838528788</v>
      </c>
      <c r="JN352" s="21"/>
      <c r="JO352" s="19">
        <f>INDEX(Input!$1:$1048576,JO$93,$C352*2+6)</f>
        <v>5908.5</v>
      </c>
      <c r="JP352" s="19">
        <f>INDEX(Input!$1:$1048576,JP$93,$C352*2+6)</f>
        <v>3467.7694503767912</v>
      </c>
      <c r="JQ352" s="39">
        <f t="shared" si="1060"/>
        <v>2111.6766600905366</v>
      </c>
      <c r="JR352" s="39">
        <f t="shared" si="1077"/>
        <v>329.0538895326722</v>
      </c>
      <c r="JS352" s="39">
        <f t="shared" si="1062"/>
        <v>8.1205659648004556</v>
      </c>
      <c r="JT352" s="39">
        <f t="shared" si="1050"/>
        <v>1.4416420033747555</v>
      </c>
      <c r="JU352" s="385">
        <f>(JQ352*JM352-INDEX(Input!$1:$1048576,Input!A$18,$C352*2+6)*JL352*INDEX(Input!$1:$1048576,Input!A$19,$C352*2+6))/1000000</f>
        <v>4.5164096612942783</v>
      </c>
      <c r="JV352" s="39">
        <f t="shared" si="1084"/>
        <v>-0.18443737728002141</v>
      </c>
      <c r="JW352" s="1">
        <f t="shared" si="1075"/>
        <v>-3.9234924209735324E-2</v>
      </c>
      <c r="JX352" s="19">
        <f t="shared" si="1066"/>
        <v>6775.3026039993965</v>
      </c>
      <c r="JZ352" s="341"/>
      <c r="KA352" s="342"/>
      <c r="KB352" s="469">
        <f t="shared" si="1063"/>
        <v>2.7822247002359868</v>
      </c>
      <c r="KI352" s="473">
        <f t="shared" si="1118"/>
        <v>40.073107450447026</v>
      </c>
      <c r="KJ352" s="473">
        <f t="shared" si="1119"/>
        <v>252.54475761037247</v>
      </c>
      <c r="KK352" s="473">
        <f t="shared" si="1052"/>
        <v>-79.838881207940631</v>
      </c>
      <c r="KN352" s="544">
        <f t="shared" si="1067"/>
        <v>3002</v>
      </c>
      <c r="KO352" s="541">
        <f t="shared" si="1027"/>
        <v>3.8204883885209373E-2</v>
      </c>
      <c r="KP352" s="546">
        <f t="shared" si="1028"/>
        <v>226.79792084843197</v>
      </c>
      <c r="KQ352" s="546">
        <f t="shared" si="1029"/>
        <v>75.742121584090455</v>
      </c>
      <c r="KR352" s="548">
        <f t="shared" si="1030"/>
        <v>2.6908611417716339</v>
      </c>
      <c r="KS352" s="548">
        <f t="shared" si="1031"/>
        <v>8.0573622639827569</v>
      </c>
      <c r="KT352" s="473">
        <f t="shared" si="1065"/>
        <v>527.01264777847621</v>
      </c>
      <c r="KU352" s="663">
        <f t="shared" si="1053"/>
        <v>15.864195779038372</v>
      </c>
      <c r="KV352" s="117"/>
    </row>
    <row r="353" spans="1:308" s="26" customFormat="1" ht="15" outlineLevel="1">
      <c r="A353" s="561">
        <f t="shared" si="1032"/>
        <v>3053</v>
      </c>
      <c r="B353" s="561">
        <f t="shared" si="1054"/>
        <v>53</v>
      </c>
      <c r="C353" s="561">
        <f t="shared" si="1055"/>
        <v>3</v>
      </c>
      <c r="D353" s="561" t="str">
        <f t="shared" ref="D353:D384" si="1123">IF(E353=INDEX(E:E,MATCH(C353*1000+2,A:A,0)),"",E353-INDEX(E:E,MATCH(C353*1000+2,A:A,0))&amp;E$100&amp;", ")
&amp;IF(F353=INDEX(F:F,MATCH(C353*1000+2,A:A,0)),"",F353-INDEX(F:F,MATCH(C353*1000+2,A:A,0))&amp;F$100&amp;", ")
&amp;IF(AM353=INDEX(AM:AM,MATCH(C353*1000+2,A:A,0)),"",AM353&amp;AM$100&amp;", ")
&amp;IF(AP353=INDEX(AP:AP,MATCH(C353*1000+2,A:A,0)),"",AP353&amp;AP$100&amp;", ")
&amp;IF(Q353=INDEX(Q:Q,MATCH(C353*1000+2,A:A,0)),"",Q353-INDEX(Q:Q,MATCH(C353*1000+2,A:A,0))&amp;Q$100&amp;", ")
&amp;IF(Y353=INDEX(Y:Y,MATCH(C353*1000+2,A:A,0)),"",Y353-INDEX(Y:Y,MATCH(C353*1000+2,A:A,0))&amp;Y$100&amp;", ")
&amp;IF(Z353=INDEX(Z:Z,MATCH(C353*1000+2,A:A,0)),"",Z353-INDEX(Z:Z,MATCH(C353*1000+2,A:A,0))&amp;Z$100&amp;", ")
&amp;IF(AA353=INDEX(AA:AA,MATCH(C353*1000+2,A:A,0)),"",AA353-INDEX(AA:AA,MATCH(C353*1000+2,A:A,0))&amp;AA$100&amp;", ")
&amp;IF(AC353=INDEX(AC:AC,MATCH(C353*1000+2,A:A,0)),"",AC353-INDEX(AC:AC,MATCH(C353*1000+2,A:A,0))&amp;AC$100&amp;", ")
&amp;IF(AE353=INDEX(AE:AE,MATCH(C353*1000+2,A:A,0)),"",AE353-INDEX(AE:AE,MATCH(C353*1000+2,A:A,0))&amp;AE$100&amp;", ")
&amp;IF(AG353=INDEX(AG:AG,MATCH(C353*1000+2,A:A,0)),"",AG353-INDEX(AG:AG,MATCH(C353*1000+2,A:A,0))&amp;AG$100&amp;", ")
&amp;IF(AI353=INDEX(AI:AI,MATCH(C353*1000+2,A:A,0)),"",AI353-INDEX(AI:AI,MATCH(C353*1000+2,A:A,0))&amp;AI$100&amp;", ")</f>
        <v xml:space="preserve">0/0/0/3.9, -360 Lease, </v>
      </c>
      <c r="E353" s="475">
        <f>INDEX(Input!$1:$1048576,E$93,$C353*2+MIN($B353,2)+5)
+INDEX(Scenarios!E$121:E$200,MATCH($B353,Scenarios!$B$121:$B$200,0))</f>
        <v>1250</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63">
        <f>IFERROR(MAX(0,INDEX(Input!$1:$1048576,W$93,$C353*2+MIN($B353,2)+5)-0%,),"Market")</f>
        <v>3.9000000000000007E-2</v>
      </c>
      <c r="X353" s="476" t="str">
        <f>INDEX(Input!$1:$1048576,X$93,$C353*2+MIN($B353,2)+5)</f>
        <v>Y</v>
      </c>
      <c r="Y353" s="475">
        <f>INDEX(Input!$1:$1048576,Y$93,$C353*2+MIN($B353,2)+5)
++INDEX(Scenarios!Y$121:Y$200,MATCH($B353,Scenarios!$B$121:$B$200,0))</f>
        <v>3748</v>
      </c>
      <c r="Z353" s="477">
        <f>INDEX(Input!$1:$1048576,Z$93,$C353*2+MIN($B353,2)+5)
+INDEX(Scenarios!Z$121:Z$200,MATCH($B353,Scenarios!$B$121:$B$200,0))</f>
        <v>0</v>
      </c>
      <c r="AA353" s="475">
        <f>INDEX(Input!$1:$1048576,AA$93,$C353*2+MIN($B353,2)+5)</f>
        <v>500</v>
      </c>
      <c r="AB353" s="476">
        <f>INDEX(Input!$1:$1048576,AB$93,$C353*2+MIN($B353,2)+5)</f>
        <v>0.62</v>
      </c>
      <c r="AC353" s="475">
        <f>INDEX(Input!$1:$1048576,AC$93,$C353*2+MIN($B353,2)+5)
+INDEX(Scenarios!AC$121:AC$200,MATCH($B353,Scenarios!$B$121:$B$200,0))</f>
        <v>0</v>
      </c>
      <c r="AD353" s="476">
        <f>INDEX(Input!$1:$1048576,AD$93,$C353*2+MIN($B353,2)+5)</f>
        <v>0.35</v>
      </c>
      <c r="AE353" s="475">
        <f>INDEX(Input!$1:$1048576,AE$93,$C353*2+MIN($B353,2)+5)
+INDEX(Scenarios!AE$121:AE$200,MATCH($B353,Scenarios!$B$121:$B$200,0))</f>
        <v>500</v>
      </c>
      <c r="AF353" s="476">
        <f>INDEX(Input!$1:$1048576,AF$93,$C353*2+MIN($B353,2)+5)</f>
        <v>0.97</v>
      </c>
      <c r="AG353" s="475">
        <f>INDEX(Input!$1:$1048576,AG$93,$C353*2+MIN($B353,2)+5)
+INDEX(Scenarios!AG$121:AG$200,MATCH($B353,Scenarios!$B$121:$B$200,0))</f>
        <v>0</v>
      </c>
      <c r="AH353" s="476">
        <f>INDEX(Input!$1:$1048576,AH$93,$C353*2+MIN($B353,2)+5)</f>
        <v>1</v>
      </c>
      <c r="AI353" s="475">
        <f>INDEX(Input!$1:$1048576,AI$93,$C353*2+MIN($B353,2)+5)
+INDEX(Scenarios!AI$121:AI$200,MATCH($B353,Scenarios!$B$121:$B$200,0))</f>
        <v>0</v>
      </c>
      <c r="AJ353" s="476">
        <f>INDEX(Input!$1:$1048576,AJ$93,$C353*2+MIN($B353,2)+5)</f>
        <v>0.35</v>
      </c>
      <c r="AK353" s="150">
        <f>ROUND(INDEX(Input!$1:$1048576,AK$93,$C352*2+MIN($B353,1)+5)+(Y353-VLOOKUP($C353*1000+1,$A:$HH,Y$92,FALSE)),0)</f>
        <v>4622</v>
      </c>
      <c r="AL353" s="150">
        <f>ROUND(INDEX(Input!$1:$1048576,AL$93,$C352*2+MIN($B353,1)+5)-(Y353-VLOOKUP($C353*1000+1,$A:$HH,Y$92,FALSE))/36,0)</f>
        <v>5112</v>
      </c>
      <c r="AM353" s="32" t="str">
        <f t="shared" si="1033"/>
        <v>std/std/std/std</v>
      </c>
      <c r="AN353" s="32" t="str">
        <f t="shared" si="1034"/>
        <v>$0 + 0/0/0/0/3.9</v>
      </c>
      <c r="AO353" s="32" t="str">
        <f t="shared" si="1035"/>
        <v>0/0/0/0/3.9</v>
      </c>
      <c r="AP353" s="32" t="str">
        <f t="shared" si="989"/>
        <v>0/0/0/3.9</v>
      </c>
      <c r="AQ353" s="536">
        <f t="shared" si="988"/>
        <v>485.24737156641464</v>
      </c>
      <c r="AR353" s="32"/>
      <c r="AS353" s="302"/>
      <c r="AT353" s="3">
        <f t="shared" si="1056"/>
        <v>53</v>
      </c>
      <c r="AU353" s="41" t="s">
        <v>121</v>
      </c>
      <c r="AV353" s="41" t="s">
        <v>116</v>
      </c>
      <c r="AW353" s="41" t="str">
        <f>INDEX(Input!$1:$1048576,AW$93,$C353*2+6)</f>
        <v>Kia</v>
      </c>
      <c r="AX353" s="41" t="str">
        <f>INDEX(Input!$1:$1048576,AX$93,$C353*2+6)</f>
        <v>Kia-LR - L3</v>
      </c>
      <c r="AY353" s="41" t="str">
        <f>IF(LEN(D353)=0,"",INDEX(Input!$1:$1048576,AY$93,$C353*2+6))</f>
        <v>Compact Conventional/Sporty Car (43)</v>
      </c>
      <c r="AZ353" s="41" t="str">
        <f>INDEX(Input!$1:$1048576,AZ$93,$C353*2+6)</f>
        <v>Kia Forte</v>
      </c>
      <c r="BA353" s="3">
        <f>INDEX(Input!$1:$1048576,BA$93,$C353*2+6)</f>
        <v>2020</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19695</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990"/>
        <v>1250</v>
      </c>
      <c r="CJ353" s="16" t="str">
        <f>INDEX(Input!$1:$1048576,CJ$93,$C353*2+6)</f>
        <v>N</v>
      </c>
      <c r="CK353" s="1" t="str">
        <f t="shared" si="991"/>
        <v>Market</v>
      </c>
      <c r="CL353" s="1" t="str">
        <f t="shared" si="992"/>
        <v>Market</v>
      </c>
      <c r="CM353" s="1" t="str">
        <f t="shared" si="993"/>
        <v>Market</v>
      </c>
      <c r="CN353" s="1" t="str">
        <f t="shared" si="994"/>
        <v>Market</v>
      </c>
      <c r="CO353" s="1" t="str">
        <f t="shared" si="995"/>
        <v>Market</v>
      </c>
      <c r="CP353" s="304">
        <f t="shared" si="996"/>
        <v>310</v>
      </c>
      <c r="CQ353" s="1">
        <f t="shared" si="997"/>
        <v>0</v>
      </c>
      <c r="CR353" s="1">
        <f t="shared" si="998"/>
        <v>0</v>
      </c>
      <c r="CS353" s="1">
        <f t="shared" si="999"/>
        <v>0</v>
      </c>
      <c r="CT353" s="1">
        <f t="shared" si="1000"/>
        <v>0</v>
      </c>
      <c r="CU353" s="1">
        <f t="shared" si="1001"/>
        <v>3.9000000000000007E-2</v>
      </c>
      <c r="CV353" s="304">
        <f t="shared" si="1002"/>
        <v>4233</v>
      </c>
      <c r="CW353" s="20" t="s">
        <v>122</v>
      </c>
      <c r="CX353" s="20" t="s">
        <v>122</v>
      </c>
      <c r="CY353" s="20" t="s">
        <v>122</v>
      </c>
      <c r="CZ353" s="20" t="s">
        <v>122</v>
      </c>
      <c r="DA353" s="20" t="s">
        <v>122</v>
      </c>
      <c r="DB353" s="503">
        <f t="shared" si="1003"/>
        <v>0</v>
      </c>
      <c r="DC353" s="127">
        <v>0</v>
      </c>
      <c r="DD353" s="127">
        <v>0</v>
      </c>
      <c r="DE353" s="127">
        <v>0</v>
      </c>
      <c r="DF353" s="127">
        <v>0</v>
      </c>
      <c r="DG353" s="127">
        <v>0</v>
      </c>
      <c r="DH353" s="127">
        <v>0</v>
      </c>
      <c r="DI353" s="127">
        <v>0</v>
      </c>
      <c r="DJ353" s="127">
        <v>0</v>
      </c>
      <c r="DK353" s="127">
        <v>0</v>
      </c>
      <c r="DL353" s="127">
        <v>0</v>
      </c>
      <c r="DM353" s="304">
        <f>INDEX(Input!$1:$1048576,DM$93,$C353*2+6)</f>
        <v>20731.578947368424</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3.3475599382975091E-2</v>
      </c>
      <c r="DZ353" s="7">
        <v>0</v>
      </c>
      <c r="EA353" s="7">
        <v>0.59194294410610471</v>
      </c>
      <c r="EB353" s="7">
        <v>0</v>
      </c>
      <c r="EC353" s="7">
        <v>0</v>
      </c>
      <c r="ED353" s="7">
        <v>0</v>
      </c>
      <c r="EE353" s="7">
        <v>0</v>
      </c>
      <c r="EF353" s="7">
        <v>0</v>
      </c>
      <c r="EG353" s="7">
        <v>0</v>
      </c>
      <c r="EH353" s="7">
        <v>7.2860459575040271E-3</v>
      </c>
      <c r="EI353" s="7">
        <v>9.2371797817069317E-3</v>
      </c>
      <c r="EJ353" s="7">
        <v>0.13274163353536481</v>
      </c>
      <c r="EK353" s="7">
        <v>0.82445069238458779</v>
      </c>
      <c r="EL353" s="7">
        <v>2.6284448340836507E-2</v>
      </c>
      <c r="EM353" s="7">
        <v>9.1635883448241931E-2</v>
      </c>
      <c r="EN353" s="7">
        <v>5.7659778106774813E-2</v>
      </c>
      <c r="EO353" s="7">
        <v>0.56931800922069564</v>
      </c>
      <c r="EP353" s="7">
        <v>0.27223179348574278</v>
      </c>
      <c r="EQ353" s="7">
        <v>5.9840818106432832E-2</v>
      </c>
      <c r="ER353" s="7">
        <v>4.0949601080353955E-2</v>
      </c>
      <c r="ES353" s="7">
        <v>0.28294557306267826</v>
      </c>
      <c r="ET353" s="7">
        <v>0.37458145651092023</v>
      </c>
      <c r="EU353" s="6">
        <v>1600</v>
      </c>
      <c r="EV353" s="6">
        <v>0</v>
      </c>
      <c r="EW353" s="6">
        <v>1600</v>
      </c>
      <c r="EX353" s="6">
        <v>0</v>
      </c>
      <c r="EY353" s="6">
        <v>3343.677194703183</v>
      </c>
      <c r="EZ353" s="6">
        <v>3276</v>
      </c>
      <c r="FA353" s="6">
        <v>0</v>
      </c>
      <c r="FB353" s="6">
        <v>0</v>
      </c>
      <c r="FC353" s="6">
        <v>0</v>
      </c>
      <c r="FD353" s="6">
        <v>0</v>
      </c>
      <c r="FE353" s="6">
        <v>0</v>
      </c>
      <c r="FF353" s="6">
        <v>0</v>
      </c>
      <c r="FG353" s="6">
        <v>0</v>
      </c>
      <c r="FH353" s="6">
        <v>1154.3276521939877</v>
      </c>
      <c r="FI353" s="6">
        <v>1531.4299904380618</v>
      </c>
      <c r="FJ353" s="6">
        <v>2070.7205842538219</v>
      </c>
      <c r="FK353" s="6">
        <v>2635.3956133202914</v>
      </c>
      <c r="FL353" s="6">
        <v>893.91433563489363</v>
      </c>
      <c r="FM353" s="6">
        <v>2493.677194703183</v>
      </c>
      <c r="FN353" s="6">
        <v>0</v>
      </c>
      <c r="FO353" s="6">
        <v>0</v>
      </c>
      <c r="FP353" s="6">
        <v>0</v>
      </c>
      <c r="FQ353" s="6">
        <v>0</v>
      </c>
      <c r="FR353" s="6">
        <v>0</v>
      </c>
      <c r="FS353" s="6">
        <v>0</v>
      </c>
      <c r="FT353" s="7">
        <v>0.62541854348907977</v>
      </c>
      <c r="FU353" s="7">
        <v>9.1635883448241931E-2</v>
      </c>
      <c r="FV353" s="7">
        <v>0.28294557306267826</v>
      </c>
      <c r="FW353" s="6">
        <v>1600</v>
      </c>
      <c r="FX353" s="6">
        <v>3343.6771947031834</v>
      </c>
      <c r="FY353" s="6">
        <v>3276</v>
      </c>
      <c r="FZ353" s="6">
        <v>2202.331475193394</v>
      </c>
      <c r="GA353" s="6">
        <v>2234.000180638227</v>
      </c>
      <c r="GB353" s="6">
        <v>17460.999819361772</v>
      </c>
      <c r="GC353" s="7">
        <v>4.8391397220736806E-2</v>
      </c>
      <c r="GD353" s="7">
        <v>4.8992908898366661E-2</v>
      </c>
      <c r="GE353" s="7"/>
      <c r="GF353" s="7"/>
      <c r="GG353" s="7">
        <v>1.243013659816569E-2</v>
      </c>
      <c r="GH353" s="42">
        <v>7.730393044557375</v>
      </c>
      <c r="GI353" s="6">
        <v>4781.7360960670594</v>
      </c>
      <c r="GJ353" s="14">
        <v>0.51074630601039561</v>
      </c>
      <c r="GK353" s="14">
        <v>0.5082951978616097</v>
      </c>
      <c r="GL353" s="14">
        <v>0.48925369398960444</v>
      </c>
      <c r="GM353" s="14">
        <v>0.49170480213839041</v>
      </c>
      <c r="GO353" s="5">
        <v>338.16872463277008</v>
      </c>
      <c r="GP353" s="5">
        <v>307.64377699166363</v>
      </c>
      <c r="GQ353" s="5">
        <v>527.27910984145694</v>
      </c>
      <c r="GR353" s="5">
        <v>404.20319246551543</v>
      </c>
      <c r="GS353" s="5">
        <v>334.50205195691484</v>
      </c>
      <c r="GT353" s="5">
        <v>289.18266033348181</v>
      </c>
      <c r="GU353" s="5">
        <v>254.29573314828914</v>
      </c>
      <c r="GV353" s="39" t="s">
        <v>392</v>
      </c>
      <c r="GW353" s="5">
        <v>468.76388888888891</v>
      </c>
      <c r="GX353" s="5">
        <v>351.57291666666669</v>
      </c>
      <c r="GY353" s="5">
        <v>281.25833333333333</v>
      </c>
      <c r="GZ353" s="5">
        <v>234.38194444444446</v>
      </c>
      <c r="HA353" s="5">
        <v>229.8919505212948</v>
      </c>
      <c r="HB353" s="39">
        <v>243.27660756451198</v>
      </c>
      <c r="HC353" s="5">
        <v>139.79062499999998</v>
      </c>
      <c r="HD353" s="5">
        <v>138.50060307017537</v>
      </c>
      <c r="HE353" s="5">
        <v>146.64128289473683</v>
      </c>
      <c r="HF353" s="5">
        <v>141.94567434210524</v>
      </c>
      <c r="HG353" s="5">
        <v>144.78493421052633</v>
      </c>
      <c r="HH353" s="39">
        <v>141.25463405383698</v>
      </c>
      <c r="HI353" s="16"/>
      <c r="HJ353" s="19" t="str">
        <f t="shared" si="1122"/>
        <v>On</v>
      </c>
      <c r="HK353" s="1" t="str">
        <f t="shared" si="1122"/>
        <v>On</v>
      </c>
      <c r="HL353" s="16"/>
      <c r="HM353" s="639">
        <f t="shared" si="1004"/>
        <v>2.8970655363290673E-2</v>
      </c>
      <c r="HN353" s="639">
        <f t="shared" si="1005"/>
        <v>2.1835179285533651E-3</v>
      </c>
      <c r="HO353" s="639">
        <f t="shared" si="1006"/>
        <v>1.5544129749146325E-2</v>
      </c>
      <c r="HP353" s="644">
        <f>(FT353*$GD353-HM353)/$JF353*INDEX(Input!$1:$1048576,$JG$93,$C353*2+6)</f>
        <v>68.893847403486348</v>
      </c>
      <c r="HQ353" s="644">
        <f>(FU353*$GD353-HN353)/$JF353*INDEX(Input!$1:$1048576,$JG$93,$C353*2+6)</f>
        <v>95.10704953624105</v>
      </c>
      <c r="HR353" s="644">
        <f>(FV353*$GD353-HO353)/$JF353*INDEX(Input!$1:$1048576,$JG$93,$C353*2+6)</f>
        <v>-69.363392073061959</v>
      </c>
      <c r="HS353" s="644">
        <f t="shared" si="1116"/>
        <v>-28.820739953039379</v>
      </c>
      <c r="HT353" s="644">
        <f t="shared" si="1008"/>
        <v>157.43770807413145</v>
      </c>
      <c r="HU353" s="644">
        <f t="shared" si="1009"/>
        <v>-10.475489134878693</v>
      </c>
      <c r="HV353" s="648">
        <f t="shared" si="1010"/>
        <v>0</v>
      </c>
      <c r="HW353" s="648">
        <f t="shared" si="1011"/>
        <v>0</v>
      </c>
      <c r="HX353" s="648">
        <f t="shared" si="1012"/>
        <v>0</v>
      </c>
      <c r="HY353" s="644">
        <f>INDEX(Input!$1:$1048576,HY$93,$C353*2+6)*INDEX(Input!$1:$1048576,$JG$93,$C353*2+6)</f>
        <v>488.99999999999994</v>
      </c>
      <c r="HZ353" s="644">
        <f>INDEX(Input!$1:$1048576,HZ$93,$C353*2+6)*INDEX(Input!$1:$1048576,$JG$93,$C353*2+6)</f>
        <v>734</v>
      </c>
      <c r="IA353" s="644">
        <f>INDEX(Input!$1:$1048576,IA$93,$C353*2+6)*INDEX(Input!$1:$1048576,$JG$93,$C353*2+6)</f>
        <v>703</v>
      </c>
      <c r="IB353" s="644">
        <f t="shared" si="1036"/>
        <v>529.07310745044697</v>
      </c>
      <c r="IC353" s="644">
        <f t="shared" si="1037"/>
        <v>986.54475761037247</v>
      </c>
      <c r="ID353" s="644">
        <f>IF(AND(INDEX(Input!$1:$1048576,IA$93,$C353*2+7)="TOS",Y353&lt;=INDEX(Y:Y,MATCH(C353*1000+2,A:A))),0,1)*MAX(IA353+HR353+HU353+HX353,0%)</f>
        <v>623.16111879205937</v>
      </c>
      <c r="IE353" s="128">
        <f t="shared" si="1121"/>
        <v>0.2473715664146626</v>
      </c>
      <c r="IF353" s="128">
        <f t="shared" si="1108"/>
        <v>0.4612654065981015</v>
      </c>
      <c r="IG353" s="128">
        <f t="shared" si="1014"/>
        <v>0.29136302698723593</v>
      </c>
      <c r="IH353" s="21"/>
      <c r="II353" s="19">
        <f t="shared" si="1015"/>
        <v>1200</v>
      </c>
      <c r="IJ353" s="19">
        <f t="shared" si="1016"/>
        <v>2224.493581030405</v>
      </c>
      <c r="IK353" s="19">
        <f t="shared" si="1017"/>
        <v>3451.75</v>
      </c>
      <c r="IL353" s="19">
        <f t="shared" si="1039"/>
        <v>400</v>
      </c>
      <c r="IM353" s="19">
        <f t="shared" si="1018"/>
        <v>1119.1836136727784</v>
      </c>
      <c r="IN353" s="19">
        <f t="shared" si="1019"/>
        <v>-175.75</v>
      </c>
      <c r="IO353" s="39">
        <f t="shared" si="1020"/>
        <v>0</v>
      </c>
      <c r="IP353" s="39">
        <f t="shared" si="1021"/>
        <v>0</v>
      </c>
      <c r="IQ353" s="39">
        <f t="shared" si="1022"/>
        <v>0</v>
      </c>
      <c r="IR353" s="39">
        <v>0</v>
      </c>
      <c r="IS353" s="39">
        <v>0</v>
      </c>
      <c r="IT353" s="39">
        <v>0</v>
      </c>
      <c r="IU353" s="39">
        <v>0</v>
      </c>
      <c r="IV353" s="39">
        <v>0</v>
      </c>
      <c r="IW353" s="39">
        <v>0</v>
      </c>
      <c r="IX353" s="39">
        <f>INDEX(Input!$1:$1048576,IX$93,$C353*2+6)+INDEX(Input!$1:$1048576,IX$94,$C353*2+6)</f>
        <v>1600</v>
      </c>
      <c r="IY353" s="39">
        <f>INDEX(Input!$1:$1048576,IY$93,$C353*2+6)+INDEX(Input!$1:$1048576,IY$94,$C353*2+6)</f>
        <v>2503.5492916397525</v>
      </c>
      <c r="IZ353" s="39">
        <f>INDEX(Input!$1:$1048576,IZ$93,$C353*2+6)+INDEX(Input!$1:$1048576,IZ$94,$C353*2+6)</f>
        <v>5773.7109265464023</v>
      </c>
      <c r="JA353" s="19">
        <f t="shared" si="1040"/>
        <v>2000</v>
      </c>
      <c r="JB353" s="19">
        <f t="shared" si="1041"/>
        <v>3622.7329053125309</v>
      </c>
      <c r="JC353" s="19">
        <f t="shared" si="1042"/>
        <v>5597.9609265464023</v>
      </c>
      <c r="JD353" s="19">
        <f t="shared" si="1043"/>
        <v>3796.8233399094634</v>
      </c>
      <c r="JE353" s="21"/>
      <c r="JF353" s="1">
        <f t="shared" si="1023"/>
        <v>4.6698303040990354E-2</v>
      </c>
      <c r="JG353" s="15">
        <f>INDEX(Input!$1:$1048576,JG$93,$C353*2+6)/(1+VLOOKUP(C353*1000+INDEX(Input!$1:$1048576,JG$93+1,$C353*2+6),$A:$KK,$JK$92,FALSE))</f>
        <v>1926</v>
      </c>
      <c r="JH353" s="1">
        <f t="shared" si="1044"/>
        <v>4.9136814572515806E-2</v>
      </c>
      <c r="JI353" s="1">
        <f t="shared" si="1045"/>
        <v>6.1340331768542769E-2</v>
      </c>
      <c r="JJ353" s="1">
        <f t="shared" si="1109"/>
        <v>0</v>
      </c>
      <c r="JK353" s="1">
        <f t="shared" si="1110"/>
        <v>0.11047714634105857</v>
      </c>
      <c r="JL353" s="15">
        <f t="shared" si="1048"/>
        <v>212.77898385287881</v>
      </c>
      <c r="JM353" s="15">
        <f t="shared" si="1074"/>
        <v>2138.7789838528788</v>
      </c>
      <c r="JN353" s="21"/>
      <c r="JO353" s="19">
        <f>INDEX(Input!$1:$1048576,JO$93,$C353*2+6)</f>
        <v>5908.5</v>
      </c>
      <c r="JP353" s="19">
        <f>INDEX(Input!$1:$1048576,JP$93,$C353*2+6)</f>
        <v>3467.7694503767912</v>
      </c>
      <c r="JQ353" s="39">
        <f t="shared" si="1060"/>
        <v>2111.6766600905366</v>
      </c>
      <c r="JR353" s="39">
        <f t="shared" si="1077"/>
        <v>329.0538895326722</v>
      </c>
      <c r="JS353" s="39">
        <f t="shared" si="1062"/>
        <v>8.1205659648004556</v>
      </c>
      <c r="JT353" s="39">
        <f t="shared" si="1050"/>
        <v>1.4416420033747555</v>
      </c>
      <c r="JU353" s="385">
        <f>(JQ353*JM353-INDEX(Input!$1:$1048576,Input!A$18,$C353*2+6)*JL353*INDEX(Input!$1:$1048576,Input!A$19,$C353*2+6))/1000000</f>
        <v>4.5164096612942783</v>
      </c>
      <c r="JV353" s="39">
        <f t="shared" si="1084"/>
        <v>-0.18443737728002141</v>
      </c>
      <c r="JW353" s="1">
        <f t="shared" si="1075"/>
        <v>-3.9234924209735324E-2</v>
      </c>
      <c r="JX353" s="19">
        <f t="shared" si="1066"/>
        <v>6775.3026039993965</v>
      </c>
      <c r="JZ353" s="341"/>
      <c r="KA353" s="342"/>
      <c r="KB353" s="469">
        <f t="shared" si="1063"/>
        <v>2.7822247002359868</v>
      </c>
      <c r="KI353" s="473">
        <f t="shared" si="1118"/>
        <v>40.073107450447026</v>
      </c>
      <c r="KJ353" s="473">
        <f t="shared" si="1119"/>
        <v>252.54475761037247</v>
      </c>
      <c r="KK353" s="473">
        <f t="shared" si="1052"/>
        <v>-79.838881207940631</v>
      </c>
      <c r="KN353" s="544">
        <f t="shared" si="1067"/>
        <v>3002</v>
      </c>
      <c r="KO353" s="541">
        <f t="shared" si="1027"/>
        <v>3.8204883885209373E-2</v>
      </c>
      <c r="KP353" s="546">
        <f t="shared" si="1028"/>
        <v>226.79792084843197</v>
      </c>
      <c r="KQ353" s="546">
        <f t="shared" si="1029"/>
        <v>75.742121584090455</v>
      </c>
      <c r="KR353" s="548">
        <f t="shared" si="1030"/>
        <v>2.6908611417716339</v>
      </c>
      <c r="KS353" s="548">
        <f t="shared" si="1031"/>
        <v>8.0573622639827569</v>
      </c>
      <c r="KT353" s="473">
        <f t="shared" si="1065"/>
        <v>527.01264777847621</v>
      </c>
      <c r="KU353" s="663">
        <f t="shared" si="1053"/>
        <v>15.864196779038371</v>
      </c>
      <c r="KV353" s="117"/>
    </row>
    <row r="354" spans="1:308" s="26" customFormat="1" ht="15" outlineLevel="1">
      <c r="A354" s="561">
        <f t="shared" si="1032"/>
        <v>3054</v>
      </c>
      <c r="B354" s="561">
        <f t="shared" si="1054"/>
        <v>54</v>
      </c>
      <c r="C354" s="561">
        <f t="shared" si="1055"/>
        <v>3</v>
      </c>
      <c r="D354" s="561" t="str">
        <f t="shared" si="1123"/>
        <v xml:space="preserve">0/0/0/3.9, -360 Lease, </v>
      </c>
      <c r="E354" s="475">
        <f>INDEX(Input!$1:$1048576,E$93,$C354*2+MIN($B354,2)+5)
+INDEX(Scenarios!E$121:E$200,MATCH($B354,Scenarios!$B$121:$B$200,0))</f>
        <v>1250</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63">
        <f>IFERROR(MAX(0,INDEX(Input!$1:$1048576,W$93,$C354*2+MIN($B354,2)+5)-0%,),"Market")</f>
        <v>3.9000000000000007E-2</v>
      </c>
      <c r="X354" s="476" t="str">
        <f>INDEX(Input!$1:$1048576,X$93,$C354*2+MIN($B354,2)+5)</f>
        <v>Y</v>
      </c>
      <c r="Y354" s="475">
        <f>INDEX(Input!$1:$1048576,Y$93,$C354*2+MIN($B354,2)+5)
++INDEX(Scenarios!Y$121:Y$200,MATCH($B354,Scenarios!$B$121:$B$200,0))</f>
        <v>3748</v>
      </c>
      <c r="Z354" s="477">
        <f>INDEX(Input!$1:$1048576,Z$93,$C354*2+MIN($B354,2)+5)
+INDEX(Scenarios!Z$121:Z$200,MATCH($B354,Scenarios!$B$121:$B$200,0))</f>
        <v>0</v>
      </c>
      <c r="AA354" s="475">
        <f>INDEX(Input!$1:$1048576,AA$93,$C354*2+MIN($B354,2)+5)</f>
        <v>500</v>
      </c>
      <c r="AB354" s="476">
        <f>INDEX(Input!$1:$1048576,AB$93,$C354*2+MIN($B354,2)+5)</f>
        <v>0.62</v>
      </c>
      <c r="AC354" s="475">
        <f>INDEX(Input!$1:$1048576,AC$93,$C354*2+MIN($B354,2)+5)
+INDEX(Scenarios!AC$121:AC$200,MATCH($B354,Scenarios!$B$121:$B$200,0))</f>
        <v>0</v>
      </c>
      <c r="AD354" s="476">
        <f>INDEX(Input!$1:$1048576,AD$93,$C354*2+MIN($B354,2)+5)</f>
        <v>0.35</v>
      </c>
      <c r="AE354" s="475">
        <f>INDEX(Input!$1:$1048576,AE$93,$C354*2+MIN($B354,2)+5)
+INDEX(Scenarios!AE$121:AE$200,MATCH($B354,Scenarios!$B$121:$B$200,0))</f>
        <v>500</v>
      </c>
      <c r="AF354" s="476">
        <f>INDEX(Input!$1:$1048576,AF$93,$C354*2+MIN($B354,2)+5)</f>
        <v>0.97</v>
      </c>
      <c r="AG354" s="475">
        <f>INDEX(Input!$1:$1048576,AG$93,$C354*2+MIN($B354,2)+5)
+INDEX(Scenarios!AG$121:AG$200,MATCH($B354,Scenarios!$B$121:$B$200,0))</f>
        <v>0</v>
      </c>
      <c r="AH354" s="476">
        <f>INDEX(Input!$1:$1048576,AH$93,$C354*2+MIN($B354,2)+5)</f>
        <v>1</v>
      </c>
      <c r="AI354" s="475">
        <f>INDEX(Input!$1:$1048576,AI$93,$C354*2+MIN($B354,2)+5)
+INDEX(Scenarios!AI$121:AI$200,MATCH($B354,Scenarios!$B$121:$B$200,0))</f>
        <v>0</v>
      </c>
      <c r="AJ354" s="476">
        <f>INDEX(Input!$1:$1048576,AJ$93,$C354*2+MIN($B354,2)+5)</f>
        <v>0.35</v>
      </c>
      <c r="AK354" s="150">
        <f>ROUND(INDEX(Input!$1:$1048576,AK$93,$C353*2+MIN($B354,1)+5)+(Y354-VLOOKUP($C354*1000+1,$A:$HH,Y$92,FALSE)),0)</f>
        <v>4622</v>
      </c>
      <c r="AL354" s="150">
        <f>ROUND(INDEX(Input!$1:$1048576,AL$93,$C353*2+MIN($B354,1)+5)-(Y354-VLOOKUP($C354*1000+1,$A:$HH,Y$92,FALSE))/36,0)</f>
        <v>5112</v>
      </c>
      <c r="AM354" s="32" t="str">
        <f t="shared" si="1033"/>
        <v>std/std/std/std</v>
      </c>
      <c r="AN354" s="32" t="str">
        <f t="shared" si="1034"/>
        <v>$0 + 0/0/0/0/3.9</v>
      </c>
      <c r="AO354" s="32" t="str">
        <f t="shared" si="1035"/>
        <v>0/0/0/0/3.9</v>
      </c>
      <c r="AP354" s="32" t="str">
        <f t="shared" si="989"/>
        <v>0/0/0/3.9</v>
      </c>
      <c r="AQ354" s="536">
        <f t="shared" si="988"/>
        <v>485.24737156641464</v>
      </c>
      <c r="AR354" s="32"/>
      <c r="AS354" s="302"/>
      <c r="AT354" s="3">
        <f t="shared" si="1056"/>
        <v>54</v>
      </c>
      <c r="AU354" s="41" t="s">
        <v>121</v>
      </c>
      <c r="AV354" s="41" t="s">
        <v>116</v>
      </c>
      <c r="AW354" s="41" t="str">
        <f>INDEX(Input!$1:$1048576,AW$93,$C354*2+6)</f>
        <v>Kia</v>
      </c>
      <c r="AX354" s="41" t="str">
        <f>INDEX(Input!$1:$1048576,AX$93,$C354*2+6)</f>
        <v>Kia-LR - L3</v>
      </c>
      <c r="AY354" s="41" t="str">
        <f>IF(LEN(D354)=0,"",INDEX(Input!$1:$1048576,AY$93,$C354*2+6))</f>
        <v>Compact Conventional/Sporty Car (43)</v>
      </c>
      <c r="AZ354" s="41" t="str">
        <f>INDEX(Input!$1:$1048576,AZ$93,$C354*2+6)</f>
        <v>Kia Forte</v>
      </c>
      <c r="BA354" s="3">
        <f>INDEX(Input!$1:$1048576,BA$93,$C354*2+6)</f>
        <v>2020</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19695</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990"/>
        <v>1250</v>
      </c>
      <c r="CJ354" s="16" t="str">
        <f>INDEX(Input!$1:$1048576,CJ$93,$C354*2+6)</f>
        <v>N</v>
      </c>
      <c r="CK354" s="1" t="str">
        <f t="shared" si="991"/>
        <v>Market</v>
      </c>
      <c r="CL354" s="1" t="str">
        <f t="shared" si="992"/>
        <v>Market</v>
      </c>
      <c r="CM354" s="1" t="str">
        <f t="shared" si="993"/>
        <v>Market</v>
      </c>
      <c r="CN354" s="1" t="str">
        <f t="shared" si="994"/>
        <v>Market</v>
      </c>
      <c r="CO354" s="1" t="str">
        <f t="shared" si="995"/>
        <v>Market</v>
      </c>
      <c r="CP354" s="304">
        <f t="shared" si="996"/>
        <v>310</v>
      </c>
      <c r="CQ354" s="1">
        <f t="shared" si="997"/>
        <v>0</v>
      </c>
      <c r="CR354" s="1">
        <f t="shared" si="998"/>
        <v>0</v>
      </c>
      <c r="CS354" s="1">
        <f t="shared" si="999"/>
        <v>0</v>
      </c>
      <c r="CT354" s="1">
        <f t="shared" si="1000"/>
        <v>0</v>
      </c>
      <c r="CU354" s="1">
        <f t="shared" si="1001"/>
        <v>3.9000000000000007E-2</v>
      </c>
      <c r="CV354" s="304">
        <f t="shared" si="1002"/>
        <v>4233</v>
      </c>
      <c r="CW354" s="20" t="s">
        <v>122</v>
      </c>
      <c r="CX354" s="20" t="s">
        <v>122</v>
      </c>
      <c r="CY354" s="20" t="s">
        <v>122</v>
      </c>
      <c r="CZ354" s="20" t="s">
        <v>122</v>
      </c>
      <c r="DA354" s="20" t="s">
        <v>122</v>
      </c>
      <c r="DB354" s="503">
        <f t="shared" si="1003"/>
        <v>0</v>
      </c>
      <c r="DC354" s="127">
        <v>0</v>
      </c>
      <c r="DD354" s="127">
        <v>0</v>
      </c>
      <c r="DE354" s="127">
        <v>0</v>
      </c>
      <c r="DF354" s="127">
        <v>0</v>
      </c>
      <c r="DG354" s="127">
        <v>0</v>
      </c>
      <c r="DH354" s="127">
        <v>0</v>
      </c>
      <c r="DI354" s="127">
        <v>0</v>
      </c>
      <c r="DJ354" s="127">
        <v>0</v>
      </c>
      <c r="DK354" s="127">
        <v>0</v>
      </c>
      <c r="DL354" s="127">
        <v>0</v>
      </c>
      <c r="DM354" s="304">
        <f>INDEX(Input!$1:$1048576,DM$93,$C354*2+6)</f>
        <v>20731.578947368424</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3.3475599382975091E-2</v>
      </c>
      <c r="DZ354" s="7">
        <v>0</v>
      </c>
      <c r="EA354" s="7">
        <v>0.59194294410610471</v>
      </c>
      <c r="EB354" s="7">
        <v>0</v>
      </c>
      <c r="EC354" s="7">
        <v>0</v>
      </c>
      <c r="ED354" s="7">
        <v>0</v>
      </c>
      <c r="EE354" s="7">
        <v>0</v>
      </c>
      <c r="EF354" s="7">
        <v>0</v>
      </c>
      <c r="EG354" s="7">
        <v>0</v>
      </c>
      <c r="EH354" s="7">
        <v>7.2860459575040271E-3</v>
      </c>
      <c r="EI354" s="7">
        <v>9.2371797817069317E-3</v>
      </c>
      <c r="EJ354" s="7">
        <v>0.13274163353536481</v>
      </c>
      <c r="EK354" s="7">
        <v>0.82445069238458779</v>
      </c>
      <c r="EL354" s="7">
        <v>2.6284448340836507E-2</v>
      </c>
      <c r="EM354" s="7">
        <v>9.1635883448241931E-2</v>
      </c>
      <c r="EN354" s="7">
        <v>5.7659778106774813E-2</v>
      </c>
      <c r="EO354" s="7">
        <v>0.56931800922069564</v>
      </c>
      <c r="EP354" s="7">
        <v>0.27223179348574278</v>
      </c>
      <c r="EQ354" s="7">
        <v>5.9840818106432832E-2</v>
      </c>
      <c r="ER354" s="7">
        <v>4.0949601080353955E-2</v>
      </c>
      <c r="ES354" s="7">
        <v>0.28294557306267826</v>
      </c>
      <c r="ET354" s="7">
        <v>0.37458145651092023</v>
      </c>
      <c r="EU354" s="6">
        <v>1600</v>
      </c>
      <c r="EV354" s="6">
        <v>0</v>
      </c>
      <c r="EW354" s="6">
        <v>1600</v>
      </c>
      <c r="EX354" s="6">
        <v>0</v>
      </c>
      <c r="EY354" s="6">
        <v>3343.677194703183</v>
      </c>
      <c r="EZ354" s="6">
        <v>3276</v>
      </c>
      <c r="FA354" s="6">
        <v>0</v>
      </c>
      <c r="FB354" s="6">
        <v>0</v>
      </c>
      <c r="FC354" s="6">
        <v>0</v>
      </c>
      <c r="FD354" s="6">
        <v>0</v>
      </c>
      <c r="FE354" s="6">
        <v>0</v>
      </c>
      <c r="FF354" s="6">
        <v>0</v>
      </c>
      <c r="FG354" s="6">
        <v>0</v>
      </c>
      <c r="FH354" s="6">
        <v>1154.3276521939877</v>
      </c>
      <c r="FI354" s="6">
        <v>1531.4299904380618</v>
      </c>
      <c r="FJ354" s="6">
        <v>2070.7205842538219</v>
      </c>
      <c r="FK354" s="6">
        <v>2635.3956133202914</v>
      </c>
      <c r="FL354" s="6">
        <v>893.91433563489363</v>
      </c>
      <c r="FM354" s="6">
        <v>2493.677194703183</v>
      </c>
      <c r="FN354" s="6">
        <v>0</v>
      </c>
      <c r="FO354" s="6">
        <v>0</v>
      </c>
      <c r="FP354" s="6">
        <v>0</v>
      </c>
      <c r="FQ354" s="6">
        <v>0</v>
      </c>
      <c r="FR354" s="6">
        <v>0</v>
      </c>
      <c r="FS354" s="6">
        <v>0</v>
      </c>
      <c r="FT354" s="7">
        <v>0.62541854348907977</v>
      </c>
      <c r="FU354" s="7">
        <v>9.1635883448241931E-2</v>
      </c>
      <c r="FV354" s="7">
        <v>0.28294557306267826</v>
      </c>
      <c r="FW354" s="6">
        <v>1600</v>
      </c>
      <c r="FX354" s="6">
        <v>3343.6771947031834</v>
      </c>
      <c r="FY354" s="6">
        <v>3276</v>
      </c>
      <c r="FZ354" s="6">
        <v>2202.331475193394</v>
      </c>
      <c r="GA354" s="6">
        <v>2234.000180638227</v>
      </c>
      <c r="GB354" s="6">
        <v>17460.999819361772</v>
      </c>
      <c r="GC354" s="7">
        <v>4.8391397220736806E-2</v>
      </c>
      <c r="GD354" s="7">
        <v>4.8992908898366661E-2</v>
      </c>
      <c r="GE354" s="7"/>
      <c r="GF354" s="7"/>
      <c r="GG354" s="7">
        <v>1.243013659816569E-2</v>
      </c>
      <c r="GH354" s="42">
        <v>7.730393044557375</v>
      </c>
      <c r="GI354" s="6">
        <v>4781.7360960670594</v>
      </c>
      <c r="GJ354" s="14">
        <v>0.51074630601039561</v>
      </c>
      <c r="GK354" s="14">
        <v>0.5082951978616097</v>
      </c>
      <c r="GL354" s="14">
        <v>0.48925369398960444</v>
      </c>
      <c r="GM354" s="14">
        <v>0.49170480213839041</v>
      </c>
      <c r="GO354" s="5">
        <v>338.16872463277008</v>
      </c>
      <c r="GP354" s="5">
        <v>307.64377699166363</v>
      </c>
      <c r="GQ354" s="5">
        <v>527.27910984145694</v>
      </c>
      <c r="GR354" s="5">
        <v>404.20319246551543</v>
      </c>
      <c r="GS354" s="5">
        <v>334.50205195691484</v>
      </c>
      <c r="GT354" s="5">
        <v>289.18266033348181</v>
      </c>
      <c r="GU354" s="5">
        <v>254.29573314828914</v>
      </c>
      <c r="GV354" s="39" t="s">
        <v>392</v>
      </c>
      <c r="GW354" s="5">
        <v>468.76388888888891</v>
      </c>
      <c r="GX354" s="5">
        <v>351.57291666666669</v>
      </c>
      <c r="GY354" s="5">
        <v>281.25833333333333</v>
      </c>
      <c r="GZ354" s="5">
        <v>234.38194444444446</v>
      </c>
      <c r="HA354" s="5">
        <v>229.8919505212948</v>
      </c>
      <c r="HB354" s="39">
        <v>243.27660756451198</v>
      </c>
      <c r="HC354" s="5">
        <v>139.79062499999998</v>
      </c>
      <c r="HD354" s="5">
        <v>138.50060307017537</v>
      </c>
      <c r="HE354" s="5">
        <v>146.64128289473683</v>
      </c>
      <c r="HF354" s="5">
        <v>141.94567434210524</v>
      </c>
      <c r="HG354" s="5">
        <v>144.78493421052633</v>
      </c>
      <c r="HH354" s="39">
        <v>141.25463405383698</v>
      </c>
      <c r="HI354" s="16"/>
      <c r="HJ354" s="19" t="str">
        <f t="shared" si="1122"/>
        <v>On</v>
      </c>
      <c r="HK354" s="1" t="str">
        <f t="shared" si="1122"/>
        <v>On</v>
      </c>
      <c r="HL354" s="16"/>
      <c r="HM354" s="639">
        <f t="shared" si="1004"/>
        <v>2.8970655363290673E-2</v>
      </c>
      <c r="HN354" s="639">
        <f t="shared" si="1005"/>
        <v>2.1835179285533651E-3</v>
      </c>
      <c r="HO354" s="639">
        <f t="shared" si="1006"/>
        <v>1.5544129749146325E-2</v>
      </c>
      <c r="HP354" s="644">
        <f>(FT354*$GD354-HM354)/$JF354*INDEX(Input!$1:$1048576,$JG$93,$C354*2+6)</f>
        <v>68.893847403486348</v>
      </c>
      <c r="HQ354" s="644">
        <f>(FU354*$GD354-HN354)/$JF354*INDEX(Input!$1:$1048576,$JG$93,$C354*2+6)</f>
        <v>95.10704953624105</v>
      </c>
      <c r="HR354" s="644">
        <f>(FV354*$GD354-HO354)/$JF354*INDEX(Input!$1:$1048576,$JG$93,$C354*2+6)</f>
        <v>-69.363392073061959</v>
      </c>
      <c r="HS354" s="644">
        <f t="shared" si="1116"/>
        <v>-28.820739953039379</v>
      </c>
      <c r="HT354" s="644">
        <f t="shared" si="1008"/>
        <v>157.43770807413145</v>
      </c>
      <c r="HU354" s="644">
        <f t="shared" si="1009"/>
        <v>-10.475489134878693</v>
      </c>
      <c r="HV354" s="648">
        <f t="shared" si="1010"/>
        <v>0</v>
      </c>
      <c r="HW354" s="648">
        <f t="shared" si="1011"/>
        <v>0</v>
      </c>
      <c r="HX354" s="648">
        <f t="shared" si="1012"/>
        <v>0</v>
      </c>
      <c r="HY354" s="644">
        <f>INDEX(Input!$1:$1048576,HY$93,$C354*2+6)*INDEX(Input!$1:$1048576,$JG$93,$C354*2+6)</f>
        <v>488.99999999999994</v>
      </c>
      <c r="HZ354" s="644">
        <f>INDEX(Input!$1:$1048576,HZ$93,$C354*2+6)*INDEX(Input!$1:$1048576,$JG$93,$C354*2+6)</f>
        <v>734</v>
      </c>
      <c r="IA354" s="644">
        <f>INDEX(Input!$1:$1048576,IA$93,$C354*2+6)*INDEX(Input!$1:$1048576,$JG$93,$C354*2+6)</f>
        <v>703</v>
      </c>
      <c r="IB354" s="644">
        <f t="shared" si="1036"/>
        <v>529.07310745044697</v>
      </c>
      <c r="IC354" s="644">
        <f t="shared" si="1037"/>
        <v>986.54475761037247</v>
      </c>
      <c r="ID354" s="644">
        <f>IF(AND(INDEX(Input!$1:$1048576,IA$93,$C354*2+7)="TOS",Y354&lt;=INDEX(Y:Y,MATCH(C354*1000+2,A:A))),0,1)*MAX(IA354+HR354+HU354+HX354,0%)</f>
        <v>623.16111879205937</v>
      </c>
      <c r="IE354" s="128">
        <f t="shared" si="1121"/>
        <v>0.2473715664146626</v>
      </c>
      <c r="IF354" s="128">
        <f t="shared" si="1108"/>
        <v>0.4612654065981015</v>
      </c>
      <c r="IG354" s="128">
        <f t="shared" si="1014"/>
        <v>0.29136302698723593</v>
      </c>
      <c r="IH354" s="21"/>
      <c r="II354" s="19">
        <f t="shared" si="1015"/>
        <v>1200</v>
      </c>
      <c r="IJ354" s="19">
        <f t="shared" si="1016"/>
        <v>2224.493581030405</v>
      </c>
      <c r="IK354" s="19">
        <f t="shared" si="1017"/>
        <v>3451.75</v>
      </c>
      <c r="IL354" s="19">
        <f t="shared" si="1039"/>
        <v>400</v>
      </c>
      <c r="IM354" s="19">
        <f t="shared" si="1018"/>
        <v>1119.1836136727784</v>
      </c>
      <c r="IN354" s="19">
        <f t="shared" si="1019"/>
        <v>-175.75</v>
      </c>
      <c r="IO354" s="39">
        <f t="shared" si="1020"/>
        <v>0</v>
      </c>
      <c r="IP354" s="39">
        <f t="shared" si="1021"/>
        <v>0</v>
      </c>
      <c r="IQ354" s="39">
        <f t="shared" si="1022"/>
        <v>0</v>
      </c>
      <c r="IR354" s="39">
        <v>0</v>
      </c>
      <c r="IS354" s="39">
        <v>0</v>
      </c>
      <c r="IT354" s="39">
        <v>0</v>
      </c>
      <c r="IU354" s="39">
        <v>0</v>
      </c>
      <c r="IV354" s="39">
        <v>0</v>
      </c>
      <c r="IW354" s="39">
        <v>0</v>
      </c>
      <c r="IX354" s="39">
        <f>INDEX(Input!$1:$1048576,IX$93,$C354*2+6)+INDEX(Input!$1:$1048576,IX$94,$C354*2+6)</f>
        <v>1600</v>
      </c>
      <c r="IY354" s="39">
        <f>INDEX(Input!$1:$1048576,IY$93,$C354*2+6)+INDEX(Input!$1:$1048576,IY$94,$C354*2+6)</f>
        <v>2503.5492916397525</v>
      </c>
      <c r="IZ354" s="39">
        <f>INDEX(Input!$1:$1048576,IZ$93,$C354*2+6)+INDEX(Input!$1:$1048576,IZ$94,$C354*2+6)</f>
        <v>5773.7109265464023</v>
      </c>
      <c r="JA354" s="19">
        <f t="shared" si="1040"/>
        <v>2000</v>
      </c>
      <c r="JB354" s="19">
        <f t="shared" si="1041"/>
        <v>3622.7329053125309</v>
      </c>
      <c r="JC354" s="19">
        <f t="shared" si="1042"/>
        <v>5597.9609265464023</v>
      </c>
      <c r="JD354" s="19">
        <f t="shared" si="1043"/>
        <v>3796.8233399094634</v>
      </c>
      <c r="JE354" s="21"/>
      <c r="JF354" s="1">
        <f t="shared" si="1023"/>
        <v>4.6698303040990354E-2</v>
      </c>
      <c r="JG354" s="15">
        <f>INDEX(Input!$1:$1048576,JG$93,$C354*2+6)/(1+VLOOKUP(C354*1000+INDEX(Input!$1:$1048576,JG$93+1,$C354*2+6),$A:$KK,$JK$92,FALSE))</f>
        <v>1926</v>
      </c>
      <c r="JH354" s="1">
        <f t="shared" si="1044"/>
        <v>4.9136814572515806E-2</v>
      </c>
      <c r="JI354" s="1">
        <f t="shared" si="1045"/>
        <v>6.1340331768542769E-2</v>
      </c>
      <c r="JJ354" s="1">
        <f t="shared" si="1109"/>
        <v>0</v>
      </c>
      <c r="JK354" s="1">
        <f t="shared" si="1110"/>
        <v>0.11047714634105857</v>
      </c>
      <c r="JL354" s="15">
        <f t="shared" si="1048"/>
        <v>212.77898385287881</v>
      </c>
      <c r="JM354" s="15">
        <f t="shared" si="1074"/>
        <v>2138.7789838528788</v>
      </c>
      <c r="JN354" s="21"/>
      <c r="JO354" s="19">
        <f>INDEX(Input!$1:$1048576,JO$93,$C354*2+6)</f>
        <v>5908.5</v>
      </c>
      <c r="JP354" s="19">
        <f>INDEX(Input!$1:$1048576,JP$93,$C354*2+6)</f>
        <v>3467.7694503767912</v>
      </c>
      <c r="JQ354" s="39">
        <f t="shared" si="1060"/>
        <v>2111.6766600905366</v>
      </c>
      <c r="JR354" s="39">
        <f t="shared" si="1077"/>
        <v>329.0538895326722</v>
      </c>
      <c r="JS354" s="39">
        <f t="shared" si="1062"/>
        <v>8.1205659648004556</v>
      </c>
      <c r="JT354" s="39">
        <f t="shared" si="1050"/>
        <v>1.4416420033747555</v>
      </c>
      <c r="JU354" s="385">
        <f>(JQ354*JM354-INDEX(Input!$1:$1048576,Input!A$18,$C354*2+6)*JL354*INDEX(Input!$1:$1048576,Input!A$19,$C354*2+6))/1000000</f>
        <v>4.5164096612942783</v>
      </c>
      <c r="JV354" s="39">
        <f t="shared" si="1084"/>
        <v>-0.18443737728002141</v>
      </c>
      <c r="JW354" s="1">
        <f t="shared" si="1075"/>
        <v>-3.9234924209735324E-2</v>
      </c>
      <c r="JX354" s="19">
        <f t="shared" si="1066"/>
        <v>6775.3026039993965</v>
      </c>
      <c r="JZ354" s="341"/>
      <c r="KA354" s="342"/>
      <c r="KB354" s="469">
        <f t="shared" si="1063"/>
        <v>2.7822247002359868</v>
      </c>
      <c r="KI354" s="473">
        <f t="shared" si="1118"/>
        <v>40.073107450447026</v>
      </c>
      <c r="KJ354" s="473">
        <f t="shared" si="1119"/>
        <v>252.54475761037247</v>
      </c>
      <c r="KK354" s="473">
        <f t="shared" si="1052"/>
        <v>-79.838881207940631</v>
      </c>
      <c r="KN354" s="544">
        <f t="shared" si="1067"/>
        <v>3002</v>
      </c>
      <c r="KO354" s="541">
        <f t="shared" si="1027"/>
        <v>3.8204883885209373E-2</v>
      </c>
      <c r="KP354" s="546">
        <f t="shared" si="1028"/>
        <v>226.79792084843197</v>
      </c>
      <c r="KQ354" s="546">
        <f t="shared" si="1029"/>
        <v>75.742121584090455</v>
      </c>
      <c r="KR354" s="548">
        <f t="shared" si="1030"/>
        <v>2.6908611417716339</v>
      </c>
      <c r="KS354" s="548">
        <f t="shared" si="1031"/>
        <v>8.0573622639827569</v>
      </c>
      <c r="KT354" s="473">
        <f t="shared" si="1065"/>
        <v>527.01264777847621</v>
      </c>
      <c r="KU354" s="663">
        <f t="shared" si="1053"/>
        <v>15.864197779038372</v>
      </c>
      <c r="KV354" s="117"/>
    </row>
    <row r="355" spans="1:308" s="26" customFormat="1" ht="15" outlineLevel="1">
      <c r="A355" s="561">
        <f t="shared" si="1032"/>
        <v>3055</v>
      </c>
      <c r="B355" s="561">
        <f t="shared" si="1054"/>
        <v>55</v>
      </c>
      <c r="C355" s="561">
        <f t="shared" si="1055"/>
        <v>3</v>
      </c>
      <c r="D355" s="561" t="str">
        <f t="shared" si="1123"/>
        <v xml:space="preserve">500 CC, 500 Combo, 360 Lease, </v>
      </c>
      <c r="E355" s="475">
        <f>INDEX(Input!$1:$1048576,E$93,$C355*2+MIN($B355,2)+5)
+INDEX(Scenarios!E$121:E$200,MATCH($B355,Scenarios!$B$121:$B$200,0))</f>
        <v>1750</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1.9E-2</v>
      </c>
      <c r="W355" s="863">
        <f>IFERROR(MAX(0,INDEX(Input!$1:$1048576,W$93,$C355*2+MIN($B355,2)+5)-0%,),"Market")</f>
        <v>3.9000000000000007E-2</v>
      </c>
      <c r="X355" s="476" t="str">
        <f>INDEX(Input!$1:$1048576,X$93,$C355*2+MIN($B355,2)+5)</f>
        <v>Y</v>
      </c>
      <c r="Y355" s="475">
        <f>INDEX(Input!$1:$1048576,Y$93,$C355*2+MIN($B355,2)+5)
++INDEX(Scenarios!Y$121:Y$200,MATCH($B355,Scenarios!$B$121:$B$200,0))</f>
        <v>4468</v>
      </c>
      <c r="Z355" s="477">
        <f>INDEX(Input!$1:$1048576,Z$93,$C355*2+MIN($B355,2)+5)
+INDEX(Scenarios!Z$121:Z$200,MATCH($B355,Scenarios!$B$121:$B$200,0))</f>
        <v>0</v>
      </c>
      <c r="AA355" s="475">
        <f>INDEX(Input!$1:$1048576,AA$93,$C355*2+MIN($B355,2)+5)</f>
        <v>500</v>
      </c>
      <c r="AB355" s="476">
        <f>INDEX(Input!$1:$1048576,AB$93,$C355*2+MIN($B355,2)+5)</f>
        <v>0.62</v>
      </c>
      <c r="AC355" s="475">
        <f>INDEX(Input!$1:$1048576,AC$93,$C355*2+MIN($B355,2)+5)
+INDEX(Scenarios!AC$121:AC$200,MATCH($B355,Scenarios!$B$121:$B$200,0))</f>
        <v>0</v>
      </c>
      <c r="AD355" s="476">
        <f>INDEX(Input!$1:$1048576,AD$93,$C355*2+MIN($B355,2)+5)</f>
        <v>0.35</v>
      </c>
      <c r="AE355" s="475">
        <f>INDEX(Input!$1:$1048576,AE$93,$C355*2+MIN($B355,2)+5)
+INDEX(Scenarios!AE$121:AE$200,MATCH($B355,Scenarios!$B$121:$B$200,0))</f>
        <v>500</v>
      </c>
      <c r="AF355" s="476">
        <f>INDEX(Input!$1:$1048576,AF$93,$C355*2+MIN($B355,2)+5)</f>
        <v>0.97</v>
      </c>
      <c r="AG355" s="475">
        <f>INDEX(Input!$1:$1048576,AG$93,$C355*2+MIN($B355,2)+5)
+INDEX(Scenarios!AG$121:AG$200,MATCH($B355,Scenarios!$B$121:$B$200,0))</f>
        <v>0</v>
      </c>
      <c r="AH355" s="476">
        <f>INDEX(Input!$1:$1048576,AH$93,$C355*2+MIN($B355,2)+5)</f>
        <v>1</v>
      </c>
      <c r="AI355" s="475">
        <f>INDEX(Input!$1:$1048576,AI$93,$C355*2+MIN($B355,2)+5)
+INDEX(Scenarios!AI$121:AI$200,MATCH($B355,Scenarios!$B$121:$B$200,0))</f>
        <v>0</v>
      </c>
      <c r="AJ355" s="476">
        <f>INDEX(Input!$1:$1048576,AJ$93,$C355*2+MIN($B355,2)+5)</f>
        <v>0.35</v>
      </c>
      <c r="AK355" s="150">
        <f>ROUND(INDEX(Input!$1:$1048576,AK$93,$C354*2+MIN($B355,1)+5)+(Y355-VLOOKUP($C355*1000+1,$A:$HH,Y$92,FALSE)),0)</f>
        <v>5342</v>
      </c>
      <c r="AL355" s="150">
        <f>ROUND(INDEX(Input!$1:$1048576,AL$93,$C354*2+MIN($B355,1)+5)-(Y355-VLOOKUP($C355*1000+1,$A:$HH,Y$92,FALSE))/36,0)</f>
        <v>5092</v>
      </c>
      <c r="AM355" s="32" t="str">
        <f t="shared" si="1033"/>
        <v>std/std/std/std</v>
      </c>
      <c r="AN355" s="32" t="str">
        <f t="shared" si="1034"/>
        <v>$500 + 0/0/0/1.9/3.9</v>
      </c>
      <c r="AO355" s="32" t="str">
        <f t="shared" si="1035"/>
        <v>0/0/0/1.9/3.9</v>
      </c>
      <c r="AP355" s="32" t="str">
        <f t="shared" si="989"/>
        <v>0/0.9/1.9/3.9</v>
      </c>
      <c r="AQ355" s="536">
        <f t="shared" si="988"/>
        <v>485.26238651355209</v>
      </c>
      <c r="AR355" s="32"/>
      <c r="AS355" s="302"/>
      <c r="AT355" s="3">
        <f t="shared" si="1056"/>
        <v>55</v>
      </c>
      <c r="AU355" s="41" t="s">
        <v>121</v>
      </c>
      <c r="AV355" s="41" t="s">
        <v>116</v>
      </c>
      <c r="AW355" s="41" t="str">
        <f>INDEX(Input!$1:$1048576,AW$93,$C355*2+6)</f>
        <v>Kia</v>
      </c>
      <c r="AX355" s="41" t="str">
        <f>INDEX(Input!$1:$1048576,AX$93,$C355*2+6)</f>
        <v>Kia-LR - L3</v>
      </c>
      <c r="AY355" s="41" t="str">
        <f>IF(LEN(D355)=0,"",INDEX(Input!$1:$1048576,AY$93,$C355*2+6))</f>
        <v>Compact Conventional/Sporty Car (43)</v>
      </c>
      <c r="AZ355" s="41" t="str">
        <f>INDEX(Input!$1:$1048576,AZ$93,$C355*2+6)</f>
        <v>Kia Forte</v>
      </c>
      <c r="BA355" s="3">
        <f>INDEX(Input!$1:$1048576,BA$93,$C355*2+6)</f>
        <v>2020</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19695</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990"/>
        <v>1750</v>
      </c>
      <c r="CJ355" s="16" t="str">
        <f>INDEX(Input!$1:$1048576,CJ$93,$C355*2+6)</f>
        <v>N</v>
      </c>
      <c r="CK355" s="1" t="str">
        <f t="shared" si="991"/>
        <v>Market</v>
      </c>
      <c r="CL355" s="1" t="str">
        <f t="shared" si="992"/>
        <v>Market</v>
      </c>
      <c r="CM355" s="1" t="str">
        <f t="shared" si="993"/>
        <v>Market</v>
      </c>
      <c r="CN355" s="1" t="str">
        <f t="shared" si="994"/>
        <v>Market</v>
      </c>
      <c r="CO355" s="1" t="str">
        <f t="shared" si="995"/>
        <v>Market</v>
      </c>
      <c r="CP355" s="304">
        <f t="shared" si="996"/>
        <v>810</v>
      </c>
      <c r="CQ355" s="1">
        <f t="shared" si="997"/>
        <v>0</v>
      </c>
      <c r="CR355" s="1">
        <f t="shared" si="998"/>
        <v>0</v>
      </c>
      <c r="CS355" s="1">
        <f t="shared" si="999"/>
        <v>0</v>
      </c>
      <c r="CT355" s="1">
        <f t="shared" si="1000"/>
        <v>1.9E-2</v>
      </c>
      <c r="CU355" s="1">
        <f t="shared" si="1001"/>
        <v>3.9000000000000007E-2</v>
      </c>
      <c r="CV355" s="304">
        <f t="shared" si="1002"/>
        <v>4953</v>
      </c>
      <c r="CW355" s="20" t="s">
        <v>122</v>
      </c>
      <c r="CX355" s="20" t="s">
        <v>122</v>
      </c>
      <c r="CY355" s="20" t="s">
        <v>122</v>
      </c>
      <c r="CZ355" s="20" t="s">
        <v>122</v>
      </c>
      <c r="DA355" s="20" t="s">
        <v>122</v>
      </c>
      <c r="DB355" s="503">
        <f t="shared" si="1003"/>
        <v>0</v>
      </c>
      <c r="DC355" s="127">
        <v>0</v>
      </c>
      <c r="DD355" s="127">
        <v>0</v>
      </c>
      <c r="DE355" s="127">
        <v>0</v>
      </c>
      <c r="DF355" s="127">
        <v>0</v>
      </c>
      <c r="DG355" s="127">
        <v>0</v>
      </c>
      <c r="DH355" s="127">
        <v>0</v>
      </c>
      <c r="DI355" s="127">
        <v>0</v>
      </c>
      <c r="DJ355" s="127">
        <v>0</v>
      </c>
      <c r="DK355" s="127">
        <v>0</v>
      </c>
      <c r="DL355" s="127">
        <v>0</v>
      </c>
      <c r="DM355" s="304">
        <f>INDEX(Input!$1:$1048576,DM$93,$C355*2+6)</f>
        <v>20731.578947368424</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3.4313136794997451E-2</v>
      </c>
      <c r="DZ355" s="7">
        <v>0</v>
      </c>
      <c r="EA355" s="7">
        <v>0.60202941399408072</v>
      </c>
      <c r="EB355" s="7">
        <v>0</v>
      </c>
      <c r="EC355" s="7">
        <v>0</v>
      </c>
      <c r="ED355" s="7">
        <v>0</v>
      </c>
      <c r="EE355" s="7">
        <v>0</v>
      </c>
      <c r="EF355" s="7">
        <v>0</v>
      </c>
      <c r="EG355" s="7">
        <v>0</v>
      </c>
      <c r="EH355" s="7">
        <v>1.4127187374976783E-2</v>
      </c>
      <c r="EI355" s="7">
        <v>1.7905300178519143E-2</v>
      </c>
      <c r="EJ355" s="7">
        <v>0.25743547220710322</v>
      </c>
      <c r="EK355" s="7">
        <v>0.65961146214107413</v>
      </c>
      <c r="EL355" s="7">
        <v>5.0920578098326834E-2</v>
      </c>
      <c r="EM355" s="7">
        <v>4.8139898770984679E-2</v>
      </c>
      <c r="EN355" s="7">
        <v>6.0273956083923601E-2</v>
      </c>
      <c r="EO355" s="7">
        <v>0.56674557734694941</v>
      </c>
      <c r="EP355" s="7">
        <v>0.27600976301752578</v>
      </c>
      <c r="EQ355" s="7">
        <v>5.7539036077023119E-2</v>
      </c>
      <c r="ER355" s="7">
        <v>3.9431667474578221E-2</v>
      </c>
      <c r="ES355" s="7">
        <v>0.31551755043993718</v>
      </c>
      <c r="ET355" s="7">
        <v>0.36365744921092186</v>
      </c>
      <c r="EU355" s="6">
        <v>2100</v>
      </c>
      <c r="EV355" s="6">
        <v>0</v>
      </c>
      <c r="EW355" s="6">
        <v>2100</v>
      </c>
      <c r="EX355" s="6">
        <v>0</v>
      </c>
      <c r="EY355" s="6">
        <v>3124.6585318214456</v>
      </c>
      <c r="EZ355" s="6">
        <v>3996</v>
      </c>
      <c r="FA355" s="6">
        <v>0</v>
      </c>
      <c r="FB355" s="6">
        <v>0</v>
      </c>
      <c r="FC355" s="6">
        <v>0</v>
      </c>
      <c r="FD355" s="6">
        <v>0</v>
      </c>
      <c r="FE355" s="6">
        <v>0</v>
      </c>
      <c r="FF355" s="6">
        <v>0</v>
      </c>
      <c r="FG355" s="6">
        <v>0</v>
      </c>
      <c r="FH355" s="6">
        <v>1154.3268320990594</v>
      </c>
      <c r="FI355" s="6">
        <v>1531.4299904380616</v>
      </c>
      <c r="FJ355" s="6">
        <v>2070.7205842538219</v>
      </c>
      <c r="FK355" s="6">
        <v>1746.9903521590434</v>
      </c>
      <c r="FL355" s="6">
        <v>893.91433563489397</v>
      </c>
      <c r="FM355" s="6">
        <v>1774.6585318214454</v>
      </c>
      <c r="FN355" s="6">
        <v>0</v>
      </c>
      <c r="FO355" s="6">
        <v>0</v>
      </c>
      <c r="FP355" s="6">
        <v>0</v>
      </c>
      <c r="FQ355" s="6">
        <v>0</v>
      </c>
      <c r="FR355" s="6">
        <v>0</v>
      </c>
      <c r="FS355" s="6">
        <v>0</v>
      </c>
      <c r="FT355" s="7">
        <v>0.6363425507890782</v>
      </c>
      <c r="FU355" s="7">
        <v>4.8139898770984679E-2</v>
      </c>
      <c r="FV355" s="7">
        <v>0.31551755043993718</v>
      </c>
      <c r="FW355" s="6">
        <v>2100</v>
      </c>
      <c r="FX355" s="6">
        <v>3124.6585318214461</v>
      </c>
      <c r="FY355" s="6">
        <v>3996</v>
      </c>
      <c r="FZ355" s="6">
        <v>2202.331475193394</v>
      </c>
      <c r="GA355" s="6">
        <v>2747.548233630831</v>
      </c>
      <c r="GB355" s="6">
        <v>16947.451766369169</v>
      </c>
      <c r="GC355" s="7">
        <v>4.8391397220736806E-2</v>
      </c>
      <c r="GD355" s="7">
        <v>5.1890502166238063E-2</v>
      </c>
      <c r="GE355" s="7"/>
      <c r="GF355" s="7"/>
      <c r="GG355" s="7">
        <v>7.2308409065771115E-2</v>
      </c>
      <c r="GH355" s="42">
        <v>2.6120145694563743</v>
      </c>
      <c r="GI355" s="6">
        <v>10287.705256606021</v>
      </c>
      <c r="GJ355" s="14">
        <v>0.51074630601039561</v>
      </c>
      <c r="GK355" s="14">
        <v>0.50829519786160993</v>
      </c>
      <c r="GL355" s="14">
        <v>0.48925369398960444</v>
      </c>
      <c r="GM355" s="14">
        <v>0.49170480213839024</v>
      </c>
      <c r="GO355" s="5">
        <v>338.16872463277008</v>
      </c>
      <c r="GP355" s="5">
        <v>298.1047308538179</v>
      </c>
      <c r="GQ355" s="5">
        <v>527.27910984145694</v>
      </c>
      <c r="GR355" s="5">
        <v>404.20319246551543</v>
      </c>
      <c r="GS355" s="5">
        <v>334.50205195691484</v>
      </c>
      <c r="GT355" s="5">
        <v>289.18266033348181</v>
      </c>
      <c r="GU355" s="5">
        <v>254.29573314828914</v>
      </c>
      <c r="GV355" s="39" t="s">
        <v>392</v>
      </c>
      <c r="GW355" s="5">
        <v>454.875</v>
      </c>
      <c r="GX355" s="5">
        <v>341.15625</v>
      </c>
      <c r="GY355" s="5">
        <v>272.92500000000001</v>
      </c>
      <c r="GZ355" s="5">
        <v>240.82751152063875</v>
      </c>
      <c r="HA355" s="5">
        <v>223.08053899211657</v>
      </c>
      <c r="HB355" s="39">
        <v>253.00716267923394</v>
      </c>
      <c r="HC355" s="5">
        <v>108.29062499999998</v>
      </c>
      <c r="HD355" s="5">
        <v>117.00060307017539</v>
      </c>
      <c r="HE355" s="5">
        <v>126.67974443319835</v>
      </c>
      <c r="HF355" s="5">
        <v>125.29567434210523</v>
      </c>
      <c r="HG355" s="5">
        <v>130.98493421052632</v>
      </c>
      <c r="HH355" s="39">
        <v>120.17587164886058</v>
      </c>
      <c r="HI355" s="16"/>
      <c r="HJ355" s="19" t="str">
        <f t="shared" si="1122"/>
        <v>On</v>
      </c>
      <c r="HK355" s="1" t="str">
        <f t="shared" si="1122"/>
        <v>On</v>
      </c>
      <c r="HL355" s="16"/>
      <c r="HM355" s="639">
        <f t="shared" si="1004"/>
        <v>2.8970655363290673E-2</v>
      </c>
      <c r="HN355" s="639">
        <f t="shared" si="1005"/>
        <v>2.1835179285533651E-3</v>
      </c>
      <c r="HO355" s="639">
        <f t="shared" si="1006"/>
        <v>1.5544129749146325E-2</v>
      </c>
      <c r="HP355" s="644">
        <f>(FT355*$GD355-HM355)/$JF355*INDEX(Input!$1:$1048576,$JG$93,$C355*2+6)</f>
        <v>167.01456646256173</v>
      </c>
      <c r="HQ355" s="644">
        <f>(FU355*$GD355-HN355)/$JF355*INDEX(Input!$1:$1048576,$JG$93,$C355*2+6)</f>
        <v>12.970476708825288</v>
      </c>
      <c r="HR355" s="644">
        <f>(FV355*$GD355-HO355)/$JF355*INDEX(Input!$1:$1048576,$JG$93,$C355*2+6)</f>
        <v>34.159258955592342</v>
      </c>
      <c r="HS355" s="644">
        <f t="shared" si="1116"/>
        <v>-63.179455465741327</v>
      </c>
      <c r="HT355" s="644">
        <f t="shared" si="1008"/>
        <v>119.63670261615388</v>
      </c>
      <c r="HU355" s="644">
        <f t="shared" si="1009"/>
        <v>62.794724453403248</v>
      </c>
      <c r="HV355" s="648">
        <f t="shared" si="1010"/>
        <v>0</v>
      </c>
      <c r="HW355" s="648">
        <f t="shared" si="1011"/>
        <v>0</v>
      </c>
      <c r="HX355" s="648">
        <f t="shared" si="1012"/>
        <v>0</v>
      </c>
      <c r="HY355" s="644">
        <f>INDEX(Input!$1:$1048576,HY$93,$C355*2+6)*INDEX(Input!$1:$1048576,$JG$93,$C355*2+6)</f>
        <v>488.99999999999994</v>
      </c>
      <c r="HZ355" s="644">
        <f>INDEX(Input!$1:$1048576,HZ$93,$C355*2+6)*INDEX(Input!$1:$1048576,$JG$93,$C355*2+6)</f>
        <v>734</v>
      </c>
      <c r="IA355" s="644">
        <f>INDEX(Input!$1:$1048576,IA$93,$C355*2+6)*INDEX(Input!$1:$1048576,$JG$93,$C355*2+6)</f>
        <v>703</v>
      </c>
      <c r="IB355" s="644">
        <f t="shared" si="1036"/>
        <v>592.83511099682028</v>
      </c>
      <c r="IC355" s="644">
        <f t="shared" si="1037"/>
        <v>866.60717932497926</v>
      </c>
      <c r="ID355" s="644">
        <f>IF(AND(INDEX(Input!$1:$1048576,IA$93,$C355*2+7)="TOS",Y355&lt;=INDEX(Y:Y,MATCH(C355*1000+2,A:A))),0,1)*MAX(IA355+HR355+HU355+HX355,0%)</f>
        <v>799.95398340899555</v>
      </c>
      <c r="IE355" s="128">
        <f t="shared" si="1121"/>
        <v>0.26238651355209591</v>
      </c>
      <c r="IF355" s="128">
        <f t="shared" si="1108"/>
        <v>0.38355696581459203</v>
      </c>
      <c r="IG355" s="128">
        <f t="shared" si="1014"/>
        <v>0.354056520633312</v>
      </c>
      <c r="IH355" s="21"/>
      <c r="II355" s="19">
        <f t="shared" si="1015"/>
        <v>1200</v>
      </c>
      <c r="IJ355" s="19">
        <f t="shared" si="1016"/>
        <v>2224.493581030405</v>
      </c>
      <c r="IK355" s="19">
        <f t="shared" si="1017"/>
        <v>3451.75</v>
      </c>
      <c r="IL355" s="19">
        <f t="shared" si="1039"/>
        <v>900</v>
      </c>
      <c r="IM355" s="19">
        <f t="shared" si="1018"/>
        <v>900.16495079104106</v>
      </c>
      <c r="IN355" s="19">
        <f t="shared" si="1019"/>
        <v>544.25</v>
      </c>
      <c r="IO355" s="39">
        <f t="shared" si="1020"/>
        <v>0</v>
      </c>
      <c r="IP355" s="39">
        <f t="shared" si="1021"/>
        <v>0</v>
      </c>
      <c r="IQ355" s="39">
        <f t="shared" si="1022"/>
        <v>0</v>
      </c>
      <c r="IR355" s="39">
        <v>0</v>
      </c>
      <c r="IS355" s="39">
        <v>0</v>
      </c>
      <c r="IT355" s="39">
        <v>0</v>
      </c>
      <c r="IU355" s="39">
        <v>0</v>
      </c>
      <c r="IV355" s="39">
        <v>0</v>
      </c>
      <c r="IW355" s="39">
        <v>0</v>
      </c>
      <c r="IX355" s="39">
        <f>INDEX(Input!$1:$1048576,IX$93,$C355*2+6)+INDEX(Input!$1:$1048576,IX$94,$C355*2+6)</f>
        <v>1600</v>
      </c>
      <c r="IY355" s="39">
        <f>INDEX(Input!$1:$1048576,IY$93,$C355*2+6)+INDEX(Input!$1:$1048576,IY$94,$C355*2+6)</f>
        <v>2503.5492916397525</v>
      </c>
      <c r="IZ355" s="39">
        <f>INDEX(Input!$1:$1048576,IZ$93,$C355*2+6)+INDEX(Input!$1:$1048576,IZ$94,$C355*2+6)</f>
        <v>5773.7109265464023</v>
      </c>
      <c r="JA355" s="19">
        <f t="shared" si="1040"/>
        <v>2500</v>
      </c>
      <c r="JB355" s="19">
        <f t="shared" si="1041"/>
        <v>3403.7142424307935</v>
      </c>
      <c r="JC355" s="19">
        <f t="shared" si="1042"/>
        <v>6317.9609265464023</v>
      </c>
      <c r="JD355" s="19">
        <f t="shared" si="1043"/>
        <v>4198.3998543571433</v>
      </c>
      <c r="JE355" s="21"/>
      <c r="JF355" s="1">
        <f t="shared" si="1023"/>
        <v>4.6698303040990354E-2</v>
      </c>
      <c r="JG355" s="15">
        <f>INDEX(Input!$1:$1048576,JG$93,$C355*2+6)/(1+VLOOKUP(C355*1000+INDEX(Input!$1:$1048576,JG$93+1,$C355*2+6),$A:$KK,$JK$92,FALSE))</f>
        <v>1926</v>
      </c>
      <c r="JH355" s="1">
        <f t="shared" si="1044"/>
        <v>0.11118603433384183</v>
      </c>
      <c r="JI355" s="1">
        <f t="shared" si="1045"/>
        <v>6.1916911528460961E-2</v>
      </c>
      <c r="JJ355" s="1">
        <f t="shared" si="1109"/>
        <v>0</v>
      </c>
      <c r="JK355" s="1">
        <f t="shared" si="1110"/>
        <v>0.17310294586230279</v>
      </c>
      <c r="JL355" s="15">
        <f t="shared" si="1048"/>
        <v>333.3962737307952</v>
      </c>
      <c r="JM355" s="15">
        <f t="shared" si="1074"/>
        <v>2259.3962737307952</v>
      </c>
      <c r="JN355" s="21"/>
      <c r="JO355" s="19">
        <f>INDEX(Input!$1:$1048576,JO$93,$C355*2+6)</f>
        <v>5908.5</v>
      </c>
      <c r="JP355" s="19">
        <f>INDEX(Input!$1:$1048576,JP$93,$C355*2+6)</f>
        <v>3467.7694503767912</v>
      </c>
      <c r="JQ355" s="39">
        <f t="shared" si="1060"/>
        <v>1710.1001456428567</v>
      </c>
      <c r="JR355" s="39">
        <f t="shared" si="1077"/>
        <v>730.63040398035218</v>
      </c>
      <c r="JS355" s="39">
        <f t="shared" si="1062"/>
        <v>9.4858489865664435</v>
      </c>
      <c r="JT355" s="39">
        <f t="shared" si="1050"/>
        <v>2.8069250251407429</v>
      </c>
      <c r="JU355" s="385">
        <f>(JQ355*JM355-INDEX(Input!$1:$1048576,Input!A$18,$C355*2+6)*JL355*INDEX(Input!$1:$1048576,Input!A$19,$C355*2+6))/1000000</f>
        <v>3.8637938967719605</v>
      </c>
      <c r="JV355" s="39">
        <f t="shared" si="1084"/>
        <v>-0.83705314180233925</v>
      </c>
      <c r="JW355" s="1">
        <f t="shared" si="1075"/>
        <v>-0.17806432222398064</v>
      </c>
      <c r="JX355" s="19">
        <f t="shared" si="1066"/>
        <v>8419.1853548046183</v>
      </c>
      <c r="JZ355" s="341"/>
      <c r="KA355" s="342"/>
      <c r="KB355" s="469">
        <f t="shared" si="1063"/>
        <v>2.7822247002359868</v>
      </c>
      <c r="KI355" s="473">
        <f t="shared" si="1118"/>
        <v>103.83511099682033</v>
      </c>
      <c r="KJ355" s="473">
        <f t="shared" si="1119"/>
        <v>132.60717932497926</v>
      </c>
      <c r="KK355" s="473">
        <f t="shared" si="1052"/>
        <v>96.953983408995555</v>
      </c>
      <c r="KN355" s="544">
        <f t="shared" si="1067"/>
        <v>3002</v>
      </c>
      <c r="KO355" s="541">
        <f t="shared" si="1027"/>
        <v>9.6754860473563964E-2</v>
      </c>
      <c r="KP355" s="546">
        <f t="shared" si="1028"/>
        <v>450.45717832303143</v>
      </c>
      <c r="KQ355" s="546">
        <f t="shared" si="1029"/>
        <v>477.31863603177044</v>
      </c>
      <c r="KR355" s="548">
        <f t="shared" si="1030"/>
        <v>3.4310792619417976</v>
      </c>
      <c r="KS355" s="548">
        <f t="shared" si="1031"/>
        <v>3.2379927500549108</v>
      </c>
      <c r="KT355" s="473">
        <f t="shared" si="1065"/>
        <v>527.01264777847621</v>
      </c>
      <c r="KU355" s="663">
        <f t="shared" si="1053"/>
        <v>15.420440080105106</v>
      </c>
      <c r="KV355" s="117"/>
    </row>
    <row r="356" spans="1:308" s="26" customFormat="1" ht="15" outlineLevel="1">
      <c r="A356" s="561">
        <f t="shared" si="1032"/>
        <v>3056</v>
      </c>
      <c r="B356" s="561">
        <f t="shared" si="1054"/>
        <v>56</v>
      </c>
      <c r="C356" s="561">
        <f t="shared" si="1055"/>
        <v>3</v>
      </c>
      <c r="D356" s="561" t="str">
        <f t="shared" si="1123"/>
        <v xml:space="preserve">1000 CC, 1000 Combo, 720 Lease, </v>
      </c>
      <c r="E356" s="475">
        <f>INDEX(Input!$1:$1048576,E$93,$C356*2+MIN($B356,2)+5)
+INDEX(Scenarios!E$121:E$200,MATCH($B356,Scenarios!$B$121:$B$200,0))</f>
        <v>2250</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1.9E-2</v>
      </c>
      <c r="W356" s="863">
        <f>IFERROR(MAX(0,INDEX(Input!$1:$1048576,W$93,$C356*2+MIN($B356,2)+5)-0%,),"Market")</f>
        <v>3.9000000000000007E-2</v>
      </c>
      <c r="X356" s="476" t="str">
        <f>INDEX(Input!$1:$1048576,X$93,$C356*2+MIN($B356,2)+5)</f>
        <v>Y</v>
      </c>
      <c r="Y356" s="475">
        <f>INDEX(Input!$1:$1048576,Y$93,$C356*2+MIN($B356,2)+5)
++INDEX(Scenarios!Y$121:Y$200,MATCH($B356,Scenarios!$B$121:$B$200,0))</f>
        <v>4828</v>
      </c>
      <c r="Z356" s="477">
        <f>INDEX(Input!$1:$1048576,Z$93,$C356*2+MIN($B356,2)+5)
+INDEX(Scenarios!Z$121:Z$200,MATCH($B356,Scenarios!$B$121:$B$200,0))</f>
        <v>0</v>
      </c>
      <c r="AA356" s="475">
        <f>INDEX(Input!$1:$1048576,AA$93,$C356*2+MIN($B356,2)+5)</f>
        <v>500</v>
      </c>
      <c r="AB356" s="476">
        <f>INDEX(Input!$1:$1048576,AB$93,$C356*2+MIN($B356,2)+5)</f>
        <v>0.62</v>
      </c>
      <c r="AC356" s="475">
        <f>INDEX(Input!$1:$1048576,AC$93,$C356*2+MIN($B356,2)+5)
+INDEX(Scenarios!AC$121:AC$200,MATCH($B356,Scenarios!$B$121:$B$200,0))</f>
        <v>0</v>
      </c>
      <c r="AD356" s="476">
        <f>INDEX(Input!$1:$1048576,AD$93,$C356*2+MIN($B356,2)+5)</f>
        <v>0.35</v>
      </c>
      <c r="AE356" s="475">
        <f>INDEX(Input!$1:$1048576,AE$93,$C356*2+MIN($B356,2)+5)
+INDEX(Scenarios!AE$121:AE$200,MATCH($B356,Scenarios!$B$121:$B$200,0))</f>
        <v>500</v>
      </c>
      <c r="AF356" s="476">
        <f>INDEX(Input!$1:$1048576,AF$93,$C356*2+MIN($B356,2)+5)</f>
        <v>0.97</v>
      </c>
      <c r="AG356" s="475">
        <f>INDEX(Input!$1:$1048576,AG$93,$C356*2+MIN($B356,2)+5)
+INDEX(Scenarios!AG$121:AG$200,MATCH($B356,Scenarios!$B$121:$B$200,0))</f>
        <v>0</v>
      </c>
      <c r="AH356" s="476">
        <f>INDEX(Input!$1:$1048576,AH$93,$C356*2+MIN($B356,2)+5)</f>
        <v>1</v>
      </c>
      <c r="AI356" s="475">
        <f>INDEX(Input!$1:$1048576,AI$93,$C356*2+MIN($B356,2)+5)
+INDEX(Scenarios!AI$121:AI$200,MATCH($B356,Scenarios!$B$121:$B$200,0))</f>
        <v>0</v>
      </c>
      <c r="AJ356" s="476">
        <f>INDEX(Input!$1:$1048576,AJ$93,$C356*2+MIN($B356,2)+5)</f>
        <v>0.35</v>
      </c>
      <c r="AK356" s="150">
        <f>ROUND(INDEX(Input!$1:$1048576,AK$93,$C355*2+MIN($B356,1)+5)+(Y356-VLOOKUP($C356*1000+1,$A:$HH,Y$92,FALSE)),0)</f>
        <v>5702</v>
      </c>
      <c r="AL356" s="150">
        <f>ROUND(INDEX(Input!$1:$1048576,AL$93,$C355*2+MIN($B356,1)+5)-(Y356-VLOOKUP($C356*1000+1,$A:$HH,Y$92,FALSE))/36,0)</f>
        <v>5082</v>
      </c>
      <c r="AM356" s="32" t="str">
        <f t="shared" si="1033"/>
        <v>std/std/std/std</v>
      </c>
      <c r="AN356" s="32" t="str">
        <f t="shared" si="1034"/>
        <v>$1000 + 0/0/0/1.9/3.9</v>
      </c>
      <c r="AO356" s="32" t="str">
        <f t="shared" si="1035"/>
        <v>0/0/0/1.9/3.9</v>
      </c>
      <c r="AP356" s="32" t="str">
        <f t="shared" si="989"/>
        <v>0/0.9/1.9/3.9</v>
      </c>
      <c r="AQ356" s="536">
        <f t="shared" si="988"/>
        <v>485.26491460772661</v>
      </c>
      <c r="AR356" s="32"/>
      <c r="AS356" s="302"/>
      <c r="AT356" s="3">
        <f t="shared" si="1056"/>
        <v>56</v>
      </c>
      <c r="AU356" s="41" t="s">
        <v>121</v>
      </c>
      <c r="AV356" s="41" t="s">
        <v>116</v>
      </c>
      <c r="AW356" s="41" t="str">
        <f>INDEX(Input!$1:$1048576,AW$93,$C356*2+6)</f>
        <v>Kia</v>
      </c>
      <c r="AX356" s="41" t="str">
        <f>INDEX(Input!$1:$1048576,AX$93,$C356*2+6)</f>
        <v>Kia-LR - L3</v>
      </c>
      <c r="AY356" s="41" t="str">
        <f>IF(LEN(D356)=0,"",INDEX(Input!$1:$1048576,AY$93,$C356*2+6))</f>
        <v>Compact Conventional/Sporty Car (43)</v>
      </c>
      <c r="AZ356" s="41" t="str">
        <f>INDEX(Input!$1:$1048576,AZ$93,$C356*2+6)</f>
        <v>Kia Forte</v>
      </c>
      <c r="BA356" s="3">
        <f>INDEX(Input!$1:$1048576,BA$93,$C356*2+6)</f>
        <v>2020</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19695</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990"/>
        <v>2250</v>
      </c>
      <c r="CJ356" s="16" t="str">
        <f>INDEX(Input!$1:$1048576,CJ$93,$C356*2+6)</f>
        <v>N</v>
      </c>
      <c r="CK356" s="1" t="str">
        <f t="shared" si="991"/>
        <v>Market</v>
      </c>
      <c r="CL356" s="1" t="str">
        <f t="shared" si="992"/>
        <v>Market</v>
      </c>
      <c r="CM356" s="1" t="str">
        <f t="shared" si="993"/>
        <v>Market</v>
      </c>
      <c r="CN356" s="1" t="str">
        <f t="shared" si="994"/>
        <v>Market</v>
      </c>
      <c r="CO356" s="1" t="str">
        <f t="shared" si="995"/>
        <v>Market</v>
      </c>
      <c r="CP356" s="304">
        <f t="shared" si="996"/>
        <v>1310</v>
      </c>
      <c r="CQ356" s="1">
        <f t="shared" si="997"/>
        <v>0</v>
      </c>
      <c r="CR356" s="1">
        <f t="shared" si="998"/>
        <v>0</v>
      </c>
      <c r="CS356" s="1">
        <f t="shared" si="999"/>
        <v>0</v>
      </c>
      <c r="CT356" s="1">
        <f t="shared" si="1000"/>
        <v>1.9E-2</v>
      </c>
      <c r="CU356" s="1">
        <f t="shared" si="1001"/>
        <v>3.9000000000000007E-2</v>
      </c>
      <c r="CV356" s="304">
        <f t="shared" si="1002"/>
        <v>5313</v>
      </c>
      <c r="CW356" s="20" t="s">
        <v>122</v>
      </c>
      <c r="CX356" s="20" t="s">
        <v>122</v>
      </c>
      <c r="CY356" s="20" t="s">
        <v>122</v>
      </c>
      <c r="CZ356" s="20" t="s">
        <v>122</v>
      </c>
      <c r="DA356" s="20" t="s">
        <v>122</v>
      </c>
      <c r="DB356" s="503">
        <f t="shared" si="1003"/>
        <v>0</v>
      </c>
      <c r="DC356" s="127">
        <v>0</v>
      </c>
      <c r="DD356" s="127">
        <v>0</v>
      </c>
      <c r="DE356" s="127">
        <v>0</v>
      </c>
      <c r="DF356" s="127">
        <v>0</v>
      </c>
      <c r="DG356" s="127">
        <v>0</v>
      </c>
      <c r="DH356" s="127">
        <v>0</v>
      </c>
      <c r="DI356" s="127">
        <v>0</v>
      </c>
      <c r="DJ356" s="127">
        <v>0</v>
      </c>
      <c r="DK356" s="127">
        <v>0</v>
      </c>
      <c r="DL356" s="127">
        <v>0</v>
      </c>
      <c r="DM356" s="304">
        <f>INDEX(Input!$1:$1048576,DM$93,$C356*2+6)</f>
        <v>20731.578947368424</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3.4799543943453803E-2</v>
      </c>
      <c r="DZ356" s="7">
        <v>0</v>
      </c>
      <c r="EA356" s="7">
        <v>0.60548118339021695</v>
      </c>
      <c r="EB356" s="7">
        <v>0</v>
      </c>
      <c r="EC356" s="7">
        <v>0</v>
      </c>
      <c r="ED356" s="7">
        <v>0</v>
      </c>
      <c r="EE356" s="7">
        <v>0</v>
      </c>
      <c r="EF356" s="7">
        <v>0</v>
      </c>
      <c r="EG356" s="7">
        <v>0</v>
      </c>
      <c r="EH356" s="7">
        <v>1.413104389156644E-2</v>
      </c>
      <c r="EI356" s="7">
        <v>1.7905643848258698E-2</v>
      </c>
      <c r="EJ356" s="7">
        <v>0.25755808914801942</v>
      </c>
      <c r="EK356" s="7">
        <v>0.6595100112870097</v>
      </c>
      <c r="EL356" s="7">
        <v>5.0895211825145746E-2</v>
      </c>
      <c r="EM356" s="7">
        <v>4.8494653693871306E-2</v>
      </c>
      <c r="EN356" s="7">
        <v>6.1790032616183765E-2</v>
      </c>
      <c r="EO356" s="7">
        <v>0.56535199067933417</v>
      </c>
      <c r="EP356" s="7">
        <v>0.27793573347871892</v>
      </c>
      <c r="EQ356" s="7">
        <v>5.6313654414306212E-2</v>
      </c>
      <c r="ER356" s="7">
        <v>3.8608588811456686E-2</v>
      </c>
      <c r="ES356" s="7">
        <v>0.3112246189724579</v>
      </c>
      <c r="ET356" s="7">
        <v>0.35971927266632925</v>
      </c>
      <c r="EU356" s="6">
        <v>2600</v>
      </c>
      <c r="EV356" s="6">
        <v>0</v>
      </c>
      <c r="EW356" s="6">
        <v>2600</v>
      </c>
      <c r="EX356" s="6">
        <v>0</v>
      </c>
      <c r="EY356" s="6">
        <v>3624.7174957923153</v>
      </c>
      <c r="EZ356" s="6">
        <v>4356</v>
      </c>
      <c r="FA356" s="6">
        <v>0</v>
      </c>
      <c r="FB356" s="6">
        <v>0</v>
      </c>
      <c r="FC356" s="6">
        <v>0</v>
      </c>
      <c r="FD356" s="6">
        <v>0</v>
      </c>
      <c r="FE356" s="6">
        <v>0</v>
      </c>
      <c r="FF356" s="6">
        <v>0</v>
      </c>
      <c r="FG356" s="6">
        <v>0</v>
      </c>
      <c r="FH356" s="6">
        <v>1154.326088991807</v>
      </c>
      <c r="FI356" s="6">
        <v>1531.4299904380623</v>
      </c>
      <c r="FJ356" s="6">
        <v>2070.7205842538228</v>
      </c>
      <c r="FK356" s="6">
        <v>1746.9903521590438</v>
      </c>
      <c r="FL356" s="6">
        <v>893.91433563489375</v>
      </c>
      <c r="FM356" s="6">
        <v>1774.717495792315</v>
      </c>
      <c r="FN356" s="6">
        <v>0</v>
      </c>
      <c r="FO356" s="6">
        <v>0</v>
      </c>
      <c r="FP356" s="6">
        <v>0</v>
      </c>
      <c r="FQ356" s="6">
        <v>0</v>
      </c>
      <c r="FR356" s="6">
        <v>0</v>
      </c>
      <c r="FS356" s="6">
        <v>0</v>
      </c>
      <c r="FT356" s="7">
        <v>0.64028072733367081</v>
      </c>
      <c r="FU356" s="7">
        <v>4.8494653693871306E-2</v>
      </c>
      <c r="FV356" s="7">
        <v>0.3112246189724579</v>
      </c>
      <c r="FW356" s="6">
        <v>2600</v>
      </c>
      <c r="FX356" s="6">
        <v>3624.7174957923153</v>
      </c>
      <c r="FY356" s="6">
        <v>4356</v>
      </c>
      <c r="FZ356" s="6">
        <v>2202.331475193394</v>
      </c>
      <c r="GA356" s="6">
        <v>3196.2037510081354</v>
      </c>
      <c r="GB356" s="6">
        <v>16498.796248991865</v>
      </c>
      <c r="GC356" s="7">
        <v>4.8391397220736806E-2</v>
      </c>
      <c r="GD356" s="7">
        <v>5.5208254793464709E-2</v>
      </c>
      <c r="GE356" s="7"/>
      <c r="GF356" s="7"/>
      <c r="GG356" s="7">
        <v>0.14086920329315733</v>
      </c>
      <c r="GH356" s="42">
        <v>2.7915246519824319</v>
      </c>
      <c r="GI356" s="6">
        <v>10251.488033027059</v>
      </c>
      <c r="GJ356" s="14">
        <v>0.5107463060103955</v>
      </c>
      <c r="GK356" s="14">
        <v>0.50829519786160959</v>
      </c>
      <c r="GL356" s="14">
        <v>0.48925369398960439</v>
      </c>
      <c r="GM356" s="14">
        <v>0.49170480213839035</v>
      </c>
      <c r="GO356" s="5">
        <v>338.16872463277008</v>
      </c>
      <c r="GP356" s="5">
        <v>288.56568471597211</v>
      </c>
      <c r="GQ356" s="5">
        <v>527.27910984145694</v>
      </c>
      <c r="GR356" s="5">
        <v>404.20319246551543</v>
      </c>
      <c r="GS356" s="5">
        <v>334.50205195691484</v>
      </c>
      <c r="GT356" s="5">
        <v>289.18266033348181</v>
      </c>
      <c r="GU356" s="5">
        <v>254.29573314828914</v>
      </c>
      <c r="GV356" s="39" t="s">
        <v>392</v>
      </c>
      <c r="GW356" s="5">
        <v>440.98611111111109</v>
      </c>
      <c r="GX356" s="5">
        <v>330.73958333333331</v>
      </c>
      <c r="GY356" s="5">
        <v>264.59166666666664</v>
      </c>
      <c r="GZ356" s="5">
        <v>233.47422424633754</v>
      </c>
      <c r="HA356" s="5">
        <v>216.26912746293831</v>
      </c>
      <c r="HB356" s="39">
        <v>245.2870746699204</v>
      </c>
      <c r="HC356" s="5">
        <v>92.540624999999977</v>
      </c>
      <c r="HD356" s="5">
        <v>106.25060307017539</v>
      </c>
      <c r="HE356" s="5">
        <v>116.69897520242912</v>
      </c>
      <c r="HF356" s="5">
        <v>116.97067434210524</v>
      </c>
      <c r="HG356" s="5">
        <v>124.08493421052631</v>
      </c>
      <c r="HH356" s="39">
        <v>109.59968379691794</v>
      </c>
      <c r="HI356" s="16"/>
      <c r="HJ356" s="19" t="str">
        <f t="shared" si="1122"/>
        <v>On</v>
      </c>
      <c r="HK356" s="1" t="str">
        <f t="shared" si="1122"/>
        <v>On</v>
      </c>
      <c r="HL356" s="16"/>
      <c r="HM356" s="639">
        <f t="shared" si="1004"/>
        <v>2.8970655363290673E-2</v>
      </c>
      <c r="HN356" s="639">
        <f t="shared" si="1005"/>
        <v>2.1835179285533651E-3</v>
      </c>
      <c r="HO356" s="639">
        <f t="shared" si="1006"/>
        <v>1.5544129749146325E-2</v>
      </c>
      <c r="HP356" s="644">
        <f>(FT356*$GD356-HM356)/$JF356*INDEX(Input!$1:$1048576,$JG$93,$C356*2+6)</f>
        <v>263.05604711094367</v>
      </c>
      <c r="HQ356" s="644">
        <f>(FU356*$GD356-HN356)/$JF356*INDEX(Input!$1:$1048576,$JG$93,$C356*2+6)</f>
        <v>20.365499762998638</v>
      </c>
      <c r="HR356" s="644">
        <f>(FV356*$GD356-HO356)/$JF356*INDEX(Input!$1:$1048576,$JG$93,$C356*2+6)</f>
        <v>67.558381901602246</v>
      </c>
      <c r="HS356" s="644">
        <f t="shared" si="1116"/>
        <v>-98.279119277533582</v>
      </c>
      <c r="HT356" s="644">
        <f t="shared" si="1008"/>
        <v>186.09679971024164</v>
      </c>
      <c r="HU356" s="644">
        <f t="shared" si="1009"/>
        <v>103.08037397972788</v>
      </c>
      <c r="HV356" s="648">
        <f t="shared" si="1010"/>
        <v>0</v>
      </c>
      <c r="HW356" s="648">
        <f t="shared" si="1011"/>
        <v>0</v>
      </c>
      <c r="HX356" s="648">
        <f t="shared" si="1012"/>
        <v>0</v>
      </c>
      <c r="HY356" s="644">
        <f>INDEX(Input!$1:$1048576,HY$93,$C356*2+6)*INDEX(Input!$1:$1048576,$JG$93,$C356*2+6)</f>
        <v>488.99999999999994</v>
      </c>
      <c r="HZ356" s="644">
        <f>INDEX(Input!$1:$1048576,HZ$93,$C356*2+6)*INDEX(Input!$1:$1048576,$JG$93,$C356*2+6)</f>
        <v>734</v>
      </c>
      <c r="IA356" s="644">
        <f>INDEX(Input!$1:$1048576,IA$93,$C356*2+6)*INDEX(Input!$1:$1048576,$JG$93,$C356*2+6)</f>
        <v>703</v>
      </c>
      <c r="IB356" s="644">
        <f t="shared" si="1036"/>
        <v>653.77692783340967</v>
      </c>
      <c r="IC356" s="644">
        <f t="shared" si="1037"/>
        <v>940.46229947324025</v>
      </c>
      <c r="ID356" s="644">
        <f>IF(AND(INDEX(Input!$1:$1048576,IA$93,$C356*2+7)="TOS",Y356&lt;=INDEX(Y:Y,MATCH(C356*1000+2,A:A))),0,1)*MAX(IA356+HR356+HU356+HX356,0%)</f>
        <v>873.6387558813301</v>
      </c>
      <c r="IE356" s="128">
        <f t="shared" si="1121"/>
        <v>0.26491460772662156</v>
      </c>
      <c r="IF356" s="128">
        <f t="shared" si="1108"/>
        <v>0.38108136053726627</v>
      </c>
      <c r="IG356" s="128">
        <f t="shared" si="1014"/>
        <v>0.35400403173611211</v>
      </c>
      <c r="IH356" s="21"/>
      <c r="II356" s="19">
        <f t="shared" si="1015"/>
        <v>1200</v>
      </c>
      <c r="IJ356" s="19">
        <f t="shared" si="1016"/>
        <v>2224.493581030405</v>
      </c>
      <c r="IK356" s="19">
        <f t="shared" si="1017"/>
        <v>3451.75</v>
      </c>
      <c r="IL356" s="19">
        <f t="shared" si="1039"/>
        <v>1400</v>
      </c>
      <c r="IM356" s="19">
        <f t="shared" si="1018"/>
        <v>1400.2239147619102</v>
      </c>
      <c r="IN356" s="19">
        <f t="shared" si="1019"/>
        <v>904.25</v>
      </c>
      <c r="IO356" s="39">
        <f t="shared" si="1020"/>
        <v>0</v>
      </c>
      <c r="IP356" s="39">
        <f t="shared" si="1021"/>
        <v>0</v>
      </c>
      <c r="IQ356" s="39">
        <f t="shared" si="1022"/>
        <v>0</v>
      </c>
      <c r="IR356" s="39">
        <v>0</v>
      </c>
      <c r="IS356" s="39">
        <v>0</v>
      </c>
      <c r="IT356" s="39">
        <v>0</v>
      </c>
      <c r="IU356" s="39">
        <v>0</v>
      </c>
      <c r="IV356" s="39">
        <v>0</v>
      </c>
      <c r="IW356" s="39">
        <v>0</v>
      </c>
      <c r="IX356" s="39">
        <f>INDEX(Input!$1:$1048576,IX$93,$C356*2+6)+INDEX(Input!$1:$1048576,IX$94,$C356*2+6)</f>
        <v>1600</v>
      </c>
      <c r="IY356" s="39">
        <f>INDEX(Input!$1:$1048576,IY$93,$C356*2+6)+INDEX(Input!$1:$1048576,IY$94,$C356*2+6)</f>
        <v>2503.5492916397525</v>
      </c>
      <c r="IZ356" s="39">
        <f>INDEX(Input!$1:$1048576,IZ$93,$C356*2+6)+INDEX(Input!$1:$1048576,IZ$94,$C356*2+6)</f>
        <v>5773.7109265464023</v>
      </c>
      <c r="JA356" s="19">
        <f t="shared" si="1040"/>
        <v>3000</v>
      </c>
      <c r="JB356" s="19">
        <f t="shared" si="1041"/>
        <v>3903.7732064016627</v>
      </c>
      <c r="JC356" s="19">
        <f t="shared" si="1042"/>
        <v>6677.9609265464023</v>
      </c>
      <c r="JD356" s="19">
        <f t="shared" si="1043"/>
        <v>4646.4241196779858</v>
      </c>
      <c r="JE356" s="21"/>
      <c r="JF356" s="1">
        <f t="shared" si="1023"/>
        <v>4.6698303040990354E-2</v>
      </c>
      <c r="JG356" s="15">
        <f>INDEX(Input!$1:$1048576,JG$93,$C356*2+6)/(1+VLOOKUP(C356*1000+INDEX(Input!$1:$1048576,JG$93+1,$C356*2+6),$A:$KK,$JK$92,FALSE))</f>
        <v>1926</v>
      </c>
      <c r="JH356" s="1">
        <f t="shared" si="1044"/>
        <v>0.18223256945770744</v>
      </c>
      <c r="JI356" s="1">
        <f t="shared" si="1045"/>
        <v>9.9116331470631341E-2</v>
      </c>
      <c r="JJ356" s="1">
        <f t="shared" si="1109"/>
        <v>0</v>
      </c>
      <c r="JK356" s="1">
        <f t="shared" si="1110"/>
        <v>0.28134890092833875</v>
      </c>
      <c r="JL356" s="15">
        <f t="shared" si="1048"/>
        <v>541.87798318798048</v>
      </c>
      <c r="JM356" s="15">
        <f t="shared" si="1074"/>
        <v>2467.8779831879806</v>
      </c>
      <c r="JN356" s="21"/>
      <c r="JO356" s="19">
        <f>INDEX(Input!$1:$1048576,JO$93,$C356*2+6)</f>
        <v>5908.5</v>
      </c>
      <c r="JP356" s="19">
        <f>INDEX(Input!$1:$1048576,JP$93,$C356*2+6)</f>
        <v>3467.7694503767912</v>
      </c>
      <c r="JQ356" s="39">
        <f t="shared" si="1060"/>
        <v>1262.0758803220142</v>
      </c>
      <c r="JR356" s="39">
        <f t="shared" si="1077"/>
        <v>1178.6546693011946</v>
      </c>
      <c r="JS356" s="39">
        <f t="shared" si="1062"/>
        <v>11.466807785506896</v>
      </c>
      <c r="JT356" s="39">
        <f t="shared" si="1050"/>
        <v>4.7878838240811961</v>
      </c>
      <c r="JU356" s="385">
        <f>(JQ356*JM356-INDEX(Input!$1:$1048576,Input!A$18,$C356*2+6)*JL356*INDEX(Input!$1:$1048576,Input!A$19,$C356*2+6))/1000000</f>
        <v>3.1146492781592876</v>
      </c>
      <c r="JV356" s="39">
        <f t="shared" si="1084"/>
        <v>-1.5861977604150121</v>
      </c>
      <c r="JW356" s="1">
        <f t="shared" si="1075"/>
        <v>-0.3374280735788594</v>
      </c>
      <c r="JX356" s="19">
        <f t="shared" si="1066"/>
        <v>8835.7231196460198</v>
      </c>
      <c r="JZ356" s="341"/>
      <c r="KA356" s="342"/>
      <c r="KB356" s="469">
        <f t="shared" si="1063"/>
        <v>2.7822247002359868</v>
      </c>
      <c r="KI356" s="473">
        <f t="shared" si="1118"/>
        <v>164.77692783340996</v>
      </c>
      <c r="KJ356" s="473">
        <f t="shared" si="1119"/>
        <v>206.46229947324036</v>
      </c>
      <c r="KK356" s="473">
        <f t="shared" si="1052"/>
        <v>170.63875588133021</v>
      </c>
      <c r="KN356" s="544">
        <f t="shared" si="1067"/>
        <v>3002</v>
      </c>
      <c r="KO356" s="541">
        <f t="shared" si="1027"/>
        <v>0.1979559338866157</v>
      </c>
      <c r="KP356" s="546">
        <f t="shared" si="1028"/>
        <v>900.92627044873097</v>
      </c>
      <c r="KQ356" s="546">
        <f t="shared" si="1029"/>
        <v>925.3429013526129</v>
      </c>
      <c r="KR356" s="548">
        <f t="shared" si="1030"/>
        <v>3.5098676928139358</v>
      </c>
      <c r="KS356" s="548">
        <f t="shared" si="1031"/>
        <v>3.4172543017654635</v>
      </c>
      <c r="KT356" s="473">
        <f t="shared" si="1065"/>
        <v>527.01264777847621</v>
      </c>
      <c r="KU356" s="663">
        <f t="shared" si="1053"/>
        <v>15.610365059337481</v>
      </c>
      <c r="KV356" s="117"/>
    </row>
    <row r="357" spans="1:308" s="26" customFormat="1" ht="15" outlineLevel="1">
      <c r="A357" s="561">
        <f t="shared" si="1032"/>
        <v>3057</v>
      </c>
      <c r="B357" s="561">
        <f t="shared" si="1054"/>
        <v>57</v>
      </c>
      <c r="C357" s="561">
        <f t="shared" si="1055"/>
        <v>3</v>
      </c>
      <c r="D357" s="561" t="str">
        <f t="shared" si="1123"/>
        <v xml:space="preserve">500 CC, 0/0/0.9/3.9, 360 Lease, </v>
      </c>
      <c r="E357" s="475">
        <f>INDEX(Input!$1:$1048576,E$93,$C357*2+MIN($B357,2)+5)
+INDEX(Scenarios!E$121:E$200,MATCH($B357,Scenarios!$B$121:$B$200,0))</f>
        <v>1750</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8.9999999999999993E-3</v>
      </c>
      <c r="W357" s="863">
        <f>IFERROR(MAX(0,INDEX(Input!$1:$1048576,W$93,$C357*2+MIN($B357,2)+5)-0%,),"Market")</f>
        <v>3.9000000000000007E-2</v>
      </c>
      <c r="X357" s="476" t="str">
        <f>INDEX(Input!$1:$1048576,X$93,$C357*2+MIN($B357,2)+5)</f>
        <v>Y</v>
      </c>
      <c r="Y357" s="475">
        <f>INDEX(Input!$1:$1048576,Y$93,$C357*2+MIN($B357,2)+5)
++INDEX(Scenarios!Y$121:Y$200,MATCH($B357,Scenarios!$B$121:$B$200,0))</f>
        <v>4468</v>
      </c>
      <c r="Z357" s="477">
        <f>INDEX(Input!$1:$1048576,Z$93,$C357*2+MIN($B357,2)+5)
+INDEX(Scenarios!Z$121:Z$200,MATCH($B357,Scenarios!$B$121:$B$200,0))</f>
        <v>0</v>
      </c>
      <c r="AA357" s="475">
        <f>INDEX(Input!$1:$1048576,AA$93,$C357*2+MIN($B357,2)+5)</f>
        <v>500</v>
      </c>
      <c r="AB357" s="476">
        <f>INDEX(Input!$1:$1048576,AB$93,$C357*2+MIN($B357,2)+5)</f>
        <v>0.62</v>
      </c>
      <c r="AC357" s="475">
        <f>INDEX(Input!$1:$1048576,AC$93,$C357*2+MIN($B357,2)+5)
+INDEX(Scenarios!AC$121:AC$200,MATCH($B357,Scenarios!$B$121:$B$200,0))</f>
        <v>0</v>
      </c>
      <c r="AD357" s="476">
        <f>INDEX(Input!$1:$1048576,AD$93,$C357*2+MIN($B357,2)+5)</f>
        <v>0.35</v>
      </c>
      <c r="AE357" s="475">
        <f>INDEX(Input!$1:$1048576,AE$93,$C357*2+MIN($B357,2)+5)
+INDEX(Scenarios!AE$121:AE$200,MATCH($B357,Scenarios!$B$121:$B$200,0))</f>
        <v>500</v>
      </c>
      <c r="AF357" s="476">
        <f>INDEX(Input!$1:$1048576,AF$93,$C357*2+MIN($B357,2)+5)</f>
        <v>0.97</v>
      </c>
      <c r="AG357" s="475">
        <f>INDEX(Input!$1:$1048576,AG$93,$C357*2+MIN($B357,2)+5)
+INDEX(Scenarios!AG$121:AG$200,MATCH($B357,Scenarios!$B$121:$B$200,0))</f>
        <v>0</v>
      </c>
      <c r="AH357" s="476">
        <f>INDEX(Input!$1:$1048576,AH$93,$C357*2+MIN($B357,2)+5)</f>
        <v>1</v>
      </c>
      <c r="AI357" s="475">
        <f>INDEX(Input!$1:$1048576,AI$93,$C357*2+MIN($B357,2)+5)
+INDEX(Scenarios!AI$121:AI$200,MATCH($B357,Scenarios!$B$121:$B$200,0))</f>
        <v>0</v>
      </c>
      <c r="AJ357" s="476">
        <f>INDEX(Input!$1:$1048576,AJ$93,$C357*2+MIN($B357,2)+5)</f>
        <v>0.35</v>
      </c>
      <c r="AK357" s="150">
        <f>ROUND(INDEX(Input!$1:$1048576,AK$93,$C356*2+MIN($B357,1)+5)+(Y357-VLOOKUP($C357*1000+1,$A:$HH,Y$92,FALSE)),0)</f>
        <v>5342</v>
      </c>
      <c r="AL357" s="150">
        <f>ROUND(INDEX(Input!$1:$1048576,AL$93,$C356*2+MIN($B357,1)+5)-(Y357-VLOOKUP($C357*1000+1,$A:$HH,Y$92,FALSE))/36,0)</f>
        <v>5092</v>
      </c>
      <c r="AM357" s="32" t="str">
        <f t="shared" si="1033"/>
        <v>std/std/std/std</v>
      </c>
      <c r="AN357" s="32" t="str">
        <f t="shared" si="1034"/>
        <v>$0 + 0/0/0/0.9/3.9</v>
      </c>
      <c r="AO357" s="32" t="str">
        <f t="shared" si="1035"/>
        <v>0/0/0/0.9/3.9</v>
      </c>
      <c r="AP357" s="32" t="str">
        <f t="shared" si="989"/>
        <v>0/0/0.9/3.9</v>
      </c>
      <c r="AQ357" s="536">
        <f t="shared" ref="AQ357:AQ420" si="1124">SUM(IE357,G357*IF357,H357*IG357,AC357*AD357,AE357*AF357,AI357)</f>
        <v>485.26119425005555</v>
      </c>
      <c r="AR357" s="32"/>
      <c r="AS357" s="302"/>
      <c r="AT357" s="3">
        <f t="shared" si="1056"/>
        <v>57</v>
      </c>
      <c r="AU357" s="41" t="s">
        <v>121</v>
      </c>
      <c r="AV357" s="41" t="s">
        <v>116</v>
      </c>
      <c r="AW357" s="41" t="str">
        <f>INDEX(Input!$1:$1048576,AW$93,$C357*2+6)</f>
        <v>Kia</v>
      </c>
      <c r="AX357" s="41" t="str">
        <f>INDEX(Input!$1:$1048576,AX$93,$C357*2+6)</f>
        <v>Kia-LR - L3</v>
      </c>
      <c r="AY357" s="41" t="str">
        <f>IF(LEN(D357)=0,"",INDEX(Input!$1:$1048576,AY$93,$C357*2+6))</f>
        <v>Compact Conventional/Sporty Car (43)</v>
      </c>
      <c r="AZ357" s="41" t="str">
        <f>INDEX(Input!$1:$1048576,AZ$93,$C357*2+6)</f>
        <v>Kia Forte</v>
      </c>
      <c r="BA357" s="3">
        <f>INDEX(Input!$1:$1048576,BA$93,$C357*2+6)</f>
        <v>2020</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19695</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990"/>
        <v>1750</v>
      </c>
      <c r="CJ357" s="16" t="str">
        <f>INDEX(Input!$1:$1048576,CJ$93,$C357*2+6)</f>
        <v>N</v>
      </c>
      <c r="CK357" s="1" t="str">
        <f t="shared" si="991"/>
        <v>Market</v>
      </c>
      <c r="CL357" s="1" t="str">
        <f t="shared" si="992"/>
        <v>Market</v>
      </c>
      <c r="CM357" s="1" t="str">
        <f t="shared" si="993"/>
        <v>Market</v>
      </c>
      <c r="CN357" s="1" t="str">
        <f t="shared" si="994"/>
        <v>Market</v>
      </c>
      <c r="CO357" s="1" t="str">
        <f t="shared" si="995"/>
        <v>Market</v>
      </c>
      <c r="CP357" s="304">
        <f t="shared" si="996"/>
        <v>310</v>
      </c>
      <c r="CQ357" s="1">
        <f t="shared" si="997"/>
        <v>0</v>
      </c>
      <c r="CR357" s="1">
        <f t="shared" si="998"/>
        <v>0</v>
      </c>
      <c r="CS357" s="1">
        <f t="shared" si="999"/>
        <v>0</v>
      </c>
      <c r="CT357" s="1">
        <f t="shared" si="1000"/>
        <v>8.9999999999999993E-3</v>
      </c>
      <c r="CU357" s="1">
        <f t="shared" si="1001"/>
        <v>3.9000000000000007E-2</v>
      </c>
      <c r="CV357" s="304">
        <f t="shared" si="1002"/>
        <v>4953</v>
      </c>
      <c r="CW357" s="20" t="s">
        <v>122</v>
      </c>
      <c r="CX357" s="20" t="s">
        <v>122</v>
      </c>
      <c r="CY357" s="20" t="s">
        <v>122</v>
      </c>
      <c r="CZ357" s="20" t="s">
        <v>122</v>
      </c>
      <c r="DA357" s="20" t="s">
        <v>122</v>
      </c>
      <c r="DB357" s="503">
        <f t="shared" si="1003"/>
        <v>0</v>
      </c>
      <c r="DC357" s="127">
        <v>0</v>
      </c>
      <c r="DD357" s="127">
        <v>0</v>
      </c>
      <c r="DE357" s="127">
        <v>0</v>
      </c>
      <c r="DF357" s="127">
        <v>0</v>
      </c>
      <c r="DG357" s="127">
        <v>0</v>
      </c>
      <c r="DH357" s="127">
        <v>0</v>
      </c>
      <c r="DI357" s="127">
        <v>0</v>
      </c>
      <c r="DJ357" s="127">
        <v>0</v>
      </c>
      <c r="DK357" s="127">
        <v>0</v>
      </c>
      <c r="DL357" s="127">
        <v>0</v>
      </c>
      <c r="DM357" s="304">
        <f>INDEX(Input!$1:$1048576,DM$93,$C357*2+6)</f>
        <v>20731.578947368424</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3.3967081498353743E-2</v>
      </c>
      <c r="DZ357" s="7">
        <v>0</v>
      </c>
      <c r="EA357" s="7">
        <v>0.59665032801473239</v>
      </c>
      <c r="EB357" s="7">
        <v>0</v>
      </c>
      <c r="EC357" s="7">
        <v>0</v>
      </c>
      <c r="ED357" s="7">
        <v>0</v>
      </c>
      <c r="EE357" s="7">
        <v>0</v>
      </c>
      <c r="EF357" s="7">
        <v>0</v>
      </c>
      <c r="EG357" s="7">
        <v>0</v>
      </c>
      <c r="EH357" s="7">
        <v>1.014704168628338E-2</v>
      </c>
      <c r="EI357" s="7">
        <v>1.2860687670793269E-2</v>
      </c>
      <c r="EJ357" s="7">
        <v>0.18490687210829854</v>
      </c>
      <c r="EK357" s="7">
        <v>0.75551130612274575</v>
      </c>
      <c r="EL357" s="7">
        <v>3.6574092411879103E-2</v>
      </c>
      <c r="EM357" s="7">
        <v>5.7272094942079535E-2</v>
      </c>
      <c r="EN357" s="7">
        <v>6.0273956083923587E-2</v>
      </c>
      <c r="EO357" s="7">
        <v>0.5667455773469493</v>
      </c>
      <c r="EP357" s="7">
        <v>0.27600976301752561</v>
      </c>
      <c r="EQ357" s="7">
        <v>5.7539036077023126E-2</v>
      </c>
      <c r="ER357" s="7">
        <v>3.9431667474578228E-2</v>
      </c>
      <c r="ES357" s="7">
        <v>0.31211049554483433</v>
      </c>
      <c r="ET357" s="7">
        <v>0.36938259048691391</v>
      </c>
      <c r="EU357" s="6">
        <v>2100</v>
      </c>
      <c r="EV357" s="6">
        <v>0</v>
      </c>
      <c r="EW357" s="6">
        <v>2100</v>
      </c>
      <c r="EX357" s="6">
        <v>0</v>
      </c>
      <c r="EY357" s="6">
        <v>2973.199945097891</v>
      </c>
      <c r="EZ357" s="6">
        <v>3996</v>
      </c>
      <c r="FA357" s="6">
        <v>0</v>
      </c>
      <c r="FB357" s="6">
        <v>0</v>
      </c>
      <c r="FC357" s="6">
        <v>0</v>
      </c>
      <c r="FD357" s="6">
        <v>0</v>
      </c>
      <c r="FE357" s="6">
        <v>0</v>
      </c>
      <c r="FF357" s="6">
        <v>0</v>
      </c>
      <c r="FG357" s="6">
        <v>0</v>
      </c>
      <c r="FH357" s="6">
        <v>1154.3268243158766</v>
      </c>
      <c r="FI357" s="6">
        <v>1531.4299904380623</v>
      </c>
      <c r="FJ357" s="6">
        <v>2070.7205842538215</v>
      </c>
      <c r="FK357" s="6">
        <v>2218.639369850102</v>
      </c>
      <c r="FL357" s="6">
        <v>893.91433563489386</v>
      </c>
      <c r="FM357" s="6">
        <v>2123.199945097891</v>
      </c>
      <c r="FN357" s="6">
        <v>0</v>
      </c>
      <c r="FO357" s="6">
        <v>0</v>
      </c>
      <c r="FP357" s="6">
        <v>0</v>
      </c>
      <c r="FQ357" s="6">
        <v>0</v>
      </c>
      <c r="FR357" s="6">
        <v>0</v>
      </c>
      <c r="FS357" s="6">
        <v>0</v>
      </c>
      <c r="FT357" s="7">
        <v>0.63061740951308609</v>
      </c>
      <c r="FU357" s="7">
        <v>5.7272094942079535E-2</v>
      </c>
      <c r="FV357" s="7">
        <v>0.31211049554483433</v>
      </c>
      <c r="FW357" s="6">
        <v>2100</v>
      </c>
      <c r="FX357" s="6">
        <v>2973.1999450978906</v>
      </c>
      <c r="FY357" s="6">
        <v>3996</v>
      </c>
      <c r="FZ357" s="6">
        <v>2202.331475193394</v>
      </c>
      <c r="GA357" s="6">
        <v>2741.7714897120709</v>
      </c>
      <c r="GB357" s="6">
        <v>16953.228510287929</v>
      </c>
      <c r="GC357" s="7">
        <v>4.8391397220736806E-2</v>
      </c>
      <c r="GD357" s="7">
        <v>5.2131166676104311E-2</v>
      </c>
      <c r="GE357" s="7"/>
      <c r="GF357" s="7"/>
      <c r="GG357" s="7">
        <v>7.7281700263966108E-2</v>
      </c>
      <c r="GH357" s="42">
        <v>2.8215613334818981</v>
      </c>
      <c r="GI357" s="6">
        <v>9721.9493672192511</v>
      </c>
      <c r="GJ357" s="14">
        <v>0.51074630601039561</v>
      </c>
      <c r="GK357" s="14">
        <v>0.50829519786160982</v>
      </c>
      <c r="GL357" s="14">
        <v>0.48925369398960422</v>
      </c>
      <c r="GM357" s="14">
        <v>0.49170480213839035</v>
      </c>
      <c r="GO357" s="5">
        <v>338.16872463277008</v>
      </c>
      <c r="GP357" s="5">
        <v>298.1047308538179</v>
      </c>
      <c r="GQ357" s="5">
        <v>527.27910984145694</v>
      </c>
      <c r="GR357" s="5">
        <v>404.20319246551543</v>
      </c>
      <c r="GS357" s="5">
        <v>334.50205195691484</v>
      </c>
      <c r="GT357" s="5">
        <v>289.18266033348181</v>
      </c>
      <c r="GU357" s="5">
        <v>254.29573314828914</v>
      </c>
      <c r="GV357" s="39" t="s">
        <v>392</v>
      </c>
      <c r="GW357" s="5">
        <v>468.76388888888891</v>
      </c>
      <c r="GX357" s="5">
        <v>351.57291666666669</v>
      </c>
      <c r="GY357" s="5">
        <v>281.25833333333333</v>
      </c>
      <c r="GZ357" s="5">
        <v>240.8550698915011</v>
      </c>
      <c r="HA357" s="5">
        <v>229.8919505212948</v>
      </c>
      <c r="HB357" s="39">
        <v>251.66145275052574</v>
      </c>
      <c r="HC357" s="5">
        <v>108.29062499999998</v>
      </c>
      <c r="HD357" s="5">
        <v>117.00060307017539</v>
      </c>
      <c r="HE357" s="5">
        <v>126.67974443319835</v>
      </c>
      <c r="HF357" s="5">
        <v>125.29567434210523</v>
      </c>
      <c r="HG357" s="5">
        <v>130.98493421052632</v>
      </c>
      <c r="HH357" s="39">
        <v>120.17587164886054</v>
      </c>
      <c r="HI357" s="16"/>
      <c r="HJ357" s="19" t="str">
        <f t="shared" si="1122"/>
        <v>On</v>
      </c>
      <c r="HK357" s="1" t="str">
        <f t="shared" si="1122"/>
        <v>On</v>
      </c>
      <c r="HL357" s="16"/>
      <c r="HM357" s="639">
        <f t="shared" si="1004"/>
        <v>2.8970655363290673E-2</v>
      </c>
      <c r="HN357" s="639">
        <f t="shared" si="1005"/>
        <v>2.1835179285533651E-3</v>
      </c>
      <c r="HO357" s="639">
        <f t="shared" si="1006"/>
        <v>1.5544129749146325E-2</v>
      </c>
      <c r="HP357" s="644">
        <f>(FT357*$GD357-HM357)/$JF357*INDEX(Input!$1:$1048576,$JG$93,$C357*2+6)</f>
        <v>161.02134497333165</v>
      </c>
      <c r="HQ357" s="644">
        <f>(FU357*$GD357-HN357)/$JF357*INDEX(Input!$1:$1048576,$JG$93,$C357*2+6)</f>
        <v>33.083167914243894</v>
      </c>
      <c r="HR357" s="644">
        <f>(FV357*$GD357-HO357)/$JF357*INDEX(Input!$1:$1048576,$JG$93,$C357*2+6)</f>
        <v>29.965628420230352</v>
      </c>
      <c r="HS357" s="644">
        <f t="shared" si="1116"/>
        <v>-63.023390281643415</v>
      </c>
      <c r="HT357" s="644">
        <f t="shared" si="1008"/>
        <v>97.676292984312653</v>
      </c>
      <c r="HU357" s="644">
        <f t="shared" si="1009"/>
        <v>62.638659269305336</v>
      </c>
      <c r="HV357" s="648">
        <f t="shared" si="1010"/>
        <v>0</v>
      </c>
      <c r="HW357" s="648">
        <f t="shared" si="1011"/>
        <v>0</v>
      </c>
      <c r="HX357" s="648">
        <f t="shared" si="1012"/>
        <v>0</v>
      </c>
      <c r="HY357" s="644">
        <f>INDEX(Input!$1:$1048576,HY$93,$C357*2+6)*INDEX(Input!$1:$1048576,$JG$93,$C357*2+6)</f>
        <v>488.99999999999994</v>
      </c>
      <c r="HZ357" s="644">
        <f>INDEX(Input!$1:$1048576,HZ$93,$C357*2+6)*INDEX(Input!$1:$1048576,$JG$93,$C357*2+6)</f>
        <v>734</v>
      </c>
      <c r="IA357" s="644">
        <f>INDEX(Input!$1:$1048576,IA$93,$C357*2+6)*INDEX(Input!$1:$1048576,$JG$93,$C357*2+6)</f>
        <v>703</v>
      </c>
      <c r="IB357" s="644">
        <f t="shared" si="1036"/>
        <v>586.99795469168805</v>
      </c>
      <c r="IC357" s="644">
        <f t="shared" si="1037"/>
        <v>864.75946089855654</v>
      </c>
      <c r="ID357" s="644">
        <f>IF(AND(INDEX(Input!$1:$1048576,IA$93,$C357*2+7)="TOS",Y357&lt;=INDEX(Y:Y,MATCH(C357*1000+2,A:A))),0,1)*MAX(IA357+HR357+HU357+HX357,0%)</f>
        <v>795.60428768953568</v>
      </c>
      <c r="IE357" s="128">
        <f t="shared" si="1121"/>
        <v>0.26119425005553326</v>
      </c>
      <c r="IF357" s="128">
        <f t="shared" si="1108"/>
        <v>0.38478873233291022</v>
      </c>
      <c r="IG357" s="128">
        <f t="shared" si="1014"/>
        <v>0.35401701761155657</v>
      </c>
      <c r="IH357" s="21"/>
      <c r="II357" s="19">
        <f t="shared" si="1015"/>
        <v>1200</v>
      </c>
      <c r="IJ357" s="19">
        <f t="shared" si="1016"/>
        <v>2224.493581030405</v>
      </c>
      <c r="IK357" s="19">
        <f t="shared" si="1017"/>
        <v>3451.75</v>
      </c>
      <c r="IL357" s="19">
        <f t="shared" si="1039"/>
        <v>900</v>
      </c>
      <c r="IM357" s="19">
        <f t="shared" si="1018"/>
        <v>748.70636406748554</v>
      </c>
      <c r="IN357" s="19">
        <f t="shared" si="1019"/>
        <v>544.25</v>
      </c>
      <c r="IO357" s="39">
        <f t="shared" si="1020"/>
        <v>0</v>
      </c>
      <c r="IP357" s="39">
        <f t="shared" si="1021"/>
        <v>0</v>
      </c>
      <c r="IQ357" s="39">
        <f t="shared" si="1022"/>
        <v>0</v>
      </c>
      <c r="IR357" s="39">
        <v>0</v>
      </c>
      <c r="IS357" s="39">
        <v>0</v>
      </c>
      <c r="IT357" s="39">
        <v>0</v>
      </c>
      <c r="IU357" s="39">
        <v>0</v>
      </c>
      <c r="IV357" s="39">
        <v>0</v>
      </c>
      <c r="IW357" s="39">
        <v>0</v>
      </c>
      <c r="IX357" s="39">
        <f>INDEX(Input!$1:$1048576,IX$93,$C357*2+6)+INDEX(Input!$1:$1048576,IX$94,$C357*2+6)</f>
        <v>1600</v>
      </c>
      <c r="IY357" s="39">
        <f>INDEX(Input!$1:$1048576,IY$93,$C357*2+6)+INDEX(Input!$1:$1048576,IY$94,$C357*2+6)</f>
        <v>2503.5492916397525</v>
      </c>
      <c r="IZ357" s="39">
        <f>INDEX(Input!$1:$1048576,IZ$93,$C357*2+6)+INDEX(Input!$1:$1048576,IZ$94,$C357*2+6)</f>
        <v>5773.7109265464023</v>
      </c>
      <c r="JA357" s="19">
        <f t="shared" si="1040"/>
        <v>2500</v>
      </c>
      <c r="JB357" s="19">
        <f t="shared" si="1041"/>
        <v>3252.255655707238</v>
      </c>
      <c r="JC357" s="19">
        <f t="shared" si="1042"/>
        <v>6317.9609265464023</v>
      </c>
      <c r="JD357" s="19">
        <f t="shared" si="1043"/>
        <v>4141.0826407232635</v>
      </c>
      <c r="JE357" s="21"/>
      <c r="JF357" s="1">
        <f t="shared" si="1023"/>
        <v>4.6698303040990354E-2</v>
      </c>
      <c r="JG357" s="15">
        <f>INDEX(Input!$1:$1048576,JG$93,$C357*2+6)/(1+VLOOKUP(C357*1000+INDEX(Input!$1:$1048576,JG$93+1,$C357*2+6),$A:$KK,$JK$92,FALSE))</f>
        <v>1926</v>
      </c>
      <c r="JH357" s="1">
        <f t="shared" si="1044"/>
        <v>0.11633963723146723</v>
      </c>
      <c r="JI357" s="1">
        <f t="shared" si="1045"/>
        <v>5.0514829684306629E-2</v>
      </c>
      <c r="JJ357" s="1">
        <f t="shared" si="1109"/>
        <v>0</v>
      </c>
      <c r="JK357" s="1">
        <f t="shared" si="1110"/>
        <v>0.16685446691577385</v>
      </c>
      <c r="JL357" s="15">
        <f t="shared" si="1048"/>
        <v>321.36170327978044</v>
      </c>
      <c r="JM357" s="15">
        <f t="shared" si="1074"/>
        <v>2247.3617032797806</v>
      </c>
      <c r="JN357" s="21"/>
      <c r="JO357" s="19">
        <f>INDEX(Input!$1:$1048576,JO$93,$C357*2+6)</f>
        <v>5908.5</v>
      </c>
      <c r="JP357" s="19">
        <f>INDEX(Input!$1:$1048576,JP$93,$C357*2+6)</f>
        <v>3467.7694503767912</v>
      </c>
      <c r="JQ357" s="39">
        <f t="shared" si="1060"/>
        <v>1767.4173592767365</v>
      </c>
      <c r="JR357" s="39">
        <f t="shared" si="1077"/>
        <v>673.31319034647231</v>
      </c>
      <c r="JS357" s="39">
        <f t="shared" si="1062"/>
        <v>9.3065105368781644</v>
      </c>
      <c r="JT357" s="39">
        <f t="shared" si="1050"/>
        <v>2.6275865754524648</v>
      </c>
      <c r="JU357" s="385">
        <f>(JQ357*JM357-INDEX(Input!$1:$1048576,Input!A$18,$C357*2+6)*JL357*INDEX(Input!$1:$1048576,Input!A$19,$C357*2+6))/1000000</f>
        <v>3.9720260869504185</v>
      </c>
      <c r="JV357" s="39">
        <f t="shared" si="1084"/>
        <v>-0.72882095162388127</v>
      </c>
      <c r="JW357" s="1">
        <f t="shared" si="1075"/>
        <v>-0.1550403460574889</v>
      </c>
      <c r="JX357" s="19">
        <f t="shared" si="1066"/>
        <v>8176.4147645336061</v>
      </c>
      <c r="JZ357" s="341"/>
      <c r="KA357" s="342"/>
      <c r="KB357" s="469">
        <f t="shared" si="1063"/>
        <v>2.7822247002359868</v>
      </c>
      <c r="KI357" s="473">
        <f t="shared" si="1118"/>
        <v>97.997954691688221</v>
      </c>
      <c r="KJ357" s="473">
        <f t="shared" si="1119"/>
        <v>130.75946089855665</v>
      </c>
      <c r="KK357" s="473">
        <f t="shared" si="1052"/>
        <v>92.604287689535909</v>
      </c>
      <c r="KN357" s="544">
        <f t="shared" si="1067"/>
        <v>3002</v>
      </c>
      <c r="KO357" s="541">
        <f t="shared" si="1027"/>
        <v>9.091304609628037E-2</v>
      </c>
      <c r="KP357" s="546">
        <f t="shared" si="1028"/>
        <v>392.18323173846738</v>
      </c>
      <c r="KQ357" s="546">
        <f t="shared" si="1029"/>
        <v>420.00142239789056</v>
      </c>
      <c r="KR357" s="548">
        <f t="shared" si="1030"/>
        <v>3.7029569267894353</v>
      </c>
      <c r="KS357" s="548">
        <f t="shared" si="1031"/>
        <v>3.4576968959901264</v>
      </c>
      <c r="KT357" s="473">
        <f t="shared" si="1065"/>
        <v>527.01264777847621</v>
      </c>
      <c r="KU357" s="663">
        <f t="shared" si="1053"/>
        <v>15.525271994206216</v>
      </c>
      <c r="KV357" s="117"/>
    </row>
    <row r="358" spans="1:308" s="26" customFormat="1" ht="15" outlineLevel="1">
      <c r="A358" s="561">
        <f t="shared" si="1032"/>
        <v>3058</v>
      </c>
      <c r="B358" s="561">
        <f t="shared" si="1054"/>
        <v>58</v>
      </c>
      <c r="C358" s="561">
        <f t="shared" si="1055"/>
        <v>3</v>
      </c>
      <c r="D358" s="561" t="str">
        <f t="shared" si="1123"/>
        <v xml:space="preserve">1000 CC, 0/0/0.9/3.9, 360 Lease, </v>
      </c>
      <c r="E358" s="475">
        <f>INDEX(Input!$1:$1048576,E$93,$C358*2+MIN($B358,2)+5)
+INDEX(Scenarios!E$121:E$200,MATCH($B358,Scenarios!$B$121:$B$200,0))</f>
        <v>2250</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8.9999999999999993E-3</v>
      </c>
      <c r="W358" s="863">
        <f>IFERROR(MAX(0,INDEX(Input!$1:$1048576,W$93,$C358*2+MIN($B358,2)+5)-0%,),"Market")</f>
        <v>3.9000000000000007E-2</v>
      </c>
      <c r="X358" s="476" t="str">
        <f>INDEX(Input!$1:$1048576,X$93,$C358*2+MIN($B358,2)+5)</f>
        <v>Y</v>
      </c>
      <c r="Y358" s="475">
        <f>INDEX(Input!$1:$1048576,Y$93,$C358*2+MIN($B358,2)+5)
++INDEX(Scenarios!Y$121:Y$200,MATCH($B358,Scenarios!$B$121:$B$200,0))</f>
        <v>4468</v>
      </c>
      <c r="Z358" s="477">
        <f>INDEX(Input!$1:$1048576,Z$93,$C358*2+MIN($B358,2)+5)
+INDEX(Scenarios!Z$121:Z$200,MATCH($B358,Scenarios!$B$121:$B$200,0))</f>
        <v>0</v>
      </c>
      <c r="AA358" s="475">
        <f>INDEX(Input!$1:$1048576,AA$93,$C358*2+MIN($B358,2)+5)</f>
        <v>500</v>
      </c>
      <c r="AB358" s="476">
        <f>INDEX(Input!$1:$1048576,AB$93,$C358*2+MIN($B358,2)+5)</f>
        <v>0.62</v>
      </c>
      <c r="AC358" s="475">
        <f>INDEX(Input!$1:$1048576,AC$93,$C358*2+MIN($B358,2)+5)
+INDEX(Scenarios!AC$121:AC$200,MATCH($B358,Scenarios!$B$121:$B$200,0))</f>
        <v>0</v>
      </c>
      <c r="AD358" s="476">
        <f>INDEX(Input!$1:$1048576,AD$93,$C358*2+MIN($B358,2)+5)</f>
        <v>0.35</v>
      </c>
      <c r="AE358" s="475">
        <f>INDEX(Input!$1:$1048576,AE$93,$C358*2+MIN($B358,2)+5)
+INDEX(Scenarios!AE$121:AE$200,MATCH($B358,Scenarios!$B$121:$B$200,0))</f>
        <v>500</v>
      </c>
      <c r="AF358" s="476">
        <f>INDEX(Input!$1:$1048576,AF$93,$C358*2+MIN($B358,2)+5)</f>
        <v>0.97</v>
      </c>
      <c r="AG358" s="475">
        <f>INDEX(Input!$1:$1048576,AG$93,$C358*2+MIN($B358,2)+5)
+INDEX(Scenarios!AG$121:AG$200,MATCH($B358,Scenarios!$B$121:$B$200,0))</f>
        <v>0</v>
      </c>
      <c r="AH358" s="476">
        <f>INDEX(Input!$1:$1048576,AH$93,$C358*2+MIN($B358,2)+5)</f>
        <v>1</v>
      </c>
      <c r="AI358" s="475">
        <f>INDEX(Input!$1:$1048576,AI$93,$C358*2+MIN($B358,2)+5)
+INDEX(Scenarios!AI$121:AI$200,MATCH($B358,Scenarios!$B$121:$B$200,0))</f>
        <v>0</v>
      </c>
      <c r="AJ358" s="476">
        <f>INDEX(Input!$1:$1048576,AJ$93,$C358*2+MIN($B358,2)+5)</f>
        <v>0.35</v>
      </c>
      <c r="AK358" s="150">
        <f>ROUND(INDEX(Input!$1:$1048576,AK$93,$C357*2+MIN($B358,1)+5)+(Y358-VLOOKUP($C358*1000+1,$A:$HH,Y$92,FALSE)),0)</f>
        <v>5342</v>
      </c>
      <c r="AL358" s="150">
        <f>ROUND(INDEX(Input!$1:$1048576,AL$93,$C357*2+MIN($B358,1)+5)-(Y358-VLOOKUP($C358*1000+1,$A:$HH,Y$92,FALSE))/36,0)</f>
        <v>5092</v>
      </c>
      <c r="AM358" s="32" t="str">
        <f t="shared" si="1033"/>
        <v>std/std/std/std</v>
      </c>
      <c r="AN358" s="32" t="str">
        <f t="shared" si="1034"/>
        <v>$0 + 0/0/0/0.9/3.9</v>
      </c>
      <c r="AO358" s="32" t="str">
        <f t="shared" si="1035"/>
        <v>0/0/0/0.9/3.9</v>
      </c>
      <c r="AP358" s="32" t="str">
        <f t="shared" ref="AP358:AP421" si="1125">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0/0/0.9/3.9</v>
      </c>
      <c r="AQ358" s="536">
        <f t="shared" si="1124"/>
        <v>485.29633974111727</v>
      </c>
      <c r="AR358" s="32"/>
      <c r="AS358" s="302"/>
      <c r="AT358" s="3">
        <f t="shared" si="1056"/>
        <v>58</v>
      </c>
      <c r="AU358" s="41" t="s">
        <v>121</v>
      </c>
      <c r="AV358" s="41" t="s">
        <v>116</v>
      </c>
      <c r="AW358" s="41" t="str">
        <f>INDEX(Input!$1:$1048576,AW$93,$C358*2+6)</f>
        <v>Kia</v>
      </c>
      <c r="AX358" s="41" t="str">
        <f>INDEX(Input!$1:$1048576,AX$93,$C358*2+6)</f>
        <v>Kia-LR - L3</v>
      </c>
      <c r="AY358" s="41" t="str">
        <f>IF(LEN(D358)=0,"",INDEX(Input!$1:$1048576,AY$93,$C358*2+6))</f>
        <v>Compact Conventional/Sporty Car (43)</v>
      </c>
      <c r="AZ358" s="41" t="str">
        <f>INDEX(Input!$1:$1048576,AZ$93,$C358*2+6)</f>
        <v>Kia Forte</v>
      </c>
      <c r="BA358" s="3">
        <f>INDEX(Input!$1:$1048576,BA$93,$C358*2+6)</f>
        <v>2020</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19695</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1126">E358+F358*I358+AA274*AB274+AC358*AD358</f>
        <v>2250</v>
      </c>
      <c r="CJ358" s="16" t="str">
        <f>INDEX(Input!$1:$1048576,CJ$93,$C358*2+6)</f>
        <v>N</v>
      </c>
      <c r="CK358" s="1" t="str">
        <f t="shared" ref="CK358:CK421" si="1127">K358</f>
        <v>Market</v>
      </c>
      <c r="CL358" s="1" t="str">
        <f t="shared" ref="CL358:CL421" si="1128">L358</f>
        <v>Market</v>
      </c>
      <c r="CM358" s="1" t="str">
        <f t="shared" ref="CM358:CM421" si="1129">M358</f>
        <v>Market</v>
      </c>
      <c r="CN358" s="1" t="str">
        <f t="shared" ref="CN358:CN421" si="1130">N358</f>
        <v>Market</v>
      </c>
      <c r="CO358" s="1" t="str">
        <f t="shared" ref="CO358:CO421" si="1131">O358</f>
        <v>Market</v>
      </c>
      <c r="CP358" s="304">
        <f t="shared" ref="CP358:CP421" si="1132">Q358+G358*I358+AA358*AB358+AC358*AD358</f>
        <v>310</v>
      </c>
      <c r="CQ358" s="1">
        <f t="shared" ref="CQ358:CQ421" si="1133">S358</f>
        <v>0</v>
      </c>
      <c r="CR358" s="1">
        <f t="shared" ref="CR358:CR421" si="1134">T358</f>
        <v>0</v>
      </c>
      <c r="CS358" s="1">
        <f t="shared" ref="CS358:CS421" si="1135">U358</f>
        <v>0</v>
      </c>
      <c r="CT358" s="1">
        <f t="shared" ref="CT358:CT421" si="1136">V358</f>
        <v>8.9999999999999993E-3</v>
      </c>
      <c r="CU358" s="1">
        <f t="shared" ref="CU358:CU421" si="1137">W358</f>
        <v>3.9000000000000007E-2</v>
      </c>
      <c r="CV358" s="304">
        <f t="shared" ref="CV358:CV421" si="1138">Y358+H358*I358+AE358*AF358+AI358*AJ358</f>
        <v>4953</v>
      </c>
      <c r="CW358" s="20" t="s">
        <v>122</v>
      </c>
      <c r="CX358" s="20" t="s">
        <v>122</v>
      </c>
      <c r="CY358" s="20" t="s">
        <v>122</v>
      </c>
      <c r="CZ358" s="20" t="s">
        <v>122</v>
      </c>
      <c r="DA358" s="20" t="s">
        <v>122</v>
      </c>
      <c r="DB358" s="503">
        <f t="shared" ref="DB358:DB421" si="1139">Z358+AG358*AH358</f>
        <v>0</v>
      </c>
      <c r="DC358" s="127">
        <v>0</v>
      </c>
      <c r="DD358" s="127">
        <v>0</v>
      </c>
      <c r="DE358" s="127">
        <v>0</v>
      </c>
      <c r="DF358" s="127">
        <v>0</v>
      </c>
      <c r="DG358" s="127">
        <v>0</v>
      </c>
      <c r="DH358" s="127">
        <v>0</v>
      </c>
      <c r="DI358" s="127">
        <v>0</v>
      </c>
      <c r="DJ358" s="127">
        <v>0</v>
      </c>
      <c r="DK358" s="127">
        <v>0</v>
      </c>
      <c r="DL358" s="127">
        <v>0</v>
      </c>
      <c r="DM358" s="304">
        <f>INDEX(Input!$1:$1048576,DM$93,$C358*2+6)</f>
        <v>20731.578947368424</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3.5964019710049595E-2</v>
      </c>
      <c r="DZ358" s="7">
        <v>0</v>
      </c>
      <c r="EA358" s="7">
        <v>0.6269401780625512</v>
      </c>
      <c r="EB358" s="7">
        <v>0</v>
      </c>
      <c r="EC358" s="7">
        <v>0</v>
      </c>
      <c r="ED358" s="7">
        <v>0</v>
      </c>
      <c r="EE358" s="7">
        <v>0</v>
      </c>
      <c r="EF358" s="7">
        <v>0</v>
      </c>
      <c r="EG358" s="7">
        <v>0</v>
      </c>
      <c r="EH358" s="7">
        <v>1.0162008726049597E-2</v>
      </c>
      <c r="EI358" s="7">
        <v>1.2865075588709333E-2</v>
      </c>
      <c r="EJ358" s="7">
        <v>0.18534756725633805</v>
      </c>
      <c r="EK358" s="7">
        <v>0.75512331081003137</v>
      </c>
      <c r="EL358" s="7">
        <v>3.6502037618871594E-2</v>
      </c>
      <c r="EM358" s="7">
        <v>5.2258212221340861E-2</v>
      </c>
      <c r="EN358" s="7">
        <v>6.0273956083923594E-2</v>
      </c>
      <c r="EO358" s="7">
        <v>0.56674557734694964</v>
      </c>
      <c r="EP358" s="7">
        <v>0.27600976301752589</v>
      </c>
      <c r="EQ358" s="7">
        <v>5.7539036077023133E-2</v>
      </c>
      <c r="ER358" s="7">
        <v>3.9431667474578234E-2</v>
      </c>
      <c r="ES358" s="7">
        <v>0.28483759000605835</v>
      </c>
      <c r="ET358" s="7">
        <v>0.33709580222739921</v>
      </c>
      <c r="EU358" s="6">
        <v>2600</v>
      </c>
      <c r="EV358" s="6">
        <v>0</v>
      </c>
      <c r="EW358" s="6">
        <v>2600</v>
      </c>
      <c r="EX358" s="6">
        <v>0</v>
      </c>
      <c r="EY358" s="6">
        <v>2973.2112320724268</v>
      </c>
      <c r="EZ358" s="6">
        <v>3996</v>
      </c>
      <c r="FA358" s="6">
        <v>0</v>
      </c>
      <c r="FB358" s="6">
        <v>0</v>
      </c>
      <c r="FC358" s="6">
        <v>0</v>
      </c>
      <c r="FD358" s="6">
        <v>0</v>
      </c>
      <c r="FE358" s="6">
        <v>0</v>
      </c>
      <c r="FF358" s="6">
        <v>0</v>
      </c>
      <c r="FG358" s="6">
        <v>0</v>
      </c>
      <c r="FH358" s="6">
        <v>1154.3235084419425</v>
      </c>
      <c r="FI358" s="6">
        <v>1531.4299904380625</v>
      </c>
      <c r="FJ358" s="6">
        <v>2070.7205842538219</v>
      </c>
      <c r="FK358" s="6">
        <v>2218.6393698501024</v>
      </c>
      <c r="FL358" s="6">
        <v>893.9143356348934</v>
      </c>
      <c r="FM358" s="6">
        <v>2123.2112320724268</v>
      </c>
      <c r="FN358" s="6">
        <v>0</v>
      </c>
      <c r="FO358" s="6">
        <v>0</v>
      </c>
      <c r="FP358" s="6">
        <v>0</v>
      </c>
      <c r="FQ358" s="6">
        <v>0</v>
      </c>
      <c r="FR358" s="6">
        <v>0</v>
      </c>
      <c r="FS358" s="6">
        <v>0</v>
      </c>
      <c r="FT358" s="7">
        <v>0.66290419777260079</v>
      </c>
      <c r="FU358" s="7">
        <v>5.2258212221340861E-2</v>
      </c>
      <c r="FV358" s="7">
        <v>0.28483759000605835</v>
      </c>
      <c r="FW358" s="6">
        <v>2600</v>
      </c>
      <c r="FX358" s="6">
        <v>2973.2112320724264</v>
      </c>
      <c r="FY358" s="6">
        <v>3996</v>
      </c>
      <c r="FZ358" s="6">
        <v>2202.331475193394</v>
      </c>
      <c r="GA358" s="6">
        <v>3017.1366274174861</v>
      </c>
      <c r="GB358" s="6">
        <v>16677.863372582513</v>
      </c>
      <c r="GC358" s="7">
        <v>4.8391397220736806E-2</v>
      </c>
      <c r="GD358" s="7">
        <v>5.4373596809579733E-2</v>
      </c>
      <c r="GE358" s="7"/>
      <c r="GF358" s="7"/>
      <c r="GG358" s="7">
        <v>0.12362113789678754</v>
      </c>
      <c r="GH358" s="42">
        <v>2.9880988163015703</v>
      </c>
      <c r="GI358" s="6">
        <v>9608.2841130876222</v>
      </c>
      <c r="GJ358" s="14">
        <v>0.51074630601039561</v>
      </c>
      <c r="GK358" s="14">
        <v>0.5082951978616097</v>
      </c>
      <c r="GL358" s="14">
        <v>0.48925369398960433</v>
      </c>
      <c r="GM358" s="14">
        <v>0.4917048021383903</v>
      </c>
      <c r="GO358" s="5">
        <v>338.16872463277008</v>
      </c>
      <c r="GP358" s="5">
        <v>288.56568471597211</v>
      </c>
      <c r="GQ358" s="5">
        <v>527.27910984145694</v>
      </c>
      <c r="GR358" s="5">
        <v>404.20319246551543</v>
      </c>
      <c r="GS358" s="5">
        <v>334.50205195691484</v>
      </c>
      <c r="GT358" s="5">
        <v>289.18266033348181</v>
      </c>
      <c r="GU358" s="5">
        <v>254.29573314828914</v>
      </c>
      <c r="GV358" s="39" t="s">
        <v>392</v>
      </c>
      <c r="GW358" s="5">
        <v>468.76388888888891</v>
      </c>
      <c r="GX358" s="5">
        <v>351.57291666666669</v>
      </c>
      <c r="GY358" s="5">
        <v>281.25833333333333</v>
      </c>
      <c r="GZ358" s="5">
        <v>240.8550698915011</v>
      </c>
      <c r="HA358" s="5">
        <v>229.8919505212948</v>
      </c>
      <c r="HB358" s="39">
        <v>251.68394515916694</v>
      </c>
      <c r="HC358" s="5">
        <v>108.29062499999998</v>
      </c>
      <c r="HD358" s="5">
        <v>117.00060307017539</v>
      </c>
      <c r="HE358" s="5">
        <v>126.67974443319835</v>
      </c>
      <c r="HF358" s="5">
        <v>125.29567434210523</v>
      </c>
      <c r="HG358" s="5">
        <v>130.98493421052632</v>
      </c>
      <c r="HH358" s="39">
        <v>120.17587164886061</v>
      </c>
      <c r="HI358" s="16"/>
      <c r="HJ358" s="19" t="str">
        <f t="shared" si="1122"/>
        <v>On</v>
      </c>
      <c r="HK358" s="1" t="str">
        <f t="shared" si="1122"/>
        <v>On</v>
      </c>
      <c r="HL358" s="16"/>
      <c r="HM358" s="639">
        <f t="shared" si="1004"/>
        <v>2.8970655363290673E-2</v>
      </c>
      <c r="HN358" s="639">
        <f t="shared" si="1005"/>
        <v>2.1835179285533651E-3</v>
      </c>
      <c r="HO358" s="639">
        <f t="shared" si="1006"/>
        <v>1.5544129749146325E-2</v>
      </c>
      <c r="HP358" s="644">
        <f>(FT358*$GD358-HM358)/$JF358*INDEX(Input!$1:$1048576,$JG$93,$C358*2+6)</f>
        <v>291.74929487409901</v>
      </c>
      <c r="HQ358" s="644">
        <f>(FU358*$GD358-HN358)/$JF358*INDEX(Input!$1:$1048576,$JG$93,$C358*2+6)</f>
        <v>27.136100341420228</v>
      </c>
      <c r="HR358" s="644">
        <f>(FV358*$GD358-HO358)/$JF358*INDEX(Input!$1:$1048576,$JG$93,$C358*2+6)</f>
        <v>-2.3296568768606862</v>
      </c>
      <c r="HS358" s="644">
        <f t="shared" si="1116"/>
        <v>-97.607797517652301</v>
      </c>
      <c r="HT358" s="644">
        <f t="shared" si="1008"/>
        <v>91.633060555504144</v>
      </c>
      <c r="HU358" s="644">
        <f t="shared" si="1009"/>
        <v>68.683539858799008</v>
      </c>
      <c r="HV358" s="648">
        <f t="shared" si="1010"/>
        <v>0</v>
      </c>
      <c r="HW358" s="648">
        <f t="shared" si="1011"/>
        <v>0</v>
      </c>
      <c r="HX358" s="648">
        <f t="shared" si="1012"/>
        <v>0</v>
      </c>
      <c r="HY358" s="644">
        <f>INDEX(Input!$1:$1048576,HY$93,$C358*2+6)*INDEX(Input!$1:$1048576,$JG$93,$C358*2+6)</f>
        <v>488.99999999999994</v>
      </c>
      <c r="HZ358" s="644">
        <f>INDEX(Input!$1:$1048576,HZ$93,$C358*2+6)*INDEX(Input!$1:$1048576,$JG$93,$C358*2+6)</f>
        <v>734</v>
      </c>
      <c r="IA358" s="644">
        <f>INDEX(Input!$1:$1048576,IA$93,$C358*2+6)*INDEX(Input!$1:$1048576,$JG$93,$C358*2+6)</f>
        <v>703</v>
      </c>
      <c r="IB358" s="644">
        <f t="shared" si="1036"/>
        <v>683.14149735644673</v>
      </c>
      <c r="IC358" s="644">
        <f t="shared" si="1037"/>
        <v>852.7691608969244</v>
      </c>
      <c r="ID358" s="644">
        <f>IF(AND(INDEX(Input!$1:$1048576,IA$93,$C358*2+7)="TOS",Y358&lt;=INDEX(Y:Y,MATCH(C358*1000+2,A:A))),0,1)*MAX(IA358+HR358+HU358+HX358,0%)</f>
        <v>769.35388298193834</v>
      </c>
      <c r="IE358" s="128">
        <f t="shared" si="1121"/>
        <v>0.29633974111724959</v>
      </c>
      <c r="IF358" s="128">
        <f t="shared" si="1108"/>
        <v>0.36992247338344764</v>
      </c>
      <c r="IG358" s="128">
        <f t="shared" si="1014"/>
        <v>0.33373778549930277</v>
      </c>
      <c r="IH358" s="21"/>
      <c r="II358" s="19">
        <f t="shared" si="1015"/>
        <v>1200</v>
      </c>
      <c r="IJ358" s="19">
        <f t="shared" si="1016"/>
        <v>2224.493581030405</v>
      </c>
      <c r="IK358" s="19">
        <f t="shared" si="1017"/>
        <v>3451.75</v>
      </c>
      <c r="IL358" s="19">
        <f t="shared" si="1039"/>
        <v>1400</v>
      </c>
      <c r="IM358" s="19">
        <f t="shared" si="1018"/>
        <v>748.71765104202132</v>
      </c>
      <c r="IN358" s="19">
        <f t="shared" si="1019"/>
        <v>544.25</v>
      </c>
      <c r="IO358" s="39">
        <f t="shared" si="1020"/>
        <v>0</v>
      </c>
      <c r="IP358" s="39">
        <f t="shared" si="1021"/>
        <v>0</v>
      </c>
      <c r="IQ358" s="39">
        <f t="shared" si="1022"/>
        <v>0</v>
      </c>
      <c r="IR358" s="39">
        <v>0</v>
      </c>
      <c r="IS358" s="39">
        <v>0</v>
      </c>
      <c r="IT358" s="39">
        <v>0</v>
      </c>
      <c r="IU358" s="39">
        <v>0</v>
      </c>
      <c r="IV358" s="39">
        <v>0</v>
      </c>
      <c r="IW358" s="39">
        <v>0</v>
      </c>
      <c r="IX358" s="39">
        <f>INDEX(Input!$1:$1048576,IX$93,$C358*2+6)+INDEX(Input!$1:$1048576,IX$94,$C358*2+6)</f>
        <v>1600</v>
      </c>
      <c r="IY358" s="39">
        <f>INDEX(Input!$1:$1048576,IY$93,$C358*2+6)+INDEX(Input!$1:$1048576,IY$94,$C358*2+6)</f>
        <v>2503.5492916397525</v>
      </c>
      <c r="IZ358" s="39">
        <f>INDEX(Input!$1:$1048576,IZ$93,$C358*2+6)+INDEX(Input!$1:$1048576,IZ$94,$C358*2+6)</f>
        <v>5773.7109265464023</v>
      </c>
      <c r="JA358" s="19">
        <f t="shared" si="1040"/>
        <v>3000</v>
      </c>
      <c r="JB358" s="19">
        <f t="shared" si="1041"/>
        <v>3252.2669426817738</v>
      </c>
      <c r="JC358" s="19">
        <f t="shared" si="1042"/>
        <v>6317.9609265464023</v>
      </c>
      <c r="JD358" s="19">
        <f t="shared" si="1043"/>
        <v>4200.6481433885328</v>
      </c>
      <c r="JE358" s="21"/>
      <c r="JF358" s="1">
        <f t="shared" si="1023"/>
        <v>4.6698303040990354E-2</v>
      </c>
      <c r="JG358" s="15">
        <f>INDEX(Input!$1:$1048576,JG$93,$C358*2+6)/(1+VLOOKUP(C358*1000+INDEX(Input!$1:$1048576,JG$93+1,$C358*2+6),$A:$KK,$JK$92,FALSE))</f>
        <v>1926</v>
      </c>
      <c r="JH358" s="1">
        <f t="shared" si="1044"/>
        <v>0.16435915801591824</v>
      </c>
      <c r="JI358" s="1">
        <f t="shared" si="1045"/>
        <v>3.2559087692965137E-2</v>
      </c>
      <c r="JJ358" s="1">
        <f t="shared" si="1109"/>
        <v>0</v>
      </c>
      <c r="JK358" s="1">
        <f t="shared" si="1110"/>
        <v>0.19691824570888339</v>
      </c>
      <c r="JL358" s="15">
        <f t="shared" si="1048"/>
        <v>379.26454123530942</v>
      </c>
      <c r="JM358" s="15">
        <f t="shared" si="1074"/>
        <v>2305.2645412353095</v>
      </c>
      <c r="JN358" s="21"/>
      <c r="JO358" s="19">
        <f>INDEX(Input!$1:$1048576,JO$93,$C358*2+6)</f>
        <v>5908.5</v>
      </c>
      <c r="JP358" s="19">
        <f>INDEX(Input!$1:$1048576,JP$93,$C358*2+6)</f>
        <v>3467.7694503767912</v>
      </c>
      <c r="JQ358" s="39">
        <f t="shared" si="1060"/>
        <v>1707.8518566114672</v>
      </c>
      <c r="JR358" s="39">
        <f t="shared" si="1077"/>
        <v>732.87869301174169</v>
      </c>
      <c r="JS358" s="39">
        <f t="shared" si="1062"/>
        <v>9.6836052151595204</v>
      </c>
      <c r="JT358" s="39">
        <f t="shared" si="1050"/>
        <v>3.0046812537338203</v>
      </c>
      <c r="JU358" s="385">
        <f>(JQ358*JM358-INDEX(Input!$1:$1048576,Input!A$18,$C358*2+6)*JL358*INDEX(Input!$1:$1048576,Input!A$19,$C358*2+6))/1000000</f>
        <v>3.9370503267293055</v>
      </c>
      <c r="JV358" s="39">
        <f t="shared" si="1084"/>
        <v>-0.7637967118449942</v>
      </c>
      <c r="JW358" s="1">
        <f t="shared" si="1075"/>
        <v>-0.16248065626841646</v>
      </c>
      <c r="JX358" s="19">
        <f t="shared" si="1066"/>
        <v>7922.3890637052928</v>
      </c>
      <c r="JZ358" s="341"/>
      <c r="KA358" s="342"/>
      <c r="KB358" s="469">
        <f t="shared" si="1063"/>
        <v>2.7822247002359868</v>
      </c>
      <c r="KI358" s="473">
        <f t="shared" si="1118"/>
        <v>194.14149735644679</v>
      </c>
      <c r="KJ358" s="473">
        <f t="shared" si="1119"/>
        <v>118.7691608969244</v>
      </c>
      <c r="KK358" s="473">
        <f t="shared" si="1052"/>
        <v>66.353882981938341</v>
      </c>
      <c r="KN358" s="544">
        <f t="shared" si="1067"/>
        <v>3002</v>
      </c>
      <c r="KO358" s="541">
        <f t="shared" si="1027"/>
        <v>0.11902020892614429</v>
      </c>
      <c r="KP358" s="546">
        <f t="shared" si="1028"/>
        <v>545.44702016009035</v>
      </c>
      <c r="KQ358" s="546">
        <f t="shared" si="1029"/>
        <v>479.56692506315994</v>
      </c>
      <c r="KR358" s="548">
        <f t="shared" si="1030"/>
        <v>3.4856165319340469</v>
      </c>
      <c r="KS358" s="548">
        <f t="shared" si="1031"/>
        <v>3.9644501140560933</v>
      </c>
      <c r="KT358" s="473">
        <f t="shared" si="1065"/>
        <v>527.01264777847621</v>
      </c>
      <c r="KU358" s="663">
        <f t="shared" si="1053"/>
        <v>15.82025624818592</v>
      </c>
      <c r="KV358" s="117"/>
    </row>
    <row r="359" spans="1:308" s="26" customFormat="1" ht="15" outlineLevel="1">
      <c r="A359" s="561">
        <f t="shared" si="1032"/>
        <v>3059</v>
      </c>
      <c r="B359" s="561">
        <f t="shared" si="1054"/>
        <v>59</v>
      </c>
      <c r="C359" s="561">
        <f t="shared" si="1055"/>
        <v>3</v>
      </c>
      <c r="D359" s="561" t="str">
        <f t="shared" si="1123"/>
        <v xml:space="preserve">250 CC, 0/0/0.9/3.9, -360 Lease, </v>
      </c>
      <c r="E359" s="475">
        <f>INDEX(Input!$1:$1048576,E$93,$C359*2+MIN($B359,2)+5)
+INDEX(Scenarios!E$121:E$200,MATCH($B359,Scenarios!$B$121:$B$200,0))</f>
        <v>1500</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8.9999999999999993E-3</v>
      </c>
      <c r="W359" s="863">
        <f>IFERROR(MAX(0,INDEX(Input!$1:$1048576,W$93,$C359*2+MIN($B359,2)+5)-0%,),"Market")</f>
        <v>3.9000000000000007E-2</v>
      </c>
      <c r="X359" s="476" t="str">
        <f>INDEX(Input!$1:$1048576,X$93,$C359*2+MIN($B359,2)+5)</f>
        <v>Y</v>
      </c>
      <c r="Y359" s="475">
        <f>INDEX(Input!$1:$1048576,Y$93,$C359*2+MIN($B359,2)+5)
++INDEX(Scenarios!Y$121:Y$200,MATCH($B359,Scenarios!$B$121:$B$200,0))</f>
        <v>3748</v>
      </c>
      <c r="Z359" s="477">
        <f>INDEX(Input!$1:$1048576,Z$93,$C359*2+MIN($B359,2)+5)
+INDEX(Scenarios!Z$121:Z$200,MATCH($B359,Scenarios!$B$121:$B$200,0))</f>
        <v>0</v>
      </c>
      <c r="AA359" s="475">
        <f>INDEX(Input!$1:$1048576,AA$93,$C359*2+MIN($B359,2)+5)</f>
        <v>500</v>
      </c>
      <c r="AB359" s="476">
        <f>INDEX(Input!$1:$1048576,AB$93,$C359*2+MIN($B359,2)+5)</f>
        <v>0.62</v>
      </c>
      <c r="AC359" s="475">
        <f>INDEX(Input!$1:$1048576,AC$93,$C359*2+MIN($B359,2)+5)
+INDEX(Scenarios!AC$121:AC$200,MATCH($B359,Scenarios!$B$121:$B$200,0))</f>
        <v>0</v>
      </c>
      <c r="AD359" s="476">
        <f>INDEX(Input!$1:$1048576,AD$93,$C359*2+MIN($B359,2)+5)</f>
        <v>0.35</v>
      </c>
      <c r="AE359" s="475">
        <f>INDEX(Input!$1:$1048576,AE$93,$C359*2+MIN($B359,2)+5)
+INDEX(Scenarios!AE$121:AE$200,MATCH($B359,Scenarios!$B$121:$B$200,0))</f>
        <v>500</v>
      </c>
      <c r="AF359" s="476">
        <f>INDEX(Input!$1:$1048576,AF$93,$C359*2+MIN($B359,2)+5)</f>
        <v>0.97</v>
      </c>
      <c r="AG359" s="475">
        <f>INDEX(Input!$1:$1048576,AG$93,$C359*2+MIN($B359,2)+5)
+INDEX(Scenarios!AG$121:AG$200,MATCH($B359,Scenarios!$B$121:$B$200,0))</f>
        <v>0</v>
      </c>
      <c r="AH359" s="476">
        <f>INDEX(Input!$1:$1048576,AH$93,$C359*2+MIN($B359,2)+5)</f>
        <v>1</v>
      </c>
      <c r="AI359" s="475">
        <f>INDEX(Input!$1:$1048576,AI$93,$C359*2+MIN($B359,2)+5)
+INDEX(Scenarios!AI$121:AI$200,MATCH($B359,Scenarios!$B$121:$B$200,0))</f>
        <v>0</v>
      </c>
      <c r="AJ359" s="476">
        <f>INDEX(Input!$1:$1048576,AJ$93,$C359*2+MIN($B359,2)+5)</f>
        <v>0.35</v>
      </c>
      <c r="AK359" s="150">
        <f>ROUND(INDEX(Input!$1:$1048576,AK$93,$C358*2+MIN($B359,1)+5)+(Y359-VLOOKUP($C359*1000+1,$A:$HH,Y$92,FALSE)),0)</f>
        <v>4622</v>
      </c>
      <c r="AL359" s="150">
        <f>ROUND(INDEX(Input!$1:$1048576,AL$93,$C358*2+MIN($B359,1)+5)-(Y359-VLOOKUP($C359*1000+1,$A:$HH,Y$92,FALSE))/36,0)</f>
        <v>5112</v>
      </c>
      <c r="AM359" s="32" t="str">
        <f t="shared" si="1033"/>
        <v>std/std/std/std</v>
      </c>
      <c r="AN359" s="32" t="str">
        <f t="shared" si="1034"/>
        <v>$0 + 0/0/0/0.9/3.9</v>
      </c>
      <c r="AO359" s="32" t="str">
        <f t="shared" si="1035"/>
        <v>0/0/0/0.9/3.9</v>
      </c>
      <c r="AP359" s="32" t="str">
        <f t="shared" si="1125"/>
        <v>0/0/0.9/3.9</v>
      </c>
      <c r="AQ359" s="536">
        <f t="shared" si="1124"/>
        <v>485.28281155024104</v>
      </c>
      <c r="AR359" s="32"/>
      <c r="AS359" s="302"/>
      <c r="AT359" s="3">
        <f t="shared" si="1056"/>
        <v>59</v>
      </c>
      <c r="AU359" s="41" t="s">
        <v>121</v>
      </c>
      <c r="AV359" s="41" t="s">
        <v>116</v>
      </c>
      <c r="AW359" s="41" t="str">
        <f>INDEX(Input!$1:$1048576,AW$93,$C359*2+6)</f>
        <v>Kia</v>
      </c>
      <c r="AX359" s="41" t="str">
        <f>INDEX(Input!$1:$1048576,AX$93,$C359*2+6)</f>
        <v>Kia-LR - L3</v>
      </c>
      <c r="AY359" s="41" t="str">
        <f>IF(LEN(D359)=0,"",INDEX(Input!$1:$1048576,AY$93,$C359*2+6))</f>
        <v>Compact Conventional/Sporty Car (43)</v>
      </c>
      <c r="AZ359" s="41" t="str">
        <f>INDEX(Input!$1:$1048576,AZ$93,$C359*2+6)</f>
        <v>Kia Forte</v>
      </c>
      <c r="BA359" s="3">
        <f>INDEX(Input!$1:$1048576,BA$93,$C359*2+6)</f>
        <v>2020</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19695</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1126"/>
        <v>1500</v>
      </c>
      <c r="CJ359" s="16" t="str">
        <f>INDEX(Input!$1:$1048576,CJ$93,$C359*2+6)</f>
        <v>N</v>
      </c>
      <c r="CK359" s="1" t="str">
        <f t="shared" si="1127"/>
        <v>Market</v>
      </c>
      <c r="CL359" s="1" t="str">
        <f t="shared" si="1128"/>
        <v>Market</v>
      </c>
      <c r="CM359" s="1" t="str">
        <f t="shared" si="1129"/>
        <v>Market</v>
      </c>
      <c r="CN359" s="1" t="str">
        <f t="shared" si="1130"/>
        <v>Market</v>
      </c>
      <c r="CO359" s="1" t="str">
        <f t="shared" si="1131"/>
        <v>Market</v>
      </c>
      <c r="CP359" s="304">
        <f t="shared" si="1132"/>
        <v>310</v>
      </c>
      <c r="CQ359" s="1">
        <f t="shared" si="1133"/>
        <v>0</v>
      </c>
      <c r="CR359" s="1">
        <f t="shared" si="1134"/>
        <v>0</v>
      </c>
      <c r="CS359" s="1">
        <f t="shared" si="1135"/>
        <v>0</v>
      </c>
      <c r="CT359" s="1">
        <f t="shared" si="1136"/>
        <v>8.9999999999999993E-3</v>
      </c>
      <c r="CU359" s="1">
        <f t="shared" si="1137"/>
        <v>3.9000000000000007E-2</v>
      </c>
      <c r="CV359" s="304">
        <f t="shared" si="1138"/>
        <v>4233</v>
      </c>
      <c r="CW359" s="20" t="s">
        <v>122</v>
      </c>
      <c r="CX359" s="20" t="s">
        <v>122</v>
      </c>
      <c r="CY359" s="20" t="s">
        <v>122</v>
      </c>
      <c r="CZ359" s="20" t="s">
        <v>122</v>
      </c>
      <c r="DA359" s="20" t="s">
        <v>122</v>
      </c>
      <c r="DB359" s="503">
        <f t="shared" si="1139"/>
        <v>0</v>
      </c>
      <c r="DC359" s="127">
        <v>0</v>
      </c>
      <c r="DD359" s="127">
        <v>0</v>
      </c>
      <c r="DE359" s="127">
        <v>0</v>
      </c>
      <c r="DF359" s="127">
        <v>0</v>
      </c>
      <c r="DG359" s="127">
        <v>0</v>
      </c>
      <c r="DH359" s="127">
        <v>0</v>
      </c>
      <c r="DI359" s="127">
        <v>0</v>
      </c>
      <c r="DJ359" s="127">
        <v>0</v>
      </c>
      <c r="DK359" s="127">
        <v>0</v>
      </c>
      <c r="DL359" s="127">
        <v>0</v>
      </c>
      <c r="DM359" s="304">
        <f>INDEX(Input!$1:$1048576,DM$93,$C359*2+6)</f>
        <v>20731.578947368424</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3.5316849946097455E-2</v>
      </c>
      <c r="DZ359" s="7">
        <v>0</v>
      </c>
      <c r="EA359" s="7">
        <v>0.62239776222820731</v>
      </c>
      <c r="EB359" s="7">
        <v>0</v>
      </c>
      <c r="EC359" s="7">
        <v>0</v>
      </c>
      <c r="ED359" s="7">
        <v>0</v>
      </c>
      <c r="EE359" s="7">
        <v>0</v>
      </c>
      <c r="EF359" s="7">
        <v>0</v>
      </c>
      <c r="EG359" s="7">
        <v>0</v>
      </c>
      <c r="EH359" s="7">
        <v>1.0155310879583317E-2</v>
      </c>
      <c r="EI359" s="7">
        <v>1.2863111967247279E-2</v>
      </c>
      <c r="EJ359" s="7">
        <v>0.1851503533458983</v>
      </c>
      <c r="EK359" s="7">
        <v>0.7552969412055397</v>
      </c>
      <c r="EL359" s="7">
        <v>3.6534282601731402E-2</v>
      </c>
      <c r="EM359" s="7">
        <v>6.4591941131692102E-2</v>
      </c>
      <c r="EN359" s="7">
        <v>5.7659778106774806E-2</v>
      </c>
      <c r="EO359" s="7">
        <v>0.56931800922069542</v>
      </c>
      <c r="EP359" s="7">
        <v>0.27223179348574278</v>
      </c>
      <c r="EQ359" s="7">
        <v>5.9840818106432818E-2</v>
      </c>
      <c r="ER359" s="7">
        <v>4.0949601080353934E-2</v>
      </c>
      <c r="ES359" s="7">
        <v>0.27769344669400298</v>
      </c>
      <c r="ET359" s="7">
        <v>0.34228538782569523</v>
      </c>
      <c r="EU359" s="6">
        <v>1850</v>
      </c>
      <c r="EV359" s="6">
        <v>0</v>
      </c>
      <c r="EW359" s="6">
        <v>1850</v>
      </c>
      <c r="EX359" s="6">
        <v>0</v>
      </c>
      <c r="EY359" s="6">
        <v>2973.2061810787968</v>
      </c>
      <c r="EZ359" s="6">
        <v>3276</v>
      </c>
      <c r="FA359" s="6">
        <v>0</v>
      </c>
      <c r="FB359" s="6">
        <v>0</v>
      </c>
      <c r="FC359" s="6">
        <v>0</v>
      </c>
      <c r="FD359" s="6">
        <v>0</v>
      </c>
      <c r="FE359" s="6">
        <v>0</v>
      </c>
      <c r="FF359" s="6">
        <v>0</v>
      </c>
      <c r="FG359" s="6">
        <v>0</v>
      </c>
      <c r="FH359" s="6">
        <v>1154.324991108555</v>
      </c>
      <c r="FI359" s="6">
        <v>1531.4299904380618</v>
      </c>
      <c r="FJ359" s="6">
        <v>2070.7205842538219</v>
      </c>
      <c r="FK359" s="6">
        <v>2218.6393698501015</v>
      </c>
      <c r="FL359" s="6">
        <v>893.91433563489352</v>
      </c>
      <c r="FM359" s="6">
        <v>2123.2061810787968</v>
      </c>
      <c r="FN359" s="6">
        <v>0</v>
      </c>
      <c r="FO359" s="6">
        <v>0</v>
      </c>
      <c r="FP359" s="6">
        <v>0</v>
      </c>
      <c r="FQ359" s="6">
        <v>0</v>
      </c>
      <c r="FR359" s="6">
        <v>0</v>
      </c>
      <c r="FS359" s="6">
        <v>0</v>
      </c>
      <c r="FT359" s="7">
        <v>0.65771461217430471</v>
      </c>
      <c r="FU359" s="7">
        <v>6.4591941131692102E-2</v>
      </c>
      <c r="FV359" s="7">
        <v>0.27769344669400298</v>
      </c>
      <c r="FW359" s="6">
        <v>1850.0000000000002</v>
      </c>
      <c r="FX359" s="6">
        <v>2973.2061810787968</v>
      </c>
      <c r="FY359" s="6">
        <v>3276</v>
      </c>
      <c r="FZ359" s="6">
        <v>2202.331475193394</v>
      </c>
      <c r="GA359" s="6">
        <v>2318.5409225126423</v>
      </c>
      <c r="GB359" s="6">
        <v>17376.459077487358</v>
      </c>
      <c r="GC359" s="7">
        <v>4.8391397220736806E-2</v>
      </c>
      <c r="GD359" s="7">
        <v>4.9469439904276075E-2</v>
      </c>
      <c r="GE359" s="7"/>
      <c r="GF359" s="7"/>
      <c r="GG359" s="7">
        <v>2.2277568854269462E-2</v>
      </c>
      <c r="GH359" s="42">
        <v>3.7755684129491924</v>
      </c>
      <c r="GI359" s="6">
        <v>7534.9740117532992</v>
      </c>
      <c r="GJ359" s="14">
        <v>0.51074630601039517</v>
      </c>
      <c r="GK359" s="14">
        <v>0.50829519786160959</v>
      </c>
      <c r="GL359" s="14">
        <v>0.48925369398960417</v>
      </c>
      <c r="GM359" s="14">
        <v>0.49170480213839018</v>
      </c>
      <c r="GO359" s="5">
        <v>338.16872463277008</v>
      </c>
      <c r="GP359" s="5">
        <v>302.87425392274076</v>
      </c>
      <c r="GQ359" s="5">
        <v>527.27910984145694</v>
      </c>
      <c r="GR359" s="5">
        <v>404.20319246551543</v>
      </c>
      <c r="GS359" s="5">
        <v>334.50205195691484</v>
      </c>
      <c r="GT359" s="5">
        <v>289.18266033348181</v>
      </c>
      <c r="GU359" s="5">
        <v>254.29573314828914</v>
      </c>
      <c r="GV359" s="39" t="s">
        <v>392</v>
      </c>
      <c r="GW359" s="5">
        <v>468.76388888888891</v>
      </c>
      <c r="GX359" s="5">
        <v>351.57291666666669</v>
      </c>
      <c r="GY359" s="5">
        <v>281.25833333333333</v>
      </c>
      <c r="GZ359" s="5">
        <v>240.8550698915011</v>
      </c>
      <c r="HA359" s="5">
        <v>229.8919505212948</v>
      </c>
      <c r="HB359" s="39">
        <v>251.67387966177475</v>
      </c>
      <c r="HC359" s="5">
        <v>139.79062499999998</v>
      </c>
      <c r="HD359" s="5">
        <v>138.50060307017537</v>
      </c>
      <c r="HE359" s="5">
        <v>146.64128289473683</v>
      </c>
      <c r="HF359" s="5">
        <v>141.94567434210524</v>
      </c>
      <c r="HG359" s="5">
        <v>144.78493421052633</v>
      </c>
      <c r="HH359" s="39">
        <v>141.25463405383695</v>
      </c>
      <c r="HI359" s="16"/>
      <c r="HJ359" s="19" t="str">
        <f t="shared" si="1122"/>
        <v>On</v>
      </c>
      <c r="HK359" s="1" t="str">
        <f t="shared" si="1122"/>
        <v>On</v>
      </c>
      <c r="HL359" s="16"/>
      <c r="HM359" s="639">
        <f t="shared" si="1004"/>
        <v>2.8970655363290673E-2</v>
      </c>
      <c r="HN359" s="639">
        <f t="shared" si="1005"/>
        <v>2.1835179285533651E-3</v>
      </c>
      <c r="HO359" s="639">
        <f t="shared" si="1006"/>
        <v>1.5544129749146325E-2</v>
      </c>
      <c r="HP359" s="644">
        <f>(FT359*$GD359-HM359)/$JF359*INDEX(Input!$1:$1048576,$JG$93,$C359*2+6)</f>
        <v>147.07908098742695</v>
      </c>
      <c r="HQ359" s="644">
        <f>(FU359*$GD359-HN359)/$JF359*INDEX(Input!$1:$1048576,$JG$93,$C359*2+6)</f>
        <v>41.7305219638653</v>
      </c>
      <c r="HR359" s="644">
        <f>(FV359*$GD359-HO359)/$JF359*INDEX(Input!$1:$1048576,$JG$93,$C359*2+6)</f>
        <v>-74.518306455926805</v>
      </c>
      <c r="HS359" s="644">
        <f t="shared" si="1116"/>
        <v>-45.731198904419948</v>
      </c>
      <c r="HT359" s="644">
        <f t="shared" si="1008"/>
        <v>100.69963163646676</v>
      </c>
      <c r="HU359" s="644">
        <f t="shared" si="1009"/>
        <v>-7.8347935067557462</v>
      </c>
      <c r="HV359" s="648">
        <f t="shared" si="1010"/>
        <v>0</v>
      </c>
      <c r="HW359" s="648">
        <f t="shared" si="1011"/>
        <v>0</v>
      </c>
      <c r="HX359" s="648">
        <f t="shared" si="1012"/>
        <v>0</v>
      </c>
      <c r="HY359" s="644">
        <f>INDEX(Input!$1:$1048576,HY$93,$C359*2+6)*INDEX(Input!$1:$1048576,$JG$93,$C359*2+6)</f>
        <v>488.99999999999994</v>
      </c>
      <c r="HZ359" s="644">
        <f>INDEX(Input!$1:$1048576,HZ$93,$C359*2+6)*INDEX(Input!$1:$1048576,$JG$93,$C359*2+6)</f>
        <v>734</v>
      </c>
      <c r="IA359" s="644">
        <f>INDEX(Input!$1:$1048576,IA$93,$C359*2+6)*INDEX(Input!$1:$1048576,$JG$93,$C359*2+6)</f>
        <v>703</v>
      </c>
      <c r="IB359" s="644">
        <f t="shared" si="1036"/>
        <v>590.34788208300688</v>
      </c>
      <c r="IC359" s="644">
        <f t="shared" si="1037"/>
        <v>876.43015360033201</v>
      </c>
      <c r="ID359" s="644">
        <f>IF(AND(INDEX(Input!$1:$1048576,IA$93,$C359*2+7)="TOS",Y359&lt;=INDEX(Y:Y,MATCH(C359*1000+2,A:A))),0,1)*MAX(IA359+HR359+HU359+HX359,0%)</f>
        <v>620.64690003731744</v>
      </c>
      <c r="IE359" s="128">
        <f t="shared" si="1121"/>
        <v>0.28281155024106147</v>
      </c>
      <c r="IF359" s="128">
        <f t="shared" si="1108"/>
        <v>0.41986187795431112</v>
      </c>
      <c r="IG359" s="128">
        <f t="shared" si="1014"/>
        <v>0.2973265718046274</v>
      </c>
      <c r="IH359" s="21"/>
      <c r="II359" s="19">
        <f t="shared" si="1015"/>
        <v>1200</v>
      </c>
      <c r="IJ359" s="19">
        <f t="shared" si="1016"/>
        <v>2224.493581030405</v>
      </c>
      <c r="IK359" s="19">
        <f t="shared" si="1017"/>
        <v>3451.75</v>
      </c>
      <c r="IL359" s="19">
        <f t="shared" si="1039"/>
        <v>650.00000000000023</v>
      </c>
      <c r="IM359" s="19">
        <f t="shared" si="1018"/>
        <v>748.71260004839178</v>
      </c>
      <c r="IN359" s="19">
        <f t="shared" si="1019"/>
        <v>-175.75</v>
      </c>
      <c r="IO359" s="39">
        <f t="shared" si="1020"/>
        <v>0</v>
      </c>
      <c r="IP359" s="39">
        <f t="shared" si="1021"/>
        <v>0</v>
      </c>
      <c r="IQ359" s="39">
        <f t="shared" si="1022"/>
        <v>0</v>
      </c>
      <c r="IR359" s="39">
        <v>0</v>
      </c>
      <c r="IS359" s="39">
        <v>0</v>
      </c>
      <c r="IT359" s="39">
        <v>0</v>
      </c>
      <c r="IU359" s="39">
        <v>0</v>
      </c>
      <c r="IV359" s="39">
        <v>0</v>
      </c>
      <c r="IW359" s="39">
        <v>0</v>
      </c>
      <c r="IX359" s="39">
        <f>INDEX(Input!$1:$1048576,IX$93,$C359*2+6)+INDEX(Input!$1:$1048576,IX$94,$C359*2+6)</f>
        <v>1600</v>
      </c>
      <c r="IY359" s="39">
        <f>INDEX(Input!$1:$1048576,IY$93,$C359*2+6)+INDEX(Input!$1:$1048576,IY$94,$C359*2+6)</f>
        <v>2503.5492916397525</v>
      </c>
      <c r="IZ359" s="39">
        <f>INDEX(Input!$1:$1048576,IZ$93,$C359*2+6)+INDEX(Input!$1:$1048576,IZ$94,$C359*2+6)</f>
        <v>5773.7109265464023</v>
      </c>
      <c r="JA359" s="19">
        <f t="shared" si="1040"/>
        <v>2250</v>
      </c>
      <c r="JB359" s="19">
        <f t="shared" si="1041"/>
        <v>3252.2618916881443</v>
      </c>
      <c r="JC359" s="19">
        <f t="shared" si="1042"/>
        <v>5597.9609265464023</v>
      </c>
      <c r="JD359" s="19">
        <f t="shared" si="1043"/>
        <v>3666.2493048721099</v>
      </c>
      <c r="JE359" s="21"/>
      <c r="JF359" s="1">
        <f t="shared" si="1023"/>
        <v>4.6698303040990354E-2</v>
      </c>
      <c r="JG359" s="15">
        <f>INDEX(Input!$1:$1048576,JG$93,$C359*2+6)/(1+VLOOKUP(C359*1000+INDEX(Input!$1:$1048576,JG$93+1,$C359*2+6),$A:$KK,$JK$92,FALSE))</f>
        <v>1926</v>
      </c>
      <c r="JH359" s="1">
        <f t="shared" si="1044"/>
        <v>5.9341275438922869E-2</v>
      </c>
      <c r="JI359" s="1">
        <f t="shared" si="1045"/>
        <v>2.4472294509496922E-2</v>
      </c>
      <c r="JJ359" s="1">
        <f t="shared" si="1109"/>
        <v>0</v>
      </c>
      <c r="JK359" s="1">
        <f t="shared" si="1110"/>
        <v>8.3813569948419792E-2</v>
      </c>
      <c r="JL359" s="15">
        <f t="shared" si="1048"/>
        <v>161.42493572065652</v>
      </c>
      <c r="JM359" s="15">
        <f t="shared" si="1074"/>
        <v>2087.4249357206563</v>
      </c>
      <c r="JN359" s="21"/>
      <c r="JO359" s="19">
        <f>INDEX(Input!$1:$1048576,JO$93,$C359*2+6)</f>
        <v>5908.5</v>
      </c>
      <c r="JP359" s="19">
        <f>INDEX(Input!$1:$1048576,JP$93,$C359*2+6)</f>
        <v>3467.7694503767912</v>
      </c>
      <c r="JQ359" s="39">
        <f t="shared" si="1060"/>
        <v>2242.2506951278901</v>
      </c>
      <c r="JR359" s="39">
        <f t="shared" si="1077"/>
        <v>198.4798544953187</v>
      </c>
      <c r="JS359" s="39">
        <f t="shared" si="1062"/>
        <v>7.6530202195585648</v>
      </c>
      <c r="JT359" s="39">
        <f t="shared" si="1050"/>
        <v>0.97409625813286471</v>
      </c>
      <c r="JU359" s="385">
        <f>(JQ359*JM359-INDEX(Input!$1:$1048576,Input!A$18,$C359*2+6)*JL359*INDEX(Input!$1:$1048576,Input!A$19,$C359*2+6))/1000000</f>
        <v>4.6805300131469334</v>
      </c>
      <c r="JV359" s="39">
        <f t="shared" si="1084"/>
        <v>-2.0317025427366353E-2</v>
      </c>
      <c r="JW359" s="1">
        <f t="shared" si="1075"/>
        <v>-4.321992453838323E-3</v>
      </c>
      <c r="JX359" s="19">
        <f t="shared" si="1066"/>
        <v>6034.3605142796769</v>
      </c>
      <c r="JZ359" s="341"/>
      <c r="KA359" s="342"/>
      <c r="KB359" s="469">
        <f t="shared" si="1063"/>
        <v>2.7822247002359868</v>
      </c>
      <c r="KI359" s="473">
        <f t="shared" si="1118"/>
        <v>101.34788208300694</v>
      </c>
      <c r="KJ359" s="473">
        <f t="shared" si="1119"/>
        <v>142.43015360033201</v>
      </c>
      <c r="KK359" s="473">
        <f t="shared" si="1052"/>
        <v>-82.353099962682563</v>
      </c>
      <c r="KN359" s="544">
        <f t="shared" si="1067"/>
        <v>3002</v>
      </c>
      <c r="KO359" s="541">
        <f t="shared" si="1027"/>
        <v>1.3276630905042275E-2</v>
      </c>
      <c r="KP359" s="546">
        <f t="shared" si="1028"/>
        <v>110.03465846069915</v>
      </c>
      <c r="KQ359" s="546">
        <f t="shared" si="1029"/>
        <v>-54.831913453263041</v>
      </c>
      <c r="KR359" s="548">
        <f t="shared" si="1030"/>
        <v>1.9273911214725559</v>
      </c>
      <c r="KS359" s="548">
        <f t="shared" si="1031"/>
        <v>-3.8678173059232486</v>
      </c>
      <c r="KT359" s="473">
        <f t="shared" si="1065"/>
        <v>527.01264777847621</v>
      </c>
      <c r="KU359" s="663">
        <f t="shared" si="1053"/>
        <v>15.905741723249049</v>
      </c>
      <c r="KV359" s="117"/>
    </row>
    <row r="360" spans="1:308" s="26" customFormat="1" ht="15" outlineLevel="1">
      <c r="A360" s="561">
        <f t="shared" si="1032"/>
        <v>3060</v>
      </c>
      <c r="B360" s="561">
        <f t="shared" si="1054"/>
        <v>60</v>
      </c>
      <c r="C360" s="561">
        <f t="shared" si="1055"/>
        <v>3</v>
      </c>
      <c r="D360" s="561" t="str">
        <f t="shared" si="1123"/>
        <v xml:space="preserve">500 CC, 0/0/0.9/3.9, -360 Lease, </v>
      </c>
      <c r="E360" s="475">
        <f>INDEX(Input!$1:$1048576,E$93,$C360*2+MIN($B360,2)+5)
+INDEX(Scenarios!E$121:E$200,MATCH($B360,Scenarios!$B$121:$B$200,0))</f>
        <v>1750</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8.9999999999999993E-3</v>
      </c>
      <c r="W360" s="863">
        <f>IFERROR(MAX(0,INDEX(Input!$1:$1048576,W$93,$C360*2+MIN($B360,2)+5)-0%,),"Market")</f>
        <v>3.9000000000000007E-2</v>
      </c>
      <c r="X360" s="476" t="str">
        <f>INDEX(Input!$1:$1048576,X$93,$C360*2+MIN($B360,2)+5)</f>
        <v>Y</v>
      </c>
      <c r="Y360" s="475">
        <f>INDEX(Input!$1:$1048576,Y$93,$C360*2+MIN($B360,2)+5)
++INDEX(Scenarios!Y$121:Y$200,MATCH($B360,Scenarios!$B$121:$B$200,0))</f>
        <v>3748</v>
      </c>
      <c r="Z360" s="477">
        <f>INDEX(Input!$1:$1048576,Z$93,$C360*2+MIN($B360,2)+5)
+INDEX(Scenarios!Z$121:Z$200,MATCH($B360,Scenarios!$B$121:$B$200,0))</f>
        <v>0</v>
      </c>
      <c r="AA360" s="475">
        <f>INDEX(Input!$1:$1048576,AA$93,$C360*2+MIN($B360,2)+5)</f>
        <v>500</v>
      </c>
      <c r="AB360" s="476">
        <f>INDEX(Input!$1:$1048576,AB$93,$C360*2+MIN($B360,2)+5)</f>
        <v>0.62</v>
      </c>
      <c r="AC360" s="475">
        <f>INDEX(Input!$1:$1048576,AC$93,$C360*2+MIN($B360,2)+5)
+INDEX(Scenarios!AC$121:AC$200,MATCH($B360,Scenarios!$B$121:$B$200,0))</f>
        <v>0</v>
      </c>
      <c r="AD360" s="476">
        <f>INDEX(Input!$1:$1048576,AD$93,$C360*2+MIN($B360,2)+5)</f>
        <v>0.35</v>
      </c>
      <c r="AE360" s="475">
        <f>INDEX(Input!$1:$1048576,AE$93,$C360*2+MIN($B360,2)+5)
+INDEX(Scenarios!AE$121:AE$200,MATCH($B360,Scenarios!$B$121:$B$200,0))</f>
        <v>500</v>
      </c>
      <c r="AF360" s="476">
        <f>INDEX(Input!$1:$1048576,AF$93,$C360*2+MIN($B360,2)+5)</f>
        <v>0.97</v>
      </c>
      <c r="AG360" s="475">
        <f>INDEX(Input!$1:$1048576,AG$93,$C360*2+MIN($B360,2)+5)
+INDEX(Scenarios!AG$121:AG$200,MATCH($B360,Scenarios!$B$121:$B$200,0))</f>
        <v>0</v>
      </c>
      <c r="AH360" s="476">
        <f>INDEX(Input!$1:$1048576,AH$93,$C360*2+MIN($B360,2)+5)</f>
        <v>1</v>
      </c>
      <c r="AI360" s="475">
        <f>INDEX(Input!$1:$1048576,AI$93,$C360*2+MIN($B360,2)+5)
+INDEX(Scenarios!AI$121:AI$200,MATCH($B360,Scenarios!$B$121:$B$200,0))</f>
        <v>0</v>
      </c>
      <c r="AJ360" s="476">
        <f>INDEX(Input!$1:$1048576,AJ$93,$C360*2+MIN($B360,2)+5)</f>
        <v>0.35</v>
      </c>
      <c r="AK360" s="150">
        <f>ROUND(INDEX(Input!$1:$1048576,AK$93,$C359*2+MIN($B360,1)+5)+(Y360-VLOOKUP($C360*1000+1,$A:$HH,Y$92,FALSE)),0)</f>
        <v>4622</v>
      </c>
      <c r="AL360" s="150">
        <f>ROUND(INDEX(Input!$1:$1048576,AL$93,$C359*2+MIN($B360,1)+5)-(Y360-VLOOKUP($C360*1000+1,$A:$HH,Y$92,FALSE))/36,0)</f>
        <v>5112</v>
      </c>
      <c r="AM360" s="32" t="str">
        <f t="shared" si="1033"/>
        <v>std/std/std/std</v>
      </c>
      <c r="AN360" s="32" t="str">
        <f t="shared" si="1034"/>
        <v>$0 + 0/0/0/0.9/3.9</v>
      </c>
      <c r="AO360" s="32" t="str">
        <f t="shared" si="1035"/>
        <v>0/0/0/0.9/3.9</v>
      </c>
      <c r="AP360" s="32" t="str">
        <f t="shared" si="1125"/>
        <v>0/0/0.9/3.9</v>
      </c>
      <c r="AQ360" s="536">
        <f t="shared" si="1124"/>
        <v>485.30045515498421</v>
      </c>
      <c r="AR360" s="32"/>
      <c r="AS360" s="302"/>
      <c r="AT360" s="3">
        <f t="shared" si="1056"/>
        <v>60</v>
      </c>
      <c r="AU360" s="41" t="s">
        <v>121</v>
      </c>
      <c r="AV360" s="41" t="s">
        <v>116</v>
      </c>
      <c r="AW360" s="41" t="str">
        <f>INDEX(Input!$1:$1048576,AW$93,$C360*2+6)</f>
        <v>Kia</v>
      </c>
      <c r="AX360" s="41" t="str">
        <f>INDEX(Input!$1:$1048576,AX$93,$C360*2+6)</f>
        <v>Kia-LR - L3</v>
      </c>
      <c r="AY360" s="41" t="str">
        <f>IF(LEN(D360)=0,"",INDEX(Input!$1:$1048576,AY$93,$C360*2+6))</f>
        <v>Compact Conventional/Sporty Car (43)</v>
      </c>
      <c r="AZ360" s="41" t="str">
        <f>INDEX(Input!$1:$1048576,AZ$93,$C360*2+6)</f>
        <v>Kia Forte</v>
      </c>
      <c r="BA360" s="3">
        <f>INDEX(Input!$1:$1048576,BA$93,$C360*2+6)</f>
        <v>2020</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19695</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1126"/>
        <v>1750</v>
      </c>
      <c r="CJ360" s="16" t="str">
        <f>INDEX(Input!$1:$1048576,CJ$93,$C360*2+6)</f>
        <v>N</v>
      </c>
      <c r="CK360" s="1" t="str">
        <f t="shared" si="1127"/>
        <v>Market</v>
      </c>
      <c r="CL360" s="1" t="str">
        <f t="shared" si="1128"/>
        <v>Market</v>
      </c>
      <c r="CM360" s="1" t="str">
        <f t="shared" si="1129"/>
        <v>Market</v>
      </c>
      <c r="CN360" s="1" t="str">
        <f t="shared" si="1130"/>
        <v>Market</v>
      </c>
      <c r="CO360" s="1" t="str">
        <f t="shared" si="1131"/>
        <v>Market</v>
      </c>
      <c r="CP360" s="304">
        <f t="shared" si="1132"/>
        <v>310</v>
      </c>
      <c r="CQ360" s="1">
        <f t="shared" si="1133"/>
        <v>0</v>
      </c>
      <c r="CR360" s="1">
        <f t="shared" si="1134"/>
        <v>0</v>
      </c>
      <c r="CS360" s="1">
        <f t="shared" si="1135"/>
        <v>0</v>
      </c>
      <c r="CT360" s="1">
        <f t="shared" si="1136"/>
        <v>8.9999999999999993E-3</v>
      </c>
      <c r="CU360" s="1">
        <f t="shared" si="1137"/>
        <v>3.9000000000000007E-2</v>
      </c>
      <c r="CV360" s="304">
        <f t="shared" si="1138"/>
        <v>4233</v>
      </c>
      <c r="CW360" s="20" t="s">
        <v>122</v>
      </c>
      <c r="CX360" s="20" t="s">
        <v>122</v>
      </c>
      <c r="CY360" s="20" t="s">
        <v>122</v>
      </c>
      <c r="CZ360" s="20" t="s">
        <v>122</v>
      </c>
      <c r="DA360" s="20" t="s">
        <v>122</v>
      </c>
      <c r="DB360" s="503">
        <f t="shared" si="1139"/>
        <v>0</v>
      </c>
      <c r="DC360" s="127">
        <v>0</v>
      </c>
      <c r="DD360" s="127">
        <v>0</v>
      </c>
      <c r="DE360" s="127">
        <v>0</v>
      </c>
      <c r="DF360" s="127">
        <v>0</v>
      </c>
      <c r="DG360" s="127">
        <v>0</v>
      </c>
      <c r="DH360" s="127">
        <v>0</v>
      </c>
      <c r="DI360" s="127">
        <v>0</v>
      </c>
      <c r="DJ360" s="127">
        <v>0</v>
      </c>
      <c r="DK360" s="127">
        <v>0</v>
      </c>
      <c r="DL360" s="127">
        <v>0</v>
      </c>
      <c r="DM360" s="304">
        <f>INDEX(Input!$1:$1048576,DM$93,$C360*2+6)</f>
        <v>20731.578947368424</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3.6291861763936263E-2</v>
      </c>
      <c r="DZ360" s="7">
        <v>0</v>
      </c>
      <c r="EA360" s="7">
        <v>0.63719289479485564</v>
      </c>
      <c r="EB360" s="7">
        <v>0</v>
      </c>
      <c r="EC360" s="7">
        <v>0</v>
      </c>
      <c r="ED360" s="7">
        <v>0</v>
      </c>
      <c r="EE360" s="7">
        <v>0</v>
      </c>
      <c r="EF360" s="7">
        <v>0</v>
      </c>
      <c r="EG360" s="7">
        <v>0</v>
      </c>
      <c r="EH360" s="7">
        <v>1.0162564406819372E-2</v>
      </c>
      <c r="EI360" s="7">
        <v>1.2865238498786647E-2</v>
      </c>
      <c r="EJ360" s="7">
        <v>0.18536392892991724</v>
      </c>
      <c r="EK360" s="7">
        <v>0.75510890572142297</v>
      </c>
      <c r="EL360" s="7">
        <v>3.6499362443053907E-2</v>
      </c>
      <c r="EM360" s="7">
        <v>6.1611670965045925E-2</v>
      </c>
      <c r="EN360" s="7">
        <v>5.765977810677482E-2</v>
      </c>
      <c r="EO360" s="7">
        <v>0.56931800922069542</v>
      </c>
      <c r="EP360" s="7">
        <v>0.27223179348574278</v>
      </c>
      <c r="EQ360" s="7">
        <v>5.9840818106432811E-2</v>
      </c>
      <c r="ER360" s="7">
        <v>4.0949601080353934E-2</v>
      </c>
      <c r="ES360" s="7">
        <v>0.26490357247616214</v>
      </c>
      <c r="ET360" s="7">
        <v>0.32651524344120808</v>
      </c>
      <c r="EU360" s="6">
        <v>2100</v>
      </c>
      <c r="EV360" s="6">
        <v>0</v>
      </c>
      <c r="EW360" s="6">
        <v>2100</v>
      </c>
      <c r="EX360" s="6">
        <v>0</v>
      </c>
      <c r="EY360" s="6">
        <v>2973.2116511235417</v>
      </c>
      <c r="EZ360" s="6">
        <v>3276</v>
      </c>
      <c r="FA360" s="6">
        <v>0</v>
      </c>
      <c r="FB360" s="6">
        <v>0</v>
      </c>
      <c r="FC360" s="6">
        <v>0</v>
      </c>
      <c r="FD360" s="6">
        <v>0</v>
      </c>
      <c r="FE360" s="6">
        <v>0</v>
      </c>
      <c r="FF360" s="6">
        <v>0</v>
      </c>
      <c r="FG360" s="6">
        <v>0</v>
      </c>
      <c r="FH360" s="6">
        <v>1154.3233855216463</v>
      </c>
      <c r="FI360" s="6">
        <v>1531.4299904380614</v>
      </c>
      <c r="FJ360" s="6">
        <v>2070.7205842538215</v>
      </c>
      <c r="FK360" s="6">
        <v>2218.6393698501024</v>
      </c>
      <c r="FL360" s="6">
        <v>893.91433563489375</v>
      </c>
      <c r="FM360" s="6">
        <v>2123.2116511235417</v>
      </c>
      <c r="FN360" s="6">
        <v>0</v>
      </c>
      <c r="FO360" s="6">
        <v>0</v>
      </c>
      <c r="FP360" s="6">
        <v>0</v>
      </c>
      <c r="FQ360" s="6">
        <v>0</v>
      </c>
      <c r="FR360" s="6">
        <v>0</v>
      </c>
      <c r="FS360" s="6">
        <v>0</v>
      </c>
      <c r="FT360" s="7">
        <v>0.67348475655879192</v>
      </c>
      <c r="FU360" s="7">
        <v>6.1611670965045925E-2</v>
      </c>
      <c r="FV360" s="7">
        <v>0.26490357247616214</v>
      </c>
      <c r="FW360" s="6">
        <v>2100</v>
      </c>
      <c r="FX360" s="6">
        <v>2973.2116511235417</v>
      </c>
      <c r="FY360" s="6">
        <v>3276</v>
      </c>
      <c r="FZ360" s="6">
        <v>2202.331475193394</v>
      </c>
      <c r="GA360" s="6">
        <v>2465.3266301638346</v>
      </c>
      <c r="GB360" s="6">
        <v>17229.673369836164</v>
      </c>
      <c r="GC360" s="7">
        <v>4.8391397220736806E-2</v>
      </c>
      <c r="GD360" s="7">
        <v>5.0558220284550058E-2</v>
      </c>
      <c r="GE360" s="7"/>
      <c r="GF360" s="7"/>
      <c r="GG360" s="7">
        <v>4.4777030386812619E-2</v>
      </c>
      <c r="GH360" s="42">
        <v>3.3532314067435731</v>
      </c>
      <c r="GI360" s="6">
        <v>8338.7655942603851</v>
      </c>
      <c r="GJ360" s="14">
        <v>0.5107463060103955</v>
      </c>
      <c r="GK360" s="14">
        <v>0.50829519786160959</v>
      </c>
      <c r="GL360" s="14">
        <v>0.4892536939896045</v>
      </c>
      <c r="GM360" s="14">
        <v>0.4917048021383903</v>
      </c>
      <c r="GO360" s="5">
        <v>338.16872463277008</v>
      </c>
      <c r="GP360" s="5">
        <v>298.1047308538179</v>
      </c>
      <c r="GQ360" s="5">
        <v>527.27910984145694</v>
      </c>
      <c r="GR360" s="5">
        <v>404.20319246551543</v>
      </c>
      <c r="GS360" s="5">
        <v>334.50205195691484</v>
      </c>
      <c r="GT360" s="5">
        <v>289.18266033348181</v>
      </c>
      <c r="GU360" s="5">
        <v>254.29573314828914</v>
      </c>
      <c r="GV360" s="39" t="s">
        <v>392</v>
      </c>
      <c r="GW360" s="5">
        <v>468.76388888888891</v>
      </c>
      <c r="GX360" s="5">
        <v>351.57291666666669</v>
      </c>
      <c r="GY360" s="5">
        <v>281.25833333333333</v>
      </c>
      <c r="GZ360" s="5">
        <v>240.8550698915011</v>
      </c>
      <c r="HA360" s="5">
        <v>229.8919505212948</v>
      </c>
      <c r="HB360" s="39">
        <v>251.68478023404776</v>
      </c>
      <c r="HC360" s="5">
        <v>139.79062499999998</v>
      </c>
      <c r="HD360" s="5">
        <v>138.50060307017537</v>
      </c>
      <c r="HE360" s="5">
        <v>146.64128289473683</v>
      </c>
      <c r="HF360" s="5">
        <v>141.94567434210524</v>
      </c>
      <c r="HG360" s="5">
        <v>144.78493421052633</v>
      </c>
      <c r="HH360" s="39">
        <v>141.25463405383695</v>
      </c>
      <c r="HI360" s="16"/>
      <c r="HJ360" s="19" t="str">
        <f t="shared" si="1122"/>
        <v>On</v>
      </c>
      <c r="HK360" s="1" t="str">
        <f t="shared" si="1122"/>
        <v>On</v>
      </c>
      <c r="HL360" s="16"/>
      <c r="HM360" s="639">
        <f t="shared" si="1004"/>
        <v>2.8970655363290673E-2</v>
      </c>
      <c r="HN360" s="639">
        <f t="shared" si="1005"/>
        <v>2.1835179285533651E-3</v>
      </c>
      <c r="HO360" s="639">
        <f t="shared" si="1006"/>
        <v>1.5544129749146325E-2</v>
      </c>
      <c r="HP360" s="644">
        <f>(FT360*$GD360-HM360)/$JF360*INDEX(Input!$1:$1048576,$JG$93,$C360*2+6)</f>
        <v>209.49765588137453</v>
      </c>
      <c r="HQ360" s="644">
        <f>(FU360*$GD360-HN360)/$JF360*INDEX(Input!$1:$1048576,$JG$93,$C360*2+6)</f>
        <v>38.416579666889106</v>
      </c>
      <c r="HR360" s="644">
        <f>(FV360*$GD360-HO360)/$JF360*INDEX(Input!$1:$1048576,$JG$93,$C360*2+6)</f>
        <v>-88.717859513561606</v>
      </c>
      <c r="HS360" s="644">
        <f t="shared" si="1116"/>
        <v>-63.023402343706636</v>
      </c>
      <c r="HT360" s="644">
        <f t="shared" si="1008"/>
        <v>97.677990274139674</v>
      </c>
      <c r="HU360" s="644">
        <f t="shared" si="1009"/>
        <v>-4.8123533907266696</v>
      </c>
      <c r="HV360" s="648">
        <f t="shared" si="1010"/>
        <v>0</v>
      </c>
      <c r="HW360" s="648">
        <f t="shared" si="1011"/>
        <v>0</v>
      </c>
      <c r="HX360" s="648">
        <f t="shared" si="1012"/>
        <v>0</v>
      </c>
      <c r="HY360" s="644">
        <f>INDEX(Input!$1:$1048576,HY$93,$C360*2+6)*INDEX(Input!$1:$1048576,$JG$93,$C360*2+6)</f>
        <v>488.99999999999994</v>
      </c>
      <c r="HZ360" s="644">
        <f>INDEX(Input!$1:$1048576,HZ$93,$C360*2+6)*INDEX(Input!$1:$1048576,$JG$93,$C360*2+6)</f>
        <v>734</v>
      </c>
      <c r="IA360" s="644">
        <f>INDEX(Input!$1:$1048576,IA$93,$C360*2+6)*INDEX(Input!$1:$1048576,$JG$93,$C360*2+6)</f>
        <v>703</v>
      </c>
      <c r="IB360" s="644">
        <f t="shared" si="1036"/>
        <v>635.47425353766778</v>
      </c>
      <c r="IC360" s="644">
        <f t="shared" si="1037"/>
        <v>870.09456994102879</v>
      </c>
      <c r="ID360" s="644">
        <f>IF(AND(INDEX(Input!$1:$1048576,IA$93,$C360*2+7)="TOS",Y360&lt;=INDEX(Y:Y,MATCH(C360*1000+2,A:A))),0,1)*MAX(IA360+HR360+HU360+HX360,0%)</f>
        <v>609.46978709571169</v>
      </c>
      <c r="IE360" s="128">
        <f t="shared" si="1121"/>
        <v>0.30045515498418435</v>
      </c>
      <c r="IF360" s="128">
        <f t="shared" si="1108"/>
        <v>0.41138472157949213</v>
      </c>
      <c r="IG360" s="128">
        <f t="shared" si="1014"/>
        <v>0.28816012343632352</v>
      </c>
      <c r="IH360" s="21"/>
      <c r="II360" s="19">
        <f t="shared" si="1015"/>
        <v>1200</v>
      </c>
      <c r="IJ360" s="19">
        <f t="shared" si="1016"/>
        <v>2224.493581030405</v>
      </c>
      <c r="IK360" s="19">
        <f t="shared" si="1017"/>
        <v>3451.75</v>
      </c>
      <c r="IL360" s="19">
        <f t="shared" si="1039"/>
        <v>900</v>
      </c>
      <c r="IM360" s="19">
        <f t="shared" si="1018"/>
        <v>748.7180700931367</v>
      </c>
      <c r="IN360" s="19">
        <f t="shared" si="1019"/>
        <v>-175.75</v>
      </c>
      <c r="IO360" s="39">
        <f t="shared" si="1020"/>
        <v>0</v>
      </c>
      <c r="IP360" s="39">
        <f t="shared" si="1021"/>
        <v>0</v>
      </c>
      <c r="IQ360" s="39">
        <f t="shared" si="1022"/>
        <v>0</v>
      </c>
      <c r="IR360" s="39">
        <v>0</v>
      </c>
      <c r="IS360" s="39">
        <v>0</v>
      </c>
      <c r="IT360" s="39">
        <v>0</v>
      </c>
      <c r="IU360" s="39">
        <v>0</v>
      </c>
      <c r="IV360" s="39">
        <v>0</v>
      </c>
      <c r="IW360" s="39">
        <v>0</v>
      </c>
      <c r="IX360" s="39">
        <f>INDEX(Input!$1:$1048576,IX$93,$C360*2+6)+INDEX(Input!$1:$1048576,IX$94,$C360*2+6)</f>
        <v>1600</v>
      </c>
      <c r="IY360" s="39">
        <f>INDEX(Input!$1:$1048576,IY$93,$C360*2+6)+INDEX(Input!$1:$1048576,IY$94,$C360*2+6)</f>
        <v>2503.5492916397525</v>
      </c>
      <c r="IZ360" s="39">
        <f>INDEX(Input!$1:$1048576,IZ$93,$C360*2+6)+INDEX(Input!$1:$1048576,IZ$94,$C360*2+6)</f>
        <v>5773.7109265464023</v>
      </c>
      <c r="JA360" s="19">
        <f t="shared" si="1040"/>
        <v>2500</v>
      </c>
      <c r="JB360" s="19">
        <f t="shared" si="1041"/>
        <v>3252.2673617328892</v>
      </c>
      <c r="JC360" s="19">
        <f t="shared" si="1042"/>
        <v>5597.9609265464023</v>
      </c>
      <c r="JD360" s="19">
        <f t="shared" si="1043"/>
        <v>3702.180102154342</v>
      </c>
      <c r="JE360" s="21"/>
      <c r="JF360" s="1">
        <f t="shared" si="1023"/>
        <v>4.6698303040990354E-2</v>
      </c>
      <c r="JG360" s="15">
        <f>INDEX(Input!$1:$1048576,JG$93,$C360*2+6)/(1+VLOOKUP(C360*1000+INDEX(Input!$1:$1048576,JG$93+1,$C360*2+6),$A:$KK,$JK$92,FALSE))</f>
        <v>1926</v>
      </c>
      <c r="JH360" s="1">
        <f t="shared" si="1044"/>
        <v>8.2656477691953292E-2</v>
      </c>
      <c r="JI360" s="1">
        <f t="shared" si="1045"/>
        <v>1.5494410456753047E-2</v>
      </c>
      <c r="JJ360" s="1">
        <f t="shared" si="1109"/>
        <v>0</v>
      </c>
      <c r="JK360" s="1">
        <f t="shared" si="1110"/>
        <v>9.8150888148706344E-2</v>
      </c>
      <c r="JL360" s="15">
        <f t="shared" si="1048"/>
        <v>189.03861057440841</v>
      </c>
      <c r="JM360" s="15">
        <f t="shared" si="1074"/>
        <v>2115.0386105744083</v>
      </c>
      <c r="JN360" s="21"/>
      <c r="JO360" s="19">
        <f>INDEX(Input!$1:$1048576,JO$93,$C360*2+6)</f>
        <v>5908.5</v>
      </c>
      <c r="JP360" s="19">
        <f>INDEX(Input!$1:$1048576,JP$93,$C360*2+6)</f>
        <v>3467.7694503767912</v>
      </c>
      <c r="JQ360" s="39">
        <f t="shared" si="1060"/>
        <v>2206.319897845658</v>
      </c>
      <c r="JR360" s="39">
        <f t="shared" si="1077"/>
        <v>234.41065177755081</v>
      </c>
      <c r="JS360" s="39">
        <f t="shared" si="1062"/>
        <v>7.8302538593567403</v>
      </c>
      <c r="JT360" s="39">
        <f t="shared" si="1050"/>
        <v>1.1513298979310402</v>
      </c>
      <c r="JU360" s="385">
        <f>(JQ360*JM360-INDEX(Input!$1:$1048576,Input!A$18,$C360*2+6)*JL360*INDEX(Input!$1:$1048576,Input!A$19,$C360*2+6))/1000000</f>
        <v>4.6664517712221505</v>
      </c>
      <c r="JV360" s="39">
        <f t="shared" si="1084"/>
        <v>-3.4395267352149261E-2</v>
      </c>
      <c r="JW360" s="1">
        <f t="shared" si="1075"/>
        <v>-7.3168233447946564E-3</v>
      </c>
      <c r="JX360" s="19">
        <f t="shared" si="1066"/>
        <v>6090.4483715397373</v>
      </c>
      <c r="JZ360" s="341"/>
      <c r="KA360" s="342"/>
      <c r="KB360" s="469">
        <f t="shared" si="1063"/>
        <v>2.7822247002359868</v>
      </c>
      <c r="KI360" s="473">
        <f t="shared" si="1118"/>
        <v>146.47425353766783</v>
      </c>
      <c r="KJ360" s="473">
        <f t="shared" si="1119"/>
        <v>136.09456994102879</v>
      </c>
      <c r="KK360" s="473">
        <f t="shared" si="1052"/>
        <v>-93.530212904288305</v>
      </c>
      <c r="KN360" s="544">
        <f t="shared" si="1067"/>
        <v>3002</v>
      </c>
      <c r="KO360" s="541">
        <f t="shared" si="1027"/>
        <v>2.6680845324401625E-2</v>
      </c>
      <c r="KP360" s="546">
        <f t="shared" si="1028"/>
        <v>189.90627261952977</v>
      </c>
      <c r="KQ360" s="546">
        <f t="shared" si="1029"/>
        <v>-18.901116171030935</v>
      </c>
      <c r="KR360" s="548">
        <f t="shared" si="1030"/>
        <v>2.2442526534775715</v>
      </c>
      <c r="KS360" s="548">
        <f t="shared" si="1031"/>
        <v>-22.548808884188155</v>
      </c>
      <c r="KT360" s="473">
        <f t="shared" si="1065"/>
        <v>527.01264777847621</v>
      </c>
      <c r="KU360" s="663">
        <f t="shared" si="1053"/>
        <v>16.030114663690629</v>
      </c>
      <c r="KV360" s="117"/>
    </row>
    <row r="361" spans="1:308" s="26" customFormat="1" ht="15" outlineLevel="1">
      <c r="A361" s="561">
        <f t="shared" si="1032"/>
        <v>3061</v>
      </c>
      <c r="B361" s="561">
        <f t="shared" si="1054"/>
        <v>61</v>
      </c>
      <c r="C361" s="561">
        <f t="shared" si="1055"/>
        <v>3</v>
      </c>
      <c r="D361" s="561" t="str">
        <f t="shared" si="1123"/>
        <v xml:space="preserve">750 CC, 0/0/0.9/3.9, -360 Lease, </v>
      </c>
      <c r="E361" s="475">
        <f>INDEX(Input!$1:$1048576,E$93,$C361*2+MIN($B361,2)+5)
+INDEX(Scenarios!E$121:E$200,MATCH($B361,Scenarios!$B$121:$B$200,0))</f>
        <v>2000</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8.9999999999999993E-3</v>
      </c>
      <c r="W361" s="863">
        <f>IFERROR(MAX(0,INDEX(Input!$1:$1048576,W$93,$C361*2+MIN($B361,2)+5)-0%,),"Market")</f>
        <v>3.9000000000000007E-2</v>
      </c>
      <c r="X361" s="476" t="str">
        <f>INDEX(Input!$1:$1048576,X$93,$C361*2+MIN($B361,2)+5)</f>
        <v>Y</v>
      </c>
      <c r="Y361" s="475">
        <f>INDEX(Input!$1:$1048576,Y$93,$C361*2+MIN($B361,2)+5)
++INDEX(Scenarios!Y$121:Y$200,MATCH($B361,Scenarios!$B$121:$B$200,0))</f>
        <v>3748</v>
      </c>
      <c r="Z361" s="477">
        <f>INDEX(Input!$1:$1048576,Z$93,$C361*2+MIN($B361,2)+5)
+INDEX(Scenarios!Z$121:Z$200,MATCH($B361,Scenarios!$B$121:$B$200,0))</f>
        <v>0</v>
      </c>
      <c r="AA361" s="475">
        <f>INDEX(Input!$1:$1048576,AA$93,$C361*2+MIN($B361,2)+5)</f>
        <v>500</v>
      </c>
      <c r="AB361" s="476">
        <f>INDEX(Input!$1:$1048576,AB$93,$C361*2+MIN($B361,2)+5)</f>
        <v>0.62</v>
      </c>
      <c r="AC361" s="475">
        <f>INDEX(Input!$1:$1048576,AC$93,$C361*2+MIN($B361,2)+5)
+INDEX(Scenarios!AC$121:AC$200,MATCH($B361,Scenarios!$B$121:$B$200,0))</f>
        <v>0</v>
      </c>
      <c r="AD361" s="476">
        <f>INDEX(Input!$1:$1048576,AD$93,$C361*2+MIN($B361,2)+5)</f>
        <v>0.35</v>
      </c>
      <c r="AE361" s="475">
        <f>INDEX(Input!$1:$1048576,AE$93,$C361*2+MIN($B361,2)+5)
+INDEX(Scenarios!AE$121:AE$200,MATCH($B361,Scenarios!$B$121:$B$200,0))</f>
        <v>500</v>
      </c>
      <c r="AF361" s="476">
        <f>INDEX(Input!$1:$1048576,AF$93,$C361*2+MIN($B361,2)+5)</f>
        <v>0.97</v>
      </c>
      <c r="AG361" s="475">
        <f>INDEX(Input!$1:$1048576,AG$93,$C361*2+MIN($B361,2)+5)
+INDEX(Scenarios!AG$121:AG$200,MATCH($B361,Scenarios!$B$121:$B$200,0))</f>
        <v>0</v>
      </c>
      <c r="AH361" s="476">
        <f>INDEX(Input!$1:$1048576,AH$93,$C361*2+MIN($B361,2)+5)</f>
        <v>1</v>
      </c>
      <c r="AI361" s="475">
        <f>INDEX(Input!$1:$1048576,AI$93,$C361*2+MIN($B361,2)+5)
+INDEX(Scenarios!AI$121:AI$200,MATCH($B361,Scenarios!$B$121:$B$200,0))</f>
        <v>0</v>
      </c>
      <c r="AJ361" s="476">
        <f>INDEX(Input!$1:$1048576,AJ$93,$C361*2+MIN($B361,2)+5)</f>
        <v>0.35</v>
      </c>
      <c r="AK361" s="150">
        <f>ROUND(INDEX(Input!$1:$1048576,AK$93,$C360*2+MIN($B361,1)+5)+(Y361-VLOOKUP($C361*1000+1,$A:$HH,Y$92,FALSE)),0)</f>
        <v>4622</v>
      </c>
      <c r="AL361" s="150">
        <f>ROUND(INDEX(Input!$1:$1048576,AL$93,$C360*2+MIN($B361,1)+5)-(Y361-VLOOKUP($C361*1000+1,$A:$HH,Y$92,FALSE))/36,0)</f>
        <v>5112</v>
      </c>
      <c r="AM361" s="32" t="str">
        <f t="shared" si="1033"/>
        <v>std/std/std/std</v>
      </c>
      <c r="AN361" s="32" t="str">
        <f t="shared" si="1034"/>
        <v>$0 + 0/0/0/0.9/3.9</v>
      </c>
      <c r="AO361" s="32" t="str">
        <f t="shared" si="1035"/>
        <v>0/0/0/0.9/3.9</v>
      </c>
      <c r="AP361" s="32" t="str">
        <f t="shared" si="1125"/>
        <v>0/0/0.9/3.9</v>
      </c>
      <c r="AQ361" s="536">
        <f t="shared" si="1124"/>
        <v>485.318278161639</v>
      </c>
      <c r="AR361" s="32"/>
      <c r="AS361" s="302"/>
      <c r="AT361" s="3">
        <f t="shared" si="1056"/>
        <v>61</v>
      </c>
      <c r="AU361" s="41" t="s">
        <v>121</v>
      </c>
      <c r="AV361" s="41" t="s">
        <v>116</v>
      </c>
      <c r="AW361" s="41" t="str">
        <f>INDEX(Input!$1:$1048576,AW$93,$C361*2+6)</f>
        <v>Kia</v>
      </c>
      <c r="AX361" s="41" t="str">
        <f>INDEX(Input!$1:$1048576,AX$93,$C361*2+6)</f>
        <v>Kia-LR - L3</v>
      </c>
      <c r="AY361" s="41" t="str">
        <f>IF(LEN(D361)=0,"",INDEX(Input!$1:$1048576,AY$93,$C361*2+6))</f>
        <v>Compact Conventional/Sporty Car (43)</v>
      </c>
      <c r="AZ361" s="41" t="str">
        <f>INDEX(Input!$1:$1048576,AZ$93,$C361*2+6)</f>
        <v>Kia Forte</v>
      </c>
      <c r="BA361" s="3">
        <f>INDEX(Input!$1:$1048576,BA$93,$C361*2+6)</f>
        <v>2020</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19695</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1126"/>
        <v>2000</v>
      </c>
      <c r="CJ361" s="16" t="str">
        <f>INDEX(Input!$1:$1048576,CJ$93,$C361*2+6)</f>
        <v>N</v>
      </c>
      <c r="CK361" s="1" t="str">
        <f t="shared" si="1127"/>
        <v>Market</v>
      </c>
      <c r="CL361" s="1" t="str">
        <f t="shared" si="1128"/>
        <v>Market</v>
      </c>
      <c r="CM361" s="1" t="str">
        <f t="shared" si="1129"/>
        <v>Market</v>
      </c>
      <c r="CN361" s="1" t="str">
        <f t="shared" si="1130"/>
        <v>Market</v>
      </c>
      <c r="CO361" s="1" t="str">
        <f t="shared" si="1131"/>
        <v>Market</v>
      </c>
      <c r="CP361" s="304">
        <f t="shared" si="1132"/>
        <v>310</v>
      </c>
      <c r="CQ361" s="1">
        <f t="shared" si="1133"/>
        <v>0</v>
      </c>
      <c r="CR361" s="1">
        <f t="shared" si="1134"/>
        <v>0</v>
      </c>
      <c r="CS361" s="1">
        <f t="shared" si="1135"/>
        <v>0</v>
      </c>
      <c r="CT361" s="1">
        <f t="shared" si="1136"/>
        <v>8.9999999999999993E-3</v>
      </c>
      <c r="CU361" s="1">
        <f t="shared" si="1137"/>
        <v>3.9000000000000007E-2</v>
      </c>
      <c r="CV361" s="304">
        <f t="shared" si="1138"/>
        <v>4233</v>
      </c>
      <c r="CW361" s="20" t="s">
        <v>122</v>
      </c>
      <c r="CX361" s="20" t="s">
        <v>122</v>
      </c>
      <c r="CY361" s="20" t="s">
        <v>122</v>
      </c>
      <c r="CZ361" s="20" t="s">
        <v>122</v>
      </c>
      <c r="DA361" s="20" t="s">
        <v>122</v>
      </c>
      <c r="DB361" s="503">
        <f t="shared" si="1139"/>
        <v>0</v>
      </c>
      <c r="DC361" s="127">
        <v>0</v>
      </c>
      <c r="DD361" s="127">
        <v>0</v>
      </c>
      <c r="DE361" s="127">
        <v>0</v>
      </c>
      <c r="DF361" s="127">
        <v>0</v>
      </c>
      <c r="DG361" s="127">
        <v>0</v>
      </c>
      <c r="DH361" s="127">
        <v>0</v>
      </c>
      <c r="DI361" s="127">
        <v>0</v>
      </c>
      <c r="DJ361" s="127">
        <v>0</v>
      </c>
      <c r="DK361" s="127">
        <v>0</v>
      </c>
      <c r="DL361" s="127">
        <v>0</v>
      </c>
      <c r="DM361" s="304">
        <f>INDEX(Input!$1:$1048576,DM$93,$C361*2+6)</f>
        <v>20731.578947368424</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3.7254088124110102E-2</v>
      </c>
      <c r="DZ361" s="7">
        <v>0</v>
      </c>
      <c r="EA361" s="7">
        <v>0.65162668115526257</v>
      </c>
      <c r="EB361" s="7">
        <v>0</v>
      </c>
      <c r="EC361" s="7">
        <v>0</v>
      </c>
      <c r="ED361" s="7">
        <v>0</v>
      </c>
      <c r="EE361" s="7">
        <v>0</v>
      </c>
      <c r="EF361" s="7">
        <v>0</v>
      </c>
      <c r="EG361" s="7">
        <v>0</v>
      </c>
      <c r="EH361" s="7">
        <v>1.0169618027809682E-2</v>
      </c>
      <c r="EI361" s="7">
        <v>1.2867306423399654E-2</v>
      </c>
      <c r="EJ361" s="7">
        <v>0.18557161839925088</v>
      </c>
      <c r="EK361" s="7">
        <v>0.75492605247023548</v>
      </c>
      <c r="EL361" s="7">
        <v>3.6465404679304397E-2</v>
      </c>
      <c r="EM361" s="7">
        <v>5.870252378465133E-2</v>
      </c>
      <c r="EN361" s="7">
        <v>5.7659778106774827E-2</v>
      </c>
      <c r="EO361" s="7">
        <v>0.56931800922069575</v>
      </c>
      <c r="EP361" s="7">
        <v>0.27223179348574295</v>
      </c>
      <c r="EQ361" s="7">
        <v>5.9840818106432853E-2</v>
      </c>
      <c r="ER361" s="7">
        <v>4.0949601080353962E-2</v>
      </c>
      <c r="ES361" s="7">
        <v>0.25241670693597601</v>
      </c>
      <c r="ET361" s="7">
        <v>0.3111192307206273</v>
      </c>
      <c r="EU361" s="6">
        <v>2350</v>
      </c>
      <c r="EV361" s="6">
        <v>0</v>
      </c>
      <c r="EW361" s="6">
        <v>2350</v>
      </c>
      <c r="EX361" s="6">
        <v>0</v>
      </c>
      <c r="EY361" s="6">
        <v>2973.2169704145799</v>
      </c>
      <c r="EZ361" s="6">
        <v>3276</v>
      </c>
      <c r="FA361" s="6">
        <v>0</v>
      </c>
      <c r="FB361" s="6">
        <v>0</v>
      </c>
      <c r="FC361" s="6">
        <v>0</v>
      </c>
      <c r="FD361" s="6">
        <v>0</v>
      </c>
      <c r="FE361" s="6">
        <v>0</v>
      </c>
      <c r="FF361" s="6">
        <v>0</v>
      </c>
      <c r="FG361" s="6">
        <v>0</v>
      </c>
      <c r="FH361" s="6">
        <v>1154.3218263810693</v>
      </c>
      <c r="FI361" s="6">
        <v>1531.4299904380618</v>
      </c>
      <c r="FJ361" s="6">
        <v>2070.720584253821</v>
      </c>
      <c r="FK361" s="6">
        <v>2218.6393698501024</v>
      </c>
      <c r="FL361" s="6">
        <v>893.91433563489386</v>
      </c>
      <c r="FM361" s="6">
        <v>2123.2169704145799</v>
      </c>
      <c r="FN361" s="6">
        <v>0</v>
      </c>
      <c r="FO361" s="6">
        <v>0</v>
      </c>
      <c r="FP361" s="6">
        <v>0</v>
      </c>
      <c r="FQ361" s="6">
        <v>0</v>
      </c>
      <c r="FR361" s="6">
        <v>0</v>
      </c>
      <c r="FS361" s="6">
        <v>0</v>
      </c>
      <c r="FT361" s="7">
        <v>0.6888807692793727</v>
      </c>
      <c r="FU361" s="7">
        <v>5.870252378465133E-2</v>
      </c>
      <c r="FV361" s="7">
        <v>0.25241670693597601</v>
      </c>
      <c r="FW361" s="6">
        <v>2350</v>
      </c>
      <c r="FX361" s="6">
        <v>2973.2169704145799</v>
      </c>
      <c r="FY361" s="6">
        <v>3276</v>
      </c>
      <c r="FZ361" s="6">
        <v>2202.331475193394</v>
      </c>
      <c r="GA361" s="6">
        <v>2620.3222796514742</v>
      </c>
      <c r="GB361" s="6">
        <v>17074.677720348525</v>
      </c>
      <c r="GC361" s="7">
        <v>4.8391397220736806E-2</v>
      </c>
      <c r="GD361" s="7">
        <v>5.1695376235923012E-2</v>
      </c>
      <c r="GE361" s="7"/>
      <c r="GF361" s="7"/>
      <c r="GG361" s="7">
        <v>6.8276164875238923E-2</v>
      </c>
      <c r="GH361" s="42">
        <v>3.2170541860632937</v>
      </c>
      <c r="GI361" s="6">
        <v>8742.3826681029223</v>
      </c>
      <c r="GJ361" s="14">
        <v>0.51074630601039572</v>
      </c>
      <c r="GK361" s="14">
        <v>0.50829519786160993</v>
      </c>
      <c r="GL361" s="14">
        <v>0.48925369398960439</v>
      </c>
      <c r="GM361" s="14">
        <v>0.49170480213839018</v>
      </c>
      <c r="GO361" s="5">
        <v>338.16872463277008</v>
      </c>
      <c r="GP361" s="5">
        <v>293.33520778489498</v>
      </c>
      <c r="GQ361" s="5">
        <v>527.27910984145694</v>
      </c>
      <c r="GR361" s="5">
        <v>404.20319246551543</v>
      </c>
      <c r="GS361" s="5">
        <v>334.50205195691484</v>
      </c>
      <c r="GT361" s="5">
        <v>289.18266033348181</v>
      </c>
      <c r="GU361" s="5">
        <v>254.29573314828914</v>
      </c>
      <c r="GV361" s="39" t="s">
        <v>392</v>
      </c>
      <c r="GW361" s="5">
        <v>468.76388888888891</v>
      </c>
      <c r="GX361" s="5">
        <v>351.57291666666669</v>
      </c>
      <c r="GY361" s="5">
        <v>281.25833333333333</v>
      </c>
      <c r="GZ361" s="5">
        <v>240.8550698915011</v>
      </c>
      <c r="HA361" s="5">
        <v>229.8919505212948</v>
      </c>
      <c r="HB361" s="39">
        <v>251.69538038799885</v>
      </c>
      <c r="HC361" s="5">
        <v>139.79062499999998</v>
      </c>
      <c r="HD361" s="5">
        <v>138.50060307017537</v>
      </c>
      <c r="HE361" s="5">
        <v>146.64128289473683</v>
      </c>
      <c r="HF361" s="5">
        <v>141.94567434210524</v>
      </c>
      <c r="HG361" s="5">
        <v>144.78493421052633</v>
      </c>
      <c r="HH361" s="39">
        <v>141.25463405383701</v>
      </c>
      <c r="HI361" s="16"/>
      <c r="HJ361" s="19" t="str">
        <f t="shared" si="1122"/>
        <v>On</v>
      </c>
      <c r="HK361" s="1" t="str">
        <f t="shared" si="1122"/>
        <v>On</v>
      </c>
      <c r="HL361" s="16"/>
      <c r="HM361" s="639">
        <f t="shared" si="1004"/>
        <v>2.8970655363290673E-2</v>
      </c>
      <c r="HN361" s="639">
        <f t="shared" si="1005"/>
        <v>2.1835179285533651E-3</v>
      </c>
      <c r="HO361" s="639">
        <f t="shared" si="1006"/>
        <v>1.5544129749146325E-2</v>
      </c>
      <c r="HP361" s="644">
        <f>(FT361*$GD361-HM361)/$JF361*INDEX(Input!$1:$1048576,$JG$93,$C361*2+6)</f>
        <v>273.91005016998969</v>
      </c>
      <c r="HQ361" s="644">
        <f>(FU361*$GD361-HN361)/$JF361*INDEX(Input!$1:$1048576,$JG$93,$C361*2+6)</f>
        <v>35.103599895984701</v>
      </c>
      <c r="HR361" s="644">
        <f>(FV361*$GD361-HO361)/$JF361*INDEX(Input!$1:$1048576,$JG$93,$C361*2+6)</f>
        <v>-102.9170181392787</v>
      </c>
      <c r="HS361" s="644">
        <f t="shared" si="1116"/>
        <v>-80.315605627654463</v>
      </c>
      <c r="HT361" s="644">
        <f t="shared" si="1008"/>
        <v>94.656327053605494</v>
      </c>
      <c r="HU361" s="644">
        <f t="shared" si="1009"/>
        <v>-1.7899134300364552</v>
      </c>
      <c r="HV361" s="648">
        <f t="shared" si="1010"/>
        <v>0</v>
      </c>
      <c r="HW361" s="648">
        <f t="shared" si="1011"/>
        <v>0</v>
      </c>
      <c r="HX361" s="648">
        <f t="shared" si="1012"/>
        <v>0</v>
      </c>
      <c r="HY361" s="644">
        <f>INDEX(Input!$1:$1048576,HY$93,$C361*2+6)*INDEX(Input!$1:$1048576,$JG$93,$C361*2+6)</f>
        <v>488.99999999999994</v>
      </c>
      <c r="HZ361" s="644">
        <f>INDEX(Input!$1:$1048576,HZ$93,$C361*2+6)*INDEX(Input!$1:$1048576,$JG$93,$C361*2+6)</f>
        <v>734</v>
      </c>
      <c r="IA361" s="644">
        <f>INDEX(Input!$1:$1048576,IA$93,$C361*2+6)*INDEX(Input!$1:$1048576,$JG$93,$C361*2+6)</f>
        <v>703</v>
      </c>
      <c r="IB361" s="644">
        <f t="shared" si="1036"/>
        <v>682.59444454233494</v>
      </c>
      <c r="IC361" s="644">
        <f t="shared" si="1037"/>
        <v>863.75992694959018</v>
      </c>
      <c r="ID361" s="644">
        <f>IF(AND(INDEX(Input!$1:$1048576,IA$93,$C361*2+7)="TOS",Y361&lt;=INDEX(Y:Y,MATCH(C361*1000+2,A:A))),0,1)*MAX(IA361+HR361+HU361+HX361,0%)</f>
        <v>598.2930684306848</v>
      </c>
      <c r="IE361" s="128">
        <f t="shared" si="1121"/>
        <v>0.3182781616389902</v>
      </c>
      <c r="IF361" s="128">
        <f t="shared" si="1108"/>
        <v>0.40275147834124153</v>
      </c>
      <c r="IG361" s="128">
        <f t="shared" si="1014"/>
        <v>0.27897036001976827</v>
      </c>
      <c r="IH361" s="21"/>
      <c r="II361" s="19">
        <f t="shared" si="1015"/>
        <v>1200</v>
      </c>
      <c r="IJ361" s="19">
        <f t="shared" si="1016"/>
        <v>2224.493581030405</v>
      </c>
      <c r="IK361" s="19">
        <f t="shared" si="1017"/>
        <v>3451.75</v>
      </c>
      <c r="IL361" s="19">
        <f t="shared" si="1039"/>
        <v>1150</v>
      </c>
      <c r="IM361" s="19">
        <f t="shared" si="1018"/>
        <v>748.72338938417488</v>
      </c>
      <c r="IN361" s="19">
        <f t="shared" si="1019"/>
        <v>-175.75</v>
      </c>
      <c r="IO361" s="39">
        <f t="shared" si="1020"/>
        <v>0</v>
      </c>
      <c r="IP361" s="39">
        <f t="shared" si="1021"/>
        <v>0</v>
      </c>
      <c r="IQ361" s="39">
        <f t="shared" si="1022"/>
        <v>0</v>
      </c>
      <c r="IR361" s="39">
        <v>0</v>
      </c>
      <c r="IS361" s="39">
        <v>0</v>
      </c>
      <c r="IT361" s="39">
        <v>0</v>
      </c>
      <c r="IU361" s="39">
        <v>0</v>
      </c>
      <c r="IV361" s="39">
        <v>0</v>
      </c>
      <c r="IW361" s="39">
        <v>0</v>
      </c>
      <c r="IX361" s="39">
        <f>INDEX(Input!$1:$1048576,IX$93,$C361*2+6)+INDEX(Input!$1:$1048576,IX$94,$C361*2+6)</f>
        <v>1600</v>
      </c>
      <c r="IY361" s="39">
        <f>INDEX(Input!$1:$1048576,IY$93,$C361*2+6)+INDEX(Input!$1:$1048576,IY$94,$C361*2+6)</f>
        <v>2503.5492916397525</v>
      </c>
      <c r="IZ361" s="39">
        <f>INDEX(Input!$1:$1048576,IZ$93,$C361*2+6)+INDEX(Input!$1:$1048576,IZ$94,$C361*2+6)</f>
        <v>5773.7109265464023</v>
      </c>
      <c r="JA361" s="19">
        <f t="shared" si="1040"/>
        <v>2750</v>
      </c>
      <c r="JB361" s="19">
        <f t="shared" si="1041"/>
        <v>3252.2726810239274</v>
      </c>
      <c r="JC361" s="19">
        <f t="shared" si="1042"/>
        <v>5597.9609265464023</v>
      </c>
      <c r="JD361" s="19">
        <f t="shared" si="1043"/>
        <v>3746.7877498136886</v>
      </c>
      <c r="JE361" s="21"/>
      <c r="JF361" s="1">
        <f t="shared" si="1023"/>
        <v>4.6698303040990354E-2</v>
      </c>
      <c r="JG361" s="15">
        <f>INDEX(Input!$1:$1048576,JG$93,$C361*2+6)/(1+VLOOKUP(C361*1000+INDEX(Input!$1:$1048576,JG$93+1,$C361*2+6),$A:$KK,$JK$92,FALSE))</f>
        <v>1926</v>
      </c>
      <c r="JH361" s="1">
        <f t="shared" si="1044"/>
        <v>0.10700759705435914</v>
      </c>
      <c r="JI361" s="1">
        <f t="shared" si="1045"/>
        <v>6.5165150549919915E-3</v>
      </c>
      <c r="JJ361" s="1">
        <f t="shared" si="1109"/>
        <v>0</v>
      </c>
      <c r="JK361" s="1">
        <f t="shared" si="1110"/>
        <v>0.11352411210935114</v>
      </c>
      <c r="JL361" s="15">
        <f t="shared" si="1048"/>
        <v>218.64743992261029</v>
      </c>
      <c r="JM361" s="15">
        <f t="shared" si="1074"/>
        <v>2144.6474399226104</v>
      </c>
      <c r="JN361" s="21"/>
      <c r="JO361" s="19">
        <f>INDEX(Input!$1:$1048576,JO$93,$C361*2+6)</f>
        <v>5908.5</v>
      </c>
      <c r="JP361" s="19">
        <f>INDEX(Input!$1:$1048576,JP$93,$C361*2+6)</f>
        <v>3467.7694503767912</v>
      </c>
      <c r="JQ361" s="39">
        <f t="shared" si="1060"/>
        <v>2161.7122501863114</v>
      </c>
      <c r="JR361" s="39">
        <f t="shared" si="1077"/>
        <v>279.01829943689745</v>
      </c>
      <c r="JS361" s="39">
        <f t="shared" si="1062"/>
        <v>8.0355387555713254</v>
      </c>
      <c r="JT361" s="39">
        <f t="shared" si="1050"/>
        <v>1.356614794145625</v>
      </c>
      <c r="JU361" s="385">
        <f>(JQ361*JM361-INDEX(Input!$1:$1048576,Input!A$18,$C361*2+6)*JL361*INDEX(Input!$1:$1048576,Input!A$19,$C361*2+6))/1000000</f>
        <v>4.6361106432114179</v>
      </c>
      <c r="JV361" s="39">
        <f t="shared" si="1084"/>
        <v>-6.4736395362881893E-2</v>
      </c>
      <c r="JW361" s="1">
        <f t="shared" si="1075"/>
        <v>-1.3771219278497419E-2</v>
      </c>
      <c r="JX361" s="19">
        <f t="shared" si="1066"/>
        <v>6204.5766217331211</v>
      </c>
      <c r="JZ361" s="341"/>
      <c r="KA361" s="342"/>
      <c r="KB361" s="469">
        <f t="shared" si="1063"/>
        <v>2.7822247002359868</v>
      </c>
      <c r="KI361" s="473">
        <f t="shared" si="1118"/>
        <v>193.59444454233511</v>
      </c>
      <c r="KJ361" s="473">
        <f t="shared" si="1119"/>
        <v>129.75992694959029</v>
      </c>
      <c r="KK361" s="473">
        <f t="shared" si="1052"/>
        <v>-104.70693156931509</v>
      </c>
      <c r="KN361" s="544">
        <f t="shared" si="1067"/>
        <v>3002</v>
      </c>
      <c r="KO361" s="541">
        <f t="shared" si="1027"/>
        <v>4.105354650928561E-2</v>
      </c>
      <c r="KP361" s="546">
        <f t="shared" si="1028"/>
        <v>278.68806491623269</v>
      </c>
      <c r="KQ361" s="546">
        <f t="shared" si="1029"/>
        <v>25.706531488315704</v>
      </c>
      <c r="KR361" s="548">
        <f t="shared" si="1030"/>
        <v>2.3531184151576228</v>
      </c>
      <c r="KS361" s="548">
        <f t="shared" si="1031"/>
        <v>25.510482343255926</v>
      </c>
      <c r="KT361" s="473">
        <f t="shared" si="1065"/>
        <v>527.01264777847621</v>
      </c>
      <c r="KU361" s="663">
        <f t="shared" si="1053"/>
        <v>16.134591587663575</v>
      </c>
      <c r="KV361" s="117"/>
    </row>
    <row r="362" spans="1:308" s="26" customFormat="1" ht="15" outlineLevel="1">
      <c r="A362" s="561">
        <f t="shared" si="1032"/>
        <v>3062</v>
      </c>
      <c r="B362" s="561">
        <f t="shared" si="1054"/>
        <v>62</v>
      </c>
      <c r="C362" s="561">
        <f t="shared" si="1055"/>
        <v>3</v>
      </c>
      <c r="D362" s="561" t="str">
        <f t="shared" si="1123"/>
        <v xml:space="preserve">1000 CC, 0/0/0.9/3.9, -360 Lease, </v>
      </c>
      <c r="E362" s="475">
        <f>INDEX(Input!$1:$1048576,E$93,$C362*2+MIN($B362,2)+5)
+INDEX(Scenarios!E$121:E$200,MATCH($B362,Scenarios!$B$121:$B$200,0))</f>
        <v>2250</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8.9999999999999993E-3</v>
      </c>
      <c r="W362" s="863">
        <f>IFERROR(MAX(0,INDEX(Input!$1:$1048576,W$93,$C362*2+MIN($B362,2)+5)-0%,),"Market")</f>
        <v>3.9000000000000007E-2</v>
      </c>
      <c r="X362" s="476" t="str">
        <f>INDEX(Input!$1:$1048576,X$93,$C362*2+MIN($B362,2)+5)</f>
        <v>Y</v>
      </c>
      <c r="Y362" s="475">
        <f>INDEX(Input!$1:$1048576,Y$93,$C362*2+MIN($B362,2)+5)
++INDEX(Scenarios!Y$121:Y$200,MATCH($B362,Scenarios!$B$121:$B$200,0))</f>
        <v>3748</v>
      </c>
      <c r="Z362" s="477">
        <f>INDEX(Input!$1:$1048576,Z$93,$C362*2+MIN($B362,2)+5)
+INDEX(Scenarios!Z$121:Z$200,MATCH($B362,Scenarios!$B$121:$B$200,0))</f>
        <v>0</v>
      </c>
      <c r="AA362" s="475">
        <f>INDEX(Input!$1:$1048576,AA$93,$C362*2+MIN($B362,2)+5)</f>
        <v>500</v>
      </c>
      <c r="AB362" s="476">
        <f>INDEX(Input!$1:$1048576,AB$93,$C362*2+MIN($B362,2)+5)</f>
        <v>0.62</v>
      </c>
      <c r="AC362" s="475">
        <f>INDEX(Input!$1:$1048576,AC$93,$C362*2+MIN($B362,2)+5)
+INDEX(Scenarios!AC$121:AC$200,MATCH($B362,Scenarios!$B$121:$B$200,0))</f>
        <v>0</v>
      </c>
      <c r="AD362" s="476">
        <f>INDEX(Input!$1:$1048576,AD$93,$C362*2+MIN($B362,2)+5)</f>
        <v>0.35</v>
      </c>
      <c r="AE362" s="475">
        <f>INDEX(Input!$1:$1048576,AE$93,$C362*2+MIN($B362,2)+5)
+INDEX(Scenarios!AE$121:AE$200,MATCH($B362,Scenarios!$B$121:$B$200,0))</f>
        <v>500</v>
      </c>
      <c r="AF362" s="476">
        <f>INDEX(Input!$1:$1048576,AF$93,$C362*2+MIN($B362,2)+5)</f>
        <v>0.97</v>
      </c>
      <c r="AG362" s="475">
        <f>INDEX(Input!$1:$1048576,AG$93,$C362*2+MIN($B362,2)+5)
+INDEX(Scenarios!AG$121:AG$200,MATCH($B362,Scenarios!$B$121:$B$200,0))</f>
        <v>0</v>
      </c>
      <c r="AH362" s="476">
        <f>INDEX(Input!$1:$1048576,AH$93,$C362*2+MIN($B362,2)+5)</f>
        <v>1</v>
      </c>
      <c r="AI362" s="475">
        <f>INDEX(Input!$1:$1048576,AI$93,$C362*2+MIN($B362,2)+5)
+INDEX(Scenarios!AI$121:AI$200,MATCH($B362,Scenarios!$B$121:$B$200,0))</f>
        <v>0</v>
      </c>
      <c r="AJ362" s="476">
        <f>INDEX(Input!$1:$1048576,AJ$93,$C362*2+MIN($B362,2)+5)</f>
        <v>0.35</v>
      </c>
      <c r="AK362" s="150">
        <f>ROUND(INDEX(Input!$1:$1048576,AK$93,$C361*2+MIN($B362,1)+5)+(Y362-VLOOKUP($C362*1000+1,$A:$HH,Y$92,FALSE)),0)</f>
        <v>4622</v>
      </c>
      <c r="AL362" s="150">
        <f>ROUND(INDEX(Input!$1:$1048576,AL$93,$C361*2+MIN($B362,1)+5)-(Y362-VLOOKUP($C362*1000+1,$A:$HH,Y$92,FALSE))/36,0)</f>
        <v>5112</v>
      </c>
      <c r="AM362" s="32" t="str">
        <f t="shared" si="1033"/>
        <v>std/std/std/std</v>
      </c>
      <c r="AN362" s="32" t="str">
        <f t="shared" si="1034"/>
        <v>$0 + 0/0/0/0.9/3.9</v>
      </c>
      <c r="AO362" s="32" t="str">
        <f t="shared" si="1035"/>
        <v>0/0/0/0.9/3.9</v>
      </c>
      <c r="AP362" s="32" t="str">
        <f t="shared" si="1125"/>
        <v>0/0/0.9/3.9</v>
      </c>
      <c r="AQ362" s="536">
        <f t="shared" si="1124"/>
        <v>485.3362289324977</v>
      </c>
      <c r="AR362" s="32"/>
      <c r="AS362" s="302"/>
      <c r="AT362" s="3">
        <f t="shared" si="1056"/>
        <v>62</v>
      </c>
      <c r="AU362" s="41" t="s">
        <v>121</v>
      </c>
      <c r="AV362" s="41" t="s">
        <v>116</v>
      </c>
      <c r="AW362" s="41" t="str">
        <f>INDEX(Input!$1:$1048576,AW$93,$C362*2+6)</f>
        <v>Kia</v>
      </c>
      <c r="AX362" s="41" t="str">
        <f>INDEX(Input!$1:$1048576,AX$93,$C362*2+6)</f>
        <v>Kia-LR - L3</v>
      </c>
      <c r="AY362" s="41" t="str">
        <f>IF(LEN(D362)=0,"",INDEX(Input!$1:$1048576,AY$93,$C362*2+6))</f>
        <v>Compact Conventional/Sporty Car (43)</v>
      </c>
      <c r="AZ362" s="41" t="str">
        <f>INDEX(Input!$1:$1048576,AZ$93,$C362*2+6)</f>
        <v>Kia Forte</v>
      </c>
      <c r="BA362" s="3">
        <f>INDEX(Input!$1:$1048576,BA$93,$C362*2+6)</f>
        <v>2020</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19695</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1126"/>
        <v>2250</v>
      </c>
      <c r="CJ362" s="16" t="str">
        <f>INDEX(Input!$1:$1048576,CJ$93,$C362*2+6)</f>
        <v>N</v>
      </c>
      <c r="CK362" s="1" t="str">
        <f t="shared" si="1127"/>
        <v>Market</v>
      </c>
      <c r="CL362" s="1" t="str">
        <f t="shared" si="1128"/>
        <v>Market</v>
      </c>
      <c r="CM362" s="1" t="str">
        <f t="shared" si="1129"/>
        <v>Market</v>
      </c>
      <c r="CN362" s="1" t="str">
        <f t="shared" si="1130"/>
        <v>Market</v>
      </c>
      <c r="CO362" s="1" t="str">
        <f t="shared" si="1131"/>
        <v>Market</v>
      </c>
      <c r="CP362" s="304">
        <f t="shared" si="1132"/>
        <v>310</v>
      </c>
      <c r="CQ362" s="1">
        <f t="shared" si="1133"/>
        <v>0</v>
      </c>
      <c r="CR362" s="1">
        <f t="shared" si="1134"/>
        <v>0</v>
      </c>
      <c r="CS362" s="1">
        <f t="shared" si="1135"/>
        <v>0</v>
      </c>
      <c r="CT362" s="1">
        <f t="shared" si="1136"/>
        <v>8.9999999999999993E-3</v>
      </c>
      <c r="CU362" s="1">
        <f t="shared" si="1137"/>
        <v>3.9000000000000007E-2</v>
      </c>
      <c r="CV362" s="304">
        <f t="shared" si="1138"/>
        <v>4233</v>
      </c>
      <c r="CW362" s="20" t="s">
        <v>122</v>
      </c>
      <c r="CX362" s="20" t="s">
        <v>122</v>
      </c>
      <c r="CY362" s="20" t="s">
        <v>122</v>
      </c>
      <c r="CZ362" s="20" t="s">
        <v>122</v>
      </c>
      <c r="DA362" s="20" t="s">
        <v>122</v>
      </c>
      <c r="DB362" s="503">
        <f t="shared" si="1139"/>
        <v>0</v>
      </c>
      <c r="DC362" s="127">
        <v>0</v>
      </c>
      <c r="DD362" s="127">
        <v>0</v>
      </c>
      <c r="DE362" s="127">
        <v>0</v>
      </c>
      <c r="DF362" s="127">
        <v>0</v>
      </c>
      <c r="DG362" s="127">
        <v>0</v>
      </c>
      <c r="DH362" s="127">
        <v>0</v>
      </c>
      <c r="DI362" s="127">
        <v>0</v>
      </c>
      <c r="DJ362" s="127">
        <v>0</v>
      </c>
      <c r="DK362" s="127">
        <v>0</v>
      </c>
      <c r="DL362" s="127">
        <v>0</v>
      </c>
      <c r="DM362" s="304">
        <f>INDEX(Input!$1:$1048576,DM$93,$C362*2+6)</f>
        <v>20731.578947368424</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3.8202080106500606E-2</v>
      </c>
      <c r="DZ362" s="7">
        <v>0</v>
      </c>
      <c r="EA362" s="7">
        <v>0.66567748947139327</v>
      </c>
      <c r="EB362" s="7">
        <v>0</v>
      </c>
      <c r="EC362" s="7">
        <v>0</v>
      </c>
      <c r="ED362" s="7">
        <v>0</v>
      </c>
      <c r="EE362" s="7">
        <v>0</v>
      </c>
      <c r="EF362" s="7">
        <v>0</v>
      </c>
      <c r="EG362" s="7">
        <v>0</v>
      </c>
      <c r="EH362" s="7">
        <v>1.0176468634757492E-2</v>
      </c>
      <c r="EI362" s="7">
        <v>1.2869314829967131E-2</v>
      </c>
      <c r="EJ362" s="7">
        <v>0.18577333024676262</v>
      </c>
      <c r="EK362" s="7">
        <v>0.75474846201637691</v>
      </c>
      <c r="EL362" s="7">
        <v>3.6432424272135638E-2</v>
      </c>
      <c r="EM362" s="7">
        <v>5.5868824490854216E-2</v>
      </c>
      <c r="EN362" s="7">
        <v>5.7659778106774827E-2</v>
      </c>
      <c r="EO362" s="7">
        <v>0.56931800922069564</v>
      </c>
      <c r="EP362" s="7">
        <v>0.27223179348574278</v>
      </c>
      <c r="EQ362" s="7">
        <v>5.9840818106432811E-2</v>
      </c>
      <c r="ER362" s="7">
        <v>4.0949601080353934E-2</v>
      </c>
      <c r="ES362" s="7">
        <v>0.24025160593125192</v>
      </c>
      <c r="ET362" s="7">
        <v>0.29612043042210623</v>
      </c>
      <c r="EU362" s="6">
        <v>2600</v>
      </c>
      <c r="EV362" s="6">
        <v>0</v>
      </c>
      <c r="EW362" s="6">
        <v>2600</v>
      </c>
      <c r="EX362" s="6">
        <v>0</v>
      </c>
      <c r="EY362" s="6">
        <v>2973.2221366082545</v>
      </c>
      <c r="EZ362" s="6">
        <v>3276</v>
      </c>
      <c r="FA362" s="6">
        <v>0</v>
      </c>
      <c r="FB362" s="6">
        <v>0</v>
      </c>
      <c r="FC362" s="6">
        <v>0</v>
      </c>
      <c r="FD362" s="6">
        <v>0</v>
      </c>
      <c r="FE362" s="6">
        <v>0</v>
      </c>
      <c r="FF362" s="6">
        <v>0</v>
      </c>
      <c r="FG362" s="6">
        <v>0</v>
      </c>
      <c r="FH362" s="6">
        <v>1154.3203141839115</v>
      </c>
      <c r="FI362" s="6">
        <v>1531.4299904380621</v>
      </c>
      <c r="FJ362" s="6">
        <v>2070.7205842538224</v>
      </c>
      <c r="FK362" s="6">
        <v>2218.6393698501015</v>
      </c>
      <c r="FL362" s="6">
        <v>893.9143356348942</v>
      </c>
      <c r="FM362" s="6">
        <v>2123.2221366082545</v>
      </c>
      <c r="FN362" s="6">
        <v>0</v>
      </c>
      <c r="FO362" s="6">
        <v>0</v>
      </c>
      <c r="FP362" s="6">
        <v>0</v>
      </c>
      <c r="FQ362" s="6">
        <v>0</v>
      </c>
      <c r="FR362" s="6">
        <v>0</v>
      </c>
      <c r="FS362" s="6">
        <v>0</v>
      </c>
      <c r="FT362" s="7">
        <v>0.70387956957789388</v>
      </c>
      <c r="FU362" s="7">
        <v>5.5868824490854216E-2</v>
      </c>
      <c r="FV362" s="7">
        <v>0.24025160593125192</v>
      </c>
      <c r="FW362" s="6">
        <v>2600</v>
      </c>
      <c r="FX362" s="6">
        <v>2973.2221366082545</v>
      </c>
      <c r="FY362" s="6">
        <v>3276</v>
      </c>
      <c r="FZ362" s="6">
        <v>2202.331475193394</v>
      </c>
      <c r="GA362" s="6">
        <v>2783.2615676557944</v>
      </c>
      <c r="GB362" s="6">
        <v>16911.738432344206</v>
      </c>
      <c r="GC362" s="7">
        <v>4.8391397220736806E-2</v>
      </c>
      <c r="GD362" s="7">
        <v>5.2882296920578636E-2</v>
      </c>
      <c r="GE362" s="7"/>
      <c r="GF362" s="7"/>
      <c r="GG362" s="7">
        <v>9.28036791200023E-2</v>
      </c>
      <c r="GH362" s="42">
        <v>3.1462795334306843</v>
      </c>
      <c r="GI362" s="6">
        <v>9043.035942669665</v>
      </c>
      <c r="GJ362" s="14">
        <v>0.5107463060103955</v>
      </c>
      <c r="GK362" s="14">
        <v>0.50829519786160959</v>
      </c>
      <c r="GL362" s="14">
        <v>0.48925369398960422</v>
      </c>
      <c r="GM362" s="14">
        <v>0.49170480213839018</v>
      </c>
      <c r="GO362" s="5">
        <v>338.16872463277008</v>
      </c>
      <c r="GP362" s="5">
        <v>288.56568471597211</v>
      </c>
      <c r="GQ362" s="5">
        <v>527.27910984145694</v>
      </c>
      <c r="GR362" s="5">
        <v>404.20319246551543</v>
      </c>
      <c r="GS362" s="5">
        <v>334.50205195691484</v>
      </c>
      <c r="GT362" s="5">
        <v>289.18266033348181</v>
      </c>
      <c r="GU362" s="5">
        <v>254.29573314828914</v>
      </c>
      <c r="GV362" s="39" t="s">
        <v>392</v>
      </c>
      <c r="GW362" s="5">
        <v>468.76388888888891</v>
      </c>
      <c r="GX362" s="5">
        <v>351.57291666666669</v>
      </c>
      <c r="GY362" s="5">
        <v>281.25833333333333</v>
      </c>
      <c r="GZ362" s="5">
        <v>240.8550698915011</v>
      </c>
      <c r="HA362" s="5">
        <v>229.8919505212948</v>
      </c>
      <c r="HB362" s="39">
        <v>251.70567545324329</v>
      </c>
      <c r="HC362" s="5">
        <v>139.79062499999998</v>
      </c>
      <c r="HD362" s="5">
        <v>138.50060307017537</v>
      </c>
      <c r="HE362" s="5">
        <v>146.64128289473683</v>
      </c>
      <c r="HF362" s="5">
        <v>141.94567434210524</v>
      </c>
      <c r="HG362" s="5">
        <v>144.78493421052633</v>
      </c>
      <c r="HH362" s="39">
        <v>141.25463405383695</v>
      </c>
      <c r="HI362" s="16"/>
      <c r="HJ362" s="19" t="str">
        <f t="shared" ref="HJ362" si="1140">HJ361</f>
        <v>On</v>
      </c>
      <c r="HK362" s="1" t="str">
        <f t="shared" si="1122"/>
        <v>On</v>
      </c>
      <c r="HL362" s="16"/>
      <c r="HM362" s="639">
        <f t="shared" si="1004"/>
        <v>2.8970655363290673E-2</v>
      </c>
      <c r="HN362" s="639">
        <f t="shared" si="1005"/>
        <v>2.1835179285533651E-3</v>
      </c>
      <c r="HO362" s="639">
        <f t="shared" si="1006"/>
        <v>1.5544129749146325E-2</v>
      </c>
      <c r="HP362" s="644">
        <f>(FT362*$GD362-HM362)/$JF362*INDEX(Input!$1:$1048576,$JG$93,$C362*2+6)</f>
        <v>340.34576555457528</v>
      </c>
      <c r="HQ362" s="644">
        <f>(FU362*$GD362-HN362)/$JF362*INDEX(Input!$1:$1048576,$JG$93,$C362*2+6)</f>
        <v>31.7968104392702</v>
      </c>
      <c r="HR362" s="644">
        <f>(FV362*$GD362-HO362)/$JF362*INDEX(Input!$1:$1048576,$JG$93,$C362*2+6)</f>
        <v>-117.09321795545057</v>
      </c>
      <c r="HS362" s="644">
        <f t="shared" ref="HS362:HS381" si="1141">IF(AND(HJ362="On",HK362="On"),IL362/1000*INDEX(KG:KG,MATCH(C362*1000+3,$KF:$KF,0))*SUM(HY362:IA362)*1.1
+INDEX(HR:HR,MATCH(C362*1000+4,$KF:$KF,0))/INDEX(IM:IM,MATCH(C362*1000+4,$KF:$KF,0))*IM362*20%,0)</f>
        <v>-97.607808753848474</v>
      </c>
      <c r="HT362" s="644">
        <f t="shared" si="1008"/>
        <v>91.634641635050784</v>
      </c>
      <c r="HU362" s="644">
        <f t="shared" si="1009"/>
        <v>1.2325263728999518</v>
      </c>
      <c r="HV362" s="648">
        <f t="shared" si="1010"/>
        <v>0</v>
      </c>
      <c r="HW362" s="648">
        <f t="shared" si="1011"/>
        <v>0</v>
      </c>
      <c r="HX362" s="648">
        <f t="shared" si="1012"/>
        <v>0</v>
      </c>
      <c r="HY362" s="644">
        <f>INDEX(Input!$1:$1048576,HY$93,$C362*2+6)*INDEX(Input!$1:$1048576,$JG$93,$C362*2+6)</f>
        <v>488.99999999999994</v>
      </c>
      <c r="HZ362" s="644">
        <f>INDEX(Input!$1:$1048576,HZ$93,$C362*2+6)*INDEX(Input!$1:$1048576,$JG$93,$C362*2+6)</f>
        <v>734</v>
      </c>
      <c r="IA362" s="644">
        <f>INDEX(Input!$1:$1048576,IA$93,$C362*2+6)*INDEX(Input!$1:$1048576,$JG$93,$C362*2+6)</f>
        <v>703</v>
      </c>
      <c r="IB362" s="644">
        <f t="shared" si="1036"/>
        <v>731.73795680072658</v>
      </c>
      <c r="IC362" s="644">
        <f t="shared" si="1037"/>
        <v>857.43145207432099</v>
      </c>
      <c r="ID362" s="644">
        <f>IF(AND(INDEX(Input!$1:$1048576,IA$93,$C362*2+7)="TOS",Y362&lt;=INDEX(Y:Y,MATCH(C362*1000+2,A:A))),0,1)*MAX(IA362+HR362+HU362+HX362,0%)</f>
        <v>587.13930841744946</v>
      </c>
      <c r="IE362" s="128">
        <f t="shared" ref="IE362:IE372" si="1142">IB362/SUM($IB362:$ID362)</f>
        <v>0.33622893249771446</v>
      </c>
      <c r="IF362" s="128">
        <f t="shared" ref="IF362:IF372" si="1143">IC362/SUM($IB362:$ID362)</f>
        <v>0.39398429334099005</v>
      </c>
      <c r="IG362" s="128">
        <f t="shared" si="1014"/>
        <v>0.26978677416129543</v>
      </c>
      <c r="IH362" s="21"/>
      <c r="II362" s="19">
        <f t="shared" si="1015"/>
        <v>1200</v>
      </c>
      <c r="IJ362" s="19">
        <f t="shared" si="1016"/>
        <v>2224.493581030405</v>
      </c>
      <c r="IK362" s="19">
        <f t="shared" si="1017"/>
        <v>3451.75</v>
      </c>
      <c r="IL362" s="19">
        <f t="shared" si="1039"/>
        <v>1400</v>
      </c>
      <c r="IM362" s="19">
        <f t="shared" si="1018"/>
        <v>748.72855557784942</v>
      </c>
      <c r="IN362" s="19">
        <f t="shared" si="1019"/>
        <v>-175.75</v>
      </c>
      <c r="IO362" s="39">
        <f t="shared" si="1020"/>
        <v>0</v>
      </c>
      <c r="IP362" s="39">
        <f t="shared" si="1021"/>
        <v>0</v>
      </c>
      <c r="IQ362" s="39">
        <f t="shared" si="1022"/>
        <v>0</v>
      </c>
      <c r="IR362" s="39">
        <v>0</v>
      </c>
      <c r="IS362" s="39">
        <v>0</v>
      </c>
      <c r="IT362" s="39">
        <v>0</v>
      </c>
      <c r="IU362" s="39">
        <v>0</v>
      </c>
      <c r="IV362" s="39">
        <v>0</v>
      </c>
      <c r="IW362" s="39">
        <v>0</v>
      </c>
      <c r="IX362" s="39">
        <f>INDEX(Input!$1:$1048576,IX$93,$C362*2+6)+INDEX(Input!$1:$1048576,IX$94,$C362*2+6)</f>
        <v>1600</v>
      </c>
      <c r="IY362" s="39">
        <f>INDEX(Input!$1:$1048576,IY$93,$C362*2+6)+INDEX(Input!$1:$1048576,IY$94,$C362*2+6)</f>
        <v>2503.5492916397525</v>
      </c>
      <c r="IZ362" s="39">
        <f>INDEX(Input!$1:$1048576,IZ$93,$C362*2+6)+INDEX(Input!$1:$1048576,IZ$94,$C362*2+6)</f>
        <v>5773.7109265464023</v>
      </c>
      <c r="JA362" s="19">
        <f t="shared" si="1040"/>
        <v>3000</v>
      </c>
      <c r="JB362" s="19">
        <f t="shared" si="1041"/>
        <v>3252.2778472176019</v>
      </c>
      <c r="JC362" s="19">
        <f t="shared" si="1042"/>
        <v>5597.9609265464023</v>
      </c>
      <c r="JD362" s="19">
        <f t="shared" si="1043"/>
        <v>3800.2890071316569</v>
      </c>
      <c r="JE362" s="21"/>
      <c r="JF362" s="1">
        <f t="shared" si="1023"/>
        <v>4.6698303040990354E-2</v>
      </c>
      <c r="JG362" s="15">
        <f>INDEX(Input!$1:$1048576,JG$93,$C362*2+6)/(1+VLOOKUP(C362*1000+INDEX(Input!$1:$1048576,JG$93+1,$C362*2+6),$A:$KK,$JK$92,FALSE))</f>
        <v>1926</v>
      </c>
      <c r="JH362" s="1">
        <f t="shared" si="1044"/>
        <v>0.13242438112066193</v>
      </c>
      <c r="JI362" s="1">
        <f t="shared" si="1045"/>
        <v>-2.4613918722210478E-3</v>
      </c>
      <c r="JJ362" s="1">
        <f t="shared" ref="JJ362:JJ372" si="1144">SUM(HV362:HX362)/SUM(HY362:IA362)</f>
        <v>0</v>
      </c>
      <c r="JK362" s="1">
        <f t="shared" ref="JK362:JK372" si="1145">SUM(JH362:JJ362)</f>
        <v>0.12996298924844088</v>
      </c>
      <c r="JL362" s="15">
        <f t="shared" si="1048"/>
        <v>250.30871729249714</v>
      </c>
      <c r="JM362" s="15">
        <f t="shared" si="1074"/>
        <v>2176.308717292497</v>
      </c>
      <c r="JN362" s="21"/>
      <c r="JO362" s="19">
        <f>INDEX(Input!$1:$1048576,JO$93,$C362*2+6)</f>
        <v>5908.5</v>
      </c>
      <c r="JP362" s="19">
        <f>INDEX(Input!$1:$1048576,JP$93,$C362*2+6)</f>
        <v>3467.7694503767912</v>
      </c>
      <c r="JQ362" s="39">
        <f t="shared" si="1060"/>
        <v>2108.2109928683431</v>
      </c>
      <c r="JR362" s="39">
        <f t="shared" si="1077"/>
        <v>332.51955675486579</v>
      </c>
      <c r="JS362" s="39">
        <f t="shared" si="1062"/>
        <v>8.2706020944514727</v>
      </c>
      <c r="JT362" s="39">
        <f t="shared" si="1050"/>
        <v>1.5916781330257728</v>
      </c>
      <c r="JU362" s="385">
        <f>(JQ362*JM362-INDEX(Input!$1:$1048576,Input!A$18,$C362*2+6)*JL362*INDEX(Input!$1:$1048576,Input!A$19,$C362*2+6))/1000000</f>
        <v>4.5881179616712453</v>
      </c>
      <c r="JV362" s="39">
        <f t="shared" si="1084"/>
        <v>-0.11272907690305445</v>
      </c>
      <c r="JW362" s="1">
        <f t="shared" si="1075"/>
        <v>-2.3980588174433257E-2</v>
      </c>
      <c r="JX362" s="19">
        <f t="shared" si="1066"/>
        <v>6358.8601717207648</v>
      </c>
      <c r="JZ362" s="341"/>
      <c r="KA362" s="342"/>
      <c r="KB362" s="469">
        <f t="shared" si="1063"/>
        <v>2.7822247002359868</v>
      </c>
      <c r="KI362" s="473">
        <f t="shared" ref="KI362:KI372" si="1146">$JM362*IE362-$JG362*HY362/SUM($HY362:$IA362)</f>
        <v>242.73795680072664</v>
      </c>
      <c r="KJ362" s="473">
        <f t="shared" ref="KJ362:KJ372" si="1147">$JM362*IF362-$JG362*HZ362/SUM($HY362:$IA362)</f>
        <v>123.43145207432099</v>
      </c>
      <c r="KK362" s="473">
        <f t="shared" si="1052"/>
        <v>-115.86069158255054</v>
      </c>
      <c r="KN362" s="544">
        <f t="shared" si="1067"/>
        <v>3002</v>
      </c>
      <c r="KO362" s="541">
        <f t="shared" si="1027"/>
        <v>5.642254585125861E-2</v>
      </c>
      <c r="KP362" s="546">
        <f t="shared" si="1028"/>
        <v>376.460052653932</v>
      </c>
      <c r="KQ362" s="546">
        <f t="shared" si="1029"/>
        <v>79.207788806284043</v>
      </c>
      <c r="KR362" s="548">
        <f t="shared" si="1030"/>
        <v>2.3941163438975681</v>
      </c>
      <c r="KS362" s="548">
        <f t="shared" si="1031"/>
        <v>11.378794667372572</v>
      </c>
      <c r="KT362" s="473">
        <f t="shared" si="1065"/>
        <v>527.01264777847621</v>
      </c>
      <c r="KU362" s="663">
        <f t="shared" si="1053"/>
        <v>16.218795800761711</v>
      </c>
    </row>
    <row r="363" spans="1:308" s="26" customFormat="1" ht="15" outlineLevel="1">
      <c r="A363" s="561">
        <f t="shared" si="1032"/>
        <v>3063</v>
      </c>
      <c r="B363" s="561">
        <f t="shared" si="1054"/>
        <v>63</v>
      </c>
      <c r="C363" s="561">
        <f t="shared" si="1055"/>
        <v>3</v>
      </c>
      <c r="D363" s="561" t="str">
        <f t="shared" si="1123"/>
        <v xml:space="preserve">-250 CC, 0/0/0.9/3.9, </v>
      </c>
      <c r="E363" s="475">
        <f>INDEX(Input!$1:$1048576,E$93,$C363*2+MIN($B363,2)+5)
+INDEX(Scenarios!E$121:E$200,MATCH($B363,Scenarios!$B$121:$B$200,0))</f>
        <v>1000</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8.9999999999999993E-3</v>
      </c>
      <c r="W363" s="863">
        <f>IFERROR(MAX(0,INDEX(Input!$1:$1048576,W$93,$C363*2+MIN($B363,2)+5)-0%,),"Market")</f>
        <v>3.9000000000000007E-2</v>
      </c>
      <c r="X363" s="476" t="str">
        <f>INDEX(Input!$1:$1048576,X$93,$C363*2+MIN($B363,2)+5)</f>
        <v>Y</v>
      </c>
      <c r="Y363" s="475">
        <f>INDEX(Input!$1:$1048576,Y$93,$C363*2+MIN($B363,2)+5)
++INDEX(Scenarios!Y$121:Y$200,MATCH($B363,Scenarios!$B$121:$B$200,0))</f>
        <v>4108</v>
      </c>
      <c r="Z363" s="477">
        <f>INDEX(Input!$1:$1048576,Z$93,$C363*2+MIN($B363,2)+5)
+INDEX(Scenarios!Z$121:Z$200,MATCH($B363,Scenarios!$B$121:$B$200,0))</f>
        <v>0</v>
      </c>
      <c r="AA363" s="475">
        <f>INDEX(Input!$1:$1048576,AA$93,$C363*2+MIN($B363,2)+5)</f>
        <v>500</v>
      </c>
      <c r="AB363" s="476">
        <f>INDEX(Input!$1:$1048576,AB$93,$C363*2+MIN($B363,2)+5)</f>
        <v>0.62</v>
      </c>
      <c r="AC363" s="475">
        <f>INDEX(Input!$1:$1048576,AC$93,$C363*2+MIN($B363,2)+5)
+INDEX(Scenarios!AC$121:AC$200,MATCH($B363,Scenarios!$B$121:$B$200,0))</f>
        <v>0</v>
      </c>
      <c r="AD363" s="476">
        <f>INDEX(Input!$1:$1048576,AD$93,$C363*2+MIN($B363,2)+5)</f>
        <v>0.35</v>
      </c>
      <c r="AE363" s="475">
        <f>INDEX(Input!$1:$1048576,AE$93,$C363*2+MIN($B363,2)+5)
+INDEX(Scenarios!AE$121:AE$200,MATCH($B363,Scenarios!$B$121:$B$200,0))</f>
        <v>500</v>
      </c>
      <c r="AF363" s="476">
        <f>INDEX(Input!$1:$1048576,AF$93,$C363*2+MIN($B363,2)+5)</f>
        <v>0.97</v>
      </c>
      <c r="AG363" s="475">
        <f>INDEX(Input!$1:$1048576,AG$93,$C363*2+MIN($B363,2)+5)
+INDEX(Scenarios!AG$121:AG$200,MATCH($B363,Scenarios!$B$121:$B$200,0))</f>
        <v>0</v>
      </c>
      <c r="AH363" s="476">
        <f>INDEX(Input!$1:$1048576,AH$93,$C363*2+MIN($B363,2)+5)</f>
        <v>1</v>
      </c>
      <c r="AI363" s="475">
        <f>INDEX(Input!$1:$1048576,AI$93,$C363*2+MIN($B363,2)+5)
+INDEX(Scenarios!AI$121:AI$200,MATCH($B363,Scenarios!$B$121:$B$200,0))</f>
        <v>0</v>
      </c>
      <c r="AJ363" s="476">
        <f>INDEX(Input!$1:$1048576,AJ$93,$C363*2+MIN($B363,2)+5)</f>
        <v>0.35</v>
      </c>
      <c r="AK363" s="150">
        <f>ROUND(INDEX(Input!$1:$1048576,AK$93,$C362*2+MIN($B363,1)+5)+(Y363-VLOOKUP($C363*1000+1,$A:$HH,Y$92,FALSE)),0)</f>
        <v>4982</v>
      </c>
      <c r="AL363" s="150">
        <f>ROUND(INDEX(Input!$1:$1048576,AL$93,$C362*2+MIN($B363,1)+5)-(Y363-VLOOKUP($C363*1000+1,$A:$HH,Y$92,FALSE))/36,0)</f>
        <v>5102</v>
      </c>
      <c r="AM363" s="32" t="str">
        <f t="shared" si="1033"/>
        <v>std/std/std/std</v>
      </c>
      <c r="AN363" s="32" t="str">
        <f t="shared" si="1034"/>
        <v>$0 + 0/0/0/0.9/3.9</v>
      </c>
      <c r="AO363" s="32" t="str">
        <f t="shared" si="1035"/>
        <v>0/0/0/0.9/3.9</v>
      </c>
      <c r="AP363" s="32" t="str">
        <f t="shared" si="1125"/>
        <v>0/0/0.9/3.9</v>
      </c>
      <c r="AQ363" s="536">
        <f t="shared" si="1124"/>
        <v>485.22962009118766</v>
      </c>
      <c r="AR363" s="32"/>
      <c r="AS363" s="302"/>
      <c r="AT363" s="3">
        <f t="shared" si="1056"/>
        <v>63</v>
      </c>
      <c r="AU363" s="41" t="s">
        <v>121</v>
      </c>
      <c r="AV363" s="41" t="s">
        <v>116</v>
      </c>
      <c r="AW363" s="41" t="str">
        <f>INDEX(Input!$1:$1048576,AW$93,$C363*2+6)</f>
        <v>Kia</v>
      </c>
      <c r="AX363" s="41" t="str">
        <f>INDEX(Input!$1:$1048576,AX$93,$C363*2+6)</f>
        <v>Kia-LR - L3</v>
      </c>
      <c r="AY363" s="41" t="str">
        <f>IF(LEN(D363)=0,"",INDEX(Input!$1:$1048576,AY$93,$C363*2+6))</f>
        <v>Compact Conventional/Sporty Car (43)</v>
      </c>
      <c r="AZ363" s="41" t="str">
        <f>INDEX(Input!$1:$1048576,AZ$93,$C363*2+6)</f>
        <v>Kia Forte</v>
      </c>
      <c r="BA363" s="3">
        <f>INDEX(Input!$1:$1048576,BA$93,$C363*2+6)</f>
        <v>2020</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19695</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1126"/>
        <v>1000</v>
      </c>
      <c r="CJ363" s="16" t="str">
        <f>INDEX(Input!$1:$1048576,CJ$93,$C363*2+6)</f>
        <v>N</v>
      </c>
      <c r="CK363" s="1" t="str">
        <f t="shared" si="1127"/>
        <v>Market</v>
      </c>
      <c r="CL363" s="1" t="str">
        <f t="shared" si="1128"/>
        <v>Market</v>
      </c>
      <c r="CM363" s="1" t="str">
        <f t="shared" si="1129"/>
        <v>Market</v>
      </c>
      <c r="CN363" s="1" t="str">
        <f t="shared" si="1130"/>
        <v>Market</v>
      </c>
      <c r="CO363" s="1" t="str">
        <f t="shared" si="1131"/>
        <v>Market</v>
      </c>
      <c r="CP363" s="304">
        <f t="shared" si="1132"/>
        <v>310</v>
      </c>
      <c r="CQ363" s="1">
        <f t="shared" si="1133"/>
        <v>0</v>
      </c>
      <c r="CR363" s="1">
        <f t="shared" si="1134"/>
        <v>0</v>
      </c>
      <c r="CS363" s="1">
        <f t="shared" si="1135"/>
        <v>0</v>
      </c>
      <c r="CT363" s="1">
        <f t="shared" si="1136"/>
        <v>8.9999999999999993E-3</v>
      </c>
      <c r="CU363" s="1">
        <f t="shared" si="1137"/>
        <v>3.9000000000000007E-2</v>
      </c>
      <c r="CV363" s="304">
        <f t="shared" si="1138"/>
        <v>4593</v>
      </c>
      <c r="CW363" s="20" t="s">
        <v>122</v>
      </c>
      <c r="CX363" s="20" t="s">
        <v>122</v>
      </c>
      <c r="CY363" s="20" t="s">
        <v>122</v>
      </c>
      <c r="CZ363" s="20" t="s">
        <v>122</v>
      </c>
      <c r="DA363" s="20" t="s">
        <v>122</v>
      </c>
      <c r="DB363" s="503">
        <f t="shared" si="1139"/>
        <v>0</v>
      </c>
      <c r="DC363" s="127">
        <v>0</v>
      </c>
      <c r="DD363" s="127">
        <v>0</v>
      </c>
      <c r="DE363" s="127">
        <v>0</v>
      </c>
      <c r="DF363" s="127">
        <v>0</v>
      </c>
      <c r="DG363" s="127">
        <v>0</v>
      </c>
      <c r="DH363" s="127">
        <v>0</v>
      </c>
      <c r="DI363" s="127">
        <v>0</v>
      </c>
      <c r="DJ363" s="127">
        <v>0</v>
      </c>
      <c r="DK363" s="127">
        <v>0</v>
      </c>
      <c r="DL363" s="127">
        <v>0</v>
      </c>
      <c r="DM363" s="304">
        <f>INDEX(Input!$1:$1048576,DM$93,$C363*2+6)</f>
        <v>20731.578947368424</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3.2169263279182687E-2</v>
      </c>
      <c r="DZ363" s="7">
        <v>0</v>
      </c>
      <c r="EA363" s="7">
        <v>0.57127276070680055</v>
      </c>
      <c r="EB363" s="7">
        <v>0</v>
      </c>
      <c r="EC363" s="7">
        <v>0</v>
      </c>
      <c r="ED363" s="7">
        <v>0</v>
      </c>
      <c r="EE363" s="7">
        <v>0</v>
      </c>
      <c r="EF363" s="7">
        <v>0</v>
      </c>
      <c r="EG363" s="7">
        <v>0</v>
      </c>
      <c r="EH363" s="7">
        <v>1.0132120589750718E-2</v>
      </c>
      <c r="EI363" s="7">
        <v>1.2856313222149744E-2</v>
      </c>
      <c r="EJ363" s="7">
        <v>0.18446752973010708</v>
      </c>
      <c r="EK363" s="7">
        <v>0.75589811043446398</v>
      </c>
      <c r="EL363" s="7">
        <v>3.6645926023528459E-2</v>
      </c>
      <c r="EM363" s="7">
        <v>6.803260921533745E-2</v>
      </c>
      <c r="EN363" s="7">
        <v>5.8903840649550725E-2</v>
      </c>
      <c r="EO363" s="7">
        <v>0.56806449089612521</v>
      </c>
      <c r="EP363" s="7">
        <v>0.27410709591931881</v>
      </c>
      <c r="EQ363" s="7">
        <v>5.8713575146425362E-2</v>
      </c>
      <c r="ER363" s="7">
        <v>4.0210997388580243E-2</v>
      </c>
      <c r="ES363" s="7">
        <v>0.32852536679867933</v>
      </c>
      <c r="ET363" s="7">
        <v>0.39655797601401671</v>
      </c>
      <c r="EU363" s="6">
        <v>1350</v>
      </c>
      <c r="EV363" s="6">
        <v>0</v>
      </c>
      <c r="EW363" s="6">
        <v>1350</v>
      </c>
      <c r="EX363" s="6">
        <v>0</v>
      </c>
      <c r="EY363" s="6">
        <v>2973.1886927701603</v>
      </c>
      <c r="EZ363" s="6">
        <v>3636</v>
      </c>
      <c r="FA363" s="6">
        <v>0</v>
      </c>
      <c r="FB363" s="6">
        <v>0</v>
      </c>
      <c r="FC363" s="6">
        <v>0</v>
      </c>
      <c r="FD363" s="6">
        <v>0</v>
      </c>
      <c r="FE363" s="6">
        <v>0</v>
      </c>
      <c r="FF363" s="6">
        <v>0</v>
      </c>
      <c r="FG363" s="6">
        <v>0</v>
      </c>
      <c r="FH363" s="6">
        <v>1154.3301397625855</v>
      </c>
      <c r="FI363" s="6">
        <v>1531.4299904380618</v>
      </c>
      <c r="FJ363" s="6">
        <v>2070.7205842538219</v>
      </c>
      <c r="FK363" s="6">
        <v>2218.6393698501024</v>
      </c>
      <c r="FL363" s="6">
        <v>893.91433563489363</v>
      </c>
      <c r="FM363" s="6">
        <v>2123.1886927701603</v>
      </c>
      <c r="FN363" s="6">
        <v>0</v>
      </c>
      <c r="FO363" s="6">
        <v>0</v>
      </c>
      <c r="FP363" s="6">
        <v>0</v>
      </c>
      <c r="FQ363" s="6">
        <v>0</v>
      </c>
      <c r="FR363" s="6">
        <v>0</v>
      </c>
      <c r="FS363" s="6">
        <v>0</v>
      </c>
      <c r="FT363" s="7">
        <v>0.60344202398598323</v>
      </c>
      <c r="FU363" s="7">
        <v>6.803260921533745E-2</v>
      </c>
      <c r="FV363" s="7">
        <v>0.32852536679867933</v>
      </c>
      <c r="FW363" s="6">
        <v>1350</v>
      </c>
      <c r="FX363" s="6">
        <v>2973.1886927701603</v>
      </c>
      <c r="FY363" s="6">
        <v>3636</v>
      </c>
      <c r="FZ363" s="6">
        <v>2202.331475193394</v>
      </c>
      <c r="GA363" s="6">
        <v>2211.4387505197678</v>
      </c>
      <c r="GB363" s="6">
        <v>17483.561249480234</v>
      </c>
      <c r="GC363" s="7">
        <v>4.8391397220736806E-2</v>
      </c>
      <c r="GD363" s="7">
        <v>4.8224056946564176E-2</v>
      </c>
      <c r="GE363" s="7"/>
      <c r="GF363" s="7"/>
      <c r="GG363" s="7">
        <v>-3.458058328204706E-3</v>
      </c>
      <c r="GH363" s="42">
        <v>-7.4782474816327991</v>
      </c>
      <c r="GI363" s="6">
        <v>-422.19968527317207</v>
      </c>
      <c r="GJ363" s="14">
        <v>0.51074630601039539</v>
      </c>
      <c r="GK363" s="14">
        <v>0.5082951978616097</v>
      </c>
      <c r="GL363" s="14">
        <v>0.48925369398960411</v>
      </c>
      <c r="GM363" s="14">
        <v>0.49170480213839007</v>
      </c>
      <c r="GO363" s="5">
        <v>338.16872463277008</v>
      </c>
      <c r="GP363" s="5">
        <v>312.41330006058649</v>
      </c>
      <c r="GQ363" s="5">
        <v>527.27910984145694</v>
      </c>
      <c r="GR363" s="5">
        <v>404.20319246551543</v>
      </c>
      <c r="GS363" s="5">
        <v>334.50205195691484</v>
      </c>
      <c r="GT363" s="5">
        <v>289.18266033348181</v>
      </c>
      <c r="GU363" s="5">
        <v>254.29573314828914</v>
      </c>
      <c r="GV363" s="39" t="s">
        <v>392</v>
      </c>
      <c r="GW363" s="5">
        <v>468.76388888888891</v>
      </c>
      <c r="GX363" s="5">
        <v>351.57291666666669</v>
      </c>
      <c r="GY363" s="5">
        <v>281.25833333333333</v>
      </c>
      <c r="GZ363" s="5">
        <v>240.8550698915011</v>
      </c>
      <c r="HA363" s="5">
        <v>229.8919505212948</v>
      </c>
      <c r="HB363" s="39">
        <v>251.63902938519564</v>
      </c>
      <c r="HC363" s="5">
        <v>124.04062499999996</v>
      </c>
      <c r="HD363" s="5">
        <v>127.75060307017539</v>
      </c>
      <c r="HE363" s="5">
        <v>136.66051366396758</v>
      </c>
      <c r="HF363" s="5">
        <v>133.62067434210525</v>
      </c>
      <c r="HG363" s="5">
        <v>137.88493421052632</v>
      </c>
      <c r="HH363" s="39">
        <v>130.72650526464062</v>
      </c>
      <c r="HI363" s="16"/>
      <c r="HJ363" s="19" t="str">
        <f t="shared" ref="HJ363" si="1148">HJ362</f>
        <v>On</v>
      </c>
      <c r="HK363" s="1" t="str">
        <f t="shared" si="1122"/>
        <v>On</v>
      </c>
      <c r="HL363" s="16"/>
      <c r="HM363" s="639">
        <f t="shared" si="1004"/>
        <v>2.8970655363290673E-2</v>
      </c>
      <c r="HN363" s="639">
        <f t="shared" si="1005"/>
        <v>2.1835179285533651E-3</v>
      </c>
      <c r="HO363" s="639">
        <f t="shared" si="1006"/>
        <v>1.5544129749146325E-2</v>
      </c>
      <c r="HP363" s="644">
        <f>(FT363*$GD363-HM363)/$JF363*INDEX(Input!$1:$1048576,$JG$93,$C363*2+6)</f>
        <v>5.3520480233014061</v>
      </c>
      <c r="HQ363" s="644">
        <f>(FU363*$GD363-HN363)/$JF363*INDEX(Input!$1:$1048576,$JG$93,$C363*2+6)</f>
        <v>45.256066085376943</v>
      </c>
      <c r="HR363" s="644">
        <f>(FV363*$GD363-HO363)/$JF363*INDEX(Input!$1:$1048576,$JG$93,$C363*2+6)</f>
        <v>12.319269345828401</v>
      </c>
      <c r="HS363" s="644">
        <f t="shared" si="1141"/>
        <v>-11.146785278463986</v>
      </c>
      <c r="HT363" s="644">
        <f t="shared" si="1008"/>
        <v>106.74196491627315</v>
      </c>
      <c r="HU363" s="644">
        <f t="shared" si="1009"/>
        <v>19.845831874851143</v>
      </c>
      <c r="HV363" s="648">
        <f t="shared" si="1010"/>
        <v>0</v>
      </c>
      <c r="HW363" s="648">
        <f t="shared" si="1011"/>
        <v>0</v>
      </c>
      <c r="HX363" s="648">
        <f t="shared" si="1012"/>
        <v>0</v>
      </c>
      <c r="HY363" s="644">
        <f>INDEX(Input!$1:$1048576,HY$93,$C363*2+6)*INDEX(Input!$1:$1048576,$JG$93,$C363*2+6)</f>
        <v>488.99999999999994</v>
      </c>
      <c r="HZ363" s="644">
        <f>INDEX(Input!$1:$1048576,HZ$93,$C363*2+6)*INDEX(Input!$1:$1048576,$JG$93,$C363*2+6)</f>
        <v>734</v>
      </c>
      <c r="IA363" s="644">
        <f>INDEX(Input!$1:$1048576,IA$93,$C363*2+6)*INDEX(Input!$1:$1048576,$JG$93,$C363*2+6)</f>
        <v>703</v>
      </c>
      <c r="IB363" s="644">
        <f t="shared" si="1036"/>
        <v>483.20526274483734</v>
      </c>
      <c r="IC363" s="644">
        <f t="shared" si="1037"/>
        <v>885.99803100165002</v>
      </c>
      <c r="ID363" s="644">
        <f>IF(AND(INDEX(Input!$1:$1048576,IA$93,$C363*2+7)="TOS",Y363&lt;=INDEX(Y:Y,MATCH(C363*1000+2,A:A))),0,1)*MAX(IA363+HR363+HU363+HX363,0%)</f>
        <v>735.1651012206795</v>
      </c>
      <c r="IE363" s="128">
        <f t="shared" si="1142"/>
        <v>0.22962009118768223</v>
      </c>
      <c r="IF363" s="128">
        <f t="shared" si="1143"/>
        <v>0.42102800684548092</v>
      </c>
      <c r="IG363" s="128">
        <f t="shared" si="1014"/>
        <v>0.34935190196683685</v>
      </c>
      <c r="IH363" s="21"/>
      <c r="II363" s="19">
        <f t="shared" si="1015"/>
        <v>1200</v>
      </c>
      <c r="IJ363" s="19">
        <f t="shared" si="1016"/>
        <v>2224.493581030405</v>
      </c>
      <c r="IK363" s="19">
        <f t="shared" si="1017"/>
        <v>3451.75</v>
      </c>
      <c r="IL363" s="19">
        <f t="shared" si="1039"/>
        <v>150</v>
      </c>
      <c r="IM363" s="19">
        <f t="shared" si="1018"/>
        <v>748.69511173975525</v>
      </c>
      <c r="IN363" s="19">
        <f t="shared" si="1019"/>
        <v>184.25</v>
      </c>
      <c r="IO363" s="39">
        <f t="shared" si="1020"/>
        <v>0</v>
      </c>
      <c r="IP363" s="39">
        <f t="shared" si="1021"/>
        <v>0</v>
      </c>
      <c r="IQ363" s="39">
        <f t="shared" si="1022"/>
        <v>0</v>
      </c>
      <c r="IR363" s="39">
        <v>0</v>
      </c>
      <c r="IS363" s="39">
        <v>0</v>
      </c>
      <c r="IT363" s="39">
        <v>0</v>
      </c>
      <c r="IU363" s="39">
        <v>0</v>
      </c>
      <c r="IV363" s="39">
        <v>0</v>
      </c>
      <c r="IW363" s="39">
        <v>0</v>
      </c>
      <c r="IX363" s="39">
        <f>INDEX(Input!$1:$1048576,IX$93,$C363*2+6)+INDEX(Input!$1:$1048576,IX$94,$C363*2+6)</f>
        <v>1600</v>
      </c>
      <c r="IY363" s="39">
        <f>INDEX(Input!$1:$1048576,IY$93,$C363*2+6)+INDEX(Input!$1:$1048576,IY$94,$C363*2+6)</f>
        <v>2503.5492916397525</v>
      </c>
      <c r="IZ363" s="39">
        <f>INDEX(Input!$1:$1048576,IZ$93,$C363*2+6)+INDEX(Input!$1:$1048576,IZ$94,$C363*2+6)</f>
        <v>5773.7109265464023</v>
      </c>
      <c r="JA363" s="19">
        <f t="shared" si="1040"/>
        <v>1750</v>
      </c>
      <c r="JB363" s="19">
        <f t="shared" si="1041"/>
        <v>3252.2444033795077</v>
      </c>
      <c r="JC363" s="19">
        <f t="shared" si="1042"/>
        <v>5957.9609265464023</v>
      </c>
      <c r="JD363" s="19">
        <f t="shared" si="1043"/>
        <v>3852.5461200407717</v>
      </c>
      <c r="JE363" s="21"/>
      <c r="JF363" s="1">
        <f t="shared" si="1023"/>
        <v>4.6698303040990354E-2</v>
      </c>
      <c r="JG363" s="15">
        <f>INDEX(Input!$1:$1048576,JG$93,$C363*2+6)/(1+VLOOKUP(C363*1000+INDEX(Input!$1:$1048576,JG$93+1,$C363*2+6),$A:$KK,$JK$92,FALSE))</f>
        <v>1926</v>
      </c>
      <c r="JH363" s="1">
        <f t="shared" si="1044"/>
        <v>3.2672577079183154E-2</v>
      </c>
      <c r="JI363" s="1">
        <f t="shared" si="1045"/>
        <v>5.9938219892346996E-2</v>
      </c>
      <c r="JJ363" s="1">
        <f t="shared" si="1144"/>
        <v>0</v>
      </c>
      <c r="JK363" s="1">
        <f t="shared" si="1145"/>
        <v>9.2610796971530157E-2</v>
      </c>
      <c r="JL363" s="15">
        <f t="shared" si="1048"/>
        <v>178.36839496716709</v>
      </c>
      <c r="JM363" s="15">
        <f t="shared" si="1074"/>
        <v>2104.3683949671672</v>
      </c>
      <c r="JN363" s="21"/>
      <c r="JO363" s="19">
        <f>INDEX(Input!$1:$1048576,JO$93,$C363*2+6)</f>
        <v>5908.5</v>
      </c>
      <c r="JP363" s="19">
        <f>INDEX(Input!$1:$1048576,JP$93,$C363*2+6)</f>
        <v>3467.7694503767912</v>
      </c>
      <c r="JQ363" s="39">
        <f t="shared" si="1060"/>
        <v>2055.9538799592283</v>
      </c>
      <c r="JR363" s="39">
        <f t="shared" si="1077"/>
        <v>384.77666966398056</v>
      </c>
      <c r="JS363" s="39">
        <f t="shared" si="1062"/>
        <v>8.1071762951671857</v>
      </c>
      <c r="JT363" s="39">
        <f t="shared" si="1050"/>
        <v>1.4282523337414861</v>
      </c>
      <c r="JU363" s="385">
        <f>(JQ363*JM363-INDEX(Input!$1:$1048576,Input!A$18,$C363*2+6)*JL363*INDEX(Input!$1:$1048576,Input!A$19,$C363*2+6))/1000000</f>
        <v>4.3264843664963211</v>
      </c>
      <c r="JV363" s="39">
        <f t="shared" si="1084"/>
        <v>-0.37436267207797869</v>
      </c>
      <c r="JW363" s="1">
        <f t="shared" si="1075"/>
        <v>-7.9637280048898931E-2</v>
      </c>
      <c r="JX363" s="19">
        <f t="shared" si="1066"/>
        <v>8007.3172941001658</v>
      </c>
      <c r="JZ363" s="341"/>
      <c r="KA363" s="342"/>
      <c r="KB363" s="469">
        <f t="shared" si="1063"/>
        <v>2.7822247002359868</v>
      </c>
      <c r="KI363" s="473">
        <f t="shared" si="1146"/>
        <v>-5.7947372551624881</v>
      </c>
      <c r="KJ363" s="473">
        <f t="shared" si="1147"/>
        <v>151.99803100165013</v>
      </c>
      <c r="KK363" s="473">
        <f t="shared" si="1052"/>
        <v>32.165101220679617</v>
      </c>
      <c r="KN363" s="544">
        <f t="shared" si="1067"/>
        <v>3002</v>
      </c>
      <c r="KO363" s="541">
        <f t="shared" si="1027"/>
        <v>2.1501315303216417E-2</v>
      </c>
      <c r="KP363" s="546">
        <f t="shared" si="1028"/>
        <v>89.363478654052329</v>
      </c>
      <c r="KQ363" s="546">
        <f t="shared" si="1029"/>
        <v>131.46490171539881</v>
      </c>
      <c r="KR363" s="548">
        <f t="shared" si="1030"/>
        <v>3.8434075029954315</v>
      </c>
      <c r="KS363" s="548">
        <f t="shared" si="1031"/>
        <v>2.6125624396410778</v>
      </c>
      <c r="KT363" s="473">
        <f t="shared" si="1065"/>
        <v>527.01264777847621</v>
      </c>
      <c r="KU363" s="663">
        <f t="shared" si="1053"/>
        <v>15.300955121424508</v>
      </c>
    </row>
    <row r="364" spans="1:308" s="26" customFormat="1" ht="15" outlineLevel="1">
      <c r="A364" s="561">
        <f t="shared" si="1032"/>
        <v>3064</v>
      </c>
      <c r="B364" s="561">
        <f t="shared" si="1054"/>
        <v>64</v>
      </c>
      <c r="C364" s="561">
        <f t="shared" si="1055"/>
        <v>3</v>
      </c>
      <c r="D364" s="561" t="str">
        <f t="shared" si="1123"/>
        <v xml:space="preserve">-500 CC, 0/0/0.9/3.9, </v>
      </c>
      <c r="E364" s="475">
        <f>INDEX(Input!$1:$1048576,E$93,$C364*2+MIN($B364,2)+5)
+INDEX(Scenarios!E$121:E$200,MATCH($B364,Scenarios!$B$121:$B$200,0))</f>
        <v>750</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8.9999999999999993E-3</v>
      </c>
      <c r="W364" s="863">
        <f>IFERROR(MAX(0,INDEX(Input!$1:$1048576,W$93,$C364*2+MIN($B364,2)+5)-0%,),"Market")</f>
        <v>3.9000000000000007E-2</v>
      </c>
      <c r="X364" s="476" t="str">
        <f>INDEX(Input!$1:$1048576,X$93,$C364*2+MIN($B364,2)+5)</f>
        <v>Y</v>
      </c>
      <c r="Y364" s="475">
        <f>INDEX(Input!$1:$1048576,Y$93,$C364*2+MIN($B364,2)+5)
++INDEX(Scenarios!Y$121:Y$200,MATCH($B364,Scenarios!$B$121:$B$200,0))</f>
        <v>4108</v>
      </c>
      <c r="Z364" s="477">
        <f>INDEX(Input!$1:$1048576,Z$93,$C364*2+MIN($B364,2)+5)
+INDEX(Scenarios!Z$121:Z$200,MATCH($B364,Scenarios!$B$121:$B$200,0))</f>
        <v>0</v>
      </c>
      <c r="AA364" s="475">
        <f>INDEX(Input!$1:$1048576,AA$93,$C364*2+MIN($B364,2)+5)</f>
        <v>500</v>
      </c>
      <c r="AB364" s="476">
        <f>INDEX(Input!$1:$1048576,AB$93,$C364*2+MIN($B364,2)+5)</f>
        <v>0.62</v>
      </c>
      <c r="AC364" s="475">
        <f>INDEX(Input!$1:$1048576,AC$93,$C364*2+MIN($B364,2)+5)
+INDEX(Scenarios!AC$121:AC$200,MATCH($B364,Scenarios!$B$121:$B$200,0))</f>
        <v>0</v>
      </c>
      <c r="AD364" s="476">
        <f>INDEX(Input!$1:$1048576,AD$93,$C364*2+MIN($B364,2)+5)</f>
        <v>0.35</v>
      </c>
      <c r="AE364" s="475">
        <f>INDEX(Input!$1:$1048576,AE$93,$C364*2+MIN($B364,2)+5)
+INDEX(Scenarios!AE$121:AE$200,MATCH($B364,Scenarios!$B$121:$B$200,0))</f>
        <v>500</v>
      </c>
      <c r="AF364" s="476">
        <f>INDEX(Input!$1:$1048576,AF$93,$C364*2+MIN($B364,2)+5)</f>
        <v>0.97</v>
      </c>
      <c r="AG364" s="475">
        <f>INDEX(Input!$1:$1048576,AG$93,$C364*2+MIN($B364,2)+5)
+INDEX(Scenarios!AG$121:AG$200,MATCH($B364,Scenarios!$B$121:$B$200,0))</f>
        <v>0</v>
      </c>
      <c r="AH364" s="476">
        <f>INDEX(Input!$1:$1048576,AH$93,$C364*2+MIN($B364,2)+5)</f>
        <v>1</v>
      </c>
      <c r="AI364" s="475">
        <f>INDEX(Input!$1:$1048576,AI$93,$C364*2+MIN($B364,2)+5)
+INDEX(Scenarios!AI$121:AI$200,MATCH($B364,Scenarios!$B$121:$B$200,0))</f>
        <v>0</v>
      </c>
      <c r="AJ364" s="476">
        <f>INDEX(Input!$1:$1048576,AJ$93,$C364*2+MIN($B364,2)+5)</f>
        <v>0.35</v>
      </c>
      <c r="AK364" s="150">
        <f>ROUND(INDEX(Input!$1:$1048576,AK$93,$C363*2+MIN($B364,1)+5)+(Y364-VLOOKUP($C364*1000+1,$A:$HH,Y$92,FALSE)),0)</f>
        <v>4982</v>
      </c>
      <c r="AL364" s="150">
        <f>ROUND(INDEX(Input!$1:$1048576,AL$93,$C363*2+MIN($B364,1)+5)-(Y364-VLOOKUP($C364*1000+1,$A:$HH,Y$92,FALSE))/36,0)</f>
        <v>5102</v>
      </c>
      <c r="AM364" s="32" t="str">
        <f t="shared" si="1033"/>
        <v>std/std/std/std</v>
      </c>
      <c r="AN364" s="32" t="str">
        <f t="shared" si="1034"/>
        <v>$0 + 0/0/0/0.9/3.9</v>
      </c>
      <c r="AO364" s="32" t="str">
        <f t="shared" si="1035"/>
        <v>0/0/0/0.9/3.9</v>
      </c>
      <c r="AP364" s="32" t="str">
        <f t="shared" si="1125"/>
        <v>0/0/0.9/3.9</v>
      </c>
      <c r="AQ364" s="536">
        <f t="shared" si="1124"/>
        <v>485.21316383219676</v>
      </c>
      <c r="AR364" s="32"/>
      <c r="AS364" s="302"/>
      <c r="AT364" s="3">
        <f t="shared" si="1056"/>
        <v>64</v>
      </c>
      <c r="AU364" s="41" t="s">
        <v>121</v>
      </c>
      <c r="AV364" s="41" t="s">
        <v>116</v>
      </c>
      <c r="AW364" s="41" t="str">
        <f>INDEX(Input!$1:$1048576,AW$93,$C364*2+6)</f>
        <v>Kia</v>
      </c>
      <c r="AX364" s="41" t="str">
        <f>INDEX(Input!$1:$1048576,AX$93,$C364*2+6)</f>
        <v>Kia-LR - L3</v>
      </c>
      <c r="AY364" s="41" t="str">
        <f>IF(LEN(D364)=0,"",INDEX(Input!$1:$1048576,AY$93,$C364*2+6))</f>
        <v>Compact Conventional/Sporty Car (43)</v>
      </c>
      <c r="AZ364" s="41" t="str">
        <f>INDEX(Input!$1:$1048576,AZ$93,$C364*2+6)</f>
        <v>Kia Forte</v>
      </c>
      <c r="BA364" s="3">
        <f>INDEX(Input!$1:$1048576,BA$93,$C364*2+6)</f>
        <v>2020</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19695</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1126"/>
        <v>750</v>
      </c>
      <c r="CJ364" s="16" t="str">
        <f>INDEX(Input!$1:$1048576,CJ$93,$C364*2+6)</f>
        <v>N</v>
      </c>
      <c r="CK364" s="1" t="str">
        <f t="shared" si="1127"/>
        <v>Market</v>
      </c>
      <c r="CL364" s="1" t="str">
        <f t="shared" si="1128"/>
        <v>Market</v>
      </c>
      <c r="CM364" s="1" t="str">
        <f t="shared" si="1129"/>
        <v>Market</v>
      </c>
      <c r="CN364" s="1" t="str">
        <f t="shared" si="1130"/>
        <v>Market</v>
      </c>
      <c r="CO364" s="1" t="str">
        <f t="shared" si="1131"/>
        <v>Market</v>
      </c>
      <c r="CP364" s="304">
        <f t="shared" si="1132"/>
        <v>310</v>
      </c>
      <c r="CQ364" s="1">
        <f t="shared" si="1133"/>
        <v>0</v>
      </c>
      <c r="CR364" s="1">
        <f t="shared" si="1134"/>
        <v>0</v>
      </c>
      <c r="CS364" s="1">
        <f t="shared" si="1135"/>
        <v>0</v>
      </c>
      <c r="CT364" s="1">
        <f t="shared" si="1136"/>
        <v>8.9999999999999993E-3</v>
      </c>
      <c r="CU364" s="1">
        <f t="shared" si="1137"/>
        <v>3.9000000000000007E-2</v>
      </c>
      <c r="CV364" s="304">
        <f t="shared" si="1138"/>
        <v>4593</v>
      </c>
      <c r="CW364" s="20" t="s">
        <v>122</v>
      </c>
      <c r="CX364" s="20" t="s">
        <v>122</v>
      </c>
      <c r="CY364" s="20" t="s">
        <v>122</v>
      </c>
      <c r="CZ364" s="20" t="s">
        <v>122</v>
      </c>
      <c r="DA364" s="20" t="s">
        <v>122</v>
      </c>
      <c r="DB364" s="503">
        <f t="shared" si="1139"/>
        <v>0</v>
      </c>
      <c r="DC364" s="127">
        <v>0</v>
      </c>
      <c r="DD364" s="127">
        <v>0</v>
      </c>
      <c r="DE364" s="127">
        <v>0</v>
      </c>
      <c r="DF364" s="127">
        <v>0</v>
      </c>
      <c r="DG364" s="127">
        <v>0</v>
      </c>
      <c r="DH364" s="127">
        <v>0</v>
      </c>
      <c r="DI364" s="127">
        <v>0</v>
      </c>
      <c r="DJ364" s="127">
        <v>0</v>
      </c>
      <c r="DK364" s="127">
        <v>0</v>
      </c>
      <c r="DL364" s="127">
        <v>0</v>
      </c>
      <c r="DM364" s="304">
        <f>INDEX(Input!$1:$1048576,DM$93,$C364*2+6)</f>
        <v>20731.578947368424</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3.1153446610943325E-2</v>
      </c>
      <c r="DZ364" s="7">
        <v>0</v>
      </c>
      <c r="EA364" s="7">
        <v>0.555255780637254</v>
      </c>
      <c r="EB364" s="7">
        <v>0</v>
      </c>
      <c r="EC364" s="7">
        <v>0</v>
      </c>
      <c r="ED364" s="7">
        <v>0</v>
      </c>
      <c r="EE364" s="7">
        <v>0</v>
      </c>
      <c r="EF364" s="7">
        <v>0</v>
      </c>
      <c r="EG364" s="7">
        <v>0</v>
      </c>
      <c r="EH364" s="7">
        <v>1.0124074626846466E-2</v>
      </c>
      <c r="EI364" s="7">
        <v>1.285395437061123E-2</v>
      </c>
      <c r="EJ364" s="7">
        <v>0.18423062137223567</v>
      </c>
      <c r="EK364" s="7">
        <v>0.75610668847941376</v>
      </c>
      <c r="EL364" s="7">
        <v>3.6684661150892847E-2</v>
      </c>
      <c r="EM364" s="7">
        <v>7.0960355510830464E-2</v>
      </c>
      <c r="EN364" s="7">
        <v>5.8903840649550718E-2</v>
      </c>
      <c r="EO364" s="7">
        <v>0.5680644908961251</v>
      </c>
      <c r="EP364" s="7">
        <v>0.2741070959193187</v>
      </c>
      <c r="EQ364" s="7">
        <v>5.8713575146425355E-2</v>
      </c>
      <c r="ER364" s="7">
        <v>4.0210997388580264E-2</v>
      </c>
      <c r="ES364" s="7">
        <v>0.34263041724097215</v>
      </c>
      <c r="ET364" s="7">
        <v>0.41359077275180262</v>
      </c>
      <c r="EU364" s="6">
        <v>1100</v>
      </c>
      <c r="EV364" s="6">
        <v>0</v>
      </c>
      <c r="EW364" s="6">
        <v>1100</v>
      </c>
      <c r="EX364" s="6">
        <v>0</v>
      </c>
      <c r="EY364" s="6">
        <v>2973.182625132215</v>
      </c>
      <c r="EZ364" s="6">
        <v>3636</v>
      </c>
      <c r="FA364" s="6">
        <v>0</v>
      </c>
      <c r="FB364" s="6">
        <v>0</v>
      </c>
      <c r="FC364" s="6">
        <v>0</v>
      </c>
      <c r="FD364" s="6">
        <v>0</v>
      </c>
      <c r="FE364" s="6">
        <v>0</v>
      </c>
      <c r="FF364" s="6">
        <v>0</v>
      </c>
      <c r="FG364" s="6">
        <v>0</v>
      </c>
      <c r="FH364" s="6">
        <v>1154.3319316199847</v>
      </c>
      <c r="FI364" s="6">
        <v>1531.4299904380618</v>
      </c>
      <c r="FJ364" s="6">
        <v>2070.7205842538224</v>
      </c>
      <c r="FK364" s="6">
        <v>2218.639369850102</v>
      </c>
      <c r="FL364" s="6">
        <v>893.91433563489375</v>
      </c>
      <c r="FM364" s="6">
        <v>2123.182625132215</v>
      </c>
      <c r="FN364" s="6">
        <v>0</v>
      </c>
      <c r="FO364" s="6">
        <v>0</v>
      </c>
      <c r="FP364" s="6">
        <v>0</v>
      </c>
      <c r="FQ364" s="6">
        <v>0</v>
      </c>
      <c r="FR364" s="6">
        <v>0</v>
      </c>
      <c r="FS364" s="6">
        <v>0</v>
      </c>
      <c r="FT364" s="7">
        <v>0.58640922724819733</v>
      </c>
      <c r="FU364" s="7">
        <v>7.0960355510830464E-2</v>
      </c>
      <c r="FV364" s="7">
        <v>0.34263041724097215</v>
      </c>
      <c r="FW364" s="6">
        <v>1100</v>
      </c>
      <c r="FX364" s="6">
        <v>2973.182625132215</v>
      </c>
      <c r="FY364" s="6">
        <v>3636</v>
      </c>
      <c r="FZ364" s="6">
        <v>2202.331475193394</v>
      </c>
      <c r="GA364" s="6">
        <v>2101.8324431391979</v>
      </c>
      <c r="GB364" s="6">
        <v>17593.167556860801</v>
      </c>
      <c r="GC364" s="7">
        <v>4.8391397220736806E-2</v>
      </c>
      <c r="GD364" s="7">
        <v>4.7291263861216591E-2</v>
      </c>
      <c r="GE364" s="7"/>
      <c r="GF364" s="7"/>
      <c r="GG364" s="7">
        <v>-2.2734068919357083E-2</v>
      </c>
      <c r="GH364" s="42">
        <v>4.45524178904809</v>
      </c>
      <c r="GI364" s="6">
        <v>6522.4679400530549</v>
      </c>
      <c r="GJ364" s="14">
        <v>0.51074630601039561</v>
      </c>
      <c r="GK364" s="14">
        <v>0.50829519786160982</v>
      </c>
      <c r="GL364" s="14">
        <v>0.48925369398960428</v>
      </c>
      <c r="GM364" s="14">
        <v>0.49170480213839035</v>
      </c>
      <c r="GO364" s="5">
        <v>338.16872463277008</v>
      </c>
      <c r="GP364" s="5">
        <v>317.18282312950942</v>
      </c>
      <c r="GQ364" s="5">
        <v>527.27910984145694</v>
      </c>
      <c r="GR364" s="5">
        <v>404.20319246551543</v>
      </c>
      <c r="GS364" s="5">
        <v>334.50205195691484</v>
      </c>
      <c r="GT364" s="5">
        <v>289.18266033348181</v>
      </c>
      <c r="GU364" s="5">
        <v>254.29573314828914</v>
      </c>
      <c r="GV364" s="39" t="s">
        <v>392</v>
      </c>
      <c r="GW364" s="5">
        <v>468.76388888888891</v>
      </c>
      <c r="GX364" s="5">
        <v>351.57291666666669</v>
      </c>
      <c r="GY364" s="5">
        <v>281.25833333333333</v>
      </c>
      <c r="GZ364" s="5">
        <v>240.8550698915011</v>
      </c>
      <c r="HA364" s="5">
        <v>229.8919505212948</v>
      </c>
      <c r="HB364" s="39">
        <v>251.62693794370949</v>
      </c>
      <c r="HC364" s="5">
        <v>124.04062499999996</v>
      </c>
      <c r="HD364" s="5">
        <v>127.75060307017539</v>
      </c>
      <c r="HE364" s="5">
        <v>136.66051366396758</v>
      </c>
      <c r="HF364" s="5">
        <v>133.62067434210525</v>
      </c>
      <c r="HG364" s="5">
        <v>137.88493421052632</v>
      </c>
      <c r="HH364" s="39">
        <v>130.72650526464059</v>
      </c>
      <c r="HI364" s="16"/>
      <c r="HJ364" s="19" t="str">
        <f t="shared" ref="HJ364" si="1149">HJ363</f>
        <v>On</v>
      </c>
      <c r="HK364" s="1" t="str">
        <f t="shared" si="1122"/>
        <v>On</v>
      </c>
      <c r="HL364" s="16"/>
      <c r="HM364" s="639">
        <f t="shared" si="1004"/>
        <v>2.8970655363290673E-2</v>
      </c>
      <c r="HN364" s="639">
        <f t="shared" si="1005"/>
        <v>2.1835179285533651E-3</v>
      </c>
      <c r="HO364" s="639">
        <f t="shared" si="1006"/>
        <v>1.5544129749146325E-2</v>
      </c>
      <c r="HP364" s="644">
        <f>(FT364*$GD364-HM364)/$JF364*INDEX(Input!$1:$1048576,$JG$93,$C364*2+6)</f>
        <v>-51.085062201246281</v>
      </c>
      <c r="HQ364" s="644">
        <f>(FU364*$GD364-HN364)/$JF364*INDEX(Input!$1:$1048576,$JG$93,$C364*2+6)</f>
        <v>48.349180860088701</v>
      </c>
      <c r="HR364" s="644">
        <f>(FV364*$GD364-HO364)/$JF364*INDEX(Input!$1:$1048576,$JG$93,$C364*2+6)</f>
        <v>27.1916423728435</v>
      </c>
      <c r="HS364" s="644">
        <f t="shared" si="1141"/>
        <v>6.1454187765916473</v>
      </c>
      <c r="HT364" s="644">
        <f t="shared" si="1008"/>
        <v>109.76351963186889</v>
      </c>
      <c r="HU364" s="644">
        <f t="shared" si="1009"/>
        <v>16.823391143053126</v>
      </c>
      <c r="HV364" s="648">
        <f t="shared" si="1010"/>
        <v>0</v>
      </c>
      <c r="HW364" s="648">
        <f t="shared" si="1011"/>
        <v>0</v>
      </c>
      <c r="HX364" s="648">
        <f t="shared" si="1012"/>
        <v>0</v>
      </c>
      <c r="HY364" s="644">
        <f>INDEX(Input!$1:$1048576,HY$93,$C364*2+6)*INDEX(Input!$1:$1048576,$JG$93,$C364*2+6)</f>
        <v>488.99999999999994</v>
      </c>
      <c r="HZ364" s="644">
        <f>INDEX(Input!$1:$1048576,HZ$93,$C364*2+6)*INDEX(Input!$1:$1048576,$JG$93,$C364*2+6)</f>
        <v>734</v>
      </c>
      <c r="IA364" s="644">
        <f>INDEX(Input!$1:$1048576,IA$93,$C364*2+6)*INDEX(Input!$1:$1048576,$JG$93,$C364*2+6)</f>
        <v>703</v>
      </c>
      <c r="IB364" s="644">
        <f t="shared" si="1036"/>
        <v>444.06035657534528</v>
      </c>
      <c r="IC364" s="644">
        <f t="shared" si="1037"/>
        <v>892.11270049195764</v>
      </c>
      <c r="ID364" s="644">
        <f>IF(AND(INDEX(Input!$1:$1048576,IA$93,$C364*2+7)="TOS",Y364&lt;=INDEX(Y:Y,MATCH(C364*1000+2,A:A))),0,1)*MAX(IA364+HR364+HU364+HX364,0%)</f>
        <v>747.01503351589656</v>
      </c>
      <c r="IE364" s="128">
        <f t="shared" si="1142"/>
        <v>0.21316383219675006</v>
      </c>
      <c r="IF364" s="128">
        <f t="shared" si="1143"/>
        <v>0.42824395191420567</v>
      </c>
      <c r="IG364" s="128">
        <f t="shared" si="1014"/>
        <v>0.35859221588904427</v>
      </c>
      <c r="IH364" s="21"/>
      <c r="II364" s="19">
        <f t="shared" si="1015"/>
        <v>1200</v>
      </c>
      <c r="IJ364" s="19">
        <f t="shared" si="1016"/>
        <v>2224.493581030405</v>
      </c>
      <c r="IK364" s="19">
        <f t="shared" si="1017"/>
        <v>3451.75</v>
      </c>
      <c r="IL364" s="19">
        <f t="shared" si="1039"/>
        <v>-100</v>
      </c>
      <c r="IM364" s="19">
        <f t="shared" si="1018"/>
        <v>748.68904410180994</v>
      </c>
      <c r="IN364" s="19">
        <f t="shared" si="1019"/>
        <v>184.25</v>
      </c>
      <c r="IO364" s="39">
        <f t="shared" si="1020"/>
        <v>0</v>
      </c>
      <c r="IP364" s="39">
        <f t="shared" si="1021"/>
        <v>0</v>
      </c>
      <c r="IQ364" s="39">
        <f t="shared" si="1022"/>
        <v>0</v>
      </c>
      <c r="IR364" s="39">
        <v>0</v>
      </c>
      <c r="IS364" s="39">
        <v>0</v>
      </c>
      <c r="IT364" s="39">
        <v>0</v>
      </c>
      <c r="IU364" s="39">
        <v>0</v>
      </c>
      <c r="IV364" s="39">
        <v>0</v>
      </c>
      <c r="IW364" s="39">
        <v>0</v>
      </c>
      <c r="IX364" s="39">
        <f>INDEX(Input!$1:$1048576,IX$93,$C364*2+6)+INDEX(Input!$1:$1048576,IX$94,$C364*2+6)</f>
        <v>1600</v>
      </c>
      <c r="IY364" s="39">
        <f>INDEX(Input!$1:$1048576,IY$93,$C364*2+6)+INDEX(Input!$1:$1048576,IY$94,$C364*2+6)</f>
        <v>2503.5492916397525</v>
      </c>
      <c r="IZ364" s="39">
        <f>INDEX(Input!$1:$1048576,IZ$93,$C364*2+6)+INDEX(Input!$1:$1048576,IZ$94,$C364*2+6)</f>
        <v>5773.7109265464023</v>
      </c>
      <c r="JA364" s="19">
        <f t="shared" si="1040"/>
        <v>1500</v>
      </c>
      <c r="JB364" s="19">
        <f t="shared" si="1041"/>
        <v>3252.2383357415624</v>
      </c>
      <c r="JC364" s="19">
        <f t="shared" si="1042"/>
        <v>5957.9609265464023</v>
      </c>
      <c r="JD364" s="19">
        <f t="shared" si="1043"/>
        <v>3848.9755565905889</v>
      </c>
      <c r="JE364" s="21"/>
      <c r="JF364" s="1">
        <f t="shared" si="1023"/>
        <v>4.6698303040990354E-2</v>
      </c>
      <c r="JG364" s="15">
        <f>INDEX(Input!$1:$1048576,JG$93,$C364*2+6)/(1+VLOOKUP(C364*1000+INDEX(Input!$1:$1048576,JG$93+1,$C364*2+6),$A:$KK,$JK$92,FALSE))</f>
        <v>1926</v>
      </c>
      <c r="JH364" s="1">
        <f t="shared" si="1044"/>
        <v>1.2697695239712316E-2</v>
      </c>
      <c r="JI364" s="1">
        <f t="shared" si="1045"/>
        <v>6.8916058957172205E-2</v>
      </c>
      <c r="JJ364" s="1">
        <f t="shared" si="1144"/>
        <v>0</v>
      </c>
      <c r="JK364" s="1">
        <f t="shared" si="1145"/>
        <v>8.1613754196884519E-2</v>
      </c>
      <c r="JL364" s="15">
        <f t="shared" si="1048"/>
        <v>157.1880905831996</v>
      </c>
      <c r="JM364" s="15">
        <f t="shared" si="1074"/>
        <v>2083.1880905831995</v>
      </c>
      <c r="JN364" s="21"/>
      <c r="JO364" s="19">
        <f>INDEX(Input!$1:$1048576,JO$93,$C364*2+6)</f>
        <v>5908.5</v>
      </c>
      <c r="JP364" s="19">
        <f>INDEX(Input!$1:$1048576,JP$93,$C364*2+6)</f>
        <v>3467.7694503767912</v>
      </c>
      <c r="JQ364" s="39">
        <f t="shared" si="1060"/>
        <v>2059.5244434094111</v>
      </c>
      <c r="JR364" s="39">
        <f t="shared" si="1077"/>
        <v>381.20610621379774</v>
      </c>
      <c r="JS364" s="39">
        <f t="shared" si="1062"/>
        <v>8.0181400404353553</v>
      </c>
      <c r="JT364" s="39">
        <f t="shared" si="1050"/>
        <v>1.3392160790096559</v>
      </c>
      <c r="JU364" s="385">
        <f>(JQ364*JM364-INDEX(Input!$1:$1048576,Input!A$18,$C364*2+6)*JL364*INDEX(Input!$1:$1048576,Input!A$19,$C364*2+6))/1000000</f>
        <v>4.2903767927754783</v>
      </c>
      <c r="JV364" s="39">
        <f t="shared" si="1084"/>
        <v>-0.41047024579882141</v>
      </c>
      <c r="JW364" s="1">
        <f t="shared" si="1075"/>
        <v>-8.7318358251305961E-2</v>
      </c>
      <c r="JX364" s="19">
        <f t="shared" si="1066"/>
        <v>8519.831712700965</v>
      </c>
      <c r="JZ364" s="341"/>
      <c r="KA364" s="342"/>
      <c r="KB364" s="469">
        <f t="shared" si="1063"/>
        <v>2.7822247002359868</v>
      </c>
      <c r="KI364" s="473">
        <f t="shared" si="1146"/>
        <v>-44.939643424654662</v>
      </c>
      <c r="KJ364" s="473">
        <f t="shared" si="1147"/>
        <v>158.11270049195764</v>
      </c>
      <c r="KK364" s="473">
        <f t="shared" si="1052"/>
        <v>44.015033515896562</v>
      </c>
      <c r="KN364" s="544">
        <f t="shared" si="1067"/>
        <v>3002</v>
      </c>
      <c r="KO364" s="541">
        <f t="shared" si="1027"/>
        <v>1.1219983936289646E-2</v>
      </c>
      <c r="KP364" s="546">
        <f t="shared" si="1028"/>
        <v>42.699433466258981</v>
      </c>
      <c r="KQ364" s="546">
        <f t="shared" si="1029"/>
        <v>127.89433826521599</v>
      </c>
      <c r="KR364" s="548">
        <f t="shared" si="1030"/>
        <v>4.1974119462641051</v>
      </c>
      <c r="KS364" s="548">
        <f t="shared" si="1031"/>
        <v>1.4013686185100658</v>
      </c>
      <c r="KT364" s="473">
        <f t="shared" si="1065"/>
        <v>527.01264777847621</v>
      </c>
      <c r="KU364" s="663">
        <f t="shared" si="1053"/>
        <v>15.109503420910377</v>
      </c>
    </row>
    <row r="365" spans="1:308" s="26" customFormat="1" ht="15" outlineLevel="1">
      <c r="A365" s="561">
        <f t="shared" si="1032"/>
        <v>3065</v>
      </c>
      <c r="B365" s="561">
        <f t="shared" si="1054"/>
        <v>65</v>
      </c>
      <c r="C365" s="561">
        <f t="shared" si="1055"/>
        <v>3</v>
      </c>
      <c r="D365" s="561" t="str">
        <f t="shared" si="1123"/>
        <v xml:space="preserve">250 CC, 0.9/1.9/2.9/3.9, </v>
      </c>
      <c r="E365" s="475">
        <f>INDEX(Input!$1:$1048576,E$93,$C365*2+MIN($B365,2)+5)
+INDEX(Scenarios!E$121:E$200,MATCH($B365,Scenarios!$B$121:$B$200,0))</f>
        <v>1500</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0</v>
      </c>
      <c r="R365" s="478">
        <f>IFERROR(MAX(0,INDEX(Input!$1:$1048576,R$93,$C365*2+MIN($B365,2)+5)
+INDEX(Scenarios!R$121:R$200,MATCH($B365,Scenarios!$B$121:$B$200,0)),),"Market")</f>
        <v>9.0000000000000011E-3</v>
      </c>
      <c r="S365" s="478">
        <f>IFERROR(MAX(0,INDEX(Input!$1:$1048576,S$93,$C365*2+MIN($B365,2)+5)
+INDEX(Scenarios!S$121:S$200,MATCH($B365,Scenarios!$B$121:$B$200,0)),),"Market")</f>
        <v>9.0000000000000011E-3</v>
      </c>
      <c r="T365" s="478">
        <f>IFERROR(MAX(0,INDEX(Input!$1:$1048576,T$93,$C365*2+MIN($B365,2)+5)
+INDEX(Scenarios!T$121:T$200,MATCH($B365,Scenarios!$B$121:$B$200,0)),),"Market")</f>
        <v>9.0000000000000011E-3</v>
      </c>
      <c r="U365" s="478">
        <f>IFERROR(MAX(0,INDEX(Input!$1:$1048576,U$93,$C365*2+MIN($B365,2)+5)
+INDEX(Scenarios!U$121:U$200,MATCH($B365,Scenarios!$B$121:$B$200,0)),),"Market")</f>
        <v>9.0000000000000011E-3</v>
      </c>
      <c r="V365" s="478">
        <f>IFERROR(MAX(0,INDEX(Input!$1:$1048576,V$93,$C365*2+MIN($B365,2)+5)
+INDEX(Scenarios!V$121:V$200,MATCH($B365,Scenarios!$B$121:$B$200,0)),),"Market")</f>
        <v>2.8999999999999998E-2</v>
      </c>
      <c r="W365" s="863">
        <f>IFERROR(MAX(0,INDEX(Input!$1:$1048576,W$93,$C365*2+MIN($B365,2)+5)-0%,),"Market")</f>
        <v>3.9000000000000007E-2</v>
      </c>
      <c r="X365" s="476" t="str">
        <f>INDEX(Input!$1:$1048576,X$93,$C365*2+MIN($B365,2)+5)</f>
        <v>Y</v>
      </c>
      <c r="Y365" s="475">
        <f>INDEX(Input!$1:$1048576,Y$93,$C365*2+MIN($B365,2)+5)
++INDEX(Scenarios!Y$121:Y$200,MATCH($B365,Scenarios!$B$121:$B$200,0))</f>
        <v>4108</v>
      </c>
      <c r="Z365" s="477">
        <f>INDEX(Input!$1:$1048576,Z$93,$C365*2+MIN($B365,2)+5)
+INDEX(Scenarios!Z$121:Z$200,MATCH($B365,Scenarios!$B$121:$B$200,0))</f>
        <v>0</v>
      </c>
      <c r="AA365" s="475">
        <f>INDEX(Input!$1:$1048576,AA$93,$C365*2+MIN($B365,2)+5)</f>
        <v>500</v>
      </c>
      <c r="AB365" s="476">
        <f>INDEX(Input!$1:$1048576,AB$93,$C365*2+MIN($B365,2)+5)</f>
        <v>0.62</v>
      </c>
      <c r="AC365" s="475">
        <f>INDEX(Input!$1:$1048576,AC$93,$C365*2+MIN($B365,2)+5)
+INDEX(Scenarios!AC$121:AC$200,MATCH($B365,Scenarios!$B$121:$B$200,0))</f>
        <v>0</v>
      </c>
      <c r="AD365" s="476">
        <f>INDEX(Input!$1:$1048576,AD$93,$C365*2+MIN($B365,2)+5)</f>
        <v>0.35</v>
      </c>
      <c r="AE365" s="475">
        <f>INDEX(Input!$1:$1048576,AE$93,$C365*2+MIN($B365,2)+5)
+INDEX(Scenarios!AE$121:AE$200,MATCH($B365,Scenarios!$B$121:$B$200,0))</f>
        <v>500</v>
      </c>
      <c r="AF365" s="476">
        <f>INDEX(Input!$1:$1048576,AF$93,$C365*2+MIN($B365,2)+5)</f>
        <v>0.97</v>
      </c>
      <c r="AG365" s="475">
        <f>INDEX(Input!$1:$1048576,AG$93,$C365*2+MIN($B365,2)+5)
+INDEX(Scenarios!AG$121:AG$200,MATCH($B365,Scenarios!$B$121:$B$200,0))</f>
        <v>0</v>
      </c>
      <c r="AH365" s="476">
        <f>INDEX(Input!$1:$1048576,AH$93,$C365*2+MIN($B365,2)+5)</f>
        <v>1</v>
      </c>
      <c r="AI365" s="475">
        <f>INDEX(Input!$1:$1048576,AI$93,$C365*2+MIN($B365,2)+5)
+INDEX(Scenarios!AI$121:AI$200,MATCH($B365,Scenarios!$B$121:$B$200,0))</f>
        <v>0</v>
      </c>
      <c r="AJ365" s="476">
        <f>INDEX(Input!$1:$1048576,AJ$93,$C365*2+MIN($B365,2)+5)</f>
        <v>0.35</v>
      </c>
      <c r="AK365" s="150">
        <f>ROUND(INDEX(Input!$1:$1048576,AK$93,$C364*2+MIN($B365,1)+5)+(Y365-VLOOKUP($C365*1000+1,$A:$HH,Y$92,FALSE)),0)</f>
        <v>4982</v>
      </c>
      <c r="AL365" s="150">
        <f>ROUND(INDEX(Input!$1:$1048576,AL$93,$C364*2+MIN($B365,1)+5)-(Y365-VLOOKUP($C365*1000+1,$A:$HH,Y$92,FALSE))/36,0)</f>
        <v>5102</v>
      </c>
      <c r="AM365" s="32" t="str">
        <f t="shared" si="1033"/>
        <v>std/std/std/std</v>
      </c>
      <c r="AN365" s="32" t="str">
        <f t="shared" si="1034"/>
        <v>$0 + 0.9/0.9/0.9/2.9/3.9</v>
      </c>
      <c r="AO365" s="32" t="str">
        <f t="shared" si="1035"/>
        <v>0.9/0.9/0.9/2.9/3.9</v>
      </c>
      <c r="AP365" s="32" t="str">
        <f t="shared" si="1125"/>
        <v>0.9/1.9/2.9/3.9</v>
      </c>
      <c r="AQ365" s="536">
        <f t="shared" si="1124"/>
        <v>485.29362077050382</v>
      </c>
      <c r="AR365" s="32"/>
      <c r="AS365" s="302"/>
      <c r="AT365" s="3">
        <f t="shared" si="1056"/>
        <v>65</v>
      </c>
      <c r="AU365" s="41" t="s">
        <v>121</v>
      </c>
      <c r="AV365" s="41" t="s">
        <v>116</v>
      </c>
      <c r="AW365" s="41" t="str">
        <f>INDEX(Input!$1:$1048576,AW$93,$C365*2+6)</f>
        <v>Kia</v>
      </c>
      <c r="AX365" s="41" t="str">
        <f>INDEX(Input!$1:$1048576,AX$93,$C365*2+6)</f>
        <v>Kia-LR - L3</v>
      </c>
      <c r="AY365" s="41" t="str">
        <f>IF(LEN(D365)=0,"",INDEX(Input!$1:$1048576,AY$93,$C365*2+6))</f>
        <v>Compact Conventional/Sporty Car (43)</v>
      </c>
      <c r="AZ365" s="41" t="str">
        <f>INDEX(Input!$1:$1048576,AZ$93,$C365*2+6)</f>
        <v>Kia Forte</v>
      </c>
      <c r="BA365" s="3">
        <f>INDEX(Input!$1:$1048576,BA$93,$C365*2+6)</f>
        <v>2020</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19695</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1126"/>
        <v>1500</v>
      </c>
      <c r="CJ365" s="16" t="str">
        <f>INDEX(Input!$1:$1048576,CJ$93,$C365*2+6)</f>
        <v>N</v>
      </c>
      <c r="CK365" s="1" t="str">
        <f t="shared" si="1127"/>
        <v>Market</v>
      </c>
      <c r="CL365" s="1" t="str">
        <f t="shared" si="1128"/>
        <v>Market</v>
      </c>
      <c r="CM365" s="1" t="str">
        <f t="shared" si="1129"/>
        <v>Market</v>
      </c>
      <c r="CN365" s="1" t="str">
        <f t="shared" si="1130"/>
        <v>Market</v>
      </c>
      <c r="CO365" s="1" t="str">
        <f t="shared" si="1131"/>
        <v>Market</v>
      </c>
      <c r="CP365" s="304">
        <f t="shared" si="1132"/>
        <v>310</v>
      </c>
      <c r="CQ365" s="1">
        <f t="shared" si="1133"/>
        <v>9.0000000000000011E-3</v>
      </c>
      <c r="CR365" s="1">
        <f t="shared" si="1134"/>
        <v>9.0000000000000011E-3</v>
      </c>
      <c r="CS365" s="1">
        <f t="shared" si="1135"/>
        <v>9.0000000000000011E-3</v>
      </c>
      <c r="CT365" s="1">
        <f t="shared" si="1136"/>
        <v>2.8999999999999998E-2</v>
      </c>
      <c r="CU365" s="1">
        <f t="shared" si="1137"/>
        <v>3.9000000000000007E-2</v>
      </c>
      <c r="CV365" s="304">
        <f t="shared" si="1138"/>
        <v>4593</v>
      </c>
      <c r="CW365" s="20" t="s">
        <v>122</v>
      </c>
      <c r="CX365" s="20" t="s">
        <v>122</v>
      </c>
      <c r="CY365" s="20" t="s">
        <v>122</v>
      </c>
      <c r="CZ365" s="20" t="s">
        <v>122</v>
      </c>
      <c r="DA365" s="20" t="s">
        <v>122</v>
      </c>
      <c r="DB365" s="503">
        <f t="shared" si="1139"/>
        <v>0</v>
      </c>
      <c r="DC365" s="127">
        <v>0</v>
      </c>
      <c r="DD365" s="127">
        <v>0</v>
      </c>
      <c r="DE365" s="127">
        <v>0</v>
      </c>
      <c r="DF365" s="127">
        <v>0</v>
      </c>
      <c r="DG365" s="127">
        <v>0</v>
      </c>
      <c r="DH365" s="127">
        <v>0</v>
      </c>
      <c r="DI365" s="127">
        <v>0</v>
      </c>
      <c r="DJ365" s="127">
        <v>0</v>
      </c>
      <c r="DK365" s="127">
        <v>0</v>
      </c>
      <c r="DL365" s="127">
        <v>0</v>
      </c>
      <c r="DM365" s="304">
        <f>INDEX(Input!$1:$1048576,DM$93,$C365*2+6)</f>
        <v>20731.578947368424</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3.5299852433216254E-2</v>
      </c>
      <c r="DZ365" s="7">
        <v>0</v>
      </c>
      <c r="EA365" s="7">
        <v>0.62182078116556017</v>
      </c>
      <c r="EB365" s="7">
        <v>0</v>
      </c>
      <c r="EC365" s="7">
        <v>0</v>
      </c>
      <c r="ED365" s="7">
        <v>0</v>
      </c>
      <c r="EE365" s="7">
        <v>0</v>
      </c>
      <c r="EF365" s="7">
        <v>0</v>
      </c>
      <c r="EG365" s="7">
        <v>0</v>
      </c>
      <c r="EH365" s="7">
        <v>1.7447055903813392E-2</v>
      </c>
      <c r="EI365" s="7">
        <v>2.0705698007676084E-2</v>
      </c>
      <c r="EJ365" s="7">
        <v>0.28032340955852042</v>
      </c>
      <c r="EK365" s="7">
        <v>0.60587794888264657</v>
      </c>
      <c r="EL365" s="7">
        <v>7.5645887647343521E-2</v>
      </c>
      <c r="EM365" s="7">
        <v>3.1171168248682785E-2</v>
      </c>
      <c r="EN365" s="7">
        <v>5.8903840649550732E-2</v>
      </c>
      <c r="EO365" s="7">
        <v>0.56806449089612499</v>
      </c>
      <c r="EP365" s="7">
        <v>0.27410709591931864</v>
      </c>
      <c r="EQ365" s="7">
        <v>5.8713575146425334E-2</v>
      </c>
      <c r="ER365" s="7">
        <v>4.0210997388580229E-2</v>
      </c>
      <c r="ES365" s="7">
        <v>0.31170819815254086</v>
      </c>
      <c r="ET365" s="7">
        <v>0.34287936640122363</v>
      </c>
      <c r="EU365" s="6">
        <v>1850</v>
      </c>
      <c r="EV365" s="6">
        <v>0</v>
      </c>
      <c r="EW365" s="6">
        <v>1850</v>
      </c>
      <c r="EX365" s="6">
        <v>0</v>
      </c>
      <c r="EY365" s="6">
        <v>2205.879398142104</v>
      </c>
      <c r="EZ365" s="6">
        <v>3636</v>
      </c>
      <c r="FA365" s="6">
        <v>0</v>
      </c>
      <c r="FB365" s="6">
        <v>0</v>
      </c>
      <c r="FC365" s="6">
        <v>0</v>
      </c>
      <c r="FD365" s="6">
        <v>0</v>
      </c>
      <c r="FE365" s="6">
        <v>0</v>
      </c>
      <c r="FF365" s="6">
        <v>0</v>
      </c>
      <c r="FG365" s="6">
        <v>0</v>
      </c>
      <c r="FH365" s="6">
        <v>926.39528387094572</v>
      </c>
      <c r="FI365" s="6">
        <v>1232.1164465304234</v>
      </c>
      <c r="FJ365" s="6">
        <v>1709.9775738488454</v>
      </c>
      <c r="FK365" s="6">
        <v>1266.3227157028189</v>
      </c>
      <c r="FL365" s="6">
        <v>893.9143356348934</v>
      </c>
      <c r="FM365" s="6">
        <v>1355.879398142104</v>
      </c>
      <c r="FN365" s="6">
        <v>0</v>
      </c>
      <c r="FO365" s="6">
        <v>0</v>
      </c>
      <c r="FP365" s="6">
        <v>0</v>
      </c>
      <c r="FQ365" s="6">
        <v>0</v>
      </c>
      <c r="FR365" s="6">
        <v>0</v>
      </c>
      <c r="FS365" s="6">
        <v>0</v>
      </c>
      <c r="FT365" s="7">
        <v>0.65712063359877637</v>
      </c>
      <c r="FU365" s="7">
        <v>3.1171168248682785E-2</v>
      </c>
      <c r="FV365" s="7">
        <v>0.31170819815254086</v>
      </c>
      <c r="FW365" s="6">
        <v>1850.0000000000002</v>
      </c>
      <c r="FX365" s="6">
        <v>2205.879398142104</v>
      </c>
      <c r="FY365" s="6">
        <v>3636</v>
      </c>
      <c r="FZ365" s="6">
        <v>2202.331475193394</v>
      </c>
      <c r="GA365" s="6">
        <v>2417.8040184961656</v>
      </c>
      <c r="GB365" s="6">
        <v>17277.195981503835</v>
      </c>
      <c r="GC365" s="7">
        <v>4.8391397220736806E-2</v>
      </c>
      <c r="GD365" s="7">
        <v>4.9484103668614304E-2</v>
      </c>
      <c r="GE365" s="7"/>
      <c r="GF365" s="7"/>
      <c r="GG365" s="7">
        <v>2.2580593052379326E-2</v>
      </c>
      <c r="GH365" s="42">
        <v>2.0639510415102178</v>
      </c>
      <c r="GI365" s="6">
        <v>11960.181528375915</v>
      </c>
      <c r="GJ365" s="14">
        <v>0.5107463060103955</v>
      </c>
      <c r="GK365" s="14">
        <v>0.50829519786160982</v>
      </c>
      <c r="GL365" s="14">
        <v>0.48925369398960444</v>
      </c>
      <c r="GM365" s="14">
        <v>0.49170480213839046</v>
      </c>
      <c r="GO365" s="5">
        <v>338.16872463277008</v>
      </c>
      <c r="GP365" s="5">
        <v>302.87425392274076</v>
      </c>
      <c r="GQ365" s="5">
        <v>527.27910984145694</v>
      </c>
      <c r="GR365" s="5">
        <v>404.20319246551543</v>
      </c>
      <c r="GS365" s="5">
        <v>334.50205195691484</v>
      </c>
      <c r="GT365" s="5">
        <v>289.18266033348181</v>
      </c>
      <c r="GU365" s="5">
        <v>254.29573314828914</v>
      </c>
      <c r="GV365" s="39" t="s">
        <v>392</v>
      </c>
      <c r="GW365" s="5">
        <v>475.29643226912253</v>
      </c>
      <c r="GX365" s="5">
        <v>358.07100736083845</v>
      </c>
      <c r="GY365" s="5">
        <v>287.73954748358943</v>
      </c>
      <c r="GZ365" s="5">
        <v>255.64660634518972</v>
      </c>
      <c r="HA365" s="5">
        <v>229.8919505212948</v>
      </c>
      <c r="HB365" s="39">
        <v>268.64778673522136</v>
      </c>
      <c r="HC365" s="5">
        <v>124.04062499999996</v>
      </c>
      <c r="HD365" s="5">
        <v>127.75060307017539</v>
      </c>
      <c r="HE365" s="5">
        <v>136.66051366396758</v>
      </c>
      <c r="HF365" s="5">
        <v>133.62067434210525</v>
      </c>
      <c r="HG365" s="5">
        <v>137.88493421052632</v>
      </c>
      <c r="HH365" s="39">
        <v>130.72650526464056</v>
      </c>
      <c r="HI365" s="16"/>
      <c r="HJ365" s="19" t="str">
        <f t="shared" ref="HJ365" si="1150">HJ364</f>
        <v>On</v>
      </c>
      <c r="HK365" s="1" t="str">
        <f t="shared" si="1122"/>
        <v>On</v>
      </c>
      <c r="HL365" s="16"/>
      <c r="HM365" s="639">
        <f t="shared" ref="HM365:HM381" si="1151">VLOOKUP($C365*1000+1,$A:$HH,FT$92,FALSE)*$JF365</f>
        <v>2.8970655363290673E-2</v>
      </c>
      <c r="HN365" s="639">
        <f t="shared" ref="HN365:HN381" si="1152">VLOOKUP($C365*1000+1,$A:$HH,FU$92,FALSE)*$JF365</f>
        <v>2.1835179285533651E-3</v>
      </c>
      <c r="HO365" s="639">
        <f t="shared" ref="HO365:HO381" si="1153">VLOOKUP($C365*1000+1,$A:$HH,FV$92,FALSE)*$JF365</f>
        <v>1.5544129749146325E-2</v>
      </c>
      <c r="HP365" s="644">
        <f>(FT365*$GD365-HM365)/$JF365*INDEX(Input!$1:$1048576,$JG$93,$C365*2+6)</f>
        <v>146.26460804696032</v>
      </c>
      <c r="HQ365" s="644">
        <f>(FU365*$GD365-HN365)/$JF365*INDEX(Input!$1:$1048576,$JG$93,$C365*2+6)</f>
        <v>-26.43873823190976</v>
      </c>
      <c r="HR365" s="644">
        <f>(FV365*$GD365-HO365)/$JF365*INDEX(Input!$1:$1048576,$JG$93,$C365*2+6)</f>
        <v>-4.9297888141182273</v>
      </c>
      <c r="HS365" s="644">
        <f t="shared" si="1141"/>
        <v>-44.940533956113988</v>
      </c>
      <c r="HT365" s="644">
        <f t="shared" ref="HT365:HT372" si="1154">IF(AND(HJ365="On",HK365="On"),IM365/1000*INDEX(KG:KG,MATCH(C365*1000+4,$KF:$KF,0))*SUM(HY365:IA365)*1.1
+INDEX(HR:HR,MATCH(C365*1000+3,$KF:$KF,0))/INDEX(IL:IL,MATCH(C365*1000+3,$KF:$KF,0))*IL365*20%,0)</f>
        <v>-10.55725276539971</v>
      </c>
      <c r="HU365" s="644">
        <f t="shared" ref="HU365:HU381" si="1155">IF(HJ365="On",IN365/1000*INDEX(KG:KG,MATCH(C365*1000+5,$KF:$KF,0))*SUM(HY365:IA365)*1.1
-INDEX(HR:HR,MATCH(C365*1000+3,$KF:$KF,0))/INDEX(IL:IL,MATCH(C365*1000+3,$KF:$KF,0))*IL365*20%
-INDEX(HR:HR,MATCH(C365*1000+4,$KF:$KF,0))/INDEX(IM:IM,MATCH(C365*1000+4,$KF:$KF,0))*IM365*20%,0)</f>
        <v>25.100053905985902</v>
      </c>
      <c r="HV365" s="648">
        <f t="shared" ref="HV365:HV381" si="1156">IL365/1000*0+IM365/1000*0+IN365/1000*0
+(CP365-INDEX(CP:CP,MATCH(C365*1000+1,A:A,0)))/1000*0+IF(FU365&gt;0,0,0)</f>
        <v>0</v>
      </c>
      <c r="HW365" s="648">
        <f t="shared" ref="HW365:HW381" si="1157">IL365/1000*0+IM365/1000*0+IN365/1000*0
+(CP365-INDEX(CP:CP,MATCH(C365*1000+1,A:A,0)))/1000*0+IF(FU365&gt;0,0,0)</f>
        <v>0</v>
      </c>
      <c r="HX365" s="648">
        <f t="shared" ref="HX365:HX381" si="1158">IL365/1000*0+IM365/1000*0+IN365/1000*0
+(CP365-INDEX(CP:CP,MATCH(C365*1000+1,A:A,0)))/1000*0+IF(FU365&gt;0,0,0)</f>
        <v>0</v>
      </c>
      <c r="HY365" s="644">
        <f>INDEX(Input!$1:$1048576,HY$93,$C365*2+6)*INDEX(Input!$1:$1048576,$JG$93,$C365*2+6)</f>
        <v>488.99999999999994</v>
      </c>
      <c r="HZ365" s="644">
        <f>INDEX(Input!$1:$1048576,HZ$93,$C365*2+6)*INDEX(Input!$1:$1048576,$JG$93,$C365*2+6)</f>
        <v>734</v>
      </c>
      <c r="IA365" s="644">
        <f>INDEX(Input!$1:$1048576,IA$93,$C365*2+6)*INDEX(Input!$1:$1048576,$JG$93,$C365*2+6)</f>
        <v>703</v>
      </c>
      <c r="IB365" s="644">
        <f t="shared" si="1036"/>
        <v>590.32407409084624</v>
      </c>
      <c r="IC365" s="644">
        <f t="shared" si="1037"/>
        <v>697.00400900269051</v>
      </c>
      <c r="ID365" s="644">
        <f>IF(AND(INDEX(Input!$1:$1048576,IA$93,$C365*2+7)="TOS",Y365&lt;=INDEX(Y:Y,MATCH(C365*1000+2,A:A))),0,1)*MAX(IA365+HR365+HU365+HX365,0%)</f>
        <v>723.17026509186769</v>
      </c>
      <c r="IE365" s="128">
        <f t="shared" si="1142"/>
        <v>0.29362077050381519</v>
      </c>
      <c r="IF365" s="128">
        <f t="shared" si="1143"/>
        <v>0.346682209230253</v>
      </c>
      <c r="IG365" s="128">
        <f t="shared" ref="IG365:IG372" si="1159">ID365/SUM($IB365:$ID365)</f>
        <v>0.3596970202659317</v>
      </c>
      <c r="IH365" s="21"/>
      <c r="II365" s="19">
        <f t="shared" ref="II365:II381" si="1160">VLOOKUP($C365*1000+1,$A:$HH,FW$92,FALSE)-VLOOKUP($C365*1000+1,$A:$HH,FA$92,FALSE)*VLOOKUP($C365*1000+1,$A:$HH,DZ$92,FALSE)/VLOOKUP($C365*1000+1,$A:$HH,FT$92,FALSE)</f>
        <v>1200</v>
      </c>
      <c r="IJ365" s="19">
        <f t="shared" ref="IJ365:IJ381" si="1161">VLOOKUP($C365*1000+1,$A:$HH,FX$92,FALSE)</f>
        <v>2224.493581030405</v>
      </c>
      <c r="IK365" s="19">
        <f t="shared" ref="IK365:IK381" si="1162">VLOOKUP($C365*1000+1,$A:$HH,FY$92,FALSE)</f>
        <v>3451.75</v>
      </c>
      <c r="IL365" s="19">
        <f t="shared" si="1039"/>
        <v>650.00000000000023</v>
      </c>
      <c r="IM365" s="19">
        <f t="shared" ref="IM365:IM381" si="1163">FX365-IJ365</f>
        <v>-18.614182888301002</v>
      </c>
      <c r="IN365" s="19">
        <f t="shared" ref="IN365:IN381" si="1164">FY365-IK365</f>
        <v>184.25</v>
      </c>
      <c r="IO365" s="39">
        <f t="shared" ref="IO365:IO381" si="1165">(F365-VLOOKUP($C365*1000+1,$A:$HH,F$92,FALSE))*(1-$I365)</f>
        <v>0</v>
      </c>
      <c r="IP365" s="39">
        <f t="shared" ref="IP365:IP381" si="1166">(G365-VLOOKUP($C365*1000+1,$A:$HH,G$92,FALSE))*(1-$I365)</f>
        <v>0</v>
      </c>
      <c r="IQ365" s="39">
        <f t="shared" ref="IQ365:IQ381" si="1167">(H365-VLOOKUP($C365*1000+1,$A:$HH,H$92,FALSE))*(1-$I365)</f>
        <v>0</v>
      </c>
      <c r="IR365" s="39">
        <v>0</v>
      </c>
      <c r="IS365" s="39">
        <v>0</v>
      </c>
      <c r="IT365" s="39">
        <v>0</v>
      </c>
      <c r="IU365" s="39">
        <v>0</v>
      </c>
      <c r="IV365" s="39">
        <v>0</v>
      </c>
      <c r="IW365" s="39">
        <v>0</v>
      </c>
      <c r="IX365" s="39">
        <f>INDEX(Input!$1:$1048576,IX$93,$C365*2+6)+INDEX(Input!$1:$1048576,IX$94,$C365*2+6)</f>
        <v>1600</v>
      </c>
      <c r="IY365" s="39">
        <f>INDEX(Input!$1:$1048576,IY$93,$C365*2+6)+INDEX(Input!$1:$1048576,IY$94,$C365*2+6)</f>
        <v>2503.5492916397525</v>
      </c>
      <c r="IZ365" s="39">
        <f>INDEX(Input!$1:$1048576,IZ$93,$C365*2+6)+INDEX(Input!$1:$1048576,IZ$94,$C365*2+6)</f>
        <v>5773.7109265464023</v>
      </c>
      <c r="JA365" s="19">
        <f t="shared" si="1040"/>
        <v>2250</v>
      </c>
      <c r="JB365" s="19">
        <f t="shared" si="1041"/>
        <v>2484.9351087514515</v>
      </c>
      <c r="JC365" s="19">
        <f t="shared" si="1042"/>
        <v>5957.9609265464023</v>
      </c>
      <c r="JD365" s="19">
        <f t="shared" si="1043"/>
        <v>3665.1903190689468</v>
      </c>
      <c r="JE365" s="21"/>
      <c r="JF365" s="1">
        <f t="shared" ref="JF365:JF381" si="1168">VLOOKUP($C365*1000+1,$A:$HH,GD$92,FALSE)</f>
        <v>4.6698303040990354E-2</v>
      </c>
      <c r="JG365" s="15">
        <f>INDEX(Input!$1:$1048576,JG$93,$C365*2+6)/(1+VLOOKUP(C365*1000+INDEX(Input!$1:$1048576,JG$93+1,$C365*2+6),$A:$KK,$JK$92,FALSE))</f>
        <v>1926</v>
      </c>
      <c r="JH365" s="1">
        <f t="shared" si="1044"/>
        <v>5.9655286085634654E-2</v>
      </c>
      <c r="JI365" s="1">
        <f t="shared" si="1045"/>
        <v>-1.5782831160710175E-2</v>
      </c>
      <c r="JJ365" s="1">
        <f t="shared" si="1144"/>
        <v>0</v>
      </c>
      <c r="JK365" s="1">
        <f t="shared" si="1145"/>
        <v>4.3872454924924476E-2</v>
      </c>
      <c r="JL365" s="15">
        <f t="shared" si="1048"/>
        <v>84.498348185404538</v>
      </c>
      <c r="JM365" s="15">
        <f t="shared" si="1074"/>
        <v>2010.4983481854044</v>
      </c>
      <c r="JN365" s="21"/>
      <c r="JO365" s="19">
        <f>INDEX(Input!$1:$1048576,JO$93,$C365*2+6)</f>
        <v>5908.5</v>
      </c>
      <c r="JP365" s="19">
        <f>INDEX(Input!$1:$1048576,JP$93,$C365*2+6)</f>
        <v>3467.7694503767912</v>
      </c>
      <c r="JQ365" s="39">
        <f t="shared" si="1060"/>
        <v>2243.3096809310532</v>
      </c>
      <c r="JR365" s="39">
        <f t="shared" si="1077"/>
        <v>197.42086869215564</v>
      </c>
      <c r="JS365" s="39">
        <f t="shared" si="1062"/>
        <v>7.3688590822732536</v>
      </c>
      <c r="JT365" s="39">
        <f t="shared" si="1050"/>
        <v>0.68993512084755304</v>
      </c>
      <c r="JU365" s="385">
        <f>(JQ365*JM365-INDEX(Input!$1:$1048576,Input!A$18,$C365*2+6)*JL365*INDEX(Input!$1:$1048576,Input!A$19,$C365*2+6))/1000000</f>
        <v>4.5101704079802092</v>
      </c>
      <c r="JV365" s="39">
        <f t="shared" si="1084"/>
        <v>-0.19067663059409057</v>
      </c>
      <c r="JW365" s="1">
        <f t="shared" si="1075"/>
        <v>-4.0562185714496275E-2</v>
      </c>
      <c r="JX365" s="19">
        <f t="shared" si="1066"/>
        <v>8165.0722844156862</v>
      </c>
      <c r="JZ365" s="341"/>
      <c r="KA365" s="342"/>
      <c r="KB365" s="469">
        <f t="shared" si="1063"/>
        <v>2.7822247002359868</v>
      </c>
      <c r="KI365" s="473">
        <f t="shared" si="1146"/>
        <v>101.32407409084618</v>
      </c>
      <c r="KJ365" s="473">
        <f t="shared" si="1147"/>
        <v>-36.995990997309605</v>
      </c>
      <c r="KK365" s="473">
        <f t="shared" si="1052"/>
        <v>20.170265091867577</v>
      </c>
      <c r="KN365" s="544">
        <f t="shared" si="1067"/>
        <v>3002</v>
      </c>
      <c r="KO365" s="541">
        <f t="shared" ref="KO365:KO381" si="1169">JM365/INDEX(JM:JM,MATCH(KN365,A:A,0))-1</f>
        <v>-2.406502967918922E-2</v>
      </c>
      <c r="KP365" s="546">
        <f t="shared" ref="KP365:KP381" si="1170">(IL365-INDEX(IL:IL,MATCH(KN365,A:A,0)))*IE365
+(IM365-IF(HN365=0,INDEX(IX:IX,MATCH(KN365,A:A,0)),INDEX(IM:IM,MATCH(KN365,A:A,0))))*IF365
+(IN365-INDEX(IN:IN,MATCH(KN365,A:A,0)))*IG365</f>
        <v>-71.755403648100938</v>
      </c>
      <c r="KQ365" s="546">
        <f t="shared" ref="KQ365:KQ381" si="1171">JD365-INDEX(JD:JD,MATCH(KN365,A:A,0))</f>
        <v>-55.89089925642611</v>
      </c>
      <c r="KR365" s="548">
        <f t="shared" ref="KR365:KR381" si="1172">KO365/(KP365/(BX365-INDEX(JD:JD,MATCH(KN365,A:A,0))))</f>
        <v>5.3572666312236938</v>
      </c>
      <c r="KS365" s="548">
        <f t="shared" ref="KS365:KS381" si="1173">KO365/(KQ365/(BX365-INDEX(JD:JD,MATCH(KN365,A:A,0))))</f>
        <v>6.8779145565413273</v>
      </c>
      <c r="KT365" s="473">
        <f t="shared" si="1065"/>
        <v>527.01264777847621</v>
      </c>
      <c r="KU365" s="663">
        <f t="shared" si="1053"/>
        <v>15.125984362803731</v>
      </c>
    </row>
    <row r="366" spans="1:308" s="26" customFormat="1" ht="15" outlineLevel="1">
      <c r="A366" s="561">
        <f t="shared" ref="A366:A400" si="1174">C366*1000+B366</f>
        <v>3066</v>
      </c>
      <c r="B366" s="561">
        <f t="shared" si="1054"/>
        <v>66</v>
      </c>
      <c r="C366" s="561">
        <f t="shared" si="1055"/>
        <v>3</v>
      </c>
      <c r="D366" s="561" t="str">
        <f t="shared" si="1123"/>
        <v xml:space="preserve">500 CC, 0.9/1.9/2.9/3.9, </v>
      </c>
      <c r="E366" s="475">
        <f>INDEX(Input!$1:$1048576,E$93,$C366*2+MIN($B366,2)+5)
+INDEX(Scenarios!E$121:E$200,MATCH($B366,Scenarios!$B$121:$B$200,0))</f>
        <v>1750</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0</v>
      </c>
      <c r="R366" s="478">
        <f>IFERROR(MAX(0,INDEX(Input!$1:$1048576,R$93,$C366*2+MIN($B366,2)+5)
+INDEX(Scenarios!R$121:R$200,MATCH($B366,Scenarios!$B$121:$B$200,0)),),"Market")</f>
        <v>9.0000000000000011E-3</v>
      </c>
      <c r="S366" s="478">
        <f>IFERROR(MAX(0,INDEX(Input!$1:$1048576,S$93,$C366*2+MIN($B366,2)+5)
+INDEX(Scenarios!S$121:S$200,MATCH($B366,Scenarios!$B$121:$B$200,0)),),"Market")</f>
        <v>9.0000000000000011E-3</v>
      </c>
      <c r="T366" s="478">
        <f>IFERROR(MAX(0,INDEX(Input!$1:$1048576,T$93,$C366*2+MIN($B366,2)+5)
+INDEX(Scenarios!T$121:T$200,MATCH($B366,Scenarios!$B$121:$B$200,0)),),"Market")</f>
        <v>9.0000000000000011E-3</v>
      </c>
      <c r="U366" s="478">
        <f>IFERROR(MAX(0,INDEX(Input!$1:$1048576,U$93,$C366*2+MIN($B366,2)+5)
+INDEX(Scenarios!U$121:U$200,MATCH($B366,Scenarios!$B$121:$B$200,0)),),"Market")</f>
        <v>9.0000000000000011E-3</v>
      </c>
      <c r="V366" s="478">
        <f>IFERROR(MAX(0,INDEX(Input!$1:$1048576,V$93,$C366*2+MIN($B366,2)+5)
+INDEX(Scenarios!V$121:V$200,MATCH($B366,Scenarios!$B$121:$B$200,0)),),"Market")</f>
        <v>2.8999999999999998E-2</v>
      </c>
      <c r="W366" s="863">
        <f>IFERROR(MAX(0,INDEX(Input!$1:$1048576,W$93,$C366*2+MIN($B366,2)+5)-0%,),"Market")</f>
        <v>3.9000000000000007E-2</v>
      </c>
      <c r="X366" s="476" t="str">
        <f>INDEX(Input!$1:$1048576,X$93,$C366*2+MIN($B366,2)+5)</f>
        <v>Y</v>
      </c>
      <c r="Y366" s="475">
        <f>INDEX(Input!$1:$1048576,Y$93,$C366*2+MIN($B366,2)+5)
++INDEX(Scenarios!Y$121:Y$200,MATCH($B366,Scenarios!$B$121:$B$200,0))</f>
        <v>4108</v>
      </c>
      <c r="Z366" s="477">
        <f>INDEX(Input!$1:$1048576,Z$93,$C366*2+MIN($B366,2)+5)
+INDEX(Scenarios!Z$121:Z$200,MATCH($B366,Scenarios!$B$121:$B$200,0))</f>
        <v>0</v>
      </c>
      <c r="AA366" s="475">
        <f>INDEX(Input!$1:$1048576,AA$93,$C366*2+MIN($B366,2)+5)</f>
        <v>500</v>
      </c>
      <c r="AB366" s="476">
        <f>INDEX(Input!$1:$1048576,AB$93,$C366*2+MIN($B366,2)+5)</f>
        <v>0.62</v>
      </c>
      <c r="AC366" s="475">
        <f>INDEX(Input!$1:$1048576,AC$93,$C366*2+MIN($B366,2)+5)
+INDEX(Scenarios!AC$121:AC$200,MATCH($B366,Scenarios!$B$121:$B$200,0))</f>
        <v>0</v>
      </c>
      <c r="AD366" s="476">
        <f>INDEX(Input!$1:$1048576,AD$93,$C366*2+MIN($B366,2)+5)</f>
        <v>0.35</v>
      </c>
      <c r="AE366" s="475">
        <f>INDEX(Input!$1:$1048576,AE$93,$C366*2+MIN($B366,2)+5)
+INDEX(Scenarios!AE$121:AE$200,MATCH($B366,Scenarios!$B$121:$B$200,0))</f>
        <v>500</v>
      </c>
      <c r="AF366" s="476">
        <f>INDEX(Input!$1:$1048576,AF$93,$C366*2+MIN($B366,2)+5)</f>
        <v>0.97</v>
      </c>
      <c r="AG366" s="475">
        <f>INDEX(Input!$1:$1048576,AG$93,$C366*2+MIN($B366,2)+5)
+INDEX(Scenarios!AG$121:AG$200,MATCH($B366,Scenarios!$B$121:$B$200,0))</f>
        <v>0</v>
      </c>
      <c r="AH366" s="476">
        <f>INDEX(Input!$1:$1048576,AH$93,$C366*2+MIN($B366,2)+5)</f>
        <v>1</v>
      </c>
      <c r="AI366" s="475">
        <f>INDEX(Input!$1:$1048576,AI$93,$C366*2+MIN($B366,2)+5)
+INDEX(Scenarios!AI$121:AI$200,MATCH($B366,Scenarios!$B$121:$B$200,0))</f>
        <v>0</v>
      </c>
      <c r="AJ366" s="476">
        <f>INDEX(Input!$1:$1048576,AJ$93,$C366*2+MIN($B366,2)+5)</f>
        <v>0.35</v>
      </c>
      <c r="AK366" s="150">
        <f>ROUND(INDEX(Input!$1:$1048576,AK$93,$C365*2+MIN($B366,1)+5)+(Y366-VLOOKUP($C366*1000+1,$A:$HH,Y$92,FALSE)),0)</f>
        <v>4982</v>
      </c>
      <c r="AL366" s="150">
        <f>ROUND(INDEX(Input!$1:$1048576,AL$93,$C365*2+MIN($B366,1)+5)-(Y366-VLOOKUP($C366*1000+1,$A:$HH,Y$92,FALSE))/36,0)</f>
        <v>5102</v>
      </c>
      <c r="AM366" s="32" t="str">
        <f t="shared" ref="AM366:AM400" si="1175">IF(K366="market","std",ROUND(K366*1000,0)/10)&amp;"/"&amp;IF(L366="market","std",ROUND(L366*1000,0)/10)&amp;"/"&amp;IF(M366="market","std",ROUND(M366*1000,0)/10)&amp;"/"&amp;IF(N366="market","std",ROUND(N366*1000,0)/10)&amp;IF(P366="N","","/"&amp;IF(O366="market","std",ROUND(O366*1000,0)/10))</f>
        <v>std/std/std/std</v>
      </c>
      <c r="AN366" s="32" t="str">
        <f t="shared" ref="AN366:AN400" si="1176">"$"&amp;ROUND(Q366,0)&amp;" + "&amp;IF(S366="market","std",ROUND(S366*1000,0)/10)&amp;"/"&amp;IF(T366="market","std",ROUND(T366*1000,0)/10)&amp;"/"&amp;IF(U366="market","std",ROUND(U366*1000,0)/10)&amp;"/"&amp;IF(V366="market","std",ROUND(V366*1000,0)/10)&amp;IF(X366="N","","/"&amp;IF(W366="market","std",ROUND(W366*1000,0)/10))</f>
        <v>$0 + 0.9/0.9/0.9/2.9/3.9</v>
      </c>
      <c r="AO366" s="32" t="str">
        <f t="shared" ref="AO366:AO400" si="1177">IF(S366="market","std",ROUND(S366*1000,0)/10)&amp;"/"&amp;IF(T366="market","std",ROUND(T366*1000,0)/10)&amp;"/"&amp;IF(U366="market","std",ROUND(U366*1000,0)/10)&amp;"/"&amp;IF(V366="market","std",ROUND(V366*1000,0)/10)&amp;IF(X366="N","","/"&amp;IF(W366="market","std",ROUND(W366*1000,0)/10))</f>
        <v>0.9/0.9/0.9/2.9/3.9</v>
      </c>
      <c r="AP366" s="32" t="str">
        <f t="shared" si="1125"/>
        <v>0.9/1.9/2.9/3.9</v>
      </c>
      <c r="AQ366" s="536">
        <f t="shared" si="1124"/>
        <v>485.31178033813603</v>
      </c>
      <c r="AR366" s="32"/>
      <c r="AS366" s="302"/>
      <c r="AT366" s="3">
        <f t="shared" si="1056"/>
        <v>66</v>
      </c>
      <c r="AU366" s="41" t="s">
        <v>121</v>
      </c>
      <c r="AV366" s="41" t="s">
        <v>116</v>
      </c>
      <c r="AW366" s="41" t="str">
        <f>INDEX(Input!$1:$1048576,AW$93,$C366*2+6)</f>
        <v>Kia</v>
      </c>
      <c r="AX366" s="41" t="str">
        <f>INDEX(Input!$1:$1048576,AX$93,$C366*2+6)</f>
        <v>Kia-LR - L3</v>
      </c>
      <c r="AY366" s="41" t="str">
        <f>IF(LEN(D366)=0,"",INDEX(Input!$1:$1048576,AY$93,$C366*2+6))</f>
        <v>Compact Conventional/Sporty Car (43)</v>
      </c>
      <c r="AZ366" s="41" t="str">
        <f>INDEX(Input!$1:$1048576,AZ$93,$C366*2+6)</f>
        <v>Kia Forte</v>
      </c>
      <c r="BA366" s="3">
        <f>INDEX(Input!$1:$1048576,BA$93,$C366*2+6)</f>
        <v>2020</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19695</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1126"/>
        <v>1750</v>
      </c>
      <c r="CJ366" s="16" t="str">
        <f>INDEX(Input!$1:$1048576,CJ$93,$C366*2+6)</f>
        <v>N</v>
      </c>
      <c r="CK366" s="1" t="str">
        <f t="shared" si="1127"/>
        <v>Market</v>
      </c>
      <c r="CL366" s="1" t="str">
        <f t="shared" si="1128"/>
        <v>Market</v>
      </c>
      <c r="CM366" s="1" t="str">
        <f t="shared" si="1129"/>
        <v>Market</v>
      </c>
      <c r="CN366" s="1" t="str">
        <f t="shared" si="1130"/>
        <v>Market</v>
      </c>
      <c r="CO366" s="1" t="str">
        <f t="shared" si="1131"/>
        <v>Market</v>
      </c>
      <c r="CP366" s="304">
        <f t="shared" si="1132"/>
        <v>310</v>
      </c>
      <c r="CQ366" s="1">
        <f t="shared" si="1133"/>
        <v>9.0000000000000011E-3</v>
      </c>
      <c r="CR366" s="1">
        <f t="shared" si="1134"/>
        <v>9.0000000000000011E-3</v>
      </c>
      <c r="CS366" s="1">
        <f t="shared" si="1135"/>
        <v>9.0000000000000011E-3</v>
      </c>
      <c r="CT366" s="1">
        <f t="shared" si="1136"/>
        <v>2.8999999999999998E-2</v>
      </c>
      <c r="CU366" s="1">
        <f t="shared" si="1137"/>
        <v>3.9000000000000007E-2</v>
      </c>
      <c r="CV366" s="304">
        <f t="shared" si="1138"/>
        <v>4593</v>
      </c>
      <c r="CW366" s="20" t="s">
        <v>122</v>
      </c>
      <c r="CX366" s="20" t="s">
        <v>122</v>
      </c>
      <c r="CY366" s="20" t="s">
        <v>122</v>
      </c>
      <c r="CZ366" s="20" t="s">
        <v>122</v>
      </c>
      <c r="DA366" s="20" t="s">
        <v>122</v>
      </c>
      <c r="DB366" s="503">
        <f t="shared" si="1139"/>
        <v>0</v>
      </c>
      <c r="DC366" s="127">
        <v>0</v>
      </c>
      <c r="DD366" s="127">
        <v>0</v>
      </c>
      <c r="DE366" s="127">
        <v>0</v>
      </c>
      <c r="DF366" s="127">
        <v>0</v>
      </c>
      <c r="DG366" s="127">
        <v>0</v>
      </c>
      <c r="DH366" s="127">
        <v>0</v>
      </c>
      <c r="DI366" s="127">
        <v>0</v>
      </c>
      <c r="DJ366" s="127">
        <v>0</v>
      </c>
      <c r="DK366" s="127">
        <v>0</v>
      </c>
      <c r="DL366" s="127">
        <v>0</v>
      </c>
      <c r="DM366" s="304">
        <f>INDEX(Input!$1:$1048576,DM$93,$C366*2+6)</f>
        <v>20731.578947368424</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3.627466661571381E-2</v>
      </c>
      <c r="DZ366" s="7">
        <v>0</v>
      </c>
      <c r="EA366" s="7">
        <v>0.63662575659311504</v>
      </c>
      <c r="EB366" s="7">
        <v>0</v>
      </c>
      <c r="EC366" s="7">
        <v>0</v>
      </c>
      <c r="ED366" s="7">
        <v>0</v>
      </c>
      <c r="EE366" s="7">
        <v>0</v>
      </c>
      <c r="EF366" s="7">
        <v>0</v>
      </c>
      <c r="EG366" s="7">
        <v>0</v>
      </c>
      <c r="EH366" s="7">
        <v>1.7456881768637678E-2</v>
      </c>
      <c r="EI366" s="7">
        <v>2.0705971047888374E-2</v>
      </c>
      <c r="EJ366" s="7">
        <v>0.28060511710393105</v>
      </c>
      <c r="EK366" s="7">
        <v>0.60567173874966851</v>
      </c>
      <c r="EL366" s="7">
        <v>7.5560291329874449E-2</v>
      </c>
      <c r="EM366" s="7">
        <v>2.9738832479175338E-2</v>
      </c>
      <c r="EN366" s="7">
        <v>5.8903840649550704E-2</v>
      </c>
      <c r="EO366" s="7">
        <v>0.56806449089612487</v>
      </c>
      <c r="EP366" s="7">
        <v>0.27410709591931859</v>
      </c>
      <c r="EQ366" s="7">
        <v>5.8713575146425348E-2</v>
      </c>
      <c r="ER366" s="7">
        <v>4.0210997388580229E-2</v>
      </c>
      <c r="ES366" s="7">
        <v>0.29736074431199588</v>
      </c>
      <c r="ET366" s="7">
        <v>0.32709957679117108</v>
      </c>
      <c r="EU366" s="6">
        <v>2100</v>
      </c>
      <c r="EV366" s="6">
        <v>0</v>
      </c>
      <c r="EW366" s="6">
        <v>2100</v>
      </c>
      <c r="EX366" s="6">
        <v>0</v>
      </c>
      <c r="EY366" s="6">
        <v>2206.0328830721851</v>
      </c>
      <c r="EZ366" s="6">
        <v>3636</v>
      </c>
      <c r="FA366" s="6">
        <v>0</v>
      </c>
      <c r="FB366" s="6">
        <v>0</v>
      </c>
      <c r="FC366" s="6">
        <v>0</v>
      </c>
      <c r="FD366" s="6">
        <v>0</v>
      </c>
      <c r="FE366" s="6">
        <v>0</v>
      </c>
      <c r="FF366" s="6">
        <v>0</v>
      </c>
      <c r="FG366" s="6">
        <v>0</v>
      </c>
      <c r="FH366" s="6">
        <v>926.39394593079157</v>
      </c>
      <c r="FI366" s="6">
        <v>1232.116446530423</v>
      </c>
      <c r="FJ366" s="6">
        <v>1709.9775738488459</v>
      </c>
      <c r="FK366" s="6">
        <v>1266.3227157028189</v>
      </c>
      <c r="FL366" s="6">
        <v>893.91433563489397</v>
      </c>
      <c r="FM366" s="6">
        <v>1356.0328830721851</v>
      </c>
      <c r="FN366" s="6">
        <v>0</v>
      </c>
      <c r="FO366" s="6">
        <v>0</v>
      </c>
      <c r="FP366" s="6">
        <v>0</v>
      </c>
      <c r="FQ366" s="6">
        <v>0</v>
      </c>
      <c r="FR366" s="6">
        <v>0</v>
      </c>
      <c r="FS366" s="6">
        <v>0</v>
      </c>
      <c r="FT366" s="7">
        <v>0.67290042320882881</v>
      </c>
      <c r="FU366" s="7">
        <v>2.9738832479175338E-2</v>
      </c>
      <c r="FV366" s="7">
        <v>0.29736074431199588</v>
      </c>
      <c r="FW366" s="6">
        <v>2100</v>
      </c>
      <c r="FX366" s="6">
        <v>2206.0328830721851</v>
      </c>
      <c r="FY366" s="6">
        <v>3636</v>
      </c>
      <c r="FZ366" s="6">
        <v>2202.331475193394</v>
      </c>
      <c r="GA366" s="6">
        <v>2559.8993974101932</v>
      </c>
      <c r="GB366" s="6">
        <v>17135.100602589806</v>
      </c>
      <c r="GC366" s="7">
        <v>4.8391397220736806E-2</v>
      </c>
      <c r="GD366" s="7">
        <v>5.0572660528050054E-2</v>
      </c>
      <c r="GE366" s="7"/>
      <c r="GF366" s="7"/>
      <c r="GG366" s="7">
        <v>4.5075435564785188E-2</v>
      </c>
      <c r="GH366" s="42">
        <v>2.4827750150087029</v>
      </c>
      <c r="GI366" s="6">
        <v>10492.555349295128</v>
      </c>
      <c r="GJ366" s="14">
        <v>0.5107463060103955</v>
      </c>
      <c r="GK366" s="14">
        <v>0.5082951978616097</v>
      </c>
      <c r="GL366" s="14">
        <v>0.48925369398960433</v>
      </c>
      <c r="GM366" s="14">
        <v>0.49170480213839024</v>
      </c>
      <c r="GO366" s="5">
        <v>338.16872463277008</v>
      </c>
      <c r="GP366" s="5">
        <v>298.1047308538179</v>
      </c>
      <c r="GQ366" s="5">
        <v>527.27910984145694</v>
      </c>
      <c r="GR366" s="5">
        <v>404.20319246551543</v>
      </c>
      <c r="GS366" s="5">
        <v>334.50205195691484</v>
      </c>
      <c r="GT366" s="5">
        <v>289.18266033348181</v>
      </c>
      <c r="GU366" s="5">
        <v>254.29573314828914</v>
      </c>
      <c r="GV366" s="39" t="s">
        <v>392</v>
      </c>
      <c r="GW366" s="5">
        <v>475.29643226912253</v>
      </c>
      <c r="GX366" s="5">
        <v>358.07100736083845</v>
      </c>
      <c r="GY366" s="5">
        <v>287.73954748358943</v>
      </c>
      <c r="GZ366" s="5">
        <v>255.64660634518972</v>
      </c>
      <c r="HA366" s="5">
        <v>229.8919505212948</v>
      </c>
      <c r="HB366" s="39">
        <v>268.6612182780691</v>
      </c>
      <c r="HC366" s="5">
        <v>124.04062499999996</v>
      </c>
      <c r="HD366" s="5">
        <v>127.75060307017539</v>
      </c>
      <c r="HE366" s="5">
        <v>136.66051366396758</v>
      </c>
      <c r="HF366" s="5">
        <v>133.62067434210525</v>
      </c>
      <c r="HG366" s="5">
        <v>137.88493421052632</v>
      </c>
      <c r="HH366" s="39">
        <v>130.72650526464054</v>
      </c>
      <c r="HI366" s="16"/>
      <c r="HJ366" s="19" t="str">
        <f t="shared" ref="HJ366" si="1178">HJ365</f>
        <v>On</v>
      </c>
      <c r="HK366" s="1" t="str">
        <f t="shared" si="1122"/>
        <v>On</v>
      </c>
      <c r="HL366" s="16"/>
      <c r="HM366" s="639">
        <f t="shared" si="1151"/>
        <v>2.8970655363290673E-2</v>
      </c>
      <c r="HN366" s="639">
        <f t="shared" si="1152"/>
        <v>2.1835179285533651E-3</v>
      </c>
      <c r="HO366" s="639">
        <f t="shared" si="1153"/>
        <v>1.5544129749146325E-2</v>
      </c>
      <c r="HP366" s="644">
        <f>(FT366*$GD366-HM366)/$JF366*INDEX(Input!$1:$1048576,$JG$93,$C366*2+6)</f>
        <v>208.6799625299862</v>
      </c>
      <c r="HQ366" s="644">
        <f>(FU366*$GD366-HN366)/$JF366*INDEX(Input!$1:$1048576,$JG$93,$C366*2+6)</f>
        <v>-28.026836208286955</v>
      </c>
      <c r="HR366" s="644">
        <f>(FV366*$GD366-HO366)/$JF366*INDEX(Input!$1:$1048576,$JG$93,$C366*2+6)</f>
        <v>-20.861184556127274</v>
      </c>
      <c r="HS366" s="644">
        <f t="shared" si="1141"/>
        <v>-62.232889912143555</v>
      </c>
      <c r="HT366" s="644">
        <f t="shared" si="1154"/>
        <v>-13.557433030116506</v>
      </c>
      <c r="HU366" s="644">
        <f t="shared" si="1155"/>
        <v>28.122646538757863</v>
      </c>
      <c r="HV366" s="648">
        <f t="shared" si="1156"/>
        <v>0</v>
      </c>
      <c r="HW366" s="648">
        <f t="shared" si="1157"/>
        <v>0</v>
      </c>
      <c r="HX366" s="648">
        <f t="shared" si="1158"/>
        <v>0</v>
      </c>
      <c r="HY366" s="644">
        <f>INDEX(Input!$1:$1048576,HY$93,$C366*2+6)*INDEX(Input!$1:$1048576,$JG$93,$C366*2+6)</f>
        <v>488.99999999999994</v>
      </c>
      <c r="HZ366" s="644">
        <f>INDEX(Input!$1:$1048576,HZ$93,$C366*2+6)*INDEX(Input!$1:$1048576,$JG$93,$C366*2+6)</f>
        <v>734</v>
      </c>
      <c r="IA366" s="644">
        <f>INDEX(Input!$1:$1048576,IA$93,$C366*2+6)*INDEX(Input!$1:$1048576,$JG$93,$C366*2+6)</f>
        <v>703</v>
      </c>
      <c r="IB366" s="644">
        <f t="shared" ref="IB366:IB381" si="1179">SUM(HP366:IA366)-IC366-ID366</f>
        <v>635.44707261784265</v>
      </c>
      <c r="IC366" s="644">
        <f t="shared" ref="IC366:IC381" si="1180">MAX(HZ366+HQ366+HT366+HW366,0%)</f>
        <v>692.41573076159659</v>
      </c>
      <c r="ID366" s="644">
        <f>IF(AND(INDEX(Input!$1:$1048576,IA$93,$C366*2+7)="TOS",Y366&lt;=INDEX(Y:Y,MATCH(C366*1000+2,A:A))),0,1)*MAX(IA366+HR366+HU366+HX366,0%)</f>
        <v>710.26146198263064</v>
      </c>
      <c r="IE366" s="128">
        <f t="shared" si="1142"/>
        <v>0.31178033813603429</v>
      </c>
      <c r="IF366" s="128">
        <f t="shared" si="1143"/>
        <v>0.33973185174682657</v>
      </c>
      <c r="IG366" s="128">
        <f t="shared" si="1159"/>
        <v>0.34848781011713909</v>
      </c>
      <c r="IH366" s="21"/>
      <c r="II366" s="19">
        <f t="shared" si="1160"/>
        <v>1200</v>
      </c>
      <c r="IJ366" s="19">
        <f t="shared" si="1161"/>
        <v>2224.493581030405</v>
      </c>
      <c r="IK366" s="19">
        <f t="shared" si="1162"/>
        <v>3451.75</v>
      </c>
      <c r="IL366" s="19">
        <f t="shared" ref="IL366:IL381" si="1181">(FW366-FA366*DZ366/FT366)-II366</f>
        <v>900</v>
      </c>
      <c r="IM366" s="19">
        <f t="shared" si="1163"/>
        <v>-18.460697958219953</v>
      </c>
      <c r="IN366" s="19">
        <f t="shared" si="1164"/>
        <v>184.25</v>
      </c>
      <c r="IO366" s="39">
        <f t="shared" si="1165"/>
        <v>0</v>
      </c>
      <c r="IP366" s="39">
        <f t="shared" si="1166"/>
        <v>0</v>
      </c>
      <c r="IQ366" s="39">
        <f t="shared" si="1167"/>
        <v>0</v>
      </c>
      <c r="IR366" s="39">
        <v>0</v>
      </c>
      <c r="IS366" s="39">
        <v>0</v>
      </c>
      <c r="IT366" s="39">
        <v>0</v>
      </c>
      <c r="IU366" s="39">
        <v>0</v>
      </c>
      <c r="IV366" s="39">
        <v>0</v>
      </c>
      <c r="IW366" s="39">
        <v>0</v>
      </c>
      <c r="IX366" s="39">
        <f>INDEX(Input!$1:$1048576,IX$93,$C366*2+6)+INDEX(Input!$1:$1048576,IX$94,$C366*2+6)</f>
        <v>1600</v>
      </c>
      <c r="IY366" s="39">
        <f>INDEX(Input!$1:$1048576,IY$93,$C366*2+6)+INDEX(Input!$1:$1048576,IY$94,$C366*2+6)</f>
        <v>2503.5492916397525</v>
      </c>
      <c r="IZ366" s="39">
        <f>INDEX(Input!$1:$1048576,IZ$93,$C366*2+6)+INDEX(Input!$1:$1048576,IZ$94,$C366*2+6)</f>
        <v>5773.7109265464023</v>
      </c>
      <c r="JA366" s="19">
        <f t="shared" ref="JA366:JA381" si="1182">(IL366+IO366+IR366+IU366+IX366)</f>
        <v>2500</v>
      </c>
      <c r="JB366" s="19">
        <f t="shared" ref="JB366:JB381" si="1183">(IM366+IP366+IS366+IV366+IY366)</f>
        <v>2485.0885936815325</v>
      </c>
      <c r="JC366" s="19">
        <f t="shared" ref="JC366:JC381" si="1184">(IN366+IQ366+IT366+IW366+IZ366)</f>
        <v>5957.9609265464023</v>
      </c>
      <c r="JD366" s="19">
        <f t="shared" ref="JD366:JD381" si="1185">SUMPRODUCT(IE366:IG366,JA366:JC366)</f>
        <v>3699.9913510820666</v>
      </c>
      <c r="JE366" s="21"/>
      <c r="JF366" s="1">
        <f t="shared" si="1168"/>
        <v>4.6698303040990354E-2</v>
      </c>
      <c r="JG366" s="15">
        <f>INDEX(Input!$1:$1048576,JG$93,$C366*2+6)/(1+VLOOKUP(C366*1000+INDEX(Input!$1:$1048576,JG$93+1,$C366*2+6),$A:$KK,$JK$92,FALSE))</f>
        <v>1926</v>
      </c>
      <c r="JH366" s="1">
        <f t="shared" ref="JH366:JH381" si="1186">SUM(HP366:HR366)/SUM(HY366:IA366)</f>
        <v>8.2965701851283463E-2</v>
      </c>
      <c r="JI366" s="1">
        <f t="shared" ref="JI366:JI381" si="1187">SUM(HS366:HU366)/SUM(HY366:IA366)</f>
        <v>-2.4749572379803842E-2</v>
      </c>
      <c r="JJ366" s="1">
        <f t="shared" si="1144"/>
        <v>0</v>
      </c>
      <c r="JK366" s="1">
        <f t="shared" si="1145"/>
        <v>5.8216129471479625E-2</v>
      </c>
      <c r="JL366" s="15">
        <f t="shared" ref="JL366:JL381" si="1188">JG366*JK366</f>
        <v>112.12426536206976</v>
      </c>
      <c r="JM366" s="15">
        <f t="shared" si="1074"/>
        <v>2038.1242653620698</v>
      </c>
      <c r="JN366" s="21"/>
      <c r="JO366" s="19">
        <f>INDEX(Input!$1:$1048576,JO$93,$C366*2+6)</f>
        <v>5908.5</v>
      </c>
      <c r="JP366" s="19">
        <f>INDEX(Input!$1:$1048576,JP$93,$C366*2+6)</f>
        <v>3467.7694503767912</v>
      </c>
      <c r="JQ366" s="39">
        <f t="shared" si="1060"/>
        <v>2208.5086489179334</v>
      </c>
      <c r="JR366" s="39">
        <f t="shared" si="1077"/>
        <v>232.2219007052754</v>
      </c>
      <c r="JS366" s="39">
        <f t="shared" si="1062"/>
        <v>7.5410421542701487</v>
      </c>
      <c r="JT366" s="39">
        <f t="shared" ref="JT366:JT381" si="1189">(JD366*JM366-JP366*JG366)/1000000</f>
        <v>0.86211819284444857</v>
      </c>
      <c r="JU366" s="385">
        <f>(JQ366*JM366-INDEX(Input!$1:$1048576,Input!A$18,$C366*2+6)*JL366*INDEX(Input!$1:$1048576,Input!A$19,$C366*2+6))/1000000</f>
        <v>4.50121506762164</v>
      </c>
      <c r="JV366" s="39">
        <f t="shared" si="1084"/>
        <v>-0.19963197095265972</v>
      </c>
      <c r="JW366" s="1">
        <f t="shared" si="1075"/>
        <v>-4.2467233950502094E-2</v>
      </c>
      <c r="JX366" s="19">
        <f t="shared" si="1066"/>
        <v>7688.9528779565353</v>
      </c>
      <c r="JZ366" s="341"/>
      <c r="KA366" s="342"/>
      <c r="KB366" s="469">
        <f t="shared" si="1063"/>
        <v>2.7822247002359868</v>
      </c>
      <c r="KI366" s="473">
        <f t="shared" si="1146"/>
        <v>146.44707261784259</v>
      </c>
      <c r="KJ366" s="473">
        <f t="shared" si="1147"/>
        <v>-41.584269238403522</v>
      </c>
      <c r="KK366" s="473">
        <f t="shared" ref="KK366:KK372" si="1190">$JM366*IG366-$JG366*IA366/SUM($HY366:$IA366)</f>
        <v>7.2614619826305216</v>
      </c>
      <c r="KN366" s="544">
        <f t="shared" si="1067"/>
        <v>3002</v>
      </c>
      <c r="KO366" s="541">
        <f t="shared" si="1169"/>
        <v>-1.0654872598369836E-2</v>
      </c>
      <c r="KP366" s="546">
        <f t="shared" si="1170"/>
        <v>13.691926526419735</v>
      </c>
      <c r="KQ366" s="546">
        <f t="shared" si="1171"/>
        <v>-21.089867243306344</v>
      </c>
      <c r="KR366" s="548">
        <f t="shared" si="1172"/>
        <v>-12.430688200600169</v>
      </c>
      <c r="KS366" s="548">
        <f t="shared" si="1173"/>
        <v>8.0702295349663515</v>
      </c>
      <c r="KT366" s="473">
        <f t="shared" si="1065"/>
        <v>527.01264777847621</v>
      </c>
      <c r="KU366" s="663">
        <f t="shared" ref="KU366:KU381" si="1191">IF(D366="",0,IFERROR((JM366/KT366-1)/(JD366/BX366)+B366*10^-6,0))</f>
        <v>15.262745436230039</v>
      </c>
    </row>
    <row r="367" spans="1:308" s="26" customFormat="1" ht="15" outlineLevel="1">
      <c r="A367" s="561">
        <f t="shared" si="1174"/>
        <v>3067</v>
      </c>
      <c r="B367" s="561">
        <f t="shared" ref="B367:B400" si="1192">B366+1</f>
        <v>67</v>
      </c>
      <c r="C367" s="561">
        <f t="shared" ref="C367:C400" si="1193">C366</f>
        <v>3</v>
      </c>
      <c r="D367" s="561" t="str">
        <f t="shared" si="1123"/>
        <v xml:space="preserve">250 CC, 0.9/1.9/2.9/3.9, -360 Lease, </v>
      </c>
      <c r="E367" s="475">
        <f>INDEX(Input!$1:$1048576,E$93,$C367*2+MIN($B367,2)+5)
+INDEX(Scenarios!E$121:E$200,MATCH($B367,Scenarios!$B$121:$B$200,0))</f>
        <v>1500</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0</v>
      </c>
      <c r="R367" s="478">
        <f>IFERROR(MAX(0,INDEX(Input!$1:$1048576,R$93,$C367*2+MIN($B367,2)+5)
+INDEX(Scenarios!R$121:R$200,MATCH($B367,Scenarios!$B$121:$B$200,0)),),"Market")</f>
        <v>9.0000000000000011E-3</v>
      </c>
      <c r="S367" s="478">
        <f>IFERROR(MAX(0,INDEX(Input!$1:$1048576,S$93,$C367*2+MIN($B367,2)+5)
+INDEX(Scenarios!S$121:S$200,MATCH($B367,Scenarios!$B$121:$B$200,0)),),"Market")</f>
        <v>9.0000000000000011E-3</v>
      </c>
      <c r="T367" s="478">
        <f>IFERROR(MAX(0,INDEX(Input!$1:$1048576,T$93,$C367*2+MIN($B367,2)+5)
+INDEX(Scenarios!T$121:T$200,MATCH($B367,Scenarios!$B$121:$B$200,0)),),"Market")</f>
        <v>9.0000000000000011E-3</v>
      </c>
      <c r="U367" s="478">
        <f>IFERROR(MAX(0,INDEX(Input!$1:$1048576,U$93,$C367*2+MIN($B367,2)+5)
+INDEX(Scenarios!U$121:U$200,MATCH($B367,Scenarios!$B$121:$B$200,0)),),"Market")</f>
        <v>9.0000000000000011E-3</v>
      </c>
      <c r="V367" s="478">
        <f>IFERROR(MAX(0,INDEX(Input!$1:$1048576,V$93,$C367*2+MIN($B367,2)+5)
+INDEX(Scenarios!V$121:V$200,MATCH($B367,Scenarios!$B$121:$B$200,0)),),"Market")</f>
        <v>2.8999999999999998E-2</v>
      </c>
      <c r="W367" s="863">
        <f>IFERROR(MAX(0,INDEX(Input!$1:$1048576,W$93,$C367*2+MIN($B367,2)+5)-0%,),"Market")</f>
        <v>3.9000000000000007E-2</v>
      </c>
      <c r="X367" s="476" t="str">
        <f>INDEX(Input!$1:$1048576,X$93,$C367*2+MIN($B367,2)+5)</f>
        <v>Y</v>
      </c>
      <c r="Y367" s="475">
        <f>INDEX(Input!$1:$1048576,Y$93,$C367*2+MIN($B367,2)+5)
++INDEX(Scenarios!Y$121:Y$200,MATCH($B367,Scenarios!$B$121:$B$200,0))</f>
        <v>3748</v>
      </c>
      <c r="Z367" s="477">
        <f>INDEX(Input!$1:$1048576,Z$93,$C367*2+MIN($B367,2)+5)
+INDEX(Scenarios!Z$121:Z$200,MATCH($B367,Scenarios!$B$121:$B$200,0))</f>
        <v>0</v>
      </c>
      <c r="AA367" s="475">
        <f>INDEX(Input!$1:$1048576,AA$93,$C367*2+MIN($B367,2)+5)</f>
        <v>500</v>
      </c>
      <c r="AB367" s="476">
        <f>INDEX(Input!$1:$1048576,AB$93,$C367*2+MIN($B367,2)+5)</f>
        <v>0.62</v>
      </c>
      <c r="AC367" s="475">
        <f>INDEX(Input!$1:$1048576,AC$93,$C367*2+MIN($B367,2)+5)
+INDEX(Scenarios!AC$121:AC$200,MATCH($B367,Scenarios!$B$121:$B$200,0))</f>
        <v>0</v>
      </c>
      <c r="AD367" s="476">
        <f>INDEX(Input!$1:$1048576,AD$93,$C367*2+MIN($B367,2)+5)</f>
        <v>0.35</v>
      </c>
      <c r="AE367" s="475">
        <f>INDEX(Input!$1:$1048576,AE$93,$C367*2+MIN($B367,2)+5)
+INDEX(Scenarios!AE$121:AE$200,MATCH($B367,Scenarios!$B$121:$B$200,0))</f>
        <v>500</v>
      </c>
      <c r="AF367" s="476">
        <f>INDEX(Input!$1:$1048576,AF$93,$C367*2+MIN($B367,2)+5)</f>
        <v>0.97</v>
      </c>
      <c r="AG367" s="475">
        <f>INDEX(Input!$1:$1048576,AG$93,$C367*2+MIN($B367,2)+5)
+INDEX(Scenarios!AG$121:AG$200,MATCH($B367,Scenarios!$B$121:$B$200,0))</f>
        <v>0</v>
      </c>
      <c r="AH367" s="476">
        <f>INDEX(Input!$1:$1048576,AH$93,$C367*2+MIN($B367,2)+5)</f>
        <v>1</v>
      </c>
      <c r="AI367" s="475">
        <f>INDEX(Input!$1:$1048576,AI$93,$C367*2+MIN($B367,2)+5)
+INDEX(Scenarios!AI$121:AI$200,MATCH($B367,Scenarios!$B$121:$B$200,0))</f>
        <v>0</v>
      </c>
      <c r="AJ367" s="476">
        <f>INDEX(Input!$1:$1048576,AJ$93,$C367*2+MIN($B367,2)+5)</f>
        <v>0.35</v>
      </c>
      <c r="AK367" s="150">
        <f>ROUND(INDEX(Input!$1:$1048576,AK$93,$C366*2+MIN($B367,1)+5)+(Y367-VLOOKUP($C367*1000+1,$A:$HH,Y$92,FALSE)),0)</f>
        <v>4622</v>
      </c>
      <c r="AL367" s="150">
        <f>ROUND(INDEX(Input!$1:$1048576,AL$93,$C366*2+MIN($B367,1)+5)-(Y367-VLOOKUP($C367*1000+1,$A:$HH,Y$92,FALSE))/36,0)</f>
        <v>5112</v>
      </c>
      <c r="AM367" s="32" t="str">
        <f t="shared" si="1175"/>
        <v>std/std/std/std</v>
      </c>
      <c r="AN367" s="32" t="str">
        <f t="shared" si="1176"/>
        <v>$0 + 0.9/0.9/0.9/2.9/3.9</v>
      </c>
      <c r="AO367" s="32" t="str">
        <f t="shared" si="1177"/>
        <v>0.9/0.9/0.9/2.9/3.9</v>
      </c>
      <c r="AP367" s="32" t="str">
        <f t="shared" si="1125"/>
        <v>0.9/1.9/2.9/3.9</v>
      </c>
      <c r="AQ367" s="536">
        <f t="shared" si="1124"/>
        <v>485.31598779934109</v>
      </c>
      <c r="AR367" s="32"/>
      <c r="AS367" s="302"/>
      <c r="AT367" s="3">
        <f t="shared" ref="AT367:AT400" si="1194">AT366+1</f>
        <v>67</v>
      </c>
      <c r="AU367" s="41" t="s">
        <v>121</v>
      </c>
      <c r="AV367" s="41" t="s">
        <v>116</v>
      </c>
      <c r="AW367" s="41" t="str">
        <f>INDEX(Input!$1:$1048576,AW$93,$C367*2+6)</f>
        <v>Kia</v>
      </c>
      <c r="AX367" s="41" t="str">
        <f>INDEX(Input!$1:$1048576,AX$93,$C367*2+6)</f>
        <v>Kia-LR - L3</v>
      </c>
      <c r="AY367" s="41" t="str">
        <f>IF(LEN(D367)=0,"",INDEX(Input!$1:$1048576,AY$93,$C367*2+6))</f>
        <v>Compact Conventional/Sporty Car (43)</v>
      </c>
      <c r="AZ367" s="41" t="str">
        <f>INDEX(Input!$1:$1048576,AZ$93,$C367*2+6)</f>
        <v>Kia Forte</v>
      </c>
      <c r="BA367" s="3">
        <f>INDEX(Input!$1:$1048576,BA$93,$C367*2+6)</f>
        <v>2020</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19695</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1126"/>
        <v>1500</v>
      </c>
      <c r="CJ367" s="16" t="str">
        <f>INDEX(Input!$1:$1048576,CJ$93,$C367*2+6)</f>
        <v>N</v>
      </c>
      <c r="CK367" s="1" t="str">
        <f t="shared" si="1127"/>
        <v>Market</v>
      </c>
      <c r="CL367" s="1" t="str">
        <f t="shared" si="1128"/>
        <v>Market</v>
      </c>
      <c r="CM367" s="1" t="str">
        <f t="shared" si="1129"/>
        <v>Market</v>
      </c>
      <c r="CN367" s="1" t="str">
        <f t="shared" si="1130"/>
        <v>Market</v>
      </c>
      <c r="CO367" s="1" t="str">
        <f t="shared" si="1131"/>
        <v>Market</v>
      </c>
      <c r="CP367" s="304">
        <f t="shared" si="1132"/>
        <v>310</v>
      </c>
      <c r="CQ367" s="1">
        <f t="shared" si="1133"/>
        <v>9.0000000000000011E-3</v>
      </c>
      <c r="CR367" s="1">
        <f t="shared" si="1134"/>
        <v>9.0000000000000011E-3</v>
      </c>
      <c r="CS367" s="1">
        <f t="shared" si="1135"/>
        <v>9.0000000000000011E-3</v>
      </c>
      <c r="CT367" s="1">
        <f t="shared" si="1136"/>
        <v>2.8999999999999998E-2</v>
      </c>
      <c r="CU367" s="1">
        <f t="shared" si="1137"/>
        <v>3.9000000000000007E-2</v>
      </c>
      <c r="CV367" s="304">
        <f t="shared" si="1138"/>
        <v>4233</v>
      </c>
      <c r="CW367" s="20" t="s">
        <v>122</v>
      </c>
      <c r="CX367" s="20" t="s">
        <v>122</v>
      </c>
      <c r="CY367" s="20" t="s">
        <v>122</v>
      </c>
      <c r="CZ367" s="20" t="s">
        <v>122</v>
      </c>
      <c r="DA367" s="20" t="s">
        <v>122</v>
      </c>
      <c r="DB367" s="503">
        <f t="shared" si="1139"/>
        <v>0</v>
      </c>
      <c r="DC367" s="127">
        <v>0</v>
      </c>
      <c r="DD367" s="127">
        <v>0</v>
      </c>
      <c r="DE367" s="127">
        <v>0</v>
      </c>
      <c r="DF367" s="127">
        <v>0</v>
      </c>
      <c r="DG367" s="127">
        <v>0</v>
      </c>
      <c r="DH367" s="127">
        <v>0</v>
      </c>
      <c r="DI367" s="127">
        <v>0</v>
      </c>
      <c r="DJ367" s="127">
        <v>0</v>
      </c>
      <c r="DK367" s="127">
        <v>0</v>
      </c>
      <c r="DL367" s="127">
        <v>0</v>
      </c>
      <c r="DM367" s="304">
        <f>INDEX(Input!$1:$1048576,DM$93,$C367*2+6)</f>
        <v>20731.578947368424</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3.6515910865596489E-2</v>
      </c>
      <c r="DZ367" s="7">
        <v>0</v>
      </c>
      <c r="EA367" s="7">
        <v>0.6430840296291388</v>
      </c>
      <c r="EB367" s="7">
        <v>0</v>
      </c>
      <c r="EC367" s="7">
        <v>0</v>
      </c>
      <c r="ED367" s="7">
        <v>0</v>
      </c>
      <c r="EE367" s="7">
        <v>0</v>
      </c>
      <c r="EF367" s="7">
        <v>0</v>
      </c>
      <c r="EG367" s="7">
        <v>0</v>
      </c>
      <c r="EH367" s="7">
        <v>1.7457825375494056E-2</v>
      </c>
      <c r="EI367" s="7">
        <v>2.0705997268747393E-2</v>
      </c>
      <c r="EJ367" s="7">
        <v>0.28063217031258986</v>
      </c>
      <c r="EK367" s="7">
        <v>0.60565193578078835</v>
      </c>
      <c r="EL367" s="7">
        <v>7.5552071262380172E-2</v>
      </c>
      <c r="EM367" s="7">
        <v>3.2364861250747799E-2</v>
      </c>
      <c r="EN367" s="7">
        <v>5.7659778106774813E-2</v>
      </c>
      <c r="EO367" s="7">
        <v>0.56931800922069575</v>
      </c>
      <c r="EP367" s="7">
        <v>0.27223179348574289</v>
      </c>
      <c r="EQ367" s="7">
        <v>5.9840818106432839E-2</v>
      </c>
      <c r="ER367" s="7">
        <v>4.0949601080353934E-2</v>
      </c>
      <c r="ES367" s="7">
        <v>0.28803519825451684</v>
      </c>
      <c r="ET367" s="7">
        <v>0.32040005950526473</v>
      </c>
      <c r="EU367" s="6">
        <v>1850</v>
      </c>
      <c r="EV367" s="6">
        <v>0</v>
      </c>
      <c r="EW367" s="6">
        <v>1850</v>
      </c>
      <c r="EX367" s="6">
        <v>0</v>
      </c>
      <c r="EY367" s="6">
        <v>2206.04762268391</v>
      </c>
      <c r="EZ367" s="6">
        <v>3276</v>
      </c>
      <c r="FA367" s="6">
        <v>0</v>
      </c>
      <c r="FB367" s="6">
        <v>0</v>
      </c>
      <c r="FC367" s="6">
        <v>0</v>
      </c>
      <c r="FD367" s="6">
        <v>0</v>
      </c>
      <c r="FE367" s="6">
        <v>0</v>
      </c>
      <c r="FF367" s="6">
        <v>0</v>
      </c>
      <c r="FG367" s="6">
        <v>0</v>
      </c>
      <c r="FH367" s="6">
        <v>926.39381752370332</v>
      </c>
      <c r="FI367" s="6">
        <v>1232.1164465304232</v>
      </c>
      <c r="FJ367" s="6">
        <v>1709.9775738488454</v>
      </c>
      <c r="FK367" s="6">
        <v>1266.3227157028191</v>
      </c>
      <c r="FL367" s="6">
        <v>893.91433563489318</v>
      </c>
      <c r="FM367" s="6">
        <v>1356.0476226839103</v>
      </c>
      <c r="FN367" s="6">
        <v>0</v>
      </c>
      <c r="FO367" s="6">
        <v>0</v>
      </c>
      <c r="FP367" s="6">
        <v>0</v>
      </c>
      <c r="FQ367" s="6">
        <v>0</v>
      </c>
      <c r="FR367" s="6">
        <v>0</v>
      </c>
      <c r="FS367" s="6">
        <v>0</v>
      </c>
      <c r="FT367" s="7">
        <v>0.67959994049473527</v>
      </c>
      <c r="FU367" s="7">
        <v>3.2364861250747799E-2</v>
      </c>
      <c r="FV367" s="7">
        <v>0.28803519825451684</v>
      </c>
      <c r="FW367" s="6">
        <v>1849.9999999999998</v>
      </c>
      <c r="FX367" s="6">
        <v>2206.04762268391</v>
      </c>
      <c r="FY367" s="6">
        <v>3276</v>
      </c>
      <c r="FZ367" s="6">
        <v>2202.331475193394</v>
      </c>
      <c r="GA367" s="6">
        <v>2272.261624617764</v>
      </c>
      <c r="GB367" s="6">
        <v>17422.738375382236</v>
      </c>
      <c r="GC367" s="7">
        <v>4.8391397220736806E-2</v>
      </c>
      <c r="GD367" s="7">
        <v>4.8713395339568984E-2</v>
      </c>
      <c r="GE367" s="7"/>
      <c r="GF367" s="7"/>
      <c r="GG367" s="7">
        <v>6.654036405755891E-3</v>
      </c>
      <c r="GH367" s="42">
        <v>1.8740307019234266</v>
      </c>
      <c r="GI367" s="6">
        <v>12781.694570292475</v>
      </c>
      <c r="GJ367" s="14">
        <v>0.51074630601039561</v>
      </c>
      <c r="GK367" s="14">
        <v>0.50829519786160982</v>
      </c>
      <c r="GL367" s="14">
        <v>0.48925369398960433</v>
      </c>
      <c r="GM367" s="14">
        <v>0.49170480213839013</v>
      </c>
      <c r="GO367" s="5">
        <v>338.16872463277008</v>
      </c>
      <c r="GP367" s="5">
        <v>302.87425392274076</v>
      </c>
      <c r="GQ367" s="5">
        <v>527.27910984145694</v>
      </c>
      <c r="GR367" s="5">
        <v>404.20319246551543</v>
      </c>
      <c r="GS367" s="5">
        <v>334.50205195691484</v>
      </c>
      <c r="GT367" s="5">
        <v>289.18266033348181</v>
      </c>
      <c r="GU367" s="5">
        <v>254.29573314828914</v>
      </c>
      <c r="GV367" s="39" t="s">
        <v>392</v>
      </c>
      <c r="GW367" s="5">
        <v>475.29643226912253</v>
      </c>
      <c r="GX367" s="5">
        <v>358.07100736083845</v>
      </c>
      <c r="GY367" s="5">
        <v>287.73954748358943</v>
      </c>
      <c r="GZ367" s="5">
        <v>255.64660634518972</v>
      </c>
      <c r="HA367" s="5">
        <v>229.8919505212948</v>
      </c>
      <c r="HB367" s="39">
        <v>268.66250814884881</v>
      </c>
      <c r="HC367" s="5">
        <v>139.79062499999998</v>
      </c>
      <c r="HD367" s="5">
        <v>138.50060307017537</v>
      </c>
      <c r="HE367" s="5">
        <v>146.64128289473683</v>
      </c>
      <c r="HF367" s="5">
        <v>141.94567434210524</v>
      </c>
      <c r="HG367" s="5">
        <v>144.78493421052633</v>
      </c>
      <c r="HH367" s="39">
        <v>141.25463405383701</v>
      </c>
      <c r="HI367" s="16"/>
      <c r="HJ367" s="19" t="str">
        <f t="shared" ref="HJ367:HK368" si="1195">HJ366</f>
        <v>On</v>
      </c>
      <c r="HK367" s="1" t="str">
        <f t="shared" si="1195"/>
        <v>On</v>
      </c>
      <c r="HL367" s="16"/>
      <c r="HM367" s="639">
        <f t="shared" si="1151"/>
        <v>2.8970655363290673E-2</v>
      </c>
      <c r="HN367" s="639">
        <f t="shared" si="1152"/>
        <v>2.1835179285533651E-3</v>
      </c>
      <c r="HO367" s="639">
        <f t="shared" si="1153"/>
        <v>1.5544129749146325E-2</v>
      </c>
      <c r="HP367" s="644">
        <f>(FT367*$GD367-HM367)/$JF367*INDEX(Input!$1:$1048576,$JG$93,$C367*2+6)</f>
        <v>170.54030826271872</v>
      </c>
      <c r="HQ367" s="644">
        <f>(FU367*$GD367-HN367)/$JF367*INDEX(Input!$1:$1048576,$JG$93,$C367*2+6)</f>
        <v>-25.031306506832166</v>
      </c>
      <c r="HR367" s="644">
        <f>(FV367*$GD367-HO367)/$JF367*INDEX(Input!$1:$1048576,$JG$93,$C367*2+6)</f>
        <v>-62.399605603830963</v>
      </c>
      <c r="HS367" s="644">
        <f t="shared" si="1141"/>
        <v>-44.940707297187942</v>
      </c>
      <c r="HT367" s="644">
        <f t="shared" si="1154"/>
        <v>-10.532861412435798</v>
      </c>
      <c r="HU367" s="644">
        <f t="shared" si="1155"/>
        <v>-8.6252851139877293</v>
      </c>
      <c r="HV367" s="648">
        <f t="shared" si="1156"/>
        <v>0</v>
      </c>
      <c r="HW367" s="648">
        <f t="shared" si="1157"/>
        <v>0</v>
      </c>
      <c r="HX367" s="648">
        <f t="shared" si="1158"/>
        <v>0</v>
      </c>
      <c r="HY367" s="644">
        <f>INDEX(Input!$1:$1048576,HY$93,$C367*2+6)*INDEX(Input!$1:$1048576,$JG$93,$C367*2+6)</f>
        <v>488.99999999999994</v>
      </c>
      <c r="HZ367" s="644">
        <f>INDEX(Input!$1:$1048576,HZ$93,$C367*2+6)*INDEX(Input!$1:$1048576,$JG$93,$C367*2+6)</f>
        <v>734</v>
      </c>
      <c r="IA367" s="644">
        <f>INDEX(Input!$1:$1048576,IA$93,$C367*2+6)*INDEX(Input!$1:$1048576,$JG$93,$C367*2+6)</f>
        <v>703</v>
      </c>
      <c r="IB367" s="644">
        <f t="shared" si="1179"/>
        <v>614.59960096553061</v>
      </c>
      <c r="IC367" s="644">
        <f t="shared" si="1180"/>
        <v>698.4358320807321</v>
      </c>
      <c r="ID367" s="644">
        <f>IF(AND(INDEX(Input!$1:$1048576,IA$93,$C367*2+7)="TOS",Y367&lt;=INDEX(Y:Y,MATCH(C367*1000+2,A:A))),0,1)*MAX(IA367+HR367+HU367+HX367,0%)</f>
        <v>631.97510928218128</v>
      </c>
      <c r="IE367" s="128">
        <f t="shared" si="1142"/>
        <v>0.31598779934106203</v>
      </c>
      <c r="IF367" s="128">
        <f t="shared" si="1143"/>
        <v>0.35909102643968643</v>
      </c>
      <c r="IG367" s="128">
        <f t="shared" si="1159"/>
        <v>0.32492117421925154</v>
      </c>
      <c r="IH367" s="21"/>
      <c r="II367" s="19">
        <f t="shared" si="1160"/>
        <v>1200</v>
      </c>
      <c r="IJ367" s="19">
        <f t="shared" si="1161"/>
        <v>2224.493581030405</v>
      </c>
      <c r="IK367" s="19">
        <f t="shared" si="1162"/>
        <v>3451.75</v>
      </c>
      <c r="IL367" s="19">
        <f t="shared" si="1181"/>
        <v>649.99999999999977</v>
      </c>
      <c r="IM367" s="19">
        <f t="shared" si="1163"/>
        <v>-18.44595834649499</v>
      </c>
      <c r="IN367" s="19">
        <f t="shared" si="1164"/>
        <v>-175.75</v>
      </c>
      <c r="IO367" s="39">
        <f t="shared" si="1165"/>
        <v>0</v>
      </c>
      <c r="IP367" s="39">
        <f t="shared" si="1166"/>
        <v>0</v>
      </c>
      <c r="IQ367" s="39">
        <f t="shared" si="1167"/>
        <v>0</v>
      </c>
      <c r="IR367" s="39">
        <v>0</v>
      </c>
      <c r="IS367" s="39">
        <v>0</v>
      </c>
      <c r="IT367" s="39">
        <v>0</v>
      </c>
      <c r="IU367" s="39">
        <v>0</v>
      </c>
      <c r="IV367" s="39">
        <v>0</v>
      </c>
      <c r="IW367" s="39">
        <v>0</v>
      </c>
      <c r="IX367" s="39">
        <f>INDEX(Input!$1:$1048576,IX$93,$C367*2+6)+INDEX(Input!$1:$1048576,IX$94,$C367*2+6)</f>
        <v>1600</v>
      </c>
      <c r="IY367" s="39">
        <f>INDEX(Input!$1:$1048576,IY$93,$C367*2+6)+INDEX(Input!$1:$1048576,IY$94,$C367*2+6)</f>
        <v>2503.5492916397525</v>
      </c>
      <c r="IZ367" s="39">
        <f>INDEX(Input!$1:$1048576,IZ$93,$C367*2+6)+INDEX(Input!$1:$1048576,IZ$94,$C367*2+6)</f>
        <v>5773.7109265464023</v>
      </c>
      <c r="JA367" s="19">
        <f t="shared" si="1182"/>
        <v>2250</v>
      </c>
      <c r="JB367" s="19">
        <f t="shared" si="1183"/>
        <v>2485.1033332932575</v>
      </c>
      <c r="JC367" s="19">
        <f t="shared" si="1184"/>
        <v>5597.9609265464023</v>
      </c>
      <c r="JD367" s="19">
        <f t="shared" si="1185"/>
        <v>3422.2468927652981</v>
      </c>
      <c r="JE367" s="21"/>
      <c r="JF367" s="1">
        <f t="shared" si="1168"/>
        <v>4.6698303040990354E-2</v>
      </c>
      <c r="JG367" s="15">
        <f>INDEX(Input!$1:$1048576,JG$93,$C367*2+6)/(1+VLOOKUP(C367*1000+INDEX(Input!$1:$1048576,JG$93+1,$C367*2+6),$A:$KK,$JK$92,FALSE))</f>
        <v>1926</v>
      </c>
      <c r="JH367" s="1">
        <f t="shared" si="1186"/>
        <v>4.3151296029104676E-2</v>
      </c>
      <c r="JI367" s="1">
        <f t="shared" si="1187"/>
        <v>-3.3280817146215717E-2</v>
      </c>
      <c r="JJ367" s="1">
        <f t="shared" si="1144"/>
        <v>0</v>
      </c>
      <c r="JK367" s="1">
        <f t="shared" si="1145"/>
        <v>9.8704788828889584E-3</v>
      </c>
      <c r="JL367" s="15">
        <f t="shared" si="1188"/>
        <v>19.010542328444135</v>
      </c>
      <c r="JM367" s="15">
        <f t="shared" si="1074"/>
        <v>1945.0105423284442</v>
      </c>
      <c r="JN367" s="21"/>
      <c r="JO367" s="19">
        <f>INDEX(Input!$1:$1048576,JO$93,$C367*2+6)</f>
        <v>5908.5</v>
      </c>
      <c r="JP367" s="19">
        <f>INDEX(Input!$1:$1048576,JP$93,$C367*2+6)</f>
        <v>3467.7694503767912</v>
      </c>
      <c r="JQ367" s="39">
        <f t="shared" ref="JQ367:JQ381" si="1196">JO367-JD367</f>
        <v>2486.2531072347019</v>
      </c>
      <c r="JR367" s="39">
        <f t="shared" si="1077"/>
        <v>-45.522557611493085</v>
      </c>
      <c r="JS367" s="39">
        <f t="shared" ref="JS367:JS381" si="1197">JM367*JD367/1000000</f>
        <v>6.6563062848792658</v>
      </c>
      <c r="JT367" s="39">
        <f t="shared" si="1189"/>
        <v>-2.2617676546434873E-2</v>
      </c>
      <c r="JU367" s="385">
        <f>(JQ367*JM367-INDEX(Input!$1:$1048576,Input!A$18,$C367*2+6)*JL367*INDEX(Input!$1:$1048576,Input!A$19,$C367*2+6))/1000000</f>
        <v>4.8357885044683471</v>
      </c>
      <c r="JV367" s="39">
        <f t="shared" si="1084"/>
        <v>0.13494146589404732</v>
      </c>
      <c r="JW367" s="1">
        <f t="shared" si="1075"/>
        <v>2.8705776807188593E-2</v>
      </c>
      <c r="JX367" s="19">
        <f t="shared" si="1066"/>
        <v>-1189.7438881895357</v>
      </c>
      <c r="JZ367" s="341"/>
      <c r="KA367" s="342"/>
      <c r="KB367" s="469">
        <f t="shared" ref="KB367:KB381" si="1198">KB366</f>
        <v>2.7822247002359868</v>
      </c>
      <c r="KI367" s="473">
        <f t="shared" si="1146"/>
        <v>125.59960096553067</v>
      </c>
      <c r="KJ367" s="473">
        <f t="shared" si="1147"/>
        <v>-35.564167919267788</v>
      </c>
      <c r="KK367" s="473">
        <f t="shared" si="1190"/>
        <v>-71.024890717818607</v>
      </c>
      <c r="KN367" s="544">
        <f t="shared" si="1067"/>
        <v>3002</v>
      </c>
      <c r="KO367" s="541">
        <f t="shared" si="1169"/>
        <v>-5.5854083335001303E-2</v>
      </c>
      <c r="KP367" s="546">
        <f t="shared" si="1170"/>
        <v>-188.27060320556257</v>
      </c>
      <c r="KQ367" s="546">
        <f t="shared" si="1171"/>
        <v>-298.83432556007483</v>
      </c>
      <c r="KR367" s="548">
        <f t="shared" si="1172"/>
        <v>4.7389692051076207</v>
      </c>
      <c r="KS367" s="548">
        <f t="shared" si="1173"/>
        <v>2.9856295428780517</v>
      </c>
      <c r="KT367" s="473">
        <f t="shared" ref="KT367:KT381" si="1199">KT366</f>
        <v>527.01264777847621</v>
      </c>
      <c r="KU367" s="663">
        <f t="shared" si="1191"/>
        <v>15.484638627504557</v>
      </c>
    </row>
    <row r="368" spans="1:308" s="26" customFormat="1" ht="15" outlineLevel="1">
      <c r="A368" s="561">
        <f t="shared" si="1174"/>
        <v>3068</v>
      </c>
      <c r="B368" s="561">
        <f t="shared" si="1192"/>
        <v>68</v>
      </c>
      <c r="C368" s="561">
        <f t="shared" si="1193"/>
        <v>3</v>
      </c>
      <c r="D368" s="561" t="str">
        <f t="shared" si="1123"/>
        <v xml:space="preserve">500 CC, 0.9/1.9/2.9/3.9, -360 Lease, </v>
      </c>
      <c r="E368" s="475">
        <f>INDEX(Input!$1:$1048576,E$93,$C368*2+MIN($B368,2)+5)
+INDEX(Scenarios!E$121:E$200,MATCH($B368,Scenarios!$B$121:$B$200,0))</f>
        <v>1750</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0</v>
      </c>
      <c r="R368" s="478">
        <f>IFERROR(MAX(0,INDEX(Input!$1:$1048576,R$93,$C368*2+MIN($B368,2)+5)
+INDEX(Scenarios!R$121:R$200,MATCH($B368,Scenarios!$B$121:$B$200,0)),),"Market")</f>
        <v>9.0000000000000011E-3</v>
      </c>
      <c r="S368" s="478">
        <f>IFERROR(MAX(0,INDEX(Input!$1:$1048576,S$93,$C368*2+MIN($B368,2)+5)
+INDEX(Scenarios!S$121:S$200,MATCH($B368,Scenarios!$B$121:$B$200,0)),),"Market")</f>
        <v>9.0000000000000011E-3</v>
      </c>
      <c r="T368" s="478">
        <f>IFERROR(MAX(0,INDEX(Input!$1:$1048576,T$93,$C368*2+MIN($B368,2)+5)
+INDEX(Scenarios!T$121:T$200,MATCH($B368,Scenarios!$B$121:$B$200,0)),),"Market")</f>
        <v>9.0000000000000011E-3</v>
      </c>
      <c r="U368" s="478">
        <f>IFERROR(MAX(0,INDEX(Input!$1:$1048576,U$93,$C368*2+MIN($B368,2)+5)
+INDEX(Scenarios!U$121:U$200,MATCH($B368,Scenarios!$B$121:$B$200,0)),),"Market")</f>
        <v>9.0000000000000011E-3</v>
      </c>
      <c r="V368" s="478">
        <f>IFERROR(MAX(0,INDEX(Input!$1:$1048576,V$93,$C368*2+MIN($B368,2)+5)
+INDEX(Scenarios!V$121:V$200,MATCH($B368,Scenarios!$B$121:$B$200,0)),),"Market")</f>
        <v>2.8999999999999998E-2</v>
      </c>
      <c r="W368" s="863">
        <f>IFERROR(MAX(0,INDEX(Input!$1:$1048576,W$93,$C368*2+MIN($B368,2)+5)-0%,),"Market")</f>
        <v>3.9000000000000007E-2</v>
      </c>
      <c r="X368" s="476" t="str">
        <f>INDEX(Input!$1:$1048576,X$93,$C368*2+MIN($B368,2)+5)</f>
        <v>Y</v>
      </c>
      <c r="Y368" s="475">
        <f>INDEX(Input!$1:$1048576,Y$93,$C368*2+MIN($B368,2)+5)
++INDEX(Scenarios!Y$121:Y$200,MATCH($B368,Scenarios!$B$121:$B$200,0))</f>
        <v>3748</v>
      </c>
      <c r="Z368" s="477">
        <f>INDEX(Input!$1:$1048576,Z$93,$C368*2+MIN($B368,2)+5)
+INDEX(Scenarios!Z$121:Z$200,MATCH($B368,Scenarios!$B$121:$B$200,0))</f>
        <v>0</v>
      </c>
      <c r="AA368" s="475">
        <f>INDEX(Input!$1:$1048576,AA$93,$C368*2+MIN($B368,2)+5)</f>
        <v>500</v>
      </c>
      <c r="AB368" s="476">
        <f>INDEX(Input!$1:$1048576,AB$93,$C368*2+MIN($B368,2)+5)</f>
        <v>0.62</v>
      </c>
      <c r="AC368" s="475">
        <f>INDEX(Input!$1:$1048576,AC$93,$C368*2+MIN($B368,2)+5)
+INDEX(Scenarios!AC$121:AC$200,MATCH($B368,Scenarios!$B$121:$B$200,0))</f>
        <v>0</v>
      </c>
      <c r="AD368" s="476">
        <f>INDEX(Input!$1:$1048576,AD$93,$C368*2+MIN($B368,2)+5)</f>
        <v>0.35</v>
      </c>
      <c r="AE368" s="475">
        <f>INDEX(Input!$1:$1048576,AE$93,$C368*2+MIN($B368,2)+5)
+INDEX(Scenarios!AE$121:AE$200,MATCH($B368,Scenarios!$B$121:$B$200,0))</f>
        <v>500</v>
      </c>
      <c r="AF368" s="476">
        <f>INDEX(Input!$1:$1048576,AF$93,$C368*2+MIN($B368,2)+5)</f>
        <v>0.97</v>
      </c>
      <c r="AG368" s="475">
        <f>INDEX(Input!$1:$1048576,AG$93,$C368*2+MIN($B368,2)+5)
+INDEX(Scenarios!AG$121:AG$200,MATCH($B368,Scenarios!$B$121:$B$200,0))</f>
        <v>0</v>
      </c>
      <c r="AH368" s="476">
        <f>INDEX(Input!$1:$1048576,AH$93,$C368*2+MIN($B368,2)+5)</f>
        <v>1</v>
      </c>
      <c r="AI368" s="475">
        <f>INDEX(Input!$1:$1048576,AI$93,$C368*2+MIN($B368,2)+5)
+INDEX(Scenarios!AI$121:AI$200,MATCH($B368,Scenarios!$B$121:$B$200,0))</f>
        <v>0</v>
      </c>
      <c r="AJ368" s="476">
        <f>INDEX(Input!$1:$1048576,AJ$93,$C368*2+MIN($B368,2)+5)</f>
        <v>0.35</v>
      </c>
      <c r="AK368" s="150">
        <f>ROUND(INDEX(Input!$1:$1048576,AK$93,$C367*2+MIN($B368,1)+5)+(Y368-VLOOKUP($C368*1000+1,$A:$HH,Y$92,FALSE)),0)</f>
        <v>4622</v>
      </c>
      <c r="AL368" s="150">
        <f>ROUND(INDEX(Input!$1:$1048576,AL$93,$C367*2+MIN($B368,1)+5)-(Y368-VLOOKUP($C368*1000+1,$A:$HH,Y$92,FALSE))/36,0)</f>
        <v>5112</v>
      </c>
      <c r="AM368" s="32" t="str">
        <f t="shared" si="1175"/>
        <v>std/std/std/std</v>
      </c>
      <c r="AN368" s="32" t="str">
        <f t="shared" si="1176"/>
        <v>$0 + 0.9/0.9/0.9/2.9/3.9</v>
      </c>
      <c r="AO368" s="32" t="str">
        <f t="shared" si="1177"/>
        <v>0.9/0.9/0.9/2.9/3.9</v>
      </c>
      <c r="AP368" s="32" t="str">
        <f t="shared" si="1125"/>
        <v>0.9/1.9/2.9/3.9</v>
      </c>
      <c r="AQ368" s="536">
        <f t="shared" si="1124"/>
        <v>485.33429882770639</v>
      </c>
      <c r="AR368" s="32"/>
      <c r="AS368" s="302"/>
      <c r="AT368" s="3">
        <f t="shared" si="1194"/>
        <v>68</v>
      </c>
      <c r="AU368" s="41" t="s">
        <v>121</v>
      </c>
      <c r="AV368" s="41" t="s">
        <v>116</v>
      </c>
      <c r="AW368" s="41" t="str">
        <f>INDEX(Input!$1:$1048576,AW$93,$C368*2+6)</f>
        <v>Kia</v>
      </c>
      <c r="AX368" s="41" t="str">
        <f>INDEX(Input!$1:$1048576,AX$93,$C368*2+6)</f>
        <v>Kia-LR - L3</v>
      </c>
      <c r="AY368" s="41" t="str">
        <f>IF(LEN(D368)=0,"",INDEX(Input!$1:$1048576,AY$93,$C368*2+6))</f>
        <v>Compact Conventional/Sporty Car (43)</v>
      </c>
      <c r="AZ368" s="41" t="str">
        <f>INDEX(Input!$1:$1048576,AZ$93,$C368*2+6)</f>
        <v>Kia Forte</v>
      </c>
      <c r="BA368" s="3">
        <f>INDEX(Input!$1:$1048576,BA$93,$C368*2+6)</f>
        <v>2020</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19695</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1126"/>
        <v>1750</v>
      </c>
      <c r="CJ368" s="16" t="str">
        <f>INDEX(Input!$1:$1048576,CJ$93,$C368*2+6)</f>
        <v>N</v>
      </c>
      <c r="CK368" s="1" t="str">
        <f t="shared" si="1127"/>
        <v>Market</v>
      </c>
      <c r="CL368" s="1" t="str">
        <f t="shared" si="1128"/>
        <v>Market</v>
      </c>
      <c r="CM368" s="1" t="str">
        <f t="shared" si="1129"/>
        <v>Market</v>
      </c>
      <c r="CN368" s="1" t="str">
        <f t="shared" si="1130"/>
        <v>Market</v>
      </c>
      <c r="CO368" s="1" t="str">
        <f t="shared" si="1131"/>
        <v>Market</v>
      </c>
      <c r="CP368" s="304">
        <f t="shared" si="1132"/>
        <v>310</v>
      </c>
      <c r="CQ368" s="1">
        <f t="shared" si="1133"/>
        <v>9.0000000000000011E-3</v>
      </c>
      <c r="CR368" s="1">
        <f t="shared" si="1134"/>
        <v>9.0000000000000011E-3</v>
      </c>
      <c r="CS368" s="1">
        <f t="shared" si="1135"/>
        <v>9.0000000000000011E-3</v>
      </c>
      <c r="CT368" s="1">
        <f t="shared" si="1136"/>
        <v>2.8999999999999998E-2</v>
      </c>
      <c r="CU368" s="1">
        <f t="shared" si="1137"/>
        <v>3.9000000000000007E-2</v>
      </c>
      <c r="CV368" s="304">
        <f t="shared" si="1138"/>
        <v>4233</v>
      </c>
      <c r="CW368" s="20" t="s">
        <v>122</v>
      </c>
      <c r="CX368" s="20" t="s">
        <v>122</v>
      </c>
      <c r="CY368" s="20" t="s">
        <v>122</v>
      </c>
      <c r="CZ368" s="20" t="s">
        <v>122</v>
      </c>
      <c r="DA368" s="20" t="s">
        <v>122</v>
      </c>
      <c r="DB368" s="503">
        <f t="shared" si="1139"/>
        <v>0</v>
      </c>
      <c r="DC368" s="127">
        <v>0</v>
      </c>
      <c r="DD368" s="127">
        <v>0</v>
      </c>
      <c r="DE368" s="127">
        <v>0</v>
      </c>
      <c r="DF368" s="127">
        <v>0</v>
      </c>
      <c r="DG368" s="127">
        <v>0</v>
      </c>
      <c r="DH368" s="127">
        <v>0</v>
      </c>
      <c r="DI368" s="127">
        <v>0</v>
      </c>
      <c r="DJ368" s="127">
        <v>0</v>
      </c>
      <c r="DK368" s="127">
        <v>0</v>
      </c>
      <c r="DL368" s="127">
        <v>0</v>
      </c>
      <c r="DM368" s="304">
        <f>INDEX(Input!$1:$1048576,DM$93,$C368*2+6)</f>
        <v>20731.578947368424</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3.7466281058381672E-2</v>
      </c>
      <c r="DZ368" s="7">
        <v>0</v>
      </c>
      <c r="EA368" s="7">
        <v>0.65738526500450112</v>
      </c>
      <c r="EB368" s="7">
        <v>0</v>
      </c>
      <c r="EC368" s="7">
        <v>0</v>
      </c>
      <c r="ED368" s="7">
        <v>0</v>
      </c>
      <c r="EE368" s="7">
        <v>0</v>
      </c>
      <c r="EF368" s="7">
        <v>0</v>
      </c>
      <c r="EG368" s="7">
        <v>0</v>
      </c>
      <c r="EH368" s="7">
        <v>1.7467262493138107E-2</v>
      </c>
      <c r="EI368" s="7">
        <v>2.07062595064894E-2</v>
      </c>
      <c r="EJ368" s="7">
        <v>0.28090273247630759</v>
      </c>
      <c r="EK368" s="7">
        <v>0.6054538840755076</v>
      </c>
      <c r="EL368" s="7">
        <v>7.5469861448557232E-2</v>
      </c>
      <c r="EM368" s="7">
        <v>3.0826408151748218E-2</v>
      </c>
      <c r="EN368" s="7">
        <v>5.7659778106774813E-2</v>
      </c>
      <c r="EO368" s="7">
        <v>0.56931800922069564</v>
      </c>
      <c r="EP368" s="7">
        <v>0.27223179348574278</v>
      </c>
      <c r="EQ368" s="7">
        <v>5.9840818106432825E-2</v>
      </c>
      <c r="ER368" s="7">
        <v>4.0949601080353941E-2</v>
      </c>
      <c r="ES368" s="7">
        <v>0.27432204578536901</v>
      </c>
      <c r="ET368" s="7">
        <v>0.30514845393711726</v>
      </c>
      <c r="EU368" s="6">
        <v>2100</v>
      </c>
      <c r="EV368" s="6">
        <v>0</v>
      </c>
      <c r="EW368" s="6">
        <v>2100</v>
      </c>
      <c r="EX368" s="6">
        <v>0</v>
      </c>
      <c r="EY368" s="6">
        <v>2206.1950351883224</v>
      </c>
      <c r="EZ368" s="6">
        <v>3276</v>
      </c>
      <c r="FA368" s="6">
        <v>0</v>
      </c>
      <c r="FB368" s="6">
        <v>0</v>
      </c>
      <c r="FC368" s="6">
        <v>0</v>
      </c>
      <c r="FD368" s="6">
        <v>0</v>
      </c>
      <c r="FE368" s="6">
        <v>0</v>
      </c>
      <c r="FF368" s="6">
        <v>0</v>
      </c>
      <c r="FG368" s="6">
        <v>0</v>
      </c>
      <c r="FH368" s="6">
        <v>926.39253407326271</v>
      </c>
      <c r="FI368" s="6">
        <v>1232.1164465304234</v>
      </c>
      <c r="FJ368" s="6">
        <v>1709.9775738488459</v>
      </c>
      <c r="FK368" s="6">
        <v>1266.3227157028186</v>
      </c>
      <c r="FL368" s="6">
        <v>893.91433563489386</v>
      </c>
      <c r="FM368" s="6">
        <v>1356.1950351883222</v>
      </c>
      <c r="FN368" s="6">
        <v>0</v>
      </c>
      <c r="FO368" s="6">
        <v>0</v>
      </c>
      <c r="FP368" s="6">
        <v>0</v>
      </c>
      <c r="FQ368" s="6">
        <v>0</v>
      </c>
      <c r="FR368" s="6">
        <v>0</v>
      </c>
      <c r="FS368" s="6">
        <v>0</v>
      </c>
      <c r="FT368" s="7">
        <v>0.6948515460628828</v>
      </c>
      <c r="FU368" s="7">
        <v>3.0826408151748218E-2</v>
      </c>
      <c r="FV368" s="7">
        <v>0.27432204578536901</v>
      </c>
      <c r="FW368" s="6">
        <v>2100</v>
      </c>
      <c r="FX368" s="6">
        <v>2206.1950351883224</v>
      </c>
      <c r="FY368" s="6">
        <v>3276</v>
      </c>
      <c r="FZ368" s="6">
        <v>2202.331475193394</v>
      </c>
      <c r="GA368" s="6">
        <v>2425.8763373419988</v>
      </c>
      <c r="GB368" s="6">
        <v>17269.123662657999</v>
      </c>
      <c r="GC368" s="7">
        <v>4.8391397220736806E-2</v>
      </c>
      <c r="GD368" s="7">
        <v>4.9822422870070875E-2</v>
      </c>
      <c r="GE368" s="7"/>
      <c r="GF368" s="7"/>
      <c r="GG368" s="7">
        <v>2.9571901856986292E-2</v>
      </c>
      <c r="GH368" s="42">
        <v>2.6053768423725772</v>
      </c>
      <c r="GI368" s="6">
        <v>9985.2434429714522</v>
      </c>
      <c r="GJ368" s="14">
        <v>0.5107463060103955</v>
      </c>
      <c r="GK368" s="14">
        <v>0.50829519786160982</v>
      </c>
      <c r="GL368" s="14">
        <v>0.48925369398960444</v>
      </c>
      <c r="GM368" s="14">
        <v>0.49170480213839041</v>
      </c>
      <c r="GO368" s="5">
        <v>338.16872463277008</v>
      </c>
      <c r="GP368" s="5">
        <v>298.1047308538179</v>
      </c>
      <c r="GQ368" s="5">
        <v>527.27910984145694</v>
      </c>
      <c r="GR368" s="5">
        <v>404.20319246551543</v>
      </c>
      <c r="GS368" s="5">
        <v>334.50205195691484</v>
      </c>
      <c r="GT368" s="5">
        <v>289.18266033348181</v>
      </c>
      <c r="GU368" s="5">
        <v>254.29573314828914</v>
      </c>
      <c r="GV368" s="39" t="s">
        <v>392</v>
      </c>
      <c r="GW368" s="5">
        <v>475.29643226912253</v>
      </c>
      <c r="GX368" s="5">
        <v>358.07100736083845</v>
      </c>
      <c r="GY368" s="5">
        <v>287.73954748358943</v>
      </c>
      <c r="GZ368" s="5">
        <v>255.64660634518972</v>
      </c>
      <c r="HA368" s="5">
        <v>229.8919505212948</v>
      </c>
      <c r="HB368" s="39">
        <v>268.67540829069503</v>
      </c>
      <c r="HC368" s="5">
        <v>139.79062499999998</v>
      </c>
      <c r="HD368" s="5">
        <v>138.50060307017537</v>
      </c>
      <c r="HE368" s="5">
        <v>146.64128289473683</v>
      </c>
      <c r="HF368" s="5">
        <v>141.94567434210524</v>
      </c>
      <c r="HG368" s="5">
        <v>144.78493421052633</v>
      </c>
      <c r="HH368" s="39">
        <v>141.25463405383698</v>
      </c>
      <c r="HI368" s="16"/>
      <c r="HJ368" s="19" t="str">
        <f t="shared" ref="HJ368" si="1200">HJ367</f>
        <v>On</v>
      </c>
      <c r="HK368" s="1" t="str">
        <f t="shared" si="1195"/>
        <v>On</v>
      </c>
      <c r="HL368" s="16"/>
      <c r="HM368" s="639">
        <f t="shared" si="1151"/>
        <v>2.8970655363290673E-2</v>
      </c>
      <c r="HN368" s="639">
        <f t="shared" si="1152"/>
        <v>2.1835179285533651E-3</v>
      </c>
      <c r="HO368" s="639">
        <f t="shared" si="1153"/>
        <v>1.5544129749146325E-2</v>
      </c>
      <c r="HP368" s="644">
        <f>(FT368*$GD368-HM368)/$JF368*INDEX(Input!$1:$1048576,$JG$93,$C368*2+6)</f>
        <v>232.9650608729315</v>
      </c>
      <c r="HQ368" s="644">
        <f>(FU368*$GD368-HN368)/$JF368*INDEX(Input!$1:$1048576,$JG$93,$C368*2+6)</f>
        <v>-26.712222789774</v>
      </c>
      <c r="HR368" s="644">
        <f>(FV368*$GD368-HO368)/$JF368*INDEX(Input!$1:$1048576,$JG$93,$C368*2+6)</f>
        <v>-77.403299684996156</v>
      </c>
      <c r="HS368" s="644">
        <f t="shared" si="1141"/>
        <v>-62.23305699609967</v>
      </c>
      <c r="HT368" s="644">
        <f t="shared" si="1154"/>
        <v>-13.53392213535591</v>
      </c>
      <c r="HU368" s="644">
        <f t="shared" si="1155"/>
        <v>-5.6026987383336344</v>
      </c>
      <c r="HV368" s="648">
        <f t="shared" si="1156"/>
        <v>0</v>
      </c>
      <c r="HW368" s="648">
        <f t="shared" si="1157"/>
        <v>0</v>
      </c>
      <c r="HX368" s="648">
        <f t="shared" si="1158"/>
        <v>0</v>
      </c>
      <c r="HY368" s="644">
        <f>INDEX(Input!$1:$1048576,HY$93,$C368*2+6)*INDEX(Input!$1:$1048576,$JG$93,$C368*2+6)</f>
        <v>488.99999999999994</v>
      </c>
      <c r="HZ368" s="644">
        <f>INDEX(Input!$1:$1048576,HZ$93,$C368*2+6)*INDEX(Input!$1:$1048576,$JG$93,$C368*2+6)</f>
        <v>734</v>
      </c>
      <c r="IA368" s="644">
        <f>INDEX(Input!$1:$1048576,IA$93,$C368*2+6)*INDEX(Input!$1:$1048576,$JG$93,$C368*2+6)</f>
        <v>703</v>
      </c>
      <c r="IB368" s="644">
        <f t="shared" si="1179"/>
        <v>659.73200387683198</v>
      </c>
      <c r="IC368" s="644">
        <f t="shared" si="1180"/>
        <v>693.75385507486999</v>
      </c>
      <c r="ID368" s="644">
        <f>IF(AND(INDEX(Input!$1:$1048576,IA$93,$C368*2+7)="TOS",Y368&lt;=INDEX(Y:Y,MATCH(C368*1000+2,A:A))),0,1)*MAX(IA368+HR368+HU368+HX368,0%)</f>
        <v>619.99400157667026</v>
      </c>
      <c r="IE368" s="128">
        <f t="shared" si="1142"/>
        <v>0.33429882770640373</v>
      </c>
      <c r="IF368" s="128">
        <f t="shared" si="1143"/>
        <v>0.3515383505809514</v>
      </c>
      <c r="IG368" s="128">
        <f t="shared" si="1159"/>
        <v>0.31416282171264487</v>
      </c>
      <c r="IH368" s="21"/>
      <c r="II368" s="19">
        <f t="shared" si="1160"/>
        <v>1200</v>
      </c>
      <c r="IJ368" s="19">
        <f t="shared" si="1161"/>
        <v>2224.493581030405</v>
      </c>
      <c r="IK368" s="19">
        <f t="shared" si="1162"/>
        <v>3451.75</v>
      </c>
      <c r="IL368" s="19">
        <f t="shared" si="1181"/>
        <v>900</v>
      </c>
      <c r="IM368" s="19">
        <f t="shared" si="1163"/>
        <v>-18.298545842082603</v>
      </c>
      <c r="IN368" s="19">
        <f t="shared" si="1164"/>
        <v>-175.75</v>
      </c>
      <c r="IO368" s="39">
        <f t="shared" si="1165"/>
        <v>0</v>
      </c>
      <c r="IP368" s="39">
        <f t="shared" si="1166"/>
        <v>0</v>
      </c>
      <c r="IQ368" s="39">
        <f t="shared" si="1167"/>
        <v>0</v>
      </c>
      <c r="IR368" s="39">
        <v>0</v>
      </c>
      <c r="IS368" s="39">
        <v>0</v>
      </c>
      <c r="IT368" s="39">
        <v>0</v>
      </c>
      <c r="IU368" s="39">
        <v>0</v>
      </c>
      <c r="IV368" s="39">
        <v>0</v>
      </c>
      <c r="IW368" s="39">
        <v>0</v>
      </c>
      <c r="IX368" s="39">
        <f>INDEX(Input!$1:$1048576,IX$93,$C368*2+6)+INDEX(Input!$1:$1048576,IX$94,$C368*2+6)</f>
        <v>1600</v>
      </c>
      <c r="IY368" s="39">
        <f>INDEX(Input!$1:$1048576,IY$93,$C368*2+6)+INDEX(Input!$1:$1048576,IY$94,$C368*2+6)</f>
        <v>2503.5492916397525</v>
      </c>
      <c r="IZ368" s="39">
        <f>INDEX(Input!$1:$1048576,IZ$93,$C368*2+6)+INDEX(Input!$1:$1048576,IZ$94,$C368*2+6)</f>
        <v>5773.7109265464023</v>
      </c>
      <c r="JA368" s="19">
        <f t="shared" si="1182"/>
        <v>2500</v>
      </c>
      <c r="JB368" s="19">
        <f t="shared" si="1183"/>
        <v>2485.2507457976699</v>
      </c>
      <c r="JC368" s="19">
        <f t="shared" si="1184"/>
        <v>5597.9609265464023</v>
      </c>
      <c r="JD368" s="19">
        <f t="shared" si="1185"/>
        <v>3468.0792177447511</v>
      </c>
      <c r="JE368" s="21"/>
      <c r="JF368" s="1">
        <f t="shared" si="1168"/>
        <v>4.6698303040990354E-2</v>
      </c>
      <c r="JG368" s="15">
        <f>INDEX(Input!$1:$1048576,JG$93,$C368*2+6)/(1+VLOOKUP(C368*1000+INDEX(Input!$1:$1048576,JG$93+1,$C368*2+6),$A:$KK,$JK$92,FALSE))</f>
        <v>1926</v>
      </c>
      <c r="JH368" s="1">
        <f t="shared" si="1186"/>
        <v>6.6900071857820029E-2</v>
      </c>
      <c r="JI368" s="1">
        <f t="shared" si="1187"/>
        <v>-4.2248015508717145E-2</v>
      </c>
      <c r="JJ368" s="1">
        <f t="shared" si="1144"/>
        <v>0</v>
      </c>
      <c r="JK368" s="1">
        <f t="shared" si="1145"/>
        <v>2.4652056349102884E-2</v>
      </c>
      <c r="JL368" s="15">
        <f t="shared" si="1188"/>
        <v>47.479860528372157</v>
      </c>
      <c r="JM368" s="15">
        <f t="shared" si="1074"/>
        <v>1973.4798605283722</v>
      </c>
      <c r="JN368" s="21"/>
      <c r="JO368" s="19">
        <f>INDEX(Input!$1:$1048576,JO$93,$C368*2+6)</f>
        <v>5908.5</v>
      </c>
      <c r="JP368" s="19">
        <f>INDEX(Input!$1:$1048576,JP$93,$C368*2+6)</f>
        <v>3467.7694503767912</v>
      </c>
      <c r="JQ368" s="39">
        <f t="shared" si="1196"/>
        <v>2440.4207822552489</v>
      </c>
      <c r="JR368" s="39">
        <f t="shared" si="1077"/>
        <v>0.3097673679599211</v>
      </c>
      <c r="JS368" s="39">
        <f t="shared" si="1197"/>
        <v>6.8441844909362581</v>
      </c>
      <c r="JT368" s="39">
        <f t="shared" si="1189"/>
        <v>0.16526052951055764</v>
      </c>
      <c r="JU368" s="385">
        <f>(JQ368*JM368-INDEX(Input!$1:$1048576,Input!A$18,$C368*2+6)*JL368*INDEX(Input!$1:$1048576,Input!A$19,$C368*2+6))/1000000</f>
        <v>4.8161212649956298</v>
      </c>
      <c r="JV368" s="39">
        <f t="shared" si="1084"/>
        <v>0.11527422642133001</v>
      </c>
      <c r="JW368" s="1">
        <f t="shared" si="1075"/>
        <v>2.4522011772646627E-2</v>
      </c>
      <c r="JX368" s="19">
        <f t="shared" ref="JX368:JX381" si="1201">IF(JL368=0,0,JT368/JL368)*1000000</f>
        <v>3480.6447970040736</v>
      </c>
      <c r="JZ368" s="341"/>
      <c r="KA368" s="342"/>
      <c r="KB368" s="469">
        <f t="shared" si="1198"/>
        <v>2.7822247002359868</v>
      </c>
      <c r="KI368" s="473">
        <f t="shared" si="1146"/>
        <v>170.73200387683204</v>
      </c>
      <c r="KJ368" s="473">
        <f t="shared" si="1147"/>
        <v>-40.246144925130011</v>
      </c>
      <c r="KK368" s="473">
        <f t="shared" si="1190"/>
        <v>-83.005998423329743</v>
      </c>
      <c r="KN368" s="544">
        <f t="shared" ref="KN368:KN381" si="1202">KM368+(KN367-KM367)</f>
        <v>3002</v>
      </c>
      <c r="KO368" s="541">
        <f t="shared" si="1169"/>
        <v>-4.2034523006798441E-2</v>
      </c>
      <c r="KP368" s="546">
        <f t="shared" si="1170"/>
        <v>-93.032172703635041</v>
      </c>
      <c r="KQ368" s="546">
        <f t="shared" si="1171"/>
        <v>-253.00200058062183</v>
      </c>
      <c r="KR368" s="548">
        <f t="shared" si="1172"/>
        <v>7.2174607667826303</v>
      </c>
      <c r="KS368" s="548">
        <f t="shared" si="1173"/>
        <v>2.6539555220752695</v>
      </c>
      <c r="KT368" s="473">
        <f t="shared" si="1199"/>
        <v>527.01264777847621</v>
      </c>
      <c r="KU368" s="663">
        <f t="shared" si="1191"/>
        <v>15.586780757441646</v>
      </c>
    </row>
    <row r="369" spans="1:307" s="26" customFormat="1" ht="15" outlineLevel="1">
      <c r="A369" s="561">
        <f t="shared" si="1174"/>
        <v>3069</v>
      </c>
      <c r="B369" s="561">
        <f t="shared" si="1192"/>
        <v>69</v>
      </c>
      <c r="C369" s="561">
        <f t="shared" si="1193"/>
        <v>3</v>
      </c>
      <c r="D369" s="561" t="str">
        <f t="shared" si="1123"/>
        <v xml:space="preserve">500 CC, 180 Lease, </v>
      </c>
      <c r="E369" s="475">
        <f>INDEX(Input!$1:$1048576,E$93,$C369*2+MIN($B369,2)+5)
+INDEX(Scenarios!E$121:E$200,MATCH($B369,Scenarios!$B$121:$B$200,0))</f>
        <v>1750</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1.9E-2</v>
      </c>
      <c r="W369" s="863">
        <f>IFERROR(MAX(0,INDEX(Input!$1:$1048576,W$93,$C369*2+MIN($B369,2)+5)-0%,),"Market")</f>
        <v>3.9000000000000007E-2</v>
      </c>
      <c r="X369" s="476" t="str">
        <f>INDEX(Input!$1:$1048576,X$93,$C369*2+MIN($B369,2)+5)</f>
        <v>Y</v>
      </c>
      <c r="Y369" s="475">
        <f>INDEX(Input!$1:$1048576,Y$93,$C369*2+MIN($B369,2)+5)
++INDEX(Scenarios!Y$121:Y$200,MATCH($B369,Scenarios!$B$121:$B$200,0))</f>
        <v>4288</v>
      </c>
      <c r="Z369" s="477">
        <f>INDEX(Input!$1:$1048576,Z$93,$C369*2+MIN($B369,2)+5)
+INDEX(Scenarios!Z$121:Z$200,MATCH($B369,Scenarios!$B$121:$B$200,0))</f>
        <v>0</v>
      </c>
      <c r="AA369" s="475">
        <f>INDEX(Input!$1:$1048576,AA$93,$C369*2+MIN($B369,2)+5)</f>
        <v>500</v>
      </c>
      <c r="AB369" s="476">
        <f>INDEX(Input!$1:$1048576,AB$93,$C369*2+MIN($B369,2)+5)</f>
        <v>0.62</v>
      </c>
      <c r="AC369" s="475">
        <f>INDEX(Input!$1:$1048576,AC$93,$C369*2+MIN($B369,2)+5)
+INDEX(Scenarios!AC$121:AC$200,MATCH($B369,Scenarios!$B$121:$B$200,0))</f>
        <v>0</v>
      </c>
      <c r="AD369" s="476">
        <f>INDEX(Input!$1:$1048576,AD$93,$C369*2+MIN($B369,2)+5)</f>
        <v>0.35</v>
      </c>
      <c r="AE369" s="475">
        <f>INDEX(Input!$1:$1048576,AE$93,$C369*2+MIN($B369,2)+5)
+INDEX(Scenarios!AE$121:AE$200,MATCH($B369,Scenarios!$B$121:$B$200,0))</f>
        <v>500</v>
      </c>
      <c r="AF369" s="476">
        <f>INDEX(Input!$1:$1048576,AF$93,$C369*2+MIN($B369,2)+5)</f>
        <v>0.97</v>
      </c>
      <c r="AG369" s="475">
        <f>INDEX(Input!$1:$1048576,AG$93,$C369*2+MIN($B369,2)+5)
+INDEX(Scenarios!AG$121:AG$200,MATCH($B369,Scenarios!$B$121:$B$200,0))</f>
        <v>0</v>
      </c>
      <c r="AH369" s="476">
        <f>INDEX(Input!$1:$1048576,AH$93,$C369*2+MIN($B369,2)+5)</f>
        <v>1</v>
      </c>
      <c r="AI369" s="475">
        <f>INDEX(Input!$1:$1048576,AI$93,$C369*2+MIN($B369,2)+5)
+INDEX(Scenarios!AI$121:AI$200,MATCH($B369,Scenarios!$B$121:$B$200,0))</f>
        <v>0</v>
      </c>
      <c r="AJ369" s="476">
        <f>INDEX(Input!$1:$1048576,AJ$93,$C369*2+MIN($B369,2)+5)</f>
        <v>0.35</v>
      </c>
      <c r="AK369" s="150">
        <f>ROUND(INDEX(Input!$1:$1048576,AK$93,$C368*2+MIN($B369,1)+5)+(Y369-VLOOKUP($C369*1000+1,$A:$HH,Y$92,FALSE)),0)</f>
        <v>5162</v>
      </c>
      <c r="AL369" s="150">
        <f>ROUND(INDEX(Input!$1:$1048576,AL$93,$C368*2+MIN($B369,1)+5)-(Y369-VLOOKUP($C369*1000+1,$A:$HH,Y$92,FALSE))/36,0)</f>
        <v>5097</v>
      </c>
      <c r="AM369" s="32" t="str">
        <f t="shared" si="1175"/>
        <v>std/std/std/std</v>
      </c>
      <c r="AN369" s="32" t="str">
        <f t="shared" si="1176"/>
        <v>$0 + 0/0/0/1.9/3.9</v>
      </c>
      <c r="AO369" s="32" t="str">
        <f t="shared" si="1177"/>
        <v>0/0/0/1.9/3.9</v>
      </c>
      <c r="AP369" s="32" t="str">
        <f t="shared" si="1125"/>
        <v>0/0.9/1.9/3.9</v>
      </c>
      <c r="AQ369" s="536">
        <f t="shared" si="1124"/>
        <v>485.2852956782163</v>
      </c>
      <c r="AR369" s="32"/>
      <c r="AS369" s="302"/>
      <c r="AT369" s="3">
        <f t="shared" si="1194"/>
        <v>69</v>
      </c>
      <c r="AU369" s="41" t="s">
        <v>121</v>
      </c>
      <c r="AV369" s="41" t="s">
        <v>116</v>
      </c>
      <c r="AW369" s="41" t="str">
        <f>INDEX(Input!$1:$1048576,AW$93,$C369*2+6)</f>
        <v>Kia</v>
      </c>
      <c r="AX369" s="41" t="str">
        <f>INDEX(Input!$1:$1048576,AX$93,$C369*2+6)</f>
        <v>Kia-LR - L3</v>
      </c>
      <c r="AY369" s="41" t="str">
        <f>IF(LEN(D369)=0,"",INDEX(Input!$1:$1048576,AY$93,$C369*2+6))</f>
        <v>Compact Conventional/Sporty Car (43)</v>
      </c>
      <c r="AZ369" s="41" t="str">
        <f>INDEX(Input!$1:$1048576,AZ$93,$C369*2+6)</f>
        <v>Kia Forte</v>
      </c>
      <c r="BA369" s="3">
        <f>INDEX(Input!$1:$1048576,BA$93,$C369*2+6)</f>
        <v>2020</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19695</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1126"/>
        <v>1750</v>
      </c>
      <c r="CJ369" s="16" t="str">
        <f>INDEX(Input!$1:$1048576,CJ$93,$C369*2+6)</f>
        <v>N</v>
      </c>
      <c r="CK369" s="1" t="str">
        <f t="shared" si="1127"/>
        <v>Market</v>
      </c>
      <c r="CL369" s="1" t="str">
        <f t="shared" si="1128"/>
        <v>Market</v>
      </c>
      <c r="CM369" s="1" t="str">
        <f t="shared" si="1129"/>
        <v>Market</v>
      </c>
      <c r="CN369" s="1" t="str">
        <f t="shared" si="1130"/>
        <v>Market</v>
      </c>
      <c r="CO369" s="1" t="str">
        <f t="shared" si="1131"/>
        <v>Market</v>
      </c>
      <c r="CP369" s="304">
        <f t="shared" si="1132"/>
        <v>310</v>
      </c>
      <c r="CQ369" s="1">
        <f t="shared" si="1133"/>
        <v>0</v>
      </c>
      <c r="CR369" s="1">
        <f t="shared" si="1134"/>
        <v>0</v>
      </c>
      <c r="CS369" s="1">
        <f t="shared" si="1135"/>
        <v>0</v>
      </c>
      <c r="CT369" s="1">
        <f t="shared" si="1136"/>
        <v>1.9E-2</v>
      </c>
      <c r="CU369" s="1">
        <f t="shared" si="1137"/>
        <v>3.9000000000000007E-2</v>
      </c>
      <c r="CV369" s="304">
        <f t="shared" si="1138"/>
        <v>4773</v>
      </c>
      <c r="CW369" s="20" t="s">
        <v>122</v>
      </c>
      <c r="CX369" s="20" t="s">
        <v>122</v>
      </c>
      <c r="CY369" s="20" t="s">
        <v>122</v>
      </c>
      <c r="CZ369" s="20" t="s">
        <v>122</v>
      </c>
      <c r="DA369" s="20" t="s">
        <v>122</v>
      </c>
      <c r="DB369" s="503">
        <f t="shared" si="1139"/>
        <v>0</v>
      </c>
      <c r="DC369" s="127">
        <v>0</v>
      </c>
      <c r="DD369" s="127">
        <v>0</v>
      </c>
      <c r="DE369" s="127">
        <v>0</v>
      </c>
      <c r="DF369" s="127">
        <v>0</v>
      </c>
      <c r="DG369" s="127">
        <v>0</v>
      </c>
      <c r="DH369" s="127">
        <v>0</v>
      </c>
      <c r="DI369" s="127">
        <v>0</v>
      </c>
      <c r="DJ369" s="127">
        <v>0</v>
      </c>
      <c r="DK369" s="127">
        <v>0</v>
      </c>
      <c r="DL369" s="127">
        <v>0</v>
      </c>
      <c r="DM369" s="304">
        <f>INDEX(Input!$1:$1048576,DM$93,$C369*2+6)</f>
        <v>20731.578947368424</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3.5147059574396483E-2</v>
      </c>
      <c r="DZ369" s="7">
        <v>0</v>
      </c>
      <c r="EA369" s="7">
        <v>0.61729016425437677</v>
      </c>
      <c r="EB369" s="7">
        <v>0</v>
      </c>
      <c r="EC369" s="7">
        <v>0</v>
      </c>
      <c r="ED369" s="7">
        <v>0</v>
      </c>
      <c r="EE369" s="7">
        <v>0</v>
      </c>
      <c r="EF369" s="7">
        <v>0</v>
      </c>
      <c r="EG369" s="7">
        <v>0</v>
      </c>
      <c r="EH369" s="7">
        <v>1.4135534061884477E-2</v>
      </c>
      <c r="EI369" s="7">
        <v>1.7906043985436368E-2</v>
      </c>
      <c r="EJ369" s="7">
        <v>0.25770085294425632</v>
      </c>
      <c r="EK369" s="7">
        <v>0.65939189131965859</v>
      </c>
      <c r="EL369" s="7">
        <v>5.0865677688764162E-2</v>
      </c>
      <c r="EM369" s="7">
        <v>4.2705867632307278E-2</v>
      </c>
      <c r="EN369" s="7">
        <v>5.9571987319108996E-2</v>
      </c>
      <c r="EO369" s="7">
        <v>0.56741374515464937</v>
      </c>
      <c r="EP369" s="7">
        <v>0.27505523089420836</v>
      </c>
      <c r="EQ369" s="7">
        <v>5.8132430820583114E-2</v>
      </c>
      <c r="ER369" s="7">
        <v>3.9826605811450165E-2</v>
      </c>
      <c r="ES369" s="7">
        <v>0.30485690853891945</v>
      </c>
      <c r="ET369" s="7">
        <v>0.34756277617122672</v>
      </c>
      <c r="EU369" s="6">
        <v>2100</v>
      </c>
      <c r="EV369" s="6">
        <v>0</v>
      </c>
      <c r="EW369" s="6">
        <v>2100</v>
      </c>
      <c r="EX369" s="6">
        <v>0</v>
      </c>
      <c r="EY369" s="6">
        <v>2624.7861479725075</v>
      </c>
      <c r="EZ369" s="6">
        <v>3816</v>
      </c>
      <c r="FA369" s="6">
        <v>0</v>
      </c>
      <c r="FB369" s="6">
        <v>0</v>
      </c>
      <c r="FC369" s="6">
        <v>0</v>
      </c>
      <c r="FD369" s="6">
        <v>0</v>
      </c>
      <c r="FE369" s="6">
        <v>0</v>
      </c>
      <c r="FF369" s="6">
        <v>0</v>
      </c>
      <c r="FG369" s="6">
        <v>0</v>
      </c>
      <c r="FH369" s="6">
        <v>1154.3252242975091</v>
      </c>
      <c r="FI369" s="6">
        <v>1531.4299904380628</v>
      </c>
      <c r="FJ369" s="6">
        <v>2070.7205842538224</v>
      </c>
      <c r="FK369" s="6">
        <v>1746.9903521590436</v>
      </c>
      <c r="FL369" s="6">
        <v>893.91433563489386</v>
      </c>
      <c r="FM369" s="6">
        <v>1774.7861479725075</v>
      </c>
      <c r="FN369" s="6">
        <v>0</v>
      </c>
      <c r="FO369" s="6">
        <v>0</v>
      </c>
      <c r="FP369" s="6">
        <v>0</v>
      </c>
      <c r="FQ369" s="6">
        <v>0</v>
      </c>
      <c r="FR369" s="6">
        <v>0</v>
      </c>
      <c r="FS369" s="6">
        <v>0</v>
      </c>
      <c r="FT369" s="7">
        <v>0.65243722382877323</v>
      </c>
      <c r="FU369" s="7">
        <v>4.2705867632307278E-2</v>
      </c>
      <c r="FV369" s="7">
        <v>0.30485690853891945</v>
      </c>
      <c r="FW369" s="6">
        <v>2100</v>
      </c>
      <c r="FX369" s="6">
        <v>2624.7861479725075</v>
      </c>
      <c r="FY369" s="6">
        <v>3816</v>
      </c>
      <c r="FZ369" s="6">
        <v>2202.331475193394</v>
      </c>
      <c r="GA369" s="6">
        <v>2645.5459028233681</v>
      </c>
      <c r="GB369" s="6">
        <v>17049.454097176633</v>
      </c>
      <c r="GC369" s="7">
        <v>4.8391397220736806E-2</v>
      </c>
      <c r="GD369" s="7">
        <v>5.1316765878861116E-2</v>
      </c>
      <c r="GE369" s="7"/>
      <c r="GF369" s="7"/>
      <c r="GG369" s="7">
        <v>6.0452246187070686E-2</v>
      </c>
      <c r="GH369" s="42">
        <v>2.6863001617996916</v>
      </c>
      <c r="GI369" s="6">
        <v>9977.1912193338303</v>
      </c>
      <c r="GJ369" s="14">
        <v>0.51074630601039572</v>
      </c>
      <c r="GK369" s="14">
        <v>0.50829519786160982</v>
      </c>
      <c r="GL369" s="14">
        <v>0.48925369398960439</v>
      </c>
      <c r="GM369" s="14">
        <v>0.49170480213839041</v>
      </c>
      <c r="GO369" s="5">
        <v>338.16872463277008</v>
      </c>
      <c r="GP369" s="5">
        <v>298.1047308538179</v>
      </c>
      <c r="GQ369" s="5">
        <v>527.27910984145694</v>
      </c>
      <c r="GR369" s="5">
        <v>404.20319246551543</v>
      </c>
      <c r="GS369" s="5">
        <v>334.50205195691484</v>
      </c>
      <c r="GT369" s="5">
        <v>289.18266033348181</v>
      </c>
      <c r="GU369" s="5">
        <v>254.29573314828914</v>
      </c>
      <c r="GV369" s="39" t="s">
        <v>392</v>
      </c>
      <c r="GW369" s="5">
        <v>468.76388888888891</v>
      </c>
      <c r="GX369" s="5">
        <v>351.57291666666669</v>
      </c>
      <c r="GY369" s="5">
        <v>281.25833333333333</v>
      </c>
      <c r="GZ369" s="5">
        <v>248.18079879493993</v>
      </c>
      <c r="HA369" s="5">
        <v>229.8919505212948</v>
      </c>
      <c r="HB369" s="39">
        <v>260.74403659104831</v>
      </c>
      <c r="HC369" s="5">
        <v>116.16562499999998</v>
      </c>
      <c r="HD369" s="5">
        <v>122.37560307017539</v>
      </c>
      <c r="HE369" s="5">
        <v>131.67012904858296</v>
      </c>
      <c r="HF369" s="5">
        <v>129.45817434210522</v>
      </c>
      <c r="HG369" s="5">
        <v>134.43493421052631</v>
      </c>
      <c r="HH369" s="39">
        <v>125.45417963654387</v>
      </c>
      <c r="HI369" s="16"/>
      <c r="HJ369" s="19" t="str">
        <f t="shared" ref="HJ369:HK369" si="1203">HJ368</f>
        <v>On</v>
      </c>
      <c r="HK369" s="1" t="str">
        <f t="shared" si="1203"/>
        <v>On</v>
      </c>
      <c r="HL369" s="16"/>
      <c r="HM369" s="639">
        <f t="shared" si="1151"/>
        <v>2.8970655363290673E-2</v>
      </c>
      <c r="HN369" s="639">
        <f t="shared" si="1152"/>
        <v>2.1835179285533651E-3</v>
      </c>
      <c r="HO369" s="639">
        <f t="shared" si="1153"/>
        <v>1.5544129749146325E-2</v>
      </c>
      <c r="HP369" s="644">
        <f>(FT369*$GD369-HM369)/$JF369*INDEX(Input!$1:$1048576,$JG$93,$C369*2+6)</f>
        <v>186.02094904289908</v>
      </c>
      <c r="HQ369" s="644">
        <f>(FU369*$GD369-HN369)/$JF369*INDEX(Input!$1:$1048576,$JG$93,$C369*2+6)</f>
        <v>0.33032233879149969</v>
      </c>
      <c r="HR369" s="644">
        <f>(FV369*$GD369-HO369)/$JF369*INDEX(Input!$1:$1048576,$JG$93,$C369*2+6)</f>
        <v>4.1301561325206277</v>
      </c>
      <c r="HS369" s="644">
        <f t="shared" si="1141"/>
        <v>-62.66437951462845</v>
      </c>
      <c r="HT369" s="644">
        <f t="shared" si="1154"/>
        <v>47.158789343374011</v>
      </c>
      <c r="HU369" s="644">
        <f t="shared" si="1155"/>
        <v>45.416892321766568</v>
      </c>
      <c r="HV369" s="648">
        <f t="shared" si="1156"/>
        <v>0</v>
      </c>
      <c r="HW369" s="648">
        <f t="shared" si="1157"/>
        <v>0</v>
      </c>
      <c r="HX369" s="648">
        <f t="shared" si="1158"/>
        <v>0</v>
      </c>
      <c r="HY369" s="644">
        <f>INDEX(Input!$1:$1048576,HY$93,$C369*2+6)*INDEX(Input!$1:$1048576,$JG$93,$C369*2+6)</f>
        <v>488.99999999999994</v>
      </c>
      <c r="HZ369" s="644">
        <f>INDEX(Input!$1:$1048576,HZ$93,$C369*2+6)*INDEX(Input!$1:$1048576,$JG$93,$C369*2+6)</f>
        <v>734</v>
      </c>
      <c r="IA369" s="644">
        <f>INDEX(Input!$1:$1048576,IA$93,$C369*2+6)*INDEX(Input!$1:$1048576,$JG$93,$C369*2+6)</f>
        <v>703</v>
      </c>
      <c r="IB369" s="644">
        <f t="shared" si="1179"/>
        <v>612.35656952827082</v>
      </c>
      <c r="IC369" s="644">
        <f t="shared" si="1180"/>
        <v>781.48911168216546</v>
      </c>
      <c r="ID369" s="644">
        <f>IF(AND(INDEX(Input!$1:$1048576,IA$93,$C369*2+7)="TOS",Y369&lt;=INDEX(Y:Y,MATCH(C369*1000+2,A:A))),0,1)*MAX(IA369+HR369+HU369+HX369,0%)</f>
        <v>752.54704845428716</v>
      </c>
      <c r="IE369" s="128">
        <f t="shared" si="1142"/>
        <v>0.28529567821631774</v>
      </c>
      <c r="IF369" s="128">
        <f t="shared" si="1143"/>
        <v>0.36409418503958391</v>
      </c>
      <c r="IG369" s="128">
        <f t="shared" si="1159"/>
        <v>0.35061013674409836</v>
      </c>
      <c r="IH369" s="21"/>
      <c r="II369" s="19">
        <f t="shared" si="1160"/>
        <v>1200</v>
      </c>
      <c r="IJ369" s="19">
        <f t="shared" si="1161"/>
        <v>2224.493581030405</v>
      </c>
      <c r="IK369" s="19">
        <f t="shared" si="1162"/>
        <v>3451.75</v>
      </c>
      <c r="IL369" s="19">
        <f t="shared" si="1181"/>
        <v>900</v>
      </c>
      <c r="IM369" s="19">
        <f t="shared" si="1163"/>
        <v>400.29256694210244</v>
      </c>
      <c r="IN369" s="19">
        <f t="shared" si="1164"/>
        <v>364.25</v>
      </c>
      <c r="IO369" s="39">
        <f t="shared" si="1165"/>
        <v>0</v>
      </c>
      <c r="IP369" s="39">
        <f t="shared" si="1166"/>
        <v>0</v>
      </c>
      <c r="IQ369" s="39">
        <f t="shared" si="1167"/>
        <v>0</v>
      </c>
      <c r="IR369" s="39">
        <v>0</v>
      </c>
      <c r="IS369" s="39">
        <v>0</v>
      </c>
      <c r="IT369" s="39">
        <v>0</v>
      </c>
      <c r="IU369" s="39">
        <v>0</v>
      </c>
      <c r="IV369" s="39">
        <v>0</v>
      </c>
      <c r="IW369" s="39">
        <v>0</v>
      </c>
      <c r="IX369" s="39">
        <f>INDEX(Input!$1:$1048576,IX$93,$C369*2+6)+INDEX(Input!$1:$1048576,IX$94,$C369*2+6)</f>
        <v>1600</v>
      </c>
      <c r="IY369" s="39">
        <f>INDEX(Input!$1:$1048576,IY$93,$C369*2+6)+INDEX(Input!$1:$1048576,IY$94,$C369*2+6)</f>
        <v>2503.5492916397525</v>
      </c>
      <c r="IZ369" s="39">
        <f>INDEX(Input!$1:$1048576,IZ$93,$C369*2+6)+INDEX(Input!$1:$1048576,IZ$94,$C369*2+6)</f>
        <v>5773.7109265464023</v>
      </c>
      <c r="JA369" s="19">
        <f t="shared" si="1182"/>
        <v>2500</v>
      </c>
      <c r="JB369" s="19">
        <f t="shared" si="1183"/>
        <v>2903.8418585818549</v>
      </c>
      <c r="JC369" s="19">
        <f t="shared" si="1184"/>
        <v>6137.9609265464023</v>
      </c>
      <c r="JD369" s="19">
        <f t="shared" si="1185"/>
        <v>3922.5424503113518</v>
      </c>
      <c r="JE369" s="21"/>
      <c r="JF369" s="1">
        <f t="shared" si="1168"/>
        <v>4.6698303040990354E-2</v>
      </c>
      <c r="JG369" s="15">
        <f>INDEX(Input!$1:$1048576,JG$93,$C369*2+6)/(1+VLOOKUP(C369*1000+INDEX(Input!$1:$1048576,JG$93+1,$C369*2+6),$A:$KK,$JK$92,FALSE))</f>
        <v>1926</v>
      </c>
      <c r="JH369" s="1">
        <f t="shared" si="1186"/>
        <v>9.8900014285675589E-2</v>
      </c>
      <c r="JI369" s="1">
        <f t="shared" si="1187"/>
        <v>1.5530271106184906E-2</v>
      </c>
      <c r="JJ369" s="1">
        <f t="shared" si="1144"/>
        <v>0</v>
      </c>
      <c r="JK369" s="1">
        <f t="shared" si="1145"/>
        <v>0.1144302853918605</v>
      </c>
      <c r="JL369" s="15">
        <f t="shared" si="1188"/>
        <v>220.3927296647233</v>
      </c>
      <c r="JM369" s="15">
        <f t="shared" si="1074"/>
        <v>2146.3927296647234</v>
      </c>
      <c r="JN369" s="21"/>
      <c r="JO369" s="19">
        <f>INDEX(Input!$1:$1048576,JO$93,$C369*2+6)</f>
        <v>5908.5</v>
      </c>
      <c r="JP369" s="19">
        <f>INDEX(Input!$1:$1048576,JP$93,$C369*2+6)</f>
        <v>3467.7694503767912</v>
      </c>
      <c r="JQ369" s="39">
        <f t="shared" si="1196"/>
        <v>1985.9575496886482</v>
      </c>
      <c r="JR369" s="39">
        <f t="shared" si="1077"/>
        <v>454.77299993456063</v>
      </c>
      <c r="JS369" s="39">
        <f t="shared" si="1197"/>
        <v>8.4193165971495354</v>
      </c>
      <c r="JT369" s="39">
        <f t="shared" si="1189"/>
        <v>1.7403926357238357</v>
      </c>
      <c r="JU369" s="385">
        <f>(JQ369*JM369-INDEX(Input!$1:$1048576,Input!A$18,$C369*2+6)*JL369*INDEX(Input!$1:$1048576,Input!A$19,$C369*2+6))/1000000</f>
        <v>4.2626448460744832</v>
      </c>
      <c r="JV369" s="39">
        <f t="shared" si="1084"/>
        <v>-0.43820219249981651</v>
      </c>
      <c r="JW369" s="1">
        <f t="shared" si="1075"/>
        <v>-9.3217709256227368E-2</v>
      </c>
      <c r="JX369" s="19">
        <f t="shared" si="1201"/>
        <v>7896.7788019661148</v>
      </c>
      <c r="JZ369" s="341"/>
      <c r="KA369" s="342"/>
      <c r="KB369" s="469">
        <f t="shared" si="1198"/>
        <v>2.7822247002359868</v>
      </c>
      <c r="KI369" s="473">
        <f t="shared" si="1146"/>
        <v>123.35656952827088</v>
      </c>
      <c r="KJ369" s="473">
        <f t="shared" si="1147"/>
        <v>47.489111682165458</v>
      </c>
      <c r="KK369" s="473">
        <f t="shared" si="1190"/>
        <v>49.547048454287278</v>
      </c>
      <c r="KN369" s="544">
        <f t="shared" si="1202"/>
        <v>3002</v>
      </c>
      <c r="KO369" s="541">
        <f t="shared" si="1169"/>
        <v>4.190074406814337E-2</v>
      </c>
      <c r="KP369" s="546">
        <f t="shared" si="1170"/>
        <v>205.82794603224846</v>
      </c>
      <c r="KQ369" s="546">
        <f t="shared" si="1171"/>
        <v>201.46123198597888</v>
      </c>
      <c r="KR369" s="548">
        <f t="shared" si="1172"/>
        <v>3.2518377389404174</v>
      </c>
      <c r="KS369" s="548">
        <f t="shared" si="1173"/>
        <v>3.3223219973301847</v>
      </c>
      <c r="KT369" s="473">
        <f t="shared" si="1199"/>
        <v>527.01264777847621</v>
      </c>
      <c r="KU369" s="663">
        <f t="shared" si="1191"/>
        <v>15.428298414634694</v>
      </c>
    </row>
    <row r="370" spans="1:307" s="26" customFormat="1" ht="15" outlineLevel="1">
      <c r="A370" s="561">
        <f t="shared" si="1174"/>
        <v>3070</v>
      </c>
      <c r="B370" s="561">
        <f t="shared" si="1192"/>
        <v>70</v>
      </c>
      <c r="C370" s="561">
        <f t="shared" si="1193"/>
        <v>3</v>
      </c>
      <c r="D370" s="561" t="str">
        <f t="shared" si="1123"/>
        <v xml:space="preserve">1000 CC, 180 Lease, </v>
      </c>
      <c r="E370" s="475">
        <f>INDEX(Input!$1:$1048576,E$93,$C370*2+MIN($B370,2)+5)
+INDEX(Scenarios!E$121:E$200,MATCH($B370,Scenarios!$B$121:$B$200,0))</f>
        <v>2250</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1.9E-2</v>
      </c>
      <c r="W370" s="863">
        <f>IFERROR(MAX(0,INDEX(Input!$1:$1048576,W$93,$C370*2+MIN($B370,2)+5)-0%,),"Market")</f>
        <v>3.9000000000000007E-2</v>
      </c>
      <c r="X370" s="476" t="str">
        <f>INDEX(Input!$1:$1048576,X$93,$C370*2+MIN($B370,2)+5)</f>
        <v>Y</v>
      </c>
      <c r="Y370" s="475">
        <f>INDEX(Input!$1:$1048576,Y$93,$C370*2+MIN($B370,2)+5)
++INDEX(Scenarios!Y$121:Y$200,MATCH($B370,Scenarios!$B$121:$B$200,0))</f>
        <v>4288</v>
      </c>
      <c r="Z370" s="477">
        <f>INDEX(Input!$1:$1048576,Z$93,$C370*2+MIN($B370,2)+5)
+INDEX(Scenarios!Z$121:Z$200,MATCH($B370,Scenarios!$B$121:$B$200,0))</f>
        <v>0</v>
      </c>
      <c r="AA370" s="475">
        <f>INDEX(Input!$1:$1048576,AA$93,$C370*2+MIN($B370,2)+5)</f>
        <v>500</v>
      </c>
      <c r="AB370" s="476">
        <f>INDEX(Input!$1:$1048576,AB$93,$C370*2+MIN($B370,2)+5)</f>
        <v>0.62</v>
      </c>
      <c r="AC370" s="475">
        <f>INDEX(Input!$1:$1048576,AC$93,$C370*2+MIN($B370,2)+5)
+INDEX(Scenarios!AC$121:AC$200,MATCH($B370,Scenarios!$B$121:$B$200,0))</f>
        <v>0</v>
      </c>
      <c r="AD370" s="476">
        <f>INDEX(Input!$1:$1048576,AD$93,$C370*2+MIN($B370,2)+5)</f>
        <v>0.35</v>
      </c>
      <c r="AE370" s="475">
        <f>INDEX(Input!$1:$1048576,AE$93,$C370*2+MIN($B370,2)+5)
+INDEX(Scenarios!AE$121:AE$200,MATCH($B370,Scenarios!$B$121:$B$200,0))</f>
        <v>500</v>
      </c>
      <c r="AF370" s="476">
        <f>INDEX(Input!$1:$1048576,AF$93,$C370*2+MIN($B370,2)+5)</f>
        <v>0.97</v>
      </c>
      <c r="AG370" s="475">
        <f>INDEX(Input!$1:$1048576,AG$93,$C370*2+MIN($B370,2)+5)
+INDEX(Scenarios!AG$121:AG$200,MATCH($B370,Scenarios!$B$121:$B$200,0))</f>
        <v>0</v>
      </c>
      <c r="AH370" s="476">
        <f>INDEX(Input!$1:$1048576,AH$93,$C370*2+MIN($B370,2)+5)</f>
        <v>1</v>
      </c>
      <c r="AI370" s="475">
        <f>INDEX(Input!$1:$1048576,AI$93,$C370*2+MIN($B370,2)+5)
+INDEX(Scenarios!AI$121:AI$200,MATCH($B370,Scenarios!$B$121:$B$200,0))</f>
        <v>0</v>
      </c>
      <c r="AJ370" s="476">
        <f>INDEX(Input!$1:$1048576,AJ$93,$C370*2+MIN($B370,2)+5)</f>
        <v>0.35</v>
      </c>
      <c r="AK370" s="150">
        <f>ROUND(INDEX(Input!$1:$1048576,AK$93,$C369*2+MIN($B370,1)+5)+(Y370-VLOOKUP($C370*1000+1,$A:$HH,Y$92,FALSE)),0)</f>
        <v>5162</v>
      </c>
      <c r="AL370" s="150">
        <f>ROUND(INDEX(Input!$1:$1048576,AL$93,$C369*2+MIN($B370,1)+5)-(Y370-VLOOKUP($C370*1000+1,$A:$HH,Y$92,FALSE))/36,0)</f>
        <v>5097</v>
      </c>
      <c r="AM370" s="32" t="str">
        <f t="shared" si="1175"/>
        <v>std/std/std/std</v>
      </c>
      <c r="AN370" s="32" t="str">
        <f t="shared" si="1176"/>
        <v>$0 + 0/0/0/1.9/3.9</v>
      </c>
      <c r="AO370" s="32" t="str">
        <f t="shared" si="1177"/>
        <v>0/0/0/1.9/3.9</v>
      </c>
      <c r="AP370" s="32" t="str">
        <f t="shared" si="1125"/>
        <v>0/0.9/1.9/3.9</v>
      </c>
      <c r="AQ370" s="536">
        <f t="shared" si="1124"/>
        <v>485.32119723428826</v>
      </c>
      <c r="AR370" s="32"/>
      <c r="AS370" s="302"/>
      <c r="AT370" s="3">
        <f t="shared" si="1194"/>
        <v>70</v>
      </c>
      <c r="AU370" s="41" t="s">
        <v>121</v>
      </c>
      <c r="AV370" s="41" t="s">
        <v>116</v>
      </c>
      <c r="AW370" s="41" t="str">
        <f>INDEX(Input!$1:$1048576,AW$93,$C370*2+6)</f>
        <v>Kia</v>
      </c>
      <c r="AX370" s="41" t="str">
        <f>INDEX(Input!$1:$1048576,AX$93,$C370*2+6)</f>
        <v>Kia-LR - L3</v>
      </c>
      <c r="AY370" s="41" t="str">
        <f>IF(LEN(D370)=0,"",INDEX(Input!$1:$1048576,AY$93,$C370*2+6))</f>
        <v>Compact Conventional/Sporty Car (43)</v>
      </c>
      <c r="AZ370" s="41" t="str">
        <f>INDEX(Input!$1:$1048576,AZ$93,$C370*2+6)</f>
        <v>Kia Forte</v>
      </c>
      <c r="BA370" s="3">
        <f>INDEX(Input!$1:$1048576,BA$93,$C370*2+6)</f>
        <v>2020</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19695</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1126"/>
        <v>2250</v>
      </c>
      <c r="CJ370" s="16" t="str">
        <f>INDEX(Input!$1:$1048576,CJ$93,$C370*2+6)</f>
        <v>N</v>
      </c>
      <c r="CK370" s="1" t="str">
        <f t="shared" si="1127"/>
        <v>Market</v>
      </c>
      <c r="CL370" s="1" t="str">
        <f t="shared" si="1128"/>
        <v>Market</v>
      </c>
      <c r="CM370" s="1" t="str">
        <f t="shared" si="1129"/>
        <v>Market</v>
      </c>
      <c r="CN370" s="1" t="str">
        <f t="shared" si="1130"/>
        <v>Market</v>
      </c>
      <c r="CO370" s="1" t="str">
        <f t="shared" si="1131"/>
        <v>Market</v>
      </c>
      <c r="CP370" s="304">
        <f t="shared" si="1132"/>
        <v>310</v>
      </c>
      <c r="CQ370" s="1">
        <f t="shared" si="1133"/>
        <v>0</v>
      </c>
      <c r="CR370" s="1">
        <f t="shared" si="1134"/>
        <v>0</v>
      </c>
      <c r="CS370" s="1">
        <f t="shared" si="1135"/>
        <v>0</v>
      </c>
      <c r="CT370" s="1">
        <f t="shared" si="1136"/>
        <v>1.9E-2</v>
      </c>
      <c r="CU370" s="1">
        <f t="shared" si="1137"/>
        <v>3.9000000000000007E-2</v>
      </c>
      <c r="CV370" s="304">
        <f t="shared" si="1138"/>
        <v>4773</v>
      </c>
      <c r="CW370" s="20" t="s">
        <v>122</v>
      </c>
      <c r="CX370" s="20" t="s">
        <v>122</v>
      </c>
      <c r="CY370" s="20" t="s">
        <v>122</v>
      </c>
      <c r="CZ370" s="20" t="s">
        <v>122</v>
      </c>
      <c r="DA370" s="20" t="s">
        <v>122</v>
      </c>
      <c r="DB370" s="503">
        <f t="shared" si="1139"/>
        <v>0</v>
      </c>
      <c r="DC370" s="127">
        <v>0</v>
      </c>
      <c r="DD370" s="127">
        <v>0</v>
      </c>
      <c r="DE370" s="127">
        <v>0</v>
      </c>
      <c r="DF370" s="127">
        <v>0</v>
      </c>
      <c r="DG370" s="127">
        <v>0</v>
      </c>
      <c r="DH370" s="127">
        <v>0</v>
      </c>
      <c r="DI370" s="127">
        <v>0</v>
      </c>
      <c r="DJ370" s="127">
        <v>0</v>
      </c>
      <c r="DK370" s="127">
        <v>0</v>
      </c>
      <c r="DL370" s="127">
        <v>0</v>
      </c>
      <c r="DM370" s="304">
        <f>INDEX(Input!$1:$1048576,DM$93,$C370*2+6)</f>
        <v>20731.578947368424</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3.7102457091302367E-2</v>
      </c>
      <c r="DZ370" s="7">
        <v>0</v>
      </c>
      <c r="EA370" s="7">
        <v>0.64670033920915093</v>
      </c>
      <c r="EB370" s="7">
        <v>0</v>
      </c>
      <c r="EC370" s="7">
        <v>0</v>
      </c>
      <c r="ED370" s="7">
        <v>0</v>
      </c>
      <c r="EE370" s="7">
        <v>0</v>
      </c>
      <c r="EF370" s="7">
        <v>0</v>
      </c>
      <c r="EG370" s="7">
        <v>0</v>
      </c>
      <c r="EH370" s="7">
        <v>1.415224848846244E-2</v>
      </c>
      <c r="EI370" s="7">
        <v>1.7907533475367384E-2</v>
      </c>
      <c r="EJ370" s="7">
        <v>0.25823228378566782</v>
      </c>
      <c r="EK370" s="7">
        <v>0.65895219585560239</v>
      </c>
      <c r="EL370" s="7">
        <v>5.0755738394900135E-2</v>
      </c>
      <c r="EM370" s="7">
        <v>3.8854453645973015E-2</v>
      </c>
      <c r="EN370" s="7">
        <v>5.9571987319108975E-2</v>
      </c>
      <c r="EO370" s="7">
        <v>0.56741374515464937</v>
      </c>
      <c r="EP370" s="7">
        <v>0.27505523089420825</v>
      </c>
      <c r="EQ370" s="7">
        <v>5.8132430820583093E-2</v>
      </c>
      <c r="ER370" s="7">
        <v>3.9826605811450144E-2</v>
      </c>
      <c r="ES370" s="7">
        <v>0.27734275005357378</v>
      </c>
      <c r="ET370" s="7">
        <v>0.31619720369954674</v>
      </c>
      <c r="EU370" s="6">
        <v>2600</v>
      </c>
      <c r="EV370" s="6">
        <v>0</v>
      </c>
      <c r="EW370" s="6">
        <v>2600</v>
      </c>
      <c r="EX370" s="6">
        <v>0</v>
      </c>
      <c r="EY370" s="6">
        <v>2625.0417021595376</v>
      </c>
      <c r="EZ370" s="6">
        <v>3816</v>
      </c>
      <c r="FA370" s="6">
        <v>0</v>
      </c>
      <c r="FB370" s="6">
        <v>0</v>
      </c>
      <c r="FC370" s="6">
        <v>0</v>
      </c>
      <c r="FD370" s="6">
        <v>0</v>
      </c>
      <c r="FE370" s="6">
        <v>0</v>
      </c>
      <c r="FF370" s="6">
        <v>0</v>
      </c>
      <c r="FG370" s="6">
        <v>0</v>
      </c>
      <c r="FH370" s="6">
        <v>1154.3220103405099</v>
      </c>
      <c r="FI370" s="6">
        <v>1531.4299904380621</v>
      </c>
      <c r="FJ370" s="6">
        <v>2070.7205842538219</v>
      </c>
      <c r="FK370" s="6">
        <v>1746.9903521590436</v>
      </c>
      <c r="FL370" s="6">
        <v>893.91433563489386</v>
      </c>
      <c r="FM370" s="6">
        <v>1775.0417021595376</v>
      </c>
      <c r="FN370" s="6">
        <v>0</v>
      </c>
      <c r="FO370" s="6">
        <v>0</v>
      </c>
      <c r="FP370" s="6">
        <v>0</v>
      </c>
      <c r="FQ370" s="6">
        <v>0</v>
      </c>
      <c r="FR370" s="6">
        <v>0</v>
      </c>
      <c r="FS370" s="6">
        <v>0</v>
      </c>
      <c r="FT370" s="7">
        <v>0.68380279630045326</v>
      </c>
      <c r="FU370" s="7">
        <v>3.8854453645973015E-2</v>
      </c>
      <c r="FV370" s="7">
        <v>0.27734275005357378</v>
      </c>
      <c r="FW370" s="6">
        <v>2600</v>
      </c>
      <c r="FX370" s="6">
        <v>2625.0417021595376</v>
      </c>
      <c r="FY370" s="6">
        <v>3816</v>
      </c>
      <c r="FZ370" s="6">
        <v>2202.331475193394</v>
      </c>
      <c r="GA370" s="6">
        <v>2938.2217657209203</v>
      </c>
      <c r="GB370" s="6">
        <v>16756.778234279082</v>
      </c>
      <c r="GC370" s="7">
        <v>4.8391397220736806E-2</v>
      </c>
      <c r="GD370" s="7">
        <v>5.3601090963546136E-2</v>
      </c>
      <c r="GE370" s="7"/>
      <c r="GF370" s="7"/>
      <c r="GG370" s="7">
        <v>0.10765743586706891</v>
      </c>
      <c r="GH370" s="42">
        <v>2.8812898154723121</v>
      </c>
      <c r="GI370" s="6">
        <v>9773.7021447648185</v>
      </c>
      <c r="GJ370" s="14">
        <v>0.51074630601039539</v>
      </c>
      <c r="GK370" s="14">
        <v>0.50829519786160959</v>
      </c>
      <c r="GL370" s="14">
        <v>0.48925369398960417</v>
      </c>
      <c r="GM370" s="14">
        <v>0.4917048021383903</v>
      </c>
      <c r="GO370" s="5">
        <v>338.16872463277008</v>
      </c>
      <c r="GP370" s="5">
        <v>288.56568471597211</v>
      </c>
      <c r="GQ370" s="5">
        <v>527.27910984145694</v>
      </c>
      <c r="GR370" s="5">
        <v>404.20319246551543</v>
      </c>
      <c r="GS370" s="5">
        <v>334.50205195691484</v>
      </c>
      <c r="GT370" s="5">
        <v>289.18266033348181</v>
      </c>
      <c r="GU370" s="5">
        <v>254.29573314828914</v>
      </c>
      <c r="GV370" s="39" t="s">
        <v>392</v>
      </c>
      <c r="GW370" s="5">
        <v>468.76388888888891</v>
      </c>
      <c r="GX370" s="5">
        <v>351.57291666666669</v>
      </c>
      <c r="GY370" s="5">
        <v>281.25833333333333</v>
      </c>
      <c r="GZ370" s="5">
        <v>248.18079879493993</v>
      </c>
      <c r="HA370" s="5">
        <v>229.8919505212948</v>
      </c>
      <c r="HB370" s="39">
        <v>260.767466597507</v>
      </c>
      <c r="HC370" s="5">
        <v>116.16562499999998</v>
      </c>
      <c r="HD370" s="5">
        <v>122.37560307017539</v>
      </c>
      <c r="HE370" s="5">
        <v>131.67012904858296</v>
      </c>
      <c r="HF370" s="5">
        <v>129.45817434210522</v>
      </c>
      <c r="HG370" s="5">
        <v>134.43493421052631</v>
      </c>
      <c r="HH370" s="39">
        <v>125.45417963654386</v>
      </c>
      <c r="HI370" s="16"/>
      <c r="HJ370" s="19" t="str">
        <f t="shared" ref="HJ370:HK370" si="1204">HJ369</f>
        <v>On</v>
      </c>
      <c r="HK370" s="1" t="str">
        <f t="shared" si="1204"/>
        <v>On</v>
      </c>
      <c r="HL370" s="16"/>
      <c r="HM370" s="639">
        <f t="shared" si="1151"/>
        <v>2.8970655363290673E-2</v>
      </c>
      <c r="HN370" s="639">
        <f t="shared" si="1152"/>
        <v>2.1835179285533651E-3</v>
      </c>
      <c r="HO370" s="639">
        <f t="shared" si="1153"/>
        <v>1.5544129749146325E-2</v>
      </c>
      <c r="HP370" s="644">
        <f>(FT370*$GD370-HM370)/$JF370*INDEX(Input!$1:$1048576,$JG$93,$C370*2+6)</f>
        <v>316.82904864946346</v>
      </c>
      <c r="HQ370" s="644">
        <f>(FU370*$GD370-HN370)/$JF370*INDEX(Input!$1:$1048576,$JG$93,$C370*2+6)</f>
        <v>-4.1605101474865593</v>
      </c>
      <c r="HR370" s="644">
        <f>(FV370*$GD370-HO370)/$JF370*INDEX(Input!$1:$1048576,$JG$93,$C370*2+6)</f>
        <v>-27.973620847845329</v>
      </c>
      <c r="HS370" s="644">
        <f t="shared" si="1141"/>
        <v>-97.249038447212044</v>
      </c>
      <c r="HT370" s="644">
        <f t="shared" si="1154"/>
        <v>41.150973909811839</v>
      </c>
      <c r="HU370" s="644">
        <f t="shared" si="1155"/>
        <v>51.462024607834934</v>
      </c>
      <c r="HV370" s="648">
        <f t="shared" si="1156"/>
        <v>0</v>
      </c>
      <c r="HW370" s="648">
        <f t="shared" si="1157"/>
        <v>0</v>
      </c>
      <c r="HX370" s="648">
        <f t="shared" si="1158"/>
        <v>0</v>
      </c>
      <c r="HY370" s="644">
        <f>INDEX(Input!$1:$1048576,HY$93,$C370*2+6)*INDEX(Input!$1:$1048576,$JG$93,$C370*2+6)</f>
        <v>488.99999999999994</v>
      </c>
      <c r="HZ370" s="644">
        <f>INDEX(Input!$1:$1048576,HZ$93,$C370*2+6)*INDEX(Input!$1:$1048576,$JG$93,$C370*2+6)</f>
        <v>734</v>
      </c>
      <c r="IA370" s="644">
        <f>INDEX(Input!$1:$1048576,IA$93,$C370*2+6)*INDEX(Input!$1:$1048576,$JG$93,$C370*2+6)</f>
        <v>703</v>
      </c>
      <c r="IB370" s="644">
        <f t="shared" si="1179"/>
        <v>708.58001020225129</v>
      </c>
      <c r="IC370" s="644">
        <f t="shared" si="1180"/>
        <v>770.99046376232525</v>
      </c>
      <c r="ID370" s="644">
        <f>IF(AND(INDEX(Input!$1:$1048576,IA$93,$C370*2+7)="TOS",Y370&lt;=INDEX(Y:Y,MATCH(C370*1000+2,A:A))),0,1)*MAX(IA370+HR370+HU370+HX370,0%)</f>
        <v>726.48840375998952</v>
      </c>
      <c r="IE370" s="128">
        <f t="shared" si="1142"/>
        <v>0.32119723428828623</v>
      </c>
      <c r="IF370" s="128">
        <f t="shared" si="1143"/>
        <v>0.34948770930246492</v>
      </c>
      <c r="IG370" s="128">
        <f t="shared" si="1159"/>
        <v>0.32931505640924874</v>
      </c>
      <c r="IH370" s="21"/>
      <c r="II370" s="19">
        <f t="shared" si="1160"/>
        <v>1200</v>
      </c>
      <c r="IJ370" s="19">
        <f t="shared" si="1161"/>
        <v>2224.493581030405</v>
      </c>
      <c r="IK370" s="19">
        <f t="shared" si="1162"/>
        <v>3451.75</v>
      </c>
      <c r="IL370" s="19">
        <f t="shared" si="1181"/>
        <v>1400</v>
      </c>
      <c r="IM370" s="19">
        <f t="shared" si="1163"/>
        <v>400.5481211291326</v>
      </c>
      <c r="IN370" s="19">
        <f t="shared" si="1164"/>
        <v>364.25</v>
      </c>
      <c r="IO370" s="39">
        <f t="shared" si="1165"/>
        <v>0</v>
      </c>
      <c r="IP370" s="39">
        <f t="shared" si="1166"/>
        <v>0</v>
      </c>
      <c r="IQ370" s="39">
        <f t="shared" si="1167"/>
        <v>0</v>
      </c>
      <c r="IR370" s="39">
        <v>0</v>
      </c>
      <c r="IS370" s="39">
        <v>0</v>
      </c>
      <c r="IT370" s="39">
        <v>0</v>
      </c>
      <c r="IU370" s="39">
        <v>0</v>
      </c>
      <c r="IV370" s="39">
        <v>0</v>
      </c>
      <c r="IW370" s="39">
        <v>0</v>
      </c>
      <c r="IX370" s="39">
        <f>INDEX(Input!$1:$1048576,IX$93,$C370*2+6)+INDEX(Input!$1:$1048576,IX$94,$C370*2+6)</f>
        <v>1600</v>
      </c>
      <c r="IY370" s="39">
        <f>INDEX(Input!$1:$1048576,IY$93,$C370*2+6)+INDEX(Input!$1:$1048576,IY$94,$C370*2+6)</f>
        <v>2503.5492916397525</v>
      </c>
      <c r="IZ370" s="39">
        <f>INDEX(Input!$1:$1048576,IZ$93,$C370*2+6)+INDEX(Input!$1:$1048576,IZ$94,$C370*2+6)</f>
        <v>5773.7109265464023</v>
      </c>
      <c r="JA370" s="19">
        <f t="shared" si="1182"/>
        <v>3000</v>
      </c>
      <c r="JB370" s="19">
        <f t="shared" si="1183"/>
        <v>2904.0974127688851</v>
      </c>
      <c r="JC370" s="19">
        <f t="shared" si="1184"/>
        <v>6137.9609265464023</v>
      </c>
      <c r="JD370" s="19">
        <f t="shared" si="1185"/>
        <v>3999.8610040080648</v>
      </c>
      <c r="JE370" s="21"/>
      <c r="JF370" s="1">
        <f t="shared" si="1168"/>
        <v>4.6698303040990354E-2</v>
      </c>
      <c r="JG370" s="15">
        <f>INDEX(Input!$1:$1048576,JG$93,$C370*2+6)/(1+VLOOKUP(C370*1000+INDEX(Input!$1:$1048576,JG$93+1,$C370*2+6),$A:$KK,$JK$92,FALSE))</f>
        <v>1926</v>
      </c>
      <c r="JH370" s="1">
        <f t="shared" si="1186"/>
        <v>0.14781667583288244</v>
      </c>
      <c r="JI370" s="1">
        <f t="shared" si="1187"/>
        <v>-2.4070819987358624E-3</v>
      </c>
      <c r="JJ370" s="1">
        <f t="shared" si="1144"/>
        <v>0</v>
      </c>
      <c r="JK370" s="1">
        <f t="shared" si="1145"/>
        <v>0.14540959383414659</v>
      </c>
      <c r="JL370" s="15">
        <f t="shared" si="1188"/>
        <v>280.05887772456634</v>
      </c>
      <c r="JM370" s="15">
        <f t="shared" si="1074"/>
        <v>2206.0588777245662</v>
      </c>
      <c r="JN370" s="21"/>
      <c r="JO370" s="19">
        <f>INDEX(Input!$1:$1048576,JO$93,$C370*2+6)</f>
        <v>5908.5</v>
      </c>
      <c r="JP370" s="19">
        <f>INDEX(Input!$1:$1048576,JP$93,$C370*2+6)</f>
        <v>3467.7694503767912</v>
      </c>
      <c r="JQ370" s="39">
        <f t="shared" si="1196"/>
        <v>1908.6389959919352</v>
      </c>
      <c r="JR370" s="39">
        <f t="shared" si="1077"/>
        <v>532.09155363127365</v>
      </c>
      <c r="JS370" s="39">
        <f t="shared" si="1197"/>
        <v>8.8239288775562894</v>
      </c>
      <c r="JT370" s="39">
        <f t="shared" si="1189"/>
        <v>2.1450049161305884</v>
      </c>
      <c r="JU370" s="385">
        <f>(JQ370*JM370-INDEX(Input!$1:$1048576,Input!A$18,$C370*2+6)*JL370*INDEX(Input!$1:$1048576,Input!A$19,$C370*2+6))/1000000</f>
        <v>4.2105700014793106</v>
      </c>
      <c r="JV370" s="39">
        <f t="shared" si="1084"/>
        <v>-0.49027703709498915</v>
      </c>
      <c r="JW370" s="1">
        <f t="shared" si="1075"/>
        <v>-0.10429546698113437</v>
      </c>
      <c r="JX370" s="19">
        <f t="shared" si="1201"/>
        <v>7659.1213017720092</v>
      </c>
      <c r="JZ370" s="341"/>
      <c r="KA370" s="342"/>
      <c r="KB370" s="469">
        <f t="shared" si="1198"/>
        <v>2.7822247002359868</v>
      </c>
      <c r="KI370" s="473">
        <f t="shared" si="1146"/>
        <v>219.58001020225134</v>
      </c>
      <c r="KJ370" s="473">
        <f t="shared" si="1147"/>
        <v>36.990463762325135</v>
      </c>
      <c r="KK370" s="473">
        <f t="shared" si="1190"/>
        <v>23.488403759989524</v>
      </c>
      <c r="KN370" s="544">
        <f t="shared" si="1202"/>
        <v>3002</v>
      </c>
      <c r="KO370" s="541">
        <f t="shared" si="1169"/>
        <v>7.0863851890885954E-2</v>
      </c>
      <c r="KP370" s="546">
        <f t="shared" si="1170"/>
        <v>380.63072026299272</v>
      </c>
      <c r="KQ370" s="546">
        <f t="shared" si="1171"/>
        <v>278.77978568269191</v>
      </c>
      <c r="KR370" s="548">
        <f t="shared" si="1172"/>
        <v>2.9739412885000647</v>
      </c>
      <c r="KS370" s="548">
        <f t="shared" si="1173"/>
        <v>4.0604572956736833</v>
      </c>
      <c r="KT370" s="473">
        <f t="shared" si="1199"/>
        <v>527.01264777847621</v>
      </c>
      <c r="KU370" s="663">
        <f t="shared" si="1191"/>
        <v>15.687532524060554</v>
      </c>
    </row>
    <row r="371" spans="1:307" s="26" customFormat="1" ht="15" outlineLevel="1">
      <c r="A371" s="561">
        <f t="shared" si="1174"/>
        <v>3071</v>
      </c>
      <c r="B371" s="561">
        <f t="shared" si="1192"/>
        <v>71</v>
      </c>
      <c r="C371" s="561">
        <f t="shared" si="1193"/>
        <v>3</v>
      </c>
      <c r="D371" s="561" t="str">
        <f t="shared" si="1123"/>
        <v xml:space="preserve">500 CC, 0/0/0.9/3.9, 180 Lease, </v>
      </c>
      <c r="E371" s="475">
        <f>INDEX(Input!$1:$1048576,E$93,$C371*2+MIN($B371,2)+5)
+INDEX(Scenarios!E$121:E$200,MATCH($B371,Scenarios!$B$121:$B$200,0))</f>
        <v>1750</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8.9999999999999993E-3</v>
      </c>
      <c r="W371" s="863">
        <f>IFERROR(MAX(0,INDEX(Input!$1:$1048576,W$93,$C371*2+MIN($B371,2)+5)-0%,),"Market")</f>
        <v>3.9000000000000007E-2</v>
      </c>
      <c r="X371" s="476" t="str">
        <f>INDEX(Input!$1:$1048576,X$93,$C371*2+MIN($B371,2)+5)</f>
        <v>Y</v>
      </c>
      <c r="Y371" s="475">
        <f>INDEX(Input!$1:$1048576,Y$93,$C371*2+MIN($B371,2)+5)
++INDEX(Scenarios!Y$121:Y$200,MATCH($B371,Scenarios!$B$121:$B$200,0))</f>
        <v>4288</v>
      </c>
      <c r="Z371" s="477">
        <f>INDEX(Input!$1:$1048576,Z$93,$C371*2+MIN($B371,2)+5)
+INDEX(Scenarios!Z$121:Z$200,MATCH($B371,Scenarios!$B$121:$B$200,0))</f>
        <v>0</v>
      </c>
      <c r="AA371" s="475">
        <f>INDEX(Input!$1:$1048576,AA$93,$C371*2+MIN($B371,2)+5)</f>
        <v>500</v>
      </c>
      <c r="AB371" s="476">
        <f>INDEX(Input!$1:$1048576,AB$93,$C371*2+MIN($B371,2)+5)</f>
        <v>0.62</v>
      </c>
      <c r="AC371" s="475">
        <f>INDEX(Input!$1:$1048576,AC$93,$C371*2+MIN($B371,2)+5)
+INDEX(Scenarios!AC$121:AC$200,MATCH($B371,Scenarios!$B$121:$B$200,0))</f>
        <v>0</v>
      </c>
      <c r="AD371" s="476">
        <f>INDEX(Input!$1:$1048576,AD$93,$C371*2+MIN($B371,2)+5)</f>
        <v>0.35</v>
      </c>
      <c r="AE371" s="475">
        <f>INDEX(Input!$1:$1048576,AE$93,$C371*2+MIN($B371,2)+5)
+INDEX(Scenarios!AE$121:AE$200,MATCH($B371,Scenarios!$B$121:$B$200,0))</f>
        <v>500</v>
      </c>
      <c r="AF371" s="476">
        <f>INDEX(Input!$1:$1048576,AF$93,$C371*2+MIN($B371,2)+5)</f>
        <v>0.97</v>
      </c>
      <c r="AG371" s="475">
        <f>INDEX(Input!$1:$1048576,AG$93,$C371*2+MIN($B371,2)+5)
+INDEX(Scenarios!AG$121:AG$200,MATCH($B371,Scenarios!$B$121:$B$200,0))</f>
        <v>0</v>
      </c>
      <c r="AH371" s="476">
        <f>INDEX(Input!$1:$1048576,AH$93,$C371*2+MIN($B371,2)+5)</f>
        <v>1</v>
      </c>
      <c r="AI371" s="475">
        <f>INDEX(Input!$1:$1048576,AI$93,$C371*2+MIN($B371,2)+5)
+INDEX(Scenarios!AI$121:AI$200,MATCH($B371,Scenarios!$B$121:$B$200,0))</f>
        <v>0</v>
      </c>
      <c r="AJ371" s="476">
        <f>INDEX(Input!$1:$1048576,AJ$93,$C371*2+MIN($B371,2)+5)</f>
        <v>0.35</v>
      </c>
      <c r="AK371" s="150">
        <f>ROUND(INDEX(Input!$1:$1048576,AK$93,$C370*2+MIN($B371,1)+5)+(Y371-VLOOKUP($C371*1000+1,$A:$HH,Y$92,FALSE)),0)</f>
        <v>5162</v>
      </c>
      <c r="AL371" s="150">
        <f>ROUND(INDEX(Input!$1:$1048576,AL$93,$C370*2+MIN($B371,1)+5)-(Y371-VLOOKUP($C371*1000+1,$A:$HH,Y$92,FALSE))/36,0)</f>
        <v>5097</v>
      </c>
      <c r="AM371" s="32" t="str">
        <f t="shared" si="1175"/>
        <v>std/std/std/std</v>
      </c>
      <c r="AN371" s="32" t="str">
        <f t="shared" si="1176"/>
        <v>$0 + 0/0/0/0.9/3.9</v>
      </c>
      <c r="AO371" s="32" t="str">
        <f t="shared" si="1177"/>
        <v>0/0/0/0.9/3.9</v>
      </c>
      <c r="AP371" s="32" t="str">
        <f t="shared" si="1125"/>
        <v>0/0/0.9/3.9</v>
      </c>
      <c r="AQ371" s="536">
        <f t="shared" si="1124"/>
        <v>485.27118101688745</v>
      </c>
      <c r="AR371" s="32"/>
      <c r="AS371" s="302"/>
      <c r="AT371" s="3">
        <f t="shared" si="1194"/>
        <v>71</v>
      </c>
      <c r="AU371" s="41" t="s">
        <v>121</v>
      </c>
      <c r="AV371" s="41" t="s">
        <v>116</v>
      </c>
      <c r="AW371" s="41" t="str">
        <f>INDEX(Input!$1:$1048576,AW$93,$C371*2+6)</f>
        <v>Kia</v>
      </c>
      <c r="AX371" s="41" t="str">
        <f>INDEX(Input!$1:$1048576,AX$93,$C371*2+6)</f>
        <v>Kia-LR - L3</v>
      </c>
      <c r="AY371" s="41" t="str">
        <f>IF(LEN(D371)=0,"",INDEX(Input!$1:$1048576,AY$93,$C371*2+6))</f>
        <v>Compact Conventional/Sporty Car (43)</v>
      </c>
      <c r="AZ371" s="41" t="str">
        <f>INDEX(Input!$1:$1048576,AZ$93,$C371*2+6)</f>
        <v>Kia Forte</v>
      </c>
      <c r="BA371" s="3">
        <f>INDEX(Input!$1:$1048576,BA$93,$C371*2+6)</f>
        <v>2020</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19695</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1126"/>
        <v>1750</v>
      </c>
      <c r="CJ371" s="16" t="str">
        <f>INDEX(Input!$1:$1048576,CJ$93,$C371*2+6)</f>
        <v>N</v>
      </c>
      <c r="CK371" s="1" t="str">
        <f t="shared" si="1127"/>
        <v>Market</v>
      </c>
      <c r="CL371" s="1" t="str">
        <f t="shared" si="1128"/>
        <v>Market</v>
      </c>
      <c r="CM371" s="1" t="str">
        <f t="shared" si="1129"/>
        <v>Market</v>
      </c>
      <c r="CN371" s="1" t="str">
        <f t="shared" si="1130"/>
        <v>Market</v>
      </c>
      <c r="CO371" s="1" t="str">
        <f t="shared" si="1131"/>
        <v>Market</v>
      </c>
      <c r="CP371" s="304">
        <f t="shared" si="1132"/>
        <v>310</v>
      </c>
      <c r="CQ371" s="1">
        <f t="shared" si="1133"/>
        <v>0</v>
      </c>
      <c r="CR371" s="1">
        <f t="shared" si="1134"/>
        <v>0</v>
      </c>
      <c r="CS371" s="1">
        <f t="shared" si="1135"/>
        <v>0</v>
      </c>
      <c r="CT371" s="1">
        <f t="shared" si="1136"/>
        <v>8.9999999999999993E-3</v>
      </c>
      <c r="CU371" s="1">
        <f t="shared" si="1137"/>
        <v>3.9000000000000007E-2</v>
      </c>
      <c r="CV371" s="304">
        <f t="shared" si="1138"/>
        <v>4773</v>
      </c>
      <c r="CW371" s="20" t="s">
        <v>122</v>
      </c>
      <c r="CX371" s="20" t="s">
        <v>122</v>
      </c>
      <c r="CY371" s="20" t="s">
        <v>122</v>
      </c>
      <c r="CZ371" s="20" t="s">
        <v>122</v>
      </c>
      <c r="DA371" s="20" t="s">
        <v>122</v>
      </c>
      <c r="DB371" s="503">
        <f t="shared" si="1139"/>
        <v>0</v>
      </c>
      <c r="DC371" s="127">
        <v>0</v>
      </c>
      <c r="DD371" s="127">
        <v>0</v>
      </c>
      <c r="DE371" s="127">
        <v>0</v>
      </c>
      <c r="DF371" s="127">
        <v>0</v>
      </c>
      <c r="DG371" s="127">
        <v>0</v>
      </c>
      <c r="DH371" s="127">
        <v>0</v>
      </c>
      <c r="DI371" s="127">
        <v>0</v>
      </c>
      <c r="DJ371" s="127">
        <v>0</v>
      </c>
      <c r="DK371" s="127">
        <v>0</v>
      </c>
      <c r="DL371" s="127">
        <v>0</v>
      </c>
      <c r="DM371" s="304">
        <f>INDEX(Input!$1:$1048576,DM$93,$C371*2+6)</f>
        <v>20731.578947368424</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3.4584784722684392E-2</v>
      </c>
      <c r="DZ371" s="7">
        <v>0</v>
      </c>
      <c r="EA371" s="7">
        <v>0.60742565996099007</v>
      </c>
      <c r="EB371" s="7">
        <v>0</v>
      </c>
      <c r="EC371" s="7">
        <v>0</v>
      </c>
      <c r="ED371" s="7">
        <v>0</v>
      </c>
      <c r="EE371" s="7">
        <v>0</v>
      </c>
      <c r="EF371" s="7">
        <v>0</v>
      </c>
      <c r="EG371" s="7">
        <v>0</v>
      </c>
      <c r="EH371" s="7">
        <v>1.015122332278439E-2</v>
      </c>
      <c r="EI371" s="7">
        <v>1.286191360979042E-2</v>
      </c>
      <c r="EJ371" s="7">
        <v>0.18502999778616425</v>
      </c>
      <c r="EK371" s="7">
        <v>0.7554029042351843</v>
      </c>
      <c r="EL371" s="7">
        <v>3.6553961046076715E-2</v>
      </c>
      <c r="EM371" s="7">
        <v>5.8420827589566647E-2</v>
      </c>
      <c r="EN371" s="7">
        <v>5.9571987319108982E-2</v>
      </c>
      <c r="EO371" s="7">
        <v>0.56741374515464926</v>
      </c>
      <c r="EP371" s="7">
        <v>0.27505523089420825</v>
      </c>
      <c r="EQ371" s="7">
        <v>5.8132430820583093E-2</v>
      </c>
      <c r="ER371" s="7">
        <v>3.9826605811450158E-2</v>
      </c>
      <c r="ES371" s="7">
        <v>0.29956872772675885</v>
      </c>
      <c r="ET371" s="7">
        <v>0.35798955531632554</v>
      </c>
      <c r="EU371" s="6">
        <v>2100</v>
      </c>
      <c r="EV371" s="6">
        <v>0</v>
      </c>
      <c r="EW371" s="6">
        <v>2100</v>
      </c>
      <c r="EX371" s="6">
        <v>0</v>
      </c>
      <c r="EY371" s="6">
        <v>2973.2030985621323</v>
      </c>
      <c r="EZ371" s="6">
        <v>3816</v>
      </c>
      <c r="FA371" s="6">
        <v>0</v>
      </c>
      <c r="FB371" s="6">
        <v>0</v>
      </c>
      <c r="FC371" s="6">
        <v>0</v>
      </c>
      <c r="FD371" s="6">
        <v>0</v>
      </c>
      <c r="FE371" s="6">
        <v>0</v>
      </c>
      <c r="FF371" s="6">
        <v>0</v>
      </c>
      <c r="FG371" s="6">
        <v>0</v>
      </c>
      <c r="FH371" s="6">
        <v>1154.3258969106098</v>
      </c>
      <c r="FI371" s="6">
        <v>1531.4299904380621</v>
      </c>
      <c r="FJ371" s="6">
        <v>2070.7205842538219</v>
      </c>
      <c r="FK371" s="6">
        <v>2218.6393698501015</v>
      </c>
      <c r="FL371" s="6">
        <v>893.91433563489375</v>
      </c>
      <c r="FM371" s="6">
        <v>2123.2030985621323</v>
      </c>
      <c r="FN371" s="6">
        <v>0</v>
      </c>
      <c r="FO371" s="6">
        <v>0</v>
      </c>
      <c r="FP371" s="6">
        <v>0</v>
      </c>
      <c r="FQ371" s="6">
        <v>0</v>
      </c>
      <c r="FR371" s="6">
        <v>0</v>
      </c>
      <c r="FS371" s="6">
        <v>0</v>
      </c>
      <c r="FT371" s="7">
        <v>0.64201044468367452</v>
      </c>
      <c r="FU371" s="7">
        <v>5.8420827589566647E-2</v>
      </c>
      <c r="FV371" s="7">
        <v>0.29956872772675885</v>
      </c>
      <c r="FW371" s="6">
        <v>2099.9999999999995</v>
      </c>
      <c r="FX371" s="6">
        <v>2973.2030985621318</v>
      </c>
      <c r="FY371" s="6">
        <v>3816</v>
      </c>
      <c r="FZ371" s="6">
        <v>2202.331475193394</v>
      </c>
      <c r="GA371" s="6">
        <v>2665.0731844508919</v>
      </c>
      <c r="GB371" s="6">
        <v>17029.926815549108</v>
      </c>
      <c r="GC371" s="7">
        <v>4.8391397220736806E-2</v>
      </c>
      <c r="GD371" s="7">
        <v>5.1698019486808265E-2</v>
      </c>
      <c r="GE371" s="7"/>
      <c r="GF371" s="7"/>
      <c r="GG371" s="7">
        <v>6.8330787205592325E-2</v>
      </c>
      <c r="GH371" s="42">
        <v>2.9082635671064376</v>
      </c>
      <c r="GI371" s="6">
        <v>9437.1554065568598</v>
      </c>
      <c r="GJ371" s="14">
        <v>0.51074630601039561</v>
      </c>
      <c r="GK371" s="14">
        <v>0.50829519786160959</v>
      </c>
      <c r="GL371" s="14">
        <v>0.48925369398960439</v>
      </c>
      <c r="GM371" s="14">
        <v>0.49170480213839035</v>
      </c>
      <c r="GO371" s="5">
        <v>338.16872463277008</v>
      </c>
      <c r="GP371" s="5">
        <v>298.1047308538179</v>
      </c>
      <c r="GQ371" s="5">
        <v>527.27910984145694</v>
      </c>
      <c r="GR371" s="5">
        <v>404.20319246551543</v>
      </c>
      <c r="GS371" s="5">
        <v>334.50205195691484</v>
      </c>
      <c r="GT371" s="5">
        <v>289.18266033348181</v>
      </c>
      <c r="GU371" s="5">
        <v>254.29573314828914</v>
      </c>
      <c r="GV371" s="39" t="s">
        <v>392</v>
      </c>
      <c r="GW371" s="5">
        <v>468.76388888888891</v>
      </c>
      <c r="GX371" s="5">
        <v>351.57291666666669</v>
      </c>
      <c r="GY371" s="5">
        <v>281.25833333333333</v>
      </c>
      <c r="GZ371" s="5">
        <v>240.8550698915011</v>
      </c>
      <c r="HA371" s="5">
        <v>229.8919505212948</v>
      </c>
      <c r="HB371" s="39">
        <v>251.66773689745389</v>
      </c>
      <c r="HC371" s="5">
        <v>116.16562499999998</v>
      </c>
      <c r="HD371" s="5">
        <v>122.37560307017539</v>
      </c>
      <c r="HE371" s="5">
        <v>131.67012904858296</v>
      </c>
      <c r="HF371" s="5">
        <v>129.45817434210522</v>
      </c>
      <c r="HG371" s="5">
        <v>134.43493421052631</v>
      </c>
      <c r="HH371" s="39">
        <v>125.45417963654384</v>
      </c>
      <c r="HI371" s="16"/>
      <c r="HJ371" s="19" t="str">
        <f t="shared" ref="HJ371:HK371" si="1205">HJ370</f>
        <v>On</v>
      </c>
      <c r="HK371" s="1" t="str">
        <f t="shared" si="1205"/>
        <v>On</v>
      </c>
      <c r="HL371" s="16"/>
      <c r="HM371" s="639">
        <f t="shared" si="1151"/>
        <v>2.8970655363290673E-2</v>
      </c>
      <c r="HN371" s="639">
        <f t="shared" si="1152"/>
        <v>2.1835179285533651E-3</v>
      </c>
      <c r="HO371" s="639">
        <f t="shared" si="1153"/>
        <v>1.5544129749146325E-2</v>
      </c>
      <c r="HP371" s="644">
        <f>(FT371*$GD371-HM371)/$JF371*INDEX(Input!$1:$1048576,$JG$93,$C371*2+6)</f>
        <v>174.04797890901153</v>
      </c>
      <c r="HQ371" s="644">
        <f>(FU371*$GD371-HN371)/$JF371*INDEX(Input!$1:$1048576,$JG$93,$C371*2+6)</f>
        <v>34.509365240949499</v>
      </c>
      <c r="HR371" s="644">
        <f>(FV371*$GD371-HO371)/$JF371*INDEX(Input!$1:$1048576,$JG$93,$C371*2+6)</f>
        <v>-2.3516953881025473</v>
      </c>
      <c r="HS371" s="644">
        <f t="shared" si="1141"/>
        <v>-63.023393531019906</v>
      </c>
      <c r="HT371" s="644">
        <f t="shared" si="1154"/>
        <v>97.676750214028019</v>
      </c>
      <c r="HU371" s="644">
        <f t="shared" si="1155"/>
        <v>45.775906338158052</v>
      </c>
      <c r="HV371" s="648">
        <f t="shared" si="1156"/>
        <v>0</v>
      </c>
      <c r="HW371" s="648">
        <f t="shared" si="1157"/>
        <v>0</v>
      </c>
      <c r="HX371" s="648">
        <f t="shared" si="1158"/>
        <v>0</v>
      </c>
      <c r="HY371" s="644">
        <f>INDEX(Input!$1:$1048576,HY$93,$C371*2+6)*INDEX(Input!$1:$1048576,$JG$93,$C371*2+6)</f>
        <v>488.99999999999994</v>
      </c>
      <c r="HZ371" s="644">
        <f>INDEX(Input!$1:$1048576,HZ$93,$C371*2+6)*INDEX(Input!$1:$1048576,$JG$93,$C371*2+6)</f>
        <v>734</v>
      </c>
      <c r="IA371" s="644">
        <f>INDEX(Input!$1:$1048576,IA$93,$C371*2+6)*INDEX(Input!$1:$1048576,$JG$93,$C371*2+6)</f>
        <v>703</v>
      </c>
      <c r="IB371" s="644">
        <f t="shared" si="1179"/>
        <v>600.02458537799168</v>
      </c>
      <c r="IC371" s="644">
        <f t="shared" si="1180"/>
        <v>866.18611545497754</v>
      </c>
      <c r="ID371" s="644">
        <f>IF(AND(INDEX(Input!$1:$1048576,IA$93,$C371*2+7)="TOS",Y371&lt;=INDEX(Y:Y,MATCH(C371*1000+2,A:A))),0,1)*MAX(IA371+HR371+HU371+HX371,0%)</f>
        <v>746.42421095005545</v>
      </c>
      <c r="IE371" s="128">
        <f t="shared" si="1142"/>
        <v>0.27118101688744906</v>
      </c>
      <c r="IF371" s="128">
        <f t="shared" si="1143"/>
        <v>0.39147267849849304</v>
      </c>
      <c r="IG371" s="128">
        <f t="shared" si="1159"/>
        <v>0.33734630461405796</v>
      </c>
      <c r="IH371" s="21"/>
      <c r="II371" s="19">
        <f t="shared" si="1160"/>
        <v>1200</v>
      </c>
      <c r="IJ371" s="19">
        <f t="shared" si="1161"/>
        <v>2224.493581030405</v>
      </c>
      <c r="IK371" s="19">
        <f t="shared" si="1162"/>
        <v>3451.75</v>
      </c>
      <c r="IL371" s="19">
        <f t="shared" si="1181"/>
        <v>899.99999999999955</v>
      </c>
      <c r="IM371" s="19">
        <f t="shared" si="1163"/>
        <v>748.70951753172676</v>
      </c>
      <c r="IN371" s="19">
        <f t="shared" si="1164"/>
        <v>364.25</v>
      </c>
      <c r="IO371" s="39">
        <f t="shared" si="1165"/>
        <v>0</v>
      </c>
      <c r="IP371" s="39">
        <f t="shared" si="1166"/>
        <v>0</v>
      </c>
      <c r="IQ371" s="39">
        <f t="shared" si="1167"/>
        <v>0</v>
      </c>
      <c r="IR371" s="39">
        <v>0</v>
      </c>
      <c r="IS371" s="39">
        <v>0</v>
      </c>
      <c r="IT371" s="39">
        <v>0</v>
      </c>
      <c r="IU371" s="39">
        <v>0</v>
      </c>
      <c r="IV371" s="39">
        <v>0</v>
      </c>
      <c r="IW371" s="39">
        <v>0</v>
      </c>
      <c r="IX371" s="39">
        <f>INDEX(Input!$1:$1048576,IX$93,$C371*2+6)+INDEX(Input!$1:$1048576,IX$94,$C371*2+6)</f>
        <v>1600</v>
      </c>
      <c r="IY371" s="39">
        <f>INDEX(Input!$1:$1048576,IY$93,$C371*2+6)+INDEX(Input!$1:$1048576,IY$94,$C371*2+6)</f>
        <v>2503.5492916397525</v>
      </c>
      <c r="IZ371" s="39">
        <f>INDEX(Input!$1:$1048576,IZ$93,$C371*2+6)+INDEX(Input!$1:$1048576,IZ$94,$C371*2+6)</f>
        <v>5773.7109265464023</v>
      </c>
      <c r="JA371" s="19">
        <f t="shared" si="1182"/>
        <v>2499.9999999999995</v>
      </c>
      <c r="JB371" s="19">
        <f t="shared" si="1183"/>
        <v>3252.2588091714792</v>
      </c>
      <c r="JC371" s="19">
        <f t="shared" si="1184"/>
        <v>6137.9609265464023</v>
      </c>
      <c r="JD371" s="19">
        <f t="shared" si="1185"/>
        <v>4021.7414458512094</v>
      </c>
      <c r="JE371" s="21"/>
      <c r="JF371" s="1">
        <f t="shared" si="1168"/>
        <v>4.6698303040990354E-2</v>
      </c>
      <c r="JG371" s="15">
        <f>INDEX(Input!$1:$1048576,JG$93,$C371*2+6)/(1+VLOOKUP(C371*1000+INDEX(Input!$1:$1048576,JG$93+1,$C371*2+6),$A:$KK,$JK$92,FALSE))</f>
        <v>1926</v>
      </c>
      <c r="JH371" s="1">
        <f t="shared" si="1186"/>
        <v>0.10706419977251221</v>
      </c>
      <c r="JI371" s="1">
        <f t="shared" si="1187"/>
        <v>4.175974196322231E-2</v>
      </c>
      <c r="JJ371" s="1">
        <f t="shared" si="1144"/>
        <v>0</v>
      </c>
      <c r="JK371" s="1">
        <f t="shared" si="1145"/>
        <v>0.14882394173573452</v>
      </c>
      <c r="JL371" s="15">
        <f t="shared" si="1188"/>
        <v>286.63491178302468</v>
      </c>
      <c r="JM371" s="15">
        <f t="shared" si="1074"/>
        <v>2212.6349117830246</v>
      </c>
      <c r="JN371" s="21"/>
      <c r="JO371" s="19">
        <f>INDEX(Input!$1:$1048576,JO$93,$C371*2+6)</f>
        <v>5908.5</v>
      </c>
      <c r="JP371" s="19">
        <f>INDEX(Input!$1:$1048576,JP$93,$C371*2+6)</f>
        <v>3467.7694503767912</v>
      </c>
      <c r="JQ371" s="39">
        <f t="shared" si="1196"/>
        <v>1886.7585541487906</v>
      </c>
      <c r="JR371" s="39">
        <f t="shared" si="1077"/>
        <v>553.97199547441824</v>
      </c>
      <c r="JS371" s="39">
        <f t="shared" si="1197"/>
        <v>8.8986455292551234</v>
      </c>
      <c r="JT371" s="39">
        <f t="shared" si="1189"/>
        <v>2.2197215678294238</v>
      </c>
      <c r="JU371" s="385">
        <f>(JQ371*JM371-INDEX(Input!$1:$1048576,Input!A$18,$C371*2+6)*JL371*INDEX(Input!$1:$1048576,Input!A$19,$C371*2+6))/1000000</f>
        <v>4.1747078470148757</v>
      </c>
      <c r="JV371" s="39">
        <f t="shared" si="1084"/>
        <v>-0.52613919155942401</v>
      </c>
      <c r="JW371" s="1">
        <f t="shared" si="1075"/>
        <v>-0.1119243377293541</v>
      </c>
      <c r="JX371" s="19">
        <f t="shared" si="1201"/>
        <v>7744.0726044903295</v>
      </c>
      <c r="JZ371" s="341"/>
      <c r="KA371" s="342"/>
      <c r="KB371" s="469">
        <f t="shared" si="1198"/>
        <v>2.7822247002359868</v>
      </c>
      <c r="KI371" s="473">
        <f t="shared" si="1146"/>
        <v>111.02458537799174</v>
      </c>
      <c r="KJ371" s="473">
        <f t="shared" si="1147"/>
        <v>132.18611545497754</v>
      </c>
      <c r="KK371" s="473">
        <f t="shared" si="1190"/>
        <v>43.424210950055453</v>
      </c>
      <c r="KN371" s="544">
        <f t="shared" si="1202"/>
        <v>3002</v>
      </c>
      <c r="KO371" s="541">
        <f t="shared" si="1169"/>
        <v>7.4055986621791137E-2</v>
      </c>
      <c r="KP371" s="546">
        <f t="shared" si="1170"/>
        <v>332.78412742755478</v>
      </c>
      <c r="KQ371" s="546">
        <f t="shared" si="1171"/>
        <v>300.66022752583649</v>
      </c>
      <c r="KR371" s="548">
        <f t="shared" si="1172"/>
        <v>3.5547498155566299</v>
      </c>
      <c r="KS371" s="548">
        <f t="shared" si="1173"/>
        <v>3.9345553794328163</v>
      </c>
      <c r="KT371" s="473">
        <f t="shared" si="1199"/>
        <v>527.01264777847621</v>
      </c>
      <c r="KU371" s="663">
        <f t="shared" si="1191"/>
        <v>15.663291410310098</v>
      </c>
    </row>
    <row r="372" spans="1:307" s="26" customFormat="1" ht="15" outlineLevel="1">
      <c r="A372" s="561">
        <f t="shared" si="1174"/>
        <v>3072</v>
      </c>
      <c r="B372" s="561">
        <f t="shared" si="1192"/>
        <v>72</v>
      </c>
      <c r="C372" s="561">
        <f t="shared" si="1193"/>
        <v>3</v>
      </c>
      <c r="D372" s="561" t="str">
        <f t="shared" si="1123"/>
        <v xml:space="preserve">1000 CC, 0/0/0.9/3.9, 180 Lease, </v>
      </c>
      <c r="E372" s="475">
        <f>INDEX(Input!$1:$1048576,E$93,$C372*2+MIN($B372,2)+5)
+INDEX(Scenarios!E$121:E$200,MATCH($B372,Scenarios!$B$121:$B$200,0))</f>
        <v>2250</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8.9999999999999993E-3</v>
      </c>
      <c r="W372" s="863">
        <f>IFERROR(MAX(0,INDEX(Input!$1:$1048576,W$93,$C372*2+MIN($B372,2)+5)-0%,),"Market")</f>
        <v>3.9000000000000007E-2</v>
      </c>
      <c r="X372" s="476" t="str">
        <f>INDEX(Input!$1:$1048576,X$93,$C372*2+MIN($B372,2)+5)</f>
        <v>Y</v>
      </c>
      <c r="Y372" s="475">
        <f>INDEX(Input!$1:$1048576,Y$93,$C372*2+MIN($B372,2)+5)
++INDEX(Scenarios!Y$121:Y$200,MATCH($B372,Scenarios!$B$121:$B$200,0))</f>
        <v>4288</v>
      </c>
      <c r="Z372" s="477">
        <f>INDEX(Input!$1:$1048576,Z$93,$C372*2+MIN($B372,2)+5)
+INDEX(Scenarios!Z$121:Z$200,MATCH($B372,Scenarios!$B$121:$B$200,0))</f>
        <v>0</v>
      </c>
      <c r="AA372" s="475">
        <f>INDEX(Input!$1:$1048576,AA$93,$C372*2+MIN($B372,2)+5)</f>
        <v>500</v>
      </c>
      <c r="AB372" s="476">
        <f>INDEX(Input!$1:$1048576,AB$93,$C372*2+MIN($B372,2)+5)</f>
        <v>0.62</v>
      </c>
      <c r="AC372" s="475">
        <f>INDEX(Input!$1:$1048576,AC$93,$C372*2+MIN($B372,2)+5)
+INDEX(Scenarios!AC$121:AC$200,MATCH($B372,Scenarios!$B$121:$B$200,0))</f>
        <v>0</v>
      </c>
      <c r="AD372" s="476">
        <f>INDEX(Input!$1:$1048576,AD$93,$C372*2+MIN($B372,2)+5)</f>
        <v>0.35</v>
      </c>
      <c r="AE372" s="475">
        <f>INDEX(Input!$1:$1048576,AE$93,$C372*2+MIN($B372,2)+5)
+INDEX(Scenarios!AE$121:AE$200,MATCH($B372,Scenarios!$B$121:$B$200,0))</f>
        <v>500</v>
      </c>
      <c r="AF372" s="476">
        <f>INDEX(Input!$1:$1048576,AF$93,$C372*2+MIN($B372,2)+5)</f>
        <v>0.97</v>
      </c>
      <c r="AG372" s="475">
        <f>INDEX(Input!$1:$1048576,AG$93,$C372*2+MIN($B372,2)+5)
+INDEX(Scenarios!AG$121:AG$200,MATCH($B372,Scenarios!$B$121:$B$200,0))</f>
        <v>0</v>
      </c>
      <c r="AH372" s="476">
        <f>INDEX(Input!$1:$1048576,AH$93,$C372*2+MIN($B372,2)+5)</f>
        <v>1</v>
      </c>
      <c r="AI372" s="475">
        <f>INDEX(Input!$1:$1048576,AI$93,$C372*2+MIN($B372,2)+5)
+INDEX(Scenarios!AI$121:AI$200,MATCH($B372,Scenarios!$B$121:$B$200,0))</f>
        <v>0</v>
      </c>
      <c r="AJ372" s="476">
        <f>INDEX(Input!$1:$1048576,AJ$93,$C372*2+MIN($B372,2)+5)</f>
        <v>0.35</v>
      </c>
      <c r="AK372" s="150">
        <f>ROUND(INDEX(Input!$1:$1048576,AK$93,$C371*2+MIN($B372,1)+5)+(Y372-VLOOKUP($C372*1000+1,$A:$HH,Y$92,FALSE)),0)</f>
        <v>5162</v>
      </c>
      <c r="AL372" s="150">
        <f>ROUND(INDEX(Input!$1:$1048576,AL$93,$C371*2+MIN($B372,1)+5)-(Y372-VLOOKUP($C372*1000+1,$A:$HH,Y$92,FALSE))/36,0)</f>
        <v>5097</v>
      </c>
      <c r="AM372" s="32" t="str">
        <f t="shared" si="1175"/>
        <v>std/std/std/std</v>
      </c>
      <c r="AN372" s="32" t="str">
        <f t="shared" si="1176"/>
        <v>$0 + 0/0/0/0.9/3.9</v>
      </c>
      <c r="AO372" s="32" t="str">
        <f t="shared" si="1177"/>
        <v>0/0/0/0.9/3.9</v>
      </c>
      <c r="AP372" s="32" t="str">
        <f t="shared" si="1125"/>
        <v>0/0/0.9/3.9</v>
      </c>
      <c r="AQ372" s="536">
        <f t="shared" si="1124"/>
        <v>485.30651958405014</v>
      </c>
      <c r="AR372" s="32"/>
      <c r="AS372" s="302"/>
      <c r="AT372" s="3">
        <f t="shared" si="1194"/>
        <v>72</v>
      </c>
      <c r="AU372" s="41" t="s">
        <v>121</v>
      </c>
      <c r="AV372" s="41" t="s">
        <v>116</v>
      </c>
      <c r="AW372" s="41" t="str">
        <f>INDEX(Input!$1:$1048576,AW$93,$C372*2+6)</f>
        <v>Kia</v>
      </c>
      <c r="AX372" s="41" t="str">
        <f>INDEX(Input!$1:$1048576,AX$93,$C372*2+6)</f>
        <v>Kia-LR - L3</v>
      </c>
      <c r="AY372" s="41" t="str">
        <f>IF(LEN(D372)=0,"",INDEX(Input!$1:$1048576,AY$93,$C372*2+6))</f>
        <v>Compact Conventional/Sporty Car (43)</v>
      </c>
      <c r="AZ372" s="41" t="str">
        <f>INDEX(Input!$1:$1048576,AZ$93,$C372*2+6)</f>
        <v>Kia Forte</v>
      </c>
      <c r="BA372" s="3">
        <f>INDEX(Input!$1:$1048576,BA$93,$C372*2+6)</f>
        <v>2020</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19695</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1126"/>
        <v>2250</v>
      </c>
      <c r="CJ372" s="16" t="str">
        <f>INDEX(Input!$1:$1048576,CJ$93,$C372*2+6)</f>
        <v>N</v>
      </c>
      <c r="CK372" s="1" t="str">
        <f t="shared" si="1127"/>
        <v>Market</v>
      </c>
      <c r="CL372" s="1" t="str">
        <f t="shared" si="1128"/>
        <v>Market</v>
      </c>
      <c r="CM372" s="1" t="str">
        <f t="shared" si="1129"/>
        <v>Market</v>
      </c>
      <c r="CN372" s="1" t="str">
        <f t="shared" si="1130"/>
        <v>Market</v>
      </c>
      <c r="CO372" s="1" t="str">
        <f t="shared" si="1131"/>
        <v>Market</v>
      </c>
      <c r="CP372" s="304">
        <f t="shared" si="1132"/>
        <v>310</v>
      </c>
      <c r="CQ372" s="1">
        <f t="shared" si="1133"/>
        <v>0</v>
      </c>
      <c r="CR372" s="1">
        <f t="shared" si="1134"/>
        <v>0</v>
      </c>
      <c r="CS372" s="1">
        <f t="shared" si="1135"/>
        <v>0</v>
      </c>
      <c r="CT372" s="1">
        <f t="shared" si="1136"/>
        <v>8.9999999999999993E-3</v>
      </c>
      <c r="CU372" s="1">
        <f t="shared" si="1137"/>
        <v>3.9000000000000007E-2</v>
      </c>
      <c r="CV372" s="304">
        <f t="shared" si="1138"/>
        <v>4773</v>
      </c>
      <c r="CW372" s="20" t="s">
        <v>122</v>
      </c>
      <c r="CX372" s="20" t="s">
        <v>122</v>
      </c>
      <c r="CY372" s="20" t="s">
        <v>122</v>
      </c>
      <c r="CZ372" s="20" t="s">
        <v>122</v>
      </c>
      <c r="DA372" s="20" t="s">
        <v>122</v>
      </c>
      <c r="DB372" s="503">
        <f t="shared" si="1139"/>
        <v>0</v>
      </c>
      <c r="DC372" s="127">
        <v>0</v>
      </c>
      <c r="DD372" s="127">
        <v>0</v>
      </c>
      <c r="DE372" s="127">
        <v>0</v>
      </c>
      <c r="DF372" s="127">
        <v>0</v>
      </c>
      <c r="DG372" s="127">
        <v>0</v>
      </c>
      <c r="DH372" s="127">
        <v>0</v>
      </c>
      <c r="DI372" s="127">
        <v>0</v>
      </c>
      <c r="DJ372" s="127">
        <v>0</v>
      </c>
      <c r="DK372" s="127">
        <v>0</v>
      </c>
      <c r="DL372" s="127">
        <v>0</v>
      </c>
      <c r="DM372" s="304">
        <f>INDEX(Input!$1:$1048576,DM$93,$C372*2+6)</f>
        <v>20731.578947368424</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3.6561281164519246E-2</v>
      </c>
      <c r="DZ372" s="7">
        <v>0</v>
      </c>
      <c r="EA372" s="7">
        <v>0.63728040340038261</v>
      </c>
      <c r="EB372" s="7">
        <v>0</v>
      </c>
      <c r="EC372" s="7">
        <v>0</v>
      </c>
      <c r="ED372" s="7">
        <v>0</v>
      </c>
      <c r="EE372" s="7">
        <v>0</v>
      </c>
      <c r="EF372" s="7">
        <v>0</v>
      </c>
      <c r="EG372" s="7">
        <v>0</v>
      </c>
      <c r="EH372" s="7">
        <v>1.0165919324053956E-2</v>
      </c>
      <c r="EI372" s="7">
        <v>1.2866222066791437E-2</v>
      </c>
      <c r="EJ372" s="7">
        <v>0.18546271237476994</v>
      </c>
      <c r="EK372" s="7">
        <v>0.75502193513927107</v>
      </c>
      <c r="EL372" s="7">
        <v>3.6483211095113974E-2</v>
      </c>
      <c r="EM372" s="7">
        <v>5.321844356902429E-2</v>
      </c>
      <c r="EN372" s="7">
        <v>5.9571987319108982E-2</v>
      </c>
      <c r="EO372" s="7">
        <v>0.56741374515464948</v>
      </c>
      <c r="EP372" s="7">
        <v>0.2750552308942083</v>
      </c>
      <c r="EQ372" s="7">
        <v>5.8132430820583114E-2</v>
      </c>
      <c r="ER372" s="7">
        <v>3.9826605811450151E-2</v>
      </c>
      <c r="ES372" s="7">
        <v>0.27293987186607399</v>
      </c>
      <c r="ET372" s="7">
        <v>0.32615831543509816</v>
      </c>
      <c r="EU372" s="6">
        <v>2600</v>
      </c>
      <c r="EV372" s="6">
        <v>0</v>
      </c>
      <c r="EW372" s="6">
        <v>2600</v>
      </c>
      <c r="EX372" s="6">
        <v>0</v>
      </c>
      <c r="EY372" s="6">
        <v>2973.2141811405659</v>
      </c>
      <c r="EZ372" s="6">
        <v>3816</v>
      </c>
      <c r="FA372" s="6">
        <v>0</v>
      </c>
      <c r="FB372" s="6">
        <v>0</v>
      </c>
      <c r="FC372" s="6">
        <v>0</v>
      </c>
      <c r="FD372" s="6">
        <v>0</v>
      </c>
      <c r="FE372" s="6">
        <v>0</v>
      </c>
      <c r="FF372" s="6">
        <v>0</v>
      </c>
      <c r="FG372" s="6">
        <v>0</v>
      </c>
      <c r="FH372" s="6">
        <v>1154.322643677034</v>
      </c>
      <c r="FI372" s="6">
        <v>1531.4299904380621</v>
      </c>
      <c r="FJ372" s="6">
        <v>2070.7205842538219</v>
      </c>
      <c r="FK372" s="6">
        <v>2218.6393698501024</v>
      </c>
      <c r="FL372" s="6">
        <v>893.91433563489409</v>
      </c>
      <c r="FM372" s="6">
        <v>2123.2141811405659</v>
      </c>
      <c r="FN372" s="6">
        <v>0</v>
      </c>
      <c r="FO372" s="6">
        <v>0</v>
      </c>
      <c r="FP372" s="6">
        <v>0</v>
      </c>
      <c r="FQ372" s="6">
        <v>0</v>
      </c>
      <c r="FR372" s="6">
        <v>0</v>
      </c>
      <c r="FS372" s="6">
        <v>0</v>
      </c>
      <c r="FT372" s="7">
        <v>0.6738416845649019</v>
      </c>
      <c r="FU372" s="7">
        <v>5.321844356902429E-2</v>
      </c>
      <c r="FV372" s="7">
        <v>0.27293987186607399</v>
      </c>
      <c r="FW372" s="6">
        <v>2599.9999999999995</v>
      </c>
      <c r="FX372" s="6">
        <v>2973.2141811405659</v>
      </c>
      <c r="FY372" s="6">
        <v>3816</v>
      </c>
      <c r="FZ372" s="6">
        <v>2202.331475193394</v>
      </c>
      <c r="GA372" s="6">
        <v>2951.7567620273348</v>
      </c>
      <c r="GB372" s="6">
        <v>16743.243237972667</v>
      </c>
      <c r="GC372" s="7">
        <v>4.8391397220736806E-2</v>
      </c>
      <c r="GD372" s="7">
        <v>5.3962410488919962E-2</v>
      </c>
      <c r="GE372" s="7"/>
      <c r="GF372" s="7"/>
      <c r="GG372" s="7">
        <v>0.11512404245678302</v>
      </c>
      <c r="GH372" s="42">
        <v>3.0254757292286958</v>
      </c>
      <c r="GI372" s="6">
        <v>9461.476806954277</v>
      </c>
      <c r="GJ372" s="14">
        <v>0.5107463060103955</v>
      </c>
      <c r="GK372" s="14">
        <v>0.50829519786160959</v>
      </c>
      <c r="GL372" s="14">
        <v>0.48925369398960433</v>
      </c>
      <c r="GM372" s="14">
        <v>0.49170480213839041</v>
      </c>
      <c r="GO372" s="5">
        <v>338.16872463277008</v>
      </c>
      <c r="GP372" s="5">
        <v>288.56568471597211</v>
      </c>
      <c r="GQ372" s="5">
        <v>527.27910984145694</v>
      </c>
      <c r="GR372" s="5">
        <v>404.20319246551543</v>
      </c>
      <c r="GS372" s="5">
        <v>334.50205195691484</v>
      </c>
      <c r="GT372" s="5">
        <v>289.18266033348181</v>
      </c>
      <c r="GU372" s="5">
        <v>254.29573314828914</v>
      </c>
      <c r="GV372" s="39" t="s">
        <v>392</v>
      </c>
      <c r="GW372" s="5">
        <v>468.76388888888891</v>
      </c>
      <c r="GX372" s="5">
        <v>351.57291666666669</v>
      </c>
      <c r="GY372" s="5">
        <v>281.25833333333333</v>
      </c>
      <c r="GZ372" s="5">
        <v>240.8550698915011</v>
      </c>
      <c r="HA372" s="5">
        <v>229.8919505212948</v>
      </c>
      <c r="HB372" s="39">
        <v>251.68982199050572</v>
      </c>
      <c r="HC372" s="5">
        <v>116.16562499999998</v>
      </c>
      <c r="HD372" s="5">
        <v>122.37560307017539</v>
      </c>
      <c r="HE372" s="5">
        <v>131.67012904858296</v>
      </c>
      <c r="HF372" s="5">
        <v>129.45817434210522</v>
      </c>
      <c r="HG372" s="5">
        <v>134.43493421052631</v>
      </c>
      <c r="HH372" s="39">
        <v>125.45417963654387</v>
      </c>
      <c r="HI372" s="16"/>
      <c r="HJ372" s="19" t="str">
        <f t="shared" ref="HJ372:HK372" si="1206">HJ371</f>
        <v>On</v>
      </c>
      <c r="HK372" s="1" t="str">
        <f t="shared" si="1206"/>
        <v>On</v>
      </c>
      <c r="HL372" s="16"/>
      <c r="HM372" s="639">
        <f t="shared" si="1151"/>
        <v>2.8970655363290673E-2</v>
      </c>
      <c r="HN372" s="639">
        <f t="shared" si="1152"/>
        <v>2.1835179285533651E-3</v>
      </c>
      <c r="HO372" s="639">
        <f t="shared" si="1153"/>
        <v>1.5544129749146325E-2</v>
      </c>
      <c r="HP372" s="644">
        <f>(FT372*$GD372-HM372)/$JF372*INDEX(Input!$1:$1048576,$JG$93,$C372*2+6)</f>
        <v>304.84970587557933</v>
      </c>
      <c r="HQ372" s="644">
        <f>(FU372*$GD372-HN372)/$JF372*INDEX(Input!$1:$1048576,$JG$93,$C372*2+6)</f>
        <v>28.386954372567249</v>
      </c>
      <c r="HR372" s="644">
        <f>(FV372*$GD372-HO372)/$JF372*INDEX(Input!$1:$1048576,$JG$93,$C372*2+6)</f>
        <v>-33.639672057122894</v>
      </c>
      <c r="HS372" s="644">
        <f t="shared" si="1141"/>
        <v>-97.607800556416024</v>
      </c>
      <c r="HT372" s="644">
        <f t="shared" si="1154"/>
        <v>91.633488149249587</v>
      </c>
      <c r="HU372" s="644">
        <f t="shared" si="1155"/>
        <v>51.820786717038942</v>
      </c>
      <c r="HV372" s="648">
        <f t="shared" si="1156"/>
        <v>0</v>
      </c>
      <c r="HW372" s="648">
        <f t="shared" si="1157"/>
        <v>0</v>
      </c>
      <c r="HX372" s="648">
        <f t="shared" si="1158"/>
        <v>0</v>
      </c>
      <c r="HY372" s="644">
        <f>INDEX(Input!$1:$1048576,HY$93,$C372*2+6)*INDEX(Input!$1:$1048576,$JG$93,$C372*2+6)</f>
        <v>488.99999999999994</v>
      </c>
      <c r="HZ372" s="644">
        <f>INDEX(Input!$1:$1048576,HZ$93,$C372*2+6)*INDEX(Input!$1:$1048576,$JG$93,$C372*2+6)</f>
        <v>734</v>
      </c>
      <c r="IA372" s="644">
        <f>INDEX(Input!$1:$1048576,IA$93,$C372*2+6)*INDEX(Input!$1:$1048576,$JG$93,$C372*2+6)</f>
        <v>703</v>
      </c>
      <c r="IB372" s="644">
        <f t="shared" si="1179"/>
        <v>696.24190531916327</v>
      </c>
      <c r="IC372" s="644">
        <f t="shared" si="1180"/>
        <v>854.0204425218169</v>
      </c>
      <c r="ID372" s="644">
        <f>IF(AND(INDEX(Input!$1:$1048576,IA$93,$C372*2+7)="TOS",Y372&lt;=INDEX(Y:Y,MATCH(C372*1000+2,A:A))),0,1)*MAX(IA372+HR372+HU372+HX372,0%)</f>
        <v>721.18111465991603</v>
      </c>
      <c r="IE372" s="128">
        <f t="shared" si="1142"/>
        <v>0.30651958405013063</v>
      </c>
      <c r="IF372" s="128">
        <f t="shared" si="1143"/>
        <v>0.37598137775418211</v>
      </c>
      <c r="IG372" s="128">
        <f t="shared" si="1159"/>
        <v>0.3174990381956872</v>
      </c>
      <c r="IH372" s="21"/>
      <c r="II372" s="19">
        <f t="shared" si="1160"/>
        <v>1200</v>
      </c>
      <c r="IJ372" s="19">
        <f t="shared" si="1161"/>
        <v>2224.493581030405</v>
      </c>
      <c r="IK372" s="19">
        <f t="shared" si="1162"/>
        <v>3451.75</v>
      </c>
      <c r="IL372" s="19">
        <f t="shared" si="1181"/>
        <v>1399.9999999999995</v>
      </c>
      <c r="IM372" s="19">
        <f t="shared" si="1163"/>
        <v>748.72060011016083</v>
      </c>
      <c r="IN372" s="19">
        <f t="shared" si="1164"/>
        <v>364.25</v>
      </c>
      <c r="IO372" s="39">
        <f t="shared" si="1165"/>
        <v>0</v>
      </c>
      <c r="IP372" s="39">
        <f t="shared" si="1166"/>
        <v>0</v>
      </c>
      <c r="IQ372" s="39">
        <f t="shared" si="1167"/>
        <v>0</v>
      </c>
      <c r="IR372" s="39">
        <v>0</v>
      </c>
      <c r="IS372" s="39">
        <v>0</v>
      </c>
      <c r="IT372" s="39">
        <v>0</v>
      </c>
      <c r="IU372" s="39">
        <v>0</v>
      </c>
      <c r="IV372" s="39">
        <v>0</v>
      </c>
      <c r="IW372" s="39">
        <v>0</v>
      </c>
      <c r="IX372" s="39">
        <f>INDEX(Input!$1:$1048576,IX$93,$C372*2+6)+INDEX(Input!$1:$1048576,IX$94,$C372*2+6)</f>
        <v>1600</v>
      </c>
      <c r="IY372" s="39">
        <f>INDEX(Input!$1:$1048576,IY$93,$C372*2+6)+INDEX(Input!$1:$1048576,IY$94,$C372*2+6)</f>
        <v>2503.5492916397525</v>
      </c>
      <c r="IZ372" s="39">
        <f>INDEX(Input!$1:$1048576,IZ$93,$C372*2+6)+INDEX(Input!$1:$1048576,IZ$94,$C372*2+6)</f>
        <v>5773.7109265464023</v>
      </c>
      <c r="JA372" s="19">
        <f t="shared" si="1182"/>
        <v>2999.9999999999995</v>
      </c>
      <c r="JB372" s="19">
        <f t="shared" si="1183"/>
        <v>3252.2698917499133</v>
      </c>
      <c r="JC372" s="19">
        <f t="shared" si="1184"/>
        <v>6137.9609265464023</v>
      </c>
      <c r="JD372" s="19">
        <f t="shared" si="1185"/>
        <v>4091.1483575401608</v>
      </c>
      <c r="JE372" s="21"/>
      <c r="JF372" s="1">
        <f t="shared" si="1168"/>
        <v>4.6698303040990354E-2</v>
      </c>
      <c r="JG372" s="15">
        <f>INDEX(Input!$1:$1048576,JG$93,$C372*2+6)/(1+VLOOKUP(C372*1000+INDEX(Input!$1:$1048576,JG$93+1,$C372*2+6),$A:$KK,$JK$92,FALSE))</f>
        <v>1926</v>
      </c>
      <c r="JH372" s="1">
        <f t="shared" si="1186"/>
        <v>0.15555399179180876</v>
      </c>
      <c r="JI372" s="1">
        <f t="shared" si="1187"/>
        <v>2.3803984584565164E-2</v>
      </c>
      <c r="JJ372" s="1">
        <f t="shared" si="1144"/>
        <v>0</v>
      </c>
      <c r="JK372" s="1">
        <f t="shared" si="1145"/>
        <v>0.17935797637637393</v>
      </c>
      <c r="JL372" s="15">
        <f t="shared" si="1188"/>
        <v>345.4434625008962</v>
      </c>
      <c r="JM372" s="15">
        <f t="shared" ref="JM372:JM381" si="1207">JG372+JL372</f>
        <v>2271.4434625008962</v>
      </c>
      <c r="JN372" s="21"/>
      <c r="JO372" s="19">
        <f>INDEX(Input!$1:$1048576,JO$93,$C372*2+6)</f>
        <v>5908.5</v>
      </c>
      <c r="JP372" s="19">
        <f>INDEX(Input!$1:$1048576,JP$93,$C372*2+6)</f>
        <v>3467.7694503767912</v>
      </c>
      <c r="JQ372" s="39">
        <f t="shared" si="1196"/>
        <v>1817.3516424598392</v>
      </c>
      <c r="JR372" s="39">
        <f t="shared" si="1077"/>
        <v>623.3789071633696</v>
      </c>
      <c r="JS372" s="39">
        <f t="shared" si="1197"/>
        <v>9.2928121908558783</v>
      </c>
      <c r="JT372" s="39">
        <f t="shared" si="1189"/>
        <v>2.6138882294301773</v>
      </c>
      <c r="JU372" s="385">
        <f>(JQ372*JM372-INDEX(Input!$1:$1048576,Input!A$18,$C372*2+6)*JL372*INDEX(Input!$1:$1048576,Input!A$19,$C372*2+6))/1000000</f>
        <v>4.128011507330668</v>
      </c>
      <c r="JV372" s="39">
        <f t="shared" si="1084"/>
        <v>-0.57283553124363173</v>
      </c>
      <c r="JW372" s="1">
        <f t="shared" ref="JW372:JW381" si="1208">JV372/(JU372-JV372)</f>
        <v>-0.12185793890825357</v>
      </c>
      <c r="JX372" s="19">
        <f t="shared" si="1201"/>
        <v>7566.7613174859143</v>
      </c>
      <c r="JZ372" s="341"/>
      <c r="KA372" s="342"/>
      <c r="KB372" s="469">
        <f t="shared" si="1198"/>
        <v>2.7822247002359868</v>
      </c>
      <c r="KI372" s="473">
        <f t="shared" si="1146"/>
        <v>207.24190531916321</v>
      </c>
      <c r="KJ372" s="473">
        <f t="shared" si="1147"/>
        <v>120.02044252181679</v>
      </c>
      <c r="KK372" s="473">
        <f t="shared" si="1190"/>
        <v>18.181114659916034</v>
      </c>
      <c r="KN372" s="544">
        <f t="shared" si="1202"/>
        <v>3002</v>
      </c>
      <c r="KO372" s="541">
        <f t="shared" si="1169"/>
        <v>0.10260280002815714</v>
      </c>
      <c r="KP372" s="546">
        <f t="shared" si="1170"/>
        <v>494.74443981851454</v>
      </c>
      <c r="KQ372" s="546">
        <f t="shared" si="1171"/>
        <v>370.06713921478786</v>
      </c>
      <c r="KR372" s="548">
        <f t="shared" si="1172"/>
        <v>3.3127583910258855</v>
      </c>
      <c r="KS372" s="548">
        <f t="shared" si="1173"/>
        <v>4.428841744500108</v>
      </c>
      <c r="KT372" s="473">
        <f t="shared" si="1199"/>
        <v>527.01264777847621</v>
      </c>
      <c r="KU372" s="663">
        <f t="shared" si="1191"/>
        <v>15.93475647121573</v>
      </c>
    </row>
    <row r="373" spans="1:307" s="26" customFormat="1" ht="15" outlineLevel="1">
      <c r="A373" s="561">
        <f t="shared" si="1174"/>
        <v>3073</v>
      </c>
      <c r="B373" s="561">
        <f t="shared" si="1192"/>
        <v>73</v>
      </c>
      <c r="C373" s="561">
        <f t="shared" si="1193"/>
        <v>3</v>
      </c>
      <c r="D373" s="561" t="str">
        <f t="shared" si="1123"/>
        <v xml:space="preserve">500 CC, 0.9/1.9/2.9/3.9, 1000 Combo, </v>
      </c>
      <c r="E373" s="475">
        <f>INDEX(Input!$1:$1048576,E$93,$C373*2+MIN($B373,2)+5)
+INDEX(Scenarios!E$121:E$200,MATCH($B373,Scenarios!$B$121:$B$200,0))</f>
        <v>1750</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1000</v>
      </c>
      <c r="R373" s="478">
        <f>IFERROR(MAX(0,INDEX(Input!$1:$1048576,R$93,$C373*2+MIN($B373,2)+5)
+INDEX(Scenarios!R$121:R$200,MATCH($B373,Scenarios!$B$121:$B$200,0)),),"Market")</f>
        <v>9.0000000000000011E-3</v>
      </c>
      <c r="S373" s="478">
        <f>IFERROR(MAX(0,INDEX(Input!$1:$1048576,S$93,$C373*2+MIN($B373,2)+5)
+INDEX(Scenarios!S$121:S$200,MATCH($B373,Scenarios!$B$121:$B$200,0)),),"Market")</f>
        <v>9.0000000000000011E-3</v>
      </c>
      <c r="T373" s="478">
        <f>IFERROR(MAX(0,INDEX(Input!$1:$1048576,T$93,$C373*2+MIN($B373,2)+5)
+INDEX(Scenarios!T$121:T$200,MATCH($B373,Scenarios!$B$121:$B$200,0)),),"Market")</f>
        <v>9.0000000000000011E-3</v>
      </c>
      <c r="U373" s="478">
        <f>IFERROR(MAX(0,INDEX(Input!$1:$1048576,U$93,$C373*2+MIN($B373,2)+5)
+INDEX(Scenarios!U$121:U$200,MATCH($B373,Scenarios!$B$121:$B$200,0)),),"Market")</f>
        <v>9.0000000000000011E-3</v>
      </c>
      <c r="V373" s="478">
        <f>IFERROR(MAX(0,INDEX(Input!$1:$1048576,V$93,$C373*2+MIN($B373,2)+5)
+INDEX(Scenarios!V$121:V$200,MATCH($B373,Scenarios!$B$121:$B$200,0)),),"Market")</f>
        <v>2.8999999999999998E-2</v>
      </c>
      <c r="W373" s="863">
        <f>IFERROR(MAX(0,INDEX(Input!$1:$1048576,W$93,$C373*2+MIN($B373,2)+5)-0%,),"Market")</f>
        <v>3.9000000000000007E-2</v>
      </c>
      <c r="X373" s="476" t="str">
        <f>INDEX(Input!$1:$1048576,X$93,$C373*2+MIN($B373,2)+5)</f>
        <v>Y</v>
      </c>
      <c r="Y373" s="475">
        <f>INDEX(Input!$1:$1048576,Y$93,$C373*2+MIN($B373,2)+5)
++INDEX(Scenarios!Y$121:Y$200,MATCH($B373,Scenarios!$B$121:$B$200,0))</f>
        <v>4108</v>
      </c>
      <c r="Z373" s="477">
        <f>INDEX(Input!$1:$1048576,Z$93,$C373*2+MIN($B373,2)+5)
+INDEX(Scenarios!Z$121:Z$200,MATCH($B373,Scenarios!$B$121:$B$200,0))</f>
        <v>0</v>
      </c>
      <c r="AA373" s="475">
        <f>INDEX(Input!$1:$1048576,AA$93,$C373*2+MIN($B373,2)+5)</f>
        <v>500</v>
      </c>
      <c r="AB373" s="476">
        <f>INDEX(Input!$1:$1048576,AB$93,$C373*2+MIN($B373,2)+5)</f>
        <v>0.62</v>
      </c>
      <c r="AC373" s="475">
        <f>INDEX(Input!$1:$1048576,AC$93,$C373*2+MIN($B373,2)+5)
+INDEX(Scenarios!AC$121:AC$200,MATCH($B373,Scenarios!$B$121:$B$200,0))</f>
        <v>0</v>
      </c>
      <c r="AD373" s="476">
        <f>INDEX(Input!$1:$1048576,AD$93,$C373*2+MIN($B373,2)+5)</f>
        <v>0.35</v>
      </c>
      <c r="AE373" s="475">
        <f>INDEX(Input!$1:$1048576,AE$93,$C373*2+MIN($B373,2)+5)
+INDEX(Scenarios!AE$121:AE$200,MATCH($B373,Scenarios!$B$121:$B$200,0))</f>
        <v>500</v>
      </c>
      <c r="AF373" s="476">
        <f>INDEX(Input!$1:$1048576,AF$93,$C373*2+MIN($B373,2)+5)</f>
        <v>0.97</v>
      </c>
      <c r="AG373" s="475">
        <f>INDEX(Input!$1:$1048576,AG$93,$C373*2+MIN($B373,2)+5)
+INDEX(Scenarios!AG$121:AG$200,MATCH($B373,Scenarios!$B$121:$B$200,0))</f>
        <v>0</v>
      </c>
      <c r="AH373" s="476">
        <f>INDEX(Input!$1:$1048576,AH$93,$C373*2+MIN($B373,2)+5)</f>
        <v>1</v>
      </c>
      <c r="AI373" s="475">
        <f>INDEX(Input!$1:$1048576,AI$93,$C373*2+MIN($B373,2)+5)
+INDEX(Scenarios!AI$121:AI$200,MATCH($B373,Scenarios!$B$121:$B$200,0))</f>
        <v>0</v>
      </c>
      <c r="AJ373" s="476">
        <f>INDEX(Input!$1:$1048576,AJ$93,$C373*2+MIN($B373,2)+5)</f>
        <v>0.35</v>
      </c>
      <c r="AK373" s="150">
        <f>ROUND(INDEX(Input!$1:$1048576,AK$93,$C372*2+MIN($B373,1)+5)+(Y373-VLOOKUP($C373*1000+1,$A:$HH,Y$92,FALSE)),0)</f>
        <v>4982</v>
      </c>
      <c r="AL373" s="150">
        <f>ROUND(INDEX(Input!$1:$1048576,AL$93,$C372*2+MIN($B373,1)+5)-(Y373-VLOOKUP($C373*1000+1,$A:$HH,Y$92,FALSE))/36,0)</f>
        <v>5102</v>
      </c>
      <c r="AM373" s="32" t="str">
        <f t="shared" si="1175"/>
        <v>std/std/std/std</v>
      </c>
      <c r="AN373" s="32" t="str">
        <f t="shared" si="1176"/>
        <v>$1000 + 0.9/0.9/0.9/2.9/3.9</v>
      </c>
      <c r="AO373" s="32" t="str">
        <f t="shared" si="1177"/>
        <v>0.9/0.9/0.9/2.9/3.9</v>
      </c>
      <c r="AP373" s="32" t="str">
        <f t="shared" si="1125"/>
        <v>0.9/1.9/2.9/3.9</v>
      </c>
      <c r="AQ373" s="536">
        <f t="shared" si="1124"/>
        <v>485.28518368025368</v>
      </c>
      <c r="AR373" s="32"/>
      <c r="AS373" s="302"/>
      <c r="AT373" s="3">
        <f t="shared" si="1194"/>
        <v>73</v>
      </c>
      <c r="AU373" s="41" t="s">
        <v>121</v>
      </c>
      <c r="AV373" s="41" t="s">
        <v>116</v>
      </c>
      <c r="AW373" s="41" t="str">
        <f>INDEX(Input!$1:$1048576,AW$93,$C373*2+6)</f>
        <v>Kia</v>
      </c>
      <c r="AX373" s="41" t="str">
        <f>INDEX(Input!$1:$1048576,AX$93,$C373*2+6)</f>
        <v>Kia-LR - L3</v>
      </c>
      <c r="AY373" s="41" t="str">
        <f>IF(LEN(D373)=0,"",INDEX(Input!$1:$1048576,AY$93,$C373*2+6))</f>
        <v>Compact Conventional/Sporty Car (43)</v>
      </c>
      <c r="AZ373" s="41" t="str">
        <f>INDEX(Input!$1:$1048576,AZ$93,$C373*2+6)</f>
        <v>Kia Forte</v>
      </c>
      <c r="BA373" s="3">
        <f>INDEX(Input!$1:$1048576,BA$93,$C373*2+6)</f>
        <v>2020</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19695</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1126"/>
        <v>1750</v>
      </c>
      <c r="CJ373" s="16" t="str">
        <f>INDEX(Input!$1:$1048576,CJ$93,$C373*2+6)</f>
        <v>N</v>
      </c>
      <c r="CK373" s="1" t="str">
        <f t="shared" si="1127"/>
        <v>Market</v>
      </c>
      <c r="CL373" s="1" t="str">
        <f t="shared" si="1128"/>
        <v>Market</v>
      </c>
      <c r="CM373" s="1" t="str">
        <f t="shared" si="1129"/>
        <v>Market</v>
      </c>
      <c r="CN373" s="1" t="str">
        <f t="shared" si="1130"/>
        <v>Market</v>
      </c>
      <c r="CO373" s="1" t="str">
        <f t="shared" si="1131"/>
        <v>Market</v>
      </c>
      <c r="CP373" s="304">
        <f t="shared" si="1132"/>
        <v>1310</v>
      </c>
      <c r="CQ373" s="1">
        <f t="shared" si="1133"/>
        <v>9.0000000000000011E-3</v>
      </c>
      <c r="CR373" s="1">
        <f t="shared" si="1134"/>
        <v>9.0000000000000011E-3</v>
      </c>
      <c r="CS373" s="1">
        <f t="shared" si="1135"/>
        <v>9.0000000000000011E-3</v>
      </c>
      <c r="CT373" s="1">
        <f t="shared" si="1136"/>
        <v>2.8999999999999998E-2</v>
      </c>
      <c r="CU373" s="1">
        <f t="shared" si="1137"/>
        <v>3.9000000000000007E-2</v>
      </c>
      <c r="CV373" s="304">
        <f t="shared" si="1138"/>
        <v>4593</v>
      </c>
      <c r="CW373" s="20" t="s">
        <v>122</v>
      </c>
      <c r="CX373" s="20" t="s">
        <v>122</v>
      </c>
      <c r="CY373" s="20" t="s">
        <v>122</v>
      </c>
      <c r="CZ373" s="20" t="s">
        <v>122</v>
      </c>
      <c r="DA373" s="20" t="s">
        <v>122</v>
      </c>
      <c r="DB373" s="503">
        <f t="shared" si="1139"/>
        <v>0</v>
      </c>
      <c r="DC373" s="127">
        <v>0</v>
      </c>
      <c r="DD373" s="127">
        <v>0</v>
      </c>
      <c r="DE373" s="127">
        <v>0</v>
      </c>
      <c r="DF373" s="127">
        <v>0</v>
      </c>
      <c r="DG373" s="127">
        <v>0</v>
      </c>
      <c r="DH373" s="127">
        <v>0</v>
      </c>
      <c r="DI373" s="127">
        <v>0</v>
      </c>
      <c r="DJ373" s="127">
        <v>0</v>
      </c>
      <c r="DK373" s="127">
        <v>0</v>
      </c>
      <c r="DL373" s="127">
        <v>0</v>
      </c>
      <c r="DM373" s="304">
        <f>INDEX(Input!$1:$1048576,DM$93,$C373*2+6)</f>
        <v>20731.578947368424</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3.598331161142284E-2</v>
      </c>
      <c r="DZ373" s="7">
        <v>0</v>
      </c>
      <c r="EA373" s="7">
        <v>0.62981890004474894</v>
      </c>
      <c r="EB373" s="7">
        <v>0</v>
      </c>
      <c r="EC373" s="7">
        <v>0</v>
      </c>
      <c r="ED373" s="7">
        <v>0</v>
      </c>
      <c r="EE373" s="7">
        <v>0</v>
      </c>
      <c r="EF373" s="7">
        <v>0</v>
      </c>
      <c r="EG373" s="7">
        <v>0</v>
      </c>
      <c r="EH373" s="7">
        <v>1.7449846428735157E-2</v>
      </c>
      <c r="EI373" s="7">
        <v>2.0705775550521492E-2</v>
      </c>
      <c r="EJ373" s="7">
        <v>0.28040341390828288</v>
      </c>
      <c r="EK373" s="7">
        <v>0.60581938563905535</v>
      </c>
      <c r="EL373" s="7">
        <v>7.5621578473405018E-2</v>
      </c>
      <c r="EM373" s="7">
        <v>3.9493345666886795E-2</v>
      </c>
      <c r="EN373" s="7">
        <v>5.8903840649550711E-2</v>
      </c>
      <c r="EO373" s="7">
        <v>0.5680644908961251</v>
      </c>
      <c r="EP373" s="7">
        <v>0.2741070959193187</v>
      </c>
      <c r="EQ373" s="7">
        <v>5.8713575146425334E-2</v>
      </c>
      <c r="ER373" s="7">
        <v>4.0210997388580236E-2</v>
      </c>
      <c r="ES373" s="7">
        <v>0.2947044426769414</v>
      </c>
      <c r="ET373" s="7">
        <v>0.33419778834382824</v>
      </c>
      <c r="EU373" s="6">
        <v>2100</v>
      </c>
      <c r="EV373" s="6">
        <v>0</v>
      </c>
      <c r="EW373" s="6">
        <v>2100</v>
      </c>
      <c r="EX373" s="6">
        <v>0</v>
      </c>
      <c r="EY373" s="6">
        <v>3205.9229875390852</v>
      </c>
      <c r="EZ373" s="6">
        <v>3636</v>
      </c>
      <c r="FA373" s="6">
        <v>0</v>
      </c>
      <c r="FB373" s="6">
        <v>0</v>
      </c>
      <c r="FC373" s="6">
        <v>0</v>
      </c>
      <c r="FD373" s="6">
        <v>0</v>
      </c>
      <c r="FE373" s="6">
        <v>0</v>
      </c>
      <c r="FF373" s="6">
        <v>0</v>
      </c>
      <c r="FG373" s="6">
        <v>0</v>
      </c>
      <c r="FH373" s="6">
        <v>926.39490374556408</v>
      </c>
      <c r="FI373" s="6">
        <v>1232.1164465304228</v>
      </c>
      <c r="FJ373" s="6">
        <v>1709.9775738488456</v>
      </c>
      <c r="FK373" s="6">
        <v>1266.3227157028191</v>
      </c>
      <c r="FL373" s="6">
        <v>893.91433563489375</v>
      </c>
      <c r="FM373" s="6">
        <v>1355.9229875390852</v>
      </c>
      <c r="FN373" s="6">
        <v>0</v>
      </c>
      <c r="FO373" s="6">
        <v>0</v>
      </c>
      <c r="FP373" s="6">
        <v>0</v>
      </c>
      <c r="FQ373" s="6">
        <v>0</v>
      </c>
      <c r="FR373" s="6">
        <v>0</v>
      </c>
      <c r="FS373" s="6">
        <v>0</v>
      </c>
      <c r="FT373" s="7">
        <v>0.66580221165617182</v>
      </c>
      <c r="FU373" s="7">
        <v>3.9493345666886795E-2</v>
      </c>
      <c r="FV373" s="7">
        <v>0.2947044426769414</v>
      </c>
      <c r="FW373" s="6">
        <v>2100</v>
      </c>
      <c r="FX373" s="6">
        <v>3205.9229875390852</v>
      </c>
      <c r="FY373" s="6">
        <v>3636</v>
      </c>
      <c r="FZ373" s="6">
        <v>2202.331475193394</v>
      </c>
      <c r="GA373" s="6">
        <v>2596.342622779619</v>
      </c>
      <c r="GB373" s="6">
        <v>17098.657377220381</v>
      </c>
      <c r="GC373" s="7">
        <v>4.8391397220736806E-2</v>
      </c>
      <c r="GD373" s="7">
        <v>5.0762075779519043E-2</v>
      </c>
      <c r="GE373" s="7"/>
      <c r="GF373" s="7"/>
      <c r="GG373" s="7">
        <v>4.8989669547428311E-2</v>
      </c>
      <c r="GH373" s="42">
        <v>2.4487924964748706</v>
      </c>
      <c r="GI373" s="6">
        <v>10639.082066138617</v>
      </c>
      <c r="GJ373" s="14">
        <v>0.51074630601039517</v>
      </c>
      <c r="GK373" s="14">
        <v>0.50829519786160937</v>
      </c>
      <c r="GL373" s="14">
        <v>0.48925369398960417</v>
      </c>
      <c r="GM373" s="14">
        <v>0.49170480213839013</v>
      </c>
      <c r="GO373" s="5">
        <v>338.16872463277008</v>
      </c>
      <c r="GP373" s="5">
        <v>298.1047308538179</v>
      </c>
      <c r="GQ373" s="5">
        <v>527.27910984145694</v>
      </c>
      <c r="GR373" s="5">
        <v>404.20319246551543</v>
      </c>
      <c r="GS373" s="5">
        <v>334.50205195691484</v>
      </c>
      <c r="GT373" s="5">
        <v>289.18266033348181</v>
      </c>
      <c r="GU373" s="5">
        <v>254.29573314828914</v>
      </c>
      <c r="GV373" s="39" t="s">
        <v>392</v>
      </c>
      <c r="GW373" s="5">
        <v>447.1315522792483</v>
      </c>
      <c r="GX373" s="5">
        <v>336.85261339557292</v>
      </c>
      <c r="GY373" s="5">
        <v>270.68882024685041</v>
      </c>
      <c r="GZ373" s="5">
        <v>240.49762667968707</v>
      </c>
      <c r="HA373" s="5">
        <v>216.26912746293831</v>
      </c>
      <c r="HB373" s="39">
        <v>252.73197806786487</v>
      </c>
      <c r="HC373" s="5">
        <v>124.04062499999996</v>
      </c>
      <c r="HD373" s="5">
        <v>127.75060307017539</v>
      </c>
      <c r="HE373" s="5">
        <v>136.66051366396758</v>
      </c>
      <c r="HF373" s="5">
        <v>133.62067434210525</v>
      </c>
      <c r="HG373" s="5">
        <v>137.88493421052632</v>
      </c>
      <c r="HH373" s="39">
        <v>130.72650526464059</v>
      </c>
      <c r="HI373" s="16"/>
      <c r="HJ373" s="19" t="str">
        <f t="shared" ref="HJ373:HK373" si="1209">HJ372</f>
        <v>On</v>
      </c>
      <c r="HK373" s="1" t="str">
        <f t="shared" si="1209"/>
        <v>On</v>
      </c>
      <c r="HL373" s="16"/>
      <c r="HM373" s="639">
        <f t="shared" si="1151"/>
        <v>2.8970655363290673E-2</v>
      </c>
      <c r="HN373" s="639">
        <f t="shared" si="1152"/>
        <v>2.1835179285533651E-3</v>
      </c>
      <c r="HO373" s="639">
        <f t="shared" si="1153"/>
        <v>1.5544129749146325E-2</v>
      </c>
      <c r="HP373" s="644">
        <f>(FT373*$GD373-HM373)/$JF373*INDEX(Input!$1:$1048576,$JG$93,$C373*2+6)</f>
        <v>199.07591149122771</v>
      </c>
      <c r="HQ373" s="644">
        <f>(FU373*$GD373-HN373)/$JF373*INDEX(Input!$1:$1048576,$JG$93,$C373*2+6)</f>
        <v>-7.372423581264866</v>
      </c>
      <c r="HR373" s="644">
        <f>(FV373*$GD373-HO373)/$JF373*INDEX(Input!$1:$1048576,$JG$93,$C373*2+6)</f>
        <v>-24.099404148373175</v>
      </c>
      <c r="HS373" s="644">
        <f t="shared" si="1141"/>
        <v>-63.263191571541242</v>
      </c>
      <c r="HT373" s="644">
        <f t="shared" ref="HT373:HT380" si="1210">IF(AND(HJ373="On",HK373="On"),IM373/1000*INDEX(KG:KG,MATCH(C373*1000+4,$KF:$KF,0))*SUM(HY373:IA373)*1.1
+INDEX(HR:HR,MATCH(C373*1000+3,$KF:$KF,0))/INDEX(IL:IL,MATCH(C373*1000+3,$KF:$KF,0))*IL373*20%,0)</f>
        <v>131.41946630538106</v>
      </c>
      <c r="HU373" s="644">
        <f t="shared" si="1155"/>
        <v>29.152948198155553</v>
      </c>
      <c r="HV373" s="648">
        <f t="shared" si="1156"/>
        <v>0</v>
      </c>
      <c r="HW373" s="648">
        <f t="shared" si="1157"/>
        <v>0</v>
      </c>
      <c r="HX373" s="648">
        <f t="shared" si="1158"/>
        <v>0</v>
      </c>
      <c r="HY373" s="644">
        <f>INDEX(Input!$1:$1048576,HY$93,$C373*2+6)*INDEX(Input!$1:$1048576,$JG$93,$C373*2+6)</f>
        <v>488.99999999999994</v>
      </c>
      <c r="HZ373" s="644">
        <f>INDEX(Input!$1:$1048576,HZ$93,$C373*2+6)*INDEX(Input!$1:$1048576,$JG$93,$C373*2+6)</f>
        <v>734</v>
      </c>
      <c r="IA373" s="644">
        <f>INDEX(Input!$1:$1048576,IA$93,$C373*2+6)*INDEX(Input!$1:$1048576,$JG$93,$C373*2+6)</f>
        <v>703</v>
      </c>
      <c r="IB373" s="644">
        <f t="shared" si="1179"/>
        <v>624.81271991968663</v>
      </c>
      <c r="IC373" s="644">
        <f t="shared" si="1180"/>
        <v>858.04704272411618</v>
      </c>
      <c r="ID373" s="644">
        <f>IF(AND(INDEX(Input!$1:$1048576,IA$93,$C373*2+7)="TOS",Y373&lt;=INDEX(Y:Y,MATCH(C373*1000+2,A:A))),0,1)*MAX(IA373+HR373+HU373+HX373,0%)</f>
        <v>708.05354404978232</v>
      </c>
      <c r="IE373" s="128">
        <f t="shared" ref="IE373:IE380" si="1211">IB373/SUM($IB373:$ID373)</f>
        <v>0.28518368025370305</v>
      </c>
      <c r="IF373" s="128">
        <f t="shared" ref="IF373:IF380" si="1212">IC373/SUM($IB373:$ID373)</f>
        <v>0.39163897544583226</v>
      </c>
      <c r="IG373" s="128">
        <f t="shared" ref="IG373:IG381" si="1213">ID373/SUM($IB373:$ID373)</f>
        <v>0.32317734430046469</v>
      </c>
      <c r="IH373" s="21"/>
      <c r="II373" s="19">
        <f t="shared" si="1160"/>
        <v>1200</v>
      </c>
      <c r="IJ373" s="19">
        <f t="shared" si="1161"/>
        <v>2224.493581030405</v>
      </c>
      <c r="IK373" s="19">
        <f t="shared" si="1162"/>
        <v>3451.75</v>
      </c>
      <c r="IL373" s="19">
        <f t="shared" si="1181"/>
        <v>900</v>
      </c>
      <c r="IM373" s="19">
        <f t="shared" si="1163"/>
        <v>981.42940650868013</v>
      </c>
      <c r="IN373" s="19">
        <f t="shared" si="1164"/>
        <v>184.25</v>
      </c>
      <c r="IO373" s="39">
        <f t="shared" si="1165"/>
        <v>0</v>
      </c>
      <c r="IP373" s="39">
        <f t="shared" si="1166"/>
        <v>0</v>
      </c>
      <c r="IQ373" s="39">
        <f t="shared" si="1167"/>
        <v>0</v>
      </c>
      <c r="IR373" s="39">
        <v>0</v>
      </c>
      <c r="IS373" s="39">
        <v>0</v>
      </c>
      <c r="IT373" s="39">
        <v>0</v>
      </c>
      <c r="IU373" s="39">
        <v>0</v>
      </c>
      <c r="IV373" s="39">
        <v>0</v>
      </c>
      <c r="IW373" s="39">
        <v>0</v>
      </c>
      <c r="IX373" s="39">
        <f>INDEX(Input!$1:$1048576,IX$93,$C373*2+6)+INDEX(Input!$1:$1048576,IX$94,$C373*2+6)</f>
        <v>1600</v>
      </c>
      <c r="IY373" s="39">
        <f>INDEX(Input!$1:$1048576,IY$93,$C373*2+6)+INDEX(Input!$1:$1048576,IY$94,$C373*2+6)</f>
        <v>2503.5492916397525</v>
      </c>
      <c r="IZ373" s="39">
        <f>INDEX(Input!$1:$1048576,IZ$93,$C373*2+6)+INDEX(Input!$1:$1048576,IZ$94,$C373*2+6)</f>
        <v>5773.7109265464023</v>
      </c>
      <c r="JA373" s="19">
        <f t="shared" si="1182"/>
        <v>2500</v>
      </c>
      <c r="JB373" s="19">
        <f t="shared" si="1183"/>
        <v>3484.9786981484326</v>
      </c>
      <c r="JC373" s="19">
        <f t="shared" si="1184"/>
        <v>5957.9609265464023</v>
      </c>
      <c r="JD373" s="19">
        <f t="shared" si="1185"/>
        <v>4003.2906771148623</v>
      </c>
      <c r="JE373" s="21"/>
      <c r="JF373" s="1">
        <f t="shared" si="1168"/>
        <v>4.6698303040990354E-2</v>
      </c>
      <c r="JG373" s="15">
        <f>INDEX(Input!$1:$1048576,JG$93,$C373*2+6)/(1+VLOOKUP(C373*1000+INDEX(Input!$1:$1048576,JG$93+1,$C373*2+6),$A:$KK,$JK$92,FALSE))</f>
        <v>1926</v>
      </c>
      <c r="JH373" s="1">
        <f t="shared" si="1186"/>
        <v>8.7021850343504514E-2</v>
      </c>
      <c r="JI373" s="1">
        <f t="shared" si="1187"/>
        <v>5.0523999445480465E-2</v>
      </c>
      <c r="JJ373" s="1">
        <f t="shared" ref="JJ373:JJ380" si="1214">SUM(HV373:HX373)/SUM(HY373:IA373)</f>
        <v>0</v>
      </c>
      <c r="JK373" s="1">
        <f t="shared" ref="JK373:JK380" si="1215">SUM(JH373:JJ373)</f>
        <v>0.13754584978898499</v>
      </c>
      <c r="JL373" s="15">
        <f t="shared" si="1188"/>
        <v>264.91330669358507</v>
      </c>
      <c r="JM373" s="15">
        <f t="shared" si="1207"/>
        <v>2190.9133066935851</v>
      </c>
      <c r="JN373" s="21"/>
      <c r="JO373" s="19">
        <f>INDEX(Input!$1:$1048576,JO$93,$C373*2+6)</f>
        <v>5908.5</v>
      </c>
      <c r="JP373" s="19">
        <f>INDEX(Input!$1:$1048576,JP$93,$C373*2+6)</f>
        <v>3467.7694503767912</v>
      </c>
      <c r="JQ373" s="39">
        <f t="shared" si="1196"/>
        <v>1905.2093228851377</v>
      </c>
      <c r="JR373" s="39">
        <f t="shared" ref="JR373:JR381" si="1216">JD373-JP373</f>
        <v>535.52122673807116</v>
      </c>
      <c r="JS373" s="39">
        <f t="shared" si="1197"/>
        <v>8.7708628150533254</v>
      </c>
      <c r="JT373" s="39">
        <f t="shared" si="1189"/>
        <v>2.0919388536276249</v>
      </c>
      <c r="JU373" s="385">
        <f>(JQ373*JM373-INDEX(Input!$1:$1048576,Input!A$18,$C373*2+6)*JL373*INDEX(Input!$1:$1048576,Input!A$19,$C373*2+6))/1000000</f>
        <v>4.1741484575457237</v>
      </c>
      <c r="JV373" s="39">
        <f t="shared" si="1084"/>
        <v>-0.52669858102857603</v>
      </c>
      <c r="JW373" s="1">
        <f t="shared" si="1208"/>
        <v>-0.11204333531948239</v>
      </c>
      <c r="JX373" s="19">
        <f t="shared" si="1201"/>
        <v>7896.6922414633145</v>
      </c>
      <c r="JZ373" s="341"/>
      <c r="KA373" s="342"/>
      <c r="KB373" s="469">
        <f t="shared" si="1198"/>
        <v>2.7822247002359868</v>
      </c>
      <c r="KI373" s="473">
        <f t="shared" ref="KI373:KI380" si="1217">$JM373*IE373-$JG373*HY373/SUM($HY373:$IA373)</f>
        <v>135.81271991968669</v>
      </c>
      <c r="KJ373" s="473">
        <f t="shared" ref="KJ373:KJ380" si="1218">$JM373*IF373-$JG373*HZ373/SUM($HY373:$IA373)</f>
        <v>124.04704272411618</v>
      </c>
      <c r="KK373" s="473">
        <f t="shared" ref="KK373:KK381" si="1219">$JM373*IG373-$JG373*IA373/SUM($HY373:$IA373)</f>
        <v>5.0535440497823174</v>
      </c>
      <c r="KN373" s="544">
        <f t="shared" si="1202"/>
        <v>3002</v>
      </c>
      <c r="KO373" s="541">
        <f t="shared" si="1169"/>
        <v>6.3511897372767079E-2</v>
      </c>
      <c r="KP373" s="546">
        <f t="shared" si="1170"/>
        <v>370.26327594108983</v>
      </c>
      <c r="KQ373" s="546">
        <f t="shared" si="1171"/>
        <v>282.20945878948942</v>
      </c>
      <c r="KR373" s="548">
        <f t="shared" si="1172"/>
        <v>2.7400337981778438</v>
      </c>
      <c r="KS373" s="548">
        <f t="shared" si="1173"/>
        <v>3.5949677046771642</v>
      </c>
      <c r="KT373" s="473">
        <f t="shared" si="1199"/>
        <v>527.01264777847621</v>
      </c>
      <c r="KU373" s="663">
        <f t="shared" si="1191"/>
        <v>15.53271081846839</v>
      </c>
    </row>
    <row r="374" spans="1:307" s="26" customFormat="1" ht="15" outlineLevel="1">
      <c r="A374" s="561">
        <f t="shared" si="1174"/>
        <v>3074</v>
      </c>
      <c r="B374" s="561">
        <f t="shared" si="1192"/>
        <v>74</v>
      </c>
      <c r="C374" s="561">
        <f t="shared" si="1193"/>
        <v>3</v>
      </c>
      <c r="D374" s="561" t="str">
        <f t="shared" si="1123"/>
        <v xml:space="preserve">750 CC, 0.9/1.9/2.9/3.9, 1500 Combo, </v>
      </c>
      <c r="E374" s="475">
        <f>INDEX(Input!$1:$1048576,E$93,$C374*2+MIN($B374,2)+5)
+INDEX(Scenarios!E$121:E$200,MATCH($B374,Scenarios!$B$121:$B$200,0))</f>
        <v>2000</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1500</v>
      </c>
      <c r="R374" s="478">
        <f>IFERROR(MAX(0,INDEX(Input!$1:$1048576,R$93,$C374*2+MIN($B374,2)+5)
+INDEX(Scenarios!R$121:R$200,MATCH($B374,Scenarios!$B$121:$B$200,0)),),"Market")</f>
        <v>9.0000000000000011E-3</v>
      </c>
      <c r="S374" s="478">
        <f>IFERROR(MAX(0,INDEX(Input!$1:$1048576,S$93,$C374*2+MIN($B374,2)+5)
+INDEX(Scenarios!S$121:S$200,MATCH($B374,Scenarios!$B$121:$B$200,0)),),"Market")</f>
        <v>9.0000000000000011E-3</v>
      </c>
      <c r="T374" s="478">
        <f>IFERROR(MAX(0,INDEX(Input!$1:$1048576,T$93,$C374*2+MIN($B374,2)+5)
+INDEX(Scenarios!T$121:T$200,MATCH($B374,Scenarios!$B$121:$B$200,0)),),"Market")</f>
        <v>9.0000000000000011E-3</v>
      </c>
      <c r="U374" s="478">
        <f>IFERROR(MAX(0,INDEX(Input!$1:$1048576,U$93,$C374*2+MIN($B374,2)+5)
+INDEX(Scenarios!U$121:U$200,MATCH($B374,Scenarios!$B$121:$B$200,0)),),"Market")</f>
        <v>9.0000000000000011E-3</v>
      </c>
      <c r="V374" s="478">
        <f>IFERROR(MAX(0,INDEX(Input!$1:$1048576,V$93,$C374*2+MIN($B374,2)+5)
+INDEX(Scenarios!V$121:V$200,MATCH($B374,Scenarios!$B$121:$B$200,0)),),"Market")</f>
        <v>2.8999999999999998E-2</v>
      </c>
      <c r="W374" s="863">
        <f>IFERROR(MAX(0,INDEX(Input!$1:$1048576,W$93,$C374*2+MIN($B374,2)+5)-0%,),"Market")</f>
        <v>3.9000000000000007E-2</v>
      </c>
      <c r="X374" s="476" t="str">
        <f>INDEX(Input!$1:$1048576,X$93,$C374*2+MIN($B374,2)+5)</f>
        <v>Y</v>
      </c>
      <c r="Y374" s="475">
        <f>INDEX(Input!$1:$1048576,Y$93,$C374*2+MIN($B374,2)+5)
++INDEX(Scenarios!Y$121:Y$200,MATCH($B374,Scenarios!$B$121:$B$200,0))</f>
        <v>4108</v>
      </c>
      <c r="Z374" s="477">
        <f>INDEX(Input!$1:$1048576,Z$93,$C374*2+MIN($B374,2)+5)
+INDEX(Scenarios!Z$121:Z$200,MATCH($B374,Scenarios!$B$121:$B$200,0))</f>
        <v>0</v>
      </c>
      <c r="AA374" s="475">
        <f>INDEX(Input!$1:$1048576,AA$93,$C374*2+MIN($B374,2)+5)</f>
        <v>500</v>
      </c>
      <c r="AB374" s="476">
        <f>INDEX(Input!$1:$1048576,AB$93,$C374*2+MIN($B374,2)+5)</f>
        <v>0.62</v>
      </c>
      <c r="AC374" s="475">
        <f>INDEX(Input!$1:$1048576,AC$93,$C374*2+MIN($B374,2)+5)
+INDEX(Scenarios!AC$121:AC$200,MATCH($B374,Scenarios!$B$121:$B$200,0))</f>
        <v>0</v>
      </c>
      <c r="AD374" s="476">
        <f>INDEX(Input!$1:$1048576,AD$93,$C374*2+MIN($B374,2)+5)</f>
        <v>0.35</v>
      </c>
      <c r="AE374" s="475">
        <f>INDEX(Input!$1:$1048576,AE$93,$C374*2+MIN($B374,2)+5)
+INDEX(Scenarios!AE$121:AE$200,MATCH($B374,Scenarios!$B$121:$B$200,0))</f>
        <v>500</v>
      </c>
      <c r="AF374" s="476">
        <f>INDEX(Input!$1:$1048576,AF$93,$C374*2+MIN($B374,2)+5)</f>
        <v>0.97</v>
      </c>
      <c r="AG374" s="475">
        <f>INDEX(Input!$1:$1048576,AG$93,$C374*2+MIN($B374,2)+5)
+INDEX(Scenarios!AG$121:AG$200,MATCH($B374,Scenarios!$B$121:$B$200,0))</f>
        <v>0</v>
      </c>
      <c r="AH374" s="476">
        <f>INDEX(Input!$1:$1048576,AH$93,$C374*2+MIN($B374,2)+5)</f>
        <v>1</v>
      </c>
      <c r="AI374" s="475">
        <f>INDEX(Input!$1:$1048576,AI$93,$C374*2+MIN($B374,2)+5)
+INDEX(Scenarios!AI$121:AI$200,MATCH($B374,Scenarios!$B$121:$B$200,0))</f>
        <v>0</v>
      </c>
      <c r="AJ374" s="476">
        <f>INDEX(Input!$1:$1048576,AJ$93,$C374*2+MIN($B374,2)+5)</f>
        <v>0.35</v>
      </c>
      <c r="AK374" s="150">
        <f>ROUND(INDEX(Input!$1:$1048576,AK$93,$C373*2+MIN($B374,1)+5)+(Y374-VLOOKUP($C374*1000+1,$A:$HH,Y$92,FALSE)),0)</f>
        <v>4982</v>
      </c>
      <c r="AL374" s="150">
        <f>ROUND(INDEX(Input!$1:$1048576,AL$93,$C373*2+MIN($B374,1)+5)-(Y374-VLOOKUP($C374*1000+1,$A:$HH,Y$92,FALSE))/36,0)</f>
        <v>5102</v>
      </c>
      <c r="AM374" s="32" t="str">
        <f t="shared" si="1175"/>
        <v>std/std/std/std</v>
      </c>
      <c r="AN374" s="32" t="str">
        <f t="shared" si="1176"/>
        <v>$1500 + 0.9/0.9/0.9/2.9/3.9</v>
      </c>
      <c r="AO374" s="32" t="str">
        <f t="shared" si="1177"/>
        <v>0.9/0.9/0.9/2.9/3.9</v>
      </c>
      <c r="AP374" s="32" t="str">
        <f t="shared" si="1125"/>
        <v>0.9/1.9/2.9/3.9</v>
      </c>
      <c r="AQ374" s="536">
        <f t="shared" si="1124"/>
        <v>485.28972764220146</v>
      </c>
      <c r="AR374" s="32"/>
      <c r="AS374" s="302"/>
      <c r="AT374" s="3">
        <f t="shared" si="1194"/>
        <v>74</v>
      </c>
      <c r="AU374" s="41" t="s">
        <v>121</v>
      </c>
      <c r="AV374" s="41" t="s">
        <v>116</v>
      </c>
      <c r="AW374" s="41" t="str">
        <f>INDEX(Input!$1:$1048576,AW$93,$C374*2+6)</f>
        <v>Kia</v>
      </c>
      <c r="AX374" s="41" t="str">
        <f>INDEX(Input!$1:$1048576,AX$93,$C374*2+6)</f>
        <v>Kia-LR - L3</v>
      </c>
      <c r="AY374" s="41" t="str">
        <f>IF(LEN(D374)=0,"",INDEX(Input!$1:$1048576,AY$93,$C374*2+6))</f>
        <v>Compact Conventional/Sporty Car (43)</v>
      </c>
      <c r="AZ374" s="41" t="str">
        <f>INDEX(Input!$1:$1048576,AZ$93,$C374*2+6)</f>
        <v>Kia Forte</v>
      </c>
      <c r="BA374" s="3">
        <f>INDEX(Input!$1:$1048576,BA$93,$C374*2+6)</f>
        <v>2020</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19695</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1126"/>
        <v>2000</v>
      </c>
      <c r="CJ374" s="16" t="str">
        <f>INDEX(Input!$1:$1048576,CJ$93,$C374*2+6)</f>
        <v>N</v>
      </c>
      <c r="CK374" s="1" t="str">
        <f t="shared" si="1127"/>
        <v>Market</v>
      </c>
      <c r="CL374" s="1" t="str">
        <f t="shared" si="1128"/>
        <v>Market</v>
      </c>
      <c r="CM374" s="1" t="str">
        <f t="shared" si="1129"/>
        <v>Market</v>
      </c>
      <c r="CN374" s="1" t="str">
        <f t="shared" si="1130"/>
        <v>Market</v>
      </c>
      <c r="CO374" s="1" t="str">
        <f t="shared" si="1131"/>
        <v>Market</v>
      </c>
      <c r="CP374" s="304">
        <f t="shared" si="1132"/>
        <v>1810</v>
      </c>
      <c r="CQ374" s="1">
        <f t="shared" si="1133"/>
        <v>9.0000000000000011E-3</v>
      </c>
      <c r="CR374" s="1">
        <f t="shared" si="1134"/>
        <v>9.0000000000000011E-3</v>
      </c>
      <c r="CS374" s="1">
        <f t="shared" si="1135"/>
        <v>9.0000000000000011E-3</v>
      </c>
      <c r="CT374" s="1">
        <f t="shared" si="1136"/>
        <v>2.8999999999999998E-2</v>
      </c>
      <c r="CU374" s="1">
        <f t="shared" si="1137"/>
        <v>3.9000000000000007E-2</v>
      </c>
      <c r="CV374" s="304">
        <f t="shared" si="1138"/>
        <v>4593</v>
      </c>
      <c r="CW374" s="20" t="s">
        <v>122</v>
      </c>
      <c r="CX374" s="20" t="s">
        <v>122</v>
      </c>
      <c r="CY374" s="20" t="s">
        <v>122</v>
      </c>
      <c r="CZ374" s="20" t="s">
        <v>122</v>
      </c>
      <c r="DA374" s="20" t="s">
        <v>122</v>
      </c>
      <c r="DB374" s="503">
        <f t="shared" si="1139"/>
        <v>0</v>
      </c>
      <c r="DC374" s="127">
        <v>0</v>
      </c>
      <c r="DD374" s="127">
        <v>0</v>
      </c>
      <c r="DE374" s="127">
        <v>0</v>
      </c>
      <c r="DF374" s="127">
        <v>0</v>
      </c>
      <c r="DG374" s="127">
        <v>0</v>
      </c>
      <c r="DH374" s="127">
        <v>0</v>
      </c>
      <c r="DI374" s="127">
        <v>0</v>
      </c>
      <c r="DJ374" s="127">
        <v>0</v>
      </c>
      <c r="DK374" s="127">
        <v>0</v>
      </c>
      <c r="DL374" s="127">
        <v>0</v>
      </c>
      <c r="DM374" s="304">
        <f>INDEX(Input!$1:$1048576,DM$93,$C374*2+6)</f>
        <v>20731.578947368424</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3.6776319399004664E-2</v>
      </c>
      <c r="DZ374" s="7">
        <v>0</v>
      </c>
      <c r="EA374" s="7">
        <v>0.64041816088919001</v>
      </c>
      <c r="EB374" s="7">
        <v>0</v>
      </c>
      <c r="EC374" s="7">
        <v>0</v>
      </c>
      <c r="ED374" s="7">
        <v>0</v>
      </c>
      <c r="EE374" s="7">
        <v>0</v>
      </c>
      <c r="EF374" s="7">
        <v>0</v>
      </c>
      <c r="EG374" s="7">
        <v>0</v>
      </c>
      <c r="EH374" s="7">
        <v>1.745577639647819E-2</v>
      </c>
      <c r="EI374" s="7">
        <v>2.0705940331910224E-2</v>
      </c>
      <c r="EJ374" s="7">
        <v>0.28057342608401742</v>
      </c>
      <c r="EK374" s="7">
        <v>0.60569493659984008</v>
      </c>
      <c r="EL374" s="7">
        <v>7.5569920587754233E-2</v>
      </c>
      <c r="EM374" s="7">
        <v>4.3353302230979503E-2</v>
      </c>
      <c r="EN374" s="7">
        <v>5.8903840649550732E-2</v>
      </c>
      <c r="EO374" s="7">
        <v>0.56806449089612521</v>
      </c>
      <c r="EP374" s="7">
        <v>0.27410709591931864</v>
      </c>
      <c r="EQ374" s="7">
        <v>5.8713575146425362E-2</v>
      </c>
      <c r="ER374" s="7">
        <v>4.0210997388580243E-2</v>
      </c>
      <c r="ES374" s="7">
        <v>0.27945221748082572</v>
      </c>
      <c r="ET374" s="7">
        <v>0.32280551971180538</v>
      </c>
      <c r="EU374" s="6">
        <v>2350</v>
      </c>
      <c r="EV374" s="6">
        <v>0</v>
      </c>
      <c r="EW374" s="6">
        <v>2350</v>
      </c>
      <c r="EX374" s="6">
        <v>0</v>
      </c>
      <c r="EY374" s="6">
        <v>3706.0156166054012</v>
      </c>
      <c r="EZ374" s="6">
        <v>3636</v>
      </c>
      <c r="FA374" s="6">
        <v>0</v>
      </c>
      <c r="FB374" s="6">
        <v>0</v>
      </c>
      <c r="FC374" s="6">
        <v>0</v>
      </c>
      <c r="FD374" s="6">
        <v>0</v>
      </c>
      <c r="FE374" s="6">
        <v>0</v>
      </c>
      <c r="FF374" s="6">
        <v>0</v>
      </c>
      <c r="FG374" s="6">
        <v>0</v>
      </c>
      <c r="FH374" s="6">
        <v>926.39409636874143</v>
      </c>
      <c r="FI374" s="6">
        <v>1232.116446530423</v>
      </c>
      <c r="FJ374" s="6">
        <v>1709.9775738488459</v>
      </c>
      <c r="FK374" s="6">
        <v>1266.3227157028189</v>
      </c>
      <c r="FL374" s="6">
        <v>893.91433563489352</v>
      </c>
      <c r="FM374" s="6">
        <v>1356.0156166054012</v>
      </c>
      <c r="FN374" s="6">
        <v>0</v>
      </c>
      <c r="FO374" s="6">
        <v>0</v>
      </c>
      <c r="FP374" s="6">
        <v>0</v>
      </c>
      <c r="FQ374" s="6">
        <v>0</v>
      </c>
      <c r="FR374" s="6">
        <v>0</v>
      </c>
      <c r="FS374" s="6">
        <v>0</v>
      </c>
      <c r="FT374" s="7">
        <v>0.67719448028819462</v>
      </c>
      <c r="FU374" s="7">
        <v>4.3353302230979503E-2</v>
      </c>
      <c r="FV374" s="7">
        <v>0.27945221748082572</v>
      </c>
      <c r="FW374" s="6">
        <v>2350</v>
      </c>
      <c r="FX374" s="6">
        <v>3706.0156166054012</v>
      </c>
      <c r="FY374" s="6">
        <v>3636</v>
      </c>
      <c r="FZ374" s="6">
        <v>2202.331475193394</v>
      </c>
      <c r="GA374" s="6">
        <v>2768.1633065369633</v>
      </c>
      <c r="GB374" s="6">
        <v>16926.836693463036</v>
      </c>
      <c r="GC374" s="7">
        <v>4.8391397220736806E-2</v>
      </c>
      <c r="GD374" s="7">
        <v>5.2007977724753768E-2</v>
      </c>
      <c r="GE374" s="7"/>
      <c r="GF374" s="7"/>
      <c r="GG374" s="7">
        <v>7.4736021518865645E-2</v>
      </c>
      <c r="GH374" s="42">
        <v>2.6013487794049452</v>
      </c>
      <c r="GI374" s="6">
        <v>10339.235727093041</v>
      </c>
      <c r="GJ374" s="14">
        <v>0.51074630601039561</v>
      </c>
      <c r="GK374" s="14">
        <v>0.50829519786160993</v>
      </c>
      <c r="GL374" s="14">
        <v>0.48925369398960433</v>
      </c>
      <c r="GM374" s="14">
        <v>0.49170480213839018</v>
      </c>
      <c r="GO374" s="5">
        <v>338.16872463277008</v>
      </c>
      <c r="GP374" s="5">
        <v>293.33520778489498</v>
      </c>
      <c r="GQ374" s="5">
        <v>527.27910984145694</v>
      </c>
      <c r="GR374" s="5">
        <v>404.20319246551543</v>
      </c>
      <c r="GS374" s="5">
        <v>334.50205195691484</v>
      </c>
      <c r="GT374" s="5">
        <v>289.18266033348181</v>
      </c>
      <c r="GU374" s="5">
        <v>254.29573314828914</v>
      </c>
      <c r="GV374" s="39" t="s">
        <v>392</v>
      </c>
      <c r="GW374" s="5">
        <v>433.04911228431121</v>
      </c>
      <c r="GX374" s="5">
        <v>326.24341641294012</v>
      </c>
      <c r="GY374" s="5">
        <v>262.1634566284809</v>
      </c>
      <c r="GZ374" s="5">
        <v>232.92313684693576</v>
      </c>
      <c r="HA374" s="5">
        <v>209.45771593376008</v>
      </c>
      <c r="HB374" s="39">
        <v>244.77955197168205</v>
      </c>
      <c r="HC374" s="5">
        <v>124.04062499999996</v>
      </c>
      <c r="HD374" s="5">
        <v>127.75060307017539</v>
      </c>
      <c r="HE374" s="5">
        <v>136.66051366396758</v>
      </c>
      <c r="HF374" s="5">
        <v>133.62067434210525</v>
      </c>
      <c r="HG374" s="5">
        <v>137.88493421052632</v>
      </c>
      <c r="HH374" s="39">
        <v>130.72650526464059</v>
      </c>
      <c r="HI374" s="16"/>
      <c r="HJ374" s="19" t="str">
        <f t="shared" ref="HJ374:HK374" si="1220">HJ373</f>
        <v>On</v>
      </c>
      <c r="HK374" s="1" t="str">
        <f t="shared" si="1220"/>
        <v>On</v>
      </c>
      <c r="HL374" s="16"/>
      <c r="HM374" s="639">
        <f t="shared" si="1151"/>
        <v>2.8970655363290673E-2</v>
      </c>
      <c r="HN374" s="639">
        <f t="shared" si="1152"/>
        <v>2.1835179285533651E-3</v>
      </c>
      <c r="HO374" s="639">
        <f t="shared" si="1153"/>
        <v>1.5544129749146325E-2</v>
      </c>
      <c r="HP374" s="644">
        <f>(FT374*$GD374-HM374)/$JF374*INDEX(Input!$1:$1048576,$JG$93,$C374*2+6)</f>
        <v>257.72466526314133</v>
      </c>
      <c r="HQ374" s="644">
        <f>(FU374*$GD374-HN374)/$JF374*INDEX(Input!$1:$1048576,$JG$93,$C374*2+6)</f>
        <v>2.9365204610309887</v>
      </c>
      <c r="HR374" s="644">
        <f>(FV374*$GD374-HO374)/$JF374*INDEX(Input!$1:$1048576,$JG$93,$C374*2+6)</f>
        <v>-41.671784076068747</v>
      </c>
      <c r="HS374" s="644">
        <f t="shared" si="1141"/>
        <v>-81.070692269478286</v>
      </c>
      <c r="HT374" s="644">
        <f t="shared" si="1210"/>
        <v>200.90687907665779</v>
      </c>
      <c r="HU374" s="644">
        <f t="shared" si="1155"/>
        <v>32.69068557283498</v>
      </c>
      <c r="HV374" s="648">
        <f t="shared" si="1156"/>
        <v>0</v>
      </c>
      <c r="HW374" s="648">
        <f t="shared" si="1157"/>
        <v>0</v>
      </c>
      <c r="HX374" s="648">
        <f t="shared" si="1158"/>
        <v>0</v>
      </c>
      <c r="HY374" s="644">
        <f>INDEX(Input!$1:$1048576,HY$93,$C374*2+6)*INDEX(Input!$1:$1048576,$JG$93,$C374*2+6)</f>
        <v>488.99999999999994</v>
      </c>
      <c r="HZ374" s="644">
        <f>INDEX(Input!$1:$1048576,HZ$93,$C374*2+6)*INDEX(Input!$1:$1048576,$JG$93,$C374*2+6)</f>
        <v>734</v>
      </c>
      <c r="IA374" s="644">
        <f>INDEX(Input!$1:$1048576,IA$93,$C374*2+6)*INDEX(Input!$1:$1048576,$JG$93,$C374*2+6)</f>
        <v>703</v>
      </c>
      <c r="IB374" s="644">
        <f t="shared" si="1179"/>
        <v>665.65397299366305</v>
      </c>
      <c r="IC374" s="644">
        <f t="shared" si="1180"/>
        <v>937.84339953768881</v>
      </c>
      <c r="ID374" s="644">
        <f>IF(AND(INDEX(Input!$1:$1048576,IA$93,$C374*2+7)="TOS",Y374&lt;=INDEX(Y:Y,MATCH(C374*1000+2,A:A))),0,1)*MAX(IA374+HR374+HU374+HX374,0%)</f>
        <v>694.01890149676615</v>
      </c>
      <c r="IE374" s="128">
        <f t="shared" si="1211"/>
        <v>0.28972764220146563</v>
      </c>
      <c r="IF374" s="128">
        <f t="shared" si="1212"/>
        <v>0.4081988058754491</v>
      </c>
      <c r="IG374" s="128">
        <f t="shared" si="1213"/>
        <v>0.30207355192308527</v>
      </c>
      <c r="IH374" s="21"/>
      <c r="II374" s="19">
        <f t="shared" si="1160"/>
        <v>1200</v>
      </c>
      <c r="IJ374" s="19">
        <f t="shared" si="1161"/>
        <v>2224.493581030405</v>
      </c>
      <c r="IK374" s="19">
        <f t="shared" si="1162"/>
        <v>3451.75</v>
      </c>
      <c r="IL374" s="19">
        <f t="shared" si="1181"/>
        <v>1150</v>
      </c>
      <c r="IM374" s="19">
        <f t="shared" si="1163"/>
        <v>1481.5220355749962</v>
      </c>
      <c r="IN374" s="19">
        <f t="shared" si="1164"/>
        <v>184.25</v>
      </c>
      <c r="IO374" s="39">
        <f t="shared" si="1165"/>
        <v>0</v>
      </c>
      <c r="IP374" s="39">
        <f t="shared" si="1166"/>
        <v>0</v>
      </c>
      <c r="IQ374" s="39">
        <f t="shared" si="1167"/>
        <v>0</v>
      </c>
      <c r="IR374" s="39">
        <v>0</v>
      </c>
      <c r="IS374" s="39">
        <v>0</v>
      </c>
      <c r="IT374" s="39">
        <v>0</v>
      </c>
      <c r="IU374" s="39">
        <v>0</v>
      </c>
      <c r="IV374" s="39">
        <v>0</v>
      </c>
      <c r="IW374" s="39">
        <v>0</v>
      </c>
      <c r="IX374" s="39">
        <f>INDEX(Input!$1:$1048576,IX$93,$C374*2+6)+INDEX(Input!$1:$1048576,IX$94,$C374*2+6)</f>
        <v>1600</v>
      </c>
      <c r="IY374" s="39">
        <f>INDEX(Input!$1:$1048576,IY$93,$C374*2+6)+INDEX(Input!$1:$1048576,IY$94,$C374*2+6)</f>
        <v>2503.5492916397525</v>
      </c>
      <c r="IZ374" s="39">
        <f>INDEX(Input!$1:$1048576,IZ$93,$C374*2+6)+INDEX(Input!$1:$1048576,IZ$94,$C374*2+6)</f>
        <v>5773.7109265464023</v>
      </c>
      <c r="JA374" s="19">
        <f t="shared" si="1182"/>
        <v>2750</v>
      </c>
      <c r="JB374" s="19">
        <f t="shared" si="1183"/>
        <v>3985.0713272147486</v>
      </c>
      <c r="JC374" s="19">
        <f t="shared" si="1184"/>
        <v>5957.9609265464023</v>
      </c>
      <c r="JD374" s="19">
        <f t="shared" si="1185"/>
        <v>4223.1947924524102</v>
      </c>
      <c r="JE374" s="21"/>
      <c r="JF374" s="1">
        <f t="shared" si="1168"/>
        <v>4.6698303040990354E-2</v>
      </c>
      <c r="JG374" s="15">
        <f>INDEX(Input!$1:$1048576,JG$93,$C374*2+6)/(1+VLOOKUP(C374*1000+INDEX(Input!$1:$1048576,JG$93+1,$C374*2+6),$A:$KK,$JK$92,FALSE))</f>
        <v>1926</v>
      </c>
      <c r="JH374" s="1">
        <f t="shared" si="1186"/>
        <v>0.11370166233027183</v>
      </c>
      <c r="JI374" s="1">
        <f t="shared" si="1187"/>
        <v>7.9193599366570347E-2</v>
      </c>
      <c r="JJ374" s="1">
        <f t="shared" si="1214"/>
        <v>0</v>
      </c>
      <c r="JK374" s="1">
        <f t="shared" si="1215"/>
        <v>0.19289526169684218</v>
      </c>
      <c r="JL374" s="15">
        <f t="shared" si="1188"/>
        <v>371.51627402811806</v>
      </c>
      <c r="JM374" s="15">
        <f t="shared" si="1207"/>
        <v>2297.516274028118</v>
      </c>
      <c r="JN374" s="21"/>
      <c r="JO374" s="19">
        <f>INDEX(Input!$1:$1048576,JO$93,$C374*2+6)</f>
        <v>5908.5</v>
      </c>
      <c r="JP374" s="19">
        <f>INDEX(Input!$1:$1048576,JP$93,$C374*2+6)</f>
        <v>3467.7694503767912</v>
      </c>
      <c r="JQ374" s="39">
        <f t="shared" si="1196"/>
        <v>1685.3052075475898</v>
      </c>
      <c r="JR374" s="39">
        <f t="shared" si="1216"/>
        <v>755.42534207561903</v>
      </c>
      <c r="JS374" s="39">
        <f t="shared" si="1197"/>
        <v>9.7028587640502124</v>
      </c>
      <c r="JT374" s="39">
        <f t="shared" si="1189"/>
        <v>3.0239348026245114</v>
      </c>
      <c r="JU374" s="385">
        <f>(JQ374*JM374-INDEX(Input!$1:$1048576,Input!A$18,$C374*2+6)*JL374*INDEX(Input!$1:$1048576,Input!A$19,$C374*2+6))/1000000</f>
        <v>3.8720161410449228</v>
      </c>
      <c r="JV374" s="39">
        <f t="shared" si="1084"/>
        <v>-0.828830897529377</v>
      </c>
      <c r="JW374" s="1">
        <f t="shared" si="1208"/>
        <v>-0.17631522377310743</v>
      </c>
      <c r="JX374" s="19">
        <f t="shared" si="1201"/>
        <v>8139.4410259283713</v>
      </c>
      <c r="JZ374" s="341"/>
      <c r="KA374" s="342"/>
      <c r="KB374" s="469">
        <f t="shared" si="1198"/>
        <v>2.7822247002359868</v>
      </c>
      <c r="KI374" s="473">
        <f t="shared" si="1217"/>
        <v>176.6539729936631</v>
      </c>
      <c r="KJ374" s="473">
        <f t="shared" si="1218"/>
        <v>203.84339953768881</v>
      </c>
      <c r="KK374" s="473">
        <f t="shared" si="1219"/>
        <v>-8.9810985032338522</v>
      </c>
      <c r="KN374" s="544">
        <f t="shared" si="1202"/>
        <v>3002</v>
      </c>
      <c r="KO374" s="541">
        <f t="shared" si="1169"/>
        <v>0.11525904944361454</v>
      </c>
      <c r="KP374" s="546">
        <f t="shared" si="1170"/>
        <v>658.7311055960314</v>
      </c>
      <c r="KQ374" s="546">
        <f t="shared" si="1171"/>
        <v>502.11357412703728</v>
      </c>
      <c r="KR374" s="548">
        <f t="shared" si="1172"/>
        <v>2.794977615334294</v>
      </c>
      <c r="KS374" s="548">
        <f t="shared" si="1173"/>
        <v>3.6667773777402424</v>
      </c>
      <c r="KT374" s="473">
        <f t="shared" si="1199"/>
        <v>527.01264777847621</v>
      </c>
      <c r="KU374" s="663">
        <f t="shared" si="1191"/>
        <v>15.667247551101855</v>
      </c>
    </row>
    <row r="375" spans="1:307" s="26" customFormat="1" ht="15" outlineLevel="1">
      <c r="A375" s="561">
        <f t="shared" si="1174"/>
        <v>3075</v>
      </c>
      <c r="B375" s="561">
        <f t="shared" si="1192"/>
        <v>75</v>
      </c>
      <c r="C375" s="561">
        <f t="shared" si="1193"/>
        <v>3</v>
      </c>
      <c r="D375" s="561" t="str">
        <f t="shared" si="1123"/>
        <v xml:space="preserve">500 CC, 0/1.8/2.8/3.9, 1000 Combo, </v>
      </c>
      <c r="E375" s="475">
        <f>INDEX(Input!$1:$1048576,E$93,$C375*2+MIN($B375,2)+5)
+INDEX(Scenarios!E$121:E$200,MATCH($B375,Scenarios!$B$121:$B$200,0))</f>
        <v>1750</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1000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2.7999999999999997E-2</v>
      </c>
      <c r="W375" s="863">
        <f>IFERROR(MAX(0,INDEX(Input!$1:$1048576,W$93,$C375*2+MIN($B375,2)+5)-0%,),"Market")</f>
        <v>3.9000000000000007E-2</v>
      </c>
      <c r="X375" s="476" t="str">
        <f>INDEX(Input!$1:$1048576,X$93,$C375*2+MIN($B375,2)+5)</f>
        <v>Y</v>
      </c>
      <c r="Y375" s="475">
        <f>INDEX(Input!$1:$1048576,Y$93,$C375*2+MIN($B375,2)+5)
++INDEX(Scenarios!Y$121:Y$200,MATCH($B375,Scenarios!$B$121:$B$200,0))</f>
        <v>4108</v>
      </c>
      <c r="Z375" s="477">
        <f>INDEX(Input!$1:$1048576,Z$93,$C375*2+MIN($B375,2)+5)
+INDEX(Scenarios!Z$121:Z$200,MATCH($B375,Scenarios!$B$121:$B$200,0))</f>
        <v>0</v>
      </c>
      <c r="AA375" s="475">
        <f>INDEX(Input!$1:$1048576,AA$93,$C375*2+MIN($B375,2)+5)</f>
        <v>500</v>
      </c>
      <c r="AB375" s="476">
        <f>INDEX(Input!$1:$1048576,AB$93,$C375*2+MIN($B375,2)+5)</f>
        <v>0.62</v>
      </c>
      <c r="AC375" s="475">
        <f>INDEX(Input!$1:$1048576,AC$93,$C375*2+MIN($B375,2)+5)
+INDEX(Scenarios!AC$121:AC$200,MATCH($B375,Scenarios!$B$121:$B$200,0))</f>
        <v>0</v>
      </c>
      <c r="AD375" s="476">
        <f>INDEX(Input!$1:$1048576,AD$93,$C375*2+MIN($B375,2)+5)</f>
        <v>0.35</v>
      </c>
      <c r="AE375" s="475">
        <f>INDEX(Input!$1:$1048576,AE$93,$C375*2+MIN($B375,2)+5)
+INDEX(Scenarios!AE$121:AE$200,MATCH($B375,Scenarios!$B$121:$B$200,0))</f>
        <v>500</v>
      </c>
      <c r="AF375" s="476">
        <f>INDEX(Input!$1:$1048576,AF$93,$C375*2+MIN($B375,2)+5)</f>
        <v>0.97</v>
      </c>
      <c r="AG375" s="475">
        <f>INDEX(Input!$1:$1048576,AG$93,$C375*2+MIN($B375,2)+5)
+INDEX(Scenarios!AG$121:AG$200,MATCH($B375,Scenarios!$B$121:$B$200,0))</f>
        <v>0</v>
      </c>
      <c r="AH375" s="476">
        <f>INDEX(Input!$1:$1048576,AH$93,$C375*2+MIN($B375,2)+5)</f>
        <v>1</v>
      </c>
      <c r="AI375" s="475">
        <f>INDEX(Input!$1:$1048576,AI$93,$C375*2+MIN($B375,2)+5)
+INDEX(Scenarios!AI$121:AI$200,MATCH($B375,Scenarios!$B$121:$B$200,0))</f>
        <v>0</v>
      </c>
      <c r="AJ375" s="476">
        <f>INDEX(Input!$1:$1048576,AJ$93,$C375*2+MIN($B375,2)+5)</f>
        <v>0.35</v>
      </c>
      <c r="AK375" s="150">
        <f>ROUND(INDEX(Input!$1:$1048576,AK$93,$C374*2+MIN($B375,1)+5)+(Y375-VLOOKUP($C375*1000+1,$A:$HH,Y$92,FALSE)),0)</f>
        <v>4982</v>
      </c>
      <c r="AL375" s="150">
        <f>ROUND(INDEX(Input!$1:$1048576,AL$93,$C374*2+MIN($B375,1)+5)-(Y375-VLOOKUP($C375*1000+1,$A:$HH,Y$92,FALSE))/36,0)</f>
        <v>5102</v>
      </c>
      <c r="AM375" s="32" t="str">
        <f t="shared" si="1175"/>
        <v>std/std/std/std</v>
      </c>
      <c r="AN375" s="32" t="str">
        <f t="shared" si="1176"/>
        <v>$1000 + 0/0/0/2.8/3.9</v>
      </c>
      <c r="AO375" s="32" t="str">
        <f t="shared" si="1177"/>
        <v>0/0/0/2.8/3.9</v>
      </c>
      <c r="AP375" s="32" t="str">
        <f t="shared" si="1125"/>
        <v>0/1.8/2.8/3.9</v>
      </c>
      <c r="AQ375" s="536">
        <f t="shared" si="1124"/>
        <v>485.27924520575249</v>
      </c>
      <c r="AR375" s="32"/>
      <c r="AS375" s="302"/>
      <c r="AT375" s="3">
        <f t="shared" si="1194"/>
        <v>75</v>
      </c>
      <c r="AU375" s="41" t="s">
        <v>121</v>
      </c>
      <c r="AV375" s="41" t="s">
        <v>116</v>
      </c>
      <c r="AW375" s="41" t="str">
        <f>INDEX(Input!$1:$1048576,AW$93,$C375*2+6)</f>
        <v>Kia</v>
      </c>
      <c r="AX375" s="41" t="str">
        <f>INDEX(Input!$1:$1048576,AX$93,$C375*2+6)</f>
        <v>Kia-LR - L3</v>
      </c>
      <c r="AY375" s="41" t="str">
        <f>IF(LEN(D375)=0,"",INDEX(Input!$1:$1048576,AY$93,$C375*2+6))</f>
        <v>Compact Conventional/Sporty Car (43)</v>
      </c>
      <c r="AZ375" s="41" t="str">
        <f>INDEX(Input!$1:$1048576,AZ$93,$C375*2+6)</f>
        <v>Kia Forte</v>
      </c>
      <c r="BA375" s="3">
        <f>INDEX(Input!$1:$1048576,BA$93,$C375*2+6)</f>
        <v>2020</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19695</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1126"/>
        <v>1750</v>
      </c>
      <c r="CJ375" s="16" t="str">
        <f>INDEX(Input!$1:$1048576,CJ$93,$C375*2+6)</f>
        <v>N</v>
      </c>
      <c r="CK375" s="1" t="str">
        <f t="shared" si="1127"/>
        <v>Market</v>
      </c>
      <c r="CL375" s="1" t="str">
        <f t="shared" si="1128"/>
        <v>Market</v>
      </c>
      <c r="CM375" s="1" t="str">
        <f t="shared" si="1129"/>
        <v>Market</v>
      </c>
      <c r="CN375" s="1" t="str">
        <f t="shared" si="1130"/>
        <v>Market</v>
      </c>
      <c r="CO375" s="1" t="str">
        <f t="shared" si="1131"/>
        <v>Market</v>
      </c>
      <c r="CP375" s="304">
        <f t="shared" si="1132"/>
        <v>1310</v>
      </c>
      <c r="CQ375" s="1">
        <f t="shared" si="1133"/>
        <v>0</v>
      </c>
      <c r="CR375" s="1">
        <f t="shared" si="1134"/>
        <v>0</v>
      </c>
      <c r="CS375" s="1">
        <f t="shared" si="1135"/>
        <v>0</v>
      </c>
      <c r="CT375" s="1">
        <f t="shared" si="1136"/>
        <v>2.7999999999999997E-2</v>
      </c>
      <c r="CU375" s="1">
        <f t="shared" si="1137"/>
        <v>3.9000000000000007E-2</v>
      </c>
      <c r="CV375" s="304">
        <f t="shared" si="1138"/>
        <v>4593</v>
      </c>
      <c r="CW375" s="20" t="s">
        <v>122</v>
      </c>
      <c r="CX375" s="20" t="s">
        <v>122</v>
      </c>
      <c r="CY375" s="20" t="s">
        <v>122</v>
      </c>
      <c r="CZ375" s="20" t="s">
        <v>122</v>
      </c>
      <c r="DA375" s="20" t="s">
        <v>122</v>
      </c>
      <c r="DB375" s="503">
        <f t="shared" si="1139"/>
        <v>0</v>
      </c>
      <c r="DC375" s="127">
        <v>0</v>
      </c>
      <c r="DD375" s="127">
        <v>0</v>
      </c>
      <c r="DE375" s="127">
        <v>0</v>
      </c>
      <c r="DF375" s="127">
        <v>0</v>
      </c>
      <c r="DG375" s="127">
        <v>0</v>
      </c>
      <c r="DH375" s="127">
        <v>0</v>
      </c>
      <c r="DI375" s="127">
        <v>0</v>
      </c>
      <c r="DJ375" s="127">
        <v>0</v>
      </c>
      <c r="DK375" s="127">
        <v>0</v>
      </c>
      <c r="DL375" s="127">
        <v>0</v>
      </c>
      <c r="DM375" s="304">
        <f>INDEX(Input!$1:$1048576,DM$93,$C375*2+6)</f>
        <v>20731.578947368424</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3.578432662339491E-2</v>
      </c>
      <c r="DZ375" s="7">
        <v>0</v>
      </c>
      <c r="EA375" s="7">
        <v>0.62650470335502761</v>
      </c>
      <c r="EB375" s="7">
        <v>0</v>
      </c>
      <c r="EC375" s="7">
        <v>0</v>
      </c>
      <c r="ED375" s="7">
        <v>0</v>
      </c>
      <c r="EE375" s="7">
        <v>0</v>
      </c>
      <c r="EF375" s="7">
        <v>0</v>
      </c>
      <c r="EG375" s="7">
        <v>0</v>
      </c>
      <c r="EH375" s="7">
        <v>1.8387704514453866E-2</v>
      </c>
      <c r="EI375" s="7">
        <v>2.3291735926209398E-2</v>
      </c>
      <c r="EJ375" s="7">
        <v>0.33522903115845021</v>
      </c>
      <c r="EK375" s="7">
        <v>0.55693079233930176</v>
      </c>
      <c r="EL375" s="7">
        <v>6.6160736061584652E-2</v>
      </c>
      <c r="EM375" s="7">
        <v>4.4867182359994554E-2</v>
      </c>
      <c r="EN375" s="7">
        <v>5.8903840649550725E-2</v>
      </c>
      <c r="EO375" s="7">
        <v>0.56806449089612521</v>
      </c>
      <c r="EP375" s="7">
        <v>0.27410709591931864</v>
      </c>
      <c r="EQ375" s="7">
        <v>5.8713575146425334E-2</v>
      </c>
      <c r="ER375" s="7">
        <v>4.0210997388580229E-2</v>
      </c>
      <c r="ES375" s="7">
        <v>0.29284378766158287</v>
      </c>
      <c r="ET375" s="7">
        <v>0.33771097002157741</v>
      </c>
      <c r="EU375" s="6">
        <v>2100</v>
      </c>
      <c r="EV375" s="6">
        <v>0</v>
      </c>
      <c r="EW375" s="6">
        <v>2100</v>
      </c>
      <c r="EX375" s="6">
        <v>0</v>
      </c>
      <c r="EY375" s="6">
        <v>3392.4523392086321</v>
      </c>
      <c r="EZ375" s="6">
        <v>3636</v>
      </c>
      <c r="FA375" s="6">
        <v>0</v>
      </c>
      <c r="FB375" s="6">
        <v>0</v>
      </c>
      <c r="FC375" s="6">
        <v>0</v>
      </c>
      <c r="FD375" s="6">
        <v>0</v>
      </c>
      <c r="FE375" s="6">
        <v>0</v>
      </c>
      <c r="FF375" s="6">
        <v>0</v>
      </c>
      <c r="FG375" s="6">
        <v>0</v>
      </c>
      <c r="FH375" s="6">
        <v>1154.3251361099751</v>
      </c>
      <c r="FI375" s="6">
        <v>1531.4299904380621</v>
      </c>
      <c r="FJ375" s="6">
        <v>2070.7205842538224</v>
      </c>
      <c r="FK375" s="6">
        <v>1314.7946049255015</v>
      </c>
      <c r="FL375" s="6">
        <v>893.91433563489375</v>
      </c>
      <c r="FM375" s="6">
        <v>1542.4523392086323</v>
      </c>
      <c r="FN375" s="6">
        <v>0</v>
      </c>
      <c r="FO375" s="6">
        <v>0</v>
      </c>
      <c r="FP375" s="6">
        <v>0</v>
      </c>
      <c r="FQ375" s="6">
        <v>0</v>
      </c>
      <c r="FR375" s="6">
        <v>0</v>
      </c>
      <c r="FS375" s="6">
        <v>0</v>
      </c>
      <c r="FT375" s="7">
        <v>0.66228902997842254</v>
      </c>
      <c r="FU375" s="7">
        <v>4.4867182359994554E-2</v>
      </c>
      <c r="FV375" s="7">
        <v>0.29284378766158287</v>
      </c>
      <c r="FW375" s="6">
        <v>2100</v>
      </c>
      <c r="FX375" s="6">
        <v>3392.4523392086321</v>
      </c>
      <c r="FY375" s="6">
        <v>3636</v>
      </c>
      <c r="FZ375" s="6">
        <v>2202.331475193394</v>
      </c>
      <c r="GA375" s="6">
        <v>2607.7967526430666</v>
      </c>
      <c r="GB375" s="6">
        <v>17087.203247356934</v>
      </c>
      <c r="GC375" s="7">
        <v>4.8391397220736806E-2</v>
      </c>
      <c r="GD375" s="7">
        <v>5.0894309453044108E-2</v>
      </c>
      <c r="GE375" s="7"/>
      <c r="GF375" s="7"/>
      <c r="GG375" s="7">
        <v>5.1722255939217789E-2</v>
      </c>
      <c r="GH375" s="42">
        <v>2.5123478812543554</v>
      </c>
      <c r="GI375" s="6">
        <v>10447.077350267453</v>
      </c>
      <c r="GJ375" s="14">
        <v>0.5107463060103955</v>
      </c>
      <c r="GK375" s="14">
        <v>0.50829519786160982</v>
      </c>
      <c r="GL375" s="14">
        <v>0.48925369398960455</v>
      </c>
      <c r="GM375" s="14">
        <v>0.49170480213839024</v>
      </c>
      <c r="GO375" s="5">
        <v>338.16872463277008</v>
      </c>
      <c r="GP375" s="5">
        <v>298.1047308538179</v>
      </c>
      <c r="GQ375" s="5">
        <v>527.27910984145694</v>
      </c>
      <c r="GR375" s="5">
        <v>404.20319246551543</v>
      </c>
      <c r="GS375" s="5">
        <v>334.50205195691484</v>
      </c>
      <c r="GT375" s="5">
        <v>289.18266033348181</v>
      </c>
      <c r="GU375" s="5">
        <v>254.29573314828914</v>
      </c>
      <c r="GV375" s="39" t="s">
        <v>392</v>
      </c>
      <c r="GW375" s="5">
        <v>440.98611111111109</v>
      </c>
      <c r="GX375" s="5">
        <v>330.73958333333331</v>
      </c>
      <c r="GY375" s="5">
        <v>264.59166666666664</v>
      </c>
      <c r="GZ375" s="5">
        <v>239.78936683672671</v>
      </c>
      <c r="HA375" s="5">
        <v>216.26912746293831</v>
      </c>
      <c r="HB375" s="39">
        <v>252.36563613796238</v>
      </c>
      <c r="HC375" s="5">
        <v>124.04062499999996</v>
      </c>
      <c r="HD375" s="5">
        <v>127.75060307017539</v>
      </c>
      <c r="HE375" s="5">
        <v>136.66051366396758</v>
      </c>
      <c r="HF375" s="5">
        <v>133.62067434210525</v>
      </c>
      <c r="HG375" s="5">
        <v>137.88493421052632</v>
      </c>
      <c r="HH375" s="39">
        <v>130.72650526464059</v>
      </c>
      <c r="HI375" s="16"/>
      <c r="HJ375" s="19" t="str">
        <f t="shared" ref="HJ375:HK375" si="1221">HJ374</f>
        <v>On</v>
      </c>
      <c r="HK375" s="1" t="str">
        <f t="shared" si="1221"/>
        <v>On</v>
      </c>
      <c r="HL375" s="16"/>
      <c r="HM375" s="639">
        <f t="shared" si="1151"/>
        <v>2.8970655363290673E-2</v>
      </c>
      <c r="HN375" s="639">
        <f t="shared" si="1152"/>
        <v>2.1835179285533651E-3</v>
      </c>
      <c r="HO375" s="639">
        <f t="shared" si="1153"/>
        <v>1.5544129749146325E-2</v>
      </c>
      <c r="HP375" s="644">
        <f>(FT375*$GD375-HM375)/$JF375*INDEX(Input!$1:$1048576,$JG$93,$C375*2+6)</f>
        <v>195.33267558695019</v>
      </c>
      <c r="HQ375" s="644">
        <f>(FU375*$GD375-HN375)/$JF375*INDEX(Input!$1:$1048576,$JG$93,$C375*2+6)</f>
        <v>4.1229583992228429</v>
      </c>
      <c r="HR375" s="644">
        <f>(FV375*$GD375-HO375)/$JF375*INDEX(Input!$1:$1048576,$JG$93,$C375*2+6)</f>
        <v>-26.397774848940482</v>
      </c>
      <c r="HS375" s="644">
        <f t="shared" si="1141"/>
        <v>-63.455394194302443</v>
      </c>
      <c r="HT375" s="644">
        <f t="shared" si="1210"/>
        <v>158.46488551625467</v>
      </c>
      <c r="HU375" s="644">
        <f t="shared" si="1155"/>
        <v>29.345150820916754</v>
      </c>
      <c r="HV375" s="648">
        <f t="shared" si="1156"/>
        <v>0</v>
      </c>
      <c r="HW375" s="648">
        <f t="shared" si="1157"/>
        <v>0</v>
      </c>
      <c r="HX375" s="648">
        <f t="shared" si="1158"/>
        <v>0</v>
      </c>
      <c r="HY375" s="644">
        <f>INDEX(Input!$1:$1048576,HY$93,$C375*2+6)*INDEX(Input!$1:$1048576,$JG$93,$C375*2+6)</f>
        <v>488.99999999999994</v>
      </c>
      <c r="HZ375" s="644">
        <f>INDEX(Input!$1:$1048576,HZ$93,$C375*2+6)*INDEX(Input!$1:$1048576,$JG$93,$C375*2+6)</f>
        <v>734</v>
      </c>
      <c r="IA375" s="644">
        <f>INDEX(Input!$1:$1048576,IA$93,$C375*2+6)*INDEX(Input!$1:$1048576,$JG$93,$C375*2+6)</f>
        <v>703</v>
      </c>
      <c r="IB375" s="644">
        <f t="shared" si="1179"/>
        <v>620.87728139264755</v>
      </c>
      <c r="IC375" s="644">
        <f t="shared" si="1180"/>
        <v>896.58784391547749</v>
      </c>
      <c r="ID375" s="644">
        <f>IF(AND(INDEX(Input!$1:$1048576,IA$93,$C375*2+7)="TOS",Y375&lt;=INDEX(Y:Y,MATCH(C375*1000+2,A:A))),0,1)*MAX(IA375+HR375+HU375+HX375,0%)</f>
        <v>705.94737597197627</v>
      </c>
      <c r="IE375" s="128">
        <f t="shared" si="1211"/>
        <v>0.27924520575250222</v>
      </c>
      <c r="IF375" s="128">
        <f t="shared" si="1212"/>
        <v>0.40324853953068918</v>
      </c>
      <c r="IG375" s="128">
        <f t="shared" si="1213"/>
        <v>0.31750625471680854</v>
      </c>
      <c r="IH375" s="21"/>
      <c r="II375" s="19">
        <f t="shared" si="1160"/>
        <v>1200</v>
      </c>
      <c r="IJ375" s="19">
        <f t="shared" si="1161"/>
        <v>2224.493581030405</v>
      </c>
      <c r="IK375" s="19">
        <f t="shared" si="1162"/>
        <v>3451.75</v>
      </c>
      <c r="IL375" s="19">
        <f t="shared" si="1181"/>
        <v>900</v>
      </c>
      <c r="IM375" s="19">
        <f t="shared" si="1163"/>
        <v>1167.9587581782271</v>
      </c>
      <c r="IN375" s="19">
        <f t="shared" si="1164"/>
        <v>184.25</v>
      </c>
      <c r="IO375" s="39">
        <f t="shared" si="1165"/>
        <v>0</v>
      </c>
      <c r="IP375" s="39">
        <f t="shared" si="1166"/>
        <v>0</v>
      </c>
      <c r="IQ375" s="39">
        <f t="shared" si="1167"/>
        <v>0</v>
      </c>
      <c r="IR375" s="39">
        <v>0</v>
      </c>
      <c r="IS375" s="39">
        <v>0</v>
      </c>
      <c r="IT375" s="39">
        <v>0</v>
      </c>
      <c r="IU375" s="39">
        <v>0</v>
      </c>
      <c r="IV375" s="39">
        <v>0</v>
      </c>
      <c r="IW375" s="39">
        <v>0</v>
      </c>
      <c r="IX375" s="39">
        <f>INDEX(Input!$1:$1048576,IX$93,$C375*2+6)+INDEX(Input!$1:$1048576,IX$94,$C375*2+6)</f>
        <v>1600</v>
      </c>
      <c r="IY375" s="39">
        <f>INDEX(Input!$1:$1048576,IY$93,$C375*2+6)+INDEX(Input!$1:$1048576,IY$94,$C375*2+6)</f>
        <v>2503.5492916397525</v>
      </c>
      <c r="IZ375" s="39">
        <f>INDEX(Input!$1:$1048576,IZ$93,$C375*2+6)+INDEX(Input!$1:$1048576,IZ$94,$C375*2+6)</f>
        <v>5773.7109265464023</v>
      </c>
      <c r="JA375" s="19">
        <f t="shared" si="1182"/>
        <v>2500</v>
      </c>
      <c r="JB375" s="19">
        <f t="shared" si="1183"/>
        <v>3671.5080498179796</v>
      </c>
      <c r="JC375" s="19">
        <f t="shared" si="1184"/>
        <v>5957.9609265464023</v>
      </c>
      <c r="JD375" s="19">
        <f t="shared" si="1185"/>
        <v>4070.3331328823592</v>
      </c>
      <c r="JE375" s="21"/>
      <c r="JF375" s="1">
        <f t="shared" si="1168"/>
        <v>4.6698303040990354E-2</v>
      </c>
      <c r="JG375" s="15">
        <f>INDEX(Input!$1:$1048576,JG$93,$C375*2+6)/(1+VLOOKUP(C375*1000+INDEX(Input!$1:$1048576,JG$93+1,$C375*2+6),$A:$KK,$JK$92,FALSE))</f>
        <v>1926</v>
      </c>
      <c r="JH375" s="1">
        <f t="shared" si="1186"/>
        <v>8.985350941704702E-2</v>
      </c>
      <c r="JI375" s="1">
        <f t="shared" si="1187"/>
        <v>6.4566273179059705E-2</v>
      </c>
      <c r="JJ375" s="1">
        <f t="shared" si="1214"/>
        <v>0</v>
      </c>
      <c r="JK375" s="1">
        <f t="shared" si="1215"/>
        <v>0.15441978259610672</v>
      </c>
      <c r="JL375" s="15">
        <f t="shared" si="1188"/>
        <v>297.41250128010154</v>
      </c>
      <c r="JM375" s="15">
        <f t="shared" si="1207"/>
        <v>2223.4125012801014</v>
      </c>
      <c r="JN375" s="21"/>
      <c r="JO375" s="19">
        <f>INDEX(Input!$1:$1048576,JO$93,$C375*2+6)</f>
        <v>5908.5</v>
      </c>
      <c r="JP375" s="19">
        <f>INDEX(Input!$1:$1048576,JP$93,$C375*2+6)</f>
        <v>3467.7694503767912</v>
      </c>
      <c r="JQ375" s="39">
        <f t="shared" si="1196"/>
        <v>1838.1668671176408</v>
      </c>
      <c r="JR375" s="39">
        <f t="shared" si="1216"/>
        <v>602.56368250556807</v>
      </c>
      <c r="JS375" s="39">
        <f t="shared" si="1197"/>
        <v>9.0500295720252382</v>
      </c>
      <c r="JT375" s="39">
        <f t="shared" si="1189"/>
        <v>2.3711056105995372</v>
      </c>
      <c r="JU375" s="385">
        <f>(JQ375*JM375-INDEX(Input!$1:$1048576,Input!A$18,$C375*2+6)*JL375*INDEX(Input!$1:$1048576,Input!A$19,$C375*2+6))/1000000</f>
        <v>4.0870031917882415</v>
      </c>
      <c r="JV375" s="39">
        <f t="shared" si="1084"/>
        <v>-0.6138438467860583</v>
      </c>
      <c r="JW375" s="1">
        <f t="shared" si="1208"/>
        <v>-0.13058154025199434</v>
      </c>
      <c r="JX375" s="19">
        <f t="shared" si="1201"/>
        <v>7972.447696024863</v>
      </c>
      <c r="JZ375" s="341"/>
      <c r="KA375" s="342"/>
      <c r="KB375" s="469">
        <f t="shared" si="1198"/>
        <v>2.7822247002359868</v>
      </c>
      <c r="KI375" s="473">
        <f t="shared" si="1217"/>
        <v>131.8772813926476</v>
      </c>
      <c r="KJ375" s="473">
        <f t="shared" si="1218"/>
        <v>162.58784391547749</v>
      </c>
      <c r="KK375" s="473">
        <f t="shared" si="1219"/>
        <v>2.9473759719762711</v>
      </c>
      <c r="KN375" s="544">
        <f t="shared" si="1202"/>
        <v>3002</v>
      </c>
      <c r="KO375" s="541">
        <f t="shared" si="1169"/>
        <v>7.9287638015811401E-2</v>
      </c>
      <c r="KP375" s="546">
        <f t="shared" si="1170"/>
        <v>449.26071374458513</v>
      </c>
      <c r="KQ375" s="546">
        <f t="shared" si="1171"/>
        <v>349.25191455698632</v>
      </c>
      <c r="KR375" s="548">
        <f t="shared" si="1172"/>
        <v>2.8191521121418202</v>
      </c>
      <c r="KS375" s="548">
        <f t="shared" si="1173"/>
        <v>3.6264204640422451</v>
      </c>
      <c r="KT375" s="473">
        <f t="shared" si="1199"/>
        <v>527.01264777847621</v>
      </c>
      <c r="KU375" s="663">
        <f t="shared" si="1191"/>
        <v>15.575260160164667</v>
      </c>
    </row>
    <row r="376" spans="1:307" s="26" customFormat="1" ht="15" outlineLevel="1">
      <c r="A376" s="561">
        <f t="shared" si="1174"/>
        <v>3076</v>
      </c>
      <c r="B376" s="561">
        <f t="shared" si="1192"/>
        <v>76</v>
      </c>
      <c r="C376" s="561">
        <f t="shared" si="1193"/>
        <v>3</v>
      </c>
      <c r="D376" s="561" t="str">
        <f t="shared" si="1123"/>
        <v xml:space="preserve">750 CC, 0/1.8/2.8/3.9, 1500 Combo, </v>
      </c>
      <c r="E376" s="475">
        <f>INDEX(Input!$1:$1048576,E$93,$C376*2+MIN($B376,2)+5)
+INDEX(Scenarios!E$121:E$200,MATCH($B376,Scenarios!$B$121:$B$200,0))</f>
        <v>2000</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1500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2.7999999999999997E-2</v>
      </c>
      <c r="W376" s="863">
        <f>IFERROR(MAX(0,INDEX(Input!$1:$1048576,W$93,$C376*2+MIN($B376,2)+5)-0%,),"Market")</f>
        <v>3.9000000000000007E-2</v>
      </c>
      <c r="X376" s="476" t="str">
        <f>INDEX(Input!$1:$1048576,X$93,$C376*2+MIN($B376,2)+5)</f>
        <v>Y</v>
      </c>
      <c r="Y376" s="475">
        <f>INDEX(Input!$1:$1048576,Y$93,$C376*2+MIN($B376,2)+5)
++INDEX(Scenarios!Y$121:Y$200,MATCH($B376,Scenarios!$B$121:$B$200,0))</f>
        <v>4108</v>
      </c>
      <c r="Z376" s="477">
        <f>INDEX(Input!$1:$1048576,Z$93,$C376*2+MIN($B376,2)+5)
+INDEX(Scenarios!Z$121:Z$200,MATCH($B376,Scenarios!$B$121:$B$200,0))</f>
        <v>0</v>
      </c>
      <c r="AA376" s="475">
        <f>INDEX(Input!$1:$1048576,AA$93,$C376*2+MIN($B376,2)+5)</f>
        <v>500</v>
      </c>
      <c r="AB376" s="476">
        <f>INDEX(Input!$1:$1048576,AB$93,$C376*2+MIN($B376,2)+5)</f>
        <v>0.62</v>
      </c>
      <c r="AC376" s="475">
        <f>INDEX(Input!$1:$1048576,AC$93,$C376*2+MIN($B376,2)+5)
+INDEX(Scenarios!AC$121:AC$200,MATCH($B376,Scenarios!$B$121:$B$200,0))</f>
        <v>0</v>
      </c>
      <c r="AD376" s="476">
        <f>INDEX(Input!$1:$1048576,AD$93,$C376*2+MIN($B376,2)+5)</f>
        <v>0.35</v>
      </c>
      <c r="AE376" s="475">
        <f>INDEX(Input!$1:$1048576,AE$93,$C376*2+MIN($B376,2)+5)
+INDEX(Scenarios!AE$121:AE$200,MATCH($B376,Scenarios!$B$121:$B$200,0))</f>
        <v>500</v>
      </c>
      <c r="AF376" s="476">
        <f>INDEX(Input!$1:$1048576,AF$93,$C376*2+MIN($B376,2)+5)</f>
        <v>0.97</v>
      </c>
      <c r="AG376" s="475">
        <f>INDEX(Input!$1:$1048576,AG$93,$C376*2+MIN($B376,2)+5)
+INDEX(Scenarios!AG$121:AG$200,MATCH($B376,Scenarios!$B$121:$B$200,0))</f>
        <v>0</v>
      </c>
      <c r="AH376" s="476">
        <f>INDEX(Input!$1:$1048576,AH$93,$C376*2+MIN($B376,2)+5)</f>
        <v>1</v>
      </c>
      <c r="AI376" s="475">
        <f>INDEX(Input!$1:$1048576,AI$93,$C376*2+MIN($B376,2)+5)
+INDEX(Scenarios!AI$121:AI$200,MATCH($B376,Scenarios!$B$121:$B$200,0))</f>
        <v>0</v>
      </c>
      <c r="AJ376" s="476">
        <f>INDEX(Input!$1:$1048576,AJ$93,$C376*2+MIN($B376,2)+5)</f>
        <v>0.35</v>
      </c>
      <c r="AK376" s="150">
        <f>ROUND(INDEX(Input!$1:$1048576,AK$93,$C375*2+MIN($B376,1)+5)+(Y376-VLOOKUP($C376*1000+1,$A:$HH,Y$92,FALSE)),0)</f>
        <v>4982</v>
      </c>
      <c r="AL376" s="150">
        <f>ROUND(INDEX(Input!$1:$1048576,AL$93,$C375*2+MIN($B376,1)+5)-(Y376-VLOOKUP($C376*1000+1,$A:$HH,Y$92,FALSE))/36,0)</f>
        <v>5102</v>
      </c>
      <c r="AM376" s="32" t="str">
        <f t="shared" si="1175"/>
        <v>std/std/std/std</v>
      </c>
      <c r="AN376" s="32" t="str">
        <f t="shared" si="1176"/>
        <v>$1500 + 0/0/0/2.8/3.9</v>
      </c>
      <c r="AO376" s="32" t="str">
        <f t="shared" si="1177"/>
        <v>0/0/0/2.8/3.9</v>
      </c>
      <c r="AP376" s="32" t="str">
        <f t="shared" si="1125"/>
        <v>0/1.8/2.8/3.9</v>
      </c>
      <c r="AQ376" s="536">
        <f t="shared" si="1124"/>
        <v>485.28367353639521</v>
      </c>
      <c r="AR376" s="32"/>
      <c r="AS376" s="302"/>
      <c r="AT376" s="3">
        <f t="shared" si="1194"/>
        <v>76</v>
      </c>
      <c r="AU376" s="41" t="s">
        <v>121</v>
      </c>
      <c r="AV376" s="41" t="s">
        <v>116</v>
      </c>
      <c r="AW376" s="41" t="str">
        <f>INDEX(Input!$1:$1048576,AW$93,$C376*2+6)</f>
        <v>Kia</v>
      </c>
      <c r="AX376" s="41" t="str">
        <f>INDEX(Input!$1:$1048576,AX$93,$C376*2+6)</f>
        <v>Kia-LR - L3</v>
      </c>
      <c r="AY376" s="41" t="str">
        <f>IF(LEN(D376)=0,"",INDEX(Input!$1:$1048576,AY$93,$C376*2+6))</f>
        <v>Compact Conventional/Sporty Car (43)</v>
      </c>
      <c r="AZ376" s="41" t="str">
        <f>INDEX(Input!$1:$1048576,AZ$93,$C376*2+6)</f>
        <v>Kia Forte</v>
      </c>
      <c r="BA376" s="3">
        <f>INDEX(Input!$1:$1048576,BA$93,$C376*2+6)</f>
        <v>2020</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19695</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1126"/>
        <v>2000</v>
      </c>
      <c r="CJ376" s="16" t="str">
        <f>INDEX(Input!$1:$1048576,CJ$93,$C376*2+6)</f>
        <v>N</v>
      </c>
      <c r="CK376" s="1" t="str">
        <f t="shared" si="1127"/>
        <v>Market</v>
      </c>
      <c r="CL376" s="1" t="str">
        <f t="shared" si="1128"/>
        <v>Market</v>
      </c>
      <c r="CM376" s="1" t="str">
        <f t="shared" si="1129"/>
        <v>Market</v>
      </c>
      <c r="CN376" s="1" t="str">
        <f t="shared" si="1130"/>
        <v>Market</v>
      </c>
      <c r="CO376" s="1" t="str">
        <f t="shared" si="1131"/>
        <v>Market</v>
      </c>
      <c r="CP376" s="304">
        <f t="shared" si="1132"/>
        <v>1810</v>
      </c>
      <c r="CQ376" s="1">
        <f t="shared" si="1133"/>
        <v>0</v>
      </c>
      <c r="CR376" s="1">
        <f t="shared" si="1134"/>
        <v>0</v>
      </c>
      <c r="CS376" s="1">
        <f t="shared" si="1135"/>
        <v>0</v>
      </c>
      <c r="CT376" s="1">
        <f t="shared" si="1136"/>
        <v>2.7999999999999997E-2</v>
      </c>
      <c r="CU376" s="1">
        <f t="shared" si="1137"/>
        <v>3.9000000000000007E-2</v>
      </c>
      <c r="CV376" s="304">
        <f t="shared" si="1138"/>
        <v>4593</v>
      </c>
      <c r="CW376" s="20" t="s">
        <v>122</v>
      </c>
      <c r="CX376" s="20" t="s">
        <v>122</v>
      </c>
      <c r="CY376" s="20" t="s">
        <v>122</v>
      </c>
      <c r="CZ376" s="20" t="s">
        <v>122</v>
      </c>
      <c r="DA376" s="20" t="s">
        <v>122</v>
      </c>
      <c r="DB376" s="503">
        <f t="shared" si="1139"/>
        <v>0</v>
      </c>
      <c r="DC376" s="127">
        <v>0</v>
      </c>
      <c r="DD376" s="127">
        <v>0</v>
      </c>
      <c r="DE376" s="127">
        <v>0</v>
      </c>
      <c r="DF376" s="127">
        <v>0</v>
      </c>
      <c r="DG376" s="127">
        <v>0</v>
      </c>
      <c r="DH376" s="127">
        <v>0</v>
      </c>
      <c r="DI376" s="127">
        <v>0</v>
      </c>
      <c r="DJ376" s="127">
        <v>0</v>
      </c>
      <c r="DK376" s="127">
        <v>0</v>
      </c>
      <c r="DL376" s="127">
        <v>0</v>
      </c>
      <c r="DM376" s="304">
        <f>INDEX(Input!$1:$1048576,DM$93,$C376*2+6)</f>
        <v>20731.578947368424</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3.6552816418589061E-2</v>
      </c>
      <c r="DZ376" s="7">
        <v>0</v>
      </c>
      <c r="EA376" s="7">
        <v>0.636711915847474</v>
      </c>
      <c r="EB376" s="7">
        <v>0</v>
      </c>
      <c r="EC376" s="7">
        <v>0</v>
      </c>
      <c r="ED376" s="7">
        <v>0</v>
      </c>
      <c r="EE376" s="7">
        <v>0</v>
      </c>
      <c r="EF376" s="7">
        <v>0</v>
      </c>
      <c r="EG376" s="7">
        <v>0</v>
      </c>
      <c r="EH376" s="7">
        <v>1.8392756672056754E-2</v>
      </c>
      <c r="EI376" s="7">
        <v>2.3290674334399627E-2</v>
      </c>
      <c r="EJ376" s="7">
        <v>0.33540707639242329</v>
      </c>
      <c r="EK376" s="7">
        <v>0.55679505079321379</v>
      </c>
      <c r="EL376" s="7">
        <v>6.6114441807906682E-2</v>
      </c>
      <c r="EM376" s="7">
        <v>4.9223330131664918E-2</v>
      </c>
      <c r="EN376" s="7">
        <v>5.8903840649550711E-2</v>
      </c>
      <c r="EO376" s="7">
        <v>0.56806449089612487</v>
      </c>
      <c r="EP376" s="7">
        <v>0.27410709591931864</v>
      </c>
      <c r="EQ376" s="7">
        <v>5.8713575146425327E-2</v>
      </c>
      <c r="ER376" s="7">
        <v>4.0210997388580243E-2</v>
      </c>
      <c r="ES376" s="7">
        <v>0.27751193760227194</v>
      </c>
      <c r="ET376" s="7">
        <v>0.32673526773393696</v>
      </c>
      <c r="EU376" s="6">
        <v>2350</v>
      </c>
      <c r="EV376" s="6">
        <v>0</v>
      </c>
      <c r="EW376" s="6">
        <v>2350</v>
      </c>
      <c r="EX376" s="6">
        <v>0</v>
      </c>
      <c r="EY376" s="6">
        <v>3892.6053546276053</v>
      </c>
      <c r="EZ376" s="6">
        <v>3636</v>
      </c>
      <c r="FA376" s="6">
        <v>0</v>
      </c>
      <c r="FB376" s="6">
        <v>0</v>
      </c>
      <c r="FC376" s="6">
        <v>0</v>
      </c>
      <c r="FD376" s="6">
        <v>0</v>
      </c>
      <c r="FE376" s="6">
        <v>0</v>
      </c>
      <c r="FF376" s="6">
        <v>0</v>
      </c>
      <c r="FG376" s="6">
        <v>0</v>
      </c>
      <c r="FH376" s="6">
        <v>1154.3241987061463</v>
      </c>
      <c r="FI376" s="6">
        <v>1531.4299904380623</v>
      </c>
      <c r="FJ376" s="6">
        <v>2070.7205842538219</v>
      </c>
      <c r="FK376" s="6">
        <v>1314.794604925502</v>
      </c>
      <c r="FL376" s="6">
        <v>893.91433563489375</v>
      </c>
      <c r="FM376" s="6">
        <v>1542.605354627605</v>
      </c>
      <c r="FN376" s="6">
        <v>0</v>
      </c>
      <c r="FO376" s="6">
        <v>0</v>
      </c>
      <c r="FP376" s="6">
        <v>0</v>
      </c>
      <c r="FQ376" s="6">
        <v>0</v>
      </c>
      <c r="FR376" s="6">
        <v>0</v>
      </c>
      <c r="FS376" s="6">
        <v>0</v>
      </c>
      <c r="FT376" s="7">
        <v>0.67326473226606309</v>
      </c>
      <c r="FU376" s="7">
        <v>4.9223330131664918E-2</v>
      </c>
      <c r="FV376" s="7">
        <v>0.27751193760227194</v>
      </c>
      <c r="FW376" s="6">
        <v>2350</v>
      </c>
      <c r="FX376" s="6">
        <v>3892.6053546276053</v>
      </c>
      <c r="FY376" s="6">
        <v>3636</v>
      </c>
      <c r="FZ376" s="6">
        <v>2202.331475193394</v>
      </c>
      <c r="GA376" s="6">
        <v>2782.8125243902305</v>
      </c>
      <c r="GB376" s="6">
        <v>16912.187475609768</v>
      </c>
      <c r="GC376" s="7">
        <v>4.8391397220736806E-2</v>
      </c>
      <c r="GD376" s="7">
        <v>5.2156513063339162E-2</v>
      </c>
      <c r="GE376" s="7"/>
      <c r="GF376" s="7"/>
      <c r="GG376" s="7">
        <v>7.780547904884462E-2</v>
      </c>
      <c r="GH376" s="42">
        <v>2.6398431300853327</v>
      </c>
      <c r="GI376" s="6">
        <v>10243.483113313956</v>
      </c>
      <c r="GJ376" s="14">
        <v>0.51074630601039561</v>
      </c>
      <c r="GK376" s="14">
        <v>0.5082951978616097</v>
      </c>
      <c r="GL376" s="14">
        <v>0.4892536939896045</v>
      </c>
      <c r="GM376" s="14">
        <v>0.49170480213839035</v>
      </c>
      <c r="GO376" s="5">
        <v>338.16872463277008</v>
      </c>
      <c r="GP376" s="5">
        <v>293.33520778489498</v>
      </c>
      <c r="GQ376" s="5">
        <v>527.27910984145694</v>
      </c>
      <c r="GR376" s="5">
        <v>404.20319246551543</v>
      </c>
      <c r="GS376" s="5">
        <v>334.50205195691484</v>
      </c>
      <c r="GT376" s="5">
        <v>289.18266033348181</v>
      </c>
      <c r="GU376" s="5">
        <v>254.29573314828914</v>
      </c>
      <c r="GV376" s="39" t="s">
        <v>392</v>
      </c>
      <c r="GW376" s="5">
        <v>427.09722222222223</v>
      </c>
      <c r="GX376" s="5">
        <v>320.32291666666669</v>
      </c>
      <c r="GY376" s="5">
        <v>256.25833333333333</v>
      </c>
      <c r="GZ376" s="5">
        <v>232.23718369803106</v>
      </c>
      <c r="HA376" s="5">
        <v>209.45771593376008</v>
      </c>
      <c r="HB376" s="39">
        <v>244.42358486663923</v>
      </c>
      <c r="HC376" s="5">
        <v>124.04062499999996</v>
      </c>
      <c r="HD376" s="5">
        <v>127.75060307017539</v>
      </c>
      <c r="HE376" s="5">
        <v>136.66051366396758</v>
      </c>
      <c r="HF376" s="5">
        <v>133.62067434210525</v>
      </c>
      <c r="HG376" s="5">
        <v>137.88493421052632</v>
      </c>
      <c r="HH376" s="39">
        <v>130.72650526464056</v>
      </c>
      <c r="HI376" s="16"/>
      <c r="HJ376" s="19" t="str">
        <f t="shared" ref="HJ376:HK376" si="1222">HJ375</f>
        <v>On</v>
      </c>
      <c r="HK376" s="1" t="str">
        <f t="shared" si="1222"/>
        <v>On</v>
      </c>
      <c r="HL376" s="16"/>
      <c r="HM376" s="639">
        <f t="shared" si="1151"/>
        <v>2.8970655363290673E-2</v>
      </c>
      <c r="HN376" s="639">
        <f t="shared" si="1152"/>
        <v>2.1835179285533651E-3</v>
      </c>
      <c r="HO376" s="639">
        <f t="shared" si="1153"/>
        <v>1.5544129749146325E-2</v>
      </c>
      <c r="HP376" s="644">
        <f>(FT376*$GD376-HM376)/$JF376*INDEX(Input!$1:$1048576,$JG$93,$C376*2+6)</f>
        <v>253.4198929561702</v>
      </c>
      <c r="HQ376" s="644">
        <f>(FU376*$GD376-HN376)/$JF376*INDEX(Input!$1:$1048576,$JG$93,$C376*2+6)</f>
        <v>15.82921575774154</v>
      </c>
      <c r="HR376" s="644">
        <f>(FV376*$GD376-HO376)/$JF376*INDEX(Input!$1:$1048576,$JG$93,$C376*2+6)</f>
        <v>-44.133594477426229</v>
      </c>
      <c r="HS376" s="644">
        <f t="shared" si="1141"/>
        <v>-81.262957115236858</v>
      </c>
      <c r="HT376" s="644">
        <f t="shared" si="1210"/>
        <v>227.96105387590191</v>
      </c>
      <c r="HU376" s="644">
        <f t="shared" si="1155"/>
        <v>32.882950418593559</v>
      </c>
      <c r="HV376" s="648">
        <f t="shared" si="1156"/>
        <v>0</v>
      </c>
      <c r="HW376" s="648">
        <f t="shared" si="1157"/>
        <v>0</v>
      </c>
      <c r="HX376" s="648">
        <f t="shared" si="1158"/>
        <v>0</v>
      </c>
      <c r="HY376" s="644">
        <f>INDEX(Input!$1:$1048576,HY$93,$C376*2+6)*INDEX(Input!$1:$1048576,$JG$93,$C376*2+6)</f>
        <v>488.99999999999994</v>
      </c>
      <c r="HZ376" s="644">
        <f>INDEX(Input!$1:$1048576,HZ$93,$C376*2+6)*INDEX(Input!$1:$1048576,$JG$93,$C376*2+6)</f>
        <v>734</v>
      </c>
      <c r="IA376" s="644">
        <f>INDEX(Input!$1:$1048576,IA$93,$C376*2+6)*INDEX(Input!$1:$1048576,$JG$93,$C376*2+6)</f>
        <v>703</v>
      </c>
      <c r="IB376" s="644">
        <f t="shared" si="1179"/>
        <v>661.15693584093356</v>
      </c>
      <c r="IC376" s="644">
        <f t="shared" si="1180"/>
        <v>977.79026963364345</v>
      </c>
      <c r="ID376" s="644">
        <f>IF(AND(INDEX(Input!$1:$1048576,IA$93,$C376*2+7)="TOS",Y376&lt;=INDEX(Y:Y,MATCH(C376*1000+2,A:A))),0,1)*MAX(IA376+HR376+HU376+HX376,0%)</f>
        <v>691.74935594116732</v>
      </c>
      <c r="IE376" s="128">
        <f t="shared" si="1211"/>
        <v>0.28367353639519866</v>
      </c>
      <c r="IF376" s="128">
        <f t="shared" si="1212"/>
        <v>0.41952705719860006</v>
      </c>
      <c r="IG376" s="128">
        <f t="shared" si="1213"/>
        <v>0.29679940640620128</v>
      </c>
      <c r="IH376" s="21"/>
      <c r="II376" s="19">
        <f t="shared" si="1160"/>
        <v>1200</v>
      </c>
      <c r="IJ376" s="19">
        <f t="shared" si="1161"/>
        <v>2224.493581030405</v>
      </c>
      <c r="IK376" s="19">
        <f t="shared" si="1162"/>
        <v>3451.75</v>
      </c>
      <c r="IL376" s="19">
        <f t="shared" si="1181"/>
        <v>1150</v>
      </c>
      <c r="IM376" s="19">
        <f t="shared" si="1163"/>
        <v>1668.1117735972002</v>
      </c>
      <c r="IN376" s="19">
        <f t="shared" si="1164"/>
        <v>184.25</v>
      </c>
      <c r="IO376" s="39">
        <f t="shared" si="1165"/>
        <v>0</v>
      </c>
      <c r="IP376" s="39">
        <f t="shared" si="1166"/>
        <v>0</v>
      </c>
      <c r="IQ376" s="39">
        <f t="shared" si="1167"/>
        <v>0</v>
      </c>
      <c r="IR376" s="39">
        <v>0</v>
      </c>
      <c r="IS376" s="39">
        <v>0</v>
      </c>
      <c r="IT376" s="39">
        <v>0</v>
      </c>
      <c r="IU376" s="39">
        <v>0</v>
      </c>
      <c r="IV376" s="39">
        <v>0</v>
      </c>
      <c r="IW376" s="39">
        <v>0</v>
      </c>
      <c r="IX376" s="39">
        <f>INDEX(Input!$1:$1048576,IX$93,$C376*2+6)+INDEX(Input!$1:$1048576,IX$94,$C376*2+6)</f>
        <v>1600</v>
      </c>
      <c r="IY376" s="39">
        <f>INDEX(Input!$1:$1048576,IY$93,$C376*2+6)+INDEX(Input!$1:$1048576,IY$94,$C376*2+6)</f>
        <v>2503.5492916397525</v>
      </c>
      <c r="IZ376" s="39">
        <f>INDEX(Input!$1:$1048576,IZ$93,$C376*2+6)+INDEX(Input!$1:$1048576,IZ$94,$C376*2+6)</f>
        <v>5773.7109265464023</v>
      </c>
      <c r="JA376" s="19">
        <f t="shared" si="1182"/>
        <v>2750</v>
      </c>
      <c r="JB376" s="19">
        <f t="shared" si="1183"/>
        <v>4171.6610652369527</v>
      </c>
      <c r="JC376" s="19">
        <f t="shared" si="1184"/>
        <v>5957.9609265464023</v>
      </c>
      <c r="JD376" s="19">
        <f t="shared" si="1185"/>
        <v>4298.5461818059448</v>
      </c>
      <c r="JE376" s="21"/>
      <c r="JF376" s="1">
        <f t="shared" si="1168"/>
        <v>4.6698303040990354E-2</v>
      </c>
      <c r="JG376" s="15">
        <f>INDEX(Input!$1:$1048576,JG$93,$C376*2+6)/(1+VLOOKUP(C376*1000+INDEX(Input!$1:$1048576,JG$93+1,$C376*2+6),$A:$KK,$JK$92,FALSE))</f>
        <v>1926</v>
      </c>
      <c r="JH376" s="1">
        <f t="shared" si="1186"/>
        <v>0.11688240614563111</v>
      </c>
      <c r="JI376" s="1">
        <f t="shared" si="1187"/>
        <v>9.3240419096188284E-2</v>
      </c>
      <c r="JJ376" s="1">
        <f t="shared" si="1214"/>
        <v>0</v>
      </c>
      <c r="JK376" s="1">
        <f t="shared" si="1215"/>
        <v>0.21012282524181941</v>
      </c>
      <c r="JL376" s="15">
        <f t="shared" si="1188"/>
        <v>404.69656141574421</v>
      </c>
      <c r="JM376" s="15">
        <f t="shared" si="1207"/>
        <v>2330.6965614157443</v>
      </c>
      <c r="JN376" s="21"/>
      <c r="JO376" s="19">
        <f>INDEX(Input!$1:$1048576,JO$93,$C376*2+6)</f>
        <v>5908.5</v>
      </c>
      <c r="JP376" s="19">
        <f>INDEX(Input!$1:$1048576,JP$93,$C376*2+6)</f>
        <v>3467.7694503767912</v>
      </c>
      <c r="JQ376" s="39">
        <f t="shared" si="1196"/>
        <v>1609.9538181940552</v>
      </c>
      <c r="JR376" s="39">
        <f t="shared" si="1216"/>
        <v>830.77673142915364</v>
      </c>
      <c r="JS376" s="39">
        <f t="shared" si="1197"/>
        <v>10.018606805021893</v>
      </c>
      <c r="JT376" s="39">
        <f t="shared" si="1189"/>
        <v>3.3396828435961932</v>
      </c>
      <c r="JU376" s="385">
        <f>(JQ376*JM376-INDEX(Input!$1:$1048576,Input!A$18,$C376*2+6)*JL376*INDEX(Input!$1:$1048576,Input!A$19,$C376*2+6))/1000000</f>
        <v>3.7523138281030328</v>
      </c>
      <c r="JV376" s="39">
        <f t="shared" si="1084"/>
        <v>-0.94853321047126693</v>
      </c>
      <c r="JW376" s="1">
        <f t="shared" si="1208"/>
        <v>-0.20177921185007194</v>
      </c>
      <c r="JX376" s="19">
        <f t="shared" si="1201"/>
        <v>8252.3133676081379</v>
      </c>
      <c r="JZ376" s="341"/>
      <c r="KA376" s="342"/>
      <c r="KB376" s="469">
        <f t="shared" si="1198"/>
        <v>2.7822247002359868</v>
      </c>
      <c r="KI376" s="473">
        <f t="shared" si="1217"/>
        <v>172.15693584093361</v>
      </c>
      <c r="KJ376" s="473">
        <f t="shared" si="1218"/>
        <v>243.79026963364345</v>
      </c>
      <c r="KK376" s="473">
        <f t="shared" si="1219"/>
        <v>-11.250644058832677</v>
      </c>
      <c r="KN376" s="544">
        <f t="shared" si="1202"/>
        <v>3002</v>
      </c>
      <c r="KO376" s="541">
        <f t="shared" si="1169"/>
        <v>0.13136540576870459</v>
      </c>
      <c r="KP376" s="546">
        <f t="shared" si="1170"/>
        <v>744.72059582590282</v>
      </c>
      <c r="KQ376" s="546">
        <f t="shared" si="1171"/>
        <v>577.4649634805719</v>
      </c>
      <c r="KR376" s="548">
        <f t="shared" si="1172"/>
        <v>2.8177283322530498</v>
      </c>
      <c r="KS376" s="548">
        <f t="shared" si="1173"/>
        <v>3.6338487270693394</v>
      </c>
      <c r="KT376" s="473">
        <f t="shared" si="1199"/>
        <v>527.01264777847621</v>
      </c>
      <c r="KU376" s="663">
        <f t="shared" si="1191"/>
        <v>15.681076988128336</v>
      </c>
    </row>
    <row r="377" spans="1:307" s="26" customFormat="1" ht="15" outlineLevel="1">
      <c r="A377" s="561">
        <f t="shared" si="1174"/>
        <v>3077</v>
      </c>
      <c r="B377" s="561">
        <f t="shared" si="1192"/>
        <v>77</v>
      </c>
      <c r="C377" s="561">
        <f t="shared" si="1193"/>
        <v>3</v>
      </c>
      <c r="D377" s="561" t="str">
        <f t="shared" si="1123"/>
        <v xml:space="preserve">1000 CC, 0/1.8/2.8/3.9, 2000 Combo, </v>
      </c>
      <c r="E377" s="475">
        <f>INDEX(Input!$1:$1048576,E$93,$C377*2+MIN($B377,2)+5)
+INDEX(Scenarios!E$121:E$200,MATCH($B377,Scenarios!$B$121:$B$200,0))</f>
        <v>2250</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2000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2.7999999999999997E-2</v>
      </c>
      <c r="W377" s="863">
        <f>IFERROR(MAX(0,INDEX(Input!$1:$1048576,W$93,$C377*2+MIN($B377,2)+5)-0%,),"Market")</f>
        <v>3.9000000000000007E-2</v>
      </c>
      <c r="X377" s="476" t="str">
        <f>INDEX(Input!$1:$1048576,X$93,$C377*2+MIN($B377,2)+5)</f>
        <v>Y</v>
      </c>
      <c r="Y377" s="475">
        <f>INDEX(Input!$1:$1048576,Y$93,$C377*2+MIN($B377,2)+5)
++INDEX(Scenarios!Y$121:Y$200,MATCH($B377,Scenarios!$B$121:$B$200,0))</f>
        <v>4108</v>
      </c>
      <c r="Z377" s="477">
        <f>INDEX(Input!$1:$1048576,Z$93,$C377*2+MIN($B377,2)+5)
+INDEX(Scenarios!Z$121:Z$200,MATCH($B377,Scenarios!$B$121:$B$200,0))</f>
        <v>0</v>
      </c>
      <c r="AA377" s="475">
        <f>INDEX(Input!$1:$1048576,AA$93,$C377*2+MIN($B377,2)+5)</f>
        <v>500</v>
      </c>
      <c r="AB377" s="476">
        <f>INDEX(Input!$1:$1048576,AB$93,$C377*2+MIN($B377,2)+5)</f>
        <v>0.62</v>
      </c>
      <c r="AC377" s="475">
        <f>INDEX(Input!$1:$1048576,AC$93,$C377*2+MIN($B377,2)+5)
+INDEX(Scenarios!AC$121:AC$200,MATCH($B377,Scenarios!$B$121:$B$200,0))</f>
        <v>0</v>
      </c>
      <c r="AD377" s="476">
        <f>INDEX(Input!$1:$1048576,AD$93,$C377*2+MIN($B377,2)+5)</f>
        <v>0.35</v>
      </c>
      <c r="AE377" s="475">
        <f>INDEX(Input!$1:$1048576,AE$93,$C377*2+MIN($B377,2)+5)
+INDEX(Scenarios!AE$121:AE$200,MATCH($B377,Scenarios!$B$121:$B$200,0))</f>
        <v>500</v>
      </c>
      <c r="AF377" s="476">
        <f>INDEX(Input!$1:$1048576,AF$93,$C377*2+MIN($B377,2)+5)</f>
        <v>0.97</v>
      </c>
      <c r="AG377" s="475">
        <f>INDEX(Input!$1:$1048576,AG$93,$C377*2+MIN($B377,2)+5)
+INDEX(Scenarios!AG$121:AG$200,MATCH($B377,Scenarios!$B$121:$B$200,0))</f>
        <v>0</v>
      </c>
      <c r="AH377" s="476">
        <f>INDEX(Input!$1:$1048576,AH$93,$C377*2+MIN($B377,2)+5)</f>
        <v>1</v>
      </c>
      <c r="AI377" s="475">
        <f>INDEX(Input!$1:$1048576,AI$93,$C377*2+MIN($B377,2)+5)
+INDEX(Scenarios!AI$121:AI$200,MATCH($B377,Scenarios!$B$121:$B$200,0))</f>
        <v>0</v>
      </c>
      <c r="AJ377" s="476">
        <f>INDEX(Input!$1:$1048576,AJ$93,$C377*2+MIN($B377,2)+5)</f>
        <v>0.35</v>
      </c>
      <c r="AK377" s="150">
        <f>ROUND(INDEX(Input!$1:$1048576,AK$93,$C376*2+MIN($B377,1)+5)+(Y377-VLOOKUP($C377*1000+1,$A:$HH,Y$92,FALSE)),0)</f>
        <v>4982</v>
      </c>
      <c r="AL377" s="150">
        <f>ROUND(INDEX(Input!$1:$1048576,AL$93,$C376*2+MIN($B377,1)+5)-(Y377-VLOOKUP($C377*1000+1,$A:$HH,Y$92,FALSE))/36,0)</f>
        <v>5102</v>
      </c>
      <c r="AM377" s="32" t="str">
        <f t="shared" si="1175"/>
        <v>std/std/std/std</v>
      </c>
      <c r="AN377" s="32" t="str">
        <f t="shared" si="1176"/>
        <v>$2000 + 0/0/0/2.8/3.9</v>
      </c>
      <c r="AO377" s="32" t="str">
        <f t="shared" si="1177"/>
        <v>0/0/0/2.8/3.9</v>
      </c>
      <c r="AP377" s="32" t="str">
        <f t="shared" si="1125"/>
        <v>0/1.8/2.8/3.9</v>
      </c>
      <c r="AQ377" s="536">
        <f t="shared" si="1124"/>
        <v>485.2569283198934</v>
      </c>
      <c r="AR377" s="32"/>
      <c r="AS377" s="302"/>
      <c r="AT377" s="3">
        <f t="shared" si="1194"/>
        <v>77</v>
      </c>
      <c r="AU377" s="41" t="s">
        <v>121</v>
      </c>
      <c r="AV377" s="41" t="s">
        <v>116</v>
      </c>
      <c r="AW377" s="41" t="str">
        <f>INDEX(Input!$1:$1048576,AW$93,$C377*2+6)</f>
        <v>Kia</v>
      </c>
      <c r="AX377" s="41" t="str">
        <f>INDEX(Input!$1:$1048576,AX$93,$C377*2+6)</f>
        <v>Kia-LR - L3</v>
      </c>
      <c r="AY377" s="41" t="str">
        <f>IF(LEN(D377)=0,"",INDEX(Input!$1:$1048576,AY$93,$C377*2+6))</f>
        <v>Compact Conventional/Sporty Car (43)</v>
      </c>
      <c r="AZ377" s="41" t="str">
        <f>INDEX(Input!$1:$1048576,AZ$93,$C377*2+6)</f>
        <v>Kia Forte</v>
      </c>
      <c r="BA377" s="3">
        <f>INDEX(Input!$1:$1048576,BA$93,$C377*2+6)</f>
        <v>2020</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19695</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1126"/>
        <v>2250</v>
      </c>
      <c r="CJ377" s="16" t="str">
        <f>INDEX(Input!$1:$1048576,CJ$93,$C377*2+6)</f>
        <v>N</v>
      </c>
      <c r="CK377" s="1" t="str">
        <f t="shared" si="1127"/>
        <v>Market</v>
      </c>
      <c r="CL377" s="1" t="str">
        <f t="shared" si="1128"/>
        <v>Market</v>
      </c>
      <c r="CM377" s="1" t="str">
        <f t="shared" si="1129"/>
        <v>Market</v>
      </c>
      <c r="CN377" s="1" t="str">
        <f t="shared" si="1130"/>
        <v>Market</v>
      </c>
      <c r="CO377" s="1" t="str">
        <f t="shared" si="1131"/>
        <v>Market</v>
      </c>
      <c r="CP377" s="304">
        <f t="shared" si="1132"/>
        <v>2310</v>
      </c>
      <c r="CQ377" s="1">
        <f t="shared" si="1133"/>
        <v>0</v>
      </c>
      <c r="CR377" s="1">
        <f t="shared" si="1134"/>
        <v>0</v>
      </c>
      <c r="CS377" s="1">
        <f t="shared" si="1135"/>
        <v>0</v>
      </c>
      <c r="CT377" s="1">
        <f t="shared" si="1136"/>
        <v>2.7999999999999997E-2</v>
      </c>
      <c r="CU377" s="1">
        <f t="shared" si="1137"/>
        <v>3.9000000000000007E-2</v>
      </c>
      <c r="CV377" s="304">
        <f t="shared" si="1138"/>
        <v>4593</v>
      </c>
      <c r="CW377" s="20" t="s">
        <v>122</v>
      </c>
      <c r="CX377" s="20" t="s">
        <v>122</v>
      </c>
      <c r="CY377" s="20" t="s">
        <v>122</v>
      </c>
      <c r="CZ377" s="20" t="s">
        <v>122</v>
      </c>
      <c r="DA377" s="20" t="s">
        <v>122</v>
      </c>
      <c r="DB377" s="503">
        <f t="shared" si="1139"/>
        <v>0</v>
      </c>
      <c r="DC377" s="127">
        <v>0</v>
      </c>
      <c r="DD377" s="127">
        <v>0</v>
      </c>
      <c r="DE377" s="127">
        <v>0</v>
      </c>
      <c r="DF377" s="127">
        <v>0</v>
      </c>
      <c r="DG377" s="127">
        <v>0</v>
      </c>
      <c r="DH377" s="127">
        <v>0</v>
      </c>
      <c r="DI377" s="127">
        <v>0</v>
      </c>
      <c r="DJ377" s="127">
        <v>0</v>
      </c>
      <c r="DK377" s="127">
        <v>0</v>
      </c>
      <c r="DL377" s="127">
        <v>0</v>
      </c>
      <c r="DM377" s="304">
        <f>INDEX(Input!$1:$1048576,DM$93,$C377*2+6)</f>
        <v>20731.578947368424</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3.6358379851070585E-2</v>
      </c>
      <c r="DZ377" s="7">
        <v>0</v>
      </c>
      <c r="EA377" s="7">
        <v>0.60641589393206374</v>
      </c>
      <c r="EB377" s="7">
        <v>0</v>
      </c>
      <c r="EC377" s="7">
        <v>0</v>
      </c>
      <c r="ED377" s="7">
        <v>0</v>
      </c>
      <c r="EE377" s="7">
        <v>0</v>
      </c>
      <c r="EF377" s="7">
        <v>0</v>
      </c>
      <c r="EG377" s="7">
        <v>0</v>
      </c>
      <c r="EH377" s="7">
        <v>1.8438176555236472E-2</v>
      </c>
      <c r="EI377" s="7">
        <v>2.0871867888291692E-2</v>
      </c>
      <c r="EJ377" s="7">
        <v>0.24260992900132164</v>
      </c>
      <c r="EK377" s="7">
        <v>0.51814618292565229</v>
      </c>
      <c r="EL377" s="7">
        <v>0.19993384362949754</v>
      </c>
      <c r="EM377" s="7">
        <v>0.10075834571429074</v>
      </c>
      <c r="EN377" s="7">
        <v>5.8903840649550711E-2</v>
      </c>
      <c r="EO377" s="7">
        <v>0.56806449089612476</v>
      </c>
      <c r="EP377" s="7">
        <v>0.27410709591931864</v>
      </c>
      <c r="EQ377" s="7">
        <v>5.8713575146425327E-2</v>
      </c>
      <c r="ER377" s="7">
        <v>4.0210997388580215E-2</v>
      </c>
      <c r="ES377" s="7">
        <v>0.25646738050257478</v>
      </c>
      <c r="ET377" s="7">
        <v>0.35722572621686566</v>
      </c>
      <c r="EU377" s="6">
        <v>2600</v>
      </c>
      <c r="EV377" s="6">
        <v>0</v>
      </c>
      <c r="EW377" s="6">
        <v>2600</v>
      </c>
      <c r="EX377" s="6">
        <v>0</v>
      </c>
      <c r="EY377" s="6">
        <v>4265.5482681234225</v>
      </c>
      <c r="EZ377" s="6">
        <v>3636</v>
      </c>
      <c r="FA377" s="6">
        <v>0</v>
      </c>
      <c r="FB377" s="6">
        <v>0</v>
      </c>
      <c r="FC377" s="6">
        <v>0</v>
      </c>
      <c r="FD377" s="6">
        <v>0</v>
      </c>
      <c r="FE377" s="6">
        <v>0</v>
      </c>
      <c r="FF377" s="6">
        <v>0</v>
      </c>
      <c r="FG377" s="6">
        <v>0</v>
      </c>
      <c r="FH377" s="6">
        <v>1151.2827648363273</v>
      </c>
      <c r="FI377" s="6">
        <v>1531.4299904380621</v>
      </c>
      <c r="FJ377" s="6">
        <v>2070.7205842538224</v>
      </c>
      <c r="FK377" s="6">
        <v>1314.7946049255022</v>
      </c>
      <c r="FL377" s="6">
        <v>893.91433563489375</v>
      </c>
      <c r="FM377" s="6">
        <v>1415.5482681234221</v>
      </c>
      <c r="FN377" s="6">
        <v>0</v>
      </c>
      <c r="FO377" s="6">
        <v>0</v>
      </c>
      <c r="FP377" s="6">
        <v>0</v>
      </c>
      <c r="FQ377" s="6">
        <v>0</v>
      </c>
      <c r="FR377" s="6">
        <v>0</v>
      </c>
      <c r="FS377" s="6">
        <v>0</v>
      </c>
      <c r="FT377" s="7">
        <v>0.64277427378313434</v>
      </c>
      <c r="FU377" s="7">
        <v>0.10075834571429074</v>
      </c>
      <c r="FV377" s="7">
        <v>0.25646738050257478</v>
      </c>
      <c r="FW377" s="6">
        <v>2600</v>
      </c>
      <c r="FX377" s="6">
        <v>4265.5482681234225</v>
      </c>
      <c r="FY377" s="6">
        <v>3636</v>
      </c>
      <c r="FZ377" s="6">
        <v>2202.331475193394</v>
      </c>
      <c r="GA377" s="6">
        <v>3033.5180944040849</v>
      </c>
      <c r="GB377" s="6">
        <v>16661.481905595916</v>
      </c>
      <c r="GC377" s="7">
        <v>4.8391397220736806E-2</v>
      </c>
      <c r="GD377" s="7">
        <v>5.4065587601497093E-2</v>
      </c>
      <c r="GE377" s="7"/>
      <c r="GF377" s="7"/>
      <c r="GG377" s="7">
        <v>0.11725617995441488</v>
      </c>
      <c r="GH377" s="42">
        <v>2.778389847511272</v>
      </c>
      <c r="GI377" s="6">
        <v>10122.156147714602</v>
      </c>
      <c r="GJ377" s="14">
        <v>0.5107463060103955</v>
      </c>
      <c r="GK377" s="14">
        <v>0.5082951978616097</v>
      </c>
      <c r="GL377" s="14">
        <v>0.48925369398960428</v>
      </c>
      <c r="GM377" s="14">
        <v>0.49170480213839035</v>
      </c>
      <c r="GO377" s="5">
        <v>338.16872463277008</v>
      </c>
      <c r="GP377" s="5">
        <v>288.56568471597211</v>
      </c>
      <c r="GQ377" s="5">
        <v>527.27910984145694</v>
      </c>
      <c r="GR377" s="5">
        <v>404.20319246551543</v>
      </c>
      <c r="GS377" s="5">
        <v>334.50205195691484</v>
      </c>
      <c r="GT377" s="5">
        <v>289.18266033348181</v>
      </c>
      <c r="GU377" s="5">
        <v>254.29573314828914</v>
      </c>
      <c r="GV377" s="39" t="s">
        <v>392</v>
      </c>
      <c r="GW377" s="5">
        <v>413.20833333333331</v>
      </c>
      <c r="GX377" s="5">
        <v>309.90625</v>
      </c>
      <c r="GY377" s="5">
        <v>247.92500000000001</v>
      </c>
      <c r="GZ377" s="5">
        <v>224.68500055933538</v>
      </c>
      <c r="HA377" s="5">
        <v>202.64630440458183</v>
      </c>
      <c r="HB377" s="39">
        <v>231.17172709689248</v>
      </c>
      <c r="HC377" s="5">
        <v>124.04062499999996</v>
      </c>
      <c r="HD377" s="5">
        <v>127.75060307017539</v>
      </c>
      <c r="HE377" s="5">
        <v>136.66051366396758</v>
      </c>
      <c r="HF377" s="5">
        <v>133.62067434210525</v>
      </c>
      <c r="HG377" s="5">
        <v>137.88493421052632</v>
      </c>
      <c r="HH377" s="39">
        <v>130.72650526464054</v>
      </c>
      <c r="HI377" s="16"/>
      <c r="HJ377" s="19" t="str">
        <f t="shared" ref="HJ377:HK377" si="1223">HJ376</f>
        <v>On</v>
      </c>
      <c r="HK377" s="1" t="str">
        <f t="shared" si="1223"/>
        <v>On</v>
      </c>
      <c r="HL377" s="16"/>
      <c r="HM377" s="639">
        <f t="shared" si="1151"/>
        <v>2.8970655363290673E-2</v>
      </c>
      <c r="HN377" s="639">
        <f t="shared" si="1152"/>
        <v>2.1835179285533651E-3</v>
      </c>
      <c r="HO377" s="639">
        <f t="shared" si="1153"/>
        <v>1.5544129749146325E-2</v>
      </c>
      <c r="HP377" s="644">
        <f>(FT377*$GD377-HM377)/$JF377*INDEX(Input!$1:$1048576,$JG$93,$C377*2+6)</f>
        <v>238.44142009220801</v>
      </c>
      <c r="HQ377" s="644">
        <f>(FU377*$GD377-HN377)/$JF377*INDEX(Input!$1:$1048576,$JG$93,$C377*2+6)</f>
        <v>134.62038265803506</v>
      </c>
      <c r="HR377" s="644">
        <f>(FV377*$GD377-HO377)/$JF377*INDEX(Input!$1:$1048576,$JG$93,$C377*2+6)</f>
        <v>-69.209432545678553</v>
      </c>
      <c r="HS377" s="644">
        <f t="shared" si="1141"/>
        <v>-98.939440852050879</v>
      </c>
      <c r="HT377" s="644">
        <f t="shared" si="1210"/>
        <v>279.01266912058003</v>
      </c>
      <c r="HU377" s="644">
        <f t="shared" si="1155"/>
        <v>36.289670832149959</v>
      </c>
      <c r="HV377" s="648">
        <f t="shared" si="1156"/>
        <v>0</v>
      </c>
      <c r="HW377" s="648">
        <f t="shared" si="1157"/>
        <v>0</v>
      </c>
      <c r="HX377" s="648">
        <f t="shared" si="1158"/>
        <v>0</v>
      </c>
      <c r="HY377" s="644">
        <f>INDEX(Input!$1:$1048576,HY$93,$C377*2+6)*INDEX(Input!$1:$1048576,$JG$93,$C377*2+6)</f>
        <v>488.99999999999994</v>
      </c>
      <c r="HZ377" s="644">
        <f>INDEX(Input!$1:$1048576,HZ$93,$C377*2+6)*INDEX(Input!$1:$1048576,$JG$93,$C377*2+6)</f>
        <v>734</v>
      </c>
      <c r="IA377" s="644">
        <f>INDEX(Input!$1:$1048576,IA$93,$C377*2+6)*INDEX(Input!$1:$1048576,$JG$93,$C377*2+6)</f>
        <v>703</v>
      </c>
      <c r="IB377" s="644">
        <f t="shared" si="1179"/>
        <v>628.50197924015708</v>
      </c>
      <c r="IC377" s="644">
        <f t="shared" si="1180"/>
        <v>1147.633051778615</v>
      </c>
      <c r="ID377" s="644">
        <f>IF(AND(INDEX(Input!$1:$1048576,IA$93,$C377*2+7)="TOS",Y377&lt;=INDEX(Y:Y,MATCH(C377*1000+2,A:A))),0,1)*MAX(IA377+HR377+HU377+HX377,0%)</f>
        <v>670.0802382864714</v>
      </c>
      <c r="IE377" s="128">
        <f t="shared" si="1211"/>
        <v>0.25692831989339177</v>
      </c>
      <c r="IF377" s="128">
        <f t="shared" si="1212"/>
        <v>0.46914638551191673</v>
      </c>
      <c r="IG377" s="128">
        <f t="shared" si="1213"/>
        <v>0.2739252945946915</v>
      </c>
      <c r="IH377" s="21"/>
      <c r="II377" s="19">
        <f t="shared" si="1160"/>
        <v>1200</v>
      </c>
      <c r="IJ377" s="19">
        <f t="shared" si="1161"/>
        <v>2224.493581030405</v>
      </c>
      <c r="IK377" s="19">
        <f t="shared" si="1162"/>
        <v>3451.75</v>
      </c>
      <c r="IL377" s="19">
        <f t="shared" si="1181"/>
        <v>1400</v>
      </c>
      <c r="IM377" s="19">
        <f t="shared" si="1163"/>
        <v>2041.0546870930175</v>
      </c>
      <c r="IN377" s="19">
        <f t="shared" si="1164"/>
        <v>184.25</v>
      </c>
      <c r="IO377" s="39">
        <f t="shared" si="1165"/>
        <v>0</v>
      </c>
      <c r="IP377" s="39">
        <f t="shared" si="1166"/>
        <v>0</v>
      </c>
      <c r="IQ377" s="39">
        <f t="shared" si="1167"/>
        <v>0</v>
      </c>
      <c r="IR377" s="39">
        <v>0</v>
      </c>
      <c r="IS377" s="39">
        <v>0</v>
      </c>
      <c r="IT377" s="39">
        <v>0</v>
      </c>
      <c r="IU377" s="39">
        <v>0</v>
      </c>
      <c r="IV377" s="39">
        <v>0</v>
      </c>
      <c r="IW377" s="39">
        <v>0</v>
      </c>
      <c r="IX377" s="39">
        <f>INDEX(Input!$1:$1048576,IX$93,$C377*2+6)+INDEX(Input!$1:$1048576,IX$94,$C377*2+6)</f>
        <v>1600</v>
      </c>
      <c r="IY377" s="39">
        <f>INDEX(Input!$1:$1048576,IY$93,$C377*2+6)+INDEX(Input!$1:$1048576,IY$94,$C377*2+6)</f>
        <v>2503.5492916397525</v>
      </c>
      <c r="IZ377" s="39">
        <f>INDEX(Input!$1:$1048576,IZ$93,$C377*2+6)+INDEX(Input!$1:$1048576,IZ$94,$C377*2+6)</f>
        <v>5773.7109265464023</v>
      </c>
      <c r="JA377" s="19">
        <f t="shared" si="1182"/>
        <v>3000</v>
      </c>
      <c r="JB377" s="19">
        <f t="shared" si="1183"/>
        <v>4544.60397873277</v>
      </c>
      <c r="JC377" s="19">
        <f t="shared" si="1184"/>
        <v>5957.9609265464023</v>
      </c>
      <c r="JD377" s="19">
        <f t="shared" si="1185"/>
        <v>4534.9056918736142</v>
      </c>
      <c r="JE377" s="21"/>
      <c r="JF377" s="1">
        <f t="shared" si="1168"/>
        <v>4.6698303040990354E-2</v>
      </c>
      <c r="JG377" s="15">
        <f>INDEX(Input!$1:$1048576,JG$93,$C377*2+6)/(1+VLOOKUP(C377*1000+INDEX(Input!$1:$1048576,JG$93+1,$C377*2+6),$A:$KK,$JK$92,FALSE))</f>
        <v>1926</v>
      </c>
      <c r="JH377" s="1">
        <f t="shared" si="1186"/>
        <v>0.15776343208959734</v>
      </c>
      <c r="JI377" s="1">
        <f t="shared" si="1187"/>
        <v>0.11233795384251251</v>
      </c>
      <c r="JJ377" s="1">
        <f t="shared" si="1214"/>
        <v>0</v>
      </c>
      <c r="JK377" s="1">
        <f t="shared" si="1215"/>
        <v>0.27010138593210986</v>
      </c>
      <c r="JL377" s="15">
        <f t="shared" si="1188"/>
        <v>520.21526930524362</v>
      </c>
      <c r="JM377" s="15">
        <f t="shared" si="1207"/>
        <v>2446.2152693052435</v>
      </c>
      <c r="JN377" s="21"/>
      <c r="JO377" s="19">
        <f>INDEX(Input!$1:$1048576,JO$93,$C377*2+6)</f>
        <v>5908.5</v>
      </c>
      <c r="JP377" s="19">
        <f>INDEX(Input!$1:$1048576,JP$93,$C377*2+6)</f>
        <v>3467.7694503767912</v>
      </c>
      <c r="JQ377" s="39">
        <f t="shared" si="1196"/>
        <v>1373.5943081263858</v>
      </c>
      <c r="JR377" s="39">
        <f t="shared" si="1216"/>
        <v>1067.136241496823</v>
      </c>
      <c r="JS377" s="39">
        <f t="shared" si="1197"/>
        <v>11.093355548320494</v>
      </c>
      <c r="JT377" s="39">
        <f t="shared" si="1189"/>
        <v>4.4144315868947945</v>
      </c>
      <c r="JU377" s="385">
        <f>(JQ377*JM377-INDEX(Input!$1:$1048576,Input!A$18,$C377*2+6)*JL377*INDEX(Input!$1:$1048576,Input!A$19,$C377*2+6))/1000000</f>
        <v>3.360107370369537</v>
      </c>
      <c r="JV377" s="39">
        <f t="shared" si="1084"/>
        <v>-1.3407396682047628</v>
      </c>
      <c r="JW377" s="1">
        <f t="shared" si="1208"/>
        <v>-0.28521235794376965</v>
      </c>
      <c r="JX377" s="19">
        <f t="shared" si="1201"/>
        <v>8485.7785754546258</v>
      </c>
      <c r="JZ377" s="341"/>
      <c r="KA377" s="342"/>
      <c r="KB377" s="469">
        <f t="shared" si="1198"/>
        <v>2.7822247002359868</v>
      </c>
      <c r="KI377" s="473">
        <f t="shared" si="1217"/>
        <v>139.50197924015714</v>
      </c>
      <c r="KJ377" s="473">
        <f t="shared" si="1218"/>
        <v>413.63305177861503</v>
      </c>
      <c r="KK377" s="473">
        <f t="shared" si="1219"/>
        <v>-32.919761713528601</v>
      </c>
      <c r="KN377" s="544">
        <f t="shared" si="1202"/>
        <v>3002</v>
      </c>
      <c r="KO377" s="541">
        <f t="shared" si="1169"/>
        <v>0.18744043157381918</v>
      </c>
      <c r="KP377" s="546">
        <f t="shared" si="1170"/>
        <v>1026.7764989324819</v>
      </c>
      <c r="KQ377" s="546">
        <f t="shared" si="1171"/>
        <v>813.82447354824126</v>
      </c>
      <c r="KR377" s="548">
        <f t="shared" si="1172"/>
        <v>2.9160759264311094</v>
      </c>
      <c r="KS377" s="548">
        <f t="shared" si="1173"/>
        <v>3.6791204094757943</v>
      </c>
      <c r="KT377" s="473">
        <f t="shared" si="1199"/>
        <v>527.01264777847621</v>
      </c>
      <c r="KU377" s="663">
        <f t="shared" si="1191"/>
        <v>15.815744115620124</v>
      </c>
    </row>
    <row r="378" spans="1:307" s="26" customFormat="1" ht="15" outlineLevel="1">
      <c r="A378" s="561">
        <f t="shared" si="1174"/>
        <v>3078</v>
      </c>
      <c r="B378" s="561">
        <f t="shared" si="1192"/>
        <v>78</v>
      </c>
      <c r="C378" s="561">
        <f t="shared" si="1193"/>
        <v>3</v>
      </c>
      <c r="D378" s="561" t="str">
        <f t="shared" si="1123"/>
        <v xml:space="preserve">500 CC, 0/2.8/3.8/3.9, 1000 Combo, </v>
      </c>
      <c r="E378" s="475">
        <f>INDEX(Input!$1:$1048576,E$93,$C378*2+MIN($B378,2)+5)
+INDEX(Scenarios!E$121:E$200,MATCH($B378,Scenarios!$B$121:$B$200,0))</f>
        <v>1750</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1000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3.7999999999999999E-2</v>
      </c>
      <c r="W378" s="863">
        <f>IFERROR(MAX(0,INDEX(Input!$1:$1048576,W$93,$C378*2+MIN($B378,2)+5)-0%,),"Market")</f>
        <v>3.9000000000000007E-2</v>
      </c>
      <c r="X378" s="476" t="str">
        <f>INDEX(Input!$1:$1048576,X$93,$C378*2+MIN($B378,2)+5)</f>
        <v>Y</v>
      </c>
      <c r="Y378" s="475">
        <f>INDEX(Input!$1:$1048576,Y$93,$C378*2+MIN($B378,2)+5)
++INDEX(Scenarios!Y$121:Y$200,MATCH($B378,Scenarios!$B$121:$B$200,0))</f>
        <v>4108</v>
      </c>
      <c r="Z378" s="477">
        <f>INDEX(Input!$1:$1048576,Z$93,$C378*2+MIN($B378,2)+5)
+INDEX(Scenarios!Z$121:Z$200,MATCH($B378,Scenarios!$B$121:$B$200,0))</f>
        <v>0</v>
      </c>
      <c r="AA378" s="475">
        <f>INDEX(Input!$1:$1048576,AA$93,$C378*2+MIN($B378,2)+5)</f>
        <v>500</v>
      </c>
      <c r="AB378" s="476">
        <f>INDEX(Input!$1:$1048576,AB$93,$C378*2+MIN($B378,2)+5)</f>
        <v>0.62</v>
      </c>
      <c r="AC378" s="475">
        <f>INDEX(Input!$1:$1048576,AC$93,$C378*2+MIN($B378,2)+5)
+INDEX(Scenarios!AC$121:AC$200,MATCH($B378,Scenarios!$B$121:$B$200,0))</f>
        <v>0</v>
      </c>
      <c r="AD378" s="476">
        <f>INDEX(Input!$1:$1048576,AD$93,$C378*2+MIN($B378,2)+5)</f>
        <v>0.35</v>
      </c>
      <c r="AE378" s="475">
        <f>INDEX(Input!$1:$1048576,AE$93,$C378*2+MIN($B378,2)+5)
+INDEX(Scenarios!AE$121:AE$200,MATCH($B378,Scenarios!$B$121:$B$200,0))</f>
        <v>500</v>
      </c>
      <c r="AF378" s="476">
        <f>INDEX(Input!$1:$1048576,AF$93,$C378*2+MIN($B378,2)+5)</f>
        <v>0.97</v>
      </c>
      <c r="AG378" s="475">
        <f>INDEX(Input!$1:$1048576,AG$93,$C378*2+MIN($B378,2)+5)
+INDEX(Scenarios!AG$121:AG$200,MATCH($B378,Scenarios!$B$121:$B$200,0))</f>
        <v>0</v>
      </c>
      <c r="AH378" s="476">
        <f>INDEX(Input!$1:$1048576,AH$93,$C378*2+MIN($B378,2)+5)</f>
        <v>1</v>
      </c>
      <c r="AI378" s="475">
        <f>INDEX(Input!$1:$1048576,AI$93,$C378*2+MIN($B378,2)+5)
+INDEX(Scenarios!AI$121:AI$200,MATCH($B378,Scenarios!$B$121:$B$200,0))</f>
        <v>0</v>
      </c>
      <c r="AJ378" s="476">
        <f>INDEX(Input!$1:$1048576,AJ$93,$C378*2+MIN($B378,2)+5)</f>
        <v>0.35</v>
      </c>
      <c r="AK378" s="150">
        <f>ROUND(INDEX(Input!$1:$1048576,AK$93,$C377*2+MIN($B378,1)+5)+(Y378-VLOOKUP($C378*1000+1,$A:$HH,Y$92,FALSE)),0)</f>
        <v>4982</v>
      </c>
      <c r="AL378" s="150">
        <f>ROUND(INDEX(Input!$1:$1048576,AL$93,$C377*2+MIN($B378,1)+5)-(Y378-VLOOKUP($C378*1000+1,$A:$HH,Y$92,FALSE))/36,0)</f>
        <v>5102</v>
      </c>
      <c r="AM378" s="32" t="str">
        <f t="shared" si="1175"/>
        <v>std/std/std/std</v>
      </c>
      <c r="AN378" s="32" t="str">
        <f t="shared" si="1176"/>
        <v>$1000 + 0/0/0/3.8/3.9</v>
      </c>
      <c r="AO378" s="32" t="str">
        <f t="shared" si="1177"/>
        <v>0/0/0/3.8/3.9</v>
      </c>
      <c r="AP378" s="32" t="str">
        <f t="shared" si="1125"/>
        <v>0/2.8/3.8/3.9</v>
      </c>
      <c r="AQ378" s="536">
        <f t="shared" si="1124"/>
        <v>485.2862014234974</v>
      </c>
      <c r="AR378" s="32"/>
      <c r="AS378" s="302"/>
      <c r="AT378" s="3">
        <f t="shared" si="1194"/>
        <v>78</v>
      </c>
      <c r="AU378" s="41" t="s">
        <v>121</v>
      </c>
      <c r="AV378" s="41" t="s">
        <v>116</v>
      </c>
      <c r="AW378" s="41" t="str">
        <f>INDEX(Input!$1:$1048576,AW$93,$C378*2+6)</f>
        <v>Kia</v>
      </c>
      <c r="AX378" s="41" t="str">
        <f>INDEX(Input!$1:$1048576,AX$93,$C378*2+6)</f>
        <v>Kia-LR - L3</v>
      </c>
      <c r="AY378" s="41" t="str">
        <f>IF(LEN(D378)=0,"",INDEX(Input!$1:$1048576,AY$93,$C378*2+6))</f>
        <v>Compact Conventional/Sporty Car (43)</v>
      </c>
      <c r="AZ378" s="41" t="str">
        <f>INDEX(Input!$1:$1048576,AZ$93,$C378*2+6)</f>
        <v>Kia Forte</v>
      </c>
      <c r="BA378" s="3">
        <f>INDEX(Input!$1:$1048576,BA$93,$C378*2+6)</f>
        <v>2020</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19695</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1126"/>
        <v>1750</v>
      </c>
      <c r="CJ378" s="16" t="str">
        <f>INDEX(Input!$1:$1048576,CJ$93,$C378*2+6)</f>
        <v>N</v>
      </c>
      <c r="CK378" s="1" t="str">
        <f t="shared" si="1127"/>
        <v>Market</v>
      </c>
      <c r="CL378" s="1" t="str">
        <f t="shared" si="1128"/>
        <v>Market</v>
      </c>
      <c r="CM378" s="1" t="str">
        <f t="shared" si="1129"/>
        <v>Market</v>
      </c>
      <c r="CN378" s="1" t="str">
        <f t="shared" si="1130"/>
        <v>Market</v>
      </c>
      <c r="CO378" s="1" t="str">
        <f t="shared" si="1131"/>
        <v>Market</v>
      </c>
      <c r="CP378" s="304">
        <f t="shared" si="1132"/>
        <v>1310</v>
      </c>
      <c r="CQ378" s="1">
        <f t="shared" si="1133"/>
        <v>0</v>
      </c>
      <c r="CR378" s="1">
        <f t="shared" si="1134"/>
        <v>0</v>
      </c>
      <c r="CS378" s="1">
        <f t="shared" si="1135"/>
        <v>0</v>
      </c>
      <c r="CT378" s="1">
        <f t="shared" si="1136"/>
        <v>3.7999999999999999E-2</v>
      </c>
      <c r="CU378" s="1">
        <f t="shared" si="1137"/>
        <v>3.9000000000000007E-2</v>
      </c>
      <c r="CV378" s="304">
        <f t="shared" si="1138"/>
        <v>4593</v>
      </c>
      <c r="CW378" s="20" t="s">
        <v>122</v>
      </c>
      <c r="CX378" s="20" t="s">
        <v>122</v>
      </c>
      <c r="CY378" s="20" t="s">
        <v>122</v>
      </c>
      <c r="CZ378" s="20" t="s">
        <v>122</v>
      </c>
      <c r="DA378" s="20" t="s">
        <v>122</v>
      </c>
      <c r="DB378" s="503">
        <f t="shared" si="1139"/>
        <v>0</v>
      </c>
      <c r="DC378" s="127">
        <v>0</v>
      </c>
      <c r="DD378" s="127">
        <v>0</v>
      </c>
      <c r="DE378" s="127">
        <v>0</v>
      </c>
      <c r="DF378" s="127">
        <v>0</v>
      </c>
      <c r="DG378" s="127">
        <v>0</v>
      </c>
      <c r="DH378" s="127">
        <v>0</v>
      </c>
      <c r="DI378" s="127">
        <v>0</v>
      </c>
      <c r="DJ378" s="127">
        <v>0</v>
      </c>
      <c r="DK378" s="127">
        <v>0</v>
      </c>
      <c r="DL378" s="127">
        <v>0</v>
      </c>
      <c r="DM378" s="304">
        <f>INDEX(Input!$1:$1048576,DM$93,$C378*2+6)</f>
        <v>20731.578947368424</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3.6178939104530843E-2</v>
      </c>
      <c r="DZ378" s="7">
        <v>0</v>
      </c>
      <c r="EA378" s="7">
        <v>0.63262683977179623</v>
      </c>
      <c r="EB378" s="7">
        <v>0</v>
      </c>
      <c r="EC378" s="7">
        <v>0</v>
      </c>
      <c r="ED378" s="7">
        <v>0</v>
      </c>
      <c r="EE378" s="7">
        <v>0</v>
      </c>
      <c r="EF378" s="7">
        <v>0</v>
      </c>
      <c r="EG378" s="7">
        <v>0</v>
      </c>
      <c r="EH378" s="7">
        <v>2.3980373224010552E-2</v>
      </c>
      <c r="EI378" s="7">
        <v>3.0370875796848676E-2</v>
      </c>
      <c r="EJ378" s="7">
        <v>0.43724859877289829</v>
      </c>
      <c r="EK378" s="7">
        <v>0.42216054862403091</v>
      </c>
      <c r="EL378" s="7">
        <v>8.6239603582211541E-2</v>
      </c>
      <c r="EM378" s="7">
        <v>3.4824161770810338E-2</v>
      </c>
      <c r="EN378" s="7">
        <v>5.8903840649550725E-2</v>
      </c>
      <c r="EO378" s="7">
        <v>0.56806449089612521</v>
      </c>
      <c r="EP378" s="7">
        <v>0.27410709591931864</v>
      </c>
      <c r="EQ378" s="7">
        <v>5.8713575146425334E-2</v>
      </c>
      <c r="ER378" s="7">
        <v>4.0210997388580243E-2</v>
      </c>
      <c r="ES378" s="7">
        <v>0.29637005935286254</v>
      </c>
      <c r="ET378" s="7">
        <v>0.33119422112367292</v>
      </c>
      <c r="EU378" s="6">
        <v>2100</v>
      </c>
      <c r="EV378" s="6">
        <v>0</v>
      </c>
      <c r="EW378" s="6">
        <v>2100</v>
      </c>
      <c r="EX378" s="6">
        <v>0</v>
      </c>
      <c r="EY378" s="6">
        <v>3255.4209958110359</v>
      </c>
      <c r="EZ378" s="6">
        <v>3636</v>
      </c>
      <c r="FA378" s="6">
        <v>0</v>
      </c>
      <c r="FB378" s="6">
        <v>0</v>
      </c>
      <c r="FC378" s="6">
        <v>0</v>
      </c>
      <c r="FD378" s="6">
        <v>0</v>
      </c>
      <c r="FE378" s="6">
        <v>0</v>
      </c>
      <c r="FF378" s="6">
        <v>0</v>
      </c>
      <c r="FG378" s="6">
        <v>0</v>
      </c>
      <c r="FH378" s="6">
        <v>1154.3246443790597</v>
      </c>
      <c r="FI378" s="6">
        <v>1531.4299904380614</v>
      </c>
      <c r="FJ378" s="6">
        <v>2070.7205842538219</v>
      </c>
      <c r="FK378" s="6">
        <v>826.03289024944377</v>
      </c>
      <c r="FL378" s="6">
        <v>893.91433563489397</v>
      </c>
      <c r="FM378" s="6">
        <v>1405.4209958110359</v>
      </c>
      <c r="FN378" s="6">
        <v>0</v>
      </c>
      <c r="FO378" s="6">
        <v>0</v>
      </c>
      <c r="FP378" s="6">
        <v>0</v>
      </c>
      <c r="FQ378" s="6">
        <v>0</v>
      </c>
      <c r="FR378" s="6">
        <v>0</v>
      </c>
      <c r="FS378" s="6">
        <v>0</v>
      </c>
      <c r="FT378" s="7">
        <v>0.66880577887632708</v>
      </c>
      <c r="FU378" s="7">
        <v>3.4824161770810338E-2</v>
      </c>
      <c r="FV378" s="7">
        <v>0.29637005935286254</v>
      </c>
      <c r="FW378" s="6">
        <v>2100</v>
      </c>
      <c r="FX378" s="6">
        <v>3255.4209958110359</v>
      </c>
      <c r="FY378" s="6">
        <v>3636</v>
      </c>
      <c r="FZ378" s="6">
        <v>2202.331475193394</v>
      </c>
      <c r="GA378" s="6">
        <v>2595.460978837511</v>
      </c>
      <c r="GB378" s="6">
        <v>17099.539021162491</v>
      </c>
      <c r="GC378" s="7">
        <v>4.8391397220736806E-2</v>
      </c>
      <c r="GD378" s="7">
        <v>5.063828161398376E-2</v>
      </c>
      <c r="GE378" s="7"/>
      <c r="GF378" s="7"/>
      <c r="GG378" s="7">
        <v>4.6431484154049449E-2</v>
      </c>
      <c r="GH378" s="42">
        <v>2.3261242718680104</v>
      </c>
      <c r="GI378" s="6">
        <v>11062.334498103017</v>
      </c>
      <c r="GJ378" s="14">
        <v>0.5107463060103955</v>
      </c>
      <c r="GK378" s="14">
        <v>0.50829519786160993</v>
      </c>
      <c r="GL378" s="14">
        <v>0.48925369398960433</v>
      </c>
      <c r="GM378" s="14">
        <v>0.49170480213839041</v>
      </c>
      <c r="GO378" s="5">
        <v>338.16872463277008</v>
      </c>
      <c r="GP378" s="5">
        <v>298.1047308538179</v>
      </c>
      <c r="GQ378" s="5">
        <v>527.27910984145694</v>
      </c>
      <c r="GR378" s="5">
        <v>404.20319246551543</v>
      </c>
      <c r="GS378" s="5">
        <v>334.50205195691484</v>
      </c>
      <c r="GT378" s="5">
        <v>289.18266033348181</v>
      </c>
      <c r="GU378" s="5">
        <v>254.29573314828914</v>
      </c>
      <c r="GV378" s="39" t="s">
        <v>392</v>
      </c>
      <c r="GW378" s="5">
        <v>440.98611111111109</v>
      </c>
      <c r="GX378" s="5">
        <v>330.73958333333331</v>
      </c>
      <c r="GY378" s="5">
        <v>264.59166666666664</v>
      </c>
      <c r="GZ378" s="5">
        <v>246.93103803700129</v>
      </c>
      <c r="HA378" s="5">
        <v>216.26912746293831</v>
      </c>
      <c r="HB378" s="39">
        <v>259.20770414402978</v>
      </c>
      <c r="HC378" s="5">
        <v>124.04062499999996</v>
      </c>
      <c r="HD378" s="5">
        <v>127.75060307017539</v>
      </c>
      <c r="HE378" s="5">
        <v>136.66051366396758</v>
      </c>
      <c r="HF378" s="5">
        <v>133.62067434210525</v>
      </c>
      <c r="HG378" s="5">
        <v>137.88493421052632</v>
      </c>
      <c r="HH378" s="39">
        <v>130.72650526464059</v>
      </c>
      <c r="HI378" s="16"/>
      <c r="HJ378" s="19" t="str">
        <f t="shared" ref="HJ378:HK378" si="1224">HJ377</f>
        <v>On</v>
      </c>
      <c r="HK378" s="1" t="str">
        <f t="shared" si="1224"/>
        <v>On</v>
      </c>
      <c r="HL378" s="16"/>
      <c r="HM378" s="639">
        <f t="shared" si="1151"/>
        <v>2.8970655363290673E-2</v>
      </c>
      <c r="HN378" s="639">
        <f t="shared" si="1152"/>
        <v>2.1835179285533651E-3</v>
      </c>
      <c r="HO378" s="639">
        <f t="shared" si="1153"/>
        <v>1.5544129749146325E-2</v>
      </c>
      <c r="HP378" s="644">
        <f>(FT378*$GD378-HM378)/$JF378*INDEX(Input!$1:$1048576,$JG$93,$C378*2+6)</f>
        <v>201.94946989430107</v>
      </c>
      <c r="HQ378" s="644">
        <f>(FU378*$GD378-HN378)/$JF378*INDEX(Input!$1:$1048576,$JG$93,$C378*2+6)</f>
        <v>-17.325647804257997</v>
      </c>
      <c r="HR378" s="644">
        <f>(FV378*$GD378-HO378)/$JF378*INDEX(Input!$1:$1048576,$JG$93,$C378*2+6)</f>
        <v>-22.125439120443218</v>
      </c>
      <c r="HS378" s="644">
        <f t="shared" si="1141"/>
        <v>-63.314195056655905</v>
      </c>
      <c r="HT378" s="644">
        <f t="shared" si="1210"/>
        <v>138.59632277239871</v>
      </c>
      <c r="HU378" s="644">
        <f t="shared" si="1155"/>
        <v>29.203951683270212</v>
      </c>
      <c r="HV378" s="648">
        <f t="shared" si="1156"/>
        <v>0</v>
      </c>
      <c r="HW378" s="648">
        <f t="shared" si="1157"/>
        <v>0</v>
      </c>
      <c r="HX378" s="648">
        <f t="shared" si="1158"/>
        <v>0</v>
      </c>
      <c r="HY378" s="644">
        <f>INDEX(Input!$1:$1048576,HY$93,$C378*2+6)*INDEX(Input!$1:$1048576,$JG$93,$C378*2+6)</f>
        <v>488.99999999999994</v>
      </c>
      <c r="HZ378" s="644">
        <f>INDEX(Input!$1:$1048576,HZ$93,$C378*2+6)*INDEX(Input!$1:$1048576,$JG$93,$C378*2+6)</f>
        <v>734</v>
      </c>
      <c r="IA378" s="644">
        <f>INDEX(Input!$1:$1048576,IA$93,$C378*2+6)*INDEX(Input!$1:$1048576,$JG$93,$C378*2+6)</f>
        <v>703</v>
      </c>
      <c r="IB378" s="644">
        <f t="shared" si="1179"/>
        <v>627.6352748376454</v>
      </c>
      <c r="IC378" s="644">
        <f t="shared" si="1180"/>
        <v>855.27067496814072</v>
      </c>
      <c r="ID378" s="644">
        <f>IF(AND(INDEX(Input!$1:$1048576,IA$93,$C378*2+7)="TOS",Y378&lt;=INDEX(Y:Y,MATCH(C378*1000+2,A:A))),0,1)*MAX(IA378+HR378+HU378+HX378,0%)</f>
        <v>710.07851256282709</v>
      </c>
      <c r="IE378" s="128">
        <f t="shared" si="1211"/>
        <v>0.28620142349743094</v>
      </c>
      <c r="IF378" s="128">
        <f t="shared" si="1212"/>
        <v>0.39000307099502857</v>
      </c>
      <c r="IG378" s="128">
        <f t="shared" si="1213"/>
        <v>0.32379550550754055</v>
      </c>
      <c r="IH378" s="21"/>
      <c r="II378" s="19">
        <f t="shared" si="1160"/>
        <v>1200</v>
      </c>
      <c r="IJ378" s="19">
        <f t="shared" si="1161"/>
        <v>2224.493581030405</v>
      </c>
      <c r="IK378" s="19">
        <f t="shared" si="1162"/>
        <v>3451.75</v>
      </c>
      <c r="IL378" s="19">
        <f t="shared" si="1181"/>
        <v>900</v>
      </c>
      <c r="IM378" s="19">
        <f t="shared" si="1163"/>
        <v>1030.9274147806309</v>
      </c>
      <c r="IN378" s="19">
        <f t="shared" si="1164"/>
        <v>184.25</v>
      </c>
      <c r="IO378" s="39">
        <f t="shared" si="1165"/>
        <v>0</v>
      </c>
      <c r="IP378" s="39">
        <f t="shared" si="1166"/>
        <v>0</v>
      </c>
      <c r="IQ378" s="39">
        <f t="shared" si="1167"/>
        <v>0</v>
      </c>
      <c r="IR378" s="39">
        <v>0</v>
      </c>
      <c r="IS378" s="39">
        <v>0</v>
      </c>
      <c r="IT378" s="39">
        <v>0</v>
      </c>
      <c r="IU378" s="39">
        <v>0</v>
      </c>
      <c r="IV378" s="39">
        <v>0</v>
      </c>
      <c r="IW378" s="39">
        <v>0</v>
      </c>
      <c r="IX378" s="39">
        <f>INDEX(Input!$1:$1048576,IX$93,$C378*2+6)+INDEX(Input!$1:$1048576,IX$94,$C378*2+6)</f>
        <v>1600</v>
      </c>
      <c r="IY378" s="39">
        <f>INDEX(Input!$1:$1048576,IY$93,$C378*2+6)+INDEX(Input!$1:$1048576,IY$94,$C378*2+6)</f>
        <v>2503.5492916397525</v>
      </c>
      <c r="IZ378" s="39">
        <f>INDEX(Input!$1:$1048576,IZ$93,$C378*2+6)+INDEX(Input!$1:$1048576,IZ$94,$C378*2+6)</f>
        <v>5773.7109265464023</v>
      </c>
      <c r="JA378" s="19">
        <f t="shared" si="1182"/>
        <v>2500</v>
      </c>
      <c r="JB378" s="19">
        <f t="shared" si="1183"/>
        <v>3534.4767064203834</v>
      </c>
      <c r="JC378" s="19">
        <f t="shared" si="1184"/>
        <v>5957.9609265464023</v>
      </c>
      <c r="JD378" s="19">
        <f t="shared" si="1185"/>
        <v>4023.1212986131877</v>
      </c>
      <c r="JE378" s="21"/>
      <c r="JF378" s="1">
        <f t="shared" si="1168"/>
        <v>4.6698303040990354E-2</v>
      </c>
      <c r="JG378" s="15">
        <f>INDEX(Input!$1:$1048576,JG$93,$C378*2+6)/(1+VLOOKUP(C378*1000+INDEX(Input!$1:$1048576,JG$93+1,$C378*2+6),$A:$KK,$JK$92,FALSE))</f>
        <v>1926</v>
      </c>
      <c r="JH378" s="1">
        <f t="shared" si="1186"/>
        <v>8.4370915352855583E-2</v>
      </c>
      <c r="JI378" s="1">
        <f t="shared" si="1187"/>
        <v>5.4250300830224828E-2</v>
      </c>
      <c r="JJ378" s="1">
        <f t="shared" si="1214"/>
        <v>0</v>
      </c>
      <c r="JK378" s="1">
        <f t="shared" si="1215"/>
        <v>0.1386212161830804</v>
      </c>
      <c r="JL378" s="15">
        <f t="shared" si="1188"/>
        <v>266.98446236861287</v>
      </c>
      <c r="JM378" s="15">
        <f t="shared" si="1207"/>
        <v>2192.9844623686131</v>
      </c>
      <c r="JN378" s="21"/>
      <c r="JO378" s="19">
        <f>INDEX(Input!$1:$1048576,JO$93,$C378*2+6)</f>
        <v>5908.5</v>
      </c>
      <c r="JP378" s="19">
        <f>INDEX(Input!$1:$1048576,JP$93,$C378*2+6)</f>
        <v>3467.7694503767912</v>
      </c>
      <c r="JQ378" s="39">
        <f t="shared" si="1196"/>
        <v>1885.3787013868123</v>
      </c>
      <c r="JR378" s="39">
        <f t="shared" si="1216"/>
        <v>555.35184823639656</v>
      </c>
      <c r="JS378" s="39">
        <f t="shared" si="1197"/>
        <v>8.8226424980829581</v>
      </c>
      <c r="JT378" s="39">
        <f t="shared" si="1189"/>
        <v>2.143718536657258</v>
      </c>
      <c r="JU378" s="385">
        <f>(JQ378*JM378-INDEX(Input!$1:$1048576,Input!A$18,$C378*2+6)*JL378*INDEX(Input!$1:$1048576,Input!A$19,$C378*2+6))/1000000</f>
        <v>4.1346061978219923</v>
      </c>
      <c r="JV378" s="39">
        <f t="shared" ref="JV378:JV381" si="1225">JU378-(JO378-JP378)*JG378/1000000</f>
        <v>-0.56624084075230741</v>
      </c>
      <c r="JW378" s="1">
        <f t="shared" si="1208"/>
        <v>-0.12045506609890463</v>
      </c>
      <c r="JX378" s="19">
        <f t="shared" si="1201"/>
        <v>8029.3756334686122</v>
      </c>
      <c r="JZ378" s="341"/>
      <c r="KA378" s="342"/>
      <c r="KB378" s="469">
        <f t="shared" si="1198"/>
        <v>2.7822247002359868</v>
      </c>
      <c r="KI378" s="473">
        <f t="shared" si="1217"/>
        <v>138.63527483764545</v>
      </c>
      <c r="KJ378" s="473">
        <f t="shared" si="1218"/>
        <v>121.27067496814072</v>
      </c>
      <c r="KK378" s="473">
        <f t="shared" si="1219"/>
        <v>7.0785125628270862</v>
      </c>
      <c r="KN378" s="544">
        <f t="shared" si="1202"/>
        <v>3002</v>
      </c>
      <c r="KO378" s="541">
        <f t="shared" si="1169"/>
        <v>6.4517276588354378E-2</v>
      </c>
      <c r="KP378" s="546">
        <f t="shared" si="1170"/>
        <v>389.12552267070794</v>
      </c>
      <c r="KQ378" s="546">
        <f t="shared" si="1171"/>
        <v>302.04008028781482</v>
      </c>
      <c r="KR378" s="548">
        <f t="shared" si="1172"/>
        <v>2.6484866095749169</v>
      </c>
      <c r="KS378" s="548">
        <f t="shared" si="1173"/>
        <v>3.4121091984055734</v>
      </c>
      <c r="KT378" s="473">
        <f t="shared" si="1199"/>
        <v>527.01264777847621</v>
      </c>
      <c r="KU378" s="663">
        <f t="shared" si="1191"/>
        <v>15.475392003210558</v>
      </c>
    </row>
    <row r="379" spans="1:307" s="26" customFormat="1" ht="15" outlineLevel="1">
      <c r="A379" s="561">
        <f t="shared" si="1174"/>
        <v>3079</v>
      </c>
      <c r="B379" s="561">
        <f t="shared" si="1192"/>
        <v>79</v>
      </c>
      <c r="C379" s="561">
        <f t="shared" si="1193"/>
        <v>3</v>
      </c>
      <c r="D379" s="561" t="str">
        <f t="shared" si="1123"/>
        <v xml:space="preserve">750 CC, 0/2.8/3.8/3.9, 1500 Combo, </v>
      </c>
      <c r="E379" s="475">
        <f>INDEX(Input!$1:$1048576,E$93,$C379*2+MIN($B379,2)+5)
+INDEX(Scenarios!E$121:E$200,MATCH($B379,Scenarios!$B$121:$B$200,0))</f>
        <v>2000</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1500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0</v>
      </c>
      <c r="V379" s="478">
        <f>IFERROR(MAX(0,INDEX(Input!$1:$1048576,V$93,$C379*2+MIN($B379,2)+5)
+INDEX(Scenarios!V$121:V$200,MATCH($B379,Scenarios!$B$121:$B$200,0)),),"Market")</f>
        <v>3.7999999999999999E-2</v>
      </c>
      <c r="W379" s="863">
        <f>IFERROR(MAX(0,INDEX(Input!$1:$1048576,W$93,$C379*2+MIN($B379,2)+5)-0%,),"Market")</f>
        <v>3.9000000000000007E-2</v>
      </c>
      <c r="X379" s="476" t="str">
        <f>INDEX(Input!$1:$1048576,X$93,$C379*2+MIN($B379,2)+5)</f>
        <v>Y</v>
      </c>
      <c r="Y379" s="475">
        <f>INDEX(Input!$1:$1048576,Y$93,$C379*2+MIN($B379,2)+5)
++INDEX(Scenarios!Y$121:Y$200,MATCH($B379,Scenarios!$B$121:$B$200,0))</f>
        <v>4108</v>
      </c>
      <c r="Z379" s="477">
        <f>INDEX(Input!$1:$1048576,Z$93,$C379*2+MIN($B379,2)+5)
+INDEX(Scenarios!Z$121:Z$200,MATCH($B379,Scenarios!$B$121:$B$200,0))</f>
        <v>0</v>
      </c>
      <c r="AA379" s="475">
        <f>INDEX(Input!$1:$1048576,AA$93,$C379*2+MIN($B379,2)+5)</f>
        <v>500</v>
      </c>
      <c r="AB379" s="476">
        <f>INDEX(Input!$1:$1048576,AB$93,$C379*2+MIN($B379,2)+5)</f>
        <v>0.62</v>
      </c>
      <c r="AC379" s="475">
        <f>INDEX(Input!$1:$1048576,AC$93,$C379*2+MIN($B379,2)+5)
+INDEX(Scenarios!AC$121:AC$200,MATCH($B379,Scenarios!$B$121:$B$200,0))</f>
        <v>0</v>
      </c>
      <c r="AD379" s="476">
        <f>INDEX(Input!$1:$1048576,AD$93,$C379*2+MIN($B379,2)+5)</f>
        <v>0.35</v>
      </c>
      <c r="AE379" s="475">
        <f>INDEX(Input!$1:$1048576,AE$93,$C379*2+MIN($B379,2)+5)
+INDEX(Scenarios!AE$121:AE$200,MATCH($B379,Scenarios!$B$121:$B$200,0))</f>
        <v>500</v>
      </c>
      <c r="AF379" s="476">
        <f>INDEX(Input!$1:$1048576,AF$93,$C379*2+MIN($B379,2)+5)</f>
        <v>0.97</v>
      </c>
      <c r="AG379" s="475">
        <f>INDEX(Input!$1:$1048576,AG$93,$C379*2+MIN($B379,2)+5)
+INDEX(Scenarios!AG$121:AG$200,MATCH($B379,Scenarios!$B$121:$B$200,0))</f>
        <v>0</v>
      </c>
      <c r="AH379" s="476">
        <f>INDEX(Input!$1:$1048576,AH$93,$C379*2+MIN($B379,2)+5)</f>
        <v>1</v>
      </c>
      <c r="AI379" s="475">
        <f>INDEX(Input!$1:$1048576,AI$93,$C379*2+MIN($B379,2)+5)
+INDEX(Scenarios!AI$121:AI$200,MATCH($B379,Scenarios!$B$121:$B$200,0))</f>
        <v>0</v>
      </c>
      <c r="AJ379" s="476">
        <f>INDEX(Input!$1:$1048576,AJ$93,$C379*2+MIN($B379,2)+5)</f>
        <v>0.35</v>
      </c>
      <c r="AK379" s="150">
        <f>ROUND(INDEX(Input!$1:$1048576,AK$93,$C378*2+MIN($B379,1)+5)+(Y379-VLOOKUP($C379*1000+1,$A:$HH,Y$92,FALSE)),0)</f>
        <v>4982</v>
      </c>
      <c r="AL379" s="150">
        <f>ROUND(INDEX(Input!$1:$1048576,AL$93,$C378*2+MIN($B379,1)+5)-(Y379-VLOOKUP($C379*1000+1,$A:$HH,Y$92,FALSE))/36,0)</f>
        <v>5102</v>
      </c>
      <c r="AM379" s="32" t="str">
        <f t="shared" si="1175"/>
        <v>std/std/std/std</v>
      </c>
      <c r="AN379" s="32" t="str">
        <f t="shared" si="1176"/>
        <v>$1500 + 0/0/0/3.8/3.9</v>
      </c>
      <c r="AO379" s="32" t="str">
        <f t="shared" si="1177"/>
        <v>0/0/0/3.8/3.9</v>
      </c>
      <c r="AP379" s="32" t="str">
        <f t="shared" si="1125"/>
        <v>0/2.8/3.8/3.9</v>
      </c>
      <c r="AQ379" s="536">
        <f t="shared" si="1124"/>
        <v>485.29096212460945</v>
      </c>
      <c r="AR379" s="32"/>
      <c r="AS379" s="302"/>
      <c r="AT379" s="3">
        <f t="shared" si="1194"/>
        <v>79</v>
      </c>
      <c r="AU379" s="41" t="s">
        <v>121</v>
      </c>
      <c r="AV379" s="41" t="s">
        <v>116</v>
      </c>
      <c r="AW379" s="41" t="str">
        <f>INDEX(Input!$1:$1048576,AW$93,$C379*2+6)</f>
        <v>Kia</v>
      </c>
      <c r="AX379" s="41" t="str">
        <f>INDEX(Input!$1:$1048576,AX$93,$C379*2+6)</f>
        <v>Kia-LR - L3</v>
      </c>
      <c r="AY379" s="41" t="str">
        <f>IF(LEN(D379)=0,"",INDEX(Input!$1:$1048576,AY$93,$C379*2+6))</f>
        <v>Compact Conventional/Sporty Car (43)</v>
      </c>
      <c r="AZ379" s="41" t="str">
        <f>INDEX(Input!$1:$1048576,AZ$93,$C379*2+6)</f>
        <v>Kia Forte</v>
      </c>
      <c r="BA379" s="3">
        <f>INDEX(Input!$1:$1048576,BA$93,$C379*2+6)</f>
        <v>2020</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19695</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1126"/>
        <v>2000</v>
      </c>
      <c r="CJ379" s="16" t="str">
        <f>INDEX(Input!$1:$1048576,CJ$93,$C379*2+6)</f>
        <v>N</v>
      </c>
      <c r="CK379" s="1" t="str">
        <f t="shared" si="1127"/>
        <v>Market</v>
      </c>
      <c r="CL379" s="1" t="str">
        <f t="shared" si="1128"/>
        <v>Market</v>
      </c>
      <c r="CM379" s="1" t="str">
        <f t="shared" si="1129"/>
        <v>Market</v>
      </c>
      <c r="CN379" s="1" t="str">
        <f t="shared" si="1130"/>
        <v>Market</v>
      </c>
      <c r="CO379" s="1" t="str">
        <f t="shared" si="1131"/>
        <v>Market</v>
      </c>
      <c r="CP379" s="304">
        <f t="shared" si="1132"/>
        <v>1810</v>
      </c>
      <c r="CQ379" s="1">
        <f t="shared" si="1133"/>
        <v>0</v>
      </c>
      <c r="CR379" s="1">
        <f t="shared" si="1134"/>
        <v>0</v>
      </c>
      <c r="CS379" s="1">
        <f t="shared" si="1135"/>
        <v>0</v>
      </c>
      <c r="CT379" s="1">
        <f t="shared" si="1136"/>
        <v>3.7999999999999999E-2</v>
      </c>
      <c r="CU379" s="1">
        <f t="shared" si="1137"/>
        <v>3.9000000000000007E-2</v>
      </c>
      <c r="CV379" s="304">
        <f t="shared" si="1138"/>
        <v>4593</v>
      </c>
      <c r="CW379" s="20" t="s">
        <v>122</v>
      </c>
      <c r="CX379" s="20" t="s">
        <v>122</v>
      </c>
      <c r="CY379" s="20" t="s">
        <v>122</v>
      </c>
      <c r="CZ379" s="20" t="s">
        <v>122</v>
      </c>
      <c r="DA379" s="20" t="s">
        <v>122</v>
      </c>
      <c r="DB379" s="503">
        <f t="shared" si="1139"/>
        <v>0</v>
      </c>
      <c r="DC379" s="127">
        <v>0</v>
      </c>
      <c r="DD379" s="127">
        <v>0</v>
      </c>
      <c r="DE379" s="127">
        <v>0</v>
      </c>
      <c r="DF379" s="127">
        <v>0</v>
      </c>
      <c r="DG379" s="127">
        <v>0</v>
      </c>
      <c r="DH379" s="127">
        <v>0</v>
      </c>
      <c r="DI379" s="127">
        <v>0</v>
      </c>
      <c r="DJ379" s="127">
        <v>0</v>
      </c>
      <c r="DK379" s="127">
        <v>0</v>
      </c>
      <c r="DL379" s="127">
        <v>0</v>
      </c>
      <c r="DM379" s="304">
        <f>INDEX(Input!$1:$1048576,DM$93,$C379*2+6)</f>
        <v>20731.578947368424</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3.6995694167020574E-2</v>
      </c>
      <c r="DZ379" s="7">
        <v>0</v>
      </c>
      <c r="EA379" s="7">
        <v>0.64356219915427293</v>
      </c>
      <c r="EB379" s="7">
        <v>0</v>
      </c>
      <c r="EC379" s="7">
        <v>0</v>
      </c>
      <c r="ED379" s="7">
        <v>0</v>
      </c>
      <c r="EE379" s="7">
        <v>0</v>
      </c>
      <c r="EF379" s="7">
        <v>0</v>
      </c>
      <c r="EG379" s="7">
        <v>0</v>
      </c>
      <c r="EH379" s="7">
        <v>2.39852224079595E-2</v>
      </c>
      <c r="EI379" s="7">
        <v>3.036673132462625E-2</v>
      </c>
      <c r="EJ379" s="7">
        <v>0.43745549114124593</v>
      </c>
      <c r="EK379" s="7">
        <v>0.42202439379419698</v>
      </c>
      <c r="EL379" s="7">
        <v>8.6168161331971013E-2</v>
      </c>
      <c r="EM379" s="7">
        <v>3.8254204085764361E-2</v>
      </c>
      <c r="EN379" s="7">
        <v>5.8903840649550718E-2</v>
      </c>
      <c r="EO379" s="7">
        <v>0.5680644908961251</v>
      </c>
      <c r="EP379" s="7">
        <v>0.2741070959193187</v>
      </c>
      <c r="EQ379" s="7">
        <v>5.8713575146425327E-2</v>
      </c>
      <c r="ER379" s="7">
        <v>4.0210997388580229E-2</v>
      </c>
      <c r="ES379" s="7">
        <v>0.28118790259294213</v>
      </c>
      <c r="ET379" s="7">
        <v>0.31944210667870659</v>
      </c>
      <c r="EU379" s="6">
        <v>2350</v>
      </c>
      <c r="EV379" s="6">
        <v>0</v>
      </c>
      <c r="EW379" s="6">
        <v>2350</v>
      </c>
      <c r="EX379" s="6">
        <v>0</v>
      </c>
      <c r="EY379" s="6">
        <v>3755.6723072721916</v>
      </c>
      <c r="EZ379" s="6">
        <v>3636</v>
      </c>
      <c r="FA379" s="6">
        <v>0</v>
      </c>
      <c r="FB379" s="6">
        <v>0</v>
      </c>
      <c r="FC379" s="6">
        <v>0</v>
      </c>
      <c r="FD379" s="6">
        <v>0</v>
      </c>
      <c r="FE379" s="6">
        <v>0</v>
      </c>
      <c r="FF379" s="6">
        <v>0</v>
      </c>
      <c r="FG379" s="6">
        <v>0</v>
      </c>
      <c r="FH379" s="6">
        <v>1154.3236533972718</v>
      </c>
      <c r="FI379" s="6">
        <v>1531.4299904380616</v>
      </c>
      <c r="FJ379" s="6">
        <v>2070.7205842538215</v>
      </c>
      <c r="FK379" s="6">
        <v>826.03289024944377</v>
      </c>
      <c r="FL379" s="6">
        <v>893.91433563489352</v>
      </c>
      <c r="FM379" s="6">
        <v>1405.6723072721918</v>
      </c>
      <c r="FN379" s="6">
        <v>0</v>
      </c>
      <c r="FO379" s="6">
        <v>0</v>
      </c>
      <c r="FP379" s="6">
        <v>0</v>
      </c>
      <c r="FQ379" s="6">
        <v>0</v>
      </c>
      <c r="FR379" s="6">
        <v>0</v>
      </c>
      <c r="FS379" s="6">
        <v>0</v>
      </c>
      <c r="FT379" s="7">
        <v>0.68055789332129346</v>
      </c>
      <c r="FU379" s="7">
        <v>3.8254204085764361E-2</v>
      </c>
      <c r="FV379" s="7">
        <v>0.28118790259294213</v>
      </c>
      <c r="FW379" s="6">
        <v>2350</v>
      </c>
      <c r="FX379" s="6">
        <v>3755.6723072721916</v>
      </c>
      <c r="FY379" s="6">
        <v>3636</v>
      </c>
      <c r="FZ379" s="6">
        <v>2202.331475193394</v>
      </c>
      <c r="GA379" s="6">
        <v>2765.380518054621</v>
      </c>
      <c r="GB379" s="6">
        <v>16929.619481945378</v>
      </c>
      <c r="GC379" s="7">
        <v>4.8391397220736806E-2</v>
      </c>
      <c r="GD379" s="7">
        <v>5.1869058875816873E-2</v>
      </c>
      <c r="GE379" s="7"/>
      <c r="GF379" s="7"/>
      <c r="GG379" s="7">
        <v>7.1865287113260082E-2</v>
      </c>
      <c r="GH379" s="42">
        <v>2.5137896025950681</v>
      </c>
      <c r="GI379" s="6">
        <v>10600.165091778772</v>
      </c>
      <c r="GJ379" s="14">
        <v>0.51074630601039539</v>
      </c>
      <c r="GK379" s="14">
        <v>0.50829519786160982</v>
      </c>
      <c r="GL379" s="14">
        <v>0.48925369398960433</v>
      </c>
      <c r="GM379" s="14">
        <v>0.49170480213839024</v>
      </c>
      <c r="GO379" s="5">
        <v>338.16872463277008</v>
      </c>
      <c r="GP379" s="5">
        <v>293.33520778489498</v>
      </c>
      <c r="GQ379" s="5">
        <v>527.27910984145694</v>
      </c>
      <c r="GR379" s="5">
        <v>404.20319246551543</v>
      </c>
      <c r="GS379" s="5">
        <v>334.50205195691484</v>
      </c>
      <c r="GT379" s="5">
        <v>289.18266033348181</v>
      </c>
      <c r="GU379" s="5">
        <v>254.29573314828914</v>
      </c>
      <c r="GV379" s="39" t="s">
        <v>392</v>
      </c>
      <c r="GW379" s="5">
        <v>427.09722222222223</v>
      </c>
      <c r="GX379" s="5">
        <v>320.32291666666669</v>
      </c>
      <c r="GY379" s="5">
        <v>256.25833333333333</v>
      </c>
      <c r="GZ379" s="5">
        <v>239.15392745664155</v>
      </c>
      <c r="HA379" s="5">
        <v>209.45771593376008</v>
      </c>
      <c r="HB379" s="39">
        <v>251.05017439692637</v>
      </c>
      <c r="HC379" s="5">
        <v>124.04062499999996</v>
      </c>
      <c r="HD379" s="5">
        <v>127.75060307017539</v>
      </c>
      <c r="HE379" s="5">
        <v>136.66051366396758</v>
      </c>
      <c r="HF379" s="5">
        <v>133.62067434210525</v>
      </c>
      <c r="HG379" s="5">
        <v>137.88493421052632</v>
      </c>
      <c r="HH379" s="39">
        <v>130.72650526464059</v>
      </c>
      <c r="HI379" s="16"/>
      <c r="HJ379" s="19" t="str">
        <f t="shared" ref="HJ379:HK379" si="1226">HJ378</f>
        <v>On</v>
      </c>
      <c r="HK379" s="1" t="str">
        <f t="shared" si="1226"/>
        <v>On</v>
      </c>
      <c r="HL379" s="16"/>
      <c r="HM379" s="639">
        <f t="shared" si="1151"/>
        <v>2.8970655363290673E-2</v>
      </c>
      <c r="HN379" s="639">
        <f t="shared" si="1152"/>
        <v>2.1835179285533651E-3</v>
      </c>
      <c r="HO379" s="639">
        <f t="shared" si="1153"/>
        <v>1.5544129749146325E-2</v>
      </c>
      <c r="HP379" s="644">
        <f>(FT379*$GD379-HM379)/$JF379*INDEX(Input!$1:$1048576,$JG$93,$C379*2+6)</f>
        <v>261.03989739040321</v>
      </c>
      <c r="HQ379" s="644">
        <f>(FU379*$GD379-HN379)/$JF379*INDEX(Input!$1:$1048576,$JG$93,$C379*2+6)</f>
        <v>-8.2201682970516412</v>
      </c>
      <c r="HR379" s="644">
        <f>(FV379*$GD379-HO379)/$JF379*INDEX(Input!$1:$1048576,$JG$93,$C379*2+6)</f>
        <v>-39.55982264376928</v>
      </c>
      <c r="HS379" s="644">
        <f t="shared" si="1141"/>
        <v>-81.121859263296543</v>
      </c>
      <c r="HT379" s="644">
        <f t="shared" si="1210"/>
        <v>208.10674335371399</v>
      </c>
      <c r="HU379" s="644">
        <f t="shared" si="1155"/>
        <v>32.741852566653236</v>
      </c>
      <c r="HV379" s="648">
        <f t="shared" si="1156"/>
        <v>0</v>
      </c>
      <c r="HW379" s="648">
        <f t="shared" si="1157"/>
        <v>0</v>
      </c>
      <c r="HX379" s="648">
        <f t="shared" si="1158"/>
        <v>0</v>
      </c>
      <c r="HY379" s="644">
        <f>INDEX(Input!$1:$1048576,HY$93,$C379*2+6)*INDEX(Input!$1:$1048576,$JG$93,$C379*2+6)</f>
        <v>488.99999999999994</v>
      </c>
      <c r="HZ379" s="644">
        <f>INDEX(Input!$1:$1048576,HZ$93,$C379*2+6)*INDEX(Input!$1:$1048576,$JG$93,$C379*2+6)</f>
        <v>734</v>
      </c>
      <c r="IA379" s="644">
        <f>INDEX(Input!$1:$1048576,IA$93,$C379*2+6)*INDEX(Input!$1:$1048576,$JG$93,$C379*2+6)</f>
        <v>703</v>
      </c>
      <c r="IB379" s="644">
        <f t="shared" si="1179"/>
        <v>668.91803812710657</v>
      </c>
      <c r="IC379" s="644">
        <f t="shared" si="1180"/>
        <v>933.88657505666242</v>
      </c>
      <c r="ID379" s="644">
        <f>IF(AND(INDEX(Input!$1:$1048576,IA$93,$C379*2+7)="TOS",Y379&lt;=INDEX(Y:Y,MATCH(C379*1000+2,A:A))),0,1)*MAX(IA379+HR379+HU379+HX379,0%)</f>
        <v>696.182029922884</v>
      </c>
      <c r="IE379" s="128">
        <f t="shared" si="1211"/>
        <v>0.29096212460947063</v>
      </c>
      <c r="IF379" s="128">
        <f t="shared" si="1212"/>
        <v>0.40621661628911787</v>
      </c>
      <c r="IG379" s="128">
        <f t="shared" si="1213"/>
        <v>0.3028212591014115</v>
      </c>
      <c r="IH379" s="21"/>
      <c r="II379" s="19">
        <f t="shared" si="1160"/>
        <v>1200</v>
      </c>
      <c r="IJ379" s="19">
        <f t="shared" si="1161"/>
        <v>2224.493581030405</v>
      </c>
      <c r="IK379" s="19">
        <f t="shared" si="1162"/>
        <v>3451.75</v>
      </c>
      <c r="IL379" s="19">
        <f t="shared" si="1181"/>
        <v>1150</v>
      </c>
      <c r="IM379" s="19">
        <f t="shared" si="1163"/>
        <v>1531.1787262417865</v>
      </c>
      <c r="IN379" s="19">
        <f t="shared" si="1164"/>
        <v>184.25</v>
      </c>
      <c r="IO379" s="39">
        <f t="shared" si="1165"/>
        <v>0</v>
      </c>
      <c r="IP379" s="39">
        <f t="shared" si="1166"/>
        <v>0</v>
      </c>
      <c r="IQ379" s="39">
        <f t="shared" si="1167"/>
        <v>0</v>
      </c>
      <c r="IR379" s="39">
        <v>0</v>
      </c>
      <c r="IS379" s="39">
        <v>0</v>
      </c>
      <c r="IT379" s="39">
        <v>0</v>
      </c>
      <c r="IU379" s="39">
        <v>0</v>
      </c>
      <c r="IV379" s="39">
        <v>0</v>
      </c>
      <c r="IW379" s="39">
        <v>0</v>
      </c>
      <c r="IX379" s="39">
        <f>INDEX(Input!$1:$1048576,IX$93,$C379*2+6)+INDEX(Input!$1:$1048576,IX$94,$C379*2+6)</f>
        <v>1600</v>
      </c>
      <c r="IY379" s="39">
        <f>INDEX(Input!$1:$1048576,IY$93,$C379*2+6)+INDEX(Input!$1:$1048576,IY$94,$C379*2+6)</f>
        <v>2503.5492916397525</v>
      </c>
      <c r="IZ379" s="39">
        <f>INDEX(Input!$1:$1048576,IZ$93,$C379*2+6)+INDEX(Input!$1:$1048576,IZ$94,$C379*2+6)</f>
        <v>5773.7109265464023</v>
      </c>
      <c r="JA379" s="19">
        <f t="shared" si="1182"/>
        <v>2750</v>
      </c>
      <c r="JB379" s="19">
        <f t="shared" si="1183"/>
        <v>4034.728017881539</v>
      </c>
      <c r="JC379" s="19">
        <f t="shared" si="1184"/>
        <v>5957.9609265464023</v>
      </c>
      <c r="JD379" s="19">
        <f t="shared" si="1185"/>
        <v>4243.3166352005765</v>
      </c>
      <c r="JE379" s="21"/>
      <c r="JF379" s="1">
        <f t="shared" si="1168"/>
        <v>4.6698303040990354E-2</v>
      </c>
      <c r="JG379" s="15">
        <f>INDEX(Input!$1:$1048576,JG$93,$C379*2+6)/(1+VLOOKUP(C379*1000+INDEX(Input!$1:$1048576,JG$93+1,$C379*2+6),$A:$KK,$JK$92,FALSE))</f>
        <v>1926</v>
      </c>
      <c r="JH379" s="1">
        <f t="shared" si="1186"/>
        <v>0.11072684654703131</v>
      </c>
      <c r="JI379" s="1">
        <f t="shared" si="1187"/>
        <v>8.2931846654761526E-2</v>
      </c>
      <c r="JJ379" s="1">
        <f t="shared" si="1214"/>
        <v>0</v>
      </c>
      <c r="JK379" s="1">
        <f t="shared" si="1215"/>
        <v>0.19365869320179285</v>
      </c>
      <c r="JL379" s="15">
        <f t="shared" si="1188"/>
        <v>372.98664310665305</v>
      </c>
      <c r="JM379" s="15">
        <f t="shared" si="1207"/>
        <v>2298.986643106653</v>
      </c>
      <c r="JN379" s="21"/>
      <c r="JO379" s="19">
        <f>INDEX(Input!$1:$1048576,JO$93,$C379*2+6)</f>
        <v>5908.5</v>
      </c>
      <c r="JP379" s="19">
        <f>INDEX(Input!$1:$1048576,JP$93,$C379*2+6)</f>
        <v>3467.7694503767912</v>
      </c>
      <c r="JQ379" s="39">
        <f t="shared" si="1196"/>
        <v>1665.1833647994235</v>
      </c>
      <c r="JR379" s="39">
        <f t="shared" si="1216"/>
        <v>775.5471848237853</v>
      </c>
      <c r="JS379" s="39">
        <f t="shared" si="1197"/>
        <v>9.7553282667983918</v>
      </c>
      <c r="JT379" s="39">
        <f t="shared" si="1189"/>
        <v>3.0764043053726917</v>
      </c>
      <c r="JU379" s="385">
        <f>(JQ379*JM379-INDEX(Input!$1:$1048576,Input!A$18,$C379*2+6)*JL379*INDEX(Input!$1:$1048576,Input!A$19,$C379*2+6))/1000000</f>
        <v>3.8282343139972679</v>
      </c>
      <c r="JV379" s="39">
        <f t="shared" si="1225"/>
        <v>-0.87261272457703187</v>
      </c>
      <c r="JW379" s="1">
        <f t="shared" si="1208"/>
        <v>-0.18562882761692304</v>
      </c>
      <c r="JX379" s="19">
        <f t="shared" si="1201"/>
        <v>8248.0280788312684</v>
      </c>
      <c r="JZ379" s="341"/>
      <c r="KA379" s="342"/>
      <c r="KB379" s="469">
        <f t="shared" si="1198"/>
        <v>2.7822247002359868</v>
      </c>
      <c r="KI379" s="473">
        <f t="shared" si="1217"/>
        <v>179.91803812710663</v>
      </c>
      <c r="KJ379" s="473">
        <f t="shared" si="1218"/>
        <v>199.88657505666242</v>
      </c>
      <c r="KK379" s="473">
        <f t="shared" si="1219"/>
        <v>-6.8179700771160014</v>
      </c>
      <c r="KN379" s="544">
        <f t="shared" si="1202"/>
        <v>3002</v>
      </c>
      <c r="KO379" s="541">
        <f t="shared" si="1169"/>
        <v>0.1159727951695515</v>
      </c>
      <c r="KP379" s="546">
        <f t="shared" si="1170"/>
        <v>677.68475583901443</v>
      </c>
      <c r="KQ379" s="546">
        <f t="shared" si="1171"/>
        <v>522.23541687520355</v>
      </c>
      <c r="KR379" s="548">
        <f t="shared" si="1172"/>
        <v>2.7336309323184453</v>
      </c>
      <c r="KS379" s="548">
        <f t="shared" si="1173"/>
        <v>3.5473274141514177</v>
      </c>
      <c r="KT379" s="473">
        <f t="shared" si="1199"/>
        <v>527.01264777847621</v>
      </c>
      <c r="KU379" s="663">
        <f t="shared" si="1191"/>
        <v>15.605908269446815</v>
      </c>
    </row>
    <row r="380" spans="1:307" s="26" customFormat="1" ht="15" outlineLevel="1">
      <c r="A380" s="561">
        <f t="shared" si="1174"/>
        <v>3080</v>
      </c>
      <c r="B380" s="561">
        <f t="shared" si="1192"/>
        <v>80</v>
      </c>
      <c r="C380" s="561">
        <f t="shared" si="1193"/>
        <v>3</v>
      </c>
      <c r="D380" s="561" t="str">
        <f t="shared" si="1123"/>
        <v xml:space="preserve">1000 CC, 0/2.8/3.8/3.9, 2000 Combo, </v>
      </c>
      <c r="E380" s="475">
        <f>INDEX(Input!$1:$1048576,E$93,$C380*2+MIN($B380,2)+5)
+INDEX(Scenarios!E$121:E$200,MATCH($B380,Scenarios!$B$121:$B$200,0))</f>
        <v>2250</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2000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0</v>
      </c>
      <c r="V380" s="478">
        <f>IFERROR(MAX(0,INDEX(Input!$1:$1048576,V$93,$C380*2+MIN($B380,2)+5)
+INDEX(Scenarios!V$121:V$200,MATCH($B380,Scenarios!$B$121:$B$200,0)),),"Market")</f>
        <v>3.7999999999999999E-2</v>
      </c>
      <c r="W380" s="863">
        <f>IFERROR(MAX(0,INDEX(Input!$1:$1048576,W$93,$C380*2+MIN($B380,2)+5)-0%,),"Market")</f>
        <v>3.9000000000000007E-2</v>
      </c>
      <c r="X380" s="476" t="str">
        <f>INDEX(Input!$1:$1048576,X$93,$C380*2+MIN($B380,2)+5)</f>
        <v>Y</v>
      </c>
      <c r="Y380" s="475">
        <f>INDEX(Input!$1:$1048576,Y$93,$C380*2+MIN($B380,2)+5)
++INDEX(Scenarios!Y$121:Y$200,MATCH($B380,Scenarios!$B$121:$B$200,0))</f>
        <v>4108</v>
      </c>
      <c r="Z380" s="477">
        <f>INDEX(Input!$1:$1048576,Z$93,$C380*2+MIN($B380,2)+5)
+INDEX(Scenarios!Z$121:Z$200,MATCH($B380,Scenarios!$B$121:$B$200,0))</f>
        <v>0</v>
      </c>
      <c r="AA380" s="475">
        <f>INDEX(Input!$1:$1048576,AA$93,$C380*2+MIN($B380,2)+5)</f>
        <v>500</v>
      </c>
      <c r="AB380" s="476">
        <f>INDEX(Input!$1:$1048576,AB$93,$C380*2+MIN($B380,2)+5)</f>
        <v>0.62</v>
      </c>
      <c r="AC380" s="475">
        <f>INDEX(Input!$1:$1048576,AC$93,$C380*2+MIN($B380,2)+5)
+INDEX(Scenarios!AC$121:AC$200,MATCH($B380,Scenarios!$B$121:$B$200,0))</f>
        <v>0</v>
      </c>
      <c r="AD380" s="476">
        <f>INDEX(Input!$1:$1048576,AD$93,$C380*2+MIN($B380,2)+5)</f>
        <v>0.35</v>
      </c>
      <c r="AE380" s="475">
        <f>INDEX(Input!$1:$1048576,AE$93,$C380*2+MIN($B380,2)+5)
+INDEX(Scenarios!AE$121:AE$200,MATCH($B380,Scenarios!$B$121:$B$200,0))</f>
        <v>500</v>
      </c>
      <c r="AF380" s="476">
        <f>INDEX(Input!$1:$1048576,AF$93,$C380*2+MIN($B380,2)+5)</f>
        <v>0.97</v>
      </c>
      <c r="AG380" s="475">
        <f>INDEX(Input!$1:$1048576,AG$93,$C380*2+MIN($B380,2)+5)
+INDEX(Scenarios!AG$121:AG$200,MATCH($B380,Scenarios!$B$121:$B$200,0))</f>
        <v>0</v>
      </c>
      <c r="AH380" s="476">
        <f>INDEX(Input!$1:$1048576,AH$93,$C380*2+MIN($B380,2)+5)</f>
        <v>1</v>
      </c>
      <c r="AI380" s="475">
        <f>INDEX(Input!$1:$1048576,AI$93,$C380*2+MIN($B380,2)+5)
+INDEX(Scenarios!AI$121:AI$200,MATCH($B380,Scenarios!$B$121:$B$200,0))</f>
        <v>0</v>
      </c>
      <c r="AJ380" s="476">
        <f>INDEX(Input!$1:$1048576,AJ$93,$C380*2+MIN($B380,2)+5)</f>
        <v>0.35</v>
      </c>
      <c r="AK380" s="150">
        <f>ROUND(INDEX(Input!$1:$1048576,AK$93,$C379*2+MIN($B380,1)+5)+(Y380-VLOOKUP($C380*1000+1,$A:$HH,Y$92,FALSE)),0)</f>
        <v>4982</v>
      </c>
      <c r="AL380" s="150">
        <f>ROUND(INDEX(Input!$1:$1048576,AL$93,$C379*2+MIN($B380,1)+5)-(Y380-VLOOKUP($C380*1000+1,$A:$HH,Y$92,FALSE))/36,0)</f>
        <v>5102</v>
      </c>
      <c r="AM380" s="32" t="str">
        <f t="shared" si="1175"/>
        <v>std/std/std/std</v>
      </c>
      <c r="AN380" s="32" t="str">
        <f t="shared" si="1176"/>
        <v>$2000 + 0/0/0/3.8/3.9</v>
      </c>
      <c r="AO380" s="32" t="str">
        <f t="shared" si="1177"/>
        <v>0/0/0/3.8/3.9</v>
      </c>
      <c r="AP380" s="32" t="str">
        <f t="shared" si="1125"/>
        <v>0/2.8/3.8/3.9</v>
      </c>
      <c r="AQ380" s="536">
        <f t="shared" si="1124"/>
        <v>485.26499667636551</v>
      </c>
      <c r="AR380" s="32"/>
      <c r="AS380" s="302"/>
      <c r="AT380" s="3">
        <f t="shared" si="1194"/>
        <v>80</v>
      </c>
      <c r="AU380" s="41" t="s">
        <v>121</v>
      </c>
      <c r="AV380" s="41" t="s">
        <v>116</v>
      </c>
      <c r="AW380" s="41" t="str">
        <f>INDEX(Input!$1:$1048576,AW$93,$C380*2+6)</f>
        <v>Kia</v>
      </c>
      <c r="AX380" s="41" t="str">
        <f>INDEX(Input!$1:$1048576,AX$93,$C380*2+6)</f>
        <v>Kia-LR - L3</v>
      </c>
      <c r="AY380" s="41" t="str">
        <f>IF(LEN(D380)=0,"",INDEX(Input!$1:$1048576,AY$93,$C380*2+6))</f>
        <v>Compact Conventional/Sporty Car (43)</v>
      </c>
      <c r="AZ380" s="41" t="str">
        <f>INDEX(Input!$1:$1048576,AZ$93,$C380*2+6)</f>
        <v>Kia Forte</v>
      </c>
      <c r="BA380" s="3">
        <f>INDEX(Input!$1:$1048576,BA$93,$C380*2+6)</f>
        <v>2020</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19695</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1126"/>
        <v>2250</v>
      </c>
      <c r="CJ380" s="16" t="str">
        <f>INDEX(Input!$1:$1048576,CJ$93,$C380*2+6)</f>
        <v>N</v>
      </c>
      <c r="CK380" s="1" t="str">
        <f t="shared" si="1127"/>
        <v>Market</v>
      </c>
      <c r="CL380" s="1" t="str">
        <f t="shared" si="1128"/>
        <v>Market</v>
      </c>
      <c r="CM380" s="1" t="str">
        <f t="shared" si="1129"/>
        <v>Market</v>
      </c>
      <c r="CN380" s="1" t="str">
        <f t="shared" si="1130"/>
        <v>Market</v>
      </c>
      <c r="CO380" s="1" t="str">
        <f t="shared" si="1131"/>
        <v>Market</v>
      </c>
      <c r="CP380" s="304">
        <f t="shared" si="1132"/>
        <v>2310</v>
      </c>
      <c r="CQ380" s="1">
        <f t="shared" si="1133"/>
        <v>0</v>
      </c>
      <c r="CR380" s="1">
        <f t="shared" si="1134"/>
        <v>0</v>
      </c>
      <c r="CS380" s="1">
        <f t="shared" si="1135"/>
        <v>0</v>
      </c>
      <c r="CT380" s="1">
        <f t="shared" si="1136"/>
        <v>3.7999999999999999E-2</v>
      </c>
      <c r="CU380" s="1">
        <f t="shared" si="1137"/>
        <v>3.9000000000000007E-2</v>
      </c>
      <c r="CV380" s="304">
        <f t="shared" si="1138"/>
        <v>4593</v>
      </c>
      <c r="CW380" s="20" t="s">
        <v>122</v>
      </c>
      <c r="CX380" s="20" t="s">
        <v>122</v>
      </c>
      <c r="CY380" s="20" t="s">
        <v>122</v>
      </c>
      <c r="CZ380" s="20" t="s">
        <v>122</v>
      </c>
      <c r="DA380" s="20" t="s">
        <v>122</v>
      </c>
      <c r="DB380" s="503">
        <f t="shared" si="1139"/>
        <v>0</v>
      </c>
      <c r="DC380" s="127">
        <v>0</v>
      </c>
      <c r="DD380" s="127">
        <v>0</v>
      </c>
      <c r="DE380" s="127">
        <v>0</v>
      </c>
      <c r="DF380" s="127">
        <v>0</v>
      </c>
      <c r="DG380" s="127">
        <v>0</v>
      </c>
      <c r="DH380" s="127">
        <v>0</v>
      </c>
      <c r="DI380" s="127">
        <v>0</v>
      </c>
      <c r="DJ380" s="127">
        <v>0</v>
      </c>
      <c r="DK380" s="127">
        <v>0</v>
      </c>
      <c r="DL380" s="127">
        <v>0</v>
      </c>
      <c r="DM380" s="304">
        <f>INDEX(Input!$1:$1048576,DM$93,$C380*2+6)</f>
        <v>20731.578947368424</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3.6831689093231541E-2</v>
      </c>
      <c r="DZ380" s="7">
        <v>0</v>
      </c>
      <c r="EA380" s="7">
        <v>0.61342034251491206</v>
      </c>
      <c r="EB380" s="7">
        <v>0</v>
      </c>
      <c r="EC380" s="7">
        <v>0</v>
      </c>
      <c r="ED380" s="7">
        <v>0</v>
      </c>
      <c r="EE380" s="7">
        <v>0</v>
      </c>
      <c r="EF380" s="7">
        <v>0</v>
      </c>
      <c r="EG380" s="7">
        <v>0</v>
      </c>
      <c r="EH380" s="7">
        <v>2.1019304588821737E-2</v>
      </c>
      <c r="EI380" s="7">
        <v>2.378862286708168E-2</v>
      </c>
      <c r="EJ380" s="7">
        <v>0.27668627548537306</v>
      </c>
      <c r="EK380" s="7">
        <v>0.45087095969613322</v>
      </c>
      <c r="EL380" s="7">
        <v>0.22763483736259016</v>
      </c>
      <c r="EM380" s="7">
        <v>8.9623629024927723E-2</v>
      </c>
      <c r="EN380" s="7">
        <v>5.8903840649550697E-2</v>
      </c>
      <c r="EO380" s="7">
        <v>0.5680644908961251</v>
      </c>
      <c r="EP380" s="7">
        <v>0.2741070959193187</v>
      </c>
      <c r="EQ380" s="7">
        <v>5.8713575146425355E-2</v>
      </c>
      <c r="ER380" s="7">
        <v>4.0210997388580243E-2</v>
      </c>
      <c r="ES380" s="7">
        <v>0.26012433936692869</v>
      </c>
      <c r="ET380" s="7">
        <v>0.3497479683918564</v>
      </c>
      <c r="EU380" s="6">
        <v>2600</v>
      </c>
      <c r="EV380" s="6">
        <v>0</v>
      </c>
      <c r="EW380" s="6">
        <v>2600</v>
      </c>
      <c r="EX380" s="6">
        <v>0</v>
      </c>
      <c r="EY380" s="6">
        <v>4059.4900384411976</v>
      </c>
      <c r="EZ380" s="6">
        <v>3636</v>
      </c>
      <c r="FA380" s="6">
        <v>0</v>
      </c>
      <c r="FB380" s="6">
        <v>0</v>
      </c>
      <c r="FC380" s="6">
        <v>0</v>
      </c>
      <c r="FD380" s="6">
        <v>0</v>
      </c>
      <c r="FE380" s="6">
        <v>0</v>
      </c>
      <c r="FF380" s="6">
        <v>0</v>
      </c>
      <c r="FG380" s="6">
        <v>0</v>
      </c>
      <c r="FH380" s="6">
        <v>1151.2833569402437</v>
      </c>
      <c r="FI380" s="6">
        <v>1531.4299904380616</v>
      </c>
      <c r="FJ380" s="6">
        <v>2070.7205842538219</v>
      </c>
      <c r="FK380" s="6">
        <v>826.03289024944377</v>
      </c>
      <c r="FL380" s="6">
        <v>893.91433563489363</v>
      </c>
      <c r="FM380" s="6">
        <v>1209.4900384411976</v>
      </c>
      <c r="FN380" s="6">
        <v>0</v>
      </c>
      <c r="FO380" s="6">
        <v>0</v>
      </c>
      <c r="FP380" s="6">
        <v>0</v>
      </c>
      <c r="FQ380" s="6">
        <v>0</v>
      </c>
      <c r="FR380" s="6">
        <v>0</v>
      </c>
      <c r="FS380" s="6">
        <v>0</v>
      </c>
      <c r="FT380" s="7">
        <v>0.6502520316081436</v>
      </c>
      <c r="FU380" s="7">
        <v>8.9623629024927723E-2</v>
      </c>
      <c r="FV380" s="7">
        <v>0.26012433936692869</v>
      </c>
      <c r="FW380" s="6">
        <v>2600</v>
      </c>
      <c r="FX380" s="6">
        <v>4059.4900384411976</v>
      </c>
      <c r="FY380" s="6">
        <v>3636</v>
      </c>
      <c r="FZ380" s="6">
        <v>2202.331475193394</v>
      </c>
      <c r="GA380" s="6">
        <v>3000.2936093549697</v>
      </c>
      <c r="GB380" s="6">
        <v>16694.706390645031</v>
      </c>
      <c r="GC380" s="7">
        <v>4.8391397220736806E-2</v>
      </c>
      <c r="GD380" s="7">
        <v>5.3746694259230468E-2</v>
      </c>
      <c r="GE380" s="7"/>
      <c r="GF380" s="7"/>
      <c r="GG380" s="7">
        <v>0.11066630322876472</v>
      </c>
      <c r="GH380" s="42">
        <v>2.7314238969254014</v>
      </c>
      <c r="GI380" s="6">
        <v>10210.818501580405</v>
      </c>
      <c r="GJ380" s="14">
        <v>0.5107463060103955</v>
      </c>
      <c r="GK380" s="14">
        <v>0.50829519786160959</v>
      </c>
      <c r="GL380" s="14">
        <v>0.48925369398960433</v>
      </c>
      <c r="GM380" s="14">
        <v>0.49170480213839035</v>
      </c>
      <c r="GO380" s="5">
        <v>338.16872463277008</v>
      </c>
      <c r="GP380" s="5">
        <v>288.56568471597211</v>
      </c>
      <c r="GQ380" s="5">
        <v>527.27910984145694</v>
      </c>
      <c r="GR380" s="5">
        <v>404.20319246551543</v>
      </c>
      <c r="GS380" s="5">
        <v>334.50205195691484</v>
      </c>
      <c r="GT380" s="5">
        <v>289.18266033348181</v>
      </c>
      <c r="GU380" s="5">
        <v>254.29573314828914</v>
      </c>
      <c r="GV380" s="39" t="s">
        <v>392</v>
      </c>
      <c r="GW380" s="5">
        <v>413.20833333333331</v>
      </c>
      <c r="GX380" s="5">
        <v>309.90625</v>
      </c>
      <c r="GY380" s="5">
        <v>247.92500000000001</v>
      </c>
      <c r="GZ380" s="5">
        <v>231.37681687628188</v>
      </c>
      <c r="HA380" s="5">
        <v>202.64630440458183</v>
      </c>
      <c r="HB380" s="39">
        <v>235.10548559379799</v>
      </c>
      <c r="HC380" s="5">
        <v>124.04062499999996</v>
      </c>
      <c r="HD380" s="5">
        <v>127.75060307017539</v>
      </c>
      <c r="HE380" s="5">
        <v>136.66051366396758</v>
      </c>
      <c r="HF380" s="5">
        <v>133.62067434210525</v>
      </c>
      <c r="HG380" s="5">
        <v>137.88493421052632</v>
      </c>
      <c r="HH380" s="39">
        <v>130.72650526464059</v>
      </c>
      <c r="HI380" s="16"/>
      <c r="HJ380" s="19" t="str">
        <f t="shared" ref="HJ380:HK381" si="1227">HJ379</f>
        <v>On</v>
      </c>
      <c r="HK380" s="1" t="str">
        <f t="shared" si="1227"/>
        <v>On</v>
      </c>
      <c r="HL380" s="16"/>
      <c r="HM380" s="639">
        <f t="shared" si="1151"/>
        <v>2.8970655363290673E-2</v>
      </c>
      <c r="HN380" s="639">
        <f t="shared" si="1152"/>
        <v>2.1835179285533651E-3</v>
      </c>
      <c r="HO380" s="639">
        <f t="shared" si="1153"/>
        <v>1.5544129749146325E-2</v>
      </c>
      <c r="HP380" s="644">
        <f>(FT380*$GD380-HM380)/$JF380*INDEX(Input!$1:$1048576,$JG$93,$C380*2+6)</f>
        <v>246.56342738687891</v>
      </c>
      <c r="HQ380" s="644">
        <f>(FU380*$GD380-HN380)/$JF380*INDEX(Input!$1:$1048576,$JG$93,$C380*2+6)</f>
        <v>108.61285430612546</v>
      </c>
      <c r="HR380" s="644">
        <f>(FV380*$GD380-HO380)/$JF380*INDEX(Input!$1:$1048576,$JG$93,$C380*2+6)</f>
        <v>-64.476179070120196</v>
      </c>
      <c r="HS380" s="644">
        <f t="shared" si="1141"/>
        <v>-98.727115382456049</v>
      </c>
      <c r="HT380" s="644">
        <f t="shared" si="1210"/>
        <v>249.13570255352096</v>
      </c>
      <c r="HU380" s="644">
        <f t="shared" si="1155"/>
        <v>36.077345362555143</v>
      </c>
      <c r="HV380" s="648">
        <f t="shared" si="1156"/>
        <v>0</v>
      </c>
      <c r="HW380" s="648">
        <f t="shared" si="1157"/>
        <v>0</v>
      </c>
      <c r="HX380" s="648">
        <f t="shared" si="1158"/>
        <v>0</v>
      </c>
      <c r="HY380" s="644">
        <f>INDEX(Input!$1:$1048576,HY$93,$C380*2+6)*INDEX(Input!$1:$1048576,$JG$93,$C380*2+6)</f>
        <v>488.99999999999994</v>
      </c>
      <c r="HZ380" s="644">
        <f>INDEX(Input!$1:$1048576,HZ$93,$C380*2+6)*INDEX(Input!$1:$1048576,$JG$93,$C380*2+6)</f>
        <v>734</v>
      </c>
      <c r="IA380" s="644">
        <f>INDEX(Input!$1:$1048576,IA$93,$C380*2+6)*INDEX(Input!$1:$1048576,$JG$93,$C380*2+6)</f>
        <v>703</v>
      </c>
      <c r="IB380" s="644">
        <f t="shared" si="1179"/>
        <v>636.83631200442289</v>
      </c>
      <c r="IC380" s="644">
        <f t="shared" si="1180"/>
        <v>1091.7485568596464</v>
      </c>
      <c r="ID380" s="644">
        <f>IF(AND(INDEX(Input!$1:$1048576,IA$93,$C380*2+7)="TOS",Y380&lt;=INDEX(Y:Y,MATCH(C380*1000+2,A:A))),0,1)*MAX(IA380+HR380+HU380+HX380,0%)</f>
        <v>674.60116629243487</v>
      </c>
      <c r="IE380" s="128">
        <f t="shared" si="1211"/>
        <v>0.26499667636548568</v>
      </c>
      <c r="IF380" s="128">
        <f t="shared" si="1212"/>
        <v>0.45429215253764066</v>
      </c>
      <c r="IG380" s="128">
        <f t="shared" si="1213"/>
        <v>0.28071117109687366</v>
      </c>
      <c r="IH380" s="21"/>
      <c r="II380" s="19">
        <f t="shared" si="1160"/>
        <v>1200</v>
      </c>
      <c r="IJ380" s="19">
        <f t="shared" si="1161"/>
        <v>2224.493581030405</v>
      </c>
      <c r="IK380" s="19">
        <f t="shared" si="1162"/>
        <v>3451.75</v>
      </c>
      <c r="IL380" s="19">
        <f t="shared" si="1181"/>
        <v>1400</v>
      </c>
      <c r="IM380" s="19">
        <f t="shared" si="1163"/>
        <v>1834.9964574107926</v>
      </c>
      <c r="IN380" s="19">
        <f t="shared" si="1164"/>
        <v>184.25</v>
      </c>
      <c r="IO380" s="39">
        <f t="shared" si="1165"/>
        <v>0</v>
      </c>
      <c r="IP380" s="39">
        <f t="shared" si="1166"/>
        <v>0</v>
      </c>
      <c r="IQ380" s="39">
        <f t="shared" si="1167"/>
        <v>0</v>
      </c>
      <c r="IR380" s="39">
        <v>0</v>
      </c>
      <c r="IS380" s="39">
        <v>0</v>
      </c>
      <c r="IT380" s="39">
        <v>0</v>
      </c>
      <c r="IU380" s="39">
        <v>0</v>
      </c>
      <c r="IV380" s="39">
        <v>0</v>
      </c>
      <c r="IW380" s="39">
        <v>0</v>
      </c>
      <c r="IX380" s="39">
        <f>INDEX(Input!$1:$1048576,IX$93,$C380*2+6)+INDEX(Input!$1:$1048576,IX$94,$C380*2+6)</f>
        <v>1600</v>
      </c>
      <c r="IY380" s="39">
        <f>INDEX(Input!$1:$1048576,IY$93,$C380*2+6)+INDEX(Input!$1:$1048576,IY$94,$C380*2+6)</f>
        <v>2503.5492916397525</v>
      </c>
      <c r="IZ380" s="39">
        <f>INDEX(Input!$1:$1048576,IZ$93,$C380*2+6)+INDEX(Input!$1:$1048576,IZ$94,$C380*2+6)</f>
        <v>5773.7109265464023</v>
      </c>
      <c r="JA380" s="19">
        <f t="shared" si="1182"/>
        <v>3000</v>
      </c>
      <c r="JB380" s="19">
        <f t="shared" si="1183"/>
        <v>4338.5457490505451</v>
      </c>
      <c r="JC380" s="19">
        <f t="shared" si="1184"/>
        <v>5957.9609265464023</v>
      </c>
      <c r="JD380" s="19">
        <f t="shared" si="1185"/>
        <v>4438.423505355915</v>
      </c>
      <c r="JE380" s="21"/>
      <c r="JF380" s="1">
        <f t="shared" si="1168"/>
        <v>4.6698303040990354E-2</v>
      </c>
      <c r="JG380" s="15">
        <f>INDEX(Input!$1:$1048576,JG$93,$C380*2+6)/(1+VLOOKUP(C380*1000+INDEX(Input!$1:$1048576,JG$93+1,$C380*2+6),$A:$KK,$JK$92,FALSE))</f>
        <v>1926</v>
      </c>
      <c r="JH380" s="1">
        <f t="shared" si="1186"/>
        <v>0.15093463272216209</v>
      </c>
      <c r="JI380" s="1">
        <f t="shared" si="1187"/>
        <v>9.6825510142066487E-2</v>
      </c>
      <c r="JJ380" s="1">
        <f t="shared" si="1214"/>
        <v>0</v>
      </c>
      <c r="JK380" s="1">
        <f t="shared" si="1215"/>
        <v>0.24776014286422859</v>
      </c>
      <c r="JL380" s="15">
        <f t="shared" si="1188"/>
        <v>477.18603515650426</v>
      </c>
      <c r="JM380" s="15">
        <f t="shared" si="1207"/>
        <v>2403.1860351565042</v>
      </c>
      <c r="JN380" s="21"/>
      <c r="JO380" s="19">
        <f>INDEX(Input!$1:$1048576,JO$93,$C380*2+6)</f>
        <v>5908.5</v>
      </c>
      <c r="JP380" s="19">
        <f>INDEX(Input!$1:$1048576,JP$93,$C380*2+6)</f>
        <v>3467.7694503767912</v>
      </c>
      <c r="JQ380" s="39">
        <f t="shared" si="1196"/>
        <v>1470.076494644085</v>
      </c>
      <c r="JR380" s="39">
        <f t="shared" si="1216"/>
        <v>970.65405497912388</v>
      </c>
      <c r="JS380" s="39">
        <f t="shared" si="1197"/>
        <v>10.666357386181714</v>
      </c>
      <c r="JT380" s="39">
        <f t="shared" si="1189"/>
        <v>3.9874334247560137</v>
      </c>
      <c r="JU380" s="385">
        <f>(JQ380*JM380-INDEX(Input!$1:$1048576,Input!A$18,$C380*2+6)*JL380*INDEX(Input!$1:$1048576,Input!A$19,$C380*2+6))/1000000</f>
        <v>3.5328673025404904</v>
      </c>
      <c r="JV380" s="39">
        <f t="shared" si="1225"/>
        <v>-1.1679797360338093</v>
      </c>
      <c r="JW380" s="1">
        <f t="shared" si="1208"/>
        <v>-0.24846154883355681</v>
      </c>
      <c r="JX380" s="19">
        <f t="shared" si="1201"/>
        <v>8356.1402283037114</v>
      </c>
      <c r="JZ380" s="341"/>
      <c r="KA380" s="342"/>
      <c r="KB380" s="469">
        <f t="shared" si="1198"/>
        <v>2.7822247002359868</v>
      </c>
      <c r="KI380" s="473">
        <f t="shared" si="1217"/>
        <v>147.83631200442295</v>
      </c>
      <c r="KJ380" s="473">
        <f t="shared" si="1218"/>
        <v>357.74855685964644</v>
      </c>
      <c r="KK380" s="473">
        <f t="shared" si="1219"/>
        <v>-28.398833707565132</v>
      </c>
      <c r="KN380" s="544">
        <f t="shared" si="1202"/>
        <v>3002</v>
      </c>
      <c r="KO380" s="541">
        <f t="shared" si="1169"/>
        <v>0.16655320508602856</v>
      </c>
      <c r="KP380" s="546">
        <f t="shared" si="1170"/>
        <v>916.85908854411309</v>
      </c>
      <c r="KQ380" s="546">
        <f t="shared" si="1171"/>
        <v>717.34228703054214</v>
      </c>
      <c r="KR380" s="548">
        <f t="shared" si="1172"/>
        <v>2.9017625544798338</v>
      </c>
      <c r="KS380" s="548">
        <f t="shared" si="1173"/>
        <v>3.7088394466260448</v>
      </c>
      <c r="KT380" s="473">
        <f t="shared" si="1199"/>
        <v>527.01264777847621</v>
      </c>
      <c r="KU380" s="663">
        <f t="shared" si="1191"/>
        <v>15.797245904785621</v>
      </c>
    </row>
    <row r="381" spans="1:307" s="26" customFormat="1" ht="15" outlineLevel="1">
      <c r="A381" s="561">
        <f t="shared" si="1174"/>
        <v>3081</v>
      </c>
      <c r="B381" s="561">
        <f t="shared" si="1192"/>
        <v>81</v>
      </c>
      <c r="C381" s="561">
        <f t="shared" si="1193"/>
        <v>3</v>
      </c>
      <c r="D381" s="561" t="str">
        <f t="shared" si="1123"/>
        <v xml:space="preserve">-500 Trim BC, </v>
      </c>
      <c r="E381" s="475">
        <f>INDEX(Input!$1:$1048576,E$93,$C381*2+MIN($B381,2)+5)
+INDEX(Scenarios!E$121:E$200,MATCH($B381,Scenarios!$B$121:$B$200,0))</f>
        <v>1250</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0</v>
      </c>
      <c r="V381" s="478">
        <f>IFERROR(MAX(0,INDEX(Input!$1:$1048576,V$93,$C381*2+MIN($B381,2)+5)
+INDEX(Scenarios!V$121:V$200,MATCH($B381,Scenarios!$B$121:$B$200,0)),),"Market")</f>
        <v>1.9E-2</v>
      </c>
      <c r="W381" s="863">
        <f>IFERROR(MAX(0,INDEX(Input!$1:$1048576,W$93,$C381*2+MIN($B381,2)+5)-0%,),"Market")</f>
        <v>3.9000000000000007E-2</v>
      </c>
      <c r="X381" s="476" t="str">
        <f>INDEX(Input!$1:$1048576,X$93,$C381*2+MIN($B381,2)+5)</f>
        <v>Y</v>
      </c>
      <c r="Y381" s="475">
        <f>INDEX(Input!$1:$1048576,Y$93,$C381*2+MIN($B381,2)+5)
++INDEX(Scenarios!Y$121:Y$200,MATCH($B381,Scenarios!$B$121:$B$200,0))</f>
        <v>4108</v>
      </c>
      <c r="Z381" s="477">
        <f>INDEX(Input!$1:$1048576,Z$93,$C381*2+MIN($B381,2)+5)
+INDEX(Scenarios!Z$121:Z$200,MATCH($B381,Scenarios!$B$121:$B$200,0))</f>
        <v>0</v>
      </c>
      <c r="AA381" s="475">
        <f>INDEX(Input!$1:$1048576,AA$93,$C381*2+MIN($B381,2)+5)</f>
        <v>500</v>
      </c>
      <c r="AB381" s="476">
        <f>INDEX(Input!$1:$1048576,AB$93,$C381*2+MIN($B381,2)+5)</f>
        <v>0.62</v>
      </c>
      <c r="AC381" s="475">
        <f>INDEX(Input!$1:$1048576,AC$93,$C381*2+MIN($B381,2)+5)
+INDEX(Scenarios!AC$121:AC$200,MATCH($B381,Scenarios!$B$121:$B$200,0))</f>
        <v>0</v>
      </c>
      <c r="AD381" s="476">
        <f>INDEX(Input!$1:$1048576,AD$93,$C381*2+MIN($B381,2)+5)</f>
        <v>0.35</v>
      </c>
      <c r="AE381" s="475">
        <f>INDEX(Input!$1:$1048576,AE$93,$C381*2+MIN($B381,2)+5)
+INDEX(Scenarios!AE$121:AE$200,MATCH($B381,Scenarios!$B$121:$B$200,0))</f>
        <v>500</v>
      </c>
      <c r="AF381" s="476">
        <f>INDEX(Input!$1:$1048576,AF$93,$C381*2+MIN($B381,2)+5)</f>
        <v>0.97</v>
      </c>
      <c r="AG381" s="475">
        <f>INDEX(Input!$1:$1048576,AG$93,$C381*2+MIN($B381,2)+5)
+INDEX(Scenarios!AG$121:AG$200,MATCH($B381,Scenarios!$B$121:$B$200,0))</f>
        <v>-500</v>
      </c>
      <c r="AH381" s="476">
        <f>INDEX(Input!$1:$1048576,AH$93,$C381*2+MIN($B381,2)+5)</f>
        <v>1</v>
      </c>
      <c r="AI381" s="475">
        <f>INDEX(Input!$1:$1048576,AI$93,$C381*2+MIN($B381,2)+5)
+INDEX(Scenarios!AI$121:AI$200,MATCH($B381,Scenarios!$B$121:$B$200,0))</f>
        <v>0</v>
      </c>
      <c r="AJ381" s="476">
        <f>INDEX(Input!$1:$1048576,AJ$93,$C381*2+MIN($B381,2)+5)</f>
        <v>0.35</v>
      </c>
      <c r="AK381" s="150">
        <f>ROUND(INDEX(Input!$1:$1048576,AK$93,$C380*2+MIN($B381,1)+5)+(Y381-VLOOKUP($C381*1000+1,$A:$HH,Y$92,FALSE)),0)</f>
        <v>4982</v>
      </c>
      <c r="AL381" s="150">
        <f>ROUND(INDEX(Input!$1:$1048576,AL$93,$C380*2+MIN($B381,1)+5)-(Y381-VLOOKUP($C381*1000+1,$A:$HH,Y$92,FALSE))/36,0)</f>
        <v>5102</v>
      </c>
      <c r="AM381" s="32" t="str">
        <f t="shared" si="1175"/>
        <v>std/std/std/std</v>
      </c>
      <c r="AN381" s="32" t="str">
        <f t="shared" si="1176"/>
        <v>$0 + 0/0/0/1.9/3.9</v>
      </c>
      <c r="AO381" s="32" t="str">
        <f t="shared" si="1177"/>
        <v>0/0/0/1.9/3.9</v>
      </c>
      <c r="AP381" s="32" t="str">
        <f t="shared" si="1125"/>
        <v>0/0.9/1.9/3.9</v>
      </c>
      <c r="AQ381" s="536">
        <f t="shared" si="1124"/>
        <v>485.2681838102182</v>
      </c>
      <c r="AR381" s="32"/>
      <c r="AS381" s="302"/>
      <c r="AT381" s="3">
        <f t="shared" si="1194"/>
        <v>81</v>
      </c>
      <c r="AU381" s="41" t="s">
        <v>121</v>
      </c>
      <c r="AV381" s="41" t="s">
        <v>116</v>
      </c>
      <c r="AW381" s="41" t="str">
        <f>INDEX(Input!$1:$1048576,AW$93,$C381*2+6)</f>
        <v>Kia</v>
      </c>
      <c r="AX381" s="41" t="str">
        <f>INDEX(Input!$1:$1048576,AX$93,$C381*2+6)</f>
        <v>Kia-LR - L3</v>
      </c>
      <c r="AY381" s="41" t="str">
        <f>IF(LEN(D381)=0,"",INDEX(Input!$1:$1048576,AY$93,$C381*2+6))</f>
        <v>Compact Conventional/Sporty Car (43)</v>
      </c>
      <c r="AZ381" s="41" t="str">
        <f>INDEX(Input!$1:$1048576,AZ$93,$C381*2+6)</f>
        <v>Kia Forte</v>
      </c>
      <c r="BA381" s="3">
        <f>INDEX(Input!$1:$1048576,BA$93,$C381*2+6)</f>
        <v>2020</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19695</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1126"/>
        <v>1250</v>
      </c>
      <c r="CJ381" s="16" t="str">
        <f>INDEX(Input!$1:$1048576,CJ$93,$C381*2+6)</f>
        <v>N</v>
      </c>
      <c r="CK381" s="1" t="str">
        <f t="shared" si="1127"/>
        <v>Market</v>
      </c>
      <c r="CL381" s="1" t="str">
        <f t="shared" si="1128"/>
        <v>Market</v>
      </c>
      <c r="CM381" s="1" t="str">
        <f t="shared" si="1129"/>
        <v>Market</v>
      </c>
      <c r="CN381" s="1" t="str">
        <f t="shared" si="1130"/>
        <v>Market</v>
      </c>
      <c r="CO381" s="1" t="str">
        <f t="shared" si="1131"/>
        <v>Market</v>
      </c>
      <c r="CP381" s="304">
        <f t="shared" si="1132"/>
        <v>310</v>
      </c>
      <c r="CQ381" s="1">
        <f t="shared" si="1133"/>
        <v>0</v>
      </c>
      <c r="CR381" s="1">
        <f t="shared" si="1134"/>
        <v>0</v>
      </c>
      <c r="CS381" s="1">
        <f t="shared" si="1135"/>
        <v>0</v>
      </c>
      <c r="CT381" s="1">
        <f t="shared" si="1136"/>
        <v>1.9E-2</v>
      </c>
      <c r="CU381" s="1">
        <f t="shared" si="1137"/>
        <v>3.9000000000000007E-2</v>
      </c>
      <c r="CV381" s="304">
        <f t="shared" si="1138"/>
        <v>4593</v>
      </c>
      <c r="CW381" s="20" t="s">
        <v>122</v>
      </c>
      <c r="CX381" s="20" t="s">
        <v>122</v>
      </c>
      <c r="CY381" s="20" t="s">
        <v>122</v>
      </c>
      <c r="CZ381" s="20" t="s">
        <v>122</v>
      </c>
      <c r="DA381" s="20" t="s">
        <v>122</v>
      </c>
      <c r="DB381" s="503">
        <f t="shared" si="1139"/>
        <v>-500</v>
      </c>
      <c r="DC381" s="127">
        <v>0</v>
      </c>
      <c r="DD381" s="127">
        <v>0</v>
      </c>
      <c r="DE381" s="127">
        <v>0</v>
      </c>
      <c r="DF381" s="127">
        <v>0</v>
      </c>
      <c r="DG381" s="127">
        <v>0</v>
      </c>
      <c r="DH381" s="127">
        <v>0</v>
      </c>
      <c r="DI381" s="127">
        <v>0</v>
      </c>
      <c r="DJ381" s="127">
        <v>0</v>
      </c>
      <c r="DK381" s="127">
        <v>0</v>
      </c>
      <c r="DL381" s="127">
        <v>0</v>
      </c>
      <c r="DM381" s="304">
        <f>INDEX(Input!$1:$1048576,DM$93,$C381*2+6)</f>
        <v>20731.578947368424</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3.3671733591994789E-2</v>
      </c>
      <c r="DZ381" s="7">
        <v>0</v>
      </c>
      <c r="EA381" s="7">
        <v>0.60070348270448393</v>
      </c>
      <c r="EB381" s="7">
        <v>0</v>
      </c>
      <c r="EC381" s="7">
        <v>0</v>
      </c>
      <c r="ED381" s="7">
        <v>0</v>
      </c>
      <c r="EE381" s="7">
        <v>0</v>
      </c>
      <c r="EF381" s="7">
        <v>0</v>
      </c>
      <c r="EG381" s="7">
        <v>0</v>
      </c>
      <c r="EH381" s="7">
        <v>1.4121864896518952E-2</v>
      </c>
      <c r="EI381" s="7">
        <v>1.7904825871007949E-2</v>
      </c>
      <c r="EJ381" s="7">
        <v>0.25726624539025467</v>
      </c>
      <c r="EK381" s="7">
        <v>0.65975147709309923</v>
      </c>
      <c r="EL381" s="7">
        <v>5.0955586749119021E-2</v>
      </c>
      <c r="EM381" s="7">
        <v>4.7926472953811819E-2</v>
      </c>
      <c r="EN381" s="7">
        <v>5.7206377506412366E-2</v>
      </c>
      <c r="EO381" s="7">
        <v>0.56978951589845528</v>
      </c>
      <c r="EP381" s="7">
        <v>0.2715105489581342</v>
      </c>
      <c r="EQ381" s="7">
        <v>6.0267117546852739E-2</v>
      </c>
      <c r="ER381" s="7">
        <v>4.1226440090145443E-2</v>
      </c>
      <c r="ES381" s="7">
        <v>0.31769831074970961</v>
      </c>
      <c r="ET381" s="7">
        <v>0.36562478370352125</v>
      </c>
      <c r="EU381" s="6">
        <v>1100</v>
      </c>
      <c r="EV381" s="6">
        <v>0</v>
      </c>
      <c r="EW381" s="6">
        <v>1100</v>
      </c>
      <c r="EX381" s="6">
        <v>0</v>
      </c>
      <c r="EY381" s="6">
        <v>2124.5771541176437</v>
      </c>
      <c r="EZ381" s="6">
        <v>3136</v>
      </c>
      <c r="FA381" s="6">
        <v>0</v>
      </c>
      <c r="FB381" s="6">
        <v>0</v>
      </c>
      <c r="FC381" s="6">
        <v>0</v>
      </c>
      <c r="FD381" s="6">
        <v>0</v>
      </c>
      <c r="FE381" s="6">
        <v>0</v>
      </c>
      <c r="FF381" s="6">
        <v>0</v>
      </c>
      <c r="FG381" s="6">
        <v>0</v>
      </c>
      <c r="FH381" s="6">
        <v>1154.3278583472436</v>
      </c>
      <c r="FI381" s="6">
        <v>1531.4299904380623</v>
      </c>
      <c r="FJ381" s="6">
        <v>2070.7205842538215</v>
      </c>
      <c r="FK381" s="6">
        <v>1746.9903521590441</v>
      </c>
      <c r="FL381" s="6">
        <v>893.91433563489352</v>
      </c>
      <c r="FM381" s="6">
        <v>1774.5771541176434</v>
      </c>
      <c r="FN381" s="6">
        <v>0</v>
      </c>
      <c r="FO381" s="6">
        <v>0</v>
      </c>
      <c r="FP381" s="6">
        <v>0</v>
      </c>
      <c r="FQ381" s="6">
        <v>0</v>
      </c>
      <c r="FR381" s="6">
        <v>0</v>
      </c>
      <c r="FS381" s="6">
        <v>0</v>
      </c>
      <c r="FT381" s="7">
        <v>0.63437521629647875</v>
      </c>
      <c r="FU381" s="7">
        <v>4.7926472953811819E-2</v>
      </c>
      <c r="FV381" s="7">
        <v>0.31769831074970961</v>
      </c>
      <c r="FW381" s="6">
        <v>1100</v>
      </c>
      <c r="FX381" s="6">
        <v>2124.5771541176437</v>
      </c>
      <c r="FY381" s="6">
        <v>3136</v>
      </c>
      <c r="FZ381" s="6">
        <v>2202.331475193394</v>
      </c>
      <c r="GA381" s="6">
        <v>1795.9381299523216</v>
      </c>
      <c r="GB381" s="6">
        <v>17899.061870047677</v>
      </c>
      <c r="GC381" s="7">
        <v>4.8391397220736806E-2</v>
      </c>
      <c r="GD381" s="7">
        <v>4.5611281333267112E-2</v>
      </c>
      <c r="GE381" s="7"/>
      <c r="GF381" s="7"/>
      <c r="GG381" s="7">
        <v>-5.7450622365546253E-2</v>
      </c>
      <c r="GH381" s="42">
        <v>2.7842237594176984</v>
      </c>
      <c r="GI381" s="6">
        <v>8869.723034409526</v>
      </c>
      <c r="GJ381" s="14">
        <v>0.51074630601039539</v>
      </c>
      <c r="GK381" s="14">
        <v>0.50829519786160982</v>
      </c>
      <c r="GL381" s="14">
        <v>0.48925369398960461</v>
      </c>
      <c r="GM381" s="14">
        <v>0.49170480213839024</v>
      </c>
      <c r="GO381" s="5">
        <v>338.16872463277008</v>
      </c>
      <c r="GP381" s="5">
        <v>317.18282312950942</v>
      </c>
      <c r="GQ381" s="5">
        <v>527.27910984145694</v>
      </c>
      <c r="GR381" s="5">
        <v>404.20319246551543</v>
      </c>
      <c r="GS381" s="5">
        <v>334.50205195691484</v>
      </c>
      <c r="GT381" s="5">
        <v>289.18266033348181</v>
      </c>
      <c r="GU381" s="5">
        <v>254.29573314828914</v>
      </c>
      <c r="GV381" s="39" t="s">
        <v>392</v>
      </c>
      <c r="GW381" s="5">
        <v>482.65277777777777</v>
      </c>
      <c r="GX381" s="5">
        <v>361.98958333333331</v>
      </c>
      <c r="GY381" s="5">
        <v>289.59166666666664</v>
      </c>
      <c r="GZ381" s="5">
        <v>255.53408606924114</v>
      </c>
      <c r="HA381" s="5">
        <v>236.70336205047303</v>
      </c>
      <c r="HB381" s="39">
        <v>268.44982798663693</v>
      </c>
      <c r="HC381" s="5">
        <v>145.91562499999998</v>
      </c>
      <c r="HD381" s="5">
        <v>142.68115862573094</v>
      </c>
      <c r="HE381" s="5">
        <v>150.52269315114708</v>
      </c>
      <c r="HF381" s="5">
        <v>145.18317434210525</v>
      </c>
      <c r="HG381" s="5">
        <v>147.46826754385964</v>
      </c>
      <c r="HH381" s="39">
        <v>145.34339480814009</v>
      </c>
      <c r="HI381" s="16"/>
      <c r="HJ381" s="19" t="str">
        <f t="shared" si="1227"/>
        <v>On</v>
      </c>
      <c r="HK381" s="1" t="str">
        <f t="shared" si="1227"/>
        <v>On</v>
      </c>
      <c r="HL381" s="16"/>
      <c r="HM381" s="639">
        <f t="shared" si="1151"/>
        <v>2.8970655363290673E-2</v>
      </c>
      <c r="HN381" s="639">
        <f t="shared" si="1152"/>
        <v>2.1835179285533651E-3</v>
      </c>
      <c r="HO381" s="639">
        <f t="shared" si="1153"/>
        <v>1.5544129749146325E-2</v>
      </c>
      <c r="HP381" s="644">
        <f>(FT381*$GD381-HM381)/$JF381*INDEX(Input!$1:$1048576,$JG$93,$C381*2+6)</f>
        <v>-1.4843071508448975</v>
      </c>
      <c r="HQ381" s="644">
        <f>(FU381*$GD381-HN381)/$JF381*INDEX(Input!$1:$1048576,$JG$93,$C381*2+6)</f>
        <v>0.10186776525352925</v>
      </c>
      <c r="HR381" s="644">
        <f>(FV381*$GD381-HO381)/$JF381*INDEX(Input!$1:$1048576,$JG$93,$C381*2+6)</f>
        <v>-43.450106397437693</v>
      </c>
      <c r="HS381" s="644">
        <f t="shared" si="1141"/>
        <v>7.0198344959335444</v>
      </c>
      <c r="HT381" s="644">
        <f t="shared" ref="HT381" si="1228">IF(AND(HJ381="On",HK381="On"),IM381/1000*INDEX(KG:KG,MATCH(C381*1000+4,$KF:$KF,0))*SUM(HY381:IA381)*1.1
+INDEX(HR:HR,MATCH(C381*1000+3,$KF:$KF,0))/INDEX(IL:IL,MATCH(C381*1000+3,$KF:$KF,0))*IL381*20%,0)</f>
        <v>-13.278192049461849</v>
      </c>
      <c r="HU381" s="644">
        <f t="shared" si="1155"/>
        <v>-30.892013966632671</v>
      </c>
      <c r="HV381" s="648">
        <f t="shared" si="1156"/>
        <v>0</v>
      </c>
      <c r="HW381" s="648">
        <f t="shared" si="1157"/>
        <v>0</v>
      </c>
      <c r="HX381" s="648">
        <f t="shared" si="1158"/>
        <v>0</v>
      </c>
      <c r="HY381" s="644">
        <f>INDEX(Input!$1:$1048576,HY$93,$C381*2+6)*INDEX(Input!$1:$1048576,$JG$93,$C381*2+6)</f>
        <v>488.99999999999994</v>
      </c>
      <c r="HZ381" s="644">
        <f>INDEX(Input!$1:$1048576,HZ$93,$C381*2+6)*INDEX(Input!$1:$1048576,$JG$93,$C381*2+6)</f>
        <v>734</v>
      </c>
      <c r="IA381" s="644">
        <f>INDEX(Input!$1:$1048576,IA$93,$C381*2+6)*INDEX(Input!$1:$1048576,$JG$93,$C381*2+6)</f>
        <v>703</v>
      </c>
      <c r="IB381" s="644">
        <f t="shared" si="1179"/>
        <v>494.53552734508855</v>
      </c>
      <c r="IC381" s="644">
        <f t="shared" si="1180"/>
        <v>720.82367571579164</v>
      </c>
      <c r="ID381" s="644">
        <f>IF(AND(INDEX(Input!$1:$1048576,IA$93,$C381*2+7)="TOS",Y381&lt;=INDEX(Y:Y,MATCH(C381*1000+2,A:A))),0,1)*MAX(IA381+HR381+HU381+HX381,0%)</f>
        <v>628.65787963592959</v>
      </c>
      <c r="IE381" s="128">
        <f t="shared" ref="IE381" si="1229">IB381/SUM($IB381:$ID381)</f>
        <v>0.26818381021820464</v>
      </c>
      <c r="IF381" s="128">
        <f t="shared" ref="IF381" si="1230">IC381/SUM($IB381:$ID381)</f>
        <v>0.39089858899875946</v>
      </c>
      <c r="IG381" s="128">
        <f t="shared" si="1213"/>
        <v>0.34091760078303596</v>
      </c>
      <c r="IH381" s="21"/>
      <c r="II381" s="19">
        <f t="shared" si="1160"/>
        <v>1200</v>
      </c>
      <c r="IJ381" s="19">
        <f t="shared" si="1161"/>
        <v>2224.493581030405</v>
      </c>
      <c r="IK381" s="19">
        <f t="shared" si="1162"/>
        <v>3451.75</v>
      </c>
      <c r="IL381" s="19">
        <f t="shared" si="1181"/>
        <v>-100</v>
      </c>
      <c r="IM381" s="19">
        <f t="shared" si="1163"/>
        <v>-99.916426912761381</v>
      </c>
      <c r="IN381" s="19">
        <f t="shared" si="1164"/>
        <v>-315.75</v>
      </c>
      <c r="IO381" s="39">
        <f t="shared" si="1165"/>
        <v>0</v>
      </c>
      <c r="IP381" s="39">
        <f t="shared" si="1166"/>
        <v>0</v>
      </c>
      <c r="IQ381" s="39">
        <f t="shared" si="1167"/>
        <v>0</v>
      </c>
      <c r="IR381" s="39">
        <v>0</v>
      </c>
      <c r="IS381" s="39">
        <v>0</v>
      </c>
      <c r="IT381" s="39">
        <v>0</v>
      </c>
      <c r="IU381" s="39">
        <v>0</v>
      </c>
      <c r="IV381" s="39">
        <v>0</v>
      </c>
      <c r="IW381" s="39">
        <v>0</v>
      </c>
      <c r="IX381" s="39">
        <f>INDEX(Input!$1:$1048576,IX$93,$C381*2+6)+INDEX(Input!$1:$1048576,IX$94,$C381*2+6)</f>
        <v>1600</v>
      </c>
      <c r="IY381" s="39">
        <f>INDEX(Input!$1:$1048576,IY$93,$C381*2+6)+INDEX(Input!$1:$1048576,IY$94,$C381*2+6)</f>
        <v>2503.5492916397525</v>
      </c>
      <c r="IZ381" s="39">
        <f>INDEX(Input!$1:$1048576,IZ$93,$C381*2+6)+INDEX(Input!$1:$1048576,IZ$94,$C381*2+6)</f>
        <v>5773.7109265464023</v>
      </c>
      <c r="JA381" s="19">
        <f t="shared" si="1182"/>
        <v>1500</v>
      </c>
      <c r="JB381" s="19">
        <f t="shared" si="1183"/>
        <v>2403.6328647269911</v>
      </c>
      <c r="JC381" s="19">
        <f t="shared" si="1184"/>
        <v>5457.9609265464023</v>
      </c>
      <c r="JD381" s="19">
        <f t="shared" si="1185"/>
        <v>3202.5673548658897</v>
      </c>
      <c r="JE381" s="21"/>
      <c r="JF381" s="1">
        <f t="shared" si="1168"/>
        <v>4.6698303040990354E-2</v>
      </c>
      <c r="JG381" s="15">
        <f>INDEX(Input!$1:$1048576,JG$93,$C381*2+6)/(1+VLOOKUP(C381*1000+INDEX(Input!$1:$1048576,JG$93+1,$C381*2+6),$A:$KK,$JK$92,FALSE))</f>
        <v>1926</v>
      </c>
      <c r="JH381" s="1">
        <f t="shared" si="1186"/>
        <v>-2.3277541943421111E-2</v>
      </c>
      <c r="JI381" s="1">
        <f t="shared" si="1187"/>
        <v>-1.9288874101848895E-2</v>
      </c>
      <c r="JJ381" s="1">
        <f t="shared" ref="JJ381" si="1231">SUM(HV381:HX381)/SUM(HY381:IA381)</f>
        <v>0</v>
      </c>
      <c r="JK381" s="1">
        <f t="shared" ref="JK381" si="1232">SUM(JH381:JJ381)</f>
        <v>-4.2566416045270006E-2</v>
      </c>
      <c r="JL381" s="15">
        <f t="shared" si="1188"/>
        <v>-81.982917303190035</v>
      </c>
      <c r="JM381" s="15">
        <f t="shared" si="1207"/>
        <v>1844.0170826968099</v>
      </c>
      <c r="JN381" s="21"/>
      <c r="JO381" s="19">
        <f>INDEX(Input!$1:$1048576,JO$93,$C381*2+6)</f>
        <v>5908.5</v>
      </c>
      <c r="JP381" s="19">
        <f>INDEX(Input!$1:$1048576,JP$93,$C381*2+6)</f>
        <v>3467.7694503767912</v>
      </c>
      <c r="JQ381" s="39">
        <f t="shared" si="1196"/>
        <v>2705.9326451341103</v>
      </c>
      <c r="JR381" s="39">
        <f t="shared" si="1216"/>
        <v>-265.20209551090147</v>
      </c>
      <c r="JS381" s="39">
        <f t="shared" si="1197"/>
        <v>5.9055889108598372</v>
      </c>
      <c r="JT381" s="39">
        <f t="shared" si="1189"/>
        <v>-0.77333505056586305</v>
      </c>
      <c r="JU381" s="385">
        <f>(JQ381*JM381-INDEX(Input!$1:$1048576,Input!A$18,$C381*2+6)*JL381*INDEX(Input!$1:$1048576,Input!A$19,$C381*2+6))/1000000</f>
        <v>4.9897860222542638</v>
      </c>
      <c r="JV381" s="39">
        <f t="shared" si="1225"/>
        <v>0.28893898367996407</v>
      </c>
      <c r="JW381" s="1">
        <f t="shared" si="1208"/>
        <v>6.1465302169796864E-2</v>
      </c>
      <c r="JX381" s="19">
        <f t="shared" si="1201"/>
        <v>9432.880360989202</v>
      </c>
      <c r="JZ381" s="341"/>
      <c r="KA381" s="342"/>
      <c r="KB381" s="469">
        <f t="shared" si="1198"/>
        <v>2.7822247002359868</v>
      </c>
      <c r="KI381" s="473">
        <f t="shared" ref="KI381" si="1233">$JM381*IE381-$JG381*HY381/SUM($HY381:$IA381)</f>
        <v>5.5355273450887239</v>
      </c>
      <c r="KJ381" s="473">
        <f t="shared" ref="KJ381" si="1234">$JM381*IF381-$JG381*HZ381/SUM($HY381:$IA381)</f>
        <v>-13.176324284208249</v>
      </c>
      <c r="KK381" s="473">
        <f t="shared" si="1219"/>
        <v>-74.342120364070411</v>
      </c>
      <c r="KN381" s="544">
        <f t="shared" si="1202"/>
        <v>3002</v>
      </c>
      <c r="KO381" s="541">
        <f t="shared" si="1169"/>
        <v>-0.10487827135144712</v>
      </c>
      <c r="KP381" s="546">
        <f t="shared" si="1170"/>
        <v>-500.00623894967651</v>
      </c>
      <c r="KQ381" s="546">
        <f t="shared" si="1171"/>
        <v>-518.51386345948322</v>
      </c>
      <c r="KR381" s="548">
        <f t="shared" si="1172"/>
        <v>3.3505921687090439</v>
      </c>
      <c r="KS381" s="548">
        <f t="shared" si="1173"/>
        <v>3.2309974845279306</v>
      </c>
      <c r="KT381" s="473">
        <f t="shared" si="1199"/>
        <v>527.01264777847621</v>
      </c>
      <c r="KU381" s="663">
        <f t="shared" si="1191"/>
        <v>15.368313147213421</v>
      </c>
    </row>
    <row r="382" spans="1:307" s="26" customFormat="1" ht="15" outlineLevel="1">
      <c r="A382" s="561">
        <f t="shared" si="1174"/>
        <v>3082</v>
      </c>
      <c r="B382" s="561">
        <f t="shared" si="1192"/>
        <v>82</v>
      </c>
      <c r="C382" s="561">
        <f t="shared" si="1193"/>
        <v>3</v>
      </c>
      <c r="D382" s="561" t="str">
        <f t="shared" si="1123"/>
        <v xml:space="preserve">-500 BC, </v>
      </c>
      <c r="E382" s="475">
        <f>INDEX(Input!$1:$1048576,E$93,$C382*2+MIN($B382,2)+5)
+INDEX(Scenarios!E$121:E$200,MATCH($B382,Scenarios!$B$121:$B$200,0))</f>
        <v>1250</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0</v>
      </c>
      <c r="V382" s="478">
        <f>IFERROR(MAX(0,INDEX(Input!$1:$1048576,V$93,$C382*2+MIN($B382,2)+5)
+INDEX(Scenarios!V$121:V$200,MATCH($B382,Scenarios!$B$121:$B$200,0)),),"Market")</f>
        <v>1.9E-2</v>
      </c>
      <c r="W382" s="863">
        <f>IFERROR(MAX(0,INDEX(Input!$1:$1048576,W$93,$C382*2+MIN($B382,2)+5)-0%,),"Market")</f>
        <v>3.9000000000000007E-2</v>
      </c>
      <c r="X382" s="476" t="str">
        <f>INDEX(Input!$1:$1048576,X$93,$C382*2+MIN($B382,2)+5)</f>
        <v>Y</v>
      </c>
      <c r="Y382" s="475">
        <f>INDEX(Input!$1:$1048576,Y$93,$C382*2+MIN($B382,2)+5)
++INDEX(Scenarios!Y$121:Y$200,MATCH($B382,Scenarios!$B$121:$B$200,0))</f>
        <v>4108</v>
      </c>
      <c r="Z382" s="477">
        <f>INDEX(Input!$1:$1048576,Z$93,$C382*2+MIN($B382,2)+5)
+INDEX(Scenarios!Z$121:Z$200,MATCH($B382,Scenarios!$B$121:$B$200,0))</f>
        <v>-500</v>
      </c>
      <c r="AA382" s="475">
        <f>INDEX(Input!$1:$1048576,AA$93,$C382*2+MIN($B382,2)+5)</f>
        <v>500</v>
      </c>
      <c r="AB382" s="476">
        <f>INDEX(Input!$1:$1048576,AB$93,$C382*2+MIN($B382,2)+5)</f>
        <v>0.62</v>
      </c>
      <c r="AC382" s="475">
        <f>INDEX(Input!$1:$1048576,AC$93,$C382*2+MIN($B382,2)+5)
+INDEX(Scenarios!AC$121:AC$200,MATCH($B382,Scenarios!$B$121:$B$200,0))</f>
        <v>0</v>
      </c>
      <c r="AD382" s="476">
        <f>INDEX(Input!$1:$1048576,AD$93,$C382*2+MIN($B382,2)+5)</f>
        <v>0.35</v>
      </c>
      <c r="AE382" s="475">
        <f>INDEX(Input!$1:$1048576,AE$93,$C382*2+MIN($B382,2)+5)
+INDEX(Scenarios!AE$121:AE$200,MATCH($B382,Scenarios!$B$121:$B$200,0))</f>
        <v>500</v>
      </c>
      <c r="AF382" s="476">
        <f>INDEX(Input!$1:$1048576,AF$93,$C382*2+MIN($B382,2)+5)</f>
        <v>0.97</v>
      </c>
      <c r="AG382" s="475">
        <f>INDEX(Input!$1:$1048576,AG$93,$C382*2+MIN($B382,2)+5)
+INDEX(Scenarios!AG$121:AG$200,MATCH($B382,Scenarios!$B$121:$B$200,0))</f>
        <v>0</v>
      </c>
      <c r="AH382" s="476">
        <f>INDEX(Input!$1:$1048576,AH$93,$C382*2+MIN($B382,2)+5)</f>
        <v>1</v>
      </c>
      <c r="AI382" s="475">
        <f>INDEX(Input!$1:$1048576,AI$93,$C382*2+MIN($B382,2)+5)
+INDEX(Scenarios!AI$121:AI$200,MATCH($B382,Scenarios!$B$121:$B$200,0))</f>
        <v>0</v>
      </c>
      <c r="AJ382" s="476">
        <f>INDEX(Input!$1:$1048576,AJ$93,$C382*2+MIN($B382,2)+5)</f>
        <v>0.35</v>
      </c>
      <c r="AK382" s="150">
        <f>ROUND(INDEX(Input!$1:$1048576,AK$93,$C381*2+MIN($B382,1)+5)+(Y382-VLOOKUP($C382*1000+1,$A:$HH,Y$92,FALSE)),0)</f>
        <v>4982</v>
      </c>
      <c r="AL382" s="150">
        <f>ROUND(INDEX(Input!$1:$1048576,AL$93,$C381*2+MIN($B382,1)+5)-(Y382-VLOOKUP($C382*1000+1,$A:$HH,Y$92,FALSE))/36,0)</f>
        <v>5102</v>
      </c>
      <c r="AM382" s="32" t="str">
        <f t="shared" si="1175"/>
        <v>std/std/std/std</v>
      </c>
      <c r="AN382" s="32" t="str">
        <f t="shared" si="1176"/>
        <v>$0 + 0/0/0/1.9/3.9</v>
      </c>
      <c r="AO382" s="32" t="str">
        <f t="shared" si="1177"/>
        <v>0/0/0/1.9/3.9</v>
      </c>
      <c r="AP382" s="32" t="str">
        <f t="shared" si="1125"/>
        <v>0/0.9/1.9/3.9</v>
      </c>
      <c r="AQ382" s="536">
        <f t="shared" si="1124"/>
        <v>485.2681838102182</v>
      </c>
      <c r="AR382" s="32"/>
      <c r="AS382" s="302"/>
      <c r="AT382" s="3">
        <f t="shared" si="1194"/>
        <v>82</v>
      </c>
      <c r="AU382" s="41" t="s">
        <v>121</v>
      </c>
      <c r="AV382" s="41" t="s">
        <v>116</v>
      </c>
      <c r="AW382" s="41" t="str">
        <f>INDEX(Input!$1:$1048576,AW$93,$C382*2+6)</f>
        <v>Kia</v>
      </c>
      <c r="AX382" s="41" t="str">
        <f>INDEX(Input!$1:$1048576,AX$93,$C382*2+6)</f>
        <v>Kia-LR - L3</v>
      </c>
      <c r="AY382" s="41" t="str">
        <f>IF(LEN(D382)=0,"",INDEX(Input!$1:$1048576,AY$93,$C382*2+6))</f>
        <v>Compact Conventional/Sporty Car (43)</v>
      </c>
      <c r="AZ382" s="41" t="str">
        <f>INDEX(Input!$1:$1048576,AZ$93,$C382*2+6)</f>
        <v>Kia Forte</v>
      </c>
      <c r="BA382" s="3">
        <f>INDEX(Input!$1:$1048576,BA$93,$C382*2+6)</f>
        <v>2020</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19695</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1126"/>
        <v>1250</v>
      </c>
      <c r="CJ382" s="16" t="str">
        <f>INDEX(Input!$1:$1048576,CJ$93,$C382*2+6)</f>
        <v>N</v>
      </c>
      <c r="CK382" s="1" t="str">
        <f t="shared" si="1127"/>
        <v>Market</v>
      </c>
      <c r="CL382" s="1" t="str">
        <f t="shared" si="1128"/>
        <v>Market</v>
      </c>
      <c r="CM382" s="1" t="str">
        <f t="shared" si="1129"/>
        <v>Market</v>
      </c>
      <c r="CN382" s="1" t="str">
        <f t="shared" si="1130"/>
        <v>Market</v>
      </c>
      <c r="CO382" s="1" t="str">
        <f t="shared" si="1131"/>
        <v>Market</v>
      </c>
      <c r="CP382" s="304">
        <f t="shared" si="1132"/>
        <v>310</v>
      </c>
      <c r="CQ382" s="1">
        <f t="shared" si="1133"/>
        <v>0</v>
      </c>
      <c r="CR382" s="1">
        <f t="shared" si="1134"/>
        <v>0</v>
      </c>
      <c r="CS382" s="1">
        <f t="shared" si="1135"/>
        <v>0</v>
      </c>
      <c r="CT382" s="1">
        <f t="shared" si="1136"/>
        <v>1.9E-2</v>
      </c>
      <c r="CU382" s="1">
        <f t="shared" si="1137"/>
        <v>3.9000000000000007E-2</v>
      </c>
      <c r="CV382" s="304">
        <f t="shared" si="1138"/>
        <v>4593</v>
      </c>
      <c r="CW382" s="20" t="s">
        <v>122</v>
      </c>
      <c r="CX382" s="20" t="s">
        <v>122</v>
      </c>
      <c r="CY382" s="20" t="s">
        <v>122</v>
      </c>
      <c r="CZ382" s="20" t="s">
        <v>122</v>
      </c>
      <c r="DA382" s="20" t="s">
        <v>122</v>
      </c>
      <c r="DB382" s="503">
        <f t="shared" si="1139"/>
        <v>-500</v>
      </c>
      <c r="DC382" s="127">
        <v>0</v>
      </c>
      <c r="DD382" s="127">
        <v>0</v>
      </c>
      <c r="DE382" s="127">
        <v>0</v>
      </c>
      <c r="DF382" s="127">
        <v>0</v>
      </c>
      <c r="DG382" s="127">
        <v>0</v>
      </c>
      <c r="DH382" s="127">
        <v>0</v>
      </c>
      <c r="DI382" s="127">
        <v>0</v>
      </c>
      <c r="DJ382" s="127">
        <v>0</v>
      </c>
      <c r="DK382" s="127">
        <v>0</v>
      </c>
      <c r="DL382" s="127">
        <v>0</v>
      </c>
      <c r="DM382" s="304">
        <f>INDEX(Input!$1:$1048576,DM$93,$C382*2+6)</f>
        <v>20731.578947368424</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3.3671733591994789E-2</v>
      </c>
      <c r="DZ382" s="7">
        <v>0</v>
      </c>
      <c r="EA382" s="7">
        <v>0.60070348270448393</v>
      </c>
      <c r="EB382" s="7">
        <v>0</v>
      </c>
      <c r="EC382" s="7">
        <v>0</v>
      </c>
      <c r="ED382" s="7">
        <v>0</v>
      </c>
      <c r="EE382" s="7">
        <v>0</v>
      </c>
      <c r="EF382" s="7">
        <v>0</v>
      </c>
      <c r="EG382" s="7">
        <v>0</v>
      </c>
      <c r="EH382" s="7">
        <v>1.4121864896518952E-2</v>
      </c>
      <c r="EI382" s="7">
        <v>1.7904825871007949E-2</v>
      </c>
      <c r="EJ382" s="7">
        <v>0.25726624539025467</v>
      </c>
      <c r="EK382" s="7">
        <v>0.65975147709309923</v>
      </c>
      <c r="EL382" s="7">
        <v>5.0955586749119021E-2</v>
      </c>
      <c r="EM382" s="7">
        <v>4.7926472953811819E-2</v>
      </c>
      <c r="EN382" s="7">
        <v>5.7206377506412366E-2</v>
      </c>
      <c r="EO382" s="7">
        <v>0.56978951589845528</v>
      </c>
      <c r="EP382" s="7">
        <v>0.2715105489581342</v>
      </c>
      <c r="EQ382" s="7">
        <v>6.0267117546852739E-2</v>
      </c>
      <c r="ER382" s="7">
        <v>4.1226440090145443E-2</v>
      </c>
      <c r="ES382" s="7">
        <v>0.31769831074970961</v>
      </c>
      <c r="ET382" s="7">
        <v>0.36562478370352125</v>
      </c>
      <c r="EU382" s="6">
        <v>1100</v>
      </c>
      <c r="EV382" s="6">
        <v>0</v>
      </c>
      <c r="EW382" s="6">
        <v>1100</v>
      </c>
      <c r="EX382" s="6">
        <v>0</v>
      </c>
      <c r="EY382" s="6">
        <v>2124.5771541176437</v>
      </c>
      <c r="EZ382" s="6">
        <v>3136</v>
      </c>
      <c r="FA382" s="6">
        <v>0</v>
      </c>
      <c r="FB382" s="6">
        <v>0</v>
      </c>
      <c r="FC382" s="6">
        <v>0</v>
      </c>
      <c r="FD382" s="6">
        <v>0</v>
      </c>
      <c r="FE382" s="6">
        <v>0</v>
      </c>
      <c r="FF382" s="6">
        <v>0</v>
      </c>
      <c r="FG382" s="6">
        <v>0</v>
      </c>
      <c r="FH382" s="6">
        <v>1154.3278583472436</v>
      </c>
      <c r="FI382" s="6">
        <v>1531.4299904380623</v>
      </c>
      <c r="FJ382" s="6">
        <v>2070.7205842538215</v>
      </c>
      <c r="FK382" s="6">
        <v>1746.9903521590441</v>
      </c>
      <c r="FL382" s="6">
        <v>893.91433563489352</v>
      </c>
      <c r="FM382" s="6">
        <v>1774.5771541176434</v>
      </c>
      <c r="FN382" s="6">
        <v>0</v>
      </c>
      <c r="FO382" s="6">
        <v>0</v>
      </c>
      <c r="FP382" s="6">
        <v>0</v>
      </c>
      <c r="FQ382" s="6">
        <v>0</v>
      </c>
      <c r="FR382" s="6">
        <v>0</v>
      </c>
      <c r="FS382" s="6">
        <v>0</v>
      </c>
      <c r="FT382" s="7">
        <v>0.63437521629647875</v>
      </c>
      <c r="FU382" s="7">
        <v>4.7926472953811819E-2</v>
      </c>
      <c r="FV382" s="7">
        <v>0.31769831074970961</v>
      </c>
      <c r="FW382" s="6">
        <v>1100</v>
      </c>
      <c r="FX382" s="6">
        <v>2124.5771541176437</v>
      </c>
      <c r="FY382" s="6">
        <v>3136</v>
      </c>
      <c r="FZ382" s="6">
        <v>2202.331475193394</v>
      </c>
      <c r="GA382" s="6">
        <v>1795.9381299523216</v>
      </c>
      <c r="GB382" s="6">
        <v>17899.061870047677</v>
      </c>
      <c r="GC382" s="7">
        <v>4.8391397220736806E-2</v>
      </c>
      <c r="GD382" s="7">
        <v>4.5611281333267112E-2</v>
      </c>
      <c r="GE382" s="7"/>
      <c r="GF382" s="7"/>
      <c r="GG382" s="7">
        <v>-5.7450622365546253E-2</v>
      </c>
      <c r="GH382" s="42">
        <v>2.7842237594176984</v>
      </c>
      <c r="GI382" s="6">
        <v>8869.723034409526</v>
      </c>
      <c r="GJ382" s="14">
        <v>0.51074630601039539</v>
      </c>
      <c r="GK382" s="14">
        <v>0.50829519786160982</v>
      </c>
      <c r="GL382" s="14">
        <v>0.48925369398960461</v>
      </c>
      <c r="GM382" s="14">
        <v>0.49170480213839024</v>
      </c>
      <c r="GO382" s="5">
        <v>338.16872463277008</v>
      </c>
      <c r="GP382" s="5">
        <v>317.18282312950942</v>
      </c>
      <c r="GQ382" s="5">
        <v>527.27910984145694</v>
      </c>
      <c r="GR382" s="5">
        <v>404.20319246551543</v>
      </c>
      <c r="GS382" s="5">
        <v>334.50205195691484</v>
      </c>
      <c r="GT382" s="5">
        <v>289.18266033348181</v>
      </c>
      <c r="GU382" s="5">
        <v>254.29573314828914</v>
      </c>
      <c r="GV382" s="39" t="s">
        <v>392</v>
      </c>
      <c r="GW382" s="5">
        <v>482.65277777777777</v>
      </c>
      <c r="GX382" s="5">
        <v>361.98958333333331</v>
      </c>
      <c r="GY382" s="5">
        <v>289.59166666666664</v>
      </c>
      <c r="GZ382" s="5">
        <v>255.53408606924114</v>
      </c>
      <c r="HA382" s="5">
        <v>236.70336205047303</v>
      </c>
      <c r="HB382" s="39">
        <v>268.44982798663693</v>
      </c>
      <c r="HC382" s="5">
        <v>145.91562499999998</v>
      </c>
      <c r="HD382" s="5">
        <v>142.68115862573094</v>
      </c>
      <c r="HE382" s="5">
        <v>150.52269315114708</v>
      </c>
      <c r="HF382" s="5">
        <v>145.18317434210525</v>
      </c>
      <c r="HG382" s="5">
        <v>147.46826754385964</v>
      </c>
      <c r="HH382" s="39">
        <v>145.34339480814009</v>
      </c>
      <c r="HI382" s="16"/>
      <c r="HJ382" s="19" t="str">
        <f t="shared" ref="HJ382:HK387" si="1235">HJ381</f>
        <v>On</v>
      </c>
      <c r="HK382" s="1" t="str">
        <f t="shared" si="1235"/>
        <v>On</v>
      </c>
      <c r="HL382" s="16"/>
      <c r="HM382" s="889">
        <f t="shared" ref="HM382:HO387" si="1236">VLOOKUP($C382*1000+1,$A:$HH,FT$92,FALSE)*$JF382</f>
        <v>2.8970655363290673E-2</v>
      </c>
      <c r="HN382" s="889">
        <f t="shared" si="1236"/>
        <v>2.1835179285533651E-3</v>
      </c>
      <c r="HO382" s="889">
        <f t="shared" si="1236"/>
        <v>1.5544129749146325E-2</v>
      </c>
      <c r="HP382" s="890">
        <f>(FT382*$GD382-HM382)/$JF382*INDEX(Input!$1:$1048576,$JG$93,$C382*2+6)</f>
        <v>-1.4843071508448975</v>
      </c>
      <c r="HQ382" s="890">
        <f>(FU382*$GD382-HN382)/$JF382*INDEX(Input!$1:$1048576,$JG$93,$C382*2+6)</f>
        <v>0.10186776525352925</v>
      </c>
      <c r="HR382" s="890">
        <f>(FV382*$GD382-HO382)/$JF382*INDEX(Input!$1:$1048576,$JG$93,$C382*2+6)</f>
        <v>-43.450106397437693</v>
      </c>
      <c r="HS382" s="890">
        <f t="shared" ref="HS382:HS387" si="1237">IF(AND(HJ382="On",HK382="On"),IL382/1000*INDEX(KG:KG,MATCH(C382*1000+3,$KF:$KF,0))*SUM(HY382:IA382)*1.1
+INDEX(HR:HR,MATCH(C382*1000+4,$KF:$KF,0))/INDEX(IM:IM,MATCH(C382*1000+4,$KF:$KF,0))*IM382*20%,0)</f>
        <v>7.0198344959335444</v>
      </c>
      <c r="HT382" s="890">
        <f t="shared" ref="HT382:HT387" si="1238">IF(AND(HJ382="On",HK382="On"),IM382/1000*INDEX(KG:KG,MATCH(C382*1000+4,$KF:$KF,0))*SUM(HY382:IA382)*1.1
+INDEX(HR:HR,MATCH(C382*1000+3,$KF:$KF,0))/INDEX(IL:IL,MATCH(C382*1000+3,$KF:$KF,0))*IL382*20%,0)</f>
        <v>-13.278192049461849</v>
      </c>
      <c r="HU382" s="890">
        <f t="shared" ref="HU382:HU387" si="1239">IF(HJ382="On",IN382/1000*INDEX(KG:KG,MATCH(C382*1000+5,$KF:$KF,0))*SUM(HY382:IA382)*1.1
-INDEX(HR:HR,MATCH(C382*1000+3,$KF:$KF,0))/INDEX(IL:IL,MATCH(C382*1000+3,$KF:$KF,0))*IL382*20%
-INDEX(HR:HR,MATCH(C382*1000+4,$KF:$KF,0))/INDEX(IM:IM,MATCH(C382*1000+4,$KF:$KF,0))*IM382*20%,0)</f>
        <v>-30.892013966632671</v>
      </c>
      <c r="HV382" s="891">
        <f t="shared" ref="HV382:HV387" si="1240">IL382/1000*0+IM382/1000*0+IN382/1000*0
+(CP382-INDEX(CP:CP,MATCH(C382*1000+1,A:A,0)))/1000*0+IF(FU382&gt;0,0,0)</f>
        <v>0</v>
      </c>
      <c r="HW382" s="891">
        <f t="shared" ref="HW382:HW387" si="1241">IL382/1000*0+IM382/1000*0+IN382/1000*0
+(CP382-INDEX(CP:CP,MATCH(C382*1000+1,A:A,0)))/1000*0+IF(FU382&gt;0,0,0)</f>
        <v>0</v>
      </c>
      <c r="HX382" s="891">
        <f t="shared" ref="HX382:HX387" si="1242">IL382/1000*0+IM382/1000*0+IN382/1000*0
+(CP382-INDEX(CP:CP,MATCH(C382*1000+1,A:A,0)))/1000*0+IF(FU382&gt;0,0,0)</f>
        <v>0</v>
      </c>
      <c r="HY382" s="890">
        <f>INDEX(Input!$1:$1048576,HY$93,$C382*2+6)*INDEX(Input!$1:$1048576,$JG$93,$C382*2+6)</f>
        <v>488.99999999999994</v>
      </c>
      <c r="HZ382" s="890">
        <f>INDEX(Input!$1:$1048576,HZ$93,$C382*2+6)*INDEX(Input!$1:$1048576,$JG$93,$C382*2+6)</f>
        <v>734</v>
      </c>
      <c r="IA382" s="890">
        <f>INDEX(Input!$1:$1048576,IA$93,$C382*2+6)*INDEX(Input!$1:$1048576,$JG$93,$C382*2+6)</f>
        <v>703</v>
      </c>
      <c r="IB382" s="890">
        <f t="shared" ref="IB382:IB387" si="1243">SUM(HP382:IA382)-IC382-ID382</f>
        <v>494.53552734508855</v>
      </c>
      <c r="IC382" s="890">
        <f t="shared" ref="IC382:IC387" si="1244">MAX(HZ382+HQ382+HT382+HW382,0%)</f>
        <v>720.82367571579164</v>
      </c>
      <c r="ID382" s="890">
        <f>IF(AND(INDEX(Input!$1:$1048576,IA$93,$C382*2+7)="TOS",Y382&lt;=INDEX(Y:Y,MATCH(C382*1000+2,A:A))),0,1)*MAX(IA382+HR382+HU382+HX382,0%)</f>
        <v>628.65787963592959</v>
      </c>
      <c r="IE382" s="892">
        <f t="shared" ref="IE382:IG387" si="1245">IB382/SUM($IB382:$ID382)</f>
        <v>0.26818381021820464</v>
      </c>
      <c r="IF382" s="892">
        <f t="shared" si="1245"/>
        <v>0.39089858899875946</v>
      </c>
      <c r="IG382" s="892">
        <f t="shared" si="1245"/>
        <v>0.34091760078303596</v>
      </c>
      <c r="IH382" s="21"/>
      <c r="II382" s="19">
        <f t="shared" ref="II382:II387" si="1246">VLOOKUP($C382*1000+1,$A:$HH,FW$92,FALSE)-VLOOKUP($C382*1000+1,$A:$HH,FA$92,FALSE)*VLOOKUP($C382*1000+1,$A:$HH,DZ$92,FALSE)/VLOOKUP($C382*1000+1,$A:$HH,FT$92,FALSE)</f>
        <v>1200</v>
      </c>
      <c r="IJ382" s="19">
        <f t="shared" ref="IJ382:IK387" si="1247">VLOOKUP($C382*1000+1,$A:$HH,FX$92,FALSE)</f>
        <v>2224.493581030405</v>
      </c>
      <c r="IK382" s="19">
        <f t="shared" si="1247"/>
        <v>3451.75</v>
      </c>
      <c r="IL382" s="19">
        <f t="shared" ref="IL382:IL387" si="1248">(FW382-FA382*DZ382/FT382)-II382</f>
        <v>-100</v>
      </c>
      <c r="IM382" s="19">
        <f t="shared" ref="IM382:IN387" si="1249">FX382-IJ382</f>
        <v>-99.916426912761381</v>
      </c>
      <c r="IN382" s="19">
        <f t="shared" si="1249"/>
        <v>-315.75</v>
      </c>
      <c r="IO382" s="39">
        <f t="shared" ref="IO382:IQ387" si="1250">(F382-VLOOKUP($C382*1000+1,$A:$HH,F$92,FALSE))*(1-$I382)</f>
        <v>0</v>
      </c>
      <c r="IP382" s="39">
        <f t="shared" si="1250"/>
        <v>0</v>
      </c>
      <c r="IQ382" s="39">
        <f t="shared" si="1250"/>
        <v>0</v>
      </c>
      <c r="IR382" s="39">
        <v>0</v>
      </c>
      <c r="IS382" s="39">
        <v>0</v>
      </c>
      <c r="IT382" s="39">
        <v>0</v>
      </c>
      <c r="IU382" s="39">
        <v>0</v>
      </c>
      <c r="IV382" s="39">
        <v>0</v>
      </c>
      <c r="IW382" s="39">
        <v>0</v>
      </c>
      <c r="IX382" s="39">
        <f>INDEX(Input!$1:$1048576,IX$93,$C382*2+6)+INDEX(Input!$1:$1048576,IX$94,$C382*2+6)</f>
        <v>1600</v>
      </c>
      <c r="IY382" s="39">
        <f>INDEX(Input!$1:$1048576,IY$93,$C382*2+6)+INDEX(Input!$1:$1048576,IY$94,$C382*2+6)</f>
        <v>2503.5492916397525</v>
      </c>
      <c r="IZ382" s="39">
        <f>INDEX(Input!$1:$1048576,IZ$93,$C382*2+6)+INDEX(Input!$1:$1048576,IZ$94,$C382*2+6)</f>
        <v>5773.7109265464023</v>
      </c>
      <c r="JA382" s="19">
        <f t="shared" ref="JA382:JC387" si="1251">(IL382+IO382+IR382+IU382+IX382)</f>
        <v>1500</v>
      </c>
      <c r="JB382" s="19">
        <f t="shared" si="1251"/>
        <v>2403.6328647269911</v>
      </c>
      <c r="JC382" s="19">
        <f t="shared" si="1251"/>
        <v>5457.9609265464023</v>
      </c>
      <c r="JD382" s="19">
        <f t="shared" ref="JD382:JD387" si="1252">SUMPRODUCT(IE382:IG382,JA382:JC382)</f>
        <v>3202.5673548658897</v>
      </c>
      <c r="JE382" s="21"/>
      <c r="JF382" s="1">
        <f t="shared" ref="JF382:JF387" si="1253">VLOOKUP($C382*1000+1,$A:$HH,GD$92,FALSE)</f>
        <v>4.6698303040990354E-2</v>
      </c>
      <c r="JG382" s="15">
        <f>INDEX(Input!$1:$1048576,JG$93,$C382*2+6)/(1+VLOOKUP(C382*1000+INDEX(Input!$1:$1048576,JG$93+1,$C382*2+6),$A:$KK,$JK$92,FALSE))</f>
        <v>1926</v>
      </c>
      <c r="JH382" s="1">
        <f t="shared" ref="JH382:JH387" si="1254">SUM(HP382:HR382)/SUM(HY382:IA382)</f>
        <v>-2.3277541943421111E-2</v>
      </c>
      <c r="JI382" s="1">
        <f t="shared" ref="JI382:JI387" si="1255">SUM(HS382:HU382)/SUM(HY382:IA382)</f>
        <v>-1.9288874101848895E-2</v>
      </c>
      <c r="JJ382" s="1">
        <f t="shared" ref="JJ382:JJ387" si="1256">SUM(HV382:HX382)/SUM(HY382:IA382)</f>
        <v>0</v>
      </c>
      <c r="JK382" s="1">
        <f t="shared" ref="JK382:JK387" si="1257">SUM(JH382:JJ382)</f>
        <v>-4.2566416045270006E-2</v>
      </c>
      <c r="JL382" s="15">
        <f t="shared" ref="JL382:JL387" si="1258">JG382*JK382</f>
        <v>-81.982917303190035</v>
      </c>
      <c r="JM382" s="15">
        <f t="shared" ref="JM382:JM387" si="1259">JG382+JL382</f>
        <v>1844.0170826968099</v>
      </c>
      <c r="JN382" s="21"/>
      <c r="JO382" s="19">
        <f>INDEX(Input!$1:$1048576,JO$93,$C382*2+6)</f>
        <v>5908.5</v>
      </c>
      <c r="JP382" s="19">
        <f>INDEX(Input!$1:$1048576,JP$93,$C382*2+6)</f>
        <v>3467.7694503767912</v>
      </c>
      <c r="JQ382" s="39">
        <f t="shared" ref="JQ382:JQ387" si="1260">JO382-JD382</f>
        <v>2705.9326451341103</v>
      </c>
      <c r="JR382" s="39">
        <f t="shared" ref="JR382:JR387" si="1261">JD382-JP382</f>
        <v>-265.20209551090147</v>
      </c>
      <c r="JS382" s="39">
        <f t="shared" ref="JS382:JS387" si="1262">JM382*JD382/1000000</f>
        <v>5.9055889108598372</v>
      </c>
      <c r="JT382" s="39">
        <f t="shared" ref="JT382:JT387" si="1263">(JD382*JM382-JP382*JG382)/1000000</f>
        <v>-0.77333505056586305</v>
      </c>
      <c r="JU382" s="385">
        <f>(JQ382*JM382-INDEX(Input!$1:$1048576,Input!A$18,$C382*2+6)*JL382*INDEX(Input!$1:$1048576,Input!A$19,$C382*2+6))/1000000</f>
        <v>4.9897860222542638</v>
      </c>
      <c r="JV382" s="39">
        <f t="shared" ref="JV382:JV387" si="1264">JU382-(JO382-JP382)*JG382/1000000</f>
        <v>0.28893898367996407</v>
      </c>
      <c r="JW382" s="1">
        <f t="shared" ref="JW382:JW387" si="1265">JV382/(JU382-JV382)</f>
        <v>6.1465302169796864E-2</v>
      </c>
      <c r="JX382" s="19">
        <f t="shared" ref="JX382:JX387" si="1266">IF(JL382=0,0,JT382/JL382)*1000000</f>
        <v>9432.880360989202</v>
      </c>
      <c r="JZ382" s="341"/>
      <c r="KA382" s="342"/>
      <c r="KB382" s="469">
        <f t="shared" ref="KB382:KB387" si="1267">KB381</f>
        <v>2.7822247002359868</v>
      </c>
      <c r="KI382" s="473">
        <f t="shared" ref="KI382:KK387" si="1268">$JM382*IE382-$JG382*HY382/SUM($HY382:$IA382)</f>
        <v>5.5355273450887239</v>
      </c>
      <c r="KJ382" s="473">
        <f t="shared" si="1268"/>
        <v>-13.176324284208249</v>
      </c>
      <c r="KK382" s="473">
        <f t="shared" si="1268"/>
        <v>-74.342120364070411</v>
      </c>
      <c r="KN382" s="888">
        <f t="shared" ref="KN382:KN387" si="1269">KM382+(KN381-KM381)</f>
        <v>3002</v>
      </c>
      <c r="KO382" s="893">
        <f t="shared" ref="KO382:KO387" si="1270">JM382/INDEX(JM:JM,MATCH(KN382,A:A,0))-1</f>
        <v>-0.10487827135144712</v>
      </c>
      <c r="KP382" s="894">
        <f t="shared" ref="KP382:KP387" si="1271">(IL382-INDEX(IL:IL,MATCH(KN382,A:A,0)))*IE382
+(IM382-IF(HN382=0,INDEX(IX:IX,MATCH(KN382,A:A,0)),INDEX(IM:IM,MATCH(KN382,A:A,0))))*IF382
+(IN382-INDEX(IN:IN,MATCH(KN382,A:A,0)))*IG382</f>
        <v>-500.00623894967651</v>
      </c>
      <c r="KQ382" s="894">
        <f t="shared" ref="KQ382:KQ387" si="1272">JD382-INDEX(JD:JD,MATCH(KN382,A:A,0))</f>
        <v>-518.51386345948322</v>
      </c>
      <c r="KR382" s="895">
        <f t="shared" ref="KR382:KR387" si="1273">KO382/(KP382/(BX382-INDEX(JD:JD,MATCH(KN382,A:A,0))))</f>
        <v>3.3505921687090439</v>
      </c>
      <c r="KS382" s="895">
        <f t="shared" ref="KS382:KS387" si="1274">KO382/(KQ382/(BX382-INDEX(JD:JD,MATCH(KN382,A:A,0))))</f>
        <v>3.2309974845279306</v>
      </c>
      <c r="KT382" s="896">
        <f t="shared" ref="KT382:KT387" si="1275">KT381</f>
        <v>527.01264777847621</v>
      </c>
      <c r="KU382" s="663">
        <f t="shared" ref="KU382:KU387" si="1276">IF(D382="",0,IFERROR((JM382/KT382-1)/(JD382/BX382)+B382*10^-6,0))</f>
        <v>15.368314147213422</v>
      </c>
    </row>
    <row r="383" spans="1:307" s="26" customFormat="1" ht="15" outlineLevel="1">
      <c r="A383" s="561">
        <f t="shared" si="1174"/>
        <v>3083</v>
      </c>
      <c r="B383" s="561">
        <f t="shared" si="1192"/>
        <v>83</v>
      </c>
      <c r="C383" s="561">
        <f t="shared" si="1193"/>
        <v>3</v>
      </c>
      <c r="D383" s="561" t="str">
        <f t="shared" si="1123"/>
        <v xml:space="preserve">-1000 Event (RBC), -500 Event (L), </v>
      </c>
      <c r="E383" s="475">
        <f>INDEX(Input!$1:$1048576,E$93,$C383*2+MIN($B383,2)+5)
+INDEX(Scenarios!E$121:E$200,MATCH($B383,Scenarios!$B$121:$B$200,0))</f>
        <v>1250</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0</v>
      </c>
      <c r="V383" s="478">
        <f>IFERROR(MAX(0,INDEX(Input!$1:$1048576,V$93,$C383*2+MIN($B383,2)+5)
+INDEX(Scenarios!V$121:V$200,MATCH($B383,Scenarios!$B$121:$B$200,0)),),"Market")</f>
        <v>1.9E-2</v>
      </c>
      <c r="W383" s="863">
        <f>IFERROR(MAX(0,INDEX(Input!$1:$1048576,W$93,$C383*2+MIN($B383,2)+5)-0%,),"Market")</f>
        <v>3.9000000000000007E-2</v>
      </c>
      <c r="X383" s="476" t="str">
        <f>INDEX(Input!$1:$1048576,X$93,$C383*2+MIN($B383,2)+5)</f>
        <v>Y</v>
      </c>
      <c r="Y383" s="475">
        <f>INDEX(Input!$1:$1048576,Y$93,$C383*2+MIN($B383,2)+5)
++INDEX(Scenarios!Y$121:Y$200,MATCH($B383,Scenarios!$B$121:$B$200,0))</f>
        <v>4108</v>
      </c>
      <c r="Z383" s="477">
        <f>INDEX(Input!$1:$1048576,Z$93,$C383*2+MIN($B383,2)+5)
+INDEX(Scenarios!Z$121:Z$200,MATCH($B383,Scenarios!$B$121:$B$200,0))</f>
        <v>0</v>
      </c>
      <c r="AA383" s="475">
        <f>INDEX(Input!$1:$1048576,AA$93,$C383*2+MIN($B383,2)+5)</f>
        <v>500</v>
      </c>
      <c r="AB383" s="476">
        <f>INDEX(Input!$1:$1048576,AB$93,$C383*2+MIN($B383,2)+5)</f>
        <v>0.62</v>
      </c>
      <c r="AC383" s="475">
        <f>INDEX(Input!$1:$1048576,AC$93,$C383*2+MIN($B383,2)+5)
+INDEX(Scenarios!AC$121:AC$200,MATCH($B383,Scenarios!$B$121:$B$200,0))</f>
        <v>-1000</v>
      </c>
      <c r="AD383" s="476">
        <f>INDEX(Input!$1:$1048576,AD$93,$C383*2+MIN($B383,2)+5)</f>
        <v>0.35</v>
      </c>
      <c r="AE383" s="475">
        <f>INDEX(Input!$1:$1048576,AE$93,$C383*2+MIN($B383,2)+5)
+INDEX(Scenarios!AE$121:AE$200,MATCH($B383,Scenarios!$B$121:$B$200,0))</f>
        <v>500</v>
      </c>
      <c r="AF383" s="476">
        <f>INDEX(Input!$1:$1048576,AF$93,$C383*2+MIN($B383,2)+5)</f>
        <v>0.97</v>
      </c>
      <c r="AG383" s="475">
        <f>INDEX(Input!$1:$1048576,AG$93,$C383*2+MIN($B383,2)+5)
+INDEX(Scenarios!AG$121:AG$200,MATCH($B383,Scenarios!$B$121:$B$200,0))</f>
        <v>0</v>
      </c>
      <c r="AH383" s="476">
        <f>INDEX(Input!$1:$1048576,AH$93,$C383*2+MIN($B383,2)+5)</f>
        <v>1</v>
      </c>
      <c r="AI383" s="475">
        <f>INDEX(Input!$1:$1048576,AI$93,$C383*2+MIN($B383,2)+5)
+INDEX(Scenarios!AI$121:AI$200,MATCH($B383,Scenarios!$B$121:$B$200,0))</f>
        <v>-500</v>
      </c>
      <c r="AJ383" s="476">
        <f>INDEX(Input!$1:$1048576,AJ$93,$C383*2+MIN($B383,2)+5)</f>
        <v>0.35</v>
      </c>
      <c r="AK383" s="150">
        <f>ROUND(INDEX(Input!$1:$1048576,AK$93,$C382*2+MIN($B383,1)+5)+(Y383-VLOOKUP($C383*1000+1,$A:$HH,Y$92,FALSE)),0)</f>
        <v>4982</v>
      </c>
      <c r="AL383" s="150">
        <f>ROUND(INDEX(Input!$1:$1048576,AL$93,$C382*2+MIN($B383,1)+5)-(Y383-VLOOKUP($C383*1000+1,$A:$HH,Y$92,FALSE))/36,0)</f>
        <v>5102</v>
      </c>
      <c r="AM383" s="32" t="str">
        <f t="shared" si="1175"/>
        <v>std/std/std/std</v>
      </c>
      <c r="AN383" s="32" t="str">
        <f t="shared" si="1176"/>
        <v>$0 + 0/0/0/1.9/3.9</v>
      </c>
      <c r="AO383" s="32" t="str">
        <f t="shared" si="1177"/>
        <v>0/0/0/1.9/3.9</v>
      </c>
      <c r="AP383" s="32" t="str">
        <f t="shared" si="1125"/>
        <v>0/0.9/1.9/3.9</v>
      </c>
      <c r="AQ383" s="536">
        <f t="shared" si="1124"/>
        <v>-364.74448474292217</v>
      </c>
      <c r="AR383" s="32"/>
      <c r="AS383" s="302"/>
      <c r="AT383" s="3">
        <f t="shared" si="1194"/>
        <v>83</v>
      </c>
      <c r="AU383" s="41" t="s">
        <v>121</v>
      </c>
      <c r="AV383" s="41" t="s">
        <v>116</v>
      </c>
      <c r="AW383" s="41" t="str">
        <f>INDEX(Input!$1:$1048576,AW$93,$C383*2+6)</f>
        <v>Kia</v>
      </c>
      <c r="AX383" s="41" t="str">
        <f>INDEX(Input!$1:$1048576,AX$93,$C383*2+6)</f>
        <v>Kia-LR - L3</v>
      </c>
      <c r="AY383" s="41" t="str">
        <f>IF(LEN(D383)=0,"",INDEX(Input!$1:$1048576,AY$93,$C383*2+6))</f>
        <v>Compact Conventional/Sporty Car (43)</v>
      </c>
      <c r="AZ383" s="41" t="str">
        <f>INDEX(Input!$1:$1048576,AZ$93,$C383*2+6)</f>
        <v>Kia Forte</v>
      </c>
      <c r="BA383" s="3">
        <f>INDEX(Input!$1:$1048576,BA$93,$C383*2+6)</f>
        <v>2020</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19695</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1126"/>
        <v>900</v>
      </c>
      <c r="CJ383" s="16" t="str">
        <f>INDEX(Input!$1:$1048576,CJ$93,$C383*2+6)</f>
        <v>N</v>
      </c>
      <c r="CK383" s="1" t="str">
        <f t="shared" si="1127"/>
        <v>Market</v>
      </c>
      <c r="CL383" s="1" t="str">
        <f t="shared" si="1128"/>
        <v>Market</v>
      </c>
      <c r="CM383" s="1" t="str">
        <f t="shared" si="1129"/>
        <v>Market</v>
      </c>
      <c r="CN383" s="1" t="str">
        <f t="shared" si="1130"/>
        <v>Market</v>
      </c>
      <c r="CO383" s="1" t="str">
        <f t="shared" si="1131"/>
        <v>Market</v>
      </c>
      <c r="CP383" s="304">
        <f t="shared" si="1132"/>
        <v>-40</v>
      </c>
      <c r="CQ383" s="1">
        <f t="shared" si="1133"/>
        <v>0</v>
      </c>
      <c r="CR383" s="1">
        <f t="shared" si="1134"/>
        <v>0</v>
      </c>
      <c r="CS383" s="1">
        <f t="shared" si="1135"/>
        <v>0</v>
      </c>
      <c r="CT383" s="1">
        <f t="shared" si="1136"/>
        <v>1.9E-2</v>
      </c>
      <c r="CU383" s="1">
        <f t="shared" si="1137"/>
        <v>3.9000000000000007E-2</v>
      </c>
      <c r="CV383" s="304">
        <f t="shared" si="1138"/>
        <v>4418</v>
      </c>
      <c r="CW383" s="20" t="s">
        <v>122</v>
      </c>
      <c r="CX383" s="20" t="s">
        <v>122</v>
      </c>
      <c r="CY383" s="20" t="s">
        <v>122</v>
      </c>
      <c r="CZ383" s="20" t="s">
        <v>122</v>
      </c>
      <c r="DA383" s="20" t="s">
        <v>122</v>
      </c>
      <c r="DB383" s="503">
        <f t="shared" si="1139"/>
        <v>0</v>
      </c>
      <c r="DC383" s="127">
        <v>0</v>
      </c>
      <c r="DD383" s="127">
        <v>0</v>
      </c>
      <c r="DE383" s="127">
        <v>0</v>
      </c>
      <c r="DF383" s="127">
        <v>0</v>
      </c>
      <c r="DG383" s="127">
        <v>0</v>
      </c>
      <c r="DH383" s="127">
        <v>0</v>
      </c>
      <c r="DI383" s="127">
        <v>0</v>
      </c>
      <c r="DJ383" s="127">
        <v>0</v>
      </c>
      <c r="DK383" s="127">
        <v>0</v>
      </c>
      <c r="DL383" s="127">
        <v>0</v>
      </c>
      <c r="DM383" s="304">
        <f>INDEX(Input!$1:$1048576,DM$93,$C383*2+6)</f>
        <v>20731.578947368424</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3.312463593329415E-2</v>
      </c>
      <c r="DZ383" s="7">
        <v>0</v>
      </c>
      <c r="EA383" s="7">
        <v>0.58954813693469654</v>
      </c>
      <c r="EB383" s="7">
        <v>0</v>
      </c>
      <c r="EC383" s="7">
        <v>0</v>
      </c>
      <c r="ED383" s="7">
        <v>0</v>
      </c>
      <c r="EE383" s="7">
        <v>0</v>
      </c>
      <c r="EF383" s="7">
        <v>0</v>
      </c>
      <c r="EG383" s="7">
        <v>0</v>
      </c>
      <c r="EH383" s="7">
        <v>1.4117599805651663E-2</v>
      </c>
      <c r="EI383" s="7">
        <v>1.7904445791567473E-2</v>
      </c>
      <c r="EJ383" s="7">
        <v>0.25713063793655422</v>
      </c>
      <c r="EK383" s="7">
        <v>0.65986367604287433</v>
      </c>
      <c r="EL383" s="7">
        <v>5.0983640423352405E-2</v>
      </c>
      <c r="EM383" s="7">
        <v>4.695232963944599E-2</v>
      </c>
      <c r="EN383" s="7">
        <v>5.8284434579489078E-2</v>
      </c>
      <c r="EO383" s="7">
        <v>0.56868150173665033</v>
      </c>
      <c r="EP383" s="7">
        <v>0.27319187084202756</v>
      </c>
      <c r="EQ383" s="7">
        <v>5.926724201884901E-2</v>
      </c>
      <c r="ER383" s="7">
        <v>4.057495082298402E-2</v>
      </c>
      <c r="ES383" s="7">
        <v>0.33037489749256338</v>
      </c>
      <c r="ET383" s="7">
        <v>0.37732722713200934</v>
      </c>
      <c r="EU383" s="6">
        <v>1250</v>
      </c>
      <c r="EV383" s="6">
        <v>0</v>
      </c>
      <c r="EW383" s="6">
        <v>1250</v>
      </c>
      <c r="EX383" s="6">
        <v>0</v>
      </c>
      <c r="EY383" s="6">
        <v>2274.5119432757338</v>
      </c>
      <c r="EZ383" s="6">
        <v>3461</v>
      </c>
      <c r="FA383" s="6">
        <v>0</v>
      </c>
      <c r="FB383" s="6">
        <v>0</v>
      </c>
      <c r="FC383" s="6">
        <v>0</v>
      </c>
      <c r="FD383" s="6">
        <v>0</v>
      </c>
      <c r="FE383" s="6">
        <v>0</v>
      </c>
      <c r="FF383" s="6">
        <v>0</v>
      </c>
      <c r="FG383" s="6">
        <v>0</v>
      </c>
      <c r="FH383" s="6">
        <v>1154.3286812748211</v>
      </c>
      <c r="FI383" s="6">
        <v>1531.4299904380623</v>
      </c>
      <c r="FJ383" s="6">
        <v>2070.7205842538224</v>
      </c>
      <c r="FK383" s="6">
        <v>1746.9903521590438</v>
      </c>
      <c r="FL383" s="6">
        <v>893.91433563489386</v>
      </c>
      <c r="FM383" s="6">
        <v>1774.511943275734</v>
      </c>
      <c r="FN383" s="6">
        <v>0</v>
      </c>
      <c r="FO383" s="6">
        <v>0</v>
      </c>
      <c r="FP383" s="6">
        <v>0</v>
      </c>
      <c r="FQ383" s="6">
        <v>0</v>
      </c>
      <c r="FR383" s="6">
        <v>0</v>
      </c>
      <c r="FS383" s="6">
        <v>0</v>
      </c>
      <c r="FT383" s="7">
        <v>0.62267277286799072</v>
      </c>
      <c r="FU383" s="7">
        <v>4.695232963944599E-2</v>
      </c>
      <c r="FV383" s="7">
        <v>0.33037489749256338</v>
      </c>
      <c r="FW383" s="6">
        <v>1249.9999999999998</v>
      </c>
      <c r="FX383" s="6">
        <v>2274.5119432757338</v>
      </c>
      <c r="FY383" s="6">
        <v>3461</v>
      </c>
      <c r="FZ383" s="6">
        <v>2202.331475193394</v>
      </c>
      <c r="GA383" s="6">
        <v>2028.5621208362893</v>
      </c>
      <c r="GB383" s="6">
        <v>17666.43787916371</v>
      </c>
      <c r="GC383" s="7">
        <v>4.8391397220736806E-2</v>
      </c>
      <c r="GD383" s="7">
        <v>4.6923209902339252E-2</v>
      </c>
      <c r="GE383" s="7"/>
      <c r="GF383" s="7"/>
      <c r="GG383" s="7">
        <v>-3.0339841432981039E-2</v>
      </c>
      <c r="GH383" s="42">
        <v>3.4387143764980594</v>
      </c>
      <c r="GI383" s="6">
        <v>7755.9933185553436</v>
      </c>
      <c r="GJ383" s="14">
        <v>0.51074630601039561</v>
      </c>
      <c r="GK383" s="14">
        <v>0.5082951978616097</v>
      </c>
      <c r="GL383" s="14">
        <v>0.48925369398960428</v>
      </c>
      <c r="GM383" s="14">
        <v>0.49170480213839035</v>
      </c>
      <c r="GO383" s="5">
        <v>338.16872463277008</v>
      </c>
      <c r="GP383" s="5">
        <v>314.32110928815564</v>
      </c>
      <c r="GQ383" s="5">
        <v>527.27910984145694</v>
      </c>
      <c r="GR383" s="5">
        <v>404.20319246551543</v>
      </c>
      <c r="GS383" s="5">
        <v>334.50205195691484</v>
      </c>
      <c r="GT383" s="5">
        <v>289.18266033348181</v>
      </c>
      <c r="GU383" s="5">
        <v>254.29573314828914</v>
      </c>
      <c r="GV383" s="39" t="s">
        <v>392</v>
      </c>
      <c r="GW383" s="5">
        <v>478.48611111111109</v>
      </c>
      <c r="GX383" s="5">
        <v>358.86458333333331</v>
      </c>
      <c r="GY383" s="5">
        <v>287.09166666666664</v>
      </c>
      <c r="GZ383" s="5">
        <v>253.32809988695078</v>
      </c>
      <c r="HA383" s="5">
        <v>234.65993859171959</v>
      </c>
      <c r="HB383" s="39">
        <v>266.12623947158892</v>
      </c>
      <c r="HC383" s="5">
        <v>131.69687499999998</v>
      </c>
      <c r="HD383" s="5">
        <v>132.97629751461983</v>
      </c>
      <c r="HE383" s="5">
        <v>141.5122764844804</v>
      </c>
      <c r="HF383" s="5">
        <v>137.66754934210525</v>
      </c>
      <c r="HG383" s="5">
        <v>141.23910087719298</v>
      </c>
      <c r="HH383" s="39">
        <v>135.8469875585387</v>
      </c>
      <c r="HI383" s="16"/>
      <c r="HJ383" s="19" t="str">
        <f t="shared" si="1235"/>
        <v>On</v>
      </c>
      <c r="HK383" s="1" t="str">
        <f t="shared" si="1235"/>
        <v>On</v>
      </c>
      <c r="HL383" s="16"/>
      <c r="HM383" s="889">
        <f t="shared" si="1236"/>
        <v>2.8970655363290673E-2</v>
      </c>
      <c r="HN383" s="889">
        <f t="shared" si="1236"/>
        <v>2.1835179285533651E-3</v>
      </c>
      <c r="HO383" s="889">
        <f t="shared" si="1236"/>
        <v>1.5544129749146325E-2</v>
      </c>
      <c r="HP383" s="890">
        <f>(FT383*$GD383-HM383)/$JF383*INDEX(Input!$1:$1048576,$JG$93,$C383*2+6)</f>
        <v>10.193317452821576</v>
      </c>
      <c r="HQ383" s="890">
        <f>(FU383*$GD383-HN383)/$JF383*INDEX(Input!$1:$1048576,$JG$93,$C383*2+6)</f>
        <v>0.80986048492018448</v>
      </c>
      <c r="HR383" s="890">
        <f>(FV383*$GD383-HO383)/$JF383*INDEX(Input!$1:$1048576,$JG$93,$C383*2+6)</f>
        <v>-1.727238840388637</v>
      </c>
      <c r="HS383" s="890">
        <f t="shared" si="1237"/>
        <v>-3.5099792261749485</v>
      </c>
      <c r="HT383" s="890">
        <f t="shared" si="1238"/>
        <v>6.6478171680660934</v>
      </c>
      <c r="HU383" s="890">
        <f t="shared" si="1239"/>
        <v>1.5225848652448002</v>
      </c>
      <c r="HV383" s="891">
        <f t="shared" si="1240"/>
        <v>0</v>
      </c>
      <c r="HW383" s="891">
        <f t="shared" si="1241"/>
        <v>0</v>
      </c>
      <c r="HX383" s="891">
        <f t="shared" si="1242"/>
        <v>0</v>
      </c>
      <c r="HY383" s="890">
        <f>INDEX(Input!$1:$1048576,HY$93,$C383*2+6)*INDEX(Input!$1:$1048576,$JG$93,$C383*2+6)</f>
        <v>488.99999999999994</v>
      </c>
      <c r="HZ383" s="890">
        <f>INDEX(Input!$1:$1048576,HZ$93,$C383*2+6)*INDEX(Input!$1:$1048576,$JG$93,$C383*2+6)</f>
        <v>734</v>
      </c>
      <c r="IA383" s="890">
        <f>INDEX(Input!$1:$1048576,IA$93,$C383*2+6)*INDEX(Input!$1:$1048576,$JG$93,$C383*2+6)</f>
        <v>703</v>
      </c>
      <c r="IB383" s="890">
        <f t="shared" si="1243"/>
        <v>495.68333822664658</v>
      </c>
      <c r="IC383" s="890">
        <f t="shared" si="1244"/>
        <v>741.45767765298626</v>
      </c>
      <c r="ID383" s="890">
        <f>IF(AND(INDEX(Input!$1:$1048576,IA$93,$C383*2+7)="TOS",Y383&lt;=INDEX(Y:Y,MATCH(C383*1000+2,A:A))),0,1)*MAX(IA383+HR383+HU383+HX383,0%)</f>
        <v>702.79534602485614</v>
      </c>
      <c r="IE383" s="892">
        <f t="shared" si="1245"/>
        <v>0.25551525707782524</v>
      </c>
      <c r="IF383" s="892">
        <f t="shared" si="1245"/>
        <v>0.38220721680018244</v>
      </c>
      <c r="IG383" s="892">
        <f t="shared" si="1245"/>
        <v>0.36227752612199227</v>
      </c>
      <c r="IH383" s="21"/>
      <c r="II383" s="19">
        <f t="shared" si="1246"/>
        <v>1200</v>
      </c>
      <c r="IJ383" s="19">
        <f t="shared" si="1247"/>
        <v>2224.493581030405</v>
      </c>
      <c r="IK383" s="19">
        <f t="shared" si="1247"/>
        <v>3451.75</v>
      </c>
      <c r="IL383" s="19">
        <f t="shared" si="1248"/>
        <v>49.999999999999773</v>
      </c>
      <c r="IM383" s="19">
        <f t="shared" si="1249"/>
        <v>50.018362245328717</v>
      </c>
      <c r="IN383" s="19">
        <f t="shared" si="1249"/>
        <v>9.25</v>
      </c>
      <c r="IO383" s="39">
        <f t="shared" si="1250"/>
        <v>0</v>
      </c>
      <c r="IP383" s="39">
        <f t="shared" si="1250"/>
        <v>0</v>
      </c>
      <c r="IQ383" s="39">
        <f t="shared" si="1250"/>
        <v>0</v>
      </c>
      <c r="IR383" s="39">
        <v>0</v>
      </c>
      <c r="IS383" s="39">
        <v>0</v>
      </c>
      <c r="IT383" s="39">
        <v>0</v>
      </c>
      <c r="IU383" s="39">
        <v>0</v>
      </c>
      <c r="IV383" s="39">
        <v>0</v>
      </c>
      <c r="IW383" s="39">
        <v>0</v>
      </c>
      <c r="IX383" s="39">
        <f>INDEX(Input!$1:$1048576,IX$93,$C383*2+6)+INDEX(Input!$1:$1048576,IX$94,$C383*2+6)</f>
        <v>1600</v>
      </c>
      <c r="IY383" s="39">
        <f>INDEX(Input!$1:$1048576,IY$93,$C383*2+6)+INDEX(Input!$1:$1048576,IY$94,$C383*2+6)</f>
        <v>2503.5492916397525</v>
      </c>
      <c r="IZ383" s="39">
        <f>INDEX(Input!$1:$1048576,IZ$93,$C383*2+6)+INDEX(Input!$1:$1048576,IZ$94,$C383*2+6)</f>
        <v>5773.7109265464023</v>
      </c>
      <c r="JA383" s="19">
        <f t="shared" si="1251"/>
        <v>1649.9999999999998</v>
      </c>
      <c r="JB383" s="19">
        <f t="shared" si="1251"/>
        <v>2553.5676538850812</v>
      </c>
      <c r="JC383" s="19">
        <f t="shared" si="1251"/>
        <v>5782.9609265464023</v>
      </c>
      <c r="JD383" s="19">
        <f t="shared" si="1252"/>
        <v>3492.628938210175</v>
      </c>
      <c r="JE383" s="21"/>
      <c r="JF383" s="1">
        <f t="shared" si="1253"/>
        <v>4.6698303040990354E-2</v>
      </c>
      <c r="JG383" s="15">
        <f>INDEX(Input!$1:$1048576,JG$93,$C383*2+6)/(1+VLOOKUP(C383*1000+INDEX(Input!$1:$1048576,JG$93+1,$C383*2+6),$A:$KK,$JK$92,FALSE))</f>
        <v>1926</v>
      </c>
      <c r="JH383" s="1">
        <f t="shared" si="1254"/>
        <v>4.8161677556350594E-3</v>
      </c>
      <c r="JI383" s="1">
        <f t="shared" si="1255"/>
        <v>2.4197418520955066E-3</v>
      </c>
      <c r="JJ383" s="1">
        <f t="shared" si="1256"/>
        <v>0</v>
      </c>
      <c r="JK383" s="1">
        <f t="shared" si="1257"/>
        <v>7.235909607730566E-3</v>
      </c>
      <c r="JL383" s="15">
        <f t="shared" si="1258"/>
        <v>13.93636190448907</v>
      </c>
      <c r="JM383" s="15">
        <f t="shared" si="1259"/>
        <v>1939.9363619044891</v>
      </c>
      <c r="JN383" s="21"/>
      <c r="JO383" s="19">
        <f>INDEX(Input!$1:$1048576,JO$93,$C383*2+6)</f>
        <v>5908.5</v>
      </c>
      <c r="JP383" s="19">
        <f>INDEX(Input!$1:$1048576,JP$93,$C383*2+6)</f>
        <v>3467.7694503767912</v>
      </c>
      <c r="JQ383" s="39">
        <f t="shared" si="1260"/>
        <v>2415.871061789825</v>
      </c>
      <c r="JR383" s="39">
        <f t="shared" si="1261"/>
        <v>24.85948783338381</v>
      </c>
      <c r="JS383" s="39">
        <f t="shared" si="1262"/>
        <v>6.7754778758737855</v>
      </c>
      <c r="JT383" s="39">
        <f t="shared" si="1263"/>
        <v>9.655391444808524E-2</v>
      </c>
      <c r="JU383" s="385">
        <f>(JQ383*JM383-INDEX(Input!$1:$1048576,Input!A$18,$C383*2+6)*JL383*INDEX(Input!$1:$1048576,Input!A$19,$C383*2+6))/1000000</f>
        <v>4.6866361184388881</v>
      </c>
      <c r="JV383" s="39">
        <f t="shared" si="1264"/>
        <v>-1.4210920135411698E-2</v>
      </c>
      <c r="JW383" s="1">
        <f t="shared" si="1265"/>
        <v>-3.023055210858694E-3</v>
      </c>
      <c r="JX383" s="19">
        <f t="shared" si="1266"/>
        <v>6928.2008539821327</v>
      </c>
      <c r="JZ383" s="341"/>
      <c r="KA383" s="342"/>
      <c r="KB383" s="469">
        <f t="shared" si="1267"/>
        <v>2.7822247002359868</v>
      </c>
      <c r="KI383" s="473">
        <f t="shared" si="1268"/>
        <v>6.6833382266466401</v>
      </c>
      <c r="KJ383" s="473">
        <f t="shared" si="1268"/>
        <v>7.4576776529862627</v>
      </c>
      <c r="KK383" s="473">
        <f t="shared" si="1268"/>
        <v>-0.20465397514385586</v>
      </c>
      <c r="KN383" s="888">
        <f t="shared" si="1269"/>
        <v>3002</v>
      </c>
      <c r="KO383" s="893">
        <f t="shared" si="1270"/>
        <v>-5.8317189124630353E-2</v>
      </c>
      <c r="KP383" s="894">
        <f t="shared" si="1271"/>
        <v>-286.63245721379002</v>
      </c>
      <c r="KQ383" s="894">
        <f t="shared" si="1272"/>
        <v>-228.45228011519794</v>
      </c>
      <c r="KR383" s="895">
        <f t="shared" si="1273"/>
        <v>3.249994964658129</v>
      </c>
      <c r="KS383" s="895">
        <f t="shared" si="1274"/>
        <v>4.07767452433683</v>
      </c>
      <c r="KT383" s="896">
        <f t="shared" si="1275"/>
        <v>527.01264777847621</v>
      </c>
      <c r="KU383" s="663">
        <f t="shared" si="1276"/>
        <v>15.118322233541441</v>
      </c>
    </row>
    <row r="384" spans="1:307" s="26" customFormat="1" ht="15" outlineLevel="1">
      <c r="A384" s="561">
        <f t="shared" si="1174"/>
        <v>3084</v>
      </c>
      <c r="B384" s="561">
        <f t="shared" si="1192"/>
        <v>84</v>
      </c>
      <c r="C384" s="561">
        <f t="shared" si="1193"/>
        <v>3</v>
      </c>
      <c r="D384" s="561" t="str">
        <f t="shared" si="1123"/>
        <v xml:space="preserve">-250 CC, 0.9/1.9/2.9/3.9, </v>
      </c>
      <c r="E384" s="475">
        <f>INDEX(Input!$1:$1048576,E$93,$C384*2+MIN($B384,2)+5)
+INDEX(Scenarios!E$121:E$200,MATCH($B384,Scenarios!$B$121:$B$200,0))</f>
        <v>1000</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0</v>
      </c>
      <c r="R384" s="478">
        <f>IFERROR(MAX(0,INDEX(Input!$1:$1048576,R$93,$C384*2+MIN($B384,2)+5)
+INDEX(Scenarios!R$121:R$200,MATCH($B384,Scenarios!$B$121:$B$200,0)),),"Market")</f>
        <v>0</v>
      </c>
      <c r="S384" s="478">
        <f>IFERROR(MAX(0,INDEX(Input!$1:$1048576,S$93,$C384*2+MIN($B384,2)+5)
+INDEX(Scenarios!S$121:S$200,MATCH($B384,Scenarios!$B$121:$B$200,0)),),"Market")</f>
        <v>0</v>
      </c>
      <c r="T384" s="478">
        <f>IFERROR(MAX(0,INDEX(Input!$1:$1048576,T$93,$C384*2+MIN($B384,2)+5)
+INDEX(Scenarios!T$121:T$200,MATCH($B384,Scenarios!$B$121:$B$200,0)),),"Market")</f>
        <v>0</v>
      </c>
      <c r="U384" s="478">
        <f>IFERROR(MAX(0,INDEX(Input!$1:$1048576,U$93,$C384*2+MIN($B384,2)+5)
+INDEX(Scenarios!U$121:U$200,MATCH($B384,Scenarios!$B$121:$B$200,0)),),"Market")</f>
        <v>9.0000000000000011E-3</v>
      </c>
      <c r="V384" s="478">
        <f>IFERROR(MAX(0,INDEX(Input!$1:$1048576,V$93,$C384*2+MIN($B384,2)+5)
+INDEX(Scenarios!V$121:V$200,MATCH($B384,Scenarios!$B$121:$B$200,0)),),"Market")</f>
        <v>2.8999999999999998E-2</v>
      </c>
      <c r="W384" s="863">
        <f>IFERROR(MAX(0,INDEX(Input!$1:$1048576,W$93,$C384*2+MIN($B384,2)+5)-0%,),"Market")</f>
        <v>3.9000000000000007E-2</v>
      </c>
      <c r="X384" s="476" t="str">
        <f>INDEX(Input!$1:$1048576,X$93,$C384*2+MIN($B384,2)+5)</f>
        <v>Y</v>
      </c>
      <c r="Y384" s="475">
        <f>INDEX(Input!$1:$1048576,Y$93,$C384*2+MIN($B384,2)+5)
++INDEX(Scenarios!Y$121:Y$200,MATCH($B384,Scenarios!$B$121:$B$200,0))</f>
        <v>4108</v>
      </c>
      <c r="Z384" s="477">
        <f>INDEX(Input!$1:$1048576,Z$93,$C384*2+MIN($B384,2)+5)
+INDEX(Scenarios!Z$121:Z$200,MATCH($B384,Scenarios!$B$121:$B$200,0))</f>
        <v>0</v>
      </c>
      <c r="AA384" s="475">
        <f>INDEX(Input!$1:$1048576,AA$93,$C384*2+MIN($B384,2)+5)</f>
        <v>500</v>
      </c>
      <c r="AB384" s="476">
        <f>INDEX(Input!$1:$1048576,AB$93,$C384*2+MIN($B384,2)+5)</f>
        <v>0.62</v>
      </c>
      <c r="AC384" s="475">
        <f>INDEX(Input!$1:$1048576,AC$93,$C384*2+MIN($B384,2)+5)
+INDEX(Scenarios!AC$121:AC$200,MATCH($B384,Scenarios!$B$121:$B$200,0))</f>
        <v>0</v>
      </c>
      <c r="AD384" s="476">
        <f>INDEX(Input!$1:$1048576,AD$93,$C384*2+MIN($B384,2)+5)</f>
        <v>0.35</v>
      </c>
      <c r="AE384" s="475">
        <f>INDEX(Input!$1:$1048576,AE$93,$C384*2+MIN($B384,2)+5)
+INDEX(Scenarios!AE$121:AE$200,MATCH($B384,Scenarios!$B$121:$B$200,0))</f>
        <v>500</v>
      </c>
      <c r="AF384" s="476">
        <f>INDEX(Input!$1:$1048576,AF$93,$C384*2+MIN($B384,2)+5)</f>
        <v>0.97</v>
      </c>
      <c r="AG384" s="475">
        <f>INDEX(Input!$1:$1048576,AG$93,$C384*2+MIN($B384,2)+5)
+INDEX(Scenarios!AG$121:AG$200,MATCH($B384,Scenarios!$B$121:$B$200,0))</f>
        <v>0</v>
      </c>
      <c r="AH384" s="476">
        <f>INDEX(Input!$1:$1048576,AH$93,$C384*2+MIN($B384,2)+5)</f>
        <v>1</v>
      </c>
      <c r="AI384" s="475">
        <f>INDEX(Input!$1:$1048576,AI$93,$C384*2+MIN($B384,2)+5)
+INDEX(Scenarios!AI$121:AI$200,MATCH($B384,Scenarios!$B$121:$B$200,0))</f>
        <v>0</v>
      </c>
      <c r="AJ384" s="476">
        <f>INDEX(Input!$1:$1048576,AJ$93,$C384*2+MIN($B384,2)+5)</f>
        <v>0.35</v>
      </c>
      <c r="AK384" s="150">
        <f>ROUND(INDEX(Input!$1:$1048576,AK$93,$C383*2+MIN($B384,1)+5)+(Y384-VLOOKUP($C384*1000+1,$A:$HH,Y$92,FALSE)),0)</f>
        <v>4982</v>
      </c>
      <c r="AL384" s="150">
        <f>ROUND(INDEX(Input!$1:$1048576,AL$93,$C383*2+MIN($B384,1)+5)-(Y384-VLOOKUP($C384*1000+1,$A:$HH,Y$92,FALSE))/36,0)</f>
        <v>5102</v>
      </c>
      <c r="AM384" s="32" t="str">
        <f t="shared" si="1175"/>
        <v>std/std/std/std</v>
      </c>
      <c r="AN384" s="32" t="str">
        <f t="shared" si="1176"/>
        <v>$0 + 0/0/0.9/2.9/3.9</v>
      </c>
      <c r="AO384" s="32" t="str">
        <f t="shared" si="1177"/>
        <v>0/0/0.9/2.9/3.9</v>
      </c>
      <c r="AP384" s="32" t="str">
        <f t="shared" si="1125"/>
        <v>0.9/1.9/2.9/3.9</v>
      </c>
      <c r="AQ384" s="536">
        <f t="shared" si="1124"/>
        <v>485.25767511120529</v>
      </c>
      <c r="AR384" s="32"/>
      <c r="AS384" s="302"/>
      <c r="AT384" s="3">
        <f t="shared" si="1194"/>
        <v>84</v>
      </c>
      <c r="AU384" s="41" t="s">
        <v>121</v>
      </c>
      <c r="AV384" s="41" t="s">
        <v>116</v>
      </c>
      <c r="AW384" s="41" t="str">
        <f>INDEX(Input!$1:$1048576,AW$93,$C384*2+6)</f>
        <v>Kia</v>
      </c>
      <c r="AX384" s="41" t="str">
        <f>INDEX(Input!$1:$1048576,AX$93,$C384*2+6)</f>
        <v>Kia-LR - L3</v>
      </c>
      <c r="AY384" s="41" t="str">
        <f>IF(LEN(D384)=0,"",INDEX(Input!$1:$1048576,AY$93,$C384*2+6))</f>
        <v>Compact Conventional/Sporty Car (43)</v>
      </c>
      <c r="AZ384" s="41" t="str">
        <f>INDEX(Input!$1:$1048576,AZ$93,$C384*2+6)</f>
        <v>Kia Forte</v>
      </c>
      <c r="BA384" s="3">
        <f>INDEX(Input!$1:$1048576,BA$93,$C384*2+6)</f>
        <v>2020</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19695</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1126"/>
        <v>1000</v>
      </c>
      <c r="CJ384" s="16" t="str">
        <f>INDEX(Input!$1:$1048576,CJ$93,$C384*2+6)</f>
        <v>N</v>
      </c>
      <c r="CK384" s="1" t="str">
        <f t="shared" si="1127"/>
        <v>Market</v>
      </c>
      <c r="CL384" s="1" t="str">
        <f t="shared" si="1128"/>
        <v>Market</v>
      </c>
      <c r="CM384" s="1" t="str">
        <f t="shared" si="1129"/>
        <v>Market</v>
      </c>
      <c r="CN384" s="1" t="str">
        <f t="shared" si="1130"/>
        <v>Market</v>
      </c>
      <c r="CO384" s="1" t="str">
        <f t="shared" si="1131"/>
        <v>Market</v>
      </c>
      <c r="CP384" s="304">
        <f t="shared" si="1132"/>
        <v>310</v>
      </c>
      <c r="CQ384" s="1">
        <f t="shared" si="1133"/>
        <v>0</v>
      </c>
      <c r="CR384" s="1">
        <f t="shared" si="1134"/>
        <v>0</v>
      </c>
      <c r="CS384" s="1">
        <f t="shared" si="1135"/>
        <v>9.0000000000000011E-3</v>
      </c>
      <c r="CT384" s="1">
        <f t="shared" si="1136"/>
        <v>2.8999999999999998E-2</v>
      </c>
      <c r="CU384" s="1">
        <f t="shared" si="1137"/>
        <v>3.9000000000000007E-2</v>
      </c>
      <c r="CV384" s="304">
        <f t="shared" si="1138"/>
        <v>4593</v>
      </c>
      <c r="CW384" s="20" t="s">
        <v>122</v>
      </c>
      <c r="CX384" s="20" t="s">
        <v>122</v>
      </c>
      <c r="CY384" s="20" t="s">
        <v>122</v>
      </c>
      <c r="CZ384" s="20" t="s">
        <v>122</v>
      </c>
      <c r="DA384" s="20" t="s">
        <v>122</v>
      </c>
      <c r="DB384" s="503">
        <f t="shared" si="1139"/>
        <v>0</v>
      </c>
      <c r="DC384" s="127">
        <v>0</v>
      </c>
      <c r="DD384" s="127">
        <v>0</v>
      </c>
      <c r="DE384" s="127">
        <v>0</v>
      </c>
      <c r="DF384" s="127">
        <v>0</v>
      </c>
      <c r="DG384" s="127">
        <v>0</v>
      </c>
      <c r="DH384" s="127">
        <v>0</v>
      </c>
      <c r="DI384" s="127">
        <v>0</v>
      </c>
      <c r="DJ384" s="127">
        <v>0</v>
      </c>
      <c r="DK384" s="127">
        <v>0</v>
      </c>
      <c r="DL384" s="127">
        <v>0</v>
      </c>
      <c r="DM384" s="304">
        <f>INDEX(Input!$1:$1048576,DM$93,$C384*2+6)</f>
        <v>20731.578947368424</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v>3.3307348510279021E-2</v>
      </c>
      <c r="DZ384" s="7">
        <v>0</v>
      </c>
      <c r="EA384" s="7">
        <v>0.59105694791136498</v>
      </c>
      <c r="EB384" s="7">
        <v>0</v>
      </c>
      <c r="EC384" s="7">
        <v>0</v>
      </c>
      <c r="ED384" s="7">
        <v>0</v>
      </c>
      <c r="EE384" s="7">
        <v>0</v>
      </c>
      <c r="EF384" s="7">
        <v>0</v>
      </c>
      <c r="EG384" s="7">
        <v>0</v>
      </c>
      <c r="EH384" s="7">
        <v>2.0800493462418128E-2</v>
      </c>
      <c r="EI384" s="7">
        <v>2.637922163342242E-2</v>
      </c>
      <c r="EJ384" s="7">
        <v>0.27710229254314112</v>
      </c>
      <c r="EK384" s="7">
        <v>0.60060619097423884</v>
      </c>
      <c r="EL384" s="7">
        <v>7.5111801386779642E-2</v>
      </c>
      <c r="EM384" s="7">
        <v>3.4438255080966033E-2</v>
      </c>
      <c r="EN384" s="7">
        <v>5.8903840649550732E-2</v>
      </c>
      <c r="EO384" s="7">
        <v>0.56806449089612499</v>
      </c>
      <c r="EP384" s="7">
        <v>0.2741070959193187</v>
      </c>
      <c r="EQ384" s="7">
        <v>5.8713575146425334E-2</v>
      </c>
      <c r="ER384" s="7">
        <v>4.021099738858025E-2</v>
      </c>
      <c r="ES384" s="7">
        <v>0.34119744849739009</v>
      </c>
      <c r="ET384" s="7">
        <v>0.37563570357835602</v>
      </c>
      <c r="EU384" s="6">
        <v>1350</v>
      </c>
      <c r="EV384" s="6">
        <v>0</v>
      </c>
      <c r="EW384" s="6">
        <v>1350</v>
      </c>
      <c r="EX384" s="6">
        <v>0</v>
      </c>
      <c r="EY384" s="6">
        <v>2215.9520204514383</v>
      </c>
      <c r="EZ384" s="6">
        <v>3636</v>
      </c>
      <c r="FA384" s="6">
        <v>0</v>
      </c>
      <c r="FB384" s="6">
        <v>0</v>
      </c>
      <c r="FC384" s="6">
        <v>0</v>
      </c>
      <c r="FD384" s="6">
        <v>0</v>
      </c>
      <c r="FE384" s="6">
        <v>0</v>
      </c>
      <c r="FF384" s="6">
        <v>0</v>
      </c>
      <c r="FG384" s="6">
        <v>0</v>
      </c>
      <c r="FH384" s="6">
        <v>1154.3286024768383</v>
      </c>
      <c r="FI384" s="6">
        <v>1531.4299904380621</v>
      </c>
      <c r="FJ384" s="6">
        <v>1709.9775738488459</v>
      </c>
      <c r="FK384" s="6">
        <v>1266.3227157028189</v>
      </c>
      <c r="FL384" s="6">
        <v>893.91433563489397</v>
      </c>
      <c r="FM384" s="6">
        <v>1365.9520204514381</v>
      </c>
      <c r="FN384" s="6">
        <v>0</v>
      </c>
      <c r="FO384" s="6">
        <v>0</v>
      </c>
      <c r="FP384" s="6">
        <v>0</v>
      </c>
      <c r="FQ384" s="6">
        <v>0</v>
      </c>
      <c r="FR384" s="6">
        <v>0</v>
      </c>
      <c r="FS384" s="6">
        <v>0</v>
      </c>
      <c r="FT384" s="7">
        <v>0.62436429642164404</v>
      </c>
      <c r="FU384" s="7">
        <v>3.4438255080966033E-2</v>
      </c>
      <c r="FV384" s="7">
        <v>0.34119744849739009</v>
      </c>
      <c r="FW384" s="6">
        <v>1350</v>
      </c>
      <c r="FX384" s="6">
        <v>2215.9520204514383</v>
      </c>
      <c r="FY384" s="6">
        <v>3636</v>
      </c>
      <c r="FZ384" s="6">
        <v>2202.331475193394</v>
      </c>
      <c r="GA384" s="6">
        <v>2159.7992438332185</v>
      </c>
      <c r="GB384" s="6">
        <v>17535.200756166782</v>
      </c>
      <c r="GC384" s="7">
        <v>4.8391397220736806E-2</v>
      </c>
      <c r="GD384" s="7">
        <v>4.7453985340705954E-2</v>
      </c>
      <c r="GE384" s="7"/>
      <c r="GF384" s="7"/>
      <c r="GG384" s="7">
        <v>-1.9371457198370596E-2</v>
      </c>
      <c r="GH384" s="42">
        <v>8.9701583321852443</v>
      </c>
      <c r="GI384" s="6">
        <v>4355.412662309187</v>
      </c>
      <c r="GJ384" s="14">
        <v>0.51074630601039539</v>
      </c>
      <c r="GK384" s="14">
        <v>0.50829519786160959</v>
      </c>
      <c r="GL384" s="14">
        <v>0.48925369398960433</v>
      </c>
      <c r="GM384" s="14">
        <v>0.4917048021383903</v>
      </c>
      <c r="GO384" s="5">
        <v>338.16872463277008</v>
      </c>
      <c r="GP384" s="5">
        <v>312.41330006058649</v>
      </c>
      <c r="GQ384" s="5">
        <v>527.27910984145694</v>
      </c>
      <c r="GR384" s="5">
        <v>404.20319246551543</v>
      </c>
      <c r="GS384" s="5">
        <v>334.50205195691484</v>
      </c>
      <c r="GT384" s="5">
        <v>289.18266033348181</v>
      </c>
      <c r="GU384" s="5">
        <v>254.29573314828914</v>
      </c>
      <c r="GV384" s="39" t="s">
        <v>392</v>
      </c>
      <c r="GW384" s="5">
        <v>468.76388888888891</v>
      </c>
      <c r="GX384" s="5">
        <v>351.57291666666669</v>
      </c>
      <c r="GY384" s="5">
        <v>287.73954748358943</v>
      </c>
      <c r="GZ384" s="5">
        <v>255.64660634518972</v>
      </c>
      <c r="HA384" s="5">
        <v>229.8919505212948</v>
      </c>
      <c r="HB384" s="39">
        <v>269.56856135878837</v>
      </c>
      <c r="HC384" s="5">
        <v>124.04062499999996</v>
      </c>
      <c r="HD384" s="5">
        <v>127.75060307017539</v>
      </c>
      <c r="HE384" s="5">
        <v>136.66051366396758</v>
      </c>
      <c r="HF384" s="5">
        <v>133.62067434210525</v>
      </c>
      <c r="HG384" s="5">
        <v>137.88493421052632</v>
      </c>
      <c r="HH384" s="39">
        <v>130.72650526464056</v>
      </c>
      <c r="HI384" s="16"/>
      <c r="HJ384" s="19" t="str">
        <f t="shared" si="1235"/>
        <v>On</v>
      </c>
      <c r="HK384" s="1" t="str">
        <f t="shared" si="1235"/>
        <v>On</v>
      </c>
      <c r="HL384" s="16"/>
      <c r="HM384" s="889">
        <f t="shared" si="1236"/>
        <v>2.8970655363290673E-2</v>
      </c>
      <c r="HN384" s="889">
        <f t="shared" si="1236"/>
        <v>2.1835179285533651E-3</v>
      </c>
      <c r="HO384" s="889">
        <f t="shared" si="1236"/>
        <v>1.5544129749146325E-2</v>
      </c>
      <c r="HP384" s="890">
        <f>(FT384*$GD384-HM384)/$JF384*INDEX(Input!$1:$1048576,$JG$93,$C384*2+6)</f>
        <v>27.134853699958846</v>
      </c>
      <c r="HQ384" s="890">
        <f>(FU384*$GD384-HN384)/$JF384*INDEX(Input!$1:$1048576,$JG$93,$C384*2+6)</f>
        <v>-22.65443837119652</v>
      </c>
      <c r="HR384" s="890">
        <f>(FV384*$GD384-HO384)/$JF384*INDEX(Input!$1:$1048576,$JG$93,$C384*2+6)</f>
        <v>26.686543949708575</v>
      </c>
      <c r="HS384" s="890">
        <f t="shared" si="1237"/>
        <v>-10.366517330455116</v>
      </c>
      <c r="HT384" s="890">
        <f t="shared" si="1238"/>
        <v>-3.0519257577720951</v>
      </c>
      <c r="HU384" s="890">
        <f t="shared" si="1239"/>
        <v>19.065563926842273</v>
      </c>
      <c r="HV384" s="891">
        <f t="shared" si="1240"/>
        <v>0</v>
      </c>
      <c r="HW384" s="891">
        <f t="shared" si="1241"/>
        <v>0</v>
      </c>
      <c r="HX384" s="891">
        <f t="shared" si="1242"/>
        <v>0</v>
      </c>
      <c r="HY384" s="890">
        <f>INDEX(Input!$1:$1048576,HY$93,$C384*2+6)*INDEX(Input!$1:$1048576,$JG$93,$C384*2+6)</f>
        <v>488.99999999999994</v>
      </c>
      <c r="HZ384" s="890">
        <f>INDEX(Input!$1:$1048576,HZ$93,$C384*2+6)*INDEX(Input!$1:$1048576,$JG$93,$C384*2+6)</f>
        <v>734</v>
      </c>
      <c r="IA384" s="890">
        <f>INDEX(Input!$1:$1048576,IA$93,$C384*2+6)*INDEX(Input!$1:$1048576,$JG$93,$C384*2+6)</f>
        <v>703</v>
      </c>
      <c r="IB384" s="890">
        <f t="shared" si="1243"/>
        <v>505.76833636950357</v>
      </c>
      <c r="IC384" s="890">
        <f t="shared" si="1244"/>
        <v>708.29363587103137</v>
      </c>
      <c r="ID384" s="890">
        <f>IF(AND(INDEX(Input!$1:$1048576,IA$93,$C384*2+7)="TOS",Y384&lt;=INDEX(Y:Y,MATCH(C384*1000+2,A:A))),0,1)*MAX(IA384+HR384+HU384+HX384,0%)</f>
        <v>748.75210787655089</v>
      </c>
      <c r="IE384" s="892">
        <f t="shared" si="1245"/>
        <v>0.25767511120530251</v>
      </c>
      <c r="IF384" s="892">
        <f t="shared" si="1245"/>
        <v>0.36085620285991643</v>
      </c>
      <c r="IG384" s="892">
        <f t="shared" si="1245"/>
        <v>0.38146868593478112</v>
      </c>
      <c r="IH384" s="21"/>
      <c r="II384" s="19">
        <f t="shared" si="1246"/>
        <v>1200</v>
      </c>
      <c r="IJ384" s="19">
        <f t="shared" si="1247"/>
        <v>2224.493581030405</v>
      </c>
      <c r="IK384" s="19">
        <f t="shared" si="1247"/>
        <v>3451.75</v>
      </c>
      <c r="IL384" s="19">
        <f t="shared" si="1248"/>
        <v>150</v>
      </c>
      <c r="IM384" s="19">
        <f t="shared" si="1249"/>
        <v>-8.5415605789667097</v>
      </c>
      <c r="IN384" s="19">
        <f t="shared" si="1249"/>
        <v>184.25</v>
      </c>
      <c r="IO384" s="39">
        <f t="shared" si="1250"/>
        <v>0</v>
      </c>
      <c r="IP384" s="39">
        <f t="shared" si="1250"/>
        <v>0</v>
      </c>
      <c r="IQ384" s="39">
        <f t="shared" si="1250"/>
        <v>0</v>
      </c>
      <c r="IR384" s="39">
        <v>0</v>
      </c>
      <c r="IS384" s="39">
        <v>0</v>
      </c>
      <c r="IT384" s="39">
        <v>0</v>
      </c>
      <c r="IU384" s="39">
        <v>0</v>
      </c>
      <c r="IV384" s="39">
        <v>0</v>
      </c>
      <c r="IW384" s="39">
        <v>0</v>
      </c>
      <c r="IX384" s="39">
        <f>INDEX(Input!$1:$1048576,IX$93,$C384*2+6)+INDEX(Input!$1:$1048576,IX$94,$C384*2+6)</f>
        <v>1600</v>
      </c>
      <c r="IY384" s="39">
        <f>INDEX(Input!$1:$1048576,IY$93,$C384*2+6)+INDEX(Input!$1:$1048576,IY$94,$C384*2+6)</f>
        <v>2503.5492916397525</v>
      </c>
      <c r="IZ384" s="39">
        <f>INDEX(Input!$1:$1048576,IZ$93,$C384*2+6)+INDEX(Input!$1:$1048576,IZ$94,$C384*2+6)</f>
        <v>5773.7109265464023</v>
      </c>
      <c r="JA384" s="19">
        <f t="shared" si="1251"/>
        <v>1750</v>
      </c>
      <c r="JB384" s="19">
        <f t="shared" si="1251"/>
        <v>2495.0077310607858</v>
      </c>
      <c r="JC384" s="19">
        <f t="shared" si="1251"/>
        <v>5957.9609265464023</v>
      </c>
      <c r="JD384" s="19">
        <f t="shared" si="1252"/>
        <v>3624.0459860464371</v>
      </c>
      <c r="JE384" s="21"/>
      <c r="JF384" s="1">
        <f t="shared" si="1253"/>
        <v>4.6698303040990354E-2</v>
      </c>
      <c r="JG384" s="15">
        <f>INDEX(Input!$1:$1048576,JG$93,$C384*2+6)/(1+VLOOKUP(C384*1000+INDEX(Input!$1:$1048576,JG$93+1,$C384*2+6),$A:$KK,$JK$92,FALSE))</f>
        <v>1926</v>
      </c>
      <c r="JH384" s="1">
        <f t="shared" si="1254"/>
        <v>1.6182221847596521E-2</v>
      </c>
      <c r="JI384" s="1">
        <f t="shared" si="1255"/>
        <v>2.932046125968361E-3</v>
      </c>
      <c r="JJ384" s="1">
        <f t="shared" si="1256"/>
        <v>0</v>
      </c>
      <c r="JK384" s="1">
        <f t="shared" si="1257"/>
        <v>1.9114267973564882E-2</v>
      </c>
      <c r="JL384" s="15">
        <f t="shared" si="1258"/>
        <v>36.814080117085965</v>
      </c>
      <c r="JM384" s="15">
        <f t="shared" si="1259"/>
        <v>1962.814080117086</v>
      </c>
      <c r="JN384" s="21"/>
      <c r="JO384" s="19">
        <f>INDEX(Input!$1:$1048576,JO$93,$C384*2+6)</f>
        <v>5908.5</v>
      </c>
      <c r="JP384" s="19">
        <f>INDEX(Input!$1:$1048576,JP$93,$C384*2+6)</f>
        <v>3467.7694503767912</v>
      </c>
      <c r="JQ384" s="39">
        <f t="shared" si="1260"/>
        <v>2284.4540139535629</v>
      </c>
      <c r="JR384" s="39">
        <f t="shared" si="1261"/>
        <v>156.27653566964591</v>
      </c>
      <c r="JS384" s="39">
        <f t="shared" si="1262"/>
        <v>7.1133284884037549</v>
      </c>
      <c r="JT384" s="39">
        <f t="shared" si="1263"/>
        <v>0.43440452697805504</v>
      </c>
      <c r="JU384" s="385">
        <f>(JQ384*JM384-INDEX(Input!$1:$1048576,Input!A$18,$C384*2+6)*JL384*INDEX(Input!$1:$1048576,Input!A$19,$C384*2+6))/1000000</f>
        <v>4.4839585039680472</v>
      </c>
      <c r="JV384" s="39">
        <f t="shared" si="1264"/>
        <v>-0.21688853460625257</v>
      </c>
      <c r="JW384" s="1">
        <f t="shared" si="1265"/>
        <v>-4.6138181656732183E-2</v>
      </c>
      <c r="JX384" s="19">
        <f t="shared" si="1266"/>
        <v>11799.956038462615</v>
      </c>
      <c r="JZ384" s="341"/>
      <c r="KA384" s="342"/>
      <c r="KB384" s="469">
        <f t="shared" si="1267"/>
        <v>2.7822247002359868</v>
      </c>
      <c r="KI384" s="473">
        <f t="shared" si="1268"/>
        <v>16.768336369503743</v>
      </c>
      <c r="KJ384" s="473">
        <f t="shared" si="1268"/>
        <v>-25.706364128968517</v>
      </c>
      <c r="KK384" s="473">
        <f t="shared" si="1268"/>
        <v>45.752107876551008</v>
      </c>
      <c r="KN384" s="888">
        <f t="shared" si="1269"/>
        <v>3002</v>
      </c>
      <c r="KO384" s="893">
        <f t="shared" si="1270"/>
        <v>-4.7211900097673398E-2</v>
      </c>
      <c r="KP384" s="894">
        <f t="shared" si="1271"/>
        <v>-211.87945138643116</v>
      </c>
      <c r="KQ384" s="894">
        <f t="shared" si="1272"/>
        <v>-97.035232278935837</v>
      </c>
      <c r="KR384" s="895">
        <f t="shared" si="1273"/>
        <v>3.5593779989231553</v>
      </c>
      <c r="KS384" s="895">
        <f t="shared" si="1274"/>
        <v>7.7720127007155337</v>
      </c>
      <c r="KT384" s="896">
        <f t="shared" si="1275"/>
        <v>527.01264777847621</v>
      </c>
      <c r="KU384" s="663">
        <f t="shared" si="1276"/>
        <v>14.806011878571461</v>
      </c>
    </row>
    <row r="385" spans="1:307" s="26" customFormat="1" ht="15" outlineLevel="1">
      <c r="A385" s="561">
        <f t="shared" si="1174"/>
        <v>3085</v>
      </c>
      <c r="B385" s="561">
        <f t="shared" si="1192"/>
        <v>85</v>
      </c>
      <c r="C385" s="561">
        <f t="shared" si="1193"/>
        <v>3</v>
      </c>
      <c r="D385" s="561" t="str">
        <f t="shared" ref="D385:D400" si="1277">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-180 Lease, </v>
      </c>
      <c r="E385" s="475">
        <f>INDEX(Input!$1:$1048576,E$93,$C385*2+MIN($B385,2)+5)
+INDEX(Scenarios!E$121:E$200,MATCH($B385,Scenarios!$B$121:$B$200,0))</f>
        <v>1250</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0</v>
      </c>
      <c r="S385" s="478">
        <f>IFERROR(MAX(0,INDEX(Input!$1:$1048576,S$93,$C385*2+MIN($B385,2)+5)
+INDEX(Scenarios!S$121:S$200,MATCH($B385,Scenarios!$B$121:$B$200,0)),),"Market")</f>
        <v>0</v>
      </c>
      <c r="T385" s="478">
        <f>IFERROR(MAX(0,INDEX(Input!$1:$1048576,T$93,$C385*2+MIN($B385,2)+5)
+INDEX(Scenarios!T$121:T$200,MATCH($B385,Scenarios!$B$121:$B$200,0)),),"Market")</f>
        <v>0</v>
      </c>
      <c r="U385" s="478">
        <f>IFERROR(MAX(0,INDEX(Input!$1:$1048576,U$93,$C385*2+MIN($B385,2)+5)
+INDEX(Scenarios!U$121:U$200,MATCH($B385,Scenarios!$B$121:$B$200,0)),),"Market")</f>
        <v>0</v>
      </c>
      <c r="V385" s="478">
        <f>IFERROR(MAX(0,INDEX(Input!$1:$1048576,V$93,$C385*2+MIN($B385,2)+5)
+INDEX(Scenarios!V$121:V$200,MATCH($B385,Scenarios!$B$121:$B$200,0)),),"Market")</f>
        <v>1.9E-2</v>
      </c>
      <c r="W385" s="863">
        <f>IFERROR(MAX(0,INDEX(Input!$1:$1048576,W$93,$C385*2+MIN($B385,2)+5)-0%,),"Market")</f>
        <v>3.9000000000000007E-2</v>
      </c>
      <c r="X385" s="476" t="str">
        <f>INDEX(Input!$1:$1048576,X$93,$C385*2+MIN($B385,2)+5)</f>
        <v>Y</v>
      </c>
      <c r="Y385" s="475">
        <f>INDEX(Input!$1:$1048576,Y$93,$C385*2+MIN($B385,2)+5)
++INDEX(Scenarios!Y$121:Y$200,MATCH($B385,Scenarios!$B$121:$B$200,0))</f>
        <v>3928</v>
      </c>
      <c r="Z385" s="477">
        <f>INDEX(Input!$1:$1048576,Z$93,$C385*2+MIN($B385,2)+5)
+INDEX(Scenarios!Z$121:Z$200,MATCH($B385,Scenarios!$B$121:$B$200,0))</f>
        <v>0</v>
      </c>
      <c r="AA385" s="475">
        <f>INDEX(Input!$1:$1048576,AA$93,$C385*2+MIN($B385,2)+5)</f>
        <v>500</v>
      </c>
      <c r="AB385" s="476">
        <f>INDEX(Input!$1:$1048576,AB$93,$C385*2+MIN($B385,2)+5)</f>
        <v>0.62</v>
      </c>
      <c r="AC385" s="475">
        <f>INDEX(Input!$1:$1048576,AC$93,$C385*2+MIN($B385,2)+5)
+INDEX(Scenarios!AC$121:AC$200,MATCH($B385,Scenarios!$B$121:$B$200,0))</f>
        <v>0</v>
      </c>
      <c r="AD385" s="476">
        <f>INDEX(Input!$1:$1048576,AD$93,$C385*2+MIN($B385,2)+5)</f>
        <v>0.35</v>
      </c>
      <c r="AE385" s="475">
        <f>INDEX(Input!$1:$1048576,AE$93,$C385*2+MIN($B385,2)+5)
+INDEX(Scenarios!AE$121:AE$200,MATCH($B385,Scenarios!$B$121:$B$200,0))</f>
        <v>500</v>
      </c>
      <c r="AF385" s="476">
        <f>INDEX(Input!$1:$1048576,AF$93,$C385*2+MIN($B385,2)+5)</f>
        <v>0.97</v>
      </c>
      <c r="AG385" s="475">
        <f>INDEX(Input!$1:$1048576,AG$93,$C385*2+MIN($B385,2)+5)
+INDEX(Scenarios!AG$121:AG$200,MATCH($B385,Scenarios!$B$121:$B$200,0))</f>
        <v>0</v>
      </c>
      <c r="AH385" s="476">
        <f>INDEX(Input!$1:$1048576,AH$93,$C385*2+MIN($B385,2)+5)</f>
        <v>1</v>
      </c>
      <c r="AI385" s="475">
        <f>INDEX(Input!$1:$1048576,AI$93,$C385*2+MIN($B385,2)+5)
+INDEX(Scenarios!AI$121:AI$200,MATCH($B385,Scenarios!$B$121:$B$200,0))</f>
        <v>0</v>
      </c>
      <c r="AJ385" s="476">
        <f>INDEX(Input!$1:$1048576,AJ$93,$C385*2+MIN($B385,2)+5)</f>
        <v>0.35</v>
      </c>
      <c r="AK385" s="150">
        <f>ROUND(INDEX(Input!$1:$1048576,AK$93,$C384*2+MIN($B385,1)+5)+(Y385-VLOOKUP($C385*1000+1,$A:$HH,Y$92,FALSE)),0)</f>
        <v>4802</v>
      </c>
      <c r="AL385" s="150">
        <f>ROUND(INDEX(Input!$1:$1048576,AL$93,$C384*2+MIN($B385,1)+5)-(Y385-VLOOKUP($C385*1000+1,$A:$HH,Y$92,FALSE))/36,0)</f>
        <v>5107</v>
      </c>
      <c r="AM385" s="32" t="str">
        <f t="shared" si="1175"/>
        <v>std/std/std/std</v>
      </c>
      <c r="AN385" s="32" t="str">
        <f t="shared" si="1176"/>
        <v>$0 + 0/0/0/1.9/3.9</v>
      </c>
      <c r="AO385" s="32" t="str">
        <f t="shared" si="1177"/>
        <v>0/0/0/1.9/3.9</v>
      </c>
      <c r="AP385" s="32" t="str">
        <f t="shared" si="1125"/>
        <v>0/0.9/1.9/3.9</v>
      </c>
      <c r="AQ385" s="536">
        <f t="shared" si="1124"/>
        <v>485.27089506413733</v>
      </c>
      <c r="AR385" s="32"/>
      <c r="AS385" s="302"/>
      <c r="AT385" s="3">
        <f t="shared" si="1194"/>
        <v>85</v>
      </c>
      <c r="AU385" s="41" t="s">
        <v>121</v>
      </c>
      <c r="AV385" s="41" t="s">
        <v>116</v>
      </c>
      <c r="AW385" s="41" t="str">
        <f>INDEX(Input!$1:$1048576,AW$93,$C385*2+6)</f>
        <v>Kia</v>
      </c>
      <c r="AX385" s="41" t="str">
        <f>INDEX(Input!$1:$1048576,AX$93,$C385*2+6)</f>
        <v>Kia-LR - L3</v>
      </c>
      <c r="AY385" s="41" t="str">
        <f>IF(LEN(D385)=0,"",INDEX(Input!$1:$1048576,AY$93,$C385*2+6))</f>
        <v>Compact Conventional/Sporty Car (43)</v>
      </c>
      <c r="AZ385" s="41" t="str">
        <f>INDEX(Input!$1:$1048576,AZ$93,$C385*2+6)</f>
        <v>Kia Forte</v>
      </c>
      <c r="BA385" s="3">
        <f>INDEX(Input!$1:$1048576,BA$93,$C385*2+6)</f>
        <v>2020</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19695</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1126"/>
        <v>1250</v>
      </c>
      <c r="CJ385" s="16" t="str">
        <f>INDEX(Input!$1:$1048576,CJ$93,$C385*2+6)</f>
        <v>N</v>
      </c>
      <c r="CK385" s="1" t="str">
        <f t="shared" si="1127"/>
        <v>Market</v>
      </c>
      <c r="CL385" s="1" t="str">
        <f t="shared" si="1128"/>
        <v>Market</v>
      </c>
      <c r="CM385" s="1" t="str">
        <f t="shared" si="1129"/>
        <v>Market</v>
      </c>
      <c r="CN385" s="1" t="str">
        <f t="shared" si="1130"/>
        <v>Market</v>
      </c>
      <c r="CO385" s="1" t="str">
        <f t="shared" si="1131"/>
        <v>Market</v>
      </c>
      <c r="CP385" s="304">
        <f t="shared" si="1132"/>
        <v>310</v>
      </c>
      <c r="CQ385" s="1">
        <f t="shared" si="1133"/>
        <v>0</v>
      </c>
      <c r="CR385" s="1">
        <f t="shared" si="1134"/>
        <v>0</v>
      </c>
      <c r="CS385" s="1">
        <f t="shared" si="1135"/>
        <v>0</v>
      </c>
      <c r="CT385" s="1">
        <f t="shared" si="1136"/>
        <v>1.9E-2</v>
      </c>
      <c r="CU385" s="1">
        <f t="shared" si="1137"/>
        <v>3.9000000000000007E-2</v>
      </c>
      <c r="CV385" s="304">
        <f t="shared" si="1138"/>
        <v>4413</v>
      </c>
      <c r="CW385" s="20" t="s">
        <v>122</v>
      </c>
      <c r="CX385" s="20" t="s">
        <v>122</v>
      </c>
      <c r="CY385" s="20" t="s">
        <v>122</v>
      </c>
      <c r="CZ385" s="20" t="s">
        <v>122</v>
      </c>
      <c r="DA385" s="20" t="s">
        <v>122</v>
      </c>
      <c r="DB385" s="503">
        <f t="shared" si="1139"/>
        <v>0</v>
      </c>
      <c r="DC385" s="127">
        <v>0</v>
      </c>
      <c r="DD385" s="127">
        <v>0</v>
      </c>
      <c r="DE385" s="127">
        <v>0</v>
      </c>
      <c r="DF385" s="127">
        <v>0</v>
      </c>
      <c r="DG385" s="127">
        <v>0</v>
      </c>
      <c r="DH385" s="127">
        <v>0</v>
      </c>
      <c r="DI385" s="127">
        <v>0</v>
      </c>
      <c r="DJ385" s="127">
        <v>0</v>
      </c>
      <c r="DK385" s="127">
        <v>0</v>
      </c>
      <c r="DL385" s="127">
        <v>0</v>
      </c>
      <c r="DM385" s="304">
        <f>INDEX(Input!$1:$1048576,DM$93,$C385*2+6)</f>
        <v>20731.578947368424</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v>3.4392131616634347E-2</v>
      </c>
      <c r="DZ385" s="7">
        <v>0</v>
      </c>
      <c r="EA385" s="7">
        <v>0.60841238931441521</v>
      </c>
      <c r="EB385" s="7">
        <v>0</v>
      </c>
      <c r="EC385" s="7">
        <v>0</v>
      </c>
      <c r="ED385" s="7">
        <v>0</v>
      </c>
      <c r="EE385" s="7">
        <v>0</v>
      </c>
      <c r="EF385" s="7">
        <v>0</v>
      </c>
      <c r="EG385" s="7">
        <v>0</v>
      </c>
      <c r="EH385" s="7">
        <v>1.4127673992030583E-2</v>
      </c>
      <c r="EI385" s="7">
        <v>1.7905343542926441E-2</v>
      </c>
      <c r="EJ385" s="7">
        <v>0.25745094406963698</v>
      </c>
      <c r="EK385" s="7">
        <v>0.65959866102520626</v>
      </c>
      <c r="EL385" s="7">
        <v>5.0917377370199718E-2</v>
      </c>
      <c r="EM385" s="7">
        <v>4.86602683740784E-2</v>
      </c>
      <c r="EN385" s="7">
        <v>5.8267154117661132E-2</v>
      </c>
      <c r="EO385" s="7">
        <v>0.56869891322912547</v>
      </c>
      <c r="EP385" s="7">
        <v>0.27316582053483945</v>
      </c>
      <c r="EQ385" s="7">
        <v>5.9282900719345465E-2</v>
      </c>
      <c r="ER385" s="7">
        <v>4.0585211399028515E-2</v>
      </c>
      <c r="ES385" s="7">
        <v>0.30853521069487189</v>
      </c>
      <c r="ET385" s="7">
        <v>0.35719547906895033</v>
      </c>
      <c r="EU385" s="6">
        <v>1600</v>
      </c>
      <c r="EV385" s="6">
        <v>0</v>
      </c>
      <c r="EW385" s="6">
        <v>1600</v>
      </c>
      <c r="EX385" s="6">
        <v>0</v>
      </c>
      <c r="EY385" s="6">
        <v>2624.6659719226659</v>
      </c>
      <c r="EZ385" s="6">
        <v>3456</v>
      </c>
      <c r="FA385" s="6">
        <v>0</v>
      </c>
      <c r="FB385" s="6">
        <v>0</v>
      </c>
      <c r="FC385" s="6">
        <v>0</v>
      </c>
      <c r="FD385" s="6">
        <v>0</v>
      </c>
      <c r="FE385" s="6">
        <v>0</v>
      </c>
      <c r="FF385" s="6">
        <v>0</v>
      </c>
      <c r="FG385" s="6">
        <v>0</v>
      </c>
      <c r="FH385" s="6">
        <v>1154.3267383110754</v>
      </c>
      <c r="FI385" s="6">
        <v>1531.4299904380616</v>
      </c>
      <c r="FJ385" s="6">
        <v>2070.7205842538219</v>
      </c>
      <c r="FK385" s="6">
        <v>1746.9903521590438</v>
      </c>
      <c r="FL385" s="6">
        <v>893.91433563489352</v>
      </c>
      <c r="FM385" s="6">
        <v>1774.6659719226659</v>
      </c>
      <c r="FN385" s="6">
        <v>0</v>
      </c>
      <c r="FO385" s="6">
        <v>0</v>
      </c>
      <c r="FP385" s="6">
        <v>0</v>
      </c>
      <c r="FQ385" s="6">
        <v>0</v>
      </c>
      <c r="FR385" s="6">
        <v>0</v>
      </c>
      <c r="FS385" s="6">
        <v>0</v>
      </c>
      <c r="FT385" s="7">
        <v>0.64280452093104956</v>
      </c>
      <c r="FU385" s="7">
        <v>4.86602683740784E-2</v>
      </c>
      <c r="FV385" s="7">
        <v>0.30853521069487189</v>
      </c>
      <c r="FW385" s="6">
        <v>1600</v>
      </c>
      <c r="FX385" s="6">
        <v>2624.6659719226659</v>
      </c>
      <c r="FY385" s="6">
        <v>3456</v>
      </c>
      <c r="FZ385" s="6">
        <v>2202.331475193394</v>
      </c>
      <c r="GA385" s="6">
        <v>2222.5018722372247</v>
      </c>
      <c r="GB385" s="6">
        <v>17472.498127762774</v>
      </c>
      <c r="GC385" s="7">
        <v>4.8391397220736806E-2</v>
      </c>
      <c r="GD385" s="7">
        <v>4.8390956585346263E-2</v>
      </c>
      <c r="GE385" s="7"/>
      <c r="GF385" s="7"/>
      <c r="GG385" s="7">
        <v>-9.1056554646101061E-6</v>
      </c>
      <c r="GH385" s="42">
        <v>-8.8910438394343688E-3</v>
      </c>
      <c r="GI385" s="6">
        <v>-2212927.9749083375</v>
      </c>
      <c r="GJ385" s="14">
        <v>0.51074630601039539</v>
      </c>
      <c r="GK385" s="14">
        <v>0.50829519786160948</v>
      </c>
      <c r="GL385" s="14">
        <v>0.48925369398960422</v>
      </c>
      <c r="GM385" s="14">
        <v>0.49170480213839024</v>
      </c>
      <c r="GO385" s="5">
        <v>338.16872463277008</v>
      </c>
      <c r="GP385" s="5">
        <v>307.64377699166363</v>
      </c>
      <c r="GQ385" s="5">
        <v>527.27910984145694</v>
      </c>
      <c r="GR385" s="5">
        <v>404.20319246551543</v>
      </c>
      <c r="GS385" s="5">
        <v>334.50205195691484</v>
      </c>
      <c r="GT385" s="5">
        <v>289.18266033348181</v>
      </c>
      <c r="GU385" s="5">
        <v>254.29573314828914</v>
      </c>
      <c r="GV385" s="39" t="s">
        <v>392</v>
      </c>
      <c r="GW385" s="5">
        <v>468.76388888888891</v>
      </c>
      <c r="GX385" s="5">
        <v>351.57291666666669</v>
      </c>
      <c r="GY385" s="5">
        <v>281.25833333333333</v>
      </c>
      <c r="GZ385" s="5">
        <v>248.18079879493993</v>
      </c>
      <c r="HA385" s="5">
        <v>229.8919505212948</v>
      </c>
      <c r="HB385" s="39">
        <v>260.73301847525585</v>
      </c>
      <c r="HC385" s="5">
        <v>131.91562499999998</v>
      </c>
      <c r="HD385" s="5">
        <v>133.12560307017537</v>
      </c>
      <c r="HE385" s="5">
        <v>141.65089827935219</v>
      </c>
      <c r="HF385" s="5">
        <v>137.78317434210524</v>
      </c>
      <c r="HG385" s="5">
        <v>141.33493421052631</v>
      </c>
      <c r="HH385" s="39">
        <v>135.99321212768086</v>
      </c>
      <c r="HI385" s="16"/>
      <c r="HJ385" s="19" t="str">
        <f t="shared" si="1235"/>
        <v>On</v>
      </c>
      <c r="HK385" s="1" t="str">
        <f t="shared" si="1235"/>
        <v>On</v>
      </c>
      <c r="HL385" s="16"/>
      <c r="HM385" s="889">
        <f t="shared" si="1236"/>
        <v>2.8970655363290673E-2</v>
      </c>
      <c r="HN385" s="889">
        <f t="shared" si="1236"/>
        <v>2.1835179285533651E-3</v>
      </c>
      <c r="HO385" s="889">
        <f t="shared" si="1236"/>
        <v>1.5544129749146325E-2</v>
      </c>
      <c r="HP385" s="890">
        <f>(FT385*$GD385-HM385)/$JF385*INDEX(Input!$1:$1048576,$JG$93,$C385*2+6)</f>
        <v>88.065953872929512</v>
      </c>
      <c r="HQ385" s="890">
        <f>(FU385*$GD385-HN385)/$JF385*INDEX(Input!$1:$1048576,$JG$93,$C385*2+6)</f>
        <v>7.060840836543159</v>
      </c>
      <c r="HR385" s="890">
        <f>(FV385*$GD385-HO385)/$JF385*INDEX(Input!$1:$1048576,$JG$93,$C385*2+6)</f>
        <v>-25.315891226151852</v>
      </c>
      <c r="HS385" s="890">
        <f t="shared" si="1237"/>
        <v>-28.079860077694185</v>
      </c>
      <c r="HT385" s="890">
        <f t="shared" si="1238"/>
        <v>53.186233636627612</v>
      </c>
      <c r="HU385" s="890">
        <f t="shared" si="1239"/>
        <v>5.6463871702999198</v>
      </c>
      <c r="HV385" s="891">
        <f t="shared" si="1240"/>
        <v>0</v>
      </c>
      <c r="HW385" s="891">
        <f t="shared" si="1241"/>
        <v>0</v>
      </c>
      <c r="HX385" s="891">
        <f t="shared" si="1242"/>
        <v>0</v>
      </c>
      <c r="HY385" s="890">
        <f>INDEX(Input!$1:$1048576,HY$93,$C385*2+6)*INDEX(Input!$1:$1048576,$JG$93,$C385*2+6)</f>
        <v>488.99999999999994</v>
      </c>
      <c r="HZ385" s="890">
        <f>INDEX(Input!$1:$1048576,HZ$93,$C385*2+6)*INDEX(Input!$1:$1048576,$JG$93,$C385*2+6)</f>
        <v>734</v>
      </c>
      <c r="IA385" s="890">
        <f>INDEX(Input!$1:$1048576,IA$93,$C385*2+6)*INDEX(Input!$1:$1048576,$JG$93,$C385*2+6)</f>
        <v>703</v>
      </c>
      <c r="IB385" s="890">
        <f t="shared" si="1243"/>
        <v>548.98609379523521</v>
      </c>
      <c r="IC385" s="890">
        <f t="shared" si="1244"/>
        <v>794.24707447317087</v>
      </c>
      <c r="ID385" s="890">
        <f>IF(AND(INDEX(Input!$1:$1048576,IA$93,$C385*2+7)="TOS",Y385&lt;=INDEX(Y:Y,MATCH(C385*1000+2,A:A))),0,1)*MAX(IA385+HR385+HU385+HX385,0%)</f>
        <v>683.33049594414808</v>
      </c>
      <c r="IE385" s="892">
        <f t="shared" si="1245"/>
        <v>0.27089506413732645</v>
      </c>
      <c r="IF385" s="892">
        <f t="shared" si="1245"/>
        <v>0.39191814621909998</v>
      </c>
      <c r="IG385" s="892">
        <f t="shared" si="1245"/>
        <v>0.33718678964357351</v>
      </c>
      <c r="IH385" s="21"/>
      <c r="II385" s="19">
        <f t="shared" si="1246"/>
        <v>1200</v>
      </c>
      <c r="IJ385" s="19">
        <f t="shared" si="1247"/>
        <v>2224.493581030405</v>
      </c>
      <c r="IK385" s="19">
        <f t="shared" si="1247"/>
        <v>3451.75</v>
      </c>
      <c r="IL385" s="19">
        <f t="shared" si="1248"/>
        <v>400</v>
      </c>
      <c r="IM385" s="19">
        <f t="shared" si="1249"/>
        <v>400.17239089226086</v>
      </c>
      <c r="IN385" s="19">
        <f t="shared" si="1249"/>
        <v>4.25</v>
      </c>
      <c r="IO385" s="39">
        <f t="shared" si="1250"/>
        <v>0</v>
      </c>
      <c r="IP385" s="39">
        <f t="shared" si="1250"/>
        <v>0</v>
      </c>
      <c r="IQ385" s="39">
        <f t="shared" si="1250"/>
        <v>0</v>
      </c>
      <c r="IR385" s="39">
        <v>0</v>
      </c>
      <c r="IS385" s="39">
        <v>0</v>
      </c>
      <c r="IT385" s="39">
        <v>0</v>
      </c>
      <c r="IU385" s="39">
        <v>0</v>
      </c>
      <c r="IV385" s="39">
        <v>0</v>
      </c>
      <c r="IW385" s="39">
        <v>0</v>
      </c>
      <c r="IX385" s="39">
        <f>INDEX(Input!$1:$1048576,IX$93,$C385*2+6)+INDEX(Input!$1:$1048576,IX$94,$C385*2+6)</f>
        <v>1600</v>
      </c>
      <c r="IY385" s="39">
        <f>INDEX(Input!$1:$1048576,IY$93,$C385*2+6)+INDEX(Input!$1:$1048576,IY$94,$C385*2+6)</f>
        <v>2503.5492916397525</v>
      </c>
      <c r="IZ385" s="39">
        <f>INDEX(Input!$1:$1048576,IZ$93,$C385*2+6)+INDEX(Input!$1:$1048576,IZ$94,$C385*2+6)</f>
        <v>5773.7109265464023</v>
      </c>
      <c r="JA385" s="19">
        <f t="shared" si="1251"/>
        <v>2000</v>
      </c>
      <c r="JB385" s="19">
        <f t="shared" si="1251"/>
        <v>2903.7216825320133</v>
      </c>
      <c r="JC385" s="19">
        <f t="shared" si="1251"/>
        <v>5777.9609265464023</v>
      </c>
      <c r="JD385" s="19">
        <f t="shared" si="1252"/>
        <v>3628.0634427369941</v>
      </c>
      <c r="JE385" s="21"/>
      <c r="JF385" s="1">
        <f t="shared" si="1253"/>
        <v>4.6698303040990354E-2</v>
      </c>
      <c r="JG385" s="15">
        <f>INDEX(Input!$1:$1048576,JG$93,$C385*2+6)/(1+VLOOKUP(C385*1000+INDEX(Input!$1:$1048576,JG$93+1,$C385*2+6),$A:$KK,$JK$92,FALSE))</f>
        <v>1926</v>
      </c>
      <c r="JH385" s="1">
        <f t="shared" si="1254"/>
        <v>3.6246575017300532E-2</v>
      </c>
      <c r="JI385" s="1">
        <f t="shared" si="1255"/>
        <v>1.5967165487660098E-2</v>
      </c>
      <c r="JJ385" s="1">
        <f t="shared" si="1256"/>
        <v>0</v>
      </c>
      <c r="JK385" s="1">
        <f t="shared" si="1257"/>
        <v>5.221374050496063E-2</v>
      </c>
      <c r="JL385" s="15">
        <f t="shared" si="1258"/>
        <v>100.56366421255417</v>
      </c>
      <c r="JM385" s="15">
        <f t="shared" si="1259"/>
        <v>2026.5636642125542</v>
      </c>
      <c r="JN385" s="21"/>
      <c r="JO385" s="19">
        <f>INDEX(Input!$1:$1048576,JO$93,$C385*2+6)</f>
        <v>5908.5</v>
      </c>
      <c r="JP385" s="19">
        <f>INDEX(Input!$1:$1048576,JP$93,$C385*2+6)</f>
        <v>3467.7694503767912</v>
      </c>
      <c r="JQ385" s="39">
        <f t="shared" si="1260"/>
        <v>2280.4365572630059</v>
      </c>
      <c r="JR385" s="39">
        <f t="shared" si="1261"/>
        <v>160.29399236020299</v>
      </c>
      <c r="JS385" s="39">
        <f t="shared" si="1262"/>
        <v>7.3525015445086979</v>
      </c>
      <c r="JT385" s="39">
        <f t="shared" si="1263"/>
        <v>0.6735775830829972</v>
      </c>
      <c r="JU385" s="385">
        <f>(JQ385*JM385-INDEX(Input!$1:$1048576,Input!A$18,$C385*2+6)*JL385*INDEX(Input!$1:$1048576,Input!A$19,$C385*2+6))/1000000</f>
        <v>4.6214498654911784</v>
      </c>
      <c r="JV385" s="39">
        <f t="shared" si="1264"/>
        <v>-7.9397173083121331E-2</v>
      </c>
      <c r="JW385" s="1">
        <f t="shared" si="1265"/>
        <v>-1.6889971622476227E-2</v>
      </c>
      <c r="JX385" s="19">
        <f t="shared" si="1266"/>
        <v>6698.0214807935472</v>
      </c>
      <c r="JZ385" s="341"/>
      <c r="KA385" s="342"/>
      <c r="KB385" s="469">
        <f t="shared" si="1267"/>
        <v>2.7822247002359868</v>
      </c>
      <c r="KI385" s="473">
        <f t="shared" si="1268"/>
        <v>59.986093795235263</v>
      </c>
      <c r="KJ385" s="473">
        <f t="shared" si="1268"/>
        <v>60.247074473170869</v>
      </c>
      <c r="KK385" s="473">
        <f t="shared" si="1268"/>
        <v>-19.669504055851917</v>
      </c>
      <c r="KN385" s="888">
        <f t="shared" si="1269"/>
        <v>3002</v>
      </c>
      <c r="KO385" s="893">
        <f t="shared" si="1270"/>
        <v>-1.6266613065566093E-2</v>
      </c>
      <c r="KP385" s="894">
        <f t="shared" si="1271"/>
        <v>-60.665068048700419</v>
      </c>
      <c r="KQ385" s="894">
        <f t="shared" si="1272"/>
        <v>-93.017775588378754</v>
      </c>
      <c r="KR385" s="895">
        <f t="shared" si="1273"/>
        <v>4.2832154371554596</v>
      </c>
      <c r="KS385" s="895">
        <f t="shared" si="1274"/>
        <v>2.7934612961734122</v>
      </c>
      <c r="KT385" s="896">
        <f t="shared" si="1275"/>
        <v>527.01264777847621</v>
      </c>
      <c r="KU385" s="663">
        <f t="shared" si="1276"/>
        <v>15.446273122261218</v>
      </c>
    </row>
    <row r="386" spans="1:307" s="26" customFormat="1" ht="15" outlineLevel="1">
      <c r="A386" s="561">
        <f t="shared" si="1174"/>
        <v>3086</v>
      </c>
      <c r="B386" s="561">
        <f t="shared" si="1192"/>
        <v>86</v>
      </c>
      <c r="C386" s="561">
        <f t="shared" si="1193"/>
        <v>3</v>
      </c>
      <c r="D386" s="561" t="str">
        <f t="shared" si="1277"/>
        <v xml:space="preserve">-250 CC, 0.9/1.9/2.9/3.9, -180 Lease, </v>
      </c>
      <c r="E386" s="475">
        <f>INDEX(Input!$1:$1048576,E$93,$C386*2+MIN($B386,2)+5)
+INDEX(Scenarios!E$121:E$200,MATCH($B386,Scenarios!$B$121:$B$200,0))</f>
        <v>1000</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9.0000000000000011E-3</v>
      </c>
      <c r="V386" s="478">
        <f>IFERROR(MAX(0,INDEX(Input!$1:$1048576,V$93,$C386*2+MIN($B386,2)+5)
+INDEX(Scenarios!V$121:V$200,MATCH($B386,Scenarios!$B$121:$B$200,0)),),"Market")</f>
        <v>2.8999999999999998E-2</v>
      </c>
      <c r="W386" s="863">
        <f>IFERROR(MAX(0,INDEX(Input!$1:$1048576,W$93,$C386*2+MIN($B386,2)+5)-0%,),"Market")</f>
        <v>3.9000000000000007E-2</v>
      </c>
      <c r="X386" s="476" t="str">
        <f>INDEX(Input!$1:$1048576,X$93,$C386*2+MIN($B386,2)+5)</f>
        <v>Y</v>
      </c>
      <c r="Y386" s="475">
        <f>INDEX(Input!$1:$1048576,Y$93,$C386*2+MIN($B386,2)+5)
++INDEX(Scenarios!Y$121:Y$200,MATCH($B386,Scenarios!$B$121:$B$200,0))</f>
        <v>3928</v>
      </c>
      <c r="Z386" s="477">
        <f>INDEX(Input!$1:$1048576,Z$93,$C386*2+MIN($B386,2)+5)
+INDEX(Scenarios!Z$121:Z$200,MATCH($B386,Scenarios!$B$121:$B$200,0))</f>
        <v>0</v>
      </c>
      <c r="AA386" s="475">
        <f>INDEX(Input!$1:$1048576,AA$93,$C386*2+MIN($B386,2)+5)</f>
        <v>500</v>
      </c>
      <c r="AB386" s="476">
        <f>INDEX(Input!$1:$1048576,AB$93,$C386*2+MIN($B386,2)+5)</f>
        <v>0.62</v>
      </c>
      <c r="AC386" s="475">
        <f>INDEX(Input!$1:$1048576,AC$93,$C386*2+MIN($B386,2)+5)
+INDEX(Scenarios!AC$121:AC$200,MATCH($B386,Scenarios!$B$121:$B$200,0))</f>
        <v>0</v>
      </c>
      <c r="AD386" s="476">
        <f>INDEX(Input!$1:$1048576,AD$93,$C386*2+MIN($B386,2)+5)</f>
        <v>0.35</v>
      </c>
      <c r="AE386" s="475">
        <f>INDEX(Input!$1:$1048576,AE$93,$C386*2+MIN($B386,2)+5)
+INDEX(Scenarios!AE$121:AE$200,MATCH($B386,Scenarios!$B$121:$B$200,0))</f>
        <v>500</v>
      </c>
      <c r="AF386" s="476">
        <f>INDEX(Input!$1:$1048576,AF$93,$C386*2+MIN($B386,2)+5)</f>
        <v>0.97</v>
      </c>
      <c r="AG386" s="475">
        <f>INDEX(Input!$1:$1048576,AG$93,$C386*2+MIN($B386,2)+5)
+INDEX(Scenarios!AG$121:AG$200,MATCH($B386,Scenarios!$B$121:$B$200,0))</f>
        <v>0</v>
      </c>
      <c r="AH386" s="476">
        <f>INDEX(Input!$1:$1048576,AH$93,$C386*2+MIN($B386,2)+5)</f>
        <v>1</v>
      </c>
      <c r="AI386" s="475">
        <f>INDEX(Input!$1:$1048576,AI$93,$C386*2+MIN($B386,2)+5)
+INDEX(Scenarios!AI$121:AI$200,MATCH($B386,Scenarios!$B$121:$B$200,0))</f>
        <v>0</v>
      </c>
      <c r="AJ386" s="476">
        <f>INDEX(Input!$1:$1048576,AJ$93,$C386*2+MIN($B386,2)+5)</f>
        <v>0.35</v>
      </c>
      <c r="AK386" s="150">
        <f>ROUND(INDEX(Input!$1:$1048576,AK$93,$C385*2+MIN($B386,1)+5)+(Y386-VLOOKUP($C386*1000+1,$A:$HH,Y$92,FALSE)),0)</f>
        <v>4802</v>
      </c>
      <c r="AL386" s="150">
        <f>ROUND(INDEX(Input!$1:$1048576,AL$93,$C385*2+MIN($B386,1)+5)-(Y386-VLOOKUP($C386*1000+1,$A:$HH,Y$92,FALSE))/36,0)</f>
        <v>5107</v>
      </c>
      <c r="AM386" s="32" t="str">
        <f t="shared" si="1175"/>
        <v>std/std/std/std</v>
      </c>
      <c r="AN386" s="32" t="str">
        <f t="shared" si="1176"/>
        <v>$0 + 0/0/0.9/2.9/3.9</v>
      </c>
      <c r="AO386" s="32" t="str">
        <f t="shared" si="1177"/>
        <v>0/0/0.9/2.9/3.9</v>
      </c>
      <c r="AP386" s="32" t="str">
        <f t="shared" si="1125"/>
        <v>0.9/1.9/2.9/3.9</v>
      </c>
      <c r="AQ386" s="536">
        <f t="shared" si="1124"/>
        <v>485.26862612756588</v>
      </c>
      <c r="AR386" s="32"/>
      <c r="AS386" s="302"/>
      <c r="AT386" s="3">
        <f t="shared" si="1194"/>
        <v>86</v>
      </c>
      <c r="AU386" s="41" t="s">
        <v>121</v>
      </c>
      <c r="AV386" s="41" t="s">
        <v>116</v>
      </c>
      <c r="AW386" s="41" t="str">
        <f>INDEX(Input!$1:$1048576,AW$93,$C386*2+6)</f>
        <v>Kia</v>
      </c>
      <c r="AX386" s="41" t="str">
        <f>INDEX(Input!$1:$1048576,AX$93,$C386*2+6)</f>
        <v>Kia-LR - L3</v>
      </c>
      <c r="AY386" s="41" t="str">
        <f>IF(LEN(D386)=0,"",INDEX(Input!$1:$1048576,AY$93,$C386*2+6))</f>
        <v>Compact Conventional/Sporty Car (43)</v>
      </c>
      <c r="AZ386" s="41" t="str">
        <f>INDEX(Input!$1:$1048576,AZ$93,$C386*2+6)</f>
        <v>Kia Forte</v>
      </c>
      <c r="BA386" s="3">
        <f>INDEX(Input!$1:$1048576,BA$93,$C386*2+6)</f>
        <v>2020</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19695</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1126"/>
        <v>1310</v>
      </c>
      <c r="CJ386" s="16" t="str">
        <f>INDEX(Input!$1:$1048576,CJ$93,$C386*2+6)</f>
        <v>N</v>
      </c>
      <c r="CK386" s="1" t="str">
        <f t="shared" si="1127"/>
        <v>Market</v>
      </c>
      <c r="CL386" s="1" t="str">
        <f t="shared" si="1128"/>
        <v>Market</v>
      </c>
      <c r="CM386" s="1" t="str">
        <f t="shared" si="1129"/>
        <v>Market</v>
      </c>
      <c r="CN386" s="1" t="str">
        <f t="shared" si="1130"/>
        <v>Market</v>
      </c>
      <c r="CO386" s="1" t="str">
        <f t="shared" si="1131"/>
        <v>Market</v>
      </c>
      <c r="CP386" s="304">
        <f t="shared" si="1132"/>
        <v>310</v>
      </c>
      <c r="CQ386" s="1">
        <f t="shared" si="1133"/>
        <v>0</v>
      </c>
      <c r="CR386" s="1">
        <f t="shared" si="1134"/>
        <v>0</v>
      </c>
      <c r="CS386" s="1">
        <f t="shared" si="1135"/>
        <v>9.0000000000000011E-3</v>
      </c>
      <c r="CT386" s="1">
        <f t="shared" si="1136"/>
        <v>2.8999999999999998E-2</v>
      </c>
      <c r="CU386" s="1">
        <f t="shared" si="1137"/>
        <v>3.9000000000000007E-2</v>
      </c>
      <c r="CV386" s="304">
        <f t="shared" si="1138"/>
        <v>4413</v>
      </c>
      <c r="CW386" s="20" t="s">
        <v>122</v>
      </c>
      <c r="CX386" s="20" t="s">
        <v>122</v>
      </c>
      <c r="CY386" s="20" t="s">
        <v>122</v>
      </c>
      <c r="CZ386" s="20" t="s">
        <v>122</v>
      </c>
      <c r="DA386" s="20" t="s">
        <v>122</v>
      </c>
      <c r="DB386" s="503">
        <f t="shared" si="1139"/>
        <v>0</v>
      </c>
      <c r="DC386" s="127">
        <v>0</v>
      </c>
      <c r="DD386" s="127">
        <v>0</v>
      </c>
      <c r="DE386" s="127">
        <v>0</v>
      </c>
      <c r="DF386" s="127">
        <v>0</v>
      </c>
      <c r="DG386" s="127">
        <v>0</v>
      </c>
      <c r="DH386" s="127">
        <v>0</v>
      </c>
      <c r="DI386" s="127">
        <v>0</v>
      </c>
      <c r="DJ386" s="127">
        <v>0</v>
      </c>
      <c r="DK386" s="127">
        <v>0</v>
      </c>
      <c r="DL386" s="127">
        <v>0</v>
      </c>
      <c r="DM386" s="304">
        <f>INDEX(Input!$1:$1048576,DM$93,$C386*2+6)</f>
        <v>20731.578947368424</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v>3.3947288028636918E-2</v>
      </c>
      <c r="DZ386" s="7">
        <v>0</v>
      </c>
      <c r="EA386" s="7">
        <v>0.60232982948898794</v>
      </c>
      <c r="EB386" s="7">
        <v>0</v>
      </c>
      <c r="EC386" s="7">
        <v>0</v>
      </c>
      <c r="ED386" s="7">
        <v>0</v>
      </c>
      <c r="EE386" s="7">
        <v>0</v>
      </c>
      <c r="EF386" s="7">
        <v>0</v>
      </c>
      <c r="EG386" s="7">
        <v>0</v>
      </c>
      <c r="EH386" s="7">
        <v>2.0807355019167507E-2</v>
      </c>
      <c r="EI386" s="7">
        <v>2.6379166415211583E-2</v>
      </c>
      <c r="EJ386" s="7">
        <v>0.27726934124648484</v>
      </c>
      <c r="EK386" s="7">
        <v>0.6004832286997801</v>
      </c>
      <c r="EL386" s="7">
        <v>7.5060908619355896E-2</v>
      </c>
      <c r="EM386" s="7">
        <v>3.5170386742372883E-2</v>
      </c>
      <c r="EN386" s="7">
        <v>5.8267154117661125E-2</v>
      </c>
      <c r="EO386" s="7">
        <v>0.56869891322912547</v>
      </c>
      <c r="EP386" s="7">
        <v>0.27316582053483934</v>
      </c>
      <c r="EQ386" s="7">
        <v>5.9282900719345465E-2</v>
      </c>
      <c r="ER386" s="7">
        <v>4.0585211399028508E-2</v>
      </c>
      <c r="ES386" s="7">
        <v>0.32855249574000223</v>
      </c>
      <c r="ET386" s="7">
        <v>0.36372288248237511</v>
      </c>
      <c r="EU386" s="6">
        <v>1350</v>
      </c>
      <c r="EV386" s="6">
        <v>0</v>
      </c>
      <c r="EW386" s="6">
        <v>1350</v>
      </c>
      <c r="EX386" s="6">
        <v>0</v>
      </c>
      <c r="EY386" s="6">
        <v>2216.0442819845748</v>
      </c>
      <c r="EZ386" s="6">
        <v>3456</v>
      </c>
      <c r="FA386" s="6">
        <v>0</v>
      </c>
      <c r="FB386" s="6">
        <v>0</v>
      </c>
      <c r="FC386" s="6">
        <v>0</v>
      </c>
      <c r="FD386" s="6">
        <v>0</v>
      </c>
      <c r="FE386" s="6">
        <v>0</v>
      </c>
      <c r="FF386" s="6">
        <v>0</v>
      </c>
      <c r="FG386" s="6">
        <v>0</v>
      </c>
      <c r="FH386" s="6">
        <v>1154.327629935703</v>
      </c>
      <c r="FI386" s="6">
        <v>1531.4299904380621</v>
      </c>
      <c r="FJ386" s="6">
        <v>1709.9775738488456</v>
      </c>
      <c r="FK386" s="6">
        <v>1266.3227157028191</v>
      </c>
      <c r="FL386" s="6">
        <v>893.91433563489363</v>
      </c>
      <c r="FM386" s="6">
        <v>1366.044281984575</v>
      </c>
      <c r="FN386" s="6">
        <v>0</v>
      </c>
      <c r="FO386" s="6">
        <v>0</v>
      </c>
      <c r="FP386" s="6">
        <v>0</v>
      </c>
      <c r="FQ386" s="6">
        <v>0</v>
      </c>
      <c r="FR386" s="6">
        <v>0</v>
      </c>
      <c r="FS386" s="6">
        <v>0</v>
      </c>
      <c r="FT386" s="7">
        <v>0.63627711751762484</v>
      </c>
      <c r="FU386" s="7">
        <v>3.5170386742372883E-2</v>
      </c>
      <c r="FV386" s="7">
        <v>0.32855249574000223</v>
      </c>
      <c r="FW386" s="6">
        <v>1350.0000000000002</v>
      </c>
      <c r="FX386" s="6">
        <v>2216.0442819845748</v>
      </c>
      <c r="FY386" s="6">
        <v>3456</v>
      </c>
      <c r="FZ386" s="6">
        <v>2202.331475193394</v>
      </c>
      <c r="GA386" s="6">
        <v>2072.3906683618629</v>
      </c>
      <c r="GB386" s="6">
        <v>17622.609331638138</v>
      </c>
      <c r="GC386" s="7">
        <v>4.8391397220736806E-2</v>
      </c>
      <c r="GD386" s="7">
        <v>4.703542869026852E-2</v>
      </c>
      <c r="GE386" s="7"/>
      <c r="GF386" s="7"/>
      <c r="GG386" s="7">
        <v>-2.8020859250726973E-2</v>
      </c>
      <c r="GH386" s="42">
        <v>4.2470940145736602</v>
      </c>
      <c r="GI386" s="6">
        <v>6709.6791136888824</v>
      </c>
      <c r="GJ386" s="14">
        <v>0.51074630601039528</v>
      </c>
      <c r="GK386" s="14">
        <v>0.50829519786160959</v>
      </c>
      <c r="GL386" s="14">
        <v>0.48925369398960428</v>
      </c>
      <c r="GM386" s="14">
        <v>0.4917048021383903</v>
      </c>
      <c r="GO386" s="5">
        <v>338.16872463277008</v>
      </c>
      <c r="GP386" s="5">
        <v>312.41330006058649</v>
      </c>
      <c r="GQ386" s="5">
        <v>527.27910984145694</v>
      </c>
      <c r="GR386" s="5">
        <v>404.20319246551543</v>
      </c>
      <c r="GS386" s="5">
        <v>334.50205195691484</v>
      </c>
      <c r="GT386" s="5">
        <v>289.18266033348181</v>
      </c>
      <c r="GU386" s="5">
        <v>254.29573314828914</v>
      </c>
      <c r="GV386" s="39" t="s">
        <v>392</v>
      </c>
      <c r="GW386" s="5">
        <v>468.76388888888891</v>
      </c>
      <c r="GX386" s="5">
        <v>351.57291666666669</v>
      </c>
      <c r="GY386" s="5">
        <v>287.73954748358943</v>
      </c>
      <c r="GZ386" s="5">
        <v>255.64660634518972</v>
      </c>
      <c r="HA386" s="5">
        <v>229.8919505212948</v>
      </c>
      <c r="HB386" s="39">
        <v>269.57669018815011</v>
      </c>
      <c r="HC386" s="5">
        <v>131.91562499999998</v>
      </c>
      <c r="HD386" s="5">
        <v>133.12560307017537</v>
      </c>
      <c r="HE386" s="5">
        <v>141.65089827935219</v>
      </c>
      <c r="HF386" s="5">
        <v>137.78317434210524</v>
      </c>
      <c r="HG386" s="5">
        <v>141.33493421052631</v>
      </c>
      <c r="HH386" s="39">
        <v>135.99321212768086</v>
      </c>
      <c r="HI386" s="16"/>
      <c r="HJ386" s="19" t="str">
        <f t="shared" si="1235"/>
        <v>On</v>
      </c>
      <c r="HK386" s="1" t="str">
        <f t="shared" si="1235"/>
        <v>On</v>
      </c>
      <c r="HL386" s="16"/>
      <c r="HM386" s="889">
        <f t="shared" si="1236"/>
        <v>2.8970655363290673E-2</v>
      </c>
      <c r="HN386" s="889">
        <f t="shared" si="1236"/>
        <v>2.1835179285533651E-3</v>
      </c>
      <c r="HO386" s="889">
        <f t="shared" si="1236"/>
        <v>1.5544129749146325E-2</v>
      </c>
      <c r="HP386" s="890">
        <f>(FT386*$GD386-HM386)/$JF386*INDEX(Input!$1:$1048576,$JG$93,$C386*2+6)</f>
        <v>39.466354656477058</v>
      </c>
      <c r="HQ386" s="890">
        <f>(FU386*$GD386-HN386)/$JF386*INDEX(Input!$1:$1048576,$JG$93,$C386*2+6)</f>
        <v>-21.828671297617593</v>
      </c>
      <c r="HR386" s="890">
        <f>(FV386*$GD386-HO386)/$JF386*INDEX(Input!$1:$1048576,$JG$93,$C386*2+6)</f>
        <v>-3.7334521935474458</v>
      </c>
      <c r="HS386" s="890">
        <f t="shared" si="1237"/>
        <v>-10.366612398113331</v>
      </c>
      <c r="HT386" s="890">
        <f t="shared" si="1238"/>
        <v>-3.0385484966687915</v>
      </c>
      <c r="HU386" s="890">
        <f t="shared" si="1239"/>
        <v>2.2029028139766722</v>
      </c>
      <c r="HV386" s="891">
        <f t="shared" si="1240"/>
        <v>0</v>
      </c>
      <c r="HW386" s="891">
        <f t="shared" si="1241"/>
        <v>0</v>
      </c>
      <c r="HX386" s="891">
        <f t="shared" si="1242"/>
        <v>0</v>
      </c>
      <c r="HY386" s="890">
        <f>INDEX(Input!$1:$1048576,HY$93,$C386*2+6)*INDEX(Input!$1:$1048576,$JG$93,$C386*2+6)</f>
        <v>488.99999999999994</v>
      </c>
      <c r="HZ386" s="890">
        <f>INDEX(Input!$1:$1048576,HZ$93,$C386*2+6)*INDEX(Input!$1:$1048576,$JG$93,$C386*2+6)</f>
        <v>734</v>
      </c>
      <c r="IA386" s="890">
        <f>INDEX(Input!$1:$1048576,IA$93,$C386*2+6)*INDEX(Input!$1:$1048576,$JG$93,$C386*2+6)</f>
        <v>703</v>
      </c>
      <c r="IB386" s="890">
        <f t="shared" si="1243"/>
        <v>518.09974225836356</v>
      </c>
      <c r="IC386" s="890">
        <f t="shared" si="1244"/>
        <v>709.13278020571363</v>
      </c>
      <c r="ID386" s="890">
        <f>IF(AND(INDEX(Input!$1:$1048576,IA$93,$C386*2+7)="TOS",Y386&lt;=INDEX(Y:Y,MATCH(C386*1000+2,A:A))),0,1)*MAX(IA386+HR386+HU386+HX386,0%)</f>
        <v>701.46945062042926</v>
      </c>
      <c r="IE386" s="892">
        <f t="shared" si="1245"/>
        <v>0.26862612756588028</v>
      </c>
      <c r="IF386" s="892">
        <f t="shared" si="1245"/>
        <v>0.3676735908926469</v>
      </c>
      <c r="IG386" s="892">
        <f t="shared" si="1245"/>
        <v>0.36370028154147288</v>
      </c>
      <c r="IH386" s="21"/>
      <c r="II386" s="19">
        <f t="shared" si="1246"/>
        <v>1200</v>
      </c>
      <c r="IJ386" s="19">
        <f t="shared" si="1247"/>
        <v>2224.493581030405</v>
      </c>
      <c r="IK386" s="19">
        <f t="shared" si="1247"/>
        <v>3451.75</v>
      </c>
      <c r="IL386" s="19">
        <f t="shared" si="1248"/>
        <v>150.00000000000023</v>
      </c>
      <c r="IM386" s="19">
        <f t="shared" si="1249"/>
        <v>-8.4492990458302302</v>
      </c>
      <c r="IN386" s="19">
        <f t="shared" si="1249"/>
        <v>4.25</v>
      </c>
      <c r="IO386" s="39">
        <f t="shared" si="1250"/>
        <v>0</v>
      </c>
      <c r="IP386" s="39">
        <f t="shared" si="1250"/>
        <v>0</v>
      </c>
      <c r="IQ386" s="39">
        <f t="shared" si="1250"/>
        <v>0</v>
      </c>
      <c r="IR386" s="39">
        <v>0</v>
      </c>
      <c r="IS386" s="39">
        <v>0</v>
      </c>
      <c r="IT386" s="39">
        <v>0</v>
      </c>
      <c r="IU386" s="39">
        <v>0</v>
      </c>
      <c r="IV386" s="39">
        <v>0</v>
      </c>
      <c r="IW386" s="39">
        <v>0</v>
      </c>
      <c r="IX386" s="39">
        <f>INDEX(Input!$1:$1048576,IX$93,$C386*2+6)+INDEX(Input!$1:$1048576,IX$94,$C386*2+6)</f>
        <v>1600</v>
      </c>
      <c r="IY386" s="39">
        <f>INDEX(Input!$1:$1048576,IY$93,$C386*2+6)+INDEX(Input!$1:$1048576,IY$94,$C386*2+6)</f>
        <v>2503.5492916397525</v>
      </c>
      <c r="IZ386" s="39">
        <f>INDEX(Input!$1:$1048576,IZ$93,$C386*2+6)+INDEX(Input!$1:$1048576,IZ$94,$C386*2+6)</f>
        <v>5773.7109265464023</v>
      </c>
      <c r="JA386" s="19">
        <f t="shared" si="1251"/>
        <v>1750.0000000000002</v>
      </c>
      <c r="JB386" s="19">
        <f t="shared" si="1251"/>
        <v>2495.0999925939223</v>
      </c>
      <c r="JC386" s="19">
        <f t="shared" si="1251"/>
        <v>5777.9609265464023</v>
      </c>
      <c r="JD386" s="19">
        <f t="shared" si="1252"/>
        <v>3488.9241128740709</v>
      </c>
      <c r="JE386" s="21"/>
      <c r="JF386" s="1">
        <f t="shared" si="1253"/>
        <v>4.6698303040990354E-2</v>
      </c>
      <c r="JG386" s="15">
        <f>INDEX(Input!$1:$1048576,JG$93,$C386*2+6)/(1+VLOOKUP(C386*1000+INDEX(Input!$1:$1048576,JG$93+1,$C386*2+6),$A:$KK,$JK$92,FALSE))</f>
        <v>1926</v>
      </c>
      <c r="JH386" s="1">
        <f t="shared" si="1254"/>
        <v>7.2192269809512044E-3</v>
      </c>
      <c r="JI386" s="1">
        <f t="shared" si="1255"/>
        <v>-5.8163333752883958E-3</v>
      </c>
      <c r="JJ386" s="1">
        <f t="shared" si="1256"/>
        <v>0</v>
      </c>
      <c r="JK386" s="1">
        <f t="shared" si="1257"/>
        <v>1.4028936056628086E-3</v>
      </c>
      <c r="JL386" s="15">
        <f t="shared" si="1258"/>
        <v>2.7019730845065695</v>
      </c>
      <c r="JM386" s="15">
        <f t="shared" si="1259"/>
        <v>1928.7019730845066</v>
      </c>
      <c r="JN386" s="21"/>
      <c r="JO386" s="19">
        <f>INDEX(Input!$1:$1048576,JO$93,$C386*2+6)</f>
        <v>5908.5</v>
      </c>
      <c r="JP386" s="19">
        <f>INDEX(Input!$1:$1048576,JP$93,$C386*2+6)</f>
        <v>3467.7694503767912</v>
      </c>
      <c r="JQ386" s="39">
        <f t="shared" si="1260"/>
        <v>2419.5758871259291</v>
      </c>
      <c r="JR386" s="39">
        <f t="shared" si="1261"/>
        <v>21.154662497279787</v>
      </c>
      <c r="JS386" s="39">
        <f t="shared" si="1262"/>
        <v>6.7290948204423318</v>
      </c>
      <c r="JT386" s="39">
        <f t="shared" si="1263"/>
        <v>5.0170859016631729E-2</v>
      </c>
      <c r="JU386" s="385">
        <f>(JQ386*JM386-INDEX(Input!$1:$1048576,Input!A$18,$C386*2+6)*JL386*INDEX(Input!$1:$1048576,Input!A$19,$C386*2+6))/1000000</f>
        <v>4.6666407875274745</v>
      </c>
      <c r="JV386" s="39">
        <f t="shared" si="1264"/>
        <v>-3.4206251046825287E-2</v>
      </c>
      <c r="JW386" s="1">
        <f t="shared" si="1265"/>
        <v>-7.2766143561224144E-3</v>
      </c>
      <c r="JX386" s="19">
        <f t="shared" si="1266"/>
        <v>18568.230492123446</v>
      </c>
      <c r="JZ386" s="341"/>
      <c r="KA386" s="342"/>
      <c r="KB386" s="469">
        <f t="shared" si="1267"/>
        <v>2.7822247002359868</v>
      </c>
      <c r="KI386" s="473">
        <f t="shared" si="1268"/>
        <v>29.099742258363733</v>
      </c>
      <c r="KJ386" s="473">
        <f t="shared" si="1268"/>
        <v>-24.867219794286257</v>
      </c>
      <c r="KK386" s="473">
        <f t="shared" si="1268"/>
        <v>-1.5305493795707434</v>
      </c>
      <c r="KN386" s="888">
        <f t="shared" si="1269"/>
        <v>3002</v>
      </c>
      <c r="KO386" s="893">
        <f t="shared" si="1270"/>
        <v>-6.3770579787446824E-2</v>
      </c>
      <c r="KP386" s="894">
        <f t="shared" si="1271"/>
        <v>-282.83519893012397</v>
      </c>
      <c r="KQ386" s="894">
        <f t="shared" si="1272"/>
        <v>-232.15710545130196</v>
      </c>
      <c r="KR386" s="895">
        <f t="shared" si="1273"/>
        <v>3.6016240766293177</v>
      </c>
      <c r="KS386" s="895">
        <f t="shared" si="1274"/>
        <v>4.387830646857612</v>
      </c>
      <c r="KT386" s="896">
        <f t="shared" si="1275"/>
        <v>527.01264777847621</v>
      </c>
      <c r="KU386" s="663">
        <f t="shared" si="1276"/>
        <v>15.014043765247095</v>
      </c>
    </row>
    <row r="387" spans="1:307" s="26" customFormat="1" ht="15" outlineLevel="1">
      <c r="A387" s="561">
        <f t="shared" si="1174"/>
        <v>3087</v>
      </c>
      <c r="B387" s="561">
        <f t="shared" si="1192"/>
        <v>87</v>
      </c>
      <c r="C387" s="561">
        <f t="shared" si="1193"/>
        <v>3</v>
      </c>
      <c r="D387" s="561" t="str">
        <f t="shared" si="1277"/>
        <v xml:space="preserve">250 CC, -180 Lease, </v>
      </c>
      <c r="E387" s="475">
        <f>INDEX(Input!$1:$1048576,E$93,$C387*2+MIN($B387,2)+5)
+INDEX(Scenarios!E$121:E$200,MATCH($B387,Scenarios!$B$121:$B$200,0))</f>
        <v>1500</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0</v>
      </c>
      <c r="V387" s="478">
        <f>IFERROR(MAX(0,INDEX(Input!$1:$1048576,V$93,$C387*2+MIN($B387,2)+5)
+INDEX(Scenarios!V$121:V$200,MATCH($B387,Scenarios!$B$121:$B$200,0)),),"Market")</f>
        <v>1.9E-2</v>
      </c>
      <c r="W387" s="863">
        <f>IFERROR(MAX(0,INDEX(Input!$1:$1048576,W$93,$C387*2+MIN($B387,2)+5)-0%,),"Market")</f>
        <v>3.9000000000000007E-2</v>
      </c>
      <c r="X387" s="476" t="str">
        <f>INDEX(Input!$1:$1048576,X$93,$C387*2+MIN($B387,2)+5)</f>
        <v>Y</v>
      </c>
      <c r="Y387" s="475">
        <f>INDEX(Input!$1:$1048576,Y$93,$C387*2+MIN($B387,2)+5)
++INDEX(Scenarios!Y$121:Y$200,MATCH($B387,Scenarios!$B$121:$B$200,0))</f>
        <v>3928</v>
      </c>
      <c r="Z387" s="477">
        <f>INDEX(Input!$1:$1048576,Z$93,$C387*2+MIN($B387,2)+5)
+INDEX(Scenarios!Z$121:Z$200,MATCH($B387,Scenarios!$B$121:$B$200,0))</f>
        <v>0</v>
      </c>
      <c r="AA387" s="475">
        <f>INDEX(Input!$1:$1048576,AA$93,$C387*2+MIN($B387,2)+5)</f>
        <v>500</v>
      </c>
      <c r="AB387" s="476">
        <f>INDEX(Input!$1:$1048576,AB$93,$C387*2+MIN($B387,2)+5)</f>
        <v>0.62</v>
      </c>
      <c r="AC387" s="475">
        <f>INDEX(Input!$1:$1048576,AC$93,$C387*2+MIN($B387,2)+5)
+INDEX(Scenarios!AC$121:AC$200,MATCH($B387,Scenarios!$B$121:$B$200,0))</f>
        <v>0</v>
      </c>
      <c r="AD387" s="476">
        <f>INDEX(Input!$1:$1048576,AD$93,$C387*2+MIN($B387,2)+5)</f>
        <v>0.35</v>
      </c>
      <c r="AE387" s="475">
        <f>INDEX(Input!$1:$1048576,AE$93,$C387*2+MIN($B387,2)+5)
+INDEX(Scenarios!AE$121:AE$200,MATCH($B387,Scenarios!$B$121:$B$200,0))</f>
        <v>500</v>
      </c>
      <c r="AF387" s="476">
        <f>INDEX(Input!$1:$1048576,AF$93,$C387*2+MIN($B387,2)+5)</f>
        <v>0.97</v>
      </c>
      <c r="AG387" s="475">
        <f>INDEX(Input!$1:$1048576,AG$93,$C387*2+MIN($B387,2)+5)
+INDEX(Scenarios!AG$121:AG$200,MATCH($B387,Scenarios!$B$121:$B$200,0))</f>
        <v>0</v>
      </c>
      <c r="AH387" s="476">
        <f>INDEX(Input!$1:$1048576,AH$93,$C387*2+MIN($B387,2)+5)</f>
        <v>1</v>
      </c>
      <c r="AI387" s="475">
        <f>INDEX(Input!$1:$1048576,AI$93,$C387*2+MIN($B387,2)+5)
+INDEX(Scenarios!AI$121:AI$200,MATCH($B387,Scenarios!$B$121:$B$200,0))</f>
        <v>0</v>
      </c>
      <c r="AJ387" s="476">
        <f>INDEX(Input!$1:$1048576,AJ$93,$C387*2+MIN($B387,2)+5)</f>
        <v>0.35</v>
      </c>
      <c r="AK387" s="150">
        <f>ROUND(INDEX(Input!$1:$1048576,AK$93,$C386*2+MIN($B387,1)+5)+(Y387-VLOOKUP($C387*1000+1,$A:$HH,Y$92,FALSE)),0)</f>
        <v>4802</v>
      </c>
      <c r="AL387" s="150">
        <f>ROUND(INDEX(Input!$1:$1048576,AL$93,$C386*2+MIN($B387,1)+5)-(Y387-VLOOKUP($C387*1000+1,$A:$HH,Y$92,FALSE))/36,0)</f>
        <v>5107</v>
      </c>
      <c r="AM387" s="32" t="str">
        <f t="shared" si="1175"/>
        <v>std/std/std/std</v>
      </c>
      <c r="AN387" s="32" t="str">
        <f t="shared" si="1176"/>
        <v>$0 + 0/0/0/1.9/3.9</v>
      </c>
      <c r="AO387" s="32" t="str">
        <f t="shared" si="1177"/>
        <v>0/0/0/1.9/3.9</v>
      </c>
      <c r="AP387" s="32" t="str">
        <f t="shared" si="1125"/>
        <v>0/0.9/1.9/3.9</v>
      </c>
      <c r="AQ387" s="536">
        <f t="shared" si="1124"/>
        <v>485.2885210946834</v>
      </c>
      <c r="AR387" s="32"/>
      <c r="AS387" s="302"/>
      <c r="AT387" s="3">
        <f t="shared" si="1194"/>
        <v>87</v>
      </c>
      <c r="AU387" s="41" t="s">
        <v>121</v>
      </c>
      <c r="AV387" s="41" t="s">
        <v>116</v>
      </c>
      <c r="AW387" s="41" t="str">
        <f>INDEX(Input!$1:$1048576,AW$93,$C387*2+6)</f>
        <v>Kia</v>
      </c>
      <c r="AX387" s="41" t="str">
        <f>INDEX(Input!$1:$1048576,AX$93,$C387*2+6)</f>
        <v>Kia-LR - L3</v>
      </c>
      <c r="AY387" s="41" t="str">
        <f>IF(LEN(D387)=0,"",INDEX(Input!$1:$1048576,AY$93,$C387*2+6))</f>
        <v>Compact Conventional/Sporty Car (43)</v>
      </c>
      <c r="AZ387" s="41" t="str">
        <f>INDEX(Input!$1:$1048576,AZ$93,$C387*2+6)</f>
        <v>Kia Forte</v>
      </c>
      <c r="BA387" s="3">
        <f>INDEX(Input!$1:$1048576,BA$93,$C387*2+6)</f>
        <v>2020</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19695</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1126"/>
        <v>1500</v>
      </c>
      <c r="CJ387" s="16" t="str">
        <f>INDEX(Input!$1:$1048576,CJ$93,$C387*2+6)</f>
        <v>N</v>
      </c>
      <c r="CK387" s="1" t="str">
        <f t="shared" si="1127"/>
        <v>Market</v>
      </c>
      <c r="CL387" s="1" t="str">
        <f t="shared" si="1128"/>
        <v>Market</v>
      </c>
      <c r="CM387" s="1" t="str">
        <f t="shared" si="1129"/>
        <v>Market</v>
      </c>
      <c r="CN387" s="1" t="str">
        <f t="shared" si="1130"/>
        <v>Market</v>
      </c>
      <c r="CO387" s="1" t="str">
        <f t="shared" si="1131"/>
        <v>Market</v>
      </c>
      <c r="CP387" s="304">
        <f t="shared" si="1132"/>
        <v>310</v>
      </c>
      <c r="CQ387" s="1">
        <f t="shared" si="1133"/>
        <v>0</v>
      </c>
      <c r="CR387" s="1">
        <f t="shared" si="1134"/>
        <v>0</v>
      </c>
      <c r="CS387" s="1">
        <f t="shared" si="1135"/>
        <v>0</v>
      </c>
      <c r="CT387" s="1">
        <f t="shared" si="1136"/>
        <v>1.9E-2</v>
      </c>
      <c r="CU387" s="1">
        <f t="shared" si="1137"/>
        <v>3.9000000000000007E-2</v>
      </c>
      <c r="CV387" s="304">
        <f t="shared" si="1138"/>
        <v>4413</v>
      </c>
      <c r="CW387" s="20" t="s">
        <v>122</v>
      </c>
      <c r="CX387" s="20" t="s">
        <v>122</v>
      </c>
      <c r="CY387" s="20" t="s">
        <v>122</v>
      </c>
      <c r="CZ387" s="20" t="s">
        <v>122</v>
      </c>
      <c r="DA387" s="20" t="s">
        <v>122</v>
      </c>
      <c r="DB387" s="503">
        <f t="shared" si="1139"/>
        <v>0</v>
      </c>
      <c r="DC387" s="127">
        <v>0</v>
      </c>
      <c r="DD387" s="127">
        <v>0</v>
      </c>
      <c r="DE387" s="127">
        <v>0</v>
      </c>
      <c r="DF387" s="127">
        <v>0</v>
      </c>
      <c r="DG387" s="127">
        <v>0</v>
      </c>
      <c r="DH387" s="127">
        <v>0</v>
      </c>
      <c r="DI387" s="127">
        <v>0</v>
      </c>
      <c r="DJ387" s="127">
        <v>0</v>
      </c>
      <c r="DK387" s="127">
        <v>0</v>
      </c>
      <c r="DL387" s="127">
        <v>0</v>
      </c>
      <c r="DM387" s="304">
        <f>INDEX(Input!$1:$1048576,DM$93,$C387*2+6)</f>
        <v>20731.578947368424</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v>3.5376832914440791E-2</v>
      </c>
      <c r="DZ387" s="7">
        <v>0</v>
      </c>
      <c r="EA387" s="7">
        <v>0.62351074098912307</v>
      </c>
      <c r="EB387" s="7">
        <v>0</v>
      </c>
      <c r="EC387" s="7">
        <v>0</v>
      </c>
      <c r="ED387" s="7">
        <v>0</v>
      </c>
      <c r="EE387" s="7">
        <v>0</v>
      </c>
      <c r="EF387" s="7">
        <v>0</v>
      </c>
      <c r="EG387" s="7">
        <v>0</v>
      </c>
      <c r="EH387" s="7">
        <v>1.4136289410039297E-2</v>
      </c>
      <c r="EI387" s="7">
        <v>1.7906111297555372E-2</v>
      </c>
      <c r="EJ387" s="7">
        <v>0.25772486904218261</v>
      </c>
      <c r="EK387" s="7">
        <v>0.659372020870863</v>
      </c>
      <c r="EL387" s="7">
        <v>5.0860709379359326E-2</v>
      </c>
      <c r="EM387" s="7">
        <v>4.6470842598189725E-2</v>
      </c>
      <c r="EN387" s="7">
        <v>5.8267154117661139E-2</v>
      </c>
      <c r="EO387" s="7">
        <v>0.56869891322912547</v>
      </c>
      <c r="EP387" s="7">
        <v>0.27316582053483945</v>
      </c>
      <c r="EQ387" s="7">
        <v>5.9282900719345465E-2</v>
      </c>
      <c r="ER387" s="7">
        <v>4.0585211399028515E-2</v>
      </c>
      <c r="ES387" s="7">
        <v>0.29464158349824648</v>
      </c>
      <c r="ET387" s="7">
        <v>0.34111242609643616</v>
      </c>
      <c r="EU387" s="6">
        <v>1850</v>
      </c>
      <c r="EV387" s="6">
        <v>0</v>
      </c>
      <c r="EW387" s="6">
        <v>1850</v>
      </c>
      <c r="EX387" s="6">
        <v>0</v>
      </c>
      <c r="EY387" s="6">
        <v>2624.7976968212051</v>
      </c>
      <c r="EZ387" s="6">
        <v>3456</v>
      </c>
      <c r="FA387" s="6">
        <v>0</v>
      </c>
      <c r="FB387" s="6">
        <v>0</v>
      </c>
      <c r="FC387" s="6">
        <v>0</v>
      </c>
      <c r="FD387" s="6">
        <v>0</v>
      </c>
      <c r="FE387" s="6">
        <v>0</v>
      </c>
      <c r="FF387" s="6">
        <v>0</v>
      </c>
      <c r="FG387" s="6">
        <v>0</v>
      </c>
      <c r="FH387" s="6">
        <v>1154.325078890357</v>
      </c>
      <c r="FI387" s="6">
        <v>1531.4299904380618</v>
      </c>
      <c r="FJ387" s="6">
        <v>2070.7205842538219</v>
      </c>
      <c r="FK387" s="6">
        <v>1746.9903521590438</v>
      </c>
      <c r="FL387" s="6">
        <v>893.91433563489375</v>
      </c>
      <c r="FM387" s="6">
        <v>1774.7976968212054</v>
      </c>
      <c r="FN387" s="6">
        <v>0</v>
      </c>
      <c r="FO387" s="6">
        <v>0</v>
      </c>
      <c r="FP387" s="6">
        <v>0</v>
      </c>
      <c r="FQ387" s="6">
        <v>0</v>
      </c>
      <c r="FR387" s="6">
        <v>0</v>
      </c>
      <c r="FS387" s="6">
        <v>0</v>
      </c>
      <c r="FT387" s="7">
        <v>0.65888757390356389</v>
      </c>
      <c r="FU387" s="7">
        <v>4.6470842598189725E-2</v>
      </c>
      <c r="FV387" s="7">
        <v>0.29464158349824648</v>
      </c>
      <c r="FW387" s="6">
        <v>1850</v>
      </c>
      <c r="FX387" s="6">
        <v>2624.7976968212051</v>
      </c>
      <c r="FY387" s="6">
        <v>3456</v>
      </c>
      <c r="FZ387" s="6">
        <v>2202.331475193394</v>
      </c>
      <c r="GA387" s="6">
        <v>2359.1998849126021</v>
      </c>
      <c r="GB387" s="6">
        <v>17335.800115087397</v>
      </c>
      <c r="GC387" s="7">
        <v>4.8391397220736806E-2</v>
      </c>
      <c r="GD387" s="7">
        <v>4.9433838023920429E-2</v>
      </c>
      <c r="GE387" s="7"/>
      <c r="GF387" s="7"/>
      <c r="GG387" s="7">
        <v>2.1541862046853918E-2</v>
      </c>
      <c r="GH387" s="42">
        <v>2.7046042843949198</v>
      </c>
      <c r="GI387" s="6">
        <v>9641.2263586694535</v>
      </c>
      <c r="GJ387" s="14">
        <v>0.5107463060103955</v>
      </c>
      <c r="GK387" s="14">
        <v>0.50829519786160959</v>
      </c>
      <c r="GL387" s="14">
        <v>0.48925369398960417</v>
      </c>
      <c r="GM387" s="14">
        <v>0.4917048021383903</v>
      </c>
      <c r="GO387" s="5">
        <v>338.16872463277008</v>
      </c>
      <c r="GP387" s="5">
        <v>302.87425392274076</v>
      </c>
      <c r="GQ387" s="5">
        <v>527.27910984145694</v>
      </c>
      <c r="GR387" s="5">
        <v>404.20319246551543</v>
      </c>
      <c r="GS387" s="5">
        <v>334.50205195691484</v>
      </c>
      <c r="GT387" s="5">
        <v>289.18266033348181</v>
      </c>
      <c r="GU387" s="5">
        <v>254.29573314828914</v>
      </c>
      <c r="GV387" s="39" t="s">
        <v>392</v>
      </c>
      <c r="GW387" s="5">
        <v>468.76388888888891</v>
      </c>
      <c r="GX387" s="5">
        <v>351.57291666666669</v>
      </c>
      <c r="GY387" s="5">
        <v>281.25833333333333</v>
      </c>
      <c r="GZ387" s="5">
        <v>248.18079879493993</v>
      </c>
      <c r="HA387" s="5">
        <v>229.8919505212948</v>
      </c>
      <c r="HB387" s="39">
        <v>260.74509542558644</v>
      </c>
      <c r="HC387" s="5">
        <v>131.91562499999998</v>
      </c>
      <c r="HD387" s="5">
        <v>133.12560307017537</v>
      </c>
      <c r="HE387" s="5">
        <v>141.65089827935219</v>
      </c>
      <c r="HF387" s="5">
        <v>137.78317434210524</v>
      </c>
      <c r="HG387" s="5">
        <v>141.33493421052631</v>
      </c>
      <c r="HH387" s="39">
        <v>135.99321212768086</v>
      </c>
      <c r="HI387" s="16"/>
      <c r="HJ387" s="19" t="str">
        <f t="shared" si="1235"/>
        <v>On</v>
      </c>
      <c r="HK387" s="1" t="str">
        <f t="shared" si="1235"/>
        <v>On</v>
      </c>
      <c r="HL387" s="16"/>
      <c r="HM387" s="889">
        <f t="shared" si="1236"/>
        <v>2.8970655363290673E-2</v>
      </c>
      <c r="HN387" s="889">
        <f t="shared" si="1236"/>
        <v>2.1835179285533651E-3</v>
      </c>
      <c r="HO387" s="889">
        <f t="shared" si="1236"/>
        <v>1.5544129749146325E-2</v>
      </c>
      <c r="HP387" s="890">
        <f>(FT387*$GD387-HM387)/$JF387*INDEX(Input!$1:$1048576,$JG$93,$C387*2+6)</f>
        <v>148.5047902948503</v>
      </c>
      <c r="HQ387" s="890">
        <f>(FU387*$GD387-HN387)/$JF387*INDEX(Input!$1:$1048576,$JG$93,$C387*2+6)</f>
        <v>4.6899671118730604</v>
      </c>
      <c r="HR387" s="890">
        <f>(FV387*$GD387-HO387)/$JF387*INDEX(Input!$1:$1048576,$JG$93,$C387*2+6)</f>
        <v>-40.371805949608003</v>
      </c>
      <c r="HS387" s="890">
        <f t="shared" si="1237"/>
        <v>-45.372193611863096</v>
      </c>
      <c r="HT387" s="890">
        <f t="shared" si="1238"/>
        <v>50.182898323282686</v>
      </c>
      <c r="HU387" s="890">
        <f t="shared" si="1239"/>
        <v>8.6689573812112162</v>
      </c>
      <c r="HV387" s="891">
        <f t="shared" si="1240"/>
        <v>0</v>
      </c>
      <c r="HW387" s="891">
        <f t="shared" si="1241"/>
        <v>0</v>
      </c>
      <c r="HX387" s="891">
        <f t="shared" si="1242"/>
        <v>0</v>
      </c>
      <c r="HY387" s="890">
        <f>INDEX(Input!$1:$1048576,HY$93,$C387*2+6)*INDEX(Input!$1:$1048576,$JG$93,$C387*2+6)</f>
        <v>488.99999999999994</v>
      </c>
      <c r="HZ387" s="890">
        <f>INDEX(Input!$1:$1048576,HZ$93,$C387*2+6)*INDEX(Input!$1:$1048576,$JG$93,$C387*2+6)</f>
        <v>734</v>
      </c>
      <c r="IA387" s="890">
        <f>INDEX(Input!$1:$1048576,IA$93,$C387*2+6)*INDEX(Input!$1:$1048576,$JG$93,$C387*2+6)</f>
        <v>703</v>
      </c>
      <c r="IB387" s="890">
        <f t="shared" si="1243"/>
        <v>592.13259668298713</v>
      </c>
      <c r="IC387" s="890">
        <f t="shared" si="1244"/>
        <v>788.87286543515575</v>
      </c>
      <c r="ID387" s="890">
        <f>IF(AND(INDEX(Input!$1:$1048576,IA$93,$C387*2+7)="TOS",Y387&lt;=INDEX(Y:Y,MATCH(C387*1000+2,A:A))),0,1)*MAX(IA387+HR387+HU387+HX387,0%)</f>
        <v>671.29715143160331</v>
      </c>
      <c r="IE387" s="892">
        <f t="shared" si="1245"/>
        <v>0.28852109468340564</v>
      </c>
      <c r="IF387" s="892">
        <f t="shared" si="1245"/>
        <v>0.38438428145383935</v>
      </c>
      <c r="IG387" s="892">
        <f t="shared" si="1245"/>
        <v>0.32709462386275501</v>
      </c>
      <c r="IH387" s="21"/>
      <c r="II387" s="19">
        <f t="shared" si="1246"/>
        <v>1200</v>
      </c>
      <c r="IJ387" s="19">
        <f t="shared" si="1247"/>
        <v>2224.493581030405</v>
      </c>
      <c r="IK387" s="19">
        <f t="shared" si="1247"/>
        <v>3451.75</v>
      </c>
      <c r="IL387" s="19">
        <f t="shared" si="1248"/>
        <v>650</v>
      </c>
      <c r="IM387" s="19">
        <f t="shared" si="1249"/>
        <v>400.3041157908001</v>
      </c>
      <c r="IN387" s="19">
        <f t="shared" si="1249"/>
        <v>4.25</v>
      </c>
      <c r="IO387" s="39">
        <f t="shared" si="1250"/>
        <v>0</v>
      </c>
      <c r="IP387" s="39">
        <f t="shared" si="1250"/>
        <v>0</v>
      </c>
      <c r="IQ387" s="39">
        <f t="shared" si="1250"/>
        <v>0</v>
      </c>
      <c r="IR387" s="39">
        <v>0</v>
      </c>
      <c r="IS387" s="39">
        <v>0</v>
      </c>
      <c r="IT387" s="39">
        <v>0</v>
      </c>
      <c r="IU387" s="39">
        <v>0</v>
      </c>
      <c r="IV387" s="39">
        <v>0</v>
      </c>
      <c r="IW387" s="39">
        <v>0</v>
      </c>
      <c r="IX387" s="39">
        <f>INDEX(Input!$1:$1048576,IX$93,$C387*2+6)+INDEX(Input!$1:$1048576,IX$94,$C387*2+6)</f>
        <v>1600</v>
      </c>
      <c r="IY387" s="39">
        <f>INDEX(Input!$1:$1048576,IY$93,$C387*2+6)+INDEX(Input!$1:$1048576,IY$94,$C387*2+6)</f>
        <v>2503.5492916397525</v>
      </c>
      <c r="IZ387" s="39">
        <f>INDEX(Input!$1:$1048576,IZ$93,$C387*2+6)+INDEX(Input!$1:$1048576,IZ$94,$C387*2+6)</f>
        <v>5773.7109265464023</v>
      </c>
      <c r="JA387" s="19">
        <f t="shared" si="1251"/>
        <v>2250</v>
      </c>
      <c r="JB387" s="19">
        <f t="shared" si="1251"/>
        <v>2903.8534074305526</v>
      </c>
      <c r="JC387" s="19">
        <f t="shared" si="1251"/>
        <v>5777.9609265464023</v>
      </c>
      <c r="JD387" s="19">
        <f t="shared" si="1252"/>
        <v>3655.3080244625298</v>
      </c>
      <c r="JE387" s="21"/>
      <c r="JF387" s="1">
        <f t="shared" si="1253"/>
        <v>4.6698303040990354E-2</v>
      </c>
      <c r="JG387" s="15">
        <f>INDEX(Input!$1:$1048576,JG$93,$C387*2+6)/(1+VLOOKUP(C387*1000+INDEX(Input!$1:$1048576,JG$93+1,$C387*2+6),$A:$KK,$JK$92,FALSE))</f>
        <v>1926</v>
      </c>
      <c r="JH387" s="1">
        <f t="shared" si="1254"/>
        <v>5.857889483754692E-2</v>
      </c>
      <c r="JI387" s="1">
        <f t="shared" si="1255"/>
        <v>6.9987861332454857E-3</v>
      </c>
      <c r="JJ387" s="1">
        <f t="shared" si="1256"/>
        <v>0</v>
      </c>
      <c r="JK387" s="1">
        <f t="shared" si="1257"/>
        <v>6.5577680970792404E-2</v>
      </c>
      <c r="JL387" s="15">
        <f t="shared" si="1258"/>
        <v>126.30261354974617</v>
      </c>
      <c r="JM387" s="15">
        <f t="shared" si="1259"/>
        <v>2052.3026135497462</v>
      </c>
      <c r="JN387" s="21"/>
      <c r="JO387" s="19">
        <f>INDEX(Input!$1:$1048576,JO$93,$C387*2+6)</f>
        <v>5908.5</v>
      </c>
      <c r="JP387" s="19">
        <f>INDEX(Input!$1:$1048576,JP$93,$C387*2+6)</f>
        <v>3467.7694503767912</v>
      </c>
      <c r="JQ387" s="39">
        <f t="shared" si="1260"/>
        <v>2253.1919755374702</v>
      </c>
      <c r="JR387" s="39">
        <f t="shared" si="1261"/>
        <v>187.53857408573867</v>
      </c>
      <c r="JS387" s="39">
        <f t="shared" si="1262"/>
        <v>7.5017982119338091</v>
      </c>
      <c r="JT387" s="39">
        <f t="shared" si="1263"/>
        <v>0.82287425050810914</v>
      </c>
      <c r="JU387" s="385">
        <f>(JQ387*JM387-INDEX(Input!$1:$1048576,Input!A$18,$C387*2+6)*JL387*INDEX(Input!$1:$1048576,Input!A$19,$C387*2+6))/1000000</f>
        <v>4.624231780224866</v>
      </c>
      <c r="JV387" s="39">
        <f t="shared" si="1264"/>
        <v>-7.6615258349433724E-2</v>
      </c>
      <c r="JW387" s="1">
        <f t="shared" si="1265"/>
        <v>-1.6298181523615379E-2</v>
      </c>
      <c r="JX387" s="19">
        <f t="shared" si="1266"/>
        <v>6515.1007360905305</v>
      </c>
      <c r="JZ387" s="341"/>
      <c r="KA387" s="342"/>
      <c r="KB387" s="469">
        <f t="shared" si="1267"/>
        <v>2.7822247002359868</v>
      </c>
      <c r="KI387" s="473">
        <f t="shared" si="1268"/>
        <v>103.13259668298718</v>
      </c>
      <c r="KJ387" s="473">
        <f t="shared" si="1268"/>
        <v>54.872865435155745</v>
      </c>
      <c r="KK387" s="473">
        <f t="shared" si="1268"/>
        <v>-31.702848568396689</v>
      </c>
      <c r="KN387" s="888">
        <f t="shared" si="1269"/>
        <v>3002</v>
      </c>
      <c r="KO387" s="893">
        <f t="shared" si="1270"/>
        <v>-3.7724268454415455E-3</v>
      </c>
      <c r="KP387" s="894">
        <f t="shared" si="1271"/>
        <v>13.331879546335372</v>
      </c>
      <c r="KQ387" s="894">
        <f t="shared" si="1272"/>
        <v>-65.773193862843073</v>
      </c>
      <c r="KR387" s="895">
        <f t="shared" si="1273"/>
        <v>-4.5200258395266166</v>
      </c>
      <c r="KS387" s="895">
        <f t="shared" si="1274"/>
        <v>0.91618540167828011</v>
      </c>
      <c r="KT387" s="896">
        <f t="shared" si="1275"/>
        <v>527.01264777847621</v>
      </c>
      <c r="KU387" s="663">
        <f t="shared" si="1276"/>
        <v>15.594297078935378</v>
      </c>
    </row>
    <row r="388" spans="1:307" s="26" customFormat="1" ht="15" outlineLevel="1">
      <c r="A388" s="561">
        <f t="shared" si="1174"/>
        <v>3088</v>
      </c>
      <c r="B388" s="561">
        <f t="shared" si="1192"/>
        <v>88</v>
      </c>
      <c r="C388" s="561">
        <f t="shared" si="1193"/>
        <v>3</v>
      </c>
      <c r="D388" s="561" t="str">
        <f t="shared" si="1277"/>
        <v/>
      </c>
      <c r="E388" s="475">
        <f>INDEX(Input!$1:$1048576,E$93,$C388*2+MIN($B388,2)+5)
+INDEX(Scenarios!E$121:E$200,MATCH($B388,Scenarios!$B$121:$B$200,0))</f>
        <v>1250</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0</v>
      </c>
      <c r="V388" s="478">
        <f>IFERROR(MAX(0,INDEX(Input!$1:$1048576,V$93,$C388*2+MIN($B388,2)+5)
+INDEX(Scenarios!V$121:V$200,MATCH($B388,Scenarios!$B$121:$B$200,0)),),"Market")</f>
        <v>1.9E-2</v>
      </c>
      <c r="W388" s="863">
        <f>IFERROR(MAX(0,INDEX(Input!$1:$1048576,W$93,$C388*2+MIN($B388,2)+5)-0%,),"Market")</f>
        <v>3.9000000000000007E-2</v>
      </c>
      <c r="X388" s="476" t="str">
        <f>INDEX(Input!$1:$1048576,X$93,$C388*2+MIN($B388,2)+5)</f>
        <v>Y</v>
      </c>
      <c r="Y388" s="475">
        <f>INDEX(Input!$1:$1048576,Y$93,$C388*2+MIN($B388,2)+5)
++INDEX(Scenarios!Y$121:Y$200,MATCH($B388,Scenarios!$B$121:$B$200,0))</f>
        <v>4108</v>
      </c>
      <c r="Z388" s="477">
        <f>INDEX(Input!$1:$1048576,Z$93,$C388*2+MIN($B388,2)+5)
+INDEX(Scenarios!Z$121:Z$200,MATCH($B388,Scenarios!$B$121:$B$200,0))</f>
        <v>0</v>
      </c>
      <c r="AA388" s="475">
        <f>INDEX(Input!$1:$1048576,AA$93,$C388*2+MIN($B388,2)+5)</f>
        <v>500</v>
      </c>
      <c r="AB388" s="476">
        <f>INDEX(Input!$1:$1048576,AB$93,$C388*2+MIN($B388,2)+5)</f>
        <v>0.62</v>
      </c>
      <c r="AC388" s="475">
        <f>INDEX(Input!$1:$1048576,AC$93,$C388*2+MIN($B388,2)+5)
+INDEX(Scenarios!AC$121:AC$200,MATCH($B388,Scenarios!$B$121:$B$200,0))</f>
        <v>0</v>
      </c>
      <c r="AD388" s="476">
        <f>INDEX(Input!$1:$1048576,AD$93,$C388*2+MIN($B388,2)+5)</f>
        <v>0.35</v>
      </c>
      <c r="AE388" s="475">
        <f>INDEX(Input!$1:$1048576,AE$93,$C388*2+MIN($B388,2)+5)
+INDEX(Scenarios!AE$121:AE$200,MATCH($B388,Scenarios!$B$121:$B$200,0))</f>
        <v>500</v>
      </c>
      <c r="AF388" s="476">
        <f>INDEX(Input!$1:$1048576,AF$93,$C388*2+MIN($B388,2)+5)</f>
        <v>0.97</v>
      </c>
      <c r="AG388" s="475">
        <f>INDEX(Input!$1:$1048576,AG$93,$C388*2+MIN($B388,2)+5)
+INDEX(Scenarios!AG$121:AG$200,MATCH($B388,Scenarios!$B$121:$B$200,0))</f>
        <v>0</v>
      </c>
      <c r="AH388" s="476">
        <f>INDEX(Input!$1:$1048576,AH$93,$C388*2+MIN($B388,2)+5)</f>
        <v>1</v>
      </c>
      <c r="AI388" s="475">
        <f>INDEX(Input!$1:$1048576,AI$93,$C388*2+MIN($B388,2)+5)
+INDEX(Scenarios!AI$121:AI$200,MATCH($B388,Scenarios!$B$121:$B$200,0))</f>
        <v>0</v>
      </c>
      <c r="AJ388" s="476">
        <f>INDEX(Input!$1:$1048576,AJ$93,$C388*2+MIN($B388,2)+5)</f>
        <v>0.35</v>
      </c>
      <c r="AK388" s="150">
        <f>ROUND(INDEX(Input!$1:$1048576,AK$93,$C387*2+MIN($B388,1)+5)+(Y388-VLOOKUP($C388*1000+1,$A:$HH,Y$92,FALSE)),0)</f>
        <v>4982</v>
      </c>
      <c r="AL388" s="150">
        <f>ROUND(INDEX(Input!$1:$1048576,AL$93,$C387*2+MIN($B388,1)+5)-(Y388-VLOOKUP($C388*1000+1,$A:$HH,Y$92,FALSE))/36,0)</f>
        <v>5102</v>
      </c>
      <c r="AM388" s="32" t="str">
        <f t="shared" si="1175"/>
        <v>std/std/std/std</v>
      </c>
      <c r="AN388" s="32" t="str">
        <f t="shared" si="1176"/>
        <v>$0 + 0/0/0/1.9/3.9</v>
      </c>
      <c r="AO388" s="32" t="str">
        <f t="shared" si="1177"/>
        <v>0/0/0/1.9/3.9</v>
      </c>
      <c r="AP388" s="32" t="str">
        <f t="shared" si="1125"/>
        <v>0/0.9/1.9/3.9</v>
      </c>
      <c r="AQ388" s="536">
        <f t="shared" si="1124"/>
        <v>485</v>
      </c>
      <c r="AR388" s="32"/>
      <c r="AS388" s="302"/>
      <c r="AT388" s="3">
        <f t="shared" si="1194"/>
        <v>88</v>
      </c>
      <c r="AU388" s="41" t="s">
        <v>121</v>
      </c>
      <c r="AV388" s="41" t="s">
        <v>116</v>
      </c>
      <c r="AW388" s="41" t="str">
        <f>INDEX(Input!$1:$1048576,AW$93,$C388*2+6)</f>
        <v>Kia</v>
      </c>
      <c r="AX388" s="41" t="str">
        <f>INDEX(Input!$1:$1048576,AX$93,$C388*2+6)</f>
        <v>Kia-LR - L3</v>
      </c>
      <c r="AY388" s="41" t="str">
        <f>IF(LEN(D388)=0,"",INDEX(Input!$1:$1048576,AY$93,$C388*2+6))</f>
        <v/>
      </c>
      <c r="AZ388" s="41" t="str">
        <f>INDEX(Input!$1:$1048576,AZ$93,$C388*2+6)</f>
        <v>Kia Forte</v>
      </c>
      <c r="BA388" s="3">
        <f>INDEX(Input!$1:$1048576,BA$93,$C388*2+6)</f>
        <v>2020</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19695</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1126"/>
        <v>1250</v>
      </c>
      <c r="CJ388" s="16" t="str">
        <f>INDEX(Input!$1:$1048576,CJ$93,$C388*2+6)</f>
        <v>N</v>
      </c>
      <c r="CK388" s="1" t="str">
        <f t="shared" si="1127"/>
        <v>Market</v>
      </c>
      <c r="CL388" s="1" t="str">
        <f t="shared" si="1128"/>
        <v>Market</v>
      </c>
      <c r="CM388" s="1" t="str">
        <f t="shared" si="1129"/>
        <v>Market</v>
      </c>
      <c r="CN388" s="1" t="str">
        <f t="shared" si="1130"/>
        <v>Market</v>
      </c>
      <c r="CO388" s="1" t="str">
        <f t="shared" si="1131"/>
        <v>Market</v>
      </c>
      <c r="CP388" s="304">
        <f t="shared" si="1132"/>
        <v>310</v>
      </c>
      <c r="CQ388" s="1">
        <f t="shared" si="1133"/>
        <v>0</v>
      </c>
      <c r="CR388" s="1">
        <f t="shared" si="1134"/>
        <v>0</v>
      </c>
      <c r="CS388" s="1">
        <f t="shared" si="1135"/>
        <v>0</v>
      </c>
      <c r="CT388" s="1">
        <f t="shared" si="1136"/>
        <v>1.9E-2</v>
      </c>
      <c r="CU388" s="1">
        <f t="shared" si="1137"/>
        <v>3.9000000000000007E-2</v>
      </c>
      <c r="CV388" s="304">
        <f t="shared" si="1138"/>
        <v>4593</v>
      </c>
      <c r="CW388" s="20" t="s">
        <v>122</v>
      </c>
      <c r="CX388" s="20" t="s">
        <v>122</v>
      </c>
      <c r="CY388" s="20" t="s">
        <v>122</v>
      </c>
      <c r="CZ388" s="20" t="s">
        <v>122</v>
      </c>
      <c r="DA388" s="20" t="s">
        <v>122</v>
      </c>
      <c r="DB388" s="503">
        <f t="shared" si="1139"/>
        <v>0</v>
      </c>
      <c r="DC388" s="127">
        <v>0</v>
      </c>
      <c r="DD388" s="127">
        <v>0</v>
      </c>
      <c r="DE388" s="127">
        <v>0</v>
      </c>
      <c r="DF388" s="127">
        <v>0</v>
      </c>
      <c r="DG388" s="127">
        <v>0</v>
      </c>
      <c r="DH388" s="127">
        <v>0</v>
      </c>
      <c r="DI388" s="127">
        <v>0</v>
      </c>
      <c r="DJ388" s="127">
        <v>0</v>
      </c>
      <c r="DK388" s="127">
        <v>0</v>
      </c>
      <c r="DL388" s="127">
        <v>0</v>
      </c>
      <c r="DM388" s="304">
        <f>INDEX(Input!$1:$1048576,DM$93,$C388*2+6)</f>
        <v>20731.578947368424</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c r="DZ388" s="7"/>
      <c r="EA388" s="7"/>
      <c r="EB388" s="7"/>
      <c r="EC388" s="7"/>
      <c r="ED388" s="7"/>
      <c r="EE388" s="7"/>
      <c r="EF388" s="7"/>
      <c r="EG388" s="7"/>
      <c r="EH388" s="7"/>
      <c r="EI388" s="7"/>
      <c r="EJ388" s="7"/>
      <c r="EK388" s="7"/>
      <c r="EL388" s="7"/>
      <c r="EM388" s="7"/>
      <c r="EN388" s="7"/>
      <c r="EO388" s="7"/>
      <c r="EP388" s="7"/>
      <c r="EQ388" s="7"/>
      <c r="ER388" s="7"/>
      <c r="ES388" s="7"/>
      <c r="ET388" s="7"/>
      <c r="EU388" s="6"/>
      <c r="EV388" s="6"/>
      <c r="EW388" s="6"/>
      <c r="EX388" s="6"/>
      <c r="EY388" s="6"/>
      <c r="EZ388" s="6"/>
      <c r="FA388" s="6"/>
      <c r="FB388" s="6"/>
      <c r="FC388" s="6"/>
      <c r="FD388" s="6"/>
      <c r="FE388" s="6"/>
      <c r="FF388" s="6"/>
      <c r="FG388" s="6"/>
      <c r="FH388" s="6"/>
      <c r="FI388" s="6"/>
      <c r="FJ388" s="6"/>
      <c r="FK388" s="6"/>
      <c r="FL388" s="6"/>
      <c r="FM388" s="6"/>
      <c r="FN388" s="6"/>
      <c r="FO388" s="6"/>
      <c r="FP388" s="6"/>
      <c r="FQ388" s="6"/>
      <c r="FR388" s="6"/>
      <c r="FS388" s="6"/>
      <c r="FT388" s="7"/>
      <c r="FU388" s="7"/>
      <c r="FV388" s="7"/>
      <c r="FW388" s="6"/>
      <c r="FX388" s="6"/>
      <c r="FY388" s="6"/>
      <c r="FZ388" s="6"/>
      <c r="GA388" s="6"/>
      <c r="GB388" s="6"/>
      <c r="GC388" s="7"/>
      <c r="GD388" s="7"/>
      <c r="GE388" s="7"/>
      <c r="GF388" s="7"/>
      <c r="GG388" s="7"/>
      <c r="GH388" s="42"/>
      <c r="GI388" s="6"/>
      <c r="GJ388" s="14"/>
      <c r="GK388" s="14"/>
      <c r="GL388" s="14"/>
      <c r="GM388" s="14"/>
      <c r="GO388" s="5"/>
      <c r="GP388" s="5"/>
      <c r="GQ388" s="5"/>
      <c r="GR388" s="5"/>
      <c r="GS388" s="5"/>
      <c r="GT388" s="5"/>
      <c r="GU388" s="5"/>
      <c r="GV388" s="39"/>
      <c r="GW388" s="5"/>
      <c r="GX388" s="5"/>
      <c r="GY388" s="5"/>
      <c r="GZ388" s="5"/>
      <c r="HA388" s="5"/>
      <c r="HB388" s="39"/>
      <c r="HC388" s="5"/>
      <c r="HD388" s="5"/>
      <c r="HE388" s="5"/>
      <c r="HF388" s="5"/>
      <c r="HG388" s="5"/>
      <c r="HH388" s="39"/>
      <c r="HI388" s="16"/>
      <c r="HJ388" s="19"/>
      <c r="HK388" s="1"/>
      <c r="HL388" s="16"/>
      <c r="HM388" s="1"/>
      <c r="HN388" s="1"/>
      <c r="HO388" s="1"/>
      <c r="HP388" s="1"/>
      <c r="HQ388" s="1"/>
      <c r="HR388" s="1"/>
      <c r="HS388" s="1"/>
      <c r="HT388" s="1"/>
      <c r="HU388" s="1"/>
      <c r="HV388" s="1"/>
      <c r="HW388" s="1"/>
      <c r="HX388" s="1"/>
      <c r="HY388" s="1"/>
      <c r="HZ388" s="1"/>
      <c r="IA388" s="1"/>
      <c r="IB388" s="1"/>
      <c r="IC388" s="1"/>
      <c r="ID388" s="1"/>
      <c r="IE388" s="1"/>
      <c r="IF388" s="1"/>
      <c r="IG388" s="1"/>
      <c r="IH388" s="21"/>
      <c r="II388" s="19"/>
      <c r="IJ388" s="19"/>
      <c r="IK388" s="19"/>
      <c r="IL388" s="19"/>
      <c r="IM388" s="19"/>
      <c r="IN388" s="19"/>
      <c r="IO388" s="39"/>
      <c r="IP388" s="39"/>
      <c r="IQ388" s="39"/>
      <c r="IR388" s="39"/>
      <c r="IS388" s="39"/>
      <c r="IT388" s="39"/>
      <c r="IU388" s="39"/>
      <c r="IV388" s="39"/>
      <c r="IW388" s="39"/>
      <c r="IX388" s="39"/>
      <c r="IY388" s="39"/>
      <c r="IZ388" s="39"/>
      <c r="JA388" s="19"/>
      <c r="JB388" s="19"/>
      <c r="JC388" s="19"/>
      <c r="JD388" s="19"/>
      <c r="JE388" s="21"/>
      <c r="JF388" s="1"/>
      <c r="JG388" s="15"/>
      <c r="JH388" s="1"/>
      <c r="JI388" s="1"/>
      <c r="JJ388" s="1"/>
      <c r="JK388" s="1"/>
      <c r="JL388" s="15"/>
      <c r="JM388" s="15"/>
      <c r="JN388" s="21"/>
      <c r="JO388" s="19"/>
      <c r="JP388" s="19"/>
      <c r="JQ388" s="39"/>
      <c r="JR388" s="39"/>
      <c r="JS388" s="39"/>
      <c r="JT388" s="39"/>
      <c r="JU388" s="385"/>
      <c r="JV388" s="39"/>
      <c r="JW388" s="1"/>
      <c r="JX388" s="19"/>
      <c r="JZ388" s="341"/>
      <c r="KA388" s="342"/>
      <c r="KB388" s="469"/>
      <c r="KI388" s="473"/>
      <c r="KJ388" s="473"/>
      <c r="KK388" s="473"/>
    </row>
    <row r="389" spans="1:307" s="26" customFormat="1" ht="15" outlineLevel="1">
      <c r="A389" s="561">
        <f t="shared" si="1174"/>
        <v>3089</v>
      </c>
      <c r="B389" s="561">
        <f t="shared" si="1192"/>
        <v>89</v>
      </c>
      <c r="C389" s="561">
        <f t="shared" si="1193"/>
        <v>3</v>
      </c>
      <c r="D389" s="561" t="str">
        <f t="shared" si="1277"/>
        <v/>
      </c>
      <c r="E389" s="475">
        <f>INDEX(Input!$1:$1048576,E$93,$C389*2+MIN($B389,2)+5)
+INDEX(Scenarios!E$121:E$200,MATCH($B389,Scenarios!$B$121:$B$200,0))</f>
        <v>1250</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0</v>
      </c>
      <c r="V389" s="478">
        <f>IFERROR(MAX(0,INDEX(Input!$1:$1048576,V$93,$C389*2+MIN($B389,2)+5)
+INDEX(Scenarios!V$121:V$200,MATCH($B389,Scenarios!$B$121:$B$200,0)),),"Market")</f>
        <v>1.9E-2</v>
      </c>
      <c r="W389" s="863">
        <f>IFERROR(MAX(0,INDEX(Input!$1:$1048576,W$93,$C389*2+MIN($B389,2)+5)-0%,),"Market")</f>
        <v>3.9000000000000007E-2</v>
      </c>
      <c r="X389" s="476" t="str">
        <f>INDEX(Input!$1:$1048576,X$93,$C389*2+MIN($B389,2)+5)</f>
        <v>Y</v>
      </c>
      <c r="Y389" s="475">
        <f>INDEX(Input!$1:$1048576,Y$93,$C389*2+MIN($B389,2)+5)
++INDEX(Scenarios!Y$121:Y$200,MATCH($B389,Scenarios!$B$121:$B$200,0))</f>
        <v>4108</v>
      </c>
      <c r="Z389" s="477">
        <f>INDEX(Input!$1:$1048576,Z$93,$C389*2+MIN($B389,2)+5)
+INDEX(Scenarios!Z$121:Z$200,MATCH($B389,Scenarios!$B$121:$B$200,0))</f>
        <v>0</v>
      </c>
      <c r="AA389" s="475">
        <f>INDEX(Input!$1:$1048576,AA$93,$C389*2+MIN($B389,2)+5)</f>
        <v>500</v>
      </c>
      <c r="AB389" s="476">
        <f>INDEX(Input!$1:$1048576,AB$93,$C389*2+MIN($B389,2)+5)</f>
        <v>0.62</v>
      </c>
      <c r="AC389" s="475">
        <f>INDEX(Input!$1:$1048576,AC$93,$C389*2+MIN($B389,2)+5)
+INDEX(Scenarios!AC$121:AC$200,MATCH($B389,Scenarios!$B$121:$B$200,0))</f>
        <v>0</v>
      </c>
      <c r="AD389" s="476">
        <f>INDEX(Input!$1:$1048576,AD$93,$C389*2+MIN($B389,2)+5)</f>
        <v>0.35</v>
      </c>
      <c r="AE389" s="475">
        <f>INDEX(Input!$1:$1048576,AE$93,$C389*2+MIN($B389,2)+5)
+INDEX(Scenarios!AE$121:AE$200,MATCH($B389,Scenarios!$B$121:$B$200,0))</f>
        <v>500</v>
      </c>
      <c r="AF389" s="476">
        <f>INDEX(Input!$1:$1048576,AF$93,$C389*2+MIN($B389,2)+5)</f>
        <v>0.97</v>
      </c>
      <c r="AG389" s="475">
        <f>INDEX(Input!$1:$1048576,AG$93,$C389*2+MIN($B389,2)+5)
+INDEX(Scenarios!AG$121:AG$200,MATCH($B389,Scenarios!$B$121:$B$200,0))</f>
        <v>0</v>
      </c>
      <c r="AH389" s="476">
        <f>INDEX(Input!$1:$1048576,AH$93,$C389*2+MIN($B389,2)+5)</f>
        <v>1</v>
      </c>
      <c r="AI389" s="475">
        <f>INDEX(Input!$1:$1048576,AI$93,$C389*2+MIN($B389,2)+5)
+INDEX(Scenarios!AI$121:AI$200,MATCH($B389,Scenarios!$B$121:$B$200,0))</f>
        <v>0</v>
      </c>
      <c r="AJ389" s="476">
        <f>INDEX(Input!$1:$1048576,AJ$93,$C389*2+MIN($B389,2)+5)</f>
        <v>0.35</v>
      </c>
      <c r="AK389" s="150">
        <f>ROUND(INDEX(Input!$1:$1048576,AK$93,$C388*2+MIN($B389,1)+5)+(Y389-VLOOKUP($C389*1000+1,$A:$HH,Y$92,FALSE)),0)</f>
        <v>4982</v>
      </c>
      <c r="AL389" s="150">
        <f>ROUND(INDEX(Input!$1:$1048576,AL$93,$C388*2+MIN($B389,1)+5)-(Y389-VLOOKUP($C389*1000+1,$A:$HH,Y$92,FALSE))/36,0)</f>
        <v>5102</v>
      </c>
      <c r="AM389" s="32" t="str">
        <f t="shared" si="1175"/>
        <v>std/std/std/std</v>
      </c>
      <c r="AN389" s="32" t="str">
        <f t="shared" si="1176"/>
        <v>$0 + 0/0/0/1.9/3.9</v>
      </c>
      <c r="AO389" s="32" t="str">
        <f t="shared" si="1177"/>
        <v>0/0/0/1.9/3.9</v>
      </c>
      <c r="AP389" s="32" t="str">
        <f t="shared" si="1125"/>
        <v>0/0.9/1.9/3.9</v>
      </c>
      <c r="AQ389" s="536">
        <f t="shared" si="1124"/>
        <v>485</v>
      </c>
      <c r="AR389" s="32"/>
      <c r="AS389" s="302"/>
      <c r="AT389" s="3">
        <f t="shared" si="1194"/>
        <v>89</v>
      </c>
      <c r="AU389" s="41" t="s">
        <v>121</v>
      </c>
      <c r="AV389" s="41" t="s">
        <v>116</v>
      </c>
      <c r="AW389" s="41" t="str">
        <f>INDEX(Input!$1:$1048576,AW$93,$C389*2+6)</f>
        <v>Kia</v>
      </c>
      <c r="AX389" s="41" t="str">
        <f>INDEX(Input!$1:$1048576,AX$93,$C389*2+6)</f>
        <v>Kia-LR - L3</v>
      </c>
      <c r="AY389" s="41" t="str">
        <f>IF(LEN(D389)=0,"",INDEX(Input!$1:$1048576,AY$93,$C389*2+6))</f>
        <v/>
      </c>
      <c r="AZ389" s="41" t="str">
        <f>INDEX(Input!$1:$1048576,AZ$93,$C389*2+6)</f>
        <v>Kia Forte</v>
      </c>
      <c r="BA389" s="3">
        <f>INDEX(Input!$1:$1048576,BA$93,$C389*2+6)</f>
        <v>2020</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19695</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1126"/>
        <v>1250</v>
      </c>
      <c r="CJ389" s="16" t="str">
        <f>INDEX(Input!$1:$1048576,CJ$93,$C389*2+6)</f>
        <v>N</v>
      </c>
      <c r="CK389" s="1" t="str">
        <f t="shared" si="1127"/>
        <v>Market</v>
      </c>
      <c r="CL389" s="1" t="str">
        <f t="shared" si="1128"/>
        <v>Market</v>
      </c>
      <c r="CM389" s="1" t="str">
        <f t="shared" si="1129"/>
        <v>Market</v>
      </c>
      <c r="CN389" s="1" t="str">
        <f t="shared" si="1130"/>
        <v>Market</v>
      </c>
      <c r="CO389" s="1" t="str">
        <f t="shared" si="1131"/>
        <v>Market</v>
      </c>
      <c r="CP389" s="304">
        <f t="shared" si="1132"/>
        <v>310</v>
      </c>
      <c r="CQ389" s="1">
        <f t="shared" si="1133"/>
        <v>0</v>
      </c>
      <c r="CR389" s="1">
        <f t="shared" si="1134"/>
        <v>0</v>
      </c>
      <c r="CS389" s="1">
        <f t="shared" si="1135"/>
        <v>0</v>
      </c>
      <c r="CT389" s="1">
        <f t="shared" si="1136"/>
        <v>1.9E-2</v>
      </c>
      <c r="CU389" s="1">
        <f t="shared" si="1137"/>
        <v>3.9000000000000007E-2</v>
      </c>
      <c r="CV389" s="304">
        <f t="shared" si="1138"/>
        <v>4593</v>
      </c>
      <c r="CW389" s="20" t="s">
        <v>122</v>
      </c>
      <c r="CX389" s="20" t="s">
        <v>122</v>
      </c>
      <c r="CY389" s="20" t="s">
        <v>122</v>
      </c>
      <c r="CZ389" s="20" t="s">
        <v>122</v>
      </c>
      <c r="DA389" s="20" t="s">
        <v>122</v>
      </c>
      <c r="DB389" s="503">
        <f t="shared" si="1139"/>
        <v>0</v>
      </c>
      <c r="DC389" s="127">
        <v>0</v>
      </c>
      <c r="DD389" s="127">
        <v>0</v>
      </c>
      <c r="DE389" s="127">
        <v>0</v>
      </c>
      <c r="DF389" s="127">
        <v>0</v>
      </c>
      <c r="DG389" s="127">
        <v>0</v>
      </c>
      <c r="DH389" s="127">
        <v>0</v>
      </c>
      <c r="DI389" s="127">
        <v>0</v>
      </c>
      <c r="DJ389" s="127">
        <v>0</v>
      </c>
      <c r="DK389" s="127">
        <v>0</v>
      </c>
      <c r="DL389" s="127">
        <v>0</v>
      </c>
      <c r="DM389" s="304">
        <f>INDEX(Input!$1:$1048576,DM$93,$C389*2+6)</f>
        <v>20731.578947368424</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c r="DZ389" s="7"/>
      <c r="EA389" s="7"/>
      <c r="EB389" s="7"/>
      <c r="EC389" s="7"/>
      <c r="ED389" s="7"/>
      <c r="EE389" s="7"/>
      <c r="EF389" s="7"/>
      <c r="EG389" s="7"/>
      <c r="EH389" s="7"/>
      <c r="EI389" s="7"/>
      <c r="EJ389" s="7"/>
      <c r="EK389" s="7"/>
      <c r="EL389" s="7"/>
      <c r="EM389" s="7"/>
      <c r="EN389" s="7"/>
      <c r="EO389" s="7"/>
      <c r="EP389" s="7"/>
      <c r="EQ389" s="7"/>
      <c r="ER389" s="7"/>
      <c r="ES389" s="7"/>
      <c r="ET389" s="7"/>
      <c r="EU389" s="6"/>
      <c r="EV389" s="6"/>
      <c r="EW389" s="6"/>
      <c r="EX389" s="6"/>
      <c r="EY389" s="6"/>
      <c r="EZ389" s="6"/>
      <c r="FA389" s="6"/>
      <c r="FB389" s="6"/>
      <c r="FC389" s="6"/>
      <c r="FD389" s="6"/>
      <c r="FE389" s="6"/>
      <c r="FF389" s="6"/>
      <c r="FG389" s="6"/>
      <c r="FH389" s="6"/>
      <c r="FI389" s="6"/>
      <c r="FJ389" s="6"/>
      <c r="FK389" s="6"/>
      <c r="FL389" s="6"/>
      <c r="FM389" s="6"/>
      <c r="FN389" s="6"/>
      <c r="FO389" s="6"/>
      <c r="FP389" s="6"/>
      <c r="FQ389" s="6"/>
      <c r="FR389" s="6"/>
      <c r="FS389" s="6"/>
      <c r="FT389" s="7"/>
      <c r="FU389" s="7"/>
      <c r="FV389" s="7"/>
      <c r="FW389" s="6"/>
      <c r="FX389" s="6"/>
      <c r="FY389" s="6"/>
      <c r="FZ389" s="6"/>
      <c r="GA389" s="6"/>
      <c r="GB389" s="6"/>
      <c r="GC389" s="7"/>
      <c r="GD389" s="7"/>
      <c r="GE389" s="7"/>
      <c r="GF389" s="7"/>
      <c r="GG389" s="7"/>
      <c r="GH389" s="42"/>
      <c r="GI389" s="6"/>
      <c r="GJ389" s="14"/>
      <c r="GK389" s="14"/>
      <c r="GL389" s="14"/>
      <c r="GM389" s="14"/>
      <c r="GO389" s="5"/>
      <c r="GP389" s="5"/>
      <c r="GQ389" s="5"/>
      <c r="GR389" s="5"/>
      <c r="GS389" s="5"/>
      <c r="GT389" s="5"/>
      <c r="GU389" s="5"/>
      <c r="GV389" s="39"/>
      <c r="GW389" s="5"/>
      <c r="GX389" s="5"/>
      <c r="GY389" s="5"/>
      <c r="GZ389" s="5"/>
      <c r="HA389" s="5"/>
      <c r="HB389" s="39"/>
      <c r="HC389" s="5"/>
      <c r="HD389" s="5"/>
      <c r="HE389" s="5"/>
      <c r="HF389" s="5"/>
      <c r="HG389" s="5"/>
      <c r="HH389" s="39"/>
      <c r="HI389" s="16"/>
      <c r="HJ389" s="19"/>
      <c r="HK389" s="1"/>
      <c r="HL389" s="16"/>
      <c r="HM389" s="1"/>
      <c r="HN389" s="1"/>
      <c r="HO389" s="1"/>
      <c r="HP389" s="1"/>
      <c r="HQ389" s="1"/>
      <c r="HR389" s="1"/>
      <c r="HS389" s="1"/>
      <c r="HT389" s="1"/>
      <c r="HU389" s="1"/>
      <c r="HV389" s="1"/>
      <c r="HW389" s="1"/>
      <c r="HX389" s="1"/>
      <c r="HY389" s="1"/>
      <c r="HZ389" s="1"/>
      <c r="IA389" s="1"/>
      <c r="IB389" s="1"/>
      <c r="IC389" s="1"/>
      <c r="ID389" s="1"/>
      <c r="IE389" s="1"/>
      <c r="IF389" s="1"/>
      <c r="IG389" s="1"/>
      <c r="IH389" s="21"/>
      <c r="II389" s="19"/>
      <c r="IJ389" s="19"/>
      <c r="IK389" s="19"/>
      <c r="IL389" s="19"/>
      <c r="IM389" s="19"/>
      <c r="IN389" s="19"/>
      <c r="IO389" s="39"/>
      <c r="IP389" s="39"/>
      <c r="IQ389" s="39"/>
      <c r="IR389" s="39"/>
      <c r="IS389" s="39"/>
      <c r="IT389" s="39"/>
      <c r="IU389" s="39"/>
      <c r="IV389" s="39"/>
      <c r="IW389" s="39"/>
      <c r="IX389" s="39"/>
      <c r="IY389" s="39"/>
      <c r="IZ389" s="39"/>
      <c r="JA389" s="19"/>
      <c r="JB389" s="19"/>
      <c r="JC389" s="19"/>
      <c r="JD389" s="19"/>
      <c r="JE389" s="21"/>
      <c r="JF389" s="1"/>
      <c r="JG389" s="15"/>
      <c r="JH389" s="1"/>
      <c r="JI389" s="1"/>
      <c r="JJ389" s="1"/>
      <c r="JK389" s="1"/>
      <c r="JL389" s="15"/>
      <c r="JM389" s="15"/>
      <c r="JN389" s="21"/>
      <c r="JO389" s="19"/>
      <c r="JP389" s="19"/>
      <c r="JQ389" s="39"/>
      <c r="JR389" s="39"/>
      <c r="JS389" s="39"/>
      <c r="JT389" s="39"/>
      <c r="JU389" s="385"/>
      <c r="JV389" s="39"/>
      <c r="JW389" s="1"/>
      <c r="JX389" s="19"/>
      <c r="JZ389" s="341"/>
      <c r="KA389" s="342"/>
      <c r="KB389" s="469"/>
      <c r="KI389" s="473"/>
      <c r="KJ389" s="473"/>
      <c r="KK389" s="473"/>
    </row>
    <row r="390" spans="1:307" s="26" customFormat="1" ht="15" outlineLevel="1">
      <c r="A390" s="561">
        <f t="shared" si="1174"/>
        <v>3090</v>
      </c>
      <c r="B390" s="561">
        <f t="shared" si="1192"/>
        <v>90</v>
      </c>
      <c r="C390" s="561">
        <f t="shared" si="1193"/>
        <v>3</v>
      </c>
      <c r="D390" s="561" t="str">
        <f t="shared" si="1277"/>
        <v/>
      </c>
      <c r="E390" s="475">
        <f>INDEX(Input!$1:$1048576,E$93,$C390*2+MIN($B390,2)+5)
+INDEX(Scenarios!E$121:E$200,MATCH($B390,Scenarios!$B$121:$B$200,0))</f>
        <v>1250</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0</v>
      </c>
      <c r="V390" s="478">
        <f>IFERROR(MAX(0,INDEX(Input!$1:$1048576,V$93,$C390*2+MIN($B390,2)+5)
+INDEX(Scenarios!V$121:V$200,MATCH($B390,Scenarios!$B$121:$B$200,0)),),"Market")</f>
        <v>1.9E-2</v>
      </c>
      <c r="W390" s="863">
        <f>IFERROR(MAX(0,INDEX(Input!$1:$1048576,W$93,$C390*2+MIN($B390,2)+5)-0%,),"Market")</f>
        <v>3.9000000000000007E-2</v>
      </c>
      <c r="X390" s="476" t="str">
        <f>INDEX(Input!$1:$1048576,X$93,$C390*2+MIN($B390,2)+5)</f>
        <v>Y</v>
      </c>
      <c r="Y390" s="475">
        <f>INDEX(Input!$1:$1048576,Y$93,$C390*2+MIN($B390,2)+5)
++INDEX(Scenarios!Y$121:Y$200,MATCH($B390,Scenarios!$B$121:$B$200,0))</f>
        <v>4108</v>
      </c>
      <c r="Z390" s="477">
        <f>INDEX(Input!$1:$1048576,Z$93,$C390*2+MIN($B390,2)+5)
+INDEX(Scenarios!Z$121:Z$200,MATCH($B390,Scenarios!$B$121:$B$200,0))</f>
        <v>0</v>
      </c>
      <c r="AA390" s="475">
        <f>INDEX(Input!$1:$1048576,AA$93,$C390*2+MIN($B390,2)+5)</f>
        <v>500</v>
      </c>
      <c r="AB390" s="476">
        <f>INDEX(Input!$1:$1048576,AB$93,$C390*2+MIN($B390,2)+5)</f>
        <v>0.62</v>
      </c>
      <c r="AC390" s="475">
        <f>INDEX(Input!$1:$1048576,AC$93,$C390*2+MIN($B390,2)+5)
+INDEX(Scenarios!AC$121:AC$200,MATCH($B390,Scenarios!$B$121:$B$200,0))</f>
        <v>0</v>
      </c>
      <c r="AD390" s="476">
        <f>INDEX(Input!$1:$1048576,AD$93,$C390*2+MIN($B390,2)+5)</f>
        <v>0.35</v>
      </c>
      <c r="AE390" s="475">
        <f>INDEX(Input!$1:$1048576,AE$93,$C390*2+MIN($B390,2)+5)
+INDEX(Scenarios!AE$121:AE$200,MATCH($B390,Scenarios!$B$121:$B$200,0))</f>
        <v>500</v>
      </c>
      <c r="AF390" s="476">
        <f>INDEX(Input!$1:$1048576,AF$93,$C390*2+MIN($B390,2)+5)</f>
        <v>0.97</v>
      </c>
      <c r="AG390" s="475">
        <f>INDEX(Input!$1:$1048576,AG$93,$C390*2+MIN($B390,2)+5)
+INDEX(Scenarios!AG$121:AG$200,MATCH($B390,Scenarios!$B$121:$B$200,0))</f>
        <v>0</v>
      </c>
      <c r="AH390" s="476">
        <f>INDEX(Input!$1:$1048576,AH$93,$C390*2+MIN($B390,2)+5)</f>
        <v>1</v>
      </c>
      <c r="AI390" s="475">
        <f>INDEX(Input!$1:$1048576,AI$93,$C390*2+MIN($B390,2)+5)
+INDEX(Scenarios!AI$121:AI$200,MATCH($B390,Scenarios!$B$121:$B$200,0))</f>
        <v>0</v>
      </c>
      <c r="AJ390" s="476">
        <f>INDEX(Input!$1:$1048576,AJ$93,$C390*2+MIN($B390,2)+5)</f>
        <v>0.35</v>
      </c>
      <c r="AK390" s="150">
        <f>ROUND(INDEX(Input!$1:$1048576,AK$93,$C389*2+MIN($B390,1)+5)+(Y390-VLOOKUP($C390*1000+1,$A:$HH,Y$92,FALSE)),0)</f>
        <v>4982</v>
      </c>
      <c r="AL390" s="150">
        <f>ROUND(INDEX(Input!$1:$1048576,AL$93,$C389*2+MIN($B390,1)+5)-(Y390-VLOOKUP($C390*1000+1,$A:$HH,Y$92,FALSE))/36,0)</f>
        <v>5102</v>
      </c>
      <c r="AM390" s="32" t="str">
        <f t="shared" si="1175"/>
        <v>std/std/std/std</v>
      </c>
      <c r="AN390" s="32" t="str">
        <f t="shared" si="1176"/>
        <v>$0 + 0/0/0/1.9/3.9</v>
      </c>
      <c r="AO390" s="32" t="str">
        <f t="shared" si="1177"/>
        <v>0/0/0/1.9/3.9</v>
      </c>
      <c r="AP390" s="32" t="str">
        <f t="shared" si="1125"/>
        <v>0/0.9/1.9/3.9</v>
      </c>
      <c r="AQ390" s="536">
        <f t="shared" si="1124"/>
        <v>485</v>
      </c>
      <c r="AR390" s="32"/>
      <c r="AS390" s="302"/>
      <c r="AT390" s="3">
        <f t="shared" si="1194"/>
        <v>90</v>
      </c>
      <c r="AU390" s="41" t="s">
        <v>121</v>
      </c>
      <c r="AV390" s="41" t="s">
        <v>116</v>
      </c>
      <c r="AW390" s="41" t="str">
        <f>INDEX(Input!$1:$1048576,AW$93,$C390*2+6)</f>
        <v>Kia</v>
      </c>
      <c r="AX390" s="41" t="str">
        <f>INDEX(Input!$1:$1048576,AX$93,$C390*2+6)</f>
        <v>Kia-LR - L3</v>
      </c>
      <c r="AY390" s="41" t="str">
        <f>IF(LEN(D390)=0,"",INDEX(Input!$1:$1048576,AY$93,$C390*2+6))</f>
        <v/>
      </c>
      <c r="AZ390" s="41" t="str">
        <f>INDEX(Input!$1:$1048576,AZ$93,$C390*2+6)</f>
        <v>Kia Forte</v>
      </c>
      <c r="BA390" s="3">
        <f>INDEX(Input!$1:$1048576,BA$93,$C390*2+6)</f>
        <v>2020</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19695</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1126"/>
        <v>1250</v>
      </c>
      <c r="CJ390" s="16" t="str">
        <f>INDEX(Input!$1:$1048576,CJ$93,$C390*2+6)</f>
        <v>N</v>
      </c>
      <c r="CK390" s="1" t="str">
        <f t="shared" si="1127"/>
        <v>Market</v>
      </c>
      <c r="CL390" s="1" t="str">
        <f t="shared" si="1128"/>
        <v>Market</v>
      </c>
      <c r="CM390" s="1" t="str">
        <f t="shared" si="1129"/>
        <v>Market</v>
      </c>
      <c r="CN390" s="1" t="str">
        <f t="shared" si="1130"/>
        <v>Market</v>
      </c>
      <c r="CO390" s="1" t="str">
        <f t="shared" si="1131"/>
        <v>Market</v>
      </c>
      <c r="CP390" s="304">
        <f t="shared" si="1132"/>
        <v>310</v>
      </c>
      <c r="CQ390" s="1">
        <f t="shared" si="1133"/>
        <v>0</v>
      </c>
      <c r="CR390" s="1">
        <f t="shared" si="1134"/>
        <v>0</v>
      </c>
      <c r="CS390" s="1">
        <f t="shared" si="1135"/>
        <v>0</v>
      </c>
      <c r="CT390" s="1">
        <f t="shared" si="1136"/>
        <v>1.9E-2</v>
      </c>
      <c r="CU390" s="1">
        <f t="shared" si="1137"/>
        <v>3.9000000000000007E-2</v>
      </c>
      <c r="CV390" s="304">
        <f t="shared" si="1138"/>
        <v>4593</v>
      </c>
      <c r="CW390" s="20" t="s">
        <v>122</v>
      </c>
      <c r="CX390" s="20" t="s">
        <v>122</v>
      </c>
      <c r="CY390" s="20" t="s">
        <v>122</v>
      </c>
      <c r="CZ390" s="20" t="s">
        <v>122</v>
      </c>
      <c r="DA390" s="20" t="s">
        <v>122</v>
      </c>
      <c r="DB390" s="503">
        <f t="shared" si="1139"/>
        <v>0</v>
      </c>
      <c r="DC390" s="127">
        <v>0</v>
      </c>
      <c r="DD390" s="127">
        <v>0</v>
      </c>
      <c r="DE390" s="127">
        <v>0</v>
      </c>
      <c r="DF390" s="127">
        <v>0</v>
      </c>
      <c r="DG390" s="127">
        <v>0</v>
      </c>
      <c r="DH390" s="127">
        <v>0</v>
      </c>
      <c r="DI390" s="127">
        <v>0</v>
      </c>
      <c r="DJ390" s="127">
        <v>0</v>
      </c>
      <c r="DK390" s="127">
        <v>0</v>
      </c>
      <c r="DL390" s="127">
        <v>0</v>
      </c>
      <c r="DM390" s="304">
        <f>INDEX(Input!$1:$1048576,DM$93,$C390*2+6)</f>
        <v>20731.578947368424</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c r="DZ390" s="7"/>
      <c r="EA390" s="7"/>
      <c r="EB390" s="7"/>
      <c r="EC390" s="7"/>
      <c r="ED390" s="7"/>
      <c r="EE390" s="7"/>
      <c r="EF390" s="7"/>
      <c r="EG390" s="7"/>
      <c r="EH390" s="7"/>
      <c r="EI390" s="7"/>
      <c r="EJ390" s="7"/>
      <c r="EK390" s="7"/>
      <c r="EL390" s="7"/>
      <c r="EM390" s="7"/>
      <c r="EN390" s="7"/>
      <c r="EO390" s="7"/>
      <c r="EP390" s="7"/>
      <c r="EQ390" s="7"/>
      <c r="ER390" s="7"/>
      <c r="ES390" s="7"/>
      <c r="ET390" s="7"/>
      <c r="EU390" s="6"/>
      <c r="EV390" s="6"/>
      <c r="EW390" s="6"/>
      <c r="EX390" s="6"/>
      <c r="EY390" s="6"/>
      <c r="EZ390" s="6"/>
      <c r="FA390" s="6"/>
      <c r="FB390" s="6"/>
      <c r="FC390" s="6"/>
      <c r="FD390" s="6"/>
      <c r="FE390" s="6"/>
      <c r="FF390" s="6"/>
      <c r="FG390" s="6"/>
      <c r="FH390" s="6"/>
      <c r="FI390" s="6"/>
      <c r="FJ390" s="6"/>
      <c r="FK390" s="6"/>
      <c r="FL390" s="6"/>
      <c r="FM390" s="6"/>
      <c r="FN390" s="6"/>
      <c r="FO390" s="6"/>
      <c r="FP390" s="6"/>
      <c r="FQ390" s="6"/>
      <c r="FR390" s="6"/>
      <c r="FS390" s="6"/>
      <c r="FT390" s="7"/>
      <c r="FU390" s="7"/>
      <c r="FV390" s="7"/>
      <c r="FW390" s="6"/>
      <c r="FX390" s="6"/>
      <c r="FY390" s="6"/>
      <c r="FZ390" s="6"/>
      <c r="GA390" s="6"/>
      <c r="GB390" s="6"/>
      <c r="GC390" s="7"/>
      <c r="GD390" s="7"/>
      <c r="GE390" s="7"/>
      <c r="GF390" s="7"/>
      <c r="GG390" s="7"/>
      <c r="GH390" s="42"/>
      <c r="GI390" s="6"/>
      <c r="GJ390" s="14"/>
      <c r="GK390" s="14"/>
      <c r="GL390" s="14"/>
      <c r="GM390" s="14"/>
      <c r="GO390" s="5"/>
      <c r="GP390" s="5"/>
      <c r="GQ390" s="5"/>
      <c r="GR390" s="5"/>
      <c r="GS390" s="5"/>
      <c r="GT390" s="5"/>
      <c r="GU390" s="5"/>
      <c r="GV390" s="39"/>
      <c r="GW390" s="5"/>
      <c r="GX390" s="5"/>
      <c r="GY390" s="5"/>
      <c r="GZ390" s="5"/>
      <c r="HA390" s="5"/>
      <c r="HB390" s="39"/>
      <c r="HC390" s="5"/>
      <c r="HD390" s="5"/>
      <c r="HE390" s="5"/>
      <c r="HF390" s="5"/>
      <c r="HG390" s="5"/>
      <c r="HH390" s="39"/>
      <c r="HI390" s="16"/>
      <c r="HJ390" s="19"/>
      <c r="HK390" s="1"/>
      <c r="HL390" s="16"/>
      <c r="HM390" s="1"/>
      <c r="HN390" s="1"/>
      <c r="HO390" s="1"/>
      <c r="HP390" s="1"/>
      <c r="HQ390" s="1"/>
      <c r="HR390" s="1"/>
      <c r="HS390" s="1"/>
      <c r="HT390" s="1"/>
      <c r="HU390" s="1"/>
      <c r="HV390" s="1"/>
      <c r="HW390" s="1"/>
      <c r="HX390" s="1"/>
      <c r="HY390" s="1"/>
      <c r="HZ390" s="1"/>
      <c r="IA390" s="1"/>
      <c r="IB390" s="1"/>
      <c r="IC390" s="1"/>
      <c r="ID390" s="1"/>
      <c r="IE390" s="1"/>
      <c r="IF390" s="1"/>
      <c r="IG390" s="1"/>
      <c r="IH390" s="21"/>
      <c r="II390" s="19"/>
      <c r="IJ390" s="19"/>
      <c r="IK390" s="19"/>
      <c r="IL390" s="19"/>
      <c r="IM390" s="19"/>
      <c r="IN390" s="19"/>
      <c r="IO390" s="39"/>
      <c r="IP390" s="39"/>
      <c r="IQ390" s="39"/>
      <c r="IR390" s="39"/>
      <c r="IS390" s="39"/>
      <c r="IT390" s="39"/>
      <c r="IU390" s="39"/>
      <c r="IV390" s="39"/>
      <c r="IW390" s="39"/>
      <c r="IX390" s="39"/>
      <c r="IY390" s="39"/>
      <c r="IZ390" s="39"/>
      <c r="JA390" s="19"/>
      <c r="JB390" s="19"/>
      <c r="JC390" s="19"/>
      <c r="JD390" s="19"/>
      <c r="JE390" s="21"/>
      <c r="JF390" s="1"/>
      <c r="JG390" s="15"/>
      <c r="JH390" s="1"/>
      <c r="JI390" s="1"/>
      <c r="JJ390" s="1"/>
      <c r="JK390" s="1"/>
      <c r="JL390" s="15"/>
      <c r="JM390" s="15"/>
      <c r="JN390" s="21"/>
      <c r="JO390" s="19"/>
      <c r="JP390" s="19"/>
      <c r="JQ390" s="39"/>
      <c r="JR390" s="39"/>
      <c r="JS390" s="39"/>
      <c r="JT390" s="39"/>
      <c r="JU390" s="385"/>
      <c r="JV390" s="39"/>
      <c r="JW390" s="1"/>
      <c r="JX390" s="19"/>
      <c r="JZ390" s="341"/>
      <c r="KA390" s="342"/>
      <c r="KB390" s="469"/>
      <c r="KI390" s="473"/>
      <c r="KJ390" s="473"/>
      <c r="KK390" s="473"/>
    </row>
    <row r="391" spans="1:307" s="26" customFormat="1" ht="15" outlineLevel="1">
      <c r="A391" s="561">
        <f t="shared" si="1174"/>
        <v>3091</v>
      </c>
      <c r="B391" s="561">
        <f t="shared" si="1192"/>
        <v>91</v>
      </c>
      <c r="C391" s="561">
        <f t="shared" si="1193"/>
        <v>3</v>
      </c>
      <c r="D391" s="561" t="str">
        <f t="shared" si="1277"/>
        <v/>
      </c>
      <c r="E391" s="475">
        <f>INDEX(Input!$1:$1048576,E$93,$C391*2+MIN($B391,2)+5)
+INDEX(Scenarios!E$121:E$200,MATCH($B391,Scenarios!$B$121:$B$200,0))</f>
        <v>1250</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0</v>
      </c>
      <c r="V391" s="478">
        <f>IFERROR(MAX(0,INDEX(Input!$1:$1048576,V$93,$C391*2+MIN($B391,2)+5)
+INDEX(Scenarios!V$121:V$200,MATCH($B391,Scenarios!$B$121:$B$200,0)),),"Market")</f>
        <v>1.9E-2</v>
      </c>
      <c r="W391" s="863">
        <f>IFERROR(MAX(0,INDEX(Input!$1:$1048576,W$93,$C391*2+MIN($B391,2)+5)-0%,),"Market")</f>
        <v>3.9000000000000007E-2</v>
      </c>
      <c r="X391" s="476" t="str">
        <f>INDEX(Input!$1:$1048576,X$93,$C391*2+MIN($B391,2)+5)</f>
        <v>Y</v>
      </c>
      <c r="Y391" s="475">
        <f>INDEX(Input!$1:$1048576,Y$93,$C391*2+MIN($B391,2)+5)
++INDEX(Scenarios!Y$121:Y$200,MATCH($B391,Scenarios!$B$121:$B$200,0))</f>
        <v>4108</v>
      </c>
      <c r="Z391" s="477">
        <f>INDEX(Input!$1:$1048576,Z$93,$C391*2+MIN($B391,2)+5)
+INDEX(Scenarios!Z$121:Z$200,MATCH($B391,Scenarios!$B$121:$B$200,0))</f>
        <v>0</v>
      </c>
      <c r="AA391" s="475">
        <f>INDEX(Input!$1:$1048576,AA$93,$C391*2+MIN($B391,2)+5)</f>
        <v>500</v>
      </c>
      <c r="AB391" s="476">
        <f>INDEX(Input!$1:$1048576,AB$93,$C391*2+MIN($B391,2)+5)</f>
        <v>0.62</v>
      </c>
      <c r="AC391" s="475">
        <f>INDEX(Input!$1:$1048576,AC$93,$C391*2+MIN($B391,2)+5)
+INDEX(Scenarios!AC$121:AC$200,MATCH($B391,Scenarios!$B$121:$B$200,0))</f>
        <v>0</v>
      </c>
      <c r="AD391" s="476">
        <f>INDEX(Input!$1:$1048576,AD$93,$C391*2+MIN($B391,2)+5)</f>
        <v>0.35</v>
      </c>
      <c r="AE391" s="475">
        <f>INDEX(Input!$1:$1048576,AE$93,$C391*2+MIN($B391,2)+5)
+INDEX(Scenarios!AE$121:AE$200,MATCH($B391,Scenarios!$B$121:$B$200,0))</f>
        <v>500</v>
      </c>
      <c r="AF391" s="476">
        <f>INDEX(Input!$1:$1048576,AF$93,$C391*2+MIN($B391,2)+5)</f>
        <v>0.97</v>
      </c>
      <c r="AG391" s="475">
        <f>INDEX(Input!$1:$1048576,AG$93,$C391*2+MIN($B391,2)+5)
+INDEX(Scenarios!AG$121:AG$200,MATCH($B391,Scenarios!$B$121:$B$200,0))</f>
        <v>0</v>
      </c>
      <c r="AH391" s="476">
        <f>INDEX(Input!$1:$1048576,AH$93,$C391*2+MIN($B391,2)+5)</f>
        <v>1</v>
      </c>
      <c r="AI391" s="475">
        <f>INDEX(Input!$1:$1048576,AI$93,$C391*2+MIN($B391,2)+5)
+INDEX(Scenarios!AI$121:AI$200,MATCH($B391,Scenarios!$B$121:$B$200,0))</f>
        <v>0</v>
      </c>
      <c r="AJ391" s="476">
        <f>INDEX(Input!$1:$1048576,AJ$93,$C391*2+MIN($B391,2)+5)</f>
        <v>0.35</v>
      </c>
      <c r="AK391" s="150">
        <f>ROUND(INDEX(Input!$1:$1048576,AK$93,$C390*2+MIN($B391,1)+5)+(Y391-VLOOKUP($C391*1000+1,$A:$HH,Y$92,FALSE)),0)</f>
        <v>4982</v>
      </c>
      <c r="AL391" s="150">
        <f>ROUND(INDEX(Input!$1:$1048576,AL$93,$C390*2+MIN($B391,1)+5)-(Y391-VLOOKUP($C391*1000+1,$A:$HH,Y$92,FALSE))/36,0)</f>
        <v>5102</v>
      </c>
      <c r="AM391" s="32" t="str">
        <f t="shared" si="1175"/>
        <v>std/std/std/std</v>
      </c>
      <c r="AN391" s="32" t="str">
        <f t="shared" si="1176"/>
        <v>$0 + 0/0/0/1.9/3.9</v>
      </c>
      <c r="AO391" s="32" t="str">
        <f t="shared" si="1177"/>
        <v>0/0/0/1.9/3.9</v>
      </c>
      <c r="AP391" s="32" t="str">
        <f t="shared" si="1125"/>
        <v>0/0.9/1.9/3.9</v>
      </c>
      <c r="AQ391" s="536">
        <f t="shared" si="1124"/>
        <v>485</v>
      </c>
      <c r="AR391" s="32"/>
      <c r="AS391" s="302"/>
      <c r="AT391" s="3">
        <f t="shared" si="1194"/>
        <v>91</v>
      </c>
      <c r="AU391" s="41" t="s">
        <v>121</v>
      </c>
      <c r="AV391" s="41" t="s">
        <v>116</v>
      </c>
      <c r="AW391" s="41" t="str">
        <f>INDEX(Input!$1:$1048576,AW$93,$C391*2+6)</f>
        <v>Kia</v>
      </c>
      <c r="AX391" s="41" t="str">
        <f>INDEX(Input!$1:$1048576,AX$93,$C391*2+6)</f>
        <v>Kia-LR - L3</v>
      </c>
      <c r="AY391" s="41" t="str">
        <f>IF(LEN(D391)=0,"",INDEX(Input!$1:$1048576,AY$93,$C391*2+6))</f>
        <v/>
      </c>
      <c r="AZ391" s="41" t="str">
        <f>INDEX(Input!$1:$1048576,AZ$93,$C391*2+6)</f>
        <v>Kia Forte</v>
      </c>
      <c r="BA391" s="3">
        <f>INDEX(Input!$1:$1048576,BA$93,$C391*2+6)</f>
        <v>2020</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19695</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1126"/>
        <v>1250</v>
      </c>
      <c r="CJ391" s="16" t="str">
        <f>INDEX(Input!$1:$1048576,CJ$93,$C391*2+6)</f>
        <v>N</v>
      </c>
      <c r="CK391" s="1" t="str">
        <f t="shared" si="1127"/>
        <v>Market</v>
      </c>
      <c r="CL391" s="1" t="str">
        <f t="shared" si="1128"/>
        <v>Market</v>
      </c>
      <c r="CM391" s="1" t="str">
        <f t="shared" si="1129"/>
        <v>Market</v>
      </c>
      <c r="CN391" s="1" t="str">
        <f t="shared" si="1130"/>
        <v>Market</v>
      </c>
      <c r="CO391" s="1" t="str">
        <f t="shared" si="1131"/>
        <v>Market</v>
      </c>
      <c r="CP391" s="304">
        <f t="shared" si="1132"/>
        <v>310</v>
      </c>
      <c r="CQ391" s="1">
        <f t="shared" si="1133"/>
        <v>0</v>
      </c>
      <c r="CR391" s="1">
        <f t="shared" si="1134"/>
        <v>0</v>
      </c>
      <c r="CS391" s="1">
        <f t="shared" si="1135"/>
        <v>0</v>
      </c>
      <c r="CT391" s="1">
        <f t="shared" si="1136"/>
        <v>1.9E-2</v>
      </c>
      <c r="CU391" s="1">
        <f t="shared" si="1137"/>
        <v>3.9000000000000007E-2</v>
      </c>
      <c r="CV391" s="304">
        <f t="shared" si="1138"/>
        <v>4593</v>
      </c>
      <c r="CW391" s="20" t="s">
        <v>122</v>
      </c>
      <c r="CX391" s="20" t="s">
        <v>122</v>
      </c>
      <c r="CY391" s="20" t="s">
        <v>122</v>
      </c>
      <c r="CZ391" s="20" t="s">
        <v>122</v>
      </c>
      <c r="DA391" s="20" t="s">
        <v>122</v>
      </c>
      <c r="DB391" s="503">
        <f t="shared" si="1139"/>
        <v>0</v>
      </c>
      <c r="DC391" s="127">
        <v>0</v>
      </c>
      <c r="DD391" s="127">
        <v>0</v>
      </c>
      <c r="DE391" s="127">
        <v>0</v>
      </c>
      <c r="DF391" s="127">
        <v>0</v>
      </c>
      <c r="DG391" s="127">
        <v>0</v>
      </c>
      <c r="DH391" s="127">
        <v>0</v>
      </c>
      <c r="DI391" s="127">
        <v>0</v>
      </c>
      <c r="DJ391" s="127">
        <v>0</v>
      </c>
      <c r="DK391" s="127">
        <v>0</v>
      </c>
      <c r="DL391" s="127">
        <v>0</v>
      </c>
      <c r="DM391" s="304">
        <f>INDEX(Input!$1:$1048576,DM$93,$C391*2+6)</f>
        <v>20731.578947368424</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c r="DZ391" s="7"/>
      <c r="EA391" s="7"/>
      <c r="EB391" s="7"/>
      <c r="EC391" s="7"/>
      <c r="ED391" s="7"/>
      <c r="EE391" s="7"/>
      <c r="EF391" s="7"/>
      <c r="EG391" s="7"/>
      <c r="EH391" s="7"/>
      <c r="EI391" s="7"/>
      <c r="EJ391" s="7"/>
      <c r="EK391" s="7"/>
      <c r="EL391" s="7"/>
      <c r="EM391" s="7"/>
      <c r="EN391" s="7"/>
      <c r="EO391" s="7"/>
      <c r="EP391" s="7"/>
      <c r="EQ391" s="7"/>
      <c r="ER391" s="7"/>
      <c r="ES391" s="7"/>
      <c r="ET391" s="7"/>
      <c r="EU391" s="6"/>
      <c r="EV391" s="6"/>
      <c r="EW391" s="6"/>
      <c r="EX391" s="6"/>
      <c r="EY391" s="6"/>
      <c r="EZ391" s="6"/>
      <c r="FA391" s="6"/>
      <c r="FB391" s="6"/>
      <c r="FC391" s="6"/>
      <c r="FD391" s="6"/>
      <c r="FE391" s="6"/>
      <c r="FF391" s="6"/>
      <c r="FG391" s="6"/>
      <c r="FH391" s="6"/>
      <c r="FI391" s="6"/>
      <c r="FJ391" s="6"/>
      <c r="FK391" s="6"/>
      <c r="FL391" s="6"/>
      <c r="FM391" s="6"/>
      <c r="FN391" s="6"/>
      <c r="FO391" s="6"/>
      <c r="FP391" s="6"/>
      <c r="FQ391" s="6"/>
      <c r="FR391" s="6"/>
      <c r="FS391" s="6"/>
      <c r="FT391" s="7"/>
      <c r="FU391" s="7"/>
      <c r="FV391" s="7"/>
      <c r="FW391" s="6"/>
      <c r="FX391" s="6"/>
      <c r="FY391" s="6"/>
      <c r="FZ391" s="6"/>
      <c r="GA391" s="6"/>
      <c r="GB391" s="6"/>
      <c r="GC391" s="7"/>
      <c r="GD391" s="7"/>
      <c r="GE391" s="7"/>
      <c r="GF391" s="7"/>
      <c r="GG391" s="7"/>
      <c r="GH391" s="42"/>
      <c r="GI391" s="6"/>
      <c r="GJ391" s="14"/>
      <c r="GK391" s="14"/>
      <c r="GL391" s="14"/>
      <c r="GM391" s="14"/>
      <c r="GO391" s="5"/>
      <c r="GP391" s="5"/>
      <c r="GQ391" s="5"/>
      <c r="GR391" s="5"/>
      <c r="GS391" s="5"/>
      <c r="GT391" s="5"/>
      <c r="GU391" s="5"/>
      <c r="GV391" s="39"/>
      <c r="GW391" s="5"/>
      <c r="GX391" s="5"/>
      <c r="GY391" s="5"/>
      <c r="GZ391" s="5"/>
      <c r="HA391" s="5"/>
      <c r="HB391" s="39"/>
      <c r="HC391" s="5"/>
      <c r="HD391" s="5"/>
      <c r="HE391" s="5"/>
      <c r="HF391" s="5"/>
      <c r="HG391" s="5"/>
      <c r="HH391" s="39"/>
      <c r="HI391" s="16"/>
      <c r="HJ391" s="19"/>
      <c r="HK391" s="1"/>
      <c r="HL391" s="16"/>
      <c r="HM391" s="1"/>
      <c r="HN391" s="1"/>
      <c r="HO391" s="1"/>
      <c r="HP391" s="1"/>
      <c r="HQ391" s="1"/>
      <c r="HR391" s="1"/>
      <c r="HS391" s="1"/>
      <c r="HT391" s="1"/>
      <c r="HU391" s="1"/>
      <c r="HV391" s="1"/>
      <c r="HW391" s="1"/>
      <c r="HX391" s="1"/>
      <c r="HY391" s="1"/>
      <c r="HZ391" s="1"/>
      <c r="IA391" s="1"/>
      <c r="IB391" s="1"/>
      <c r="IC391" s="1"/>
      <c r="ID391" s="1"/>
      <c r="IE391" s="1"/>
      <c r="IF391" s="1"/>
      <c r="IG391" s="1"/>
      <c r="IH391" s="21"/>
      <c r="II391" s="19"/>
      <c r="IJ391" s="19"/>
      <c r="IK391" s="19"/>
      <c r="IL391" s="19"/>
      <c r="IM391" s="19"/>
      <c r="IN391" s="19"/>
      <c r="IO391" s="39"/>
      <c r="IP391" s="39"/>
      <c r="IQ391" s="39"/>
      <c r="IR391" s="39"/>
      <c r="IS391" s="39"/>
      <c r="IT391" s="39"/>
      <c r="IU391" s="39"/>
      <c r="IV391" s="39"/>
      <c r="IW391" s="39"/>
      <c r="IX391" s="39"/>
      <c r="IY391" s="39"/>
      <c r="IZ391" s="39"/>
      <c r="JA391" s="19"/>
      <c r="JB391" s="19"/>
      <c r="JC391" s="19"/>
      <c r="JD391" s="19"/>
      <c r="JE391" s="21"/>
      <c r="JF391" s="1"/>
      <c r="JG391" s="15"/>
      <c r="JH391" s="1"/>
      <c r="JI391" s="1"/>
      <c r="JJ391" s="1"/>
      <c r="JK391" s="1"/>
      <c r="JL391" s="15"/>
      <c r="JM391" s="15"/>
      <c r="JN391" s="21"/>
      <c r="JO391" s="19"/>
      <c r="JP391" s="19"/>
      <c r="JQ391" s="39"/>
      <c r="JR391" s="39"/>
      <c r="JS391" s="39"/>
      <c r="JT391" s="39"/>
      <c r="JU391" s="385"/>
      <c r="JV391" s="39"/>
      <c r="JW391" s="1"/>
      <c r="JX391" s="19"/>
      <c r="JZ391" s="341"/>
      <c r="KA391" s="342"/>
      <c r="KB391" s="469"/>
      <c r="KI391" s="473"/>
      <c r="KJ391" s="473"/>
      <c r="KK391" s="473"/>
    </row>
    <row r="392" spans="1:307" s="26" customFormat="1" ht="15" outlineLevel="1">
      <c r="A392" s="561">
        <f t="shared" si="1174"/>
        <v>3092</v>
      </c>
      <c r="B392" s="561">
        <f t="shared" si="1192"/>
        <v>92</v>
      </c>
      <c r="C392" s="561">
        <f t="shared" si="1193"/>
        <v>3</v>
      </c>
      <c r="D392" s="561" t="str">
        <f t="shared" si="1277"/>
        <v/>
      </c>
      <c r="E392" s="475">
        <f>INDEX(Input!$1:$1048576,E$93,$C392*2+MIN($B392,2)+5)
+INDEX(Scenarios!E$121:E$200,MATCH($B392,Scenarios!$B$121:$B$200,0))</f>
        <v>1250</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0</v>
      </c>
      <c r="V392" s="478">
        <f>IFERROR(MAX(0,INDEX(Input!$1:$1048576,V$93,$C392*2+MIN($B392,2)+5)
+INDEX(Scenarios!V$121:V$200,MATCH($B392,Scenarios!$B$121:$B$200,0)),),"Market")</f>
        <v>1.9E-2</v>
      </c>
      <c r="W392" s="863">
        <f>IFERROR(MAX(0,INDEX(Input!$1:$1048576,W$93,$C392*2+MIN($B392,2)+5)-0%,),"Market")</f>
        <v>3.9000000000000007E-2</v>
      </c>
      <c r="X392" s="476" t="str">
        <f>INDEX(Input!$1:$1048576,X$93,$C392*2+MIN($B392,2)+5)</f>
        <v>Y</v>
      </c>
      <c r="Y392" s="475">
        <f>INDEX(Input!$1:$1048576,Y$93,$C392*2+MIN($B392,2)+5)
++INDEX(Scenarios!Y$121:Y$200,MATCH($B392,Scenarios!$B$121:$B$200,0))</f>
        <v>4108</v>
      </c>
      <c r="Z392" s="477">
        <f>INDEX(Input!$1:$1048576,Z$93,$C392*2+MIN($B392,2)+5)
+INDEX(Scenarios!Z$121:Z$200,MATCH($B392,Scenarios!$B$121:$B$200,0))</f>
        <v>0</v>
      </c>
      <c r="AA392" s="475">
        <f>INDEX(Input!$1:$1048576,AA$93,$C392*2+MIN($B392,2)+5)</f>
        <v>500</v>
      </c>
      <c r="AB392" s="476">
        <f>INDEX(Input!$1:$1048576,AB$93,$C392*2+MIN($B392,2)+5)</f>
        <v>0.62</v>
      </c>
      <c r="AC392" s="475">
        <f>INDEX(Input!$1:$1048576,AC$93,$C392*2+MIN($B392,2)+5)
+INDEX(Scenarios!AC$121:AC$200,MATCH($B392,Scenarios!$B$121:$B$200,0))</f>
        <v>0</v>
      </c>
      <c r="AD392" s="476">
        <f>INDEX(Input!$1:$1048576,AD$93,$C392*2+MIN($B392,2)+5)</f>
        <v>0.35</v>
      </c>
      <c r="AE392" s="475">
        <f>INDEX(Input!$1:$1048576,AE$93,$C392*2+MIN($B392,2)+5)
+INDEX(Scenarios!AE$121:AE$200,MATCH($B392,Scenarios!$B$121:$B$200,0))</f>
        <v>500</v>
      </c>
      <c r="AF392" s="476">
        <f>INDEX(Input!$1:$1048576,AF$93,$C392*2+MIN($B392,2)+5)</f>
        <v>0.97</v>
      </c>
      <c r="AG392" s="475">
        <f>INDEX(Input!$1:$1048576,AG$93,$C392*2+MIN($B392,2)+5)
+INDEX(Scenarios!AG$121:AG$200,MATCH($B392,Scenarios!$B$121:$B$200,0))</f>
        <v>0</v>
      </c>
      <c r="AH392" s="476">
        <f>INDEX(Input!$1:$1048576,AH$93,$C392*2+MIN($B392,2)+5)</f>
        <v>1</v>
      </c>
      <c r="AI392" s="475">
        <f>INDEX(Input!$1:$1048576,AI$93,$C392*2+MIN($B392,2)+5)
+INDEX(Scenarios!AI$121:AI$200,MATCH($B392,Scenarios!$B$121:$B$200,0))</f>
        <v>0</v>
      </c>
      <c r="AJ392" s="476">
        <f>INDEX(Input!$1:$1048576,AJ$93,$C392*2+MIN($B392,2)+5)</f>
        <v>0.35</v>
      </c>
      <c r="AK392" s="150">
        <f>ROUND(INDEX(Input!$1:$1048576,AK$93,$C391*2+MIN($B392,1)+5)+(Y392-VLOOKUP($C392*1000+1,$A:$HH,Y$92,FALSE)),0)</f>
        <v>4982</v>
      </c>
      <c r="AL392" s="150">
        <f>ROUND(INDEX(Input!$1:$1048576,AL$93,$C391*2+MIN($B392,1)+5)-(Y392-VLOOKUP($C392*1000+1,$A:$HH,Y$92,FALSE))/36,0)</f>
        <v>5102</v>
      </c>
      <c r="AM392" s="32" t="str">
        <f t="shared" si="1175"/>
        <v>std/std/std/std</v>
      </c>
      <c r="AN392" s="32" t="str">
        <f t="shared" si="1176"/>
        <v>$0 + 0/0/0/1.9/3.9</v>
      </c>
      <c r="AO392" s="32" t="str">
        <f t="shared" si="1177"/>
        <v>0/0/0/1.9/3.9</v>
      </c>
      <c r="AP392" s="32" t="str">
        <f t="shared" si="1125"/>
        <v>0/0.9/1.9/3.9</v>
      </c>
      <c r="AQ392" s="536">
        <f t="shared" si="1124"/>
        <v>485</v>
      </c>
      <c r="AR392" s="32"/>
      <c r="AS392" s="302"/>
      <c r="AT392" s="3">
        <f t="shared" si="1194"/>
        <v>92</v>
      </c>
      <c r="AU392" s="41" t="s">
        <v>121</v>
      </c>
      <c r="AV392" s="41" t="s">
        <v>116</v>
      </c>
      <c r="AW392" s="41" t="str">
        <f>INDEX(Input!$1:$1048576,AW$93,$C392*2+6)</f>
        <v>Kia</v>
      </c>
      <c r="AX392" s="41" t="str">
        <f>INDEX(Input!$1:$1048576,AX$93,$C392*2+6)</f>
        <v>Kia-LR - L3</v>
      </c>
      <c r="AY392" s="41" t="str">
        <f>IF(LEN(D392)=0,"",INDEX(Input!$1:$1048576,AY$93,$C392*2+6))</f>
        <v/>
      </c>
      <c r="AZ392" s="41" t="str">
        <f>INDEX(Input!$1:$1048576,AZ$93,$C392*2+6)</f>
        <v>Kia Forte</v>
      </c>
      <c r="BA392" s="3">
        <f>INDEX(Input!$1:$1048576,BA$93,$C392*2+6)</f>
        <v>2020</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19695</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1126"/>
        <v>1560</v>
      </c>
      <c r="CJ392" s="16" t="str">
        <f>INDEX(Input!$1:$1048576,CJ$93,$C392*2+6)</f>
        <v>N</v>
      </c>
      <c r="CK392" s="1" t="str">
        <f t="shared" si="1127"/>
        <v>Market</v>
      </c>
      <c r="CL392" s="1" t="str">
        <f t="shared" si="1128"/>
        <v>Market</v>
      </c>
      <c r="CM392" s="1" t="str">
        <f t="shared" si="1129"/>
        <v>Market</v>
      </c>
      <c r="CN392" s="1" t="str">
        <f t="shared" si="1130"/>
        <v>Market</v>
      </c>
      <c r="CO392" s="1" t="str">
        <f t="shared" si="1131"/>
        <v>Market</v>
      </c>
      <c r="CP392" s="304">
        <f t="shared" si="1132"/>
        <v>310</v>
      </c>
      <c r="CQ392" s="1">
        <f t="shared" si="1133"/>
        <v>0</v>
      </c>
      <c r="CR392" s="1">
        <f t="shared" si="1134"/>
        <v>0</v>
      </c>
      <c r="CS392" s="1">
        <f t="shared" si="1135"/>
        <v>0</v>
      </c>
      <c r="CT392" s="1">
        <f t="shared" si="1136"/>
        <v>1.9E-2</v>
      </c>
      <c r="CU392" s="1">
        <f t="shared" si="1137"/>
        <v>3.9000000000000007E-2</v>
      </c>
      <c r="CV392" s="304">
        <f t="shared" si="1138"/>
        <v>4593</v>
      </c>
      <c r="CW392" s="20" t="s">
        <v>122</v>
      </c>
      <c r="CX392" s="20" t="s">
        <v>122</v>
      </c>
      <c r="CY392" s="20" t="s">
        <v>122</v>
      </c>
      <c r="CZ392" s="20" t="s">
        <v>122</v>
      </c>
      <c r="DA392" s="20" t="s">
        <v>122</v>
      </c>
      <c r="DB392" s="503">
        <f t="shared" si="1139"/>
        <v>0</v>
      </c>
      <c r="DC392" s="127">
        <v>0</v>
      </c>
      <c r="DD392" s="127">
        <v>0</v>
      </c>
      <c r="DE392" s="127">
        <v>0</v>
      </c>
      <c r="DF392" s="127">
        <v>0</v>
      </c>
      <c r="DG392" s="127">
        <v>0</v>
      </c>
      <c r="DH392" s="127">
        <v>0</v>
      </c>
      <c r="DI392" s="127">
        <v>0</v>
      </c>
      <c r="DJ392" s="127">
        <v>0</v>
      </c>
      <c r="DK392" s="127">
        <v>0</v>
      </c>
      <c r="DL392" s="127">
        <v>0</v>
      </c>
      <c r="DM392" s="304">
        <f>INDEX(Input!$1:$1048576,DM$93,$C392*2+6)</f>
        <v>20731.578947368424</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c r="DZ392" s="7"/>
      <c r="EA392" s="7"/>
      <c r="EB392" s="7"/>
      <c r="EC392" s="7"/>
      <c r="ED392" s="7"/>
      <c r="EE392" s="7"/>
      <c r="EF392" s="7"/>
      <c r="EG392" s="7"/>
      <c r="EH392" s="7"/>
      <c r="EI392" s="7"/>
      <c r="EJ392" s="7"/>
      <c r="EK392" s="7"/>
      <c r="EL392" s="7"/>
      <c r="EM392" s="7"/>
      <c r="EN392" s="7"/>
      <c r="EO392" s="7"/>
      <c r="EP392" s="7"/>
      <c r="EQ392" s="7"/>
      <c r="ER392" s="7"/>
      <c r="ES392" s="7"/>
      <c r="ET392" s="7"/>
      <c r="EU392" s="6"/>
      <c r="EV392" s="6"/>
      <c r="EW392" s="6"/>
      <c r="EX392" s="6"/>
      <c r="EY392" s="6"/>
      <c r="EZ392" s="6"/>
      <c r="FA392" s="6"/>
      <c r="FB392" s="6"/>
      <c r="FC392" s="6"/>
      <c r="FD392" s="6"/>
      <c r="FE392" s="6"/>
      <c r="FF392" s="6"/>
      <c r="FG392" s="6"/>
      <c r="FH392" s="6"/>
      <c r="FI392" s="6"/>
      <c r="FJ392" s="6"/>
      <c r="FK392" s="6"/>
      <c r="FL392" s="6"/>
      <c r="FM392" s="6"/>
      <c r="FN392" s="6"/>
      <c r="FO392" s="6"/>
      <c r="FP392" s="6"/>
      <c r="FQ392" s="6"/>
      <c r="FR392" s="6"/>
      <c r="FS392" s="6"/>
      <c r="FT392" s="7"/>
      <c r="FU392" s="7"/>
      <c r="FV392" s="7"/>
      <c r="FW392" s="6"/>
      <c r="FX392" s="6"/>
      <c r="FY392" s="6"/>
      <c r="FZ392" s="6"/>
      <c r="GA392" s="6"/>
      <c r="GB392" s="6"/>
      <c r="GC392" s="7"/>
      <c r="GD392" s="7"/>
      <c r="GE392" s="7"/>
      <c r="GF392" s="7"/>
      <c r="GG392" s="7"/>
      <c r="GH392" s="42"/>
      <c r="GI392" s="6"/>
      <c r="GJ392" s="14"/>
      <c r="GK392" s="14"/>
      <c r="GL392" s="14"/>
      <c r="GM392" s="14"/>
      <c r="GO392" s="5"/>
      <c r="GP392" s="5"/>
      <c r="GQ392" s="5"/>
      <c r="GR392" s="5"/>
      <c r="GS392" s="5"/>
      <c r="GT392" s="5"/>
      <c r="GU392" s="5"/>
      <c r="GV392" s="39"/>
      <c r="GW392" s="5"/>
      <c r="GX392" s="5"/>
      <c r="GY392" s="5"/>
      <c r="GZ392" s="5"/>
      <c r="HA392" s="5"/>
      <c r="HB392" s="39"/>
      <c r="HC392" s="5"/>
      <c r="HD392" s="5"/>
      <c r="HE392" s="5"/>
      <c r="HF392" s="5"/>
      <c r="HG392" s="5"/>
      <c r="HH392" s="39"/>
      <c r="HI392" s="16"/>
      <c r="HJ392" s="19"/>
      <c r="HK392" s="1"/>
      <c r="HL392" s="16"/>
      <c r="HM392" s="1"/>
      <c r="HN392" s="1"/>
      <c r="HO392" s="1"/>
      <c r="HP392" s="1"/>
      <c r="HQ392" s="1"/>
      <c r="HR392" s="1"/>
      <c r="HS392" s="1"/>
      <c r="HT392" s="1"/>
      <c r="HU392" s="1"/>
      <c r="HV392" s="1"/>
      <c r="HW392" s="1"/>
      <c r="HX392" s="1"/>
      <c r="HY392" s="1"/>
      <c r="HZ392" s="1"/>
      <c r="IA392" s="1"/>
      <c r="IB392" s="1"/>
      <c r="IC392" s="1"/>
      <c r="ID392" s="1"/>
      <c r="IE392" s="1"/>
      <c r="IF392" s="1"/>
      <c r="IG392" s="1"/>
      <c r="IH392" s="21"/>
      <c r="II392" s="19"/>
      <c r="IJ392" s="19"/>
      <c r="IK392" s="19"/>
      <c r="IL392" s="19"/>
      <c r="IM392" s="19"/>
      <c r="IN392" s="19"/>
      <c r="IO392" s="39"/>
      <c r="IP392" s="39"/>
      <c r="IQ392" s="39"/>
      <c r="IR392" s="39"/>
      <c r="IS392" s="39"/>
      <c r="IT392" s="39"/>
      <c r="IU392" s="39"/>
      <c r="IV392" s="39"/>
      <c r="IW392" s="39"/>
      <c r="IX392" s="39"/>
      <c r="IY392" s="39"/>
      <c r="IZ392" s="39"/>
      <c r="JA392" s="19"/>
      <c r="JB392" s="19"/>
      <c r="JC392" s="19"/>
      <c r="JD392" s="19"/>
      <c r="JE392" s="21"/>
      <c r="JF392" s="1"/>
      <c r="JG392" s="15"/>
      <c r="JH392" s="1"/>
      <c r="JI392" s="1"/>
      <c r="JJ392" s="1"/>
      <c r="JK392" s="1"/>
      <c r="JL392" s="15"/>
      <c r="JM392" s="15"/>
      <c r="JN392" s="21"/>
      <c r="JO392" s="19"/>
      <c r="JP392" s="19"/>
      <c r="JQ392" s="39"/>
      <c r="JR392" s="39"/>
      <c r="JS392" s="39"/>
      <c r="JT392" s="39"/>
      <c r="JU392" s="385"/>
      <c r="JV392" s="39"/>
      <c r="JW392" s="1"/>
      <c r="JX392" s="19"/>
      <c r="JZ392" s="341"/>
      <c r="KA392" s="342"/>
      <c r="KB392" s="469"/>
      <c r="KI392" s="473"/>
      <c r="KJ392" s="473"/>
      <c r="KK392" s="473"/>
    </row>
    <row r="393" spans="1:307" s="26" customFormat="1" ht="15" outlineLevel="1">
      <c r="A393" s="561">
        <f t="shared" si="1174"/>
        <v>3093</v>
      </c>
      <c r="B393" s="561">
        <f t="shared" si="1192"/>
        <v>93</v>
      </c>
      <c r="C393" s="561">
        <f t="shared" si="1193"/>
        <v>3</v>
      </c>
      <c r="D393" s="561" t="str">
        <f t="shared" si="1277"/>
        <v/>
      </c>
      <c r="E393" s="475">
        <f>INDEX(Input!$1:$1048576,E$93,$C393*2+MIN($B393,2)+5)
+INDEX(Scenarios!E$121:E$200,MATCH($B393,Scenarios!$B$121:$B$200,0))</f>
        <v>1250</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1.9E-2</v>
      </c>
      <c r="W393" s="863">
        <f>IFERROR(MAX(0,INDEX(Input!$1:$1048576,W$93,$C393*2+MIN($B393,2)+5)-0%,),"Market")</f>
        <v>3.9000000000000007E-2</v>
      </c>
      <c r="X393" s="476" t="str">
        <f>INDEX(Input!$1:$1048576,X$93,$C393*2+MIN($B393,2)+5)</f>
        <v>Y</v>
      </c>
      <c r="Y393" s="475">
        <f>INDEX(Input!$1:$1048576,Y$93,$C393*2+MIN($B393,2)+5)
++INDEX(Scenarios!Y$121:Y$200,MATCH($B393,Scenarios!$B$121:$B$200,0))</f>
        <v>4108</v>
      </c>
      <c r="Z393" s="477">
        <f>INDEX(Input!$1:$1048576,Z$93,$C393*2+MIN($B393,2)+5)
+INDEX(Scenarios!Z$121:Z$200,MATCH($B393,Scenarios!$B$121:$B$200,0))</f>
        <v>0</v>
      </c>
      <c r="AA393" s="475">
        <f>INDEX(Input!$1:$1048576,AA$93,$C393*2+MIN($B393,2)+5)</f>
        <v>500</v>
      </c>
      <c r="AB393" s="476">
        <f>INDEX(Input!$1:$1048576,AB$93,$C393*2+MIN($B393,2)+5)</f>
        <v>0.62</v>
      </c>
      <c r="AC393" s="475">
        <f>INDEX(Input!$1:$1048576,AC$93,$C393*2+MIN($B393,2)+5)
+INDEX(Scenarios!AC$121:AC$200,MATCH($B393,Scenarios!$B$121:$B$200,0))</f>
        <v>0</v>
      </c>
      <c r="AD393" s="476">
        <f>INDEX(Input!$1:$1048576,AD$93,$C393*2+MIN($B393,2)+5)</f>
        <v>0.35</v>
      </c>
      <c r="AE393" s="475">
        <f>INDEX(Input!$1:$1048576,AE$93,$C393*2+MIN($B393,2)+5)
+INDEX(Scenarios!AE$121:AE$200,MATCH($B393,Scenarios!$B$121:$B$200,0))</f>
        <v>500</v>
      </c>
      <c r="AF393" s="476">
        <f>INDEX(Input!$1:$1048576,AF$93,$C393*2+MIN($B393,2)+5)</f>
        <v>0.97</v>
      </c>
      <c r="AG393" s="475">
        <f>INDEX(Input!$1:$1048576,AG$93,$C393*2+MIN($B393,2)+5)
+INDEX(Scenarios!AG$121:AG$200,MATCH($B393,Scenarios!$B$121:$B$200,0))</f>
        <v>0</v>
      </c>
      <c r="AH393" s="476">
        <f>INDEX(Input!$1:$1048576,AH$93,$C393*2+MIN($B393,2)+5)</f>
        <v>1</v>
      </c>
      <c r="AI393" s="475">
        <f>INDEX(Input!$1:$1048576,AI$93,$C393*2+MIN($B393,2)+5)
+INDEX(Scenarios!AI$121:AI$200,MATCH($B393,Scenarios!$B$121:$B$200,0))</f>
        <v>0</v>
      </c>
      <c r="AJ393" s="476">
        <f>INDEX(Input!$1:$1048576,AJ$93,$C393*2+MIN($B393,2)+5)</f>
        <v>0.35</v>
      </c>
      <c r="AK393" s="150">
        <f>ROUND(INDEX(Input!$1:$1048576,AK$93,$C392*2+MIN($B393,1)+5)+(Y393-VLOOKUP($C393*1000+1,$A:$HH,Y$92,FALSE)),0)</f>
        <v>4982</v>
      </c>
      <c r="AL393" s="150">
        <f>ROUND(INDEX(Input!$1:$1048576,AL$93,$C392*2+MIN($B393,1)+5)-(Y393-VLOOKUP($C393*1000+1,$A:$HH,Y$92,FALSE))/36,0)</f>
        <v>5102</v>
      </c>
      <c r="AM393" s="32" t="str">
        <f t="shared" si="1175"/>
        <v>std/std/std/std</v>
      </c>
      <c r="AN393" s="32" t="str">
        <f t="shared" si="1176"/>
        <v>$0 + 0/0/0/1.9/3.9</v>
      </c>
      <c r="AO393" s="32" t="str">
        <f t="shared" si="1177"/>
        <v>0/0/0/1.9/3.9</v>
      </c>
      <c r="AP393" s="32" t="str">
        <f t="shared" si="1125"/>
        <v>0/0.9/1.9/3.9</v>
      </c>
      <c r="AQ393" s="536">
        <f t="shared" si="1124"/>
        <v>485</v>
      </c>
      <c r="AR393" s="32"/>
      <c r="AS393" s="302"/>
      <c r="AT393" s="3">
        <f t="shared" si="1194"/>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Forte</v>
      </c>
      <c r="BA393" s="3">
        <f>INDEX(Input!$1:$1048576,BA$93,$C393*2+6)</f>
        <v>2020</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19695</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1126"/>
        <v>1560</v>
      </c>
      <c r="CJ393" s="16" t="str">
        <f>INDEX(Input!$1:$1048576,CJ$93,$C393*2+6)</f>
        <v>N</v>
      </c>
      <c r="CK393" s="1" t="str">
        <f t="shared" si="1127"/>
        <v>Market</v>
      </c>
      <c r="CL393" s="1" t="str">
        <f t="shared" si="1128"/>
        <v>Market</v>
      </c>
      <c r="CM393" s="1" t="str">
        <f t="shared" si="1129"/>
        <v>Market</v>
      </c>
      <c r="CN393" s="1" t="str">
        <f t="shared" si="1130"/>
        <v>Market</v>
      </c>
      <c r="CO393" s="1" t="str">
        <f t="shared" si="1131"/>
        <v>Market</v>
      </c>
      <c r="CP393" s="304">
        <f t="shared" si="1132"/>
        <v>310</v>
      </c>
      <c r="CQ393" s="1">
        <f t="shared" si="1133"/>
        <v>0</v>
      </c>
      <c r="CR393" s="1">
        <f t="shared" si="1134"/>
        <v>0</v>
      </c>
      <c r="CS393" s="1">
        <f t="shared" si="1135"/>
        <v>0</v>
      </c>
      <c r="CT393" s="1">
        <f t="shared" si="1136"/>
        <v>1.9E-2</v>
      </c>
      <c r="CU393" s="1">
        <f t="shared" si="1137"/>
        <v>3.9000000000000007E-2</v>
      </c>
      <c r="CV393" s="304">
        <f t="shared" si="1138"/>
        <v>4593</v>
      </c>
      <c r="CW393" s="20" t="s">
        <v>122</v>
      </c>
      <c r="CX393" s="20" t="s">
        <v>122</v>
      </c>
      <c r="CY393" s="20" t="s">
        <v>122</v>
      </c>
      <c r="CZ393" s="20" t="s">
        <v>122</v>
      </c>
      <c r="DA393" s="20" t="s">
        <v>122</v>
      </c>
      <c r="DB393" s="503">
        <f t="shared" si="1139"/>
        <v>0</v>
      </c>
      <c r="DC393" s="127">
        <v>0</v>
      </c>
      <c r="DD393" s="127">
        <v>0</v>
      </c>
      <c r="DE393" s="127">
        <v>0</v>
      </c>
      <c r="DF393" s="127">
        <v>0</v>
      </c>
      <c r="DG393" s="127">
        <v>0</v>
      </c>
      <c r="DH393" s="127">
        <v>0</v>
      </c>
      <c r="DI393" s="127">
        <v>0</v>
      </c>
      <c r="DJ393" s="127">
        <v>0</v>
      </c>
      <c r="DK393" s="127">
        <v>0</v>
      </c>
      <c r="DL393" s="127">
        <v>0</v>
      </c>
      <c r="DM393" s="304">
        <f>INDEX(Input!$1:$1048576,DM$93,$C393*2+6)</f>
        <v>20731.578947368424</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307" s="26" customFormat="1" ht="15" outlineLevel="1">
      <c r="A394" s="561">
        <f t="shared" si="1174"/>
        <v>3094</v>
      </c>
      <c r="B394" s="561">
        <f t="shared" si="1192"/>
        <v>94</v>
      </c>
      <c r="C394" s="561">
        <f t="shared" si="1193"/>
        <v>3</v>
      </c>
      <c r="D394" s="561" t="str">
        <f t="shared" si="1277"/>
        <v/>
      </c>
      <c r="E394" s="475">
        <f>INDEX(Input!$1:$1048576,E$93,$C394*2+MIN($B394,2)+5)
+INDEX(Scenarios!E$121:E$200,MATCH($B394,Scenarios!$B$121:$B$200,0))</f>
        <v>1250</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1.9E-2</v>
      </c>
      <c r="W394" s="863">
        <f>IFERROR(MAX(0,INDEX(Input!$1:$1048576,W$93,$C394*2+MIN($B394,2)+5)-0%,),"Market")</f>
        <v>3.9000000000000007E-2</v>
      </c>
      <c r="X394" s="476" t="str">
        <f>INDEX(Input!$1:$1048576,X$93,$C394*2+MIN($B394,2)+5)</f>
        <v>Y</v>
      </c>
      <c r="Y394" s="475">
        <f>INDEX(Input!$1:$1048576,Y$93,$C394*2+MIN($B394,2)+5)
++INDEX(Scenarios!Y$121:Y$200,MATCH($B394,Scenarios!$B$121:$B$200,0))</f>
        <v>4108</v>
      </c>
      <c r="Z394" s="477">
        <f>INDEX(Input!$1:$1048576,Z$93,$C394*2+MIN($B394,2)+5)
+INDEX(Scenarios!Z$121:Z$200,MATCH($B394,Scenarios!$B$121:$B$200,0))</f>
        <v>0</v>
      </c>
      <c r="AA394" s="475">
        <f>INDEX(Input!$1:$1048576,AA$93,$C394*2+MIN($B394,2)+5)</f>
        <v>500</v>
      </c>
      <c r="AB394" s="476">
        <f>INDEX(Input!$1:$1048576,AB$93,$C394*2+MIN($B394,2)+5)</f>
        <v>0.62</v>
      </c>
      <c r="AC394" s="475">
        <f>INDEX(Input!$1:$1048576,AC$93,$C394*2+MIN($B394,2)+5)
+INDEX(Scenarios!AC$121:AC$200,MATCH($B394,Scenarios!$B$121:$B$200,0))</f>
        <v>0</v>
      </c>
      <c r="AD394" s="476">
        <f>INDEX(Input!$1:$1048576,AD$93,$C394*2+MIN($B394,2)+5)</f>
        <v>0.35</v>
      </c>
      <c r="AE394" s="475">
        <f>INDEX(Input!$1:$1048576,AE$93,$C394*2+MIN($B394,2)+5)
+INDEX(Scenarios!AE$121:AE$200,MATCH($B394,Scenarios!$B$121:$B$200,0))</f>
        <v>500</v>
      </c>
      <c r="AF394" s="476">
        <f>INDEX(Input!$1:$1048576,AF$93,$C394*2+MIN($B394,2)+5)</f>
        <v>0.97</v>
      </c>
      <c r="AG394" s="475">
        <f>INDEX(Input!$1:$1048576,AG$93,$C394*2+MIN($B394,2)+5)
+INDEX(Scenarios!AG$121:AG$200,MATCH($B394,Scenarios!$B$121:$B$200,0))</f>
        <v>0</v>
      </c>
      <c r="AH394" s="476">
        <f>INDEX(Input!$1:$1048576,AH$93,$C394*2+MIN($B394,2)+5)</f>
        <v>1</v>
      </c>
      <c r="AI394" s="475">
        <f>INDEX(Input!$1:$1048576,AI$93,$C394*2+MIN($B394,2)+5)
+INDEX(Scenarios!AI$121:AI$200,MATCH($B394,Scenarios!$B$121:$B$200,0))</f>
        <v>0</v>
      </c>
      <c r="AJ394" s="476">
        <f>INDEX(Input!$1:$1048576,AJ$93,$C394*2+MIN($B394,2)+5)</f>
        <v>0.35</v>
      </c>
      <c r="AK394" s="150">
        <f>ROUND(INDEX(Input!$1:$1048576,AK$93,$C393*2+MIN($B394,1)+5)+(Y394-VLOOKUP($C394*1000+1,$A:$HH,Y$92,FALSE)),0)</f>
        <v>4982</v>
      </c>
      <c r="AL394" s="150">
        <f>ROUND(INDEX(Input!$1:$1048576,AL$93,$C393*2+MIN($B394,1)+5)-(Y394-VLOOKUP($C394*1000+1,$A:$HH,Y$92,FALSE))/36,0)</f>
        <v>5102</v>
      </c>
      <c r="AM394" s="32" t="str">
        <f t="shared" si="1175"/>
        <v>std/std/std/std</v>
      </c>
      <c r="AN394" s="32" t="str">
        <f t="shared" si="1176"/>
        <v>$0 + 0/0/0/1.9/3.9</v>
      </c>
      <c r="AO394" s="32" t="str">
        <f t="shared" si="1177"/>
        <v>0/0/0/1.9/3.9</v>
      </c>
      <c r="AP394" s="32" t="str">
        <f t="shared" si="1125"/>
        <v>0/0.9/1.9/3.9</v>
      </c>
      <c r="AQ394" s="536">
        <f t="shared" si="1124"/>
        <v>485</v>
      </c>
      <c r="AR394" s="32"/>
      <c r="AS394" s="302"/>
      <c r="AT394" s="3">
        <f t="shared" si="1194"/>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Forte</v>
      </c>
      <c r="BA394" s="3">
        <f>INDEX(Input!$1:$1048576,BA$93,$C394*2+6)</f>
        <v>2020</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19695</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1126"/>
        <v>1560</v>
      </c>
      <c r="CJ394" s="16" t="str">
        <f>INDEX(Input!$1:$1048576,CJ$93,$C394*2+6)</f>
        <v>N</v>
      </c>
      <c r="CK394" s="1" t="str">
        <f t="shared" si="1127"/>
        <v>Market</v>
      </c>
      <c r="CL394" s="1" t="str">
        <f t="shared" si="1128"/>
        <v>Market</v>
      </c>
      <c r="CM394" s="1" t="str">
        <f t="shared" si="1129"/>
        <v>Market</v>
      </c>
      <c r="CN394" s="1" t="str">
        <f t="shared" si="1130"/>
        <v>Market</v>
      </c>
      <c r="CO394" s="1" t="str">
        <f t="shared" si="1131"/>
        <v>Market</v>
      </c>
      <c r="CP394" s="304">
        <f t="shared" si="1132"/>
        <v>310</v>
      </c>
      <c r="CQ394" s="1">
        <f t="shared" si="1133"/>
        <v>0</v>
      </c>
      <c r="CR394" s="1">
        <f t="shared" si="1134"/>
        <v>0</v>
      </c>
      <c r="CS394" s="1">
        <f t="shared" si="1135"/>
        <v>0</v>
      </c>
      <c r="CT394" s="1">
        <f t="shared" si="1136"/>
        <v>1.9E-2</v>
      </c>
      <c r="CU394" s="1">
        <f t="shared" si="1137"/>
        <v>3.9000000000000007E-2</v>
      </c>
      <c r="CV394" s="304">
        <f t="shared" si="1138"/>
        <v>4593</v>
      </c>
      <c r="CW394" s="20" t="s">
        <v>122</v>
      </c>
      <c r="CX394" s="20" t="s">
        <v>122</v>
      </c>
      <c r="CY394" s="20" t="s">
        <v>122</v>
      </c>
      <c r="CZ394" s="20" t="s">
        <v>122</v>
      </c>
      <c r="DA394" s="20" t="s">
        <v>122</v>
      </c>
      <c r="DB394" s="503">
        <f t="shared" si="1139"/>
        <v>0</v>
      </c>
      <c r="DC394" s="127">
        <v>0</v>
      </c>
      <c r="DD394" s="127">
        <v>0</v>
      </c>
      <c r="DE394" s="127">
        <v>0</v>
      </c>
      <c r="DF394" s="127">
        <v>0</v>
      </c>
      <c r="DG394" s="127">
        <v>0</v>
      </c>
      <c r="DH394" s="127">
        <v>0</v>
      </c>
      <c r="DI394" s="127">
        <v>0</v>
      </c>
      <c r="DJ394" s="127">
        <v>0</v>
      </c>
      <c r="DK394" s="127">
        <v>0</v>
      </c>
      <c r="DL394" s="127">
        <v>0</v>
      </c>
      <c r="DM394" s="304">
        <f>INDEX(Input!$1:$1048576,DM$93,$C394*2+6)</f>
        <v>20731.578947368424</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307" s="26" customFormat="1" ht="15" outlineLevel="1">
      <c r="A395" s="561">
        <f t="shared" si="1174"/>
        <v>3095</v>
      </c>
      <c r="B395" s="561">
        <f t="shared" si="1192"/>
        <v>95</v>
      </c>
      <c r="C395" s="561">
        <f t="shared" si="1193"/>
        <v>3</v>
      </c>
      <c r="D395" s="561" t="str">
        <f t="shared" si="1277"/>
        <v/>
      </c>
      <c r="E395" s="475">
        <f>INDEX(Input!$1:$1048576,E$93,$C395*2+MIN($B395,2)+5)
+INDEX(Scenarios!E$121:E$200,MATCH($B395,Scenarios!$B$121:$B$200,0))</f>
        <v>1250</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1.9E-2</v>
      </c>
      <c r="W395" s="863">
        <f>IFERROR(MAX(0,INDEX(Input!$1:$1048576,W$93,$C395*2+MIN($B395,2)+5)-0%,),"Market")</f>
        <v>3.9000000000000007E-2</v>
      </c>
      <c r="X395" s="476" t="str">
        <f>INDEX(Input!$1:$1048576,X$93,$C395*2+MIN($B395,2)+5)</f>
        <v>Y</v>
      </c>
      <c r="Y395" s="475">
        <f>INDEX(Input!$1:$1048576,Y$93,$C395*2+MIN($B395,2)+5)
++INDEX(Scenarios!Y$121:Y$200,MATCH($B395,Scenarios!$B$121:$B$200,0))</f>
        <v>4108</v>
      </c>
      <c r="Z395" s="477">
        <f>INDEX(Input!$1:$1048576,Z$93,$C395*2+MIN($B395,2)+5)
+INDEX(Scenarios!Z$121:Z$200,MATCH($B395,Scenarios!$B$121:$B$200,0))</f>
        <v>0</v>
      </c>
      <c r="AA395" s="475">
        <f>INDEX(Input!$1:$1048576,AA$93,$C395*2+MIN($B395,2)+5)</f>
        <v>500</v>
      </c>
      <c r="AB395" s="476">
        <f>INDEX(Input!$1:$1048576,AB$93,$C395*2+MIN($B395,2)+5)</f>
        <v>0.62</v>
      </c>
      <c r="AC395" s="475">
        <f>INDEX(Input!$1:$1048576,AC$93,$C395*2+MIN($B395,2)+5)
+INDEX(Scenarios!AC$121:AC$200,MATCH($B395,Scenarios!$B$121:$B$200,0))</f>
        <v>0</v>
      </c>
      <c r="AD395" s="476">
        <f>INDEX(Input!$1:$1048576,AD$93,$C395*2+MIN($B395,2)+5)</f>
        <v>0.35</v>
      </c>
      <c r="AE395" s="475">
        <f>INDEX(Input!$1:$1048576,AE$93,$C395*2+MIN($B395,2)+5)
+INDEX(Scenarios!AE$121:AE$200,MATCH($B395,Scenarios!$B$121:$B$200,0))</f>
        <v>500</v>
      </c>
      <c r="AF395" s="476">
        <f>INDEX(Input!$1:$1048576,AF$93,$C395*2+MIN($B395,2)+5)</f>
        <v>0.97</v>
      </c>
      <c r="AG395" s="475">
        <f>INDEX(Input!$1:$1048576,AG$93,$C395*2+MIN($B395,2)+5)
+INDEX(Scenarios!AG$121:AG$200,MATCH($B395,Scenarios!$B$121:$B$200,0))</f>
        <v>0</v>
      </c>
      <c r="AH395" s="476">
        <f>INDEX(Input!$1:$1048576,AH$93,$C395*2+MIN($B395,2)+5)</f>
        <v>1</v>
      </c>
      <c r="AI395" s="475">
        <f>INDEX(Input!$1:$1048576,AI$93,$C395*2+MIN($B395,2)+5)
+INDEX(Scenarios!AI$121:AI$200,MATCH($B395,Scenarios!$B$121:$B$200,0))</f>
        <v>0</v>
      </c>
      <c r="AJ395" s="476">
        <f>INDEX(Input!$1:$1048576,AJ$93,$C395*2+MIN($B395,2)+5)</f>
        <v>0.35</v>
      </c>
      <c r="AK395" s="150">
        <f>ROUND(INDEX(Input!$1:$1048576,AK$93,$C394*2+MIN($B395,1)+5)+(Y395-VLOOKUP($C395*1000+1,$A:$HH,Y$92,FALSE)),0)</f>
        <v>4982</v>
      </c>
      <c r="AL395" s="150">
        <f>ROUND(INDEX(Input!$1:$1048576,AL$93,$C394*2+MIN($B395,1)+5)-(Y395-VLOOKUP($C395*1000+1,$A:$HH,Y$92,FALSE))/36,0)</f>
        <v>5102</v>
      </c>
      <c r="AM395" s="32" t="str">
        <f t="shared" si="1175"/>
        <v>std/std/std/std</v>
      </c>
      <c r="AN395" s="32" t="str">
        <f t="shared" si="1176"/>
        <v>$0 + 0/0/0/1.9/3.9</v>
      </c>
      <c r="AO395" s="32" t="str">
        <f t="shared" si="1177"/>
        <v>0/0/0/1.9/3.9</v>
      </c>
      <c r="AP395" s="32" t="str">
        <f t="shared" si="1125"/>
        <v>0/0.9/1.9/3.9</v>
      </c>
      <c r="AQ395" s="536">
        <f t="shared" si="1124"/>
        <v>485</v>
      </c>
      <c r="AR395" s="32"/>
      <c r="AS395" s="302"/>
      <c r="AT395" s="3">
        <f t="shared" si="1194"/>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Forte</v>
      </c>
      <c r="BA395" s="3">
        <f>INDEX(Input!$1:$1048576,BA$93,$C395*2+6)</f>
        <v>2020</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19695</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1126"/>
        <v>1560</v>
      </c>
      <c r="CJ395" s="16" t="str">
        <f>INDEX(Input!$1:$1048576,CJ$93,$C395*2+6)</f>
        <v>N</v>
      </c>
      <c r="CK395" s="1" t="str">
        <f t="shared" si="1127"/>
        <v>Market</v>
      </c>
      <c r="CL395" s="1" t="str">
        <f t="shared" si="1128"/>
        <v>Market</v>
      </c>
      <c r="CM395" s="1" t="str">
        <f t="shared" si="1129"/>
        <v>Market</v>
      </c>
      <c r="CN395" s="1" t="str">
        <f t="shared" si="1130"/>
        <v>Market</v>
      </c>
      <c r="CO395" s="1" t="str">
        <f t="shared" si="1131"/>
        <v>Market</v>
      </c>
      <c r="CP395" s="304">
        <f t="shared" si="1132"/>
        <v>310</v>
      </c>
      <c r="CQ395" s="1">
        <f t="shared" si="1133"/>
        <v>0</v>
      </c>
      <c r="CR395" s="1">
        <f t="shared" si="1134"/>
        <v>0</v>
      </c>
      <c r="CS395" s="1">
        <f t="shared" si="1135"/>
        <v>0</v>
      </c>
      <c r="CT395" s="1">
        <f t="shared" si="1136"/>
        <v>1.9E-2</v>
      </c>
      <c r="CU395" s="1">
        <f t="shared" si="1137"/>
        <v>3.9000000000000007E-2</v>
      </c>
      <c r="CV395" s="304">
        <f t="shared" si="1138"/>
        <v>4593</v>
      </c>
      <c r="CW395" s="20" t="s">
        <v>122</v>
      </c>
      <c r="CX395" s="20" t="s">
        <v>122</v>
      </c>
      <c r="CY395" s="20" t="s">
        <v>122</v>
      </c>
      <c r="CZ395" s="20" t="s">
        <v>122</v>
      </c>
      <c r="DA395" s="20" t="s">
        <v>122</v>
      </c>
      <c r="DB395" s="503">
        <f t="shared" si="1139"/>
        <v>0</v>
      </c>
      <c r="DC395" s="127">
        <v>0</v>
      </c>
      <c r="DD395" s="127">
        <v>0</v>
      </c>
      <c r="DE395" s="127">
        <v>0</v>
      </c>
      <c r="DF395" s="127">
        <v>0</v>
      </c>
      <c r="DG395" s="127">
        <v>0</v>
      </c>
      <c r="DH395" s="127">
        <v>0</v>
      </c>
      <c r="DI395" s="127">
        <v>0</v>
      </c>
      <c r="DJ395" s="127">
        <v>0</v>
      </c>
      <c r="DK395" s="127">
        <v>0</v>
      </c>
      <c r="DL395" s="127">
        <v>0</v>
      </c>
      <c r="DM395" s="304">
        <f>INDEX(Input!$1:$1048576,DM$93,$C395*2+6)</f>
        <v>20731.578947368424</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307" s="26" customFormat="1" ht="15" outlineLevel="1">
      <c r="A396" s="561">
        <f t="shared" si="1174"/>
        <v>3096</v>
      </c>
      <c r="B396" s="561">
        <f t="shared" si="1192"/>
        <v>96</v>
      </c>
      <c r="C396" s="561">
        <f t="shared" si="1193"/>
        <v>3</v>
      </c>
      <c r="D396" s="561" t="str">
        <f t="shared" si="1277"/>
        <v/>
      </c>
      <c r="E396" s="475">
        <f>INDEX(Input!$1:$1048576,E$93,$C396*2+MIN($B396,2)+5)
+INDEX(Scenarios!E$121:E$200,MATCH($B396,Scenarios!$B$121:$B$200,0))</f>
        <v>1250</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1.9E-2</v>
      </c>
      <c r="W396" s="863">
        <f>IFERROR(MAX(0,INDEX(Input!$1:$1048576,W$93,$C396*2+MIN($B396,2)+5)-0%,),"Market")</f>
        <v>3.9000000000000007E-2</v>
      </c>
      <c r="X396" s="476" t="str">
        <f>INDEX(Input!$1:$1048576,X$93,$C396*2+MIN($B396,2)+5)</f>
        <v>Y</v>
      </c>
      <c r="Y396" s="475">
        <f>INDEX(Input!$1:$1048576,Y$93,$C396*2+MIN($B396,2)+5)
++INDEX(Scenarios!Y$121:Y$200,MATCH($B396,Scenarios!$B$121:$B$200,0))</f>
        <v>4108</v>
      </c>
      <c r="Z396" s="477">
        <f>INDEX(Input!$1:$1048576,Z$93,$C396*2+MIN($B396,2)+5)
+INDEX(Scenarios!Z$121:Z$200,MATCH($B396,Scenarios!$B$121:$B$200,0))</f>
        <v>0</v>
      </c>
      <c r="AA396" s="475">
        <f>INDEX(Input!$1:$1048576,AA$93,$C396*2+MIN($B396,2)+5)</f>
        <v>500</v>
      </c>
      <c r="AB396" s="476">
        <f>INDEX(Input!$1:$1048576,AB$93,$C396*2+MIN($B396,2)+5)</f>
        <v>0.62</v>
      </c>
      <c r="AC396" s="475">
        <f>INDEX(Input!$1:$1048576,AC$93,$C396*2+MIN($B396,2)+5)
+INDEX(Scenarios!AC$121:AC$200,MATCH($B396,Scenarios!$B$121:$B$200,0))</f>
        <v>0</v>
      </c>
      <c r="AD396" s="476">
        <f>INDEX(Input!$1:$1048576,AD$93,$C396*2+MIN($B396,2)+5)</f>
        <v>0.35</v>
      </c>
      <c r="AE396" s="475">
        <f>INDEX(Input!$1:$1048576,AE$93,$C396*2+MIN($B396,2)+5)
+INDEX(Scenarios!AE$121:AE$200,MATCH($B396,Scenarios!$B$121:$B$200,0))</f>
        <v>500</v>
      </c>
      <c r="AF396" s="476">
        <f>INDEX(Input!$1:$1048576,AF$93,$C396*2+MIN($B396,2)+5)</f>
        <v>0.97</v>
      </c>
      <c r="AG396" s="475">
        <f>INDEX(Input!$1:$1048576,AG$93,$C396*2+MIN($B396,2)+5)
+INDEX(Scenarios!AG$121:AG$200,MATCH($B396,Scenarios!$B$121:$B$200,0))</f>
        <v>0</v>
      </c>
      <c r="AH396" s="476">
        <f>INDEX(Input!$1:$1048576,AH$93,$C396*2+MIN($B396,2)+5)</f>
        <v>1</v>
      </c>
      <c r="AI396" s="475">
        <f>INDEX(Input!$1:$1048576,AI$93,$C396*2+MIN($B396,2)+5)
+INDEX(Scenarios!AI$121:AI$200,MATCH($B396,Scenarios!$B$121:$B$200,0))</f>
        <v>0</v>
      </c>
      <c r="AJ396" s="476">
        <f>INDEX(Input!$1:$1048576,AJ$93,$C396*2+MIN($B396,2)+5)</f>
        <v>0.35</v>
      </c>
      <c r="AK396" s="150">
        <f>ROUND(INDEX(Input!$1:$1048576,AK$93,$C395*2+MIN($B396,1)+5)+(Y396-VLOOKUP($C396*1000+1,$A:$HH,Y$92,FALSE)),0)</f>
        <v>4982</v>
      </c>
      <c r="AL396" s="150">
        <f>ROUND(INDEX(Input!$1:$1048576,AL$93,$C395*2+MIN($B396,1)+5)-(Y396-VLOOKUP($C396*1000+1,$A:$HH,Y$92,FALSE))/36,0)</f>
        <v>5102</v>
      </c>
      <c r="AM396" s="32" t="str">
        <f t="shared" si="1175"/>
        <v>std/std/std/std</v>
      </c>
      <c r="AN396" s="32" t="str">
        <f t="shared" si="1176"/>
        <v>$0 + 0/0/0/1.9/3.9</v>
      </c>
      <c r="AO396" s="32" t="str">
        <f t="shared" si="1177"/>
        <v>0/0/0/1.9/3.9</v>
      </c>
      <c r="AP396" s="32" t="str">
        <f t="shared" si="1125"/>
        <v>0/0.9/1.9/3.9</v>
      </c>
      <c r="AQ396" s="536">
        <f t="shared" si="1124"/>
        <v>485</v>
      </c>
      <c r="AR396" s="32"/>
      <c r="AS396" s="302"/>
      <c r="AT396" s="3">
        <f t="shared" si="1194"/>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Forte</v>
      </c>
      <c r="BA396" s="3">
        <f>INDEX(Input!$1:$1048576,BA$93,$C396*2+6)</f>
        <v>2020</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19695</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1126"/>
        <v>1560</v>
      </c>
      <c r="CJ396" s="16" t="str">
        <f>INDEX(Input!$1:$1048576,CJ$93,$C396*2+6)</f>
        <v>N</v>
      </c>
      <c r="CK396" s="1" t="str">
        <f t="shared" si="1127"/>
        <v>Market</v>
      </c>
      <c r="CL396" s="1" t="str">
        <f t="shared" si="1128"/>
        <v>Market</v>
      </c>
      <c r="CM396" s="1" t="str">
        <f t="shared" si="1129"/>
        <v>Market</v>
      </c>
      <c r="CN396" s="1" t="str">
        <f t="shared" si="1130"/>
        <v>Market</v>
      </c>
      <c r="CO396" s="1" t="str">
        <f t="shared" si="1131"/>
        <v>Market</v>
      </c>
      <c r="CP396" s="304">
        <f t="shared" si="1132"/>
        <v>310</v>
      </c>
      <c r="CQ396" s="1">
        <f t="shared" si="1133"/>
        <v>0</v>
      </c>
      <c r="CR396" s="1">
        <f t="shared" si="1134"/>
        <v>0</v>
      </c>
      <c r="CS396" s="1">
        <f t="shared" si="1135"/>
        <v>0</v>
      </c>
      <c r="CT396" s="1">
        <f t="shared" si="1136"/>
        <v>1.9E-2</v>
      </c>
      <c r="CU396" s="1">
        <f t="shared" si="1137"/>
        <v>3.9000000000000007E-2</v>
      </c>
      <c r="CV396" s="304">
        <f t="shared" si="1138"/>
        <v>4593</v>
      </c>
      <c r="CW396" s="20" t="s">
        <v>122</v>
      </c>
      <c r="CX396" s="20" t="s">
        <v>122</v>
      </c>
      <c r="CY396" s="20" t="s">
        <v>122</v>
      </c>
      <c r="CZ396" s="20" t="s">
        <v>122</v>
      </c>
      <c r="DA396" s="20" t="s">
        <v>122</v>
      </c>
      <c r="DB396" s="503">
        <f t="shared" si="1139"/>
        <v>0</v>
      </c>
      <c r="DC396" s="127">
        <v>0</v>
      </c>
      <c r="DD396" s="127">
        <v>0</v>
      </c>
      <c r="DE396" s="127">
        <v>0</v>
      </c>
      <c r="DF396" s="127">
        <v>0</v>
      </c>
      <c r="DG396" s="127">
        <v>0</v>
      </c>
      <c r="DH396" s="127">
        <v>0</v>
      </c>
      <c r="DI396" s="127">
        <v>0</v>
      </c>
      <c r="DJ396" s="127">
        <v>0</v>
      </c>
      <c r="DK396" s="127">
        <v>0</v>
      </c>
      <c r="DL396" s="127">
        <v>0</v>
      </c>
      <c r="DM396" s="304">
        <f>INDEX(Input!$1:$1048576,DM$93,$C396*2+6)</f>
        <v>20731.578947368424</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307" s="26" customFormat="1" ht="15" outlineLevel="1">
      <c r="A397" s="561">
        <f t="shared" si="1174"/>
        <v>3097</v>
      </c>
      <c r="B397" s="561">
        <f t="shared" si="1192"/>
        <v>97</v>
      </c>
      <c r="C397" s="561">
        <f t="shared" si="1193"/>
        <v>3</v>
      </c>
      <c r="D397" s="561" t="str">
        <f t="shared" si="1277"/>
        <v/>
      </c>
      <c r="E397" s="475">
        <f>INDEX(Input!$1:$1048576,E$93,$C397*2+MIN($B397,2)+5)
+INDEX(Scenarios!E$121:E$200,MATCH($B397,Scenarios!$B$121:$B$200,0))</f>
        <v>1250</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1.9E-2</v>
      </c>
      <c r="W397" s="863">
        <f>IFERROR(MAX(0,INDEX(Input!$1:$1048576,W$93,$C397*2+MIN($B397,2)+5)-0%,),"Market")</f>
        <v>3.9000000000000007E-2</v>
      </c>
      <c r="X397" s="476" t="str">
        <f>INDEX(Input!$1:$1048576,X$93,$C397*2+MIN($B397,2)+5)</f>
        <v>Y</v>
      </c>
      <c r="Y397" s="475">
        <f>INDEX(Input!$1:$1048576,Y$93,$C397*2+MIN($B397,2)+5)
++INDEX(Scenarios!Y$121:Y$200,MATCH($B397,Scenarios!$B$121:$B$200,0))</f>
        <v>4108</v>
      </c>
      <c r="Z397" s="477">
        <f>INDEX(Input!$1:$1048576,Z$93,$C397*2+MIN($B397,2)+5)
+INDEX(Scenarios!Z$121:Z$200,MATCH($B397,Scenarios!$B$121:$B$200,0))</f>
        <v>0</v>
      </c>
      <c r="AA397" s="475">
        <f>INDEX(Input!$1:$1048576,AA$93,$C397*2+MIN($B397,2)+5)</f>
        <v>500</v>
      </c>
      <c r="AB397" s="476">
        <f>INDEX(Input!$1:$1048576,AB$93,$C397*2+MIN($B397,2)+5)</f>
        <v>0.62</v>
      </c>
      <c r="AC397" s="475">
        <f>INDEX(Input!$1:$1048576,AC$93,$C397*2+MIN($B397,2)+5)
+INDEX(Scenarios!AC$121:AC$200,MATCH($B397,Scenarios!$B$121:$B$200,0))</f>
        <v>0</v>
      </c>
      <c r="AD397" s="476">
        <f>INDEX(Input!$1:$1048576,AD$93,$C397*2+MIN($B397,2)+5)</f>
        <v>0.35</v>
      </c>
      <c r="AE397" s="475">
        <f>INDEX(Input!$1:$1048576,AE$93,$C397*2+MIN($B397,2)+5)
+INDEX(Scenarios!AE$121:AE$200,MATCH($B397,Scenarios!$B$121:$B$200,0))</f>
        <v>500</v>
      </c>
      <c r="AF397" s="476">
        <f>INDEX(Input!$1:$1048576,AF$93,$C397*2+MIN($B397,2)+5)</f>
        <v>0.97</v>
      </c>
      <c r="AG397" s="475">
        <f>INDEX(Input!$1:$1048576,AG$93,$C397*2+MIN($B397,2)+5)
+INDEX(Scenarios!AG$121:AG$200,MATCH($B397,Scenarios!$B$121:$B$200,0))</f>
        <v>0</v>
      </c>
      <c r="AH397" s="476">
        <f>INDEX(Input!$1:$1048576,AH$93,$C397*2+MIN($B397,2)+5)</f>
        <v>1</v>
      </c>
      <c r="AI397" s="475">
        <f>INDEX(Input!$1:$1048576,AI$93,$C397*2+MIN($B397,2)+5)
+INDEX(Scenarios!AI$121:AI$200,MATCH($B397,Scenarios!$B$121:$B$200,0))</f>
        <v>0</v>
      </c>
      <c r="AJ397" s="476">
        <f>INDEX(Input!$1:$1048576,AJ$93,$C397*2+MIN($B397,2)+5)</f>
        <v>0.35</v>
      </c>
      <c r="AK397" s="150">
        <f>ROUND(INDEX(Input!$1:$1048576,AK$93,$C396*2+MIN($B397,1)+5)+(Y397-VLOOKUP($C397*1000+1,$A:$HH,Y$92,FALSE)),0)</f>
        <v>4982</v>
      </c>
      <c r="AL397" s="150">
        <f>ROUND(INDEX(Input!$1:$1048576,AL$93,$C396*2+MIN($B397,1)+5)-(Y397-VLOOKUP($C397*1000+1,$A:$HH,Y$92,FALSE))/36,0)</f>
        <v>5102</v>
      </c>
      <c r="AM397" s="32" t="str">
        <f t="shared" si="1175"/>
        <v>std/std/std/std</v>
      </c>
      <c r="AN397" s="32" t="str">
        <f t="shared" si="1176"/>
        <v>$0 + 0/0/0/1.9/3.9</v>
      </c>
      <c r="AO397" s="32" t="str">
        <f t="shared" si="1177"/>
        <v>0/0/0/1.9/3.9</v>
      </c>
      <c r="AP397" s="32" t="str">
        <f t="shared" si="1125"/>
        <v>0/0.9/1.9/3.9</v>
      </c>
      <c r="AQ397" s="536">
        <f t="shared" si="1124"/>
        <v>485</v>
      </c>
      <c r="AR397" s="32"/>
      <c r="AS397" s="302"/>
      <c r="AT397" s="3">
        <f t="shared" si="1194"/>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Forte</v>
      </c>
      <c r="BA397" s="3">
        <f>INDEX(Input!$1:$1048576,BA$93,$C397*2+6)</f>
        <v>2020</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19695</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1126"/>
        <v>1560</v>
      </c>
      <c r="CJ397" s="16" t="str">
        <f>INDEX(Input!$1:$1048576,CJ$93,$C397*2+6)</f>
        <v>N</v>
      </c>
      <c r="CK397" s="1" t="str">
        <f t="shared" si="1127"/>
        <v>Market</v>
      </c>
      <c r="CL397" s="1" t="str">
        <f t="shared" si="1128"/>
        <v>Market</v>
      </c>
      <c r="CM397" s="1" t="str">
        <f t="shared" si="1129"/>
        <v>Market</v>
      </c>
      <c r="CN397" s="1" t="str">
        <f t="shared" si="1130"/>
        <v>Market</v>
      </c>
      <c r="CO397" s="1" t="str">
        <f t="shared" si="1131"/>
        <v>Market</v>
      </c>
      <c r="CP397" s="304">
        <f t="shared" si="1132"/>
        <v>310</v>
      </c>
      <c r="CQ397" s="1">
        <f t="shared" si="1133"/>
        <v>0</v>
      </c>
      <c r="CR397" s="1">
        <f t="shared" si="1134"/>
        <v>0</v>
      </c>
      <c r="CS397" s="1">
        <f t="shared" si="1135"/>
        <v>0</v>
      </c>
      <c r="CT397" s="1">
        <f t="shared" si="1136"/>
        <v>1.9E-2</v>
      </c>
      <c r="CU397" s="1">
        <f t="shared" si="1137"/>
        <v>3.9000000000000007E-2</v>
      </c>
      <c r="CV397" s="304">
        <f t="shared" si="1138"/>
        <v>4593</v>
      </c>
      <c r="CW397" s="20" t="s">
        <v>122</v>
      </c>
      <c r="CX397" s="20" t="s">
        <v>122</v>
      </c>
      <c r="CY397" s="20" t="s">
        <v>122</v>
      </c>
      <c r="CZ397" s="20" t="s">
        <v>122</v>
      </c>
      <c r="DA397" s="20" t="s">
        <v>122</v>
      </c>
      <c r="DB397" s="503">
        <f t="shared" si="1139"/>
        <v>0</v>
      </c>
      <c r="DC397" s="127">
        <v>0</v>
      </c>
      <c r="DD397" s="127">
        <v>0</v>
      </c>
      <c r="DE397" s="127">
        <v>0</v>
      </c>
      <c r="DF397" s="127">
        <v>0</v>
      </c>
      <c r="DG397" s="127">
        <v>0</v>
      </c>
      <c r="DH397" s="127">
        <v>0</v>
      </c>
      <c r="DI397" s="127">
        <v>0</v>
      </c>
      <c r="DJ397" s="127">
        <v>0</v>
      </c>
      <c r="DK397" s="127">
        <v>0</v>
      </c>
      <c r="DL397" s="127">
        <v>0</v>
      </c>
      <c r="DM397" s="304">
        <f>INDEX(Input!$1:$1048576,DM$93,$C397*2+6)</f>
        <v>20731.578947368424</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307" s="26" customFormat="1" ht="15" outlineLevel="1">
      <c r="A398" s="561">
        <f t="shared" si="1174"/>
        <v>3098</v>
      </c>
      <c r="B398" s="561">
        <f t="shared" si="1192"/>
        <v>98</v>
      </c>
      <c r="C398" s="561">
        <f t="shared" si="1193"/>
        <v>3</v>
      </c>
      <c r="D398" s="561" t="str">
        <f t="shared" si="1277"/>
        <v/>
      </c>
      <c r="E398" s="475">
        <f>INDEX(Input!$1:$1048576,E$93,$C398*2+MIN($B398,2)+5)
+INDEX(Scenarios!E$121:E$200,MATCH($B398,Scenarios!$B$121:$B$200,0))</f>
        <v>1250</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1.9E-2</v>
      </c>
      <c r="W398" s="863">
        <f>IFERROR(MAX(0,INDEX(Input!$1:$1048576,W$93,$C398*2+MIN($B398,2)+5)-0%,),"Market")</f>
        <v>3.9000000000000007E-2</v>
      </c>
      <c r="X398" s="476" t="str">
        <f>INDEX(Input!$1:$1048576,X$93,$C398*2+MIN($B398,2)+5)</f>
        <v>Y</v>
      </c>
      <c r="Y398" s="475">
        <f>INDEX(Input!$1:$1048576,Y$93,$C398*2+MIN($B398,2)+5)
++INDEX(Scenarios!Y$121:Y$200,MATCH($B398,Scenarios!$B$121:$B$200,0))</f>
        <v>4108</v>
      </c>
      <c r="Z398" s="477">
        <f>INDEX(Input!$1:$1048576,Z$93,$C398*2+MIN($B398,2)+5)
+INDEX(Scenarios!Z$121:Z$200,MATCH($B398,Scenarios!$B$121:$B$200,0))</f>
        <v>0</v>
      </c>
      <c r="AA398" s="475">
        <f>INDEX(Input!$1:$1048576,AA$93,$C398*2+MIN($B398,2)+5)</f>
        <v>500</v>
      </c>
      <c r="AB398" s="476">
        <f>INDEX(Input!$1:$1048576,AB$93,$C398*2+MIN($B398,2)+5)</f>
        <v>0.62</v>
      </c>
      <c r="AC398" s="475">
        <f>INDEX(Input!$1:$1048576,AC$93,$C398*2+MIN($B398,2)+5)
+INDEX(Scenarios!AC$121:AC$200,MATCH($B398,Scenarios!$B$121:$B$200,0))</f>
        <v>0</v>
      </c>
      <c r="AD398" s="476">
        <f>INDEX(Input!$1:$1048576,AD$93,$C398*2+MIN($B398,2)+5)</f>
        <v>0.35</v>
      </c>
      <c r="AE398" s="475">
        <f>INDEX(Input!$1:$1048576,AE$93,$C398*2+MIN($B398,2)+5)
+INDEX(Scenarios!AE$121:AE$200,MATCH($B398,Scenarios!$B$121:$B$200,0))</f>
        <v>500</v>
      </c>
      <c r="AF398" s="476">
        <f>INDEX(Input!$1:$1048576,AF$93,$C398*2+MIN($B398,2)+5)</f>
        <v>0.97</v>
      </c>
      <c r="AG398" s="475">
        <f>INDEX(Input!$1:$1048576,AG$93,$C398*2+MIN($B398,2)+5)
+INDEX(Scenarios!AG$121:AG$200,MATCH($B398,Scenarios!$B$121:$B$200,0))</f>
        <v>0</v>
      </c>
      <c r="AH398" s="476">
        <f>INDEX(Input!$1:$1048576,AH$93,$C398*2+MIN($B398,2)+5)</f>
        <v>1</v>
      </c>
      <c r="AI398" s="475">
        <f>INDEX(Input!$1:$1048576,AI$93,$C398*2+MIN($B398,2)+5)
+INDEX(Scenarios!AI$121:AI$200,MATCH($B398,Scenarios!$B$121:$B$200,0))</f>
        <v>0</v>
      </c>
      <c r="AJ398" s="476">
        <f>INDEX(Input!$1:$1048576,AJ$93,$C398*2+MIN($B398,2)+5)</f>
        <v>0.35</v>
      </c>
      <c r="AK398" s="150">
        <f>ROUND(INDEX(Input!$1:$1048576,AK$93,$C397*2+MIN($B398,1)+5)+(Y398-VLOOKUP($C398*1000+1,$A:$HH,Y$92,FALSE)),0)</f>
        <v>4982</v>
      </c>
      <c r="AL398" s="150">
        <f>ROUND(INDEX(Input!$1:$1048576,AL$93,$C397*2+MIN($B398,1)+5)-(Y398-VLOOKUP($C398*1000+1,$A:$HH,Y$92,FALSE))/36,0)</f>
        <v>5102</v>
      </c>
      <c r="AM398" s="32" t="str">
        <f t="shared" si="1175"/>
        <v>std/std/std/std</v>
      </c>
      <c r="AN398" s="32" t="str">
        <f t="shared" si="1176"/>
        <v>$0 + 0/0/0/1.9/3.9</v>
      </c>
      <c r="AO398" s="32" t="str">
        <f t="shared" si="1177"/>
        <v>0/0/0/1.9/3.9</v>
      </c>
      <c r="AP398" s="32" t="str">
        <f t="shared" si="1125"/>
        <v>0/0.9/1.9/3.9</v>
      </c>
      <c r="AQ398" s="536">
        <f t="shared" si="1124"/>
        <v>485</v>
      </c>
      <c r="AR398" s="32"/>
      <c r="AS398" s="302"/>
      <c r="AT398" s="3">
        <f t="shared" si="1194"/>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Forte</v>
      </c>
      <c r="BA398" s="3">
        <f>INDEX(Input!$1:$1048576,BA$93,$C398*2+6)</f>
        <v>2020</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19695</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1126"/>
        <v>1560</v>
      </c>
      <c r="CJ398" s="16" t="str">
        <f>INDEX(Input!$1:$1048576,CJ$93,$C398*2+6)</f>
        <v>N</v>
      </c>
      <c r="CK398" s="1" t="str">
        <f t="shared" si="1127"/>
        <v>Market</v>
      </c>
      <c r="CL398" s="1" t="str">
        <f t="shared" si="1128"/>
        <v>Market</v>
      </c>
      <c r="CM398" s="1" t="str">
        <f t="shared" si="1129"/>
        <v>Market</v>
      </c>
      <c r="CN398" s="1" t="str">
        <f t="shared" si="1130"/>
        <v>Market</v>
      </c>
      <c r="CO398" s="1" t="str">
        <f t="shared" si="1131"/>
        <v>Market</v>
      </c>
      <c r="CP398" s="304">
        <f t="shared" si="1132"/>
        <v>310</v>
      </c>
      <c r="CQ398" s="1">
        <f t="shared" si="1133"/>
        <v>0</v>
      </c>
      <c r="CR398" s="1">
        <f t="shared" si="1134"/>
        <v>0</v>
      </c>
      <c r="CS398" s="1">
        <f t="shared" si="1135"/>
        <v>0</v>
      </c>
      <c r="CT398" s="1">
        <f t="shared" si="1136"/>
        <v>1.9E-2</v>
      </c>
      <c r="CU398" s="1">
        <f t="shared" si="1137"/>
        <v>3.9000000000000007E-2</v>
      </c>
      <c r="CV398" s="304">
        <f t="shared" si="1138"/>
        <v>4593</v>
      </c>
      <c r="CW398" s="20" t="s">
        <v>122</v>
      </c>
      <c r="CX398" s="20" t="s">
        <v>122</v>
      </c>
      <c r="CY398" s="20" t="s">
        <v>122</v>
      </c>
      <c r="CZ398" s="20" t="s">
        <v>122</v>
      </c>
      <c r="DA398" s="20" t="s">
        <v>122</v>
      </c>
      <c r="DB398" s="503">
        <f t="shared" si="1139"/>
        <v>0</v>
      </c>
      <c r="DC398" s="127">
        <v>0</v>
      </c>
      <c r="DD398" s="127">
        <v>0</v>
      </c>
      <c r="DE398" s="127">
        <v>0</v>
      </c>
      <c r="DF398" s="127">
        <v>0</v>
      </c>
      <c r="DG398" s="127">
        <v>0</v>
      </c>
      <c r="DH398" s="127">
        <v>0</v>
      </c>
      <c r="DI398" s="127">
        <v>0</v>
      </c>
      <c r="DJ398" s="127">
        <v>0</v>
      </c>
      <c r="DK398" s="127">
        <v>0</v>
      </c>
      <c r="DL398" s="127">
        <v>0</v>
      </c>
      <c r="DM398" s="304">
        <f>INDEX(Input!$1:$1048576,DM$93,$C398*2+6)</f>
        <v>20731.578947368424</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307" s="26" customFormat="1" ht="15" outlineLevel="1">
      <c r="A399" s="561">
        <f t="shared" si="1174"/>
        <v>3099</v>
      </c>
      <c r="B399" s="561">
        <f t="shared" si="1192"/>
        <v>99</v>
      </c>
      <c r="C399" s="561">
        <f t="shared" si="1193"/>
        <v>3</v>
      </c>
      <c r="D399" s="561" t="str">
        <f t="shared" si="1277"/>
        <v/>
      </c>
      <c r="E399" s="475">
        <f>INDEX(Input!$1:$1048576,E$93,$C399*2+MIN($B399,2)+5)
+INDEX(Scenarios!E$121:E$200,MATCH($B399,Scenarios!$B$121:$B$200,0))</f>
        <v>1250</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1.9E-2</v>
      </c>
      <c r="W399" s="863">
        <f>IFERROR(MAX(0,INDEX(Input!$1:$1048576,W$93,$C399*2+MIN($B399,2)+5)-0%,),"Market")</f>
        <v>3.9000000000000007E-2</v>
      </c>
      <c r="X399" s="476" t="str">
        <f>INDEX(Input!$1:$1048576,X$93,$C399*2+MIN($B399,2)+5)</f>
        <v>Y</v>
      </c>
      <c r="Y399" s="475">
        <f>INDEX(Input!$1:$1048576,Y$93,$C399*2+MIN($B399,2)+5)
++INDEX(Scenarios!Y$121:Y$200,MATCH($B399,Scenarios!$B$121:$B$200,0))</f>
        <v>4108</v>
      </c>
      <c r="Z399" s="477">
        <f>INDEX(Input!$1:$1048576,Z$93,$C399*2+MIN($B399,2)+5)
+INDEX(Scenarios!Z$121:Z$200,MATCH($B399,Scenarios!$B$121:$B$200,0))</f>
        <v>0</v>
      </c>
      <c r="AA399" s="475">
        <f>INDEX(Input!$1:$1048576,AA$93,$C399*2+MIN($B399,2)+5)</f>
        <v>500</v>
      </c>
      <c r="AB399" s="476">
        <f>INDEX(Input!$1:$1048576,AB$93,$C399*2+MIN($B399,2)+5)</f>
        <v>0.62</v>
      </c>
      <c r="AC399" s="475">
        <f>INDEX(Input!$1:$1048576,AC$93,$C399*2+MIN($B399,2)+5)
+INDEX(Scenarios!AC$121:AC$200,MATCH($B399,Scenarios!$B$121:$B$200,0))</f>
        <v>0</v>
      </c>
      <c r="AD399" s="476">
        <f>INDEX(Input!$1:$1048576,AD$93,$C399*2+MIN($B399,2)+5)</f>
        <v>0.35</v>
      </c>
      <c r="AE399" s="475">
        <f>INDEX(Input!$1:$1048576,AE$93,$C399*2+MIN($B399,2)+5)
+INDEX(Scenarios!AE$121:AE$200,MATCH($B399,Scenarios!$B$121:$B$200,0))</f>
        <v>500</v>
      </c>
      <c r="AF399" s="476">
        <f>INDEX(Input!$1:$1048576,AF$93,$C399*2+MIN($B399,2)+5)</f>
        <v>0.97</v>
      </c>
      <c r="AG399" s="475">
        <f>INDEX(Input!$1:$1048576,AG$93,$C399*2+MIN($B399,2)+5)
+INDEX(Scenarios!AG$121:AG$200,MATCH($B399,Scenarios!$B$121:$B$200,0))</f>
        <v>0</v>
      </c>
      <c r="AH399" s="476">
        <f>INDEX(Input!$1:$1048576,AH$93,$C399*2+MIN($B399,2)+5)</f>
        <v>1</v>
      </c>
      <c r="AI399" s="475">
        <f>INDEX(Input!$1:$1048576,AI$93,$C399*2+MIN($B399,2)+5)
+INDEX(Scenarios!AI$121:AI$200,MATCH($B399,Scenarios!$B$121:$B$200,0))</f>
        <v>0</v>
      </c>
      <c r="AJ399" s="476">
        <f>INDEX(Input!$1:$1048576,AJ$93,$C399*2+MIN($B399,2)+5)</f>
        <v>0.35</v>
      </c>
      <c r="AK399" s="150">
        <f>ROUND(INDEX(Input!$1:$1048576,AK$93,$C398*2+MIN($B399,1)+5)+(Y399-VLOOKUP($C399*1000+1,$A:$HH,Y$92,FALSE)),0)</f>
        <v>4982</v>
      </c>
      <c r="AL399" s="150">
        <f>ROUND(INDEX(Input!$1:$1048576,AL$93,$C398*2+MIN($B399,1)+5)-(Y399-VLOOKUP($C399*1000+1,$A:$HH,Y$92,FALSE))/36,0)</f>
        <v>5102</v>
      </c>
      <c r="AM399" s="32" t="str">
        <f t="shared" si="1175"/>
        <v>std/std/std/std</v>
      </c>
      <c r="AN399" s="32" t="str">
        <f t="shared" si="1176"/>
        <v>$0 + 0/0/0/1.9/3.9</v>
      </c>
      <c r="AO399" s="32" t="str">
        <f t="shared" si="1177"/>
        <v>0/0/0/1.9/3.9</v>
      </c>
      <c r="AP399" s="32" t="str">
        <f t="shared" si="1125"/>
        <v>0/0.9/1.9/3.9</v>
      </c>
      <c r="AQ399" s="536">
        <f t="shared" si="1124"/>
        <v>485</v>
      </c>
      <c r="AR399" s="32"/>
      <c r="AS399" s="302"/>
      <c r="AT399" s="3">
        <f t="shared" si="1194"/>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Forte</v>
      </c>
      <c r="BA399" s="3">
        <f>INDEX(Input!$1:$1048576,BA$93,$C399*2+6)</f>
        <v>2020</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19695</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1126"/>
        <v>1560</v>
      </c>
      <c r="CJ399" s="16" t="str">
        <f>INDEX(Input!$1:$1048576,CJ$93,$C399*2+6)</f>
        <v>N</v>
      </c>
      <c r="CK399" s="1" t="str">
        <f t="shared" si="1127"/>
        <v>Market</v>
      </c>
      <c r="CL399" s="1" t="str">
        <f t="shared" si="1128"/>
        <v>Market</v>
      </c>
      <c r="CM399" s="1" t="str">
        <f t="shared" si="1129"/>
        <v>Market</v>
      </c>
      <c r="CN399" s="1" t="str">
        <f t="shared" si="1130"/>
        <v>Market</v>
      </c>
      <c r="CO399" s="1" t="str">
        <f t="shared" si="1131"/>
        <v>Market</v>
      </c>
      <c r="CP399" s="304">
        <f t="shared" si="1132"/>
        <v>310</v>
      </c>
      <c r="CQ399" s="1">
        <f t="shared" si="1133"/>
        <v>0</v>
      </c>
      <c r="CR399" s="1">
        <f t="shared" si="1134"/>
        <v>0</v>
      </c>
      <c r="CS399" s="1">
        <f t="shared" si="1135"/>
        <v>0</v>
      </c>
      <c r="CT399" s="1">
        <f t="shared" si="1136"/>
        <v>1.9E-2</v>
      </c>
      <c r="CU399" s="1">
        <f t="shared" si="1137"/>
        <v>3.9000000000000007E-2</v>
      </c>
      <c r="CV399" s="304">
        <f t="shared" si="1138"/>
        <v>4593</v>
      </c>
      <c r="CW399" s="20" t="s">
        <v>122</v>
      </c>
      <c r="CX399" s="20" t="s">
        <v>122</v>
      </c>
      <c r="CY399" s="20" t="s">
        <v>122</v>
      </c>
      <c r="CZ399" s="20" t="s">
        <v>122</v>
      </c>
      <c r="DA399" s="20" t="s">
        <v>122</v>
      </c>
      <c r="DB399" s="503">
        <f t="shared" si="1139"/>
        <v>0</v>
      </c>
      <c r="DC399" s="127">
        <v>0</v>
      </c>
      <c r="DD399" s="127">
        <v>0</v>
      </c>
      <c r="DE399" s="127">
        <v>0</v>
      </c>
      <c r="DF399" s="127">
        <v>0</v>
      </c>
      <c r="DG399" s="127">
        <v>0</v>
      </c>
      <c r="DH399" s="127">
        <v>0</v>
      </c>
      <c r="DI399" s="127">
        <v>0</v>
      </c>
      <c r="DJ399" s="127">
        <v>0</v>
      </c>
      <c r="DK399" s="127">
        <v>0</v>
      </c>
      <c r="DL399" s="127">
        <v>0</v>
      </c>
      <c r="DM399" s="304">
        <f>INDEX(Input!$1:$1048576,DM$93,$C399*2+6)</f>
        <v>20731.578947368424</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307" s="26" customFormat="1" ht="15.75" outlineLevel="1" thickBot="1">
      <c r="A400" s="561">
        <f t="shared" si="1174"/>
        <v>3100</v>
      </c>
      <c r="B400" s="561">
        <f t="shared" si="1192"/>
        <v>100</v>
      </c>
      <c r="C400" s="561">
        <f t="shared" si="1193"/>
        <v>3</v>
      </c>
      <c r="D400" s="561" t="str">
        <f t="shared" si="1277"/>
        <v/>
      </c>
      <c r="E400" s="475">
        <f>INDEX(Input!$1:$1048576,E$93,$C400*2+MIN($B400,2)+5)
+INDEX(Scenarios!E$121:E$200,MATCH($B400,Scenarios!$B$121:$B$200,0))</f>
        <v>1250</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1.9E-2</v>
      </c>
      <c r="W400" s="863">
        <f>IFERROR(MAX(0,INDEX(Input!$1:$1048576,W$93,$C400*2+MIN($B400,2)+5)-0%,),"Market")</f>
        <v>3.9000000000000007E-2</v>
      </c>
      <c r="X400" s="476" t="str">
        <f>INDEX(Input!$1:$1048576,X$93,$C400*2+MIN($B400,2)+5)</f>
        <v>Y</v>
      </c>
      <c r="Y400" s="475">
        <f>INDEX(Input!$1:$1048576,Y$93,$C400*2+MIN($B400,2)+5)
++INDEX(Scenarios!Y$121:Y$200,MATCH($B400,Scenarios!$B$121:$B$200,0))</f>
        <v>4108</v>
      </c>
      <c r="Z400" s="477">
        <f>INDEX(Input!$1:$1048576,Z$93,$C400*2+MIN($B400,2)+5)
+INDEX(Scenarios!Z$121:Z$200,MATCH($B400,Scenarios!$B$121:$B$200,0))</f>
        <v>0</v>
      </c>
      <c r="AA400" s="475">
        <f>INDEX(Input!$1:$1048576,AA$93,$C400*2+MIN($B400,2)+5)</f>
        <v>500</v>
      </c>
      <c r="AB400" s="476">
        <f>INDEX(Input!$1:$1048576,AB$93,$C400*2+MIN($B400,2)+5)</f>
        <v>0.62</v>
      </c>
      <c r="AC400" s="475">
        <f>INDEX(Input!$1:$1048576,AC$93,$C400*2+MIN($B400,2)+5)
+INDEX(Scenarios!AC$121:AC$200,MATCH($B400,Scenarios!$B$121:$B$200,0))</f>
        <v>0</v>
      </c>
      <c r="AD400" s="476">
        <f>INDEX(Input!$1:$1048576,AD$93,$C400*2+MIN($B400,2)+5)</f>
        <v>0.35</v>
      </c>
      <c r="AE400" s="475">
        <f>INDEX(Input!$1:$1048576,AE$93,$C400*2+MIN($B400,2)+5)
+INDEX(Scenarios!AE$121:AE$200,MATCH($B400,Scenarios!$B$121:$B$200,0))</f>
        <v>500</v>
      </c>
      <c r="AF400" s="476">
        <f>INDEX(Input!$1:$1048576,AF$93,$C400*2+MIN($B400,2)+5)</f>
        <v>0.97</v>
      </c>
      <c r="AG400" s="475">
        <f>INDEX(Input!$1:$1048576,AG$93,$C400*2+MIN($B400,2)+5)
+INDEX(Scenarios!AG$121:AG$200,MATCH($B400,Scenarios!$B$121:$B$200,0))</f>
        <v>0</v>
      </c>
      <c r="AH400" s="476">
        <f>INDEX(Input!$1:$1048576,AH$93,$C400*2+MIN($B400,2)+5)</f>
        <v>1</v>
      </c>
      <c r="AI400" s="475">
        <f>INDEX(Input!$1:$1048576,AI$93,$C400*2+MIN($B400,2)+5)
+INDEX(Scenarios!AI$121:AI$200,MATCH($B400,Scenarios!$B$121:$B$200,0))</f>
        <v>0</v>
      </c>
      <c r="AJ400" s="476">
        <f>INDEX(Input!$1:$1048576,AJ$93,$C400*2+MIN($B400,2)+5)</f>
        <v>0.35</v>
      </c>
      <c r="AK400" s="150">
        <f>ROUND(INDEX(Input!$1:$1048576,AK$93,$C399*2+MIN($B400,1)+5)+(Y400-VLOOKUP($C400*1000+1,$A:$HH,Y$92,FALSE)),0)</f>
        <v>4982</v>
      </c>
      <c r="AL400" s="150">
        <f>ROUND(INDEX(Input!$1:$1048576,AL$93,$C399*2+MIN($B400,1)+5)-(Y400-VLOOKUP($C400*1000+1,$A:$HH,Y$92,FALSE))/36,0)</f>
        <v>5102</v>
      </c>
      <c r="AM400" s="32" t="str">
        <f t="shared" si="1175"/>
        <v>std/std/std/std</v>
      </c>
      <c r="AN400" s="32" t="str">
        <f t="shared" si="1176"/>
        <v>$0 + 0/0/0/1.9/3.9</v>
      </c>
      <c r="AO400" s="32" t="str">
        <f t="shared" si="1177"/>
        <v>0/0/0/1.9/3.9</v>
      </c>
      <c r="AP400" s="32" t="str">
        <f t="shared" si="1125"/>
        <v>0/0.9/1.9/3.9</v>
      </c>
      <c r="AQ400" s="536">
        <f t="shared" si="1124"/>
        <v>485</v>
      </c>
      <c r="AR400" s="32"/>
      <c r="AS400" s="302"/>
      <c r="AT400" s="3">
        <f t="shared" si="1194"/>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Forte</v>
      </c>
      <c r="BA400" s="3">
        <f>INDEX(Input!$1:$1048576,BA$93,$C400*2+6)</f>
        <v>2020</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19695</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1126"/>
        <v>1560</v>
      </c>
      <c r="CJ400" s="16" t="str">
        <f>INDEX(Input!$1:$1048576,CJ$93,$C400*2+6)</f>
        <v>N</v>
      </c>
      <c r="CK400" s="1" t="str">
        <f t="shared" si="1127"/>
        <v>Market</v>
      </c>
      <c r="CL400" s="1" t="str">
        <f t="shared" si="1128"/>
        <v>Market</v>
      </c>
      <c r="CM400" s="1" t="str">
        <f t="shared" si="1129"/>
        <v>Market</v>
      </c>
      <c r="CN400" s="1" t="str">
        <f t="shared" si="1130"/>
        <v>Market</v>
      </c>
      <c r="CO400" s="1" t="str">
        <f t="shared" si="1131"/>
        <v>Market</v>
      </c>
      <c r="CP400" s="304">
        <f t="shared" si="1132"/>
        <v>310</v>
      </c>
      <c r="CQ400" s="1">
        <f t="shared" si="1133"/>
        <v>0</v>
      </c>
      <c r="CR400" s="1">
        <f t="shared" si="1134"/>
        <v>0</v>
      </c>
      <c r="CS400" s="1">
        <f t="shared" si="1135"/>
        <v>0</v>
      </c>
      <c r="CT400" s="1">
        <f t="shared" si="1136"/>
        <v>1.9E-2</v>
      </c>
      <c r="CU400" s="1">
        <f t="shared" si="1137"/>
        <v>3.9000000000000007E-2</v>
      </c>
      <c r="CV400" s="304">
        <f t="shared" si="1138"/>
        <v>4593</v>
      </c>
      <c r="CW400" s="20" t="s">
        <v>122</v>
      </c>
      <c r="CX400" s="20" t="s">
        <v>122</v>
      </c>
      <c r="CY400" s="20" t="s">
        <v>122</v>
      </c>
      <c r="CZ400" s="20" t="s">
        <v>122</v>
      </c>
      <c r="DA400" s="20" t="s">
        <v>122</v>
      </c>
      <c r="DB400" s="503">
        <f t="shared" si="1139"/>
        <v>0</v>
      </c>
      <c r="DC400" s="127">
        <v>0</v>
      </c>
      <c r="DD400" s="127">
        <v>0</v>
      </c>
      <c r="DE400" s="127">
        <v>0</v>
      </c>
      <c r="DF400" s="127">
        <v>0</v>
      </c>
      <c r="DG400" s="127">
        <v>0</v>
      </c>
      <c r="DH400" s="127">
        <v>0</v>
      </c>
      <c r="DI400" s="127">
        <v>0</v>
      </c>
      <c r="DJ400" s="127">
        <v>0</v>
      </c>
      <c r="DK400" s="127">
        <v>0</v>
      </c>
      <c r="DL400" s="127">
        <v>0</v>
      </c>
      <c r="DM400" s="304">
        <f>INDEX(Input!$1:$1048576,DM$93,$C400*2+6)</f>
        <v>20731.578947368424</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750</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1.8999999999999996E-2</v>
      </c>
      <c r="W401" s="22">
        <f>INDEX(Input!$1:$1048576,W$93,$C401*2+MIN($B401,1)+5)</f>
        <v>3.9E-2</v>
      </c>
      <c r="X401" s="367" t="str">
        <f>INDEX(Input!$1:$1048576,X$93,$C401*2+MIN($B401,1)+5)</f>
        <v>Y</v>
      </c>
      <c r="Y401" s="49">
        <f>INDEX(Input!$1:$1048576,Y$93,$C401*2+MIN($B401,1)+5)</f>
        <v>-2070</v>
      </c>
      <c r="Z401" s="584">
        <f>INDEX(Input!$1:$1048576,Z$93,$C401*2+MIN($B401,1)+5)</f>
        <v>0</v>
      </c>
      <c r="AA401" s="49">
        <f>INDEX(Input!$1:$1048576,AA$93,$C401*2+MIN($B401,1)+5)</f>
        <v>0</v>
      </c>
      <c r="AB401" s="367">
        <f>INDEX(Input!$1:$1048576,AB$93,$C401*2+MIN($B401,1)+5)</f>
        <v>1</v>
      </c>
      <c r="AC401" s="49">
        <f>INDEX(Input!$1:$1048576,AC$93,$C401*2+MIN($B401,1)+5)</f>
        <v>1000</v>
      </c>
      <c r="AD401" s="367">
        <f>INDEX(Input!$1:$1048576,AD$93,$C401*2+MIN($B401,1)+5)</f>
        <v>0.35</v>
      </c>
      <c r="AE401" s="49">
        <f>INDEX(Input!$1:$1048576,AE$93,$C401*2+MIN($B401,1)+5)</f>
        <v>0</v>
      </c>
      <c r="AF401" s="367">
        <f>INDEX(Input!$1:$1048576,AF$93,$C401*2+MIN($B401,1)+5)</f>
        <v>1</v>
      </c>
      <c r="AG401" s="49">
        <f>INDEX(Input!$1:$1048576,AG$93,$C401*2+MIN($B401,1)+5)</f>
        <v>500</v>
      </c>
      <c r="AH401" s="367">
        <f>INDEX(Input!$1:$1048576,AH$93,$C401*2+MIN($B401,1)+5)</f>
        <v>1</v>
      </c>
      <c r="AI401" s="49">
        <f>INDEX(Input!$1:$1048576,AI$93,$C401*2+MIN($B401,1)+5)</f>
        <v>500</v>
      </c>
      <c r="AJ401" s="367">
        <f>INDEX(Input!$1:$1048576,AJ$93,$C401*2+MIN($B401,1)+5)</f>
        <v>0.35</v>
      </c>
      <c r="AK401" s="298">
        <f>ROUND(INDEX(Input!$1:$1048576,AK$93,$C401*2+MIN($B401,1)+5),0)</f>
        <v>4739</v>
      </c>
      <c r="AL401" s="49">
        <f>ROUND(INDEX(Input!$1:$1048576,AL$93,$C401*2+MIN($B401,1)+5),0)</f>
        <v>4739</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+ 0/0/0/1.9/3.9</v>
      </c>
      <c r="AO401" s="44" t="str">
        <f>IF(S401="market","std",ROUND(S401*1000,0)/10)&amp;"/"&amp;IF(T401="market","std",ROUND(T401*1000,0)/10)&amp;"/"&amp;IF(U401="market","std",ROUND(U401*1000,0)/10)&amp;"/"&amp;IF(V401="market","std",ROUND(V401*1000,0)/10)&amp;IF(X401="N","","/"&amp;IF(W401="market","std",ROUND(W401*1000,0)/10))</f>
        <v>0/0/0/1.9/3.9</v>
      </c>
      <c r="AP401" s="44" t="str">
        <f t="shared" si="1125"/>
        <v>0/0.9/1.9/3.9</v>
      </c>
      <c r="AQ401" s="507">
        <f t="shared" si="1124"/>
        <v>850.45400753093054</v>
      </c>
      <c r="AR401" s="44"/>
      <c r="AS401" s="368"/>
      <c r="AT401" s="579">
        <v>1</v>
      </c>
      <c r="AU401" s="45" t="s">
        <v>121</v>
      </c>
      <c r="AV401" s="45" t="s">
        <v>116</v>
      </c>
      <c r="AW401" s="45" t="str">
        <f>INDEX(Input!$1:$1048576,AW$93,$C401*2+6)</f>
        <v>Kia</v>
      </c>
      <c r="AX401" s="45" t="str">
        <f>INDEX(Input!$1:$1048576,AX$93,$C401*2+6)</f>
        <v>Kia-LR - R1</v>
      </c>
      <c r="AY401" s="10" t="str">
        <f>IF(LEN(D401)=0,"",INDEX(Input!$1:$1048576,AY$93,$C401*2+6))</f>
        <v>Compact Conventional/Sporty Car (43)</v>
      </c>
      <c r="AZ401" s="45" t="str">
        <f>INDEX(Input!$1:$1048576,AZ$93,$C401*2+6)</f>
        <v>Kia Forte</v>
      </c>
      <c r="BA401" s="50">
        <f>INDEX(Input!$1:$1048576,BA$93,$C401*2+6)</f>
        <v>2020</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19695</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1126"/>
        <v>1410</v>
      </c>
      <c r="CJ401" s="46" t="str">
        <f>INDEX(Input!$1:$1048576,CJ$93,$C401*2+6)</f>
        <v>N</v>
      </c>
      <c r="CK401" s="38" t="str">
        <f t="shared" si="1127"/>
        <v>Market</v>
      </c>
      <c r="CL401" s="38" t="str">
        <f t="shared" si="1128"/>
        <v>Market</v>
      </c>
      <c r="CM401" s="38" t="str">
        <f t="shared" si="1129"/>
        <v>Market</v>
      </c>
      <c r="CN401" s="38" t="str">
        <f t="shared" si="1130"/>
        <v>Market</v>
      </c>
      <c r="CO401" s="38" t="str">
        <f t="shared" si="1131"/>
        <v>Market</v>
      </c>
      <c r="CP401" s="49">
        <f t="shared" si="1132"/>
        <v>350</v>
      </c>
      <c r="CQ401" s="38">
        <f t="shared" si="1133"/>
        <v>0</v>
      </c>
      <c r="CR401" s="38">
        <f t="shared" si="1134"/>
        <v>0</v>
      </c>
      <c r="CS401" s="38">
        <f t="shared" si="1135"/>
        <v>0</v>
      </c>
      <c r="CT401" s="38">
        <f t="shared" si="1136"/>
        <v>1.8999999999999996E-2</v>
      </c>
      <c r="CU401" s="38">
        <f t="shared" si="1137"/>
        <v>3.9E-2</v>
      </c>
      <c r="CV401" s="49">
        <f t="shared" si="1138"/>
        <v>-1895</v>
      </c>
      <c r="CW401" s="22" t="s">
        <v>122</v>
      </c>
      <c r="CX401" s="22" t="s">
        <v>122</v>
      </c>
      <c r="CY401" s="22" t="s">
        <v>122</v>
      </c>
      <c r="CZ401" s="22" t="s">
        <v>122</v>
      </c>
      <c r="DA401" s="22" t="s">
        <v>122</v>
      </c>
      <c r="DB401" s="502">
        <f t="shared" si="1139"/>
        <v>500</v>
      </c>
      <c r="DC401" s="29">
        <v>0</v>
      </c>
      <c r="DD401" s="29">
        <v>0</v>
      </c>
      <c r="DE401" s="29">
        <v>0</v>
      </c>
      <c r="DF401" s="49">
        <v>0</v>
      </c>
      <c r="DG401" s="49">
        <v>0</v>
      </c>
      <c r="DH401" s="49">
        <v>0</v>
      </c>
      <c r="DI401" s="49">
        <v>0</v>
      </c>
      <c r="DJ401" s="49">
        <v>0</v>
      </c>
      <c r="DK401" s="29">
        <v>0</v>
      </c>
      <c r="DL401" s="29">
        <v>0</v>
      </c>
      <c r="DM401" s="49">
        <f>INDEX(Input!$1:$1048576,DM$93,$C401*2+6)</f>
        <v>20731.578947368424</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4.5247322037539006E-2</v>
      </c>
      <c r="DZ401" s="37">
        <v>0</v>
      </c>
      <c r="EA401" s="37">
        <v>0.82228767932802471</v>
      </c>
      <c r="EB401" s="37">
        <v>0</v>
      </c>
      <c r="EC401" s="37">
        <v>0</v>
      </c>
      <c r="ED401" s="37">
        <v>0</v>
      </c>
      <c r="EE401" s="37">
        <v>0</v>
      </c>
      <c r="EF401" s="37">
        <v>0</v>
      </c>
      <c r="EG401" s="37">
        <v>0</v>
      </c>
      <c r="EH401" s="37">
        <v>1.2235334782959644E-2</v>
      </c>
      <c r="EI401" s="37">
        <v>1.9637116390497738E-2</v>
      </c>
      <c r="EJ401" s="37">
        <v>0.18444957696615058</v>
      </c>
      <c r="EK401" s="37">
        <v>0.72538715718423197</v>
      </c>
      <c r="EL401" s="37">
        <v>5.8290814676160339E-2</v>
      </c>
      <c r="EM401" s="37">
        <v>3.112562289144501E-2</v>
      </c>
      <c r="EN401" s="37">
        <v>4.650112995163512E-2</v>
      </c>
      <c r="EO401" s="37">
        <v>0.57167307659593691</v>
      </c>
      <c r="EP401" s="37">
        <v>0.26783778427439825</v>
      </c>
      <c r="EQ401" s="37">
        <v>6.8627346892415481E-2</v>
      </c>
      <c r="ER401" s="37">
        <v>4.5360662285613945E-2</v>
      </c>
      <c r="ES401" s="37">
        <v>0.10133937574299129</v>
      </c>
      <c r="ET401" s="37">
        <v>0.13246499863443631</v>
      </c>
      <c r="EU401" s="36">
        <v>1199.9999999999998</v>
      </c>
      <c r="EV401" s="36">
        <v>0</v>
      </c>
      <c r="EW401" s="36">
        <v>1199.9999999999998</v>
      </c>
      <c r="EX401" s="36">
        <v>0</v>
      </c>
      <c r="EY401" s="36">
        <v>2195.4782357510439</v>
      </c>
      <c r="EZ401" s="36">
        <v>-571</v>
      </c>
      <c r="FA401" s="36">
        <v>0</v>
      </c>
      <c r="FB401" s="36">
        <v>0</v>
      </c>
      <c r="FC401" s="36">
        <v>0</v>
      </c>
      <c r="FD401" s="36">
        <v>0</v>
      </c>
      <c r="FE401" s="36">
        <v>0</v>
      </c>
      <c r="FF401" s="36">
        <v>0</v>
      </c>
      <c r="FG401" s="36">
        <v>0</v>
      </c>
      <c r="FH401" s="36">
        <v>1153.2558118526385</v>
      </c>
      <c r="FI401" s="36">
        <v>1531.4299904380612</v>
      </c>
      <c r="FJ401" s="36">
        <v>2070.7205842538206</v>
      </c>
      <c r="FK401" s="36">
        <v>1746.9903521590427</v>
      </c>
      <c r="FL401" s="36">
        <v>893.9143356348942</v>
      </c>
      <c r="FM401" s="36">
        <v>1745.4782357510442</v>
      </c>
      <c r="FN401" s="36">
        <v>0</v>
      </c>
      <c r="FO401" s="36">
        <v>0</v>
      </c>
      <c r="FP401" s="36">
        <v>0</v>
      </c>
      <c r="FQ401" s="36">
        <v>0</v>
      </c>
      <c r="FR401" s="36">
        <v>0</v>
      </c>
      <c r="FS401" s="36">
        <v>0</v>
      </c>
      <c r="FT401" s="37">
        <v>0.86753500136556372</v>
      </c>
      <c r="FU401" s="37">
        <v>3.112562289144501E-2</v>
      </c>
      <c r="FV401" s="37">
        <v>0.10133937574299129</v>
      </c>
      <c r="FW401" s="36">
        <v>1199.9999999999998</v>
      </c>
      <c r="FX401" s="36">
        <v>2195.4782357510435</v>
      </c>
      <c r="FY401" s="36">
        <v>-571</v>
      </c>
      <c r="FZ401" s="36">
        <v>1695.8504614767719</v>
      </c>
      <c r="GA401" s="36">
        <v>1051.5128457217904</v>
      </c>
      <c r="GB401" s="36">
        <v>18643.487154278209</v>
      </c>
      <c r="GC401" s="37">
        <v>8.1891069685915169E-2</v>
      </c>
      <c r="GD401" s="37">
        <v>7.6210291289252219E-2</v>
      </c>
      <c r="GE401" s="37"/>
      <c r="GF401" s="37"/>
      <c r="GG401" s="37">
        <v>-6.9369937631184875E-2</v>
      </c>
      <c r="GH401" s="35">
        <v>2.1203805089748458</v>
      </c>
      <c r="GI401" s="36">
        <v>10339.940048593066</v>
      </c>
      <c r="GJ401" s="34">
        <v>0.5107463060103955</v>
      </c>
      <c r="GK401" s="34">
        <v>0.50829519786160959</v>
      </c>
      <c r="GL401" s="34">
        <v>0.48925369398960444</v>
      </c>
      <c r="GM401" s="33">
        <v>0.49170480213839035</v>
      </c>
      <c r="GN401" s="61"/>
      <c r="GO401" s="13">
        <v>338.16872463277008</v>
      </c>
      <c r="GP401" s="27">
        <v>315.27501390194027</v>
      </c>
      <c r="GQ401" s="27">
        <v>527.27910984145694</v>
      </c>
      <c r="GR401" s="27">
        <v>404.20319246551543</v>
      </c>
      <c r="GS401" s="27">
        <v>334.50205195691484</v>
      </c>
      <c r="GT401" s="27">
        <v>289.18266033348181</v>
      </c>
      <c r="GU401" s="27">
        <v>254.29573314828914</v>
      </c>
      <c r="GV401" s="29" t="s">
        <v>392</v>
      </c>
      <c r="GW401" s="27">
        <v>479.875</v>
      </c>
      <c r="GX401" s="27">
        <v>359.90625</v>
      </c>
      <c r="GY401" s="27">
        <v>287.92500000000001</v>
      </c>
      <c r="GZ401" s="27">
        <v>254.06342861438085</v>
      </c>
      <c r="HA401" s="27">
        <v>235.34107974463734</v>
      </c>
      <c r="HB401" s="29">
        <v>264.05916814001614</v>
      </c>
      <c r="HC401" s="27">
        <v>308.09687499999995</v>
      </c>
      <c r="HD401" s="27">
        <v>253.37629751461984</v>
      </c>
      <c r="HE401" s="27">
        <v>253.29689186909582</v>
      </c>
      <c r="HF401" s="27">
        <v>230.90754934210526</v>
      </c>
      <c r="HG401" s="27">
        <v>218.51910087719298</v>
      </c>
      <c r="HH401" s="12">
        <v>252.77648226717287</v>
      </c>
      <c r="HI401" s="94"/>
      <c r="HJ401" s="335" t="s">
        <v>353</v>
      </c>
      <c r="HK401" s="335" t="s">
        <v>353</v>
      </c>
      <c r="HL401" s="94"/>
      <c r="HM401" s="640">
        <f t="shared" ref="HM401:HM461" si="1278">VLOOKUP($C401*1000+1,$A:$HH,FT$92,FALSE)*$JF401</f>
        <v>6.6115095157691428E-2</v>
      </c>
      <c r="HN401" s="22">
        <f t="shared" ref="HN401:HN461" si="1279">VLOOKUP($C401*1000+1,$A:$HH,FU$92,FALSE)*$JF401</f>
        <v>2.3720927871164412E-3</v>
      </c>
      <c r="HO401" s="638">
        <f t="shared" ref="HO401:HO461" si="1280">VLOOKUP($C401*1000+1,$A:$HH,FV$92,FALSE)*$JF401</f>
        <v>7.7231033444443466E-3</v>
      </c>
      <c r="HP401" s="649">
        <f>(FT401*$GD401-HM401)/$JF401*INDEX(Input!$1:$1048576,$JG$93,$C401*2+6)</f>
        <v>0</v>
      </c>
      <c r="HQ401" s="650">
        <f>(FU401*$GD401-HN401)/$JF401*INDEX(Input!$1:$1048576,$JG$93,$C401*2+6)</f>
        <v>0</v>
      </c>
      <c r="HR401" s="651">
        <f>(FV401*$GD401-HO401)/$JF401*INDEX(Input!$1:$1048576,$JG$93,$C401*2+6)</f>
        <v>0</v>
      </c>
      <c r="HS401" s="650">
        <f t="shared" ref="HS401:HS418" si="1281">IF(AND(HJ401="On",HK401="On"),IL401/1000*INDEX(KG:KG,MATCH(C401*1000+3,$KF:$KF,0))*SUM(HY401:IA401)*1.1
+INDEX(HR:HR,MATCH(C401*1000+4,$KF:$KF,0))/INDEX(IM:IM,MATCH(C401*1000+4,$KF:$KF,0))*IM401*20%,0)</f>
        <v>0</v>
      </c>
      <c r="HT401" s="650">
        <f t="shared" ref="HT401:HT461" si="1282">IF(AND(HJ401="On",HK401="On"),IM401/1000*INDEX(KG:KG,MATCH(C401*1000+4,$KF:$KF,0))*SUM(HY401:IA401)*1.1
+INDEX(HR:HR,MATCH(C401*1000+3,$KF:$KF,0))/INDEX(IL:IL,MATCH(C401*1000+3,$KF:$KF,0))*IL401*20%,0)</f>
        <v>0</v>
      </c>
      <c r="HU401" s="651">
        <f t="shared" ref="HU401:HU461" si="1283">IF(HJ401="On",IN401/1000*INDEX(KG:KG,MATCH(C401*1000+5,$KF:$KF,0))*SUM(HY401:IA401)*1.1
-INDEX(HR:HR,MATCH(C401*1000+3,$KF:$KF,0))/INDEX(IL:IL,MATCH(C401*1000+3,$KF:$KF,0))*IL401*20%
-INDEX(HR:HR,MATCH(C401*1000+4,$KF:$KF,0))/INDEX(IM:IM,MATCH(C401*1000+4,$KF:$KF,0))*IM401*20%,0)</f>
        <v>0</v>
      </c>
      <c r="HV401" s="649">
        <f t="shared" ref="HV401:HV461" si="1284">IL401/1000*0+IM401/1000*0+IN401/1000*0
+(CP401-INDEX(CP:CP,MATCH(C401*1000+1,A:A,0)))/1000*0+IF(FU401&gt;0,0,0)</f>
        <v>0</v>
      </c>
      <c r="HW401" s="650">
        <f t="shared" ref="HW401:HW461" si="1285">IL401/1000*0+IM401/1000*0+IN401/1000*0
+(CP401-INDEX(CP:CP,MATCH(C401*1000+1,A:A,0)))/1000*0+IF(FU401&gt;0,0,0)</f>
        <v>0</v>
      </c>
      <c r="HX401" s="651">
        <f t="shared" ref="HX401:HX461" si="1286">IL401/1000*0+IM401/1000*0+IN401/1000*0
+(CP401-INDEX(CP:CP,MATCH(C401*1000+1,A:A,0)))/1000*0+IF(FU401&gt;0,0,0)</f>
        <v>0</v>
      </c>
      <c r="HY401" s="641">
        <f>INDEX(Input!$1:$1048576,HY$93,$C401*2+6)*INDEX(Input!$1:$1048576,$JG$93,$C401*2+6)</f>
        <v>844</v>
      </c>
      <c r="HZ401" s="641">
        <f>INDEX(Input!$1:$1048576,HZ$93,$C401*2+6)*INDEX(Input!$1:$1048576,$JG$93,$C401*2+6)</f>
        <v>865</v>
      </c>
      <c r="IA401" s="642">
        <f>INDEX(Input!$1:$1048576,IA$93,$C401*2+6)*INDEX(Input!$1:$1048576,$JG$93,$C401*2+6)</f>
        <v>150</v>
      </c>
      <c r="IB401" s="649">
        <f>SUM(HP401:IA401)-IC401-ID401</f>
        <v>844</v>
      </c>
      <c r="IC401" s="650">
        <f>IF(FU401=0,0,1)*MAX(HZ401+HQ401+HT401+HW401,0%)</f>
        <v>865</v>
      </c>
      <c r="ID401" s="651">
        <f>IF(AND(INDEX(Input!$1:$1048576,IA$93,$C401*2+7)="TOS",Y401&lt;=INDEX(Y:Y,MATCH(C401*1000+2,A:A))),0,1)*MAX(IA401+HR401+HU401+HX401,0%)</f>
        <v>150</v>
      </c>
      <c r="IE401" s="129">
        <f>IB401/SUM($IB401:$ID401)</f>
        <v>0.45400753093060786</v>
      </c>
      <c r="IF401" s="652">
        <f t="shared" ref="IF401:IF402" si="1287">IC401/SUM($IB401:$ID401)</f>
        <v>0.46530392684238836</v>
      </c>
      <c r="IG401" s="653">
        <f t="shared" ref="IG401:IG461" si="1288">ID401/SUM($IB401:$ID401)</f>
        <v>8.0688542227003765E-2</v>
      </c>
      <c r="IH401" s="95"/>
      <c r="II401" s="298">
        <f t="shared" ref="II401:II461" si="1289">VLOOKUP($C401*1000+1,$A:$HH,FW$92,FALSE)-VLOOKUP($C401*1000+1,$A:$HH,FA$92,FALSE)*VLOOKUP($C401*1000+1,$A:$HH,DZ$92,FALSE)/VLOOKUP($C401*1000+1,$A:$HH,FT$92,FALSE)</f>
        <v>1199.9999999999998</v>
      </c>
      <c r="IJ401" s="49">
        <f t="shared" ref="IJ401:IJ461" si="1290">VLOOKUP($C401*1000+1,$A:$HH,FX$92,FALSE)</f>
        <v>2195.4782357510435</v>
      </c>
      <c r="IK401" s="40">
        <f t="shared" ref="IK401:IK461" si="1291">VLOOKUP($C401*1000+1,$A:$HH,FY$92,FALSE)</f>
        <v>-571</v>
      </c>
      <c r="IL401" s="298">
        <f>(FW401-FA401*DZ401/FT401)-II401</f>
        <v>0</v>
      </c>
      <c r="IM401" s="49">
        <f t="shared" ref="IM401:IM461" si="1292">FX401-IJ401</f>
        <v>0</v>
      </c>
      <c r="IN401" s="40">
        <f t="shared" ref="IN401:IN461" si="1293">FY401-IK401</f>
        <v>0</v>
      </c>
      <c r="IO401" s="25">
        <f t="shared" ref="IO401:IO461" si="1294">(F401-VLOOKUP($C401*1000+1,$A:$HH,F$92,FALSE))*(1-$I401)</f>
        <v>0</v>
      </c>
      <c r="IP401" s="29">
        <f t="shared" ref="IP401:IP461" si="1295">(G401-VLOOKUP($C401*1000+1,$A:$HH,G$92,FALSE))*(1-$I401)</f>
        <v>0</v>
      </c>
      <c r="IQ401" s="29">
        <f t="shared" ref="IQ401:IQ461" si="1296">(H401-VLOOKUP($C401*1000+1,$A:$HH,H$92,FALSE))*(1-$I401)</f>
        <v>0</v>
      </c>
      <c r="IR401" s="17">
        <v>0</v>
      </c>
      <c r="IS401" s="29">
        <v>0</v>
      </c>
      <c r="IT401" s="12">
        <v>0</v>
      </c>
      <c r="IU401" s="25">
        <v>0</v>
      </c>
      <c r="IV401" s="29">
        <v>0</v>
      </c>
      <c r="IW401" s="12">
        <v>0</v>
      </c>
      <c r="IX401" s="372">
        <f>INDEX(Input!$1:$1048576,IX$93,$C401*2+6)+INDEX(Input!$1:$1048576,IX$94,$C401*2+6)</f>
        <v>1600</v>
      </c>
      <c r="IY401" s="373">
        <f>INDEX(Input!$1:$1048576,IY$93,$C401*2+6)+INDEX(Input!$1:$1048576,IY$94,$C401*2+6)</f>
        <v>2503.549291639752</v>
      </c>
      <c r="IZ401" s="374">
        <f>INDEX(Input!$1:$1048576,IZ$93,$C401*2+6)+INDEX(Input!$1:$1048576,IZ$94,$C401*2+6)</f>
        <v>5413.7109265464023</v>
      </c>
      <c r="JA401" s="298">
        <f>(IL401+IO401+IR401+IU401+IX401)</f>
        <v>1600</v>
      </c>
      <c r="JB401" s="49">
        <f>(IM401+IP401+IS401+IV401+IY401)</f>
        <v>2503.549291639752</v>
      </c>
      <c r="JC401" s="49">
        <f>(IN401+IQ401+IT401+IW401+IZ401)</f>
        <v>5413.7109265464023</v>
      </c>
      <c r="JD401" s="40">
        <f>SUMPRODUCT(IE401:IG401,JA401:JC401)</f>
        <v>2328.1478086338602</v>
      </c>
      <c r="JE401" s="95"/>
      <c r="JF401" s="28">
        <f t="shared" ref="JF401:JF461" si="1297">VLOOKUP($C401*1000+1,$A:$HH,GD$92,FALSE)</f>
        <v>7.6210291289252219E-2</v>
      </c>
      <c r="JG401" s="23">
        <f>INDEX(Input!$1:$1048576,JG$93,$C401*2+6)/(1+VLOOKUP(C401*1000+INDEX(Input!$1:$1048576,JG$93+1,$C401*2+6),$A:$KK,$JK$92,FALSE))</f>
        <v>1859</v>
      </c>
      <c r="JH401" s="38">
        <f>SUM(HP401:HR401)/SUM(HY401:IA401)</f>
        <v>0</v>
      </c>
      <c r="JI401" s="38">
        <f>SUM(HS401:HU401)/SUM(HY401:IA401)</f>
        <v>0</v>
      </c>
      <c r="JJ401" s="11">
        <f>SUM(HV401:HX401)/SUM(HY401:IA401)</f>
        <v>0</v>
      </c>
      <c r="JK401" s="2">
        <f>SUM(JH401:JJ401)</f>
        <v>0</v>
      </c>
      <c r="JL401" s="9">
        <f>JG401*JK401</f>
        <v>0</v>
      </c>
      <c r="JM401" s="8">
        <f>JG401+JL401</f>
        <v>1859</v>
      </c>
      <c r="JN401" s="95"/>
      <c r="JO401" s="375">
        <f>INDEX(Input!$1:$1048576,JO$93,$C401*2+6)</f>
        <v>5908.5</v>
      </c>
      <c r="JP401" s="375">
        <f>INDEX(Input!$1:$1048576,JP$93,$C401*2+6)</f>
        <v>2328.1478086338602</v>
      </c>
      <c r="JQ401" s="25">
        <f>JO401-JD401</f>
        <v>3580.3521913661398</v>
      </c>
      <c r="JR401" s="29">
        <f t="shared" ref="JR401" si="1298">JD401-JP401</f>
        <v>0</v>
      </c>
      <c r="JS401" s="29">
        <f t="shared" ref="JS401" si="1299">JM401*JD401/1000000</f>
        <v>4.3280267762503462</v>
      </c>
      <c r="JT401" s="29">
        <f>(JD401*JM401-JP401*JG401)/1000000</f>
        <v>0</v>
      </c>
      <c r="JU401" s="376">
        <f>(JQ401*JM401-INDEX(Input!$1:$1048576,Input!A$18,$C401*2+6)*JL401*INDEX(Input!$1:$1048576,Input!A$19,$C401*2+6))/1000000</f>
        <v>6.6558747237496538</v>
      </c>
      <c r="JV401" s="29">
        <f t="shared" ref="JV401:JV412" si="1300">JU401-(JO401-JP401)*JG401/1000000</f>
        <v>0</v>
      </c>
      <c r="JW401" s="38">
        <f>JV401/(JU401-JV401)</f>
        <v>0</v>
      </c>
      <c r="JX401" s="40">
        <f>IF(JL401=0,0,JT401/JL401)*1000000</f>
        <v>0</v>
      </c>
      <c r="JZ401" s="377"/>
      <c r="KA401" s="378"/>
      <c r="KB401" s="474">
        <f>KA406</f>
        <v>2.3451977905499271</v>
      </c>
      <c r="KC401" s="379"/>
      <c r="KD401" s="379"/>
      <c r="KE401" s="379"/>
      <c r="KF401" s="379"/>
      <c r="KG401" s="380"/>
      <c r="KI401" s="381"/>
      <c r="KJ401" s="379"/>
      <c r="KK401" s="379"/>
      <c r="KL401" s="380"/>
      <c r="KN401" s="542">
        <f>C401*1000+$KN$97</f>
        <v>4002</v>
      </c>
      <c r="KO401" s="540">
        <f t="shared" ref="KO401:KO461" si="1301">JM401/INDEX(JM:JM,MATCH(KN401,A:A,0))-1</f>
        <v>-6.9401781202861335E-2</v>
      </c>
      <c r="KP401" s="545">
        <f t="shared" ref="KP401:KP461" si="1302">(IL401-INDEX(IL:IL,MATCH(KN401,A:A,0)))*IE401
+(IM401-IF(HN401=0,INDEX(IX:IX,MATCH(KN401,A:A,0)),INDEX(IM:IM,MATCH(KN401,A:A,0))))*IF401
+(IN401-INDEX(IN:IN,MATCH(KN401,A:A,0)))*IG401</f>
        <v>-393.99529253199773</v>
      </c>
      <c r="KQ401" s="545">
        <f t="shared" ref="KQ401:KQ461" si="1303">JD401-INDEX(JD:JD,MATCH(KN401,A:A,0))</f>
        <v>-395.5957529641355</v>
      </c>
      <c r="KR401" s="549">
        <f t="shared" ref="KR401:KR461" si="1304">KO401/(KP401/(BX401-INDEX(JD:JD,MATCH(KN401,A:A,0))))</f>
        <v>2.9894657332231231</v>
      </c>
      <c r="KS401" s="549">
        <f t="shared" ref="KS401:KS461" si="1305">KO401/(KQ401/(BX401-INDEX(JD:JD,MATCH(KN401,A:A,0))))</f>
        <v>2.9773712615726931</v>
      </c>
      <c r="KT401" s="661">
        <f>(1+JK406/(JD406-JD401)*(0-JD401))*JM401</f>
        <v>1050.27685337919</v>
      </c>
      <c r="KU401" s="662">
        <f>IF(D401="",0,IFERROR((JM401/KT401-1)/(JD401/BX401)+B401*10^-6,0))</f>
        <v>6.5139074170048108</v>
      </c>
      <c r="KV401" s="568"/>
      <c r="KW401" s="26"/>
    </row>
    <row r="402" spans="1:310" s="60" customFormat="1" ht="15.75" thickBot="1">
      <c r="A402" s="560">
        <f t="shared" ref="A402:A461" si="1306">C402*1000+B402</f>
        <v>4002</v>
      </c>
      <c r="B402" s="560">
        <f>B401+1</f>
        <v>2</v>
      </c>
      <c r="C402" s="560">
        <f>C401</f>
        <v>4</v>
      </c>
      <c r="D402" s="560" t="s">
        <v>567</v>
      </c>
      <c r="E402" s="365">
        <f>INDEX(Input!$1:$1048576,E$93,$C402*2+MIN($B402,2)+5)</f>
        <v>1250</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1.8999999999999996E-2</v>
      </c>
      <c r="W402" s="22">
        <f>INDEX(Input!$1:$1048576,W$93,$C402*2+MIN($B402,2)+5)</f>
        <v>3.9E-2</v>
      </c>
      <c r="X402" s="367" t="str">
        <f>INDEX(Input!$1:$1048576,X$93,$C402*2+MIN($B402,2)+5)</f>
        <v>Y</v>
      </c>
      <c r="Y402" s="49">
        <f>INDEX(Input!$1:$1048576,Y$93,$C402*2+MIN($B402,2)+5)</f>
        <v>-2217</v>
      </c>
      <c r="Z402" s="584">
        <f>INDEX(Input!$1:$1048576,Z$93,$C402*2+MIN($B402,2)+5)</f>
        <v>0</v>
      </c>
      <c r="AA402" s="49">
        <f>INDEX(Input!$1:$1048576,AA$93,$C402*2+MIN($B402,2)+5)</f>
        <v>0</v>
      </c>
      <c r="AB402" s="367">
        <f>INDEX(Input!$1:$1048576,AB$93,$C402*2+MIN($B402,2)+5)</f>
        <v>1</v>
      </c>
      <c r="AC402" s="49">
        <f>INDEX(Input!$1:$1048576,AC$93,$C402*2+MIN($B402,2)+5)</f>
        <v>0</v>
      </c>
      <c r="AD402" s="367">
        <f>INDEX(Input!$1:$1048576,AD$93,$C402*2+MIN($B402,2)+5)</f>
        <v>0.35</v>
      </c>
      <c r="AE402" s="49">
        <f>INDEX(Input!$1:$1048576,AE$93,$C402*2+MIN($B402,2)+5)</f>
        <v>0</v>
      </c>
      <c r="AF402" s="367">
        <f>INDEX(Input!$1:$1048576,AF$93,$C402*2+MIN($B402,2)+5)</f>
        <v>1</v>
      </c>
      <c r="AG402" s="49">
        <f>INDEX(Input!$1:$1048576,AG$93,$C402*2+MIN($B402,2)+5)</f>
        <v>0</v>
      </c>
      <c r="AH402" s="367">
        <f>INDEX(Input!$1:$1048576,AH$93,$C402*2+MIN($B402,2)+5)</f>
        <v>1</v>
      </c>
      <c r="AI402" s="49">
        <f>INDEX(Input!$1:$1048576,AI$93,$C402*2+MIN($B402,2)+5)</f>
        <v>0</v>
      </c>
      <c r="AJ402" s="367">
        <f>INDEX(Input!$1:$1048576,AJ$93,$C402*2+MIN($B402,2)+5)</f>
        <v>0.35</v>
      </c>
      <c r="AK402" s="298">
        <f>ROUND(INDEX(Input!$1:$1048576,AK$93,$C402*2+MIN($B402,2)+5),0)</f>
        <v>4592</v>
      </c>
      <c r="AL402" s="49">
        <f>ROUND(INDEX(Input!$1:$1048576,AL$93,$C401*2+6)-(Y402-VLOOKUP($C402*1000+1,$A:$HH,Y$92,FALSE))/36,0)</f>
        <v>4743</v>
      </c>
      <c r="AM402" s="46" t="str">
        <f t="shared" ref="AM402:AM461" si="1307">IF(K402="market","std",ROUND(K402*1000,0)/10)&amp;"/"&amp;IF(L402="market","std",ROUND(L402*1000,0)/10)&amp;"/"&amp;IF(M402="market","std",ROUND(M402*1000,0)/10)&amp;"/"&amp;IF(N402="market","std",ROUND(N402*1000,0)/10)&amp;IF(P402="N","","/"&amp;IF(O402="market","std",ROUND(O402*1000,0)/10))</f>
        <v>std/std/std/std</v>
      </c>
      <c r="AN402" s="46" t="str">
        <f t="shared" ref="AN402:AN461" si="1308">"$"&amp;ROUND(Q402,0)&amp;" + "&amp;IF(S402="market","std",ROUND(S402*1000,0)/10)&amp;"/"&amp;IF(T402="market","std",ROUND(T402*1000,0)/10)&amp;"/"&amp;IF(U402="market","std",ROUND(U402*1000,0)/10)&amp;"/"&amp;IF(V402="market","std",ROUND(V402*1000,0)/10)&amp;IF(X402="N","","/"&amp;IF(W402="market","std",ROUND(W402*1000,0)/10))</f>
        <v>$0 + 0/0/0/1.9/3.9</v>
      </c>
      <c r="AO402" s="44" t="str">
        <f t="shared" ref="AO402:AO461" si="1309">IF(S402="market","std",ROUND(S402*1000,0)/10)&amp;"/"&amp;IF(T402="market","std",ROUND(T402*1000,0)/10)&amp;"/"&amp;IF(U402="market","std",ROUND(U402*1000,0)/10)&amp;"/"&amp;IF(V402="market","std",ROUND(V402*1000,0)/10)&amp;IF(X402="N","","/"&amp;IF(W402="market","std",ROUND(W402*1000,0)/10))</f>
        <v>0/0/0/1.9/3.9</v>
      </c>
      <c r="AP402" s="44" t="str">
        <f t="shared" si="1125"/>
        <v>0/0.9/1.9/3.9</v>
      </c>
      <c r="AQ402" s="507">
        <f t="shared" si="1124"/>
        <v>0.45259089361904242</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Compact Conventional/Sporty Car (43)</v>
      </c>
      <c r="AZ402" s="45" t="str">
        <f>INDEX(Input!$1:$1048576,AZ$93,$C402*2+6)</f>
        <v>Kia Forte</v>
      </c>
      <c r="BA402" s="50">
        <f>INDEX(Input!$1:$1048576,BA$93,$C402*2+6)</f>
        <v>2020</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19695</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1126"/>
        <v>1560</v>
      </c>
      <c r="CJ402" s="46" t="str">
        <f>INDEX(Input!$1:$1048576,CJ$93,$C402*2+6)</f>
        <v>N</v>
      </c>
      <c r="CK402" s="38" t="str">
        <f t="shared" si="1127"/>
        <v>Market</v>
      </c>
      <c r="CL402" s="38" t="str">
        <f t="shared" si="1128"/>
        <v>Market</v>
      </c>
      <c r="CM402" s="38" t="str">
        <f t="shared" si="1129"/>
        <v>Market</v>
      </c>
      <c r="CN402" s="38" t="str">
        <f t="shared" si="1130"/>
        <v>Market</v>
      </c>
      <c r="CO402" s="38" t="str">
        <f t="shared" si="1131"/>
        <v>Market</v>
      </c>
      <c r="CP402" s="49">
        <f t="shared" si="1132"/>
        <v>0</v>
      </c>
      <c r="CQ402" s="38">
        <f t="shared" si="1133"/>
        <v>0</v>
      </c>
      <c r="CR402" s="38">
        <f t="shared" si="1134"/>
        <v>0</v>
      </c>
      <c r="CS402" s="38">
        <f t="shared" si="1135"/>
        <v>0</v>
      </c>
      <c r="CT402" s="38">
        <f t="shared" si="1136"/>
        <v>1.8999999999999996E-2</v>
      </c>
      <c r="CU402" s="38">
        <f t="shared" si="1137"/>
        <v>3.9E-2</v>
      </c>
      <c r="CV402" s="49">
        <f t="shared" si="1138"/>
        <v>-2217</v>
      </c>
      <c r="CW402" s="22" t="s">
        <v>122</v>
      </c>
      <c r="CX402" s="22" t="s">
        <v>122</v>
      </c>
      <c r="CY402" s="22" t="s">
        <v>122</v>
      </c>
      <c r="CZ402" s="22" t="s">
        <v>122</v>
      </c>
      <c r="DA402" s="22" t="s">
        <v>122</v>
      </c>
      <c r="DB402" s="502">
        <f t="shared" si="1139"/>
        <v>0</v>
      </c>
      <c r="DC402" s="29">
        <v>0</v>
      </c>
      <c r="DD402" s="29">
        <v>0</v>
      </c>
      <c r="DE402" s="29">
        <v>0</v>
      </c>
      <c r="DF402" s="49">
        <v>0</v>
      </c>
      <c r="DG402" s="49">
        <v>0</v>
      </c>
      <c r="DH402" s="49">
        <v>0</v>
      </c>
      <c r="DI402" s="49">
        <v>0</v>
      </c>
      <c r="DJ402" s="49">
        <v>0</v>
      </c>
      <c r="DK402" s="29">
        <v>0</v>
      </c>
      <c r="DL402" s="29">
        <v>0</v>
      </c>
      <c r="DM402" s="49">
        <f>INDEX(Input!$1:$1048576,DM$93,$C402*2+6)</f>
        <v>20731.578947368424</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4.5715727143374817E-2</v>
      </c>
      <c r="DZ402" s="37">
        <v>0</v>
      </c>
      <c r="EA402" s="37">
        <v>0.82494265775599362</v>
      </c>
      <c r="EB402" s="37">
        <v>0</v>
      </c>
      <c r="EC402" s="37">
        <v>0</v>
      </c>
      <c r="ED402" s="37">
        <v>0</v>
      </c>
      <c r="EE402" s="37">
        <v>0</v>
      </c>
      <c r="EF402" s="37">
        <v>0</v>
      </c>
      <c r="EG402" s="37">
        <v>0</v>
      </c>
      <c r="EH402" s="37">
        <v>1.2249807052567773E-2</v>
      </c>
      <c r="EI402" s="37">
        <v>1.9663851070509494E-2</v>
      </c>
      <c r="EJ402" s="37">
        <v>0.18467541133309118</v>
      </c>
      <c r="EK402" s="37">
        <v>0.72516955394520077</v>
      </c>
      <c r="EL402" s="37">
        <v>5.8241376598630788E-2</v>
      </c>
      <c r="EM402" s="37">
        <v>3.1258011178701306E-2</v>
      </c>
      <c r="EN402" s="37">
        <v>4.6958287781203936E-2</v>
      </c>
      <c r="EO402" s="37">
        <v>0.57082545829697673</v>
      </c>
      <c r="EP402" s="37">
        <v>0.26932110679577281</v>
      </c>
      <c r="EQ402" s="37">
        <v>6.7916306922697053E-2</v>
      </c>
      <c r="ER402" s="37">
        <v>4.4978840203349503E-2</v>
      </c>
      <c r="ES402" s="37">
        <v>9.8083603921930246E-2</v>
      </c>
      <c r="ET402" s="37">
        <v>0.12934161510063144</v>
      </c>
      <c r="EU402" s="36">
        <v>1599.9999999999998</v>
      </c>
      <c r="EV402" s="36">
        <v>0</v>
      </c>
      <c r="EW402" s="36">
        <v>1599.9999999999998</v>
      </c>
      <c r="EX402" s="36">
        <v>0</v>
      </c>
      <c r="EY402" s="36">
        <v>2595.5791014354181</v>
      </c>
      <c r="EZ402" s="36">
        <v>-246</v>
      </c>
      <c r="FA402" s="36">
        <v>0</v>
      </c>
      <c r="FB402" s="36">
        <v>0</v>
      </c>
      <c r="FC402" s="36">
        <v>0</v>
      </c>
      <c r="FD402" s="36">
        <v>0</v>
      </c>
      <c r="FE402" s="36">
        <v>0</v>
      </c>
      <c r="FF402" s="36">
        <v>0</v>
      </c>
      <c r="FG402" s="36">
        <v>0</v>
      </c>
      <c r="FH402" s="36">
        <v>1153.2507062817306</v>
      </c>
      <c r="FI402" s="36">
        <v>1531.4299904380609</v>
      </c>
      <c r="FJ402" s="36">
        <v>2070.7205842538237</v>
      </c>
      <c r="FK402" s="36">
        <v>1746.9903521590443</v>
      </c>
      <c r="FL402" s="36">
        <v>893.91433563489397</v>
      </c>
      <c r="FM402" s="36">
        <v>1745.5791014354184</v>
      </c>
      <c r="FN402" s="36">
        <v>0</v>
      </c>
      <c r="FO402" s="36">
        <v>0</v>
      </c>
      <c r="FP402" s="36">
        <v>0</v>
      </c>
      <c r="FQ402" s="36">
        <v>0</v>
      </c>
      <c r="FR402" s="36">
        <v>0</v>
      </c>
      <c r="FS402" s="36">
        <v>0</v>
      </c>
      <c r="FT402" s="37">
        <v>0.87065838489936842</v>
      </c>
      <c r="FU402" s="37">
        <v>3.1258011178701306E-2</v>
      </c>
      <c r="FV402" s="37">
        <v>9.8083603921930246E-2</v>
      </c>
      <c r="FW402" s="36">
        <v>1599.9999999999995</v>
      </c>
      <c r="FX402" s="36">
        <v>2595.5791014354181</v>
      </c>
      <c r="FY402" s="36">
        <v>-246</v>
      </c>
      <c r="FZ402" s="36">
        <v>1695.8504614767719</v>
      </c>
      <c r="GA402" s="36">
        <v>1450.0574898420659</v>
      </c>
      <c r="GB402" s="36">
        <v>18244.942510157933</v>
      </c>
      <c r="GC402" s="37">
        <v>8.1891069685915169E-2</v>
      </c>
      <c r="GD402" s="37">
        <v>7.9759721975264639E-2</v>
      </c>
      <c r="GE402" s="37"/>
      <c r="GF402" s="37"/>
      <c r="GG402" s="37">
        <v>-2.6026619493738409E-2</v>
      </c>
      <c r="GH402" s="35">
        <v>2.0854716370449693</v>
      </c>
      <c r="GI402" s="36">
        <v>10893.964398068843</v>
      </c>
      <c r="GJ402" s="34">
        <v>0.51074630601039528</v>
      </c>
      <c r="GK402" s="34">
        <v>0.50829519786160959</v>
      </c>
      <c r="GL402" s="34">
        <v>0.48925369398960417</v>
      </c>
      <c r="GM402" s="33">
        <v>0.49170480213839041</v>
      </c>
      <c r="GN402" s="61"/>
      <c r="GO402" s="13">
        <v>338.16872463277008</v>
      </c>
      <c r="GP402" s="27">
        <v>307.64377699166363</v>
      </c>
      <c r="GQ402" s="27">
        <v>527.27910984145694</v>
      </c>
      <c r="GR402" s="27">
        <v>404.20319246551543</v>
      </c>
      <c r="GS402" s="27">
        <v>334.50205195691484</v>
      </c>
      <c r="GT402" s="27">
        <v>289.18266033348181</v>
      </c>
      <c r="GU402" s="27">
        <v>254.29573314828914</v>
      </c>
      <c r="GV402" s="29" t="s">
        <v>392</v>
      </c>
      <c r="GW402" s="27">
        <v>468.76388888888891</v>
      </c>
      <c r="GX402" s="27">
        <v>351.57291666666669</v>
      </c>
      <c r="GY402" s="27">
        <v>281.25833333333333</v>
      </c>
      <c r="GZ402" s="27">
        <v>248.1807987949399</v>
      </c>
      <c r="HA402" s="27">
        <v>229.89195052129477</v>
      </c>
      <c r="HB402" s="29">
        <v>257.95942589224592</v>
      </c>
      <c r="HC402" s="27">
        <v>293.87812499999995</v>
      </c>
      <c r="HD402" s="27">
        <v>243.67143640350872</v>
      </c>
      <c r="HE402" s="27">
        <v>244.28647520242913</v>
      </c>
      <c r="HF402" s="27">
        <v>223.39192434210526</v>
      </c>
      <c r="HG402" s="27">
        <v>212.2899342105263</v>
      </c>
      <c r="HH402" s="12">
        <v>243.40588632732764</v>
      </c>
      <c r="HI402" s="94"/>
      <c r="HJ402" s="370" t="str">
        <f>HJ401</f>
        <v>On</v>
      </c>
      <c r="HK402" s="371" t="str">
        <f>HK401</f>
        <v>On</v>
      </c>
      <c r="HL402" s="94"/>
      <c r="HM402" s="640">
        <f t="shared" si="1278"/>
        <v>6.6115095157691428E-2</v>
      </c>
      <c r="HN402" s="22">
        <f t="shared" si="1279"/>
        <v>2.3720927871164412E-3</v>
      </c>
      <c r="HO402" s="638">
        <f t="shared" si="1280"/>
        <v>7.7231033444443466E-3</v>
      </c>
      <c r="HP402" s="650">
        <f>(FT402*$GD402-HM402)/$JF402*INDEX(Input!$1:$1048576,$JG$93,$C402*2+6)</f>
        <v>81.189168239296066</v>
      </c>
      <c r="HQ402" s="650">
        <f>(FU402*$GD402-HN402)/$JF402*INDEX(Input!$1:$1048576,$JG$93,$C402*2+6)</f>
        <v>2.9524713464939332</v>
      </c>
      <c r="HR402" s="651">
        <f>(FV402*$GD402-HO402)/$JF402*INDEX(Input!$1:$1048576,$JG$93,$C402*2+6)</f>
        <v>2.4397332665094091</v>
      </c>
      <c r="HS402" s="650">
        <f t="shared" si="1281"/>
        <v>-21.075605325621972</v>
      </c>
      <c r="HT402" s="650">
        <f t="shared" si="1282"/>
        <v>64.161382280890891</v>
      </c>
      <c r="HU402" s="651">
        <f t="shared" si="1283"/>
        <v>8.972607555049029</v>
      </c>
      <c r="HV402" s="645">
        <f t="shared" si="1284"/>
        <v>0</v>
      </c>
      <c r="HW402" s="646">
        <f t="shared" si="1285"/>
        <v>0</v>
      </c>
      <c r="HX402" s="647">
        <f t="shared" si="1286"/>
        <v>0</v>
      </c>
      <c r="HY402" s="643">
        <f>INDEX(Input!$1:$1048576,HY$93,$C402*2+6)*INDEX(Input!$1:$1048576,$JG$93,$C402*2+6)</f>
        <v>844</v>
      </c>
      <c r="HZ402" s="641">
        <f>INDEX(Input!$1:$1048576,HZ$93,$C402*2+6)*INDEX(Input!$1:$1048576,$JG$93,$C402*2+6)</f>
        <v>865</v>
      </c>
      <c r="IA402" s="642">
        <f>INDEX(Input!$1:$1048576,IA$93,$C402*2+6)*INDEX(Input!$1:$1048576,$JG$93,$C402*2+6)</f>
        <v>150</v>
      </c>
      <c r="IB402" s="649">
        <f t="shared" ref="IB402:IB461" si="1310">SUM(HP402:IA402)-IC402-ID402</f>
        <v>904.11356291367406</v>
      </c>
      <c r="IC402" s="650">
        <f t="shared" ref="IC402:IC461" si="1311">MAX(HZ402+HQ402+HT402+HW402,0%)</f>
        <v>932.11385362738474</v>
      </c>
      <c r="ID402" s="651">
        <f>IF(AND(INDEX(Input!$1:$1048576,IA$93,$C402*2+7)="TOS",Y402&lt;=INDEX(Y:Y,MATCH(C402*1000+2,A:A))),0,1)*MAX(IA402+HR402+HU402+HX402,0%)</f>
        <v>161.41234082155844</v>
      </c>
      <c r="IE402" s="129">
        <f t="shared" ref="IE402" si="1312">IB402/SUM($IB402:$ID402)</f>
        <v>0.45259089361904242</v>
      </c>
      <c r="IF402" s="652">
        <f t="shared" si="1287"/>
        <v>0.46660758036674616</v>
      </c>
      <c r="IG402" s="653">
        <f t="shared" si="1288"/>
        <v>8.0801526014211394E-2</v>
      </c>
      <c r="IH402" s="95"/>
      <c r="II402" s="298">
        <f t="shared" si="1289"/>
        <v>1199.9999999999998</v>
      </c>
      <c r="IJ402" s="49">
        <f t="shared" si="1290"/>
        <v>2195.4782357510435</v>
      </c>
      <c r="IK402" s="40">
        <f t="shared" si="1291"/>
        <v>-571</v>
      </c>
      <c r="IL402" s="298">
        <f t="shared" ref="IL402:IL461" si="1313">(FW402-FA402*DZ402/FT402)-II402</f>
        <v>399.99999999999977</v>
      </c>
      <c r="IM402" s="49">
        <f t="shared" si="1292"/>
        <v>400.10086568437464</v>
      </c>
      <c r="IN402" s="40">
        <f t="shared" si="1293"/>
        <v>325</v>
      </c>
      <c r="IO402" s="25">
        <f t="shared" si="1294"/>
        <v>0</v>
      </c>
      <c r="IP402" s="29">
        <f t="shared" si="1295"/>
        <v>0</v>
      </c>
      <c r="IQ402" s="29">
        <f t="shared" si="1296"/>
        <v>0</v>
      </c>
      <c r="IR402" s="17">
        <v>0</v>
      </c>
      <c r="IS402" s="29">
        <v>0</v>
      </c>
      <c r="IT402" s="12">
        <v>0</v>
      </c>
      <c r="IU402" s="25">
        <v>0</v>
      </c>
      <c r="IV402" s="29">
        <v>0</v>
      </c>
      <c r="IW402" s="12">
        <v>0</v>
      </c>
      <c r="IX402" s="372">
        <f>INDEX(Input!$1:$1048576,IX$93,$C402*2+6)+INDEX(Input!$1:$1048576,IX$94,$C402*2+6)</f>
        <v>1600</v>
      </c>
      <c r="IY402" s="373">
        <f>INDEX(Input!$1:$1048576,IY$93,$C402*2+6)+INDEX(Input!$1:$1048576,IY$94,$C402*2+6)</f>
        <v>2503.549291639752</v>
      </c>
      <c r="IZ402" s="374">
        <f>INDEX(Input!$1:$1048576,IZ$93,$C402*2+6)+INDEX(Input!$1:$1048576,IZ$94,$C402*2+6)</f>
        <v>5413.7109265464023</v>
      </c>
      <c r="JA402" s="298">
        <f t="shared" ref="JA402:JA461" si="1314">(IL402+IO402+IR402+IU402+IX402)</f>
        <v>1999.9999999999998</v>
      </c>
      <c r="JB402" s="49">
        <f t="shared" ref="JB402:JB461" si="1315">(IM402+IP402+IS402+IV402+IY402)</f>
        <v>2903.6501573241267</v>
      </c>
      <c r="JC402" s="49">
        <f t="shared" ref="JC402:JC461" si="1316">(IN402+IQ402+IT402+IW402+IZ402)</f>
        <v>5738.7109265464023</v>
      </c>
      <c r="JD402" s="40">
        <f t="shared" ref="JD402:JD461" si="1317">SUMPRODUCT(IE402:IG402,JA402:JC402)</f>
        <v>2723.7435615979957</v>
      </c>
      <c r="JE402" s="382"/>
      <c r="JF402" s="28">
        <f t="shared" si="1297"/>
        <v>7.6210291289252219E-2</v>
      </c>
      <c r="JG402" s="23">
        <f>INDEX(Input!$1:$1048576,JG$93,$C402*2+6)/(1+VLOOKUP(C402*1000+INDEX(Input!$1:$1048576,JG$93+1,$C402*2+6),$A:$KK,$JK$92,FALSE))</f>
        <v>1859</v>
      </c>
      <c r="JH402" s="38">
        <f t="shared" ref="JH402:JH461" si="1318">SUM(HP402:HR402)/SUM(HY402:IA402)</f>
        <v>4.6574165063098125E-2</v>
      </c>
      <c r="JI402" s="38">
        <f t="shared" ref="JI402:JI461" si="1319">SUM(HS402:HU402)/SUM(HY402:IA402)</f>
        <v>2.8003434378869256E-2</v>
      </c>
      <c r="JJ402" s="11">
        <f t="shared" ref="JJ402:JJ412" si="1320">SUM(HV402:HX402)/SUM(HY402:IA402)</f>
        <v>0</v>
      </c>
      <c r="JK402" s="2">
        <f t="shared" ref="JK402:JK404" si="1321">SUM(JH402:JJ402)</f>
        <v>7.4577599441967374E-2</v>
      </c>
      <c r="JL402" s="9">
        <f t="shared" ref="JL402:JL461" si="1322">JG402*JK402</f>
        <v>138.63975736261736</v>
      </c>
      <c r="JM402" s="8">
        <f t="shared" ref="JM402:JM405" si="1323">JG402+JL402</f>
        <v>1997.6397573626173</v>
      </c>
      <c r="JN402" s="95"/>
      <c r="JO402" s="375">
        <f>INDEX(Input!$1:$1048576,JO$93,$C402*2+6)</f>
        <v>5908.5</v>
      </c>
      <c r="JP402" s="375">
        <f>INDEX(Input!$1:$1048576,JP$93,$C402*2+6)</f>
        <v>2328.1478086338602</v>
      </c>
      <c r="JQ402" s="25">
        <f>JO402-JD402</f>
        <v>3184.7564384020043</v>
      </c>
      <c r="JR402" s="29">
        <f>JD402-JP402</f>
        <v>395.5957529641355</v>
      </c>
      <c r="JS402" s="29">
        <f>JM402*JD402/1000000</f>
        <v>5.4410584275086116</v>
      </c>
      <c r="JT402" s="29">
        <f t="shared" ref="JT402:JT461" si="1324">(JD402*JM402-JP402*JG402)/1000000</f>
        <v>1.1130316512582648</v>
      </c>
      <c r="JU402" s="376">
        <f>(JQ402*JM402-INDEX(Input!$1:$1048576,Input!A$18,$C402*2+6)*JL402*INDEX(Input!$1:$1048576,Input!A$19,$C402*2+6))/1000000</f>
        <v>6.3619960788684136</v>
      </c>
      <c r="JV402" s="29">
        <f t="shared" si="1300"/>
        <v>-0.29387864488124027</v>
      </c>
      <c r="JW402" s="38">
        <f>JV402/(JU402-JV402)</f>
        <v>-4.4153271670305833E-2</v>
      </c>
      <c r="JX402" s="40">
        <f>IF(JL402=0,0,JT402/JL402)*1000000</f>
        <v>8028.2284997591978</v>
      </c>
      <c r="JZ402" s="377"/>
      <c r="KA402" s="378"/>
      <c r="KB402" s="474">
        <f>KB401</f>
        <v>2.3451977905499271</v>
      </c>
      <c r="KC402" s="379"/>
      <c r="KD402" s="379"/>
      <c r="KE402" s="379"/>
      <c r="KF402" s="379"/>
      <c r="KG402" s="380"/>
      <c r="KI402" s="513">
        <f>$JM402*IE402-$JG402*HY402/SUM($HY402:$IA402)</f>
        <v>60.113562913674059</v>
      </c>
      <c r="KJ402" s="514">
        <f t="shared" ref="KJ402:KJ415" si="1325">$JM402*IF402-$JG402*HZ402/SUM($HY402:$IA402)</f>
        <v>67.113853627384742</v>
      </c>
      <c r="KK402" s="514">
        <f t="shared" ref="KK402:KK461" si="1326">$JM402*IG402-$JG402*IA402/SUM($HY402:$IA402)</f>
        <v>11.412340821558445</v>
      </c>
      <c r="KL402" s="380"/>
      <c r="KN402" s="543">
        <f>KM402+(KN401-KM401)</f>
        <v>4002</v>
      </c>
      <c r="KO402" s="540">
        <f t="shared" si="1301"/>
        <v>0</v>
      </c>
      <c r="KP402" s="545">
        <f t="shared" si="1302"/>
        <v>0</v>
      </c>
      <c r="KQ402" s="545">
        <f t="shared" si="1303"/>
        <v>0</v>
      </c>
      <c r="KR402" s="547" t="e">
        <f t="shared" si="1304"/>
        <v>#DIV/0!</v>
      </c>
      <c r="KS402" s="547" t="e">
        <f t="shared" si="1305"/>
        <v>#DIV/0!</v>
      </c>
      <c r="KT402" s="661">
        <f>KT401</f>
        <v>1050.27685337919</v>
      </c>
      <c r="KU402" s="662">
        <f t="shared" ref="KU402:KU461" si="1327">IF(D402="",0,IFERROR((JM402/KT402-1)/(JD402/BX402)+B402*10^-6,0))</f>
        <v>6.5223257041712452</v>
      </c>
      <c r="KV402" s="568"/>
      <c r="KW402" s="26"/>
      <c r="KX402" s="582"/>
    </row>
    <row r="403" spans="1:310" s="26" customFormat="1" ht="15">
      <c r="A403" s="561">
        <f t="shared" si="1306"/>
        <v>4003</v>
      </c>
      <c r="B403" s="561">
        <f t="shared" ref="B403:B467" si="1328">B402+1</f>
        <v>3</v>
      </c>
      <c r="C403" s="561">
        <f t="shared" ref="C403:C467" si="1329">C402</f>
        <v>4</v>
      </c>
      <c r="D403" s="561" t="s">
        <v>740</v>
      </c>
      <c r="E403" s="475">
        <f>INDEX(Input!$1:$1048576,E$93,$C403*2+MIN($B403,1)+5)+500</f>
        <v>1250</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1.8999999999999996E-2</v>
      </c>
      <c r="W403" s="862">
        <f>INDEX(Input!$1:$1048576,W$93,$C403*2+MIN($B403,1)+5)</f>
        <v>3.9E-2</v>
      </c>
      <c r="X403" s="118" t="str">
        <f>INDEX(Input!$1:$1048576,X$93,$C403*2+MIN($B403,1)+5)</f>
        <v>Y</v>
      </c>
      <c r="Y403" s="150">
        <f>INDEX(Input!$1:$1048576,Y$93,$C403*2+MIN($B403,1)+5)</f>
        <v>-2070</v>
      </c>
      <c r="Z403" s="30">
        <f>INDEX(Input!$1:$1048576,Z$93,$C403*2+MIN($B403,1)+5)</f>
        <v>0</v>
      </c>
      <c r="AA403" s="115">
        <f>INDEX(Input!$1:$1048576,AA$93,$C403*2+MIN($B403,1)+5)</f>
        <v>0</v>
      </c>
      <c r="AB403" s="118">
        <f>INDEX(Input!$1:$1048576,AB$93,$C403*2+MIN($B403,1)+5)</f>
        <v>1</v>
      </c>
      <c r="AC403" s="115">
        <f>INDEX(Input!$1:$1048576,AC$93,$C403*2+MIN($B403,1)+5)</f>
        <v>1000</v>
      </c>
      <c r="AD403" s="118">
        <f>INDEX(Input!$1:$1048576,AD$93,$C403*2+MIN($B403,1)+5)</f>
        <v>0.35</v>
      </c>
      <c r="AE403" s="115">
        <f>INDEX(Input!$1:$1048576,AE$93,$C403*2+MIN($B403,1)+5)</f>
        <v>0</v>
      </c>
      <c r="AF403" s="118">
        <f>INDEX(Input!$1:$1048576,AF$93,$C403*2+MIN($B403,1)+5)</f>
        <v>1</v>
      </c>
      <c r="AG403" s="115">
        <f>INDEX(Input!$1:$1048576,AG$93,$C403*2+MIN($B403,1)+5)</f>
        <v>500</v>
      </c>
      <c r="AH403" s="118">
        <f>INDEX(Input!$1:$1048576,AH$93,$C403*2+MIN($B403,1)+5)</f>
        <v>1</v>
      </c>
      <c r="AI403" s="115">
        <f>INDEX(Input!$1:$1048576,AI$93,$C403*2+MIN($B403,1)+5)</f>
        <v>500</v>
      </c>
      <c r="AJ403" s="118">
        <f>INDEX(Input!$1:$1048576,AJ$93,$C403*2+MIN($B403,1)+5)</f>
        <v>0.35</v>
      </c>
      <c r="AK403" s="150">
        <f>ROUND(INDEX(Input!$1:$1048576,AK$93,$C402*2+MIN($B403,1)+5)+(Y403-VLOOKUP($C403*1000+1,$A:$HH,Y$92,FALSE)),0)</f>
        <v>4739</v>
      </c>
      <c r="AL403" s="150">
        <f>ROUND(INDEX(Input!$1:$1048576,AL$93,$C402*2+MIN($B403,1)+5)-(Y403-VLOOKUP($C403*1000+1,$A:$HH,Y$92,FALSE))/36,0)</f>
        <v>4739</v>
      </c>
      <c r="AM403" s="32" t="str">
        <f t="shared" si="1307"/>
        <v>std/std/std/std</v>
      </c>
      <c r="AN403" s="32" t="str">
        <f t="shared" si="1308"/>
        <v>$0 + 0/0/0/1.9/3.9</v>
      </c>
      <c r="AO403" s="32" t="str">
        <f t="shared" si="1309"/>
        <v>0/0/0/1.9/3.9</v>
      </c>
      <c r="AP403" s="32" t="str">
        <f t="shared" si="1125"/>
        <v>0/0.9/1.9/3.9</v>
      </c>
      <c r="AQ403" s="536">
        <f t="shared" si="1124"/>
        <v>850.48314926798071</v>
      </c>
      <c r="AR403" s="32"/>
      <c r="AS403" s="302"/>
      <c r="AT403" s="3">
        <f t="shared" ref="AT403:AT467" si="1330">AT402+1</f>
        <v>3</v>
      </c>
      <c r="AU403" s="41" t="s">
        <v>121</v>
      </c>
      <c r="AV403" s="41" t="s">
        <v>116</v>
      </c>
      <c r="AW403" s="41" t="str">
        <f>INDEX(Input!$1:$1048576,AW$93,$C403*2+6)</f>
        <v>Kia</v>
      </c>
      <c r="AX403" s="41" t="str">
        <f>INDEX(Input!$1:$1048576,AX$93,$C403*2+6)</f>
        <v>Kia-LR - R1</v>
      </c>
      <c r="AY403" s="41" t="str">
        <f>IF(LEN(D403)=0,"",INDEX(Input!$1:$1048576,AY$93,$C403*2+6))</f>
        <v>Compact Conventional/Sporty Car (43)</v>
      </c>
      <c r="AZ403" s="41" t="str">
        <f>INDEX(Input!$1:$1048576,AZ$93,$C403*2+6)</f>
        <v>Kia Forte</v>
      </c>
      <c r="BA403" s="3">
        <f>INDEX(Input!$1:$1048576,BA$93,$C403*2+6)</f>
        <v>2020</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19695</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1126"/>
        <v>1910</v>
      </c>
      <c r="CJ403" s="16" t="str">
        <f>INDEX(Input!$1:$1048576,CJ$93,$C403*2+6)</f>
        <v>N</v>
      </c>
      <c r="CK403" s="1" t="str">
        <f t="shared" si="1127"/>
        <v>Market</v>
      </c>
      <c r="CL403" s="1" t="str">
        <f t="shared" si="1128"/>
        <v>Market</v>
      </c>
      <c r="CM403" s="1" t="str">
        <f t="shared" si="1129"/>
        <v>Market</v>
      </c>
      <c r="CN403" s="1" t="str">
        <f t="shared" si="1130"/>
        <v>Market</v>
      </c>
      <c r="CO403" s="1" t="str">
        <f t="shared" si="1131"/>
        <v>Market</v>
      </c>
      <c r="CP403" s="304">
        <f t="shared" si="1132"/>
        <v>350</v>
      </c>
      <c r="CQ403" s="1">
        <f t="shared" si="1133"/>
        <v>0</v>
      </c>
      <c r="CR403" s="1">
        <f t="shared" si="1134"/>
        <v>0</v>
      </c>
      <c r="CS403" s="1">
        <f t="shared" si="1135"/>
        <v>0</v>
      </c>
      <c r="CT403" s="1">
        <f t="shared" si="1136"/>
        <v>1.8999999999999996E-2</v>
      </c>
      <c r="CU403" s="1">
        <f t="shared" si="1137"/>
        <v>3.9E-2</v>
      </c>
      <c r="CV403" s="304">
        <f t="shared" si="1138"/>
        <v>-1895</v>
      </c>
      <c r="CW403" s="20" t="s">
        <v>122</v>
      </c>
      <c r="CX403" s="20" t="s">
        <v>122</v>
      </c>
      <c r="CY403" s="20" t="s">
        <v>122</v>
      </c>
      <c r="CZ403" s="20" t="s">
        <v>122</v>
      </c>
      <c r="DA403" s="20" t="s">
        <v>122</v>
      </c>
      <c r="DB403" s="503">
        <f t="shared" si="1139"/>
        <v>500</v>
      </c>
      <c r="DC403" s="127">
        <v>0</v>
      </c>
      <c r="DD403" s="127">
        <v>0</v>
      </c>
      <c r="DE403" s="127">
        <v>0</v>
      </c>
      <c r="DF403" s="127">
        <v>0</v>
      </c>
      <c r="DG403" s="127">
        <v>0</v>
      </c>
      <c r="DH403" s="127">
        <v>0</v>
      </c>
      <c r="DI403" s="127">
        <v>0</v>
      </c>
      <c r="DJ403" s="127">
        <v>0</v>
      </c>
      <c r="DK403" s="127">
        <v>0</v>
      </c>
      <c r="DL403" s="127">
        <v>0</v>
      </c>
      <c r="DM403" s="304">
        <f>INDEX(Input!$1:$1048576,DM$93,$C403*2+6)</f>
        <v>20731.578947368424</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4.641558818306097E-2</v>
      </c>
      <c r="DZ403" s="7">
        <v>0</v>
      </c>
      <c r="EA403" s="7">
        <v>0.83642407850182432</v>
      </c>
      <c r="EB403" s="7">
        <v>0</v>
      </c>
      <c r="EC403" s="7">
        <v>0</v>
      </c>
      <c r="ED403" s="7">
        <v>0</v>
      </c>
      <c r="EE403" s="7">
        <v>0</v>
      </c>
      <c r="EF403" s="7">
        <v>0</v>
      </c>
      <c r="EG403" s="7">
        <v>0</v>
      </c>
      <c r="EH403" s="7">
        <v>1.2265859210522442E-2</v>
      </c>
      <c r="EI403" s="7">
        <v>1.9692766373681531E-2</v>
      </c>
      <c r="EJ403" s="7">
        <v>0.18493470464553846</v>
      </c>
      <c r="EK403" s="7">
        <v>0.72492511434437457</v>
      </c>
      <c r="EL403" s="7">
        <v>5.8181555425882603E-2</v>
      </c>
      <c r="EM403" s="7">
        <v>2.7354744647569814E-2</v>
      </c>
      <c r="EN403" s="7">
        <v>4.645197862264263E-2</v>
      </c>
      <c r="EO403" s="7">
        <v>0.57149708850041703</v>
      </c>
      <c r="EP403" s="7">
        <v>0.26806226660734661</v>
      </c>
      <c r="EQ403" s="7">
        <v>6.8606386944831635E-2</v>
      </c>
      <c r="ER403" s="7">
        <v>4.5382279324761472E-2</v>
      </c>
      <c r="ES403" s="7">
        <v>8.9805588667544983E-2</v>
      </c>
      <c r="ET403" s="7">
        <v>0.11716033331511475</v>
      </c>
      <c r="EU403" s="6">
        <v>1699.9999999999998</v>
      </c>
      <c r="EV403" s="6">
        <v>0</v>
      </c>
      <c r="EW403" s="6">
        <v>1699.9999999999998</v>
      </c>
      <c r="EX403" s="6">
        <v>0</v>
      </c>
      <c r="EY403" s="6">
        <v>2195.6982359401213</v>
      </c>
      <c r="EZ403" s="6">
        <v>-571</v>
      </c>
      <c r="FA403" s="6">
        <v>0</v>
      </c>
      <c r="FB403" s="6">
        <v>0</v>
      </c>
      <c r="FC403" s="6">
        <v>0</v>
      </c>
      <c r="FD403" s="6">
        <v>0</v>
      </c>
      <c r="FE403" s="6">
        <v>0</v>
      </c>
      <c r="FF403" s="6">
        <v>0</v>
      </c>
      <c r="FG403" s="6">
        <v>0</v>
      </c>
      <c r="FH403" s="6">
        <v>1153.2446087491558</v>
      </c>
      <c r="FI403" s="6">
        <v>1531.4299904380621</v>
      </c>
      <c r="FJ403" s="6">
        <v>2070.7205842538224</v>
      </c>
      <c r="FK403" s="6">
        <v>1746.9903521590436</v>
      </c>
      <c r="FL403" s="6">
        <v>893.91433563489329</v>
      </c>
      <c r="FM403" s="6">
        <v>1745.6982359401213</v>
      </c>
      <c r="FN403" s="6">
        <v>0</v>
      </c>
      <c r="FO403" s="6">
        <v>0</v>
      </c>
      <c r="FP403" s="6">
        <v>0</v>
      </c>
      <c r="FQ403" s="6">
        <v>0</v>
      </c>
      <c r="FR403" s="6">
        <v>0</v>
      </c>
      <c r="FS403" s="6">
        <v>0</v>
      </c>
      <c r="FT403" s="7">
        <v>0.88283966668488534</v>
      </c>
      <c r="FU403" s="7">
        <v>2.7354744647569814E-2</v>
      </c>
      <c r="FV403" s="7">
        <v>8.9805588667544983E-2</v>
      </c>
      <c r="FW403" s="6">
        <v>1699.9999999999995</v>
      </c>
      <c r="FX403" s="6">
        <v>2195.6982359401213</v>
      </c>
      <c r="FY403" s="6">
        <v>-571</v>
      </c>
      <c r="FZ403" s="6">
        <v>1695.8504614767719</v>
      </c>
      <c r="GA403" s="6">
        <v>1509.6112068023979</v>
      </c>
      <c r="GB403" s="6">
        <v>18185.388793197602</v>
      </c>
      <c r="GC403" s="7">
        <v>8.1891069685915169E-2</v>
      </c>
      <c r="GD403" s="7">
        <v>8.0241580938230542E-2</v>
      </c>
      <c r="GE403" s="7"/>
      <c r="GF403" s="7"/>
      <c r="GG403" s="7">
        <v>-2.0142474069652194E-2</v>
      </c>
      <c r="GH403" s="42">
        <v>2.1300881357982884</v>
      </c>
      <c r="GI403" s="6">
        <v>10755.70749221217</v>
      </c>
      <c r="GJ403" s="14">
        <v>0.51074630601039572</v>
      </c>
      <c r="GK403" s="14">
        <v>0.50829519786160959</v>
      </c>
      <c r="GL403" s="14">
        <v>0.48925369398960433</v>
      </c>
      <c r="GM403" s="14">
        <v>0.49170480213839035</v>
      </c>
      <c r="GO403" s="5">
        <v>338.16872463277008</v>
      </c>
      <c r="GP403" s="5">
        <v>305.73596776409454</v>
      </c>
      <c r="GQ403" s="5">
        <v>527.27910984145694</v>
      </c>
      <c r="GR403" s="5">
        <v>404.20319246551543</v>
      </c>
      <c r="GS403" s="5">
        <v>334.50205195691484</v>
      </c>
      <c r="GT403" s="5">
        <v>289.18266033348181</v>
      </c>
      <c r="GU403" s="5">
        <v>254.29573314828914</v>
      </c>
      <c r="GV403" s="39" t="s">
        <v>392</v>
      </c>
      <c r="GW403" s="5">
        <v>479.875</v>
      </c>
      <c r="GX403" s="5">
        <v>359.90625</v>
      </c>
      <c r="GY403" s="5">
        <v>287.92500000000001</v>
      </c>
      <c r="GZ403" s="5">
        <v>254.06342861438085</v>
      </c>
      <c r="HA403" s="5">
        <v>235.34107974463734</v>
      </c>
      <c r="HB403" s="39">
        <v>264.09042383554754</v>
      </c>
      <c r="HC403" s="5">
        <v>308.09687499999995</v>
      </c>
      <c r="HD403" s="5">
        <v>253.37629751461984</v>
      </c>
      <c r="HE403" s="5">
        <v>253.29689186909582</v>
      </c>
      <c r="HF403" s="5">
        <v>230.90754934210526</v>
      </c>
      <c r="HG403" s="5">
        <v>218.51910087719298</v>
      </c>
      <c r="HH403" s="39">
        <v>252.77349228730128</v>
      </c>
      <c r="HI403" s="16"/>
      <c r="HJ403" s="19" t="str">
        <f t="shared" ref="HJ403:HK418" si="1331">HJ402</f>
        <v>On</v>
      </c>
      <c r="HK403" s="1" t="str">
        <f t="shared" si="1331"/>
        <v>On</v>
      </c>
      <c r="HL403" s="16"/>
      <c r="HM403" s="639">
        <f t="shared" si="1278"/>
        <v>6.6115095157691428E-2</v>
      </c>
      <c r="HN403" s="639">
        <f t="shared" si="1279"/>
        <v>2.3720927871164412E-3</v>
      </c>
      <c r="HO403" s="639">
        <f t="shared" si="1280"/>
        <v>7.7231033444443466E-3</v>
      </c>
      <c r="HP403" s="644">
        <f>(FT403*$GD403-HM403)/$JF403*INDEX(Input!$1:$1048576,$JG$93,$C403*2+6)</f>
        <v>115.26574118085689</v>
      </c>
      <c r="HQ403" s="644">
        <f>(FU403*$GD403-HN403)/$JF403*INDEX(Input!$1:$1048576,$JG$93,$C403*2+6)</f>
        <v>-4.3201236238148191</v>
      </c>
      <c r="HR403" s="644">
        <f>(FV403*$GD403-HO403)/$JF403*INDEX(Input!$1:$1048576,$JG$93,$C403*2+6)</f>
        <v>-12.610244070448251</v>
      </c>
      <c r="HS403" s="644">
        <f t="shared" si="1281"/>
        <v>-26.241589869724141</v>
      </c>
      <c r="HT403" s="644">
        <f t="shared" si="1282"/>
        <v>-2.4856594971578865</v>
      </c>
      <c r="HU403" s="644">
        <f t="shared" si="1283"/>
        <v>2.5220941060224455</v>
      </c>
      <c r="HV403" s="648">
        <f t="shared" si="1284"/>
        <v>0</v>
      </c>
      <c r="HW403" s="648">
        <f t="shared" si="1285"/>
        <v>0</v>
      </c>
      <c r="HX403" s="648">
        <f t="shared" si="1286"/>
        <v>0</v>
      </c>
      <c r="HY403" s="644">
        <f>INDEX(Input!$1:$1048576,HY$93,$C403*2+6)*INDEX(Input!$1:$1048576,$JG$93,$C403*2+6)</f>
        <v>844</v>
      </c>
      <c r="HZ403" s="644">
        <f>INDEX(Input!$1:$1048576,HZ$93,$C403*2+6)*INDEX(Input!$1:$1048576,$JG$93,$C403*2+6)</f>
        <v>865</v>
      </c>
      <c r="IA403" s="644">
        <f>INDEX(Input!$1:$1048576,IA$93,$C403*2+6)*INDEX(Input!$1:$1048576,$JG$93,$C403*2+6)</f>
        <v>150</v>
      </c>
      <c r="IB403" s="644">
        <f t="shared" si="1310"/>
        <v>933.02415131113253</v>
      </c>
      <c r="IC403" s="644">
        <f t="shared" si="1311"/>
        <v>858.19421687902729</v>
      </c>
      <c r="ID403" s="644">
        <f>IF(AND(INDEX(Input!$1:$1048576,IA$93,$C403*2+7)="TOS",Y403&lt;=INDEX(Y:Y,MATCH(C403*1000+2,A:A))),0,1)*MAX(IA403+HR403+HU403+HX403,0%)</f>
        <v>139.91185003557419</v>
      </c>
      <c r="IE403" s="128">
        <f t="shared" ref="IE403:IE404" si="1332">IB403/SUM($IB403:$ID403)</f>
        <v>0.48314926798067914</v>
      </c>
      <c r="IF403" s="128">
        <f t="shared" ref="IF403:IF418" si="1333">IC403/SUM($IB403:$ID403)</f>
        <v>0.44439997302072726</v>
      </c>
      <c r="IG403" s="128">
        <f t="shared" si="1288"/>
        <v>7.2450758998593642E-2</v>
      </c>
      <c r="IH403" s="21"/>
      <c r="II403" s="19">
        <f t="shared" si="1289"/>
        <v>1199.9999999999998</v>
      </c>
      <c r="IJ403" s="19">
        <f t="shared" si="1290"/>
        <v>2195.4782357510435</v>
      </c>
      <c r="IK403" s="19">
        <f t="shared" si="1291"/>
        <v>-571</v>
      </c>
      <c r="IL403" s="19">
        <f t="shared" si="1313"/>
        <v>499.99999999999977</v>
      </c>
      <c r="IM403" s="19">
        <f t="shared" si="1292"/>
        <v>0.22000018907783669</v>
      </c>
      <c r="IN403" s="19">
        <f t="shared" si="1293"/>
        <v>0</v>
      </c>
      <c r="IO403" s="39">
        <f t="shared" si="1294"/>
        <v>0</v>
      </c>
      <c r="IP403" s="39">
        <f t="shared" si="1295"/>
        <v>0</v>
      </c>
      <c r="IQ403" s="39">
        <f t="shared" si="1296"/>
        <v>0</v>
      </c>
      <c r="IR403" s="39">
        <v>0</v>
      </c>
      <c r="IS403" s="39">
        <v>0</v>
      </c>
      <c r="IT403" s="39">
        <v>0</v>
      </c>
      <c r="IU403" s="39">
        <v>0</v>
      </c>
      <c r="IV403" s="39">
        <v>0</v>
      </c>
      <c r="IW403" s="39">
        <v>0</v>
      </c>
      <c r="IX403" s="39">
        <f>INDEX(Input!$1:$1048576,IX$93,$C403*2+6)+INDEX(Input!$1:$1048576,IX$94,$C403*2+6)</f>
        <v>1600</v>
      </c>
      <c r="IY403" s="39">
        <f>INDEX(Input!$1:$1048576,IY$93,$C403*2+6)+INDEX(Input!$1:$1048576,IY$94,$C403*2+6)</f>
        <v>2503.549291639752</v>
      </c>
      <c r="IZ403" s="39">
        <f>INDEX(Input!$1:$1048576,IZ$93,$C403*2+6)+INDEX(Input!$1:$1048576,IZ$94,$C403*2+6)</f>
        <v>5413.7109265464023</v>
      </c>
      <c r="JA403" s="19">
        <f t="shared" si="1314"/>
        <v>2100</v>
      </c>
      <c r="JB403" s="19">
        <f t="shared" si="1315"/>
        <v>2503.7692918288299</v>
      </c>
      <c r="JC403" s="19">
        <f t="shared" si="1316"/>
        <v>5413.7109265464023</v>
      </c>
      <c r="JD403" s="19">
        <f t="shared" si="1317"/>
        <v>2519.5159341255503</v>
      </c>
      <c r="JE403" s="21"/>
      <c r="JF403" s="1">
        <f t="shared" si="1297"/>
        <v>7.6210291289252219E-2</v>
      </c>
      <c r="JG403" s="15">
        <f>INDEX(Input!$1:$1048576,JG$93,$C403*2+6)/(1+VLOOKUP(C403*1000+INDEX(Input!$1:$1048576,JG$93+1,$C403*2+6),$A:$KK,$JK$92,FALSE))</f>
        <v>1859</v>
      </c>
      <c r="JH403" s="1">
        <f t="shared" si="1318"/>
        <v>5.2896919573208079E-2</v>
      </c>
      <c r="JI403" s="1">
        <f t="shared" si="1319"/>
        <v>-1.4096371845540388E-2</v>
      </c>
      <c r="JJ403" s="1">
        <f t="shared" si="1320"/>
        <v>0</v>
      </c>
      <c r="JK403" s="1">
        <f t="shared" si="1321"/>
        <v>3.8800547727667695E-2</v>
      </c>
      <c r="JL403" s="15">
        <f t="shared" si="1322"/>
        <v>72.130218225734239</v>
      </c>
      <c r="JM403" s="15">
        <f t="shared" si="1323"/>
        <v>1931.1302182257343</v>
      </c>
      <c r="JN403" s="21"/>
      <c r="JO403" s="19">
        <f>INDEX(Input!$1:$1048576,JO$93,$C403*2+6)</f>
        <v>5908.5</v>
      </c>
      <c r="JP403" s="19">
        <f>INDEX(Input!$1:$1048576,JP$93,$C403*2+6)</f>
        <v>2328.1478086338602</v>
      </c>
      <c r="JQ403" s="39">
        <f t="shared" ref="JQ403:JQ461" si="1334">JO403-JD403</f>
        <v>3388.9840658744497</v>
      </c>
      <c r="JR403" s="39">
        <f t="shared" ref="JR403:JR405" si="1335">JD403-JP403</f>
        <v>191.36812549169008</v>
      </c>
      <c r="JS403" s="39">
        <f t="shared" ref="JS403:JS461" si="1336">JM403*JD403/1000000</f>
        <v>4.8655133556910881</v>
      </c>
      <c r="JT403" s="39">
        <f t="shared" si="1324"/>
        <v>0.53748657944074185</v>
      </c>
      <c r="JU403" s="385">
        <f>(JQ403*JM403-INDEX(Input!$1:$1048576,Input!A$18,$C403*2+6)*JL403*INDEX(Input!$1:$1048576,Input!A$19,$C403*2+6))/1000000</f>
        <v>6.5445695386956624</v>
      </c>
      <c r="JV403" s="39">
        <f t="shared" si="1300"/>
        <v>-0.11130518505399145</v>
      </c>
      <c r="JW403" s="1">
        <f>JV403/(JU403-JV403)</f>
        <v>-1.6722848562162624E-2</v>
      </c>
      <c r="JX403" s="19">
        <f>IF(JL403=0,0,JT403/JL403)*1000000</f>
        <v>7451.6144919825047</v>
      </c>
      <c r="JZ403" s="468">
        <f>(HY403+HP403)/SUM(HP403:HR403,HY403:IA403)*IL403</f>
        <v>245.04378610194945</v>
      </c>
      <c r="KA403" s="469">
        <f>JH403/(JZ403/BX403)</f>
        <v>4.2515047925389737</v>
      </c>
      <c r="KB403" s="469">
        <f t="shared" ref="KB403:KB467" si="1337">KB402</f>
        <v>2.3451977905499271</v>
      </c>
      <c r="KC403" s="469">
        <f>MIN(AVERAGE(KB403*0.8,VLOOKUP(AZ401,Lookup!$B:$E,4,FALSE)*0.8),$KC$97)</f>
        <v>2.5760791162199705</v>
      </c>
      <c r="KD403" s="469">
        <f>AVERAGE(KB403,VLOOKUP(AZ401,Lookup!$B:$E,4,FALSE))</f>
        <v>3.2200988952749636</v>
      </c>
      <c r="KE403" s="469">
        <f>MIN(MAX(KA403,KC403),KD403)</f>
        <v>3.2200988952749636</v>
      </c>
      <c r="KF403" s="470">
        <f>A403</f>
        <v>4003</v>
      </c>
      <c r="KG403" s="471">
        <f>(JH403/KA403*KE403-JH403)/MAX(IL403:IN403)*1000</f>
        <v>-2.566535730626569E-2</v>
      </c>
      <c r="KH403" s="472"/>
      <c r="KI403" s="473">
        <f t="shared" ref="KI403:KI414" si="1338">$JM403*IE403-$JG403*HY403/SUM($HY403:$IA403)</f>
        <v>89.024151311132755</v>
      </c>
      <c r="KJ403" s="473">
        <f t="shared" si="1325"/>
        <v>-6.8057831209724782</v>
      </c>
      <c r="KK403" s="473">
        <f t="shared" si="1326"/>
        <v>-10.088149964425781</v>
      </c>
      <c r="KL403" s="472" t="str">
        <f>IF(OR(KJ403&gt;0,KK403&gt;0),"Error - Adjust TR","ok")</f>
        <v>ok</v>
      </c>
      <c r="KN403" s="544">
        <f>KM403+(KN402-KM402)</f>
        <v>4002</v>
      </c>
      <c r="KO403" s="541">
        <f t="shared" si="1301"/>
        <v>-3.3294060599140307E-2</v>
      </c>
      <c r="KP403" s="546">
        <f t="shared" si="1302"/>
        <v>-152.93861571408999</v>
      </c>
      <c r="KQ403" s="546">
        <f t="shared" si="1303"/>
        <v>-204.22762747244542</v>
      </c>
      <c r="KR403" s="548">
        <f t="shared" si="1304"/>
        <v>3.6945675077903166</v>
      </c>
      <c r="KS403" s="548">
        <f t="shared" si="1305"/>
        <v>2.7667267514036142</v>
      </c>
      <c r="KT403" s="473">
        <f t="shared" ref="KT403:KT467" si="1339">KT402</f>
        <v>1050.27685337919</v>
      </c>
      <c r="KU403" s="663">
        <f t="shared" si="1327"/>
        <v>6.5559992905235971</v>
      </c>
      <c r="KV403" s="117"/>
    </row>
    <row r="404" spans="1:310" s="26" customFormat="1" ht="15">
      <c r="A404" s="561">
        <f t="shared" si="1306"/>
        <v>4004</v>
      </c>
      <c r="B404" s="561">
        <f t="shared" si="1328"/>
        <v>4</v>
      </c>
      <c r="C404" s="561">
        <f t="shared" si="1329"/>
        <v>4</v>
      </c>
      <c r="D404" s="561" t="s">
        <v>741</v>
      </c>
      <c r="E404" s="115">
        <f>INDEX(Input!$1:$1048576,E$93,$C404*2+MIN($B404,1)+5)</f>
        <v>750</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1.8999999999999996E-2</v>
      </c>
      <c r="W404" s="863">
        <f>INDEX(Input!$1:$1048576,W$93,$C404*2+MIN($B404,1)+5)</f>
        <v>3.9E-2</v>
      </c>
      <c r="X404" s="476" t="str">
        <f>INDEX(Input!$1:$1048576,X$93,$C404*2+MIN($B404,1)+5)</f>
        <v>Y</v>
      </c>
      <c r="Y404" s="150">
        <f>INDEX(Input!$1:$1048576,Y$93,$C404*2+MIN($B404,1)+5)</f>
        <v>-2070</v>
      </c>
      <c r="Z404" s="30">
        <f>INDEX(Input!$1:$1048576,Z$93,$C404*2+MIN($B404,1)+5)</f>
        <v>0</v>
      </c>
      <c r="AA404" s="115">
        <f>INDEX(Input!$1:$1048576,AA$93,$C404*2+MIN($B404,1)+5)</f>
        <v>0</v>
      </c>
      <c r="AB404" s="118">
        <f>INDEX(Input!$1:$1048576,AB$93,$C404*2+MIN($B404,1)+5)</f>
        <v>1</v>
      </c>
      <c r="AC404" s="115">
        <f>INDEX(Input!$1:$1048576,AC$93,$C404*2+MIN($B404,1)+5)</f>
        <v>1000</v>
      </c>
      <c r="AD404" s="118">
        <f>INDEX(Input!$1:$1048576,AD$93,$C404*2+MIN($B404,1)+5)</f>
        <v>0.35</v>
      </c>
      <c r="AE404" s="115">
        <f>INDEX(Input!$1:$1048576,AE$93,$C404*2+MIN($B404,1)+5)</f>
        <v>0</v>
      </c>
      <c r="AF404" s="118">
        <f>INDEX(Input!$1:$1048576,AF$93,$C404*2+MIN($B404,1)+5)</f>
        <v>1</v>
      </c>
      <c r="AG404" s="115">
        <f>INDEX(Input!$1:$1048576,AG$93,$C404*2+MIN($B404,1)+5)</f>
        <v>500</v>
      </c>
      <c r="AH404" s="118">
        <f>INDEX(Input!$1:$1048576,AH$93,$C404*2+MIN($B404,1)+5)</f>
        <v>1</v>
      </c>
      <c r="AI404" s="115">
        <f>INDEX(Input!$1:$1048576,AI$93,$C404*2+MIN($B404,1)+5)</f>
        <v>500</v>
      </c>
      <c r="AJ404" s="118">
        <f>INDEX(Input!$1:$1048576,AJ$93,$C404*2+MIN($B404,1)+5)</f>
        <v>0.35</v>
      </c>
      <c r="AK404" s="150">
        <f>ROUND(INDEX(Input!$1:$1048576,AK$93,$C403*2+MIN($B404,1)+5)+(Y404-VLOOKUP($C404*1000+1,$A:$HH,Y$92,FALSE)),0)</f>
        <v>4739</v>
      </c>
      <c r="AL404" s="150">
        <f>ROUND(INDEX(Input!$1:$1048576,AL$93,$C403*2+MIN($B404,1)+5)-(Y404-VLOOKUP($C404*1000+1,$A:$HH,Y$92,FALSE))/36,0)</f>
        <v>4739</v>
      </c>
      <c r="AM404" s="32" t="str">
        <f t="shared" si="1307"/>
        <v>3.5/4/4.5/4.5</v>
      </c>
      <c r="AN404" s="32" t="str">
        <f t="shared" si="1308"/>
        <v>$500 + 0/0/0/1.9/3.9</v>
      </c>
      <c r="AO404" s="32" t="str">
        <f t="shared" si="1309"/>
        <v>0/0/0/1.9/3.9</v>
      </c>
      <c r="AP404" s="32" t="str">
        <f t="shared" si="1125"/>
        <v>0/0.9/1.9/3.9</v>
      </c>
      <c r="AQ404" s="536">
        <f t="shared" si="1124"/>
        <v>850.43118584177819</v>
      </c>
      <c r="AR404" s="32"/>
      <c r="AS404" s="302"/>
      <c r="AT404" s="3">
        <f t="shared" si="1330"/>
        <v>4</v>
      </c>
      <c r="AU404" s="41" t="s">
        <v>121</v>
      </c>
      <c r="AV404" s="41" t="s">
        <v>116</v>
      </c>
      <c r="AW404" s="41" t="str">
        <f>INDEX(Input!$1:$1048576,AW$93,$C404*2+6)</f>
        <v>Kia</v>
      </c>
      <c r="AX404" s="41" t="str">
        <f>INDEX(Input!$1:$1048576,AX$93,$C404*2+6)</f>
        <v>Kia-LR - R1</v>
      </c>
      <c r="AY404" s="41" t="str">
        <f>IF(LEN(D404)=0,"",INDEX(Input!$1:$1048576,AY$93,$C404*2+6))</f>
        <v>Compact Conventional/Sporty Car (43)</v>
      </c>
      <c r="AZ404" s="41" t="str">
        <f>INDEX(Input!$1:$1048576,AZ$93,$C404*2+6)</f>
        <v>Kia Forte</v>
      </c>
      <c r="BA404" s="3">
        <f>INDEX(Input!$1:$1048576,BA$93,$C404*2+6)</f>
        <v>2020</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19695</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1126"/>
        <v>1410</v>
      </c>
      <c r="CJ404" s="16" t="str">
        <f>INDEX(Input!$1:$1048576,CJ$93,$C404*2+6)</f>
        <v>N</v>
      </c>
      <c r="CK404" s="1">
        <f t="shared" si="1127"/>
        <v>3.4999999999999996E-2</v>
      </c>
      <c r="CL404" s="1">
        <f t="shared" si="1128"/>
        <v>0.04</v>
      </c>
      <c r="CM404" s="1">
        <f t="shared" si="1129"/>
        <v>4.4499999999999998E-2</v>
      </c>
      <c r="CN404" s="1">
        <f t="shared" si="1130"/>
        <v>4.4499999999999998E-2</v>
      </c>
      <c r="CO404" s="1" t="str">
        <f t="shared" si="1131"/>
        <v>Market</v>
      </c>
      <c r="CP404" s="304">
        <f t="shared" si="1132"/>
        <v>850</v>
      </c>
      <c r="CQ404" s="1">
        <f t="shared" si="1133"/>
        <v>0</v>
      </c>
      <c r="CR404" s="1">
        <f t="shared" si="1134"/>
        <v>0</v>
      </c>
      <c r="CS404" s="1">
        <f t="shared" si="1135"/>
        <v>0</v>
      </c>
      <c r="CT404" s="1">
        <f t="shared" si="1136"/>
        <v>1.8999999999999996E-2</v>
      </c>
      <c r="CU404" s="1">
        <f t="shared" si="1137"/>
        <v>3.9E-2</v>
      </c>
      <c r="CV404" s="304">
        <f t="shared" si="1138"/>
        <v>-1895</v>
      </c>
      <c r="CW404" s="20" t="s">
        <v>122</v>
      </c>
      <c r="CX404" s="20" t="s">
        <v>122</v>
      </c>
      <c r="CY404" s="20" t="s">
        <v>122</v>
      </c>
      <c r="CZ404" s="20" t="s">
        <v>122</v>
      </c>
      <c r="DA404" s="20" t="s">
        <v>122</v>
      </c>
      <c r="DB404" s="503">
        <f t="shared" si="1139"/>
        <v>500</v>
      </c>
      <c r="DC404" s="127">
        <v>0</v>
      </c>
      <c r="DD404" s="127">
        <v>0</v>
      </c>
      <c r="DE404" s="127">
        <v>0</v>
      </c>
      <c r="DF404" s="127">
        <v>0</v>
      </c>
      <c r="DG404" s="127">
        <v>0</v>
      </c>
      <c r="DH404" s="127">
        <v>0</v>
      </c>
      <c r="DI404" s="127">
        <v>0</v>
      </c>
      <c r="DJ404" s="127">
        <v>0</v>
      </c>
      <c r="DK404" s="127">
        <v>0</v>
      </c>
      <c r="DL404" s="127">
        <v>0</v>
      </c>
      <c r="DM404" s="304">
        <f>INDEX(Input!$1:$1048576,DM$93,$C404*2+6)</f>
        <v>20731.578947368424</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4.5050158109003528E-2</v>
      </c>
      <c r="DZ404" s="7">
        <v>0</v>
      </c>
      <c r="EA404" s="7">
        <v>0.81813953457086508</v>
      </c>
      <c r="EB404" s="7">
        <v>0</v>
      </c>
      <c r="EC404" s="7">
        <v>0</v>
      </c>
      <c r="ED404" s="7">
        <v>0</v>
      </c>
      <c r="EE404" s="7">
        <v>0</v>
      </c>
      <c r="EF404" s="7">
        <v>0</v>
      </c>
      <c r="EG404" s="7">
        <v>0</v>
      </c>
      <c r="EH404" s="7">
        <v>1.223934323889749E-2</v>
      </c>
      <c r="EI404" s="7">
        <v>1.9648829959105642E-2</v>
      </c>
      <c r="EJ404" s="7">
        <v>0.1844603989210376</v>
      </c>
      <c r="EK404" s="7">
        <v>0.7253446221363653</v>
      </c>
      <c r="EL404" s="7">
        <v>5.8306805744594396E-2</v>
      </c>
      <c r="EM404" s="7">
        <v>3.5925484054850257E-2</v>
      </c>
      <c r="EN404" s="7">
        <v>4.6501449008099584E-2</v>
      </c>
      <c r="EO404" s="7">
        <v>0.57167411422779679</v>
      </c>
      <c r="EP404" s="7">
        <v>0.2678362029261796</v>
      </c>
      <c r="EQ404" s="7">
        <v>6.8627470332888005E-2</v>
      </c>
      <c r="ER404" s="7">
        <v>4.5360763505035782E-2</v>
      </c>
      <c r="ES404" s="7">
        <v>0.10088482326528107</v>
      </c>
      <c r="ET404" s="7">
        <v>0.13681030732013136</v>
      </c>
      <c r="EU404" s="6">
        <v>1199.9999999999998</v>
      </c>
      <c r="EV404" s="6">
        <v>0</v>
      </c>
      <c r="EW404" s="6">
        <v>1199.9999999999998</v>
      </c>
      <c r="EX404" s="6">
        <v>0</v>
      </c>
      <c r="EY404" s="6">
        <v>2695.4632084533978</v>
      </c>
      <c r="EZ404" s="6">
        <v>-571</v>
      </c>
      <c r="FA404" s="6">
        <v>0</v>
      </c>
      <c r="FB404" s="6">
        <v>0</v>
      </c>
      <c r="FC404" s="6">
        <v>0</v>
      </c>
      <c r="FD404" s="6">
        <v>0</v>
      </c>
      <c r="FE404" s="6">
        <v>0</v>
      </c>
      <c r="FF404" s="6">
        <v>0</v>
      </c>
      <c r="FG404" s="6">
        <v>0</v>
      </c>
      <c r="FH404" s="6">
        <v>1153.2571064624492</v>
      </c>
      <c r="FI404" s="6">
        <v>1531.4299904380628</v>
      </c>
      <c r="FJ404" s="6">
        <v>2070.7205842538228</v>
      </c>
      <c r="FK404" s="6">
        <v>1746.9903521590441</v>
      </c>
      <c r="FL404" s="6">
        <v>893.91433563489386</v>
      </c>
      <c r="FM404" s="6">
        <v>1745.4632084533978</v>
      </c>
      <c r="FN404" s="6">
        <v>0</v>
      </c>
      <c r="FO404" s="6">
        <v>0</v>
      </c>
      <c r="FP404" s="6">
        <v>0</v>
      </c>
      <c r="FQ404" s="6">
        <v>0</v>
      </c>
      <c r="FR404" s="6">
        <v>0</v>
      </c>
      <c r="FS404" s="6">
        <v>0</v>
      </c>
      <c r="FT404" s="7">
        <v>0.86318969267986856</v>
      </c>
      <c r="FU404" s="7">
        <v>3.5925484054850257E-2</v>
      </c>
      <c r="FV404" s="7">
        <v>0.10088482326528107</v>
      </c>
      <c r="FW404" s="6">
        <v>1199.9999999999998</v>
      </c>
      <c r="FX404" s="6">
        <v>2695.4632084533978</v>
      </c>
      <c r="FY404" s="6">
        <v>-571</v>
      </c>
      <c r="FZ404" s="6">
        <v>1695.8504614767719</v>
      </c>
      <c r="GA404" s="6">
        <v>1075.0582176470946</v>
      </c>
      <c r="GB404" s="6">
        <v>18619.941782352904</v>
      </c>
      <c r="GC404" s="7">
        <v>8.1891069685915169E-2</v>
      </c>
      <c r="GD404" s="7">
        <v>7.6344530676471262E-2</v>
      </c>
      <c r="GE404" s="7"/>
      <c r="GF404" s="7"/>
      <c r="GG404" s="7">
        <v>-6.7730694332325744E-2</v>
      </c>
      <c r="GH404" s="42">
        <v>2.1487962166633388</v>
      </c>
      <c r="GI404" s="6">
        <v>10240.655144554612</v>
      </c>
      <c r="GJ404" s="14">
        <v>0.51074630601039561</v>
      </c>
      <c r="GK404" s="14">
        <v>0.50829519786160959</v>
      </c>
      <c r="GL404" s="14">
        <v>0.48925369398960455</v>
      </c>
      <c r="GM404" s="14">
        <v>0.49170480213839046</v>
      </c>
      <c r="GO404" s="5">
        <v>338.16872463277008</v>
      </c>
      <c r="GP404" s="5">
        <v>315.27501390194027</v>
      </c>
      <c r="GQ404" s="5">
        <v>519.39401419935825</v>
      </c>
      <c r="GR404" s="5">
        <v>400.22503305126548</v>
      </c>
      <c r="GS404" s="5">
        <v>330.05398937228341</v>
      </c>
      <c r="GT404" s="5">
        <v>280.96783041547633</v>
      </c>
      <c r="GU404" s="5">
        <v>254.29573314828914</v>
      </c>
      <c r="GV404" s="39" t="s">
        <v>392</v>
      </c>
      <c r="GW404" s="5">
        <v>465.98611111111109</v>
      </c>
      <c r="GX404" s="5">
        <v>349.48958333333331</v>
      </c>
      <c r="GY404" s="5">
        <v>279.59166666666664</v>
      </c>
      <c r="GZ404" s="5">
        <v>246.71014134007967</v>
      </c>
      <c r="HA404" s="5">
        <v>228.52966821545911</v>
      </c>
      <c r="HB404" s="39">
        <v>256.41872494121912</v>
      </c>
      <c r="HC404" s="5">
        <v>308.09687499999995</v>
      </c>
      <c r="HD404" s="5">
        <v>253.37629751461984</v>
      </c>
      <c r="HE404" s="5">
        <v>253.29689186909582</v>
      </c>
      <c r="HF404" s="5">
        <v>230.90754934210526</v>
      </c>
      <c r="HG404" s="5">
        <v>218.51910087719298</v>
      </c>
      <c r="HH404" s="39">
        <v>252.77649354991667</v>
      </c>
      <c r="HI404" s="16"/>
      <c r="HJ404" s="19" t="str">
        <f t="shared" si="1331"/>
        <v>On</v>
      </c>
      <c r="HK404" s="1" t="str">
        <f t="shared" si="1331"/>
        <v>On</v>
      </c>
      <c r="HL404" s="16"/>
      <c r="HM404" s="639">
        <f t="shared" si="1278"/>
        <v>6.6115095157691428E-2</v>
      </c>
      <c r="HN404" s="639">
        <f t="shared" si="1279"/>
        <v>2.3720927871164412E-3</v>
      </c>
      <c r="HO404" s="639">
        <f t="shared" si="1280"/>
        <v>7.7231033444443466E-3</v>
      </c>
      <c r="HP404" s="644">
        <f>(FT404*$GD404-HM404)/$JF404*INDEX(Input!$1:$1048576,$JG$93,$C404*2+6)</f>
        <v>-5.2514094181246733</v>
      </c>
      <c r="HQ404" s="644">
        <f>(FU404*$GD404-HN404)/$JF404*INDEX(Input!$1:$1048576,$JG$93,$C404*2+6)</f>
        <v>9.040580099244881</v>
      </c>
      <c r="HR404" s="644">
        <f>(FV404*$GD404-HO404)/$JF404*INDEX(Input!$1:$1048576,$JG$93,$C404*2+6)</f>
        <v>-0.51466514363266502</v>
      </c>
      <c r="HS404" s="644">
        <f t="shared" si="1281"/>
        <v>-0.10293302872653301</v>
      </c>
      <c r="HT404" s="644">
        <f t="shared" si="1282"/>
        <v>82.700436345299494</v>
      </c>
      <c r="HU404" s="644">
        <f t="shared" si="1283"/>
        <v>0.10293302872653301</v>
      </c>
      <c r="HV404" s="648">
        <f t="shared" si="1284"/>
        <v>0</v>
      </c>
      <c r="HW404" s="648">
        <f t="shared" si="1285"/>
        <v>0</v>
      </c>
      <c r="HX404" s="648">
        <f t="shared" si="1286"/>
        <v>0</v>
      </c>
      <c r="HY404" s="644">
        <f>INDEX(Input!$1:$1048576,HY$93,$C404*2+6)*INDEX(Input!$1:$1048576,$JG$93,$C404*2+6)</f>
        <v>844</v>
      </c>
      <c r="HZ404" s="644">
        <f>INDEX(Input!$1:$1048576,HZ$93,$C404*2+6)*INDEX(Input!$1:$1048576,$JG$93,$C404*2+6)</f>
        <v>865</v>
      </c>
      <c r="IA404" s="644">
        <f>INDEX(Input!$1:$1048576,IA$93,$C404*2+6)*INDEX(Input!$1:$1048576,$JG$93,$C404*2+6)</f>
        <v>150</v>
      </c>
      <c r="IB404" s="644">
        <f t="shared" si="1310"/>
        <v>838.64565755314891</v>
      </c>
      <c r="IC404" s="644">
        <f t="shared" si="1311"/>
        <v>956.74101644454436</v>
      </c>
      <c r="ID404" s="644">
        <f>IF(AND(INDEX(Input!$1:$1048576,IA$93,$C404*2+7)="TOS",Y404&lt;=INDEX(Y:Y,MATCH(C404*1000+2,A:A))),0,1)*MAX(IA404+HR404+HU404+HX404,0%)</f>
        <v>149.58826788509387</v>
      </c>
      <c r="IE404" s="128">
        <f t="shared" si="1332"/>
        <v>0.43118584177815561</v>
      </c>
      <c r="IF404" s="128">
        <f t="shared" si="1333"/>
        <v>0.49190403220228313</v>
      </c>
      <c r="IG404" s="128">
        <f t="shared" si="1288"/>
        <v>7.6910126019561181E-2</v>
      </c>
      <c r="IH404" s="21"/>
      <c r="II404" s="19">
        <f t="shared" si="1289"/>
        <v>1199.9999999999998</v>
      </c>
      <c r="IJ404" s="19">
        <f t="shared" si="1290"/>
        <v>2195.4782357510435</v>
      </c>
      <c r="IK404" s="19">
        <f t="shared" si="1291"/>
        <v>-571</v>
      </c>
      <c r="IL404" s="19">
        <f t="shared" si="1313"/>
        <v>0</v>
      </c>
      <c r="IM404" s="19">
        <f t="shared" si="1292"/>
        <v>499.9849727023543</v>
      </c>
      <c r="IN404" s="19">
        <f t="shared" si="1293"/>
        <v>0</v>
      </c>
      <c r="IO404" s="39">
        <f t="shared" si="1294"/>
        <v>0</v>
      </c>
      <c r="IP404" s="39">
        <f t="shared" si="1295"/>
        <v>0</v>
      </c>
      <c r="IQ404" s="39">
        <f t="shared" si="1296"/>
        <v>0</v>
      </c>
      <c r="IR404" s="39">
        <v>0</v>
      </c>
      <c r="IS404" s="39">
        <v>0</v>
      </c>
      <c r="IT404" s="39">
        <v>0</v>
      </c>
      <c r="IU404" s="39">
        <v>0</v>
      </c>
      <c r="IV404" s="39">
        <v>0</v>
      </c>
      <c r="IW404" s="39">
        <v>0</v>
      </c>
      <c r="IX404" s="39">
        <f>INDEX(Input!$1:$1048576,IX$93,$C404*2+6)+INDEX(Input!$1:$1048576,IX$94,$C404*2+6)</f>
        <v>1600</v>
      </c>
      <c r="IY404" s="39">
        <f>INDEX(Input!$1:$1048576,IY$93,$C404*2+6)+INDEX(Input!$1:$1048576,IY$94,$C404*2+6)</f>
        <v>2503.549291639752</v>
      </c>
      <c r="IZ404" s="39">
        <f>INDEX(Input!$1:$1048576,IZ$93,$C404*2+6)+INDEX(Input!$1:$1048576,IZ$94,$C404*2+6)</f>
        <v>5413.7109265464023</v>
      </c>
      <c r="JA404" s="19">
        <f t="shared" si="1314"/>
        <v>1600</v>
      </c>
      <c r="JB404" s="19">
        <f t="shared" si="1315"/>
        <v>3003.5342643421063</v>
      </c>
      <c r="JC404" s="19">
        <f t="shared" si="1316"/>
        <v>5413.7109265464023</v>
      </c>
      <c r="JD404" s="19">
        <f t="shared" si="1317"/>
        <v>2583.7171519268086</v>
      </c>
      <c r="JE404" s="21"/>
      <c r="JF404" s="1">
        <f t="shared" si="1297"/>
        <v>7.6210291289252219E-2</v>
      </c>
      <c r="JG404" s="15">
        <f>INDEX(Input!$1:$1048576,JG$93,$C404*2+6)/(1+VLOOKUP(C404*1000+INDEX(Input!$1:$1048576,JG$93+1,$C404*2+6),$A:$KK,$JK$92,FALSE))</f>
        <v>1859</v>
      </c>
      <c r="JH404" s="1">
        <f t="shared" si="1318"/>
        <v>1.7614338555608084E-3</v>
      </c>
      <c r="JI404" s="1">
        <f t="shared" si="1319"/>
        <v>4.4486517668262233E-2</v>
      </c>
      <c r="JJ404" s="1">
        <f t="shared" si="1320"/>
        <v>0</v>
      </c>
      <c r="JK404" s="1">
        <f t="shared" si="1321"/>
        <v>4.6247951523823043E-2</v>
      </c>
      <c r="JL404" s="15">
        <f t="shared" si="1322"/>
        <v>85.974941882787036</v>
      </c>
      <c r="JM404" s="15">
        <f t="shared" si="1323"/>
        <v>1944.9749418827871</v>
      </c>
      <c r="JN404" s="21"/>
      <c r="JO404" s="19">
        <f>INDEX(Input!$1:$1048576,JO$93,$C404*2+6)</f>
        <v>5908.5</v>
      </c>
      <c r="JP404" s="19">
        <f>INDEX(Input!$1:$1048576,JP$93,$C404*2+6)</f>
        <v>2328.1478086338602</v>
      </c>
      <c r="JQ404" s="39">
        <f t="shared" si="1334"/>
        <v>3324.7828480731914</v>
      </c>
      <c r="JR404" s="39">
        <f t="shared" si="1335"/>
        <v>255.56934329294836</v>
      </c>
      <c r="JS404" s="39">
        <f t="shared" si="1336"/>
        <v>5.025265117410405</v>
      </c>
      <c r="JT404" s="39">
        <f t="shared" si="1324"/>
        <v>0.69723834116005801</v>
      </c>
      <c r="JU404" s="385">
        <f>(JQ404*JM404-INDEX(Input!$1:$1048576,Input!A$18,$C404*2+6)*JL404*INDEX(Input!$1:$1048576,Input!A$19,$C404*2+6))/1000000</f>
        <v>6.466619326704043</v>
      </c>
      <c r="JV404" s="39">
        <f t="shared" si="1300"/>
        <v>-0.18925539704561078</v>
      </c>
      <c r="JW404" s="1">
        <f>JV404/(JU404-JV404)</f>
        <v>-2.8434338821057597E-2</v>
      </c>
      <c r="JX404" s="19">
        <f t="shared" ref="JX404:JX461" si="1340">IF(JL404=0,0,JT404/JL404)*1000000</f>
        <v>8109.785547870797</v>
      </c>
      <c r="JZ404" s="468">
        <f>(HZ404+HQ404)/SUM(HP404:HR404,HY404:IA404)*IM404</f>
        <v>234.66312527085921</v>
      </c>
      <c r="KA404" s="469">
        <f>JH404/(JZ404/BX404)</f>
        <v>0.14783507099902307</v>
      </c>
      <c r="KB404" s="469">
        <f t="shared" si="1337"/>
        <v>2.3451977905499271</v>
      </c>
      <c r="KC404" s="469">
        <f>MIN(KE403+0.5,KE403*1.1)</f>
        <v>3.5421087848024602</v>
      </c>
      <c r="KD404" s="469">
        <f>KC404+2</f>
        <v>5.5421087848024602</v>
      </c>
      <c r="KE404" s="469">
        <f>MIN(MAX(KA404,KC404),KD404)</f>
        <v>3.5421087848024602</v>
      </c>
      <c r="KF404" s="470">
        <f>A404</f>
        <v>4004</v>
      </c>
      <c r="KG404" s="471">
        <f>IF(HK404="Off",0,(JH404/KA404*KE404-JH404)/MAX(IL404:IN404)*1000)</f>
        <v>8.0887008604966559E-2</v>
      </c>
      <c r="KH404" s="472"/>
      <c r="KI404" s="473">
        <f t="shared" si="1338"/>
        <v>-5.3543424468512058</v>
      </c>
      <c r="KJ404" s="473">
        <f t="shared" si="1325"/>
        <v>91.741016444544243</v>
      </c>
      <c r="KK404" s="473">
        <f t="shared" si="1326"/>
        <v>-0.41173211490615813</v>
      </c>
      <c r="KL404" s="472" t="str">
        <f>IF(OR(KI404&gt;0,KK404&gt;0),"Error - Adjust TR","ok")</f>
        <v>ok</v>
      </c>
      <c r="KN404" s="544">
        <f t="shared" ref="KN404:KN461" si="1341">KM404+(KN403-KM403)</f>
        <v>4002</v>
      </c>
      <c r="KO404" s="541">
        <f t="shared" si="1301"/>
        <v>-2.63635198917751E-2</v>
      </c>
      <c r="KP404" s="546">
        <f t="shared" si="1302"/>
        <v>-148.33673267255097</v>
      </c>
      <c r="KQ404" s="546">
        <f t="shared" si="1303"/>
        <v>-140.02640967118714</v>
      </c>
      <c r="KR404" s="548">
        <f t="shared" si="1304"/>
        <v>3.0162593488552742</v>
      </c>
      <c r="KS404" s="548">
        <f t="shared" si="1305"/>
        <v>3.195269076404037</v>
      </c>
      <c r="KT404" s="473">
        <f t="shared" si="1339"/>
        <v>1050.27685337919</v>
      </c>
      <c r="KU404" s="663">
        <f t="shared" si="1327"/>
        <v>6.4935770721414148</v>
      </c>
      <c r="KV404" s="117"/>
    </row>
    <row r="405" spans="1:310" s="26" customFormat="1" ht="15">
      <c r="A405" s="561">
        <f t="shared" si="1306"/>
        <v>4005</v>
      </c>
      <c r="B405" s="561">
        <f t="shared" si="1328"/>
        <v>5</v>
      </c>
      <c r="C405" s="561">
        <f t="shared" si="1329"/>
        <v>4</v>
      </c>
      <c r="D405" s="561" t="s">
        <v>568</v>
      </c>
      <c r="E405" s="115">
        <f>INDEX(Input!$1:$1048576,E$93,$C405*2+MIN($B405,1)+5)</f>
        <v>750</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1.8999999999999996E-2</v>
      </c>
      <c r="W405" s="862">
        <f>INDEX(Input!$1:$1048576,W$93,$C405*2+MIN($B405,1)+5)</f>
        <v>3.9E-2</v>
      </c>
      <c r="X405" s="118" t="str">
        <f>INDEX(Input!$1:$1048576,X$93,$C405*2+MIN($B405,1)+5)</f>
        <v>Y</v>
      </c>
      <c r="Y405" s="475">
        <f>INDEX(Input!$1:$1048576,Y$93,$C405*2+MIN($B405,1)+5)+500</f>
        <v>-1570</v>
      </c>
      <c r="Z405" s="30">
        <f>INDEX(Input!$1:$1048576,Z$93,$C405*2+MIN($B405,1)+5)</f>
        <v>0</v>
      </c>
      <c r="AA405" s="115">
        <f>INDEX(Input!$1:$1048576,AA$93,$C405*2+MIN($B405,1)+5)</f>
        <v>0</v>
      </c>
      <c r="AB405" s="118">
        <f>INDEX(Input!$1:$1048576,AB$93,$C405*2+MIN($B405,1)+5)</f>
        <v>1</v>
      </c>
      <c r="AC405" s="115">
        <f>INDEX(Input!$1:$1048576,AC$93,$C405*2+MIN($B405,1)+5)</f>
        <v>1000</v>
      </c>
      <c r="AD405" s="118">
        <f>INDEX(Input!$1:$1048576,AD$93,$C405*2+MIN($B405,1)+5)</f>
        <v>0.35</v>
      </c>
      <c r="AE405" s="115">
        <f>INDEX(Input!$1:$1048576,AE$93,$C405*2+MIN($B405,1)+5)</f>
        <v>0</v>
      </c>
      <c r="AF405" s="118">
        <f>INDEX(Input!$1:$1048576,AF$93,$C405*2+MIN($B405,1)+5)</f>
        <v>1</v>
      </c>
      <c r="AG405" s="115">
        <f>INDEX(Input!$1:$1048576,AG$93,$C405*2+MIN($B405,1)+5)</f>
        <v>500</v>
      </c>
      <c r="AH405" s="118">
        <f>INDEX(Input!$1:$1048576,AH$93,$C405*2+MIN($B405,1)+5)</f>
        <v>1</v>
      </c>
      <c r="AI405" s="115">
        <f>INDEX(Input!$1:$1048576,AI$93,$C405*2+MIN($B405,1)+5)</f>
        <v>500</v>
      </c>
      <c r="AJ405" s="118">
        <f>INDEX(Input!$1:$1048576,AJ$93,$C405*2+MIN($B405,1)+5)</f>
        <v>0.35</v>
      </c>
      <c r="AK405" s="150">
        <f>ROUND(INDEX(Input!$1:$1048576,AK$93,$C404*2+MIN($B405,1)+5)+(Y405-VLOOKUP($C405*1000+1,$A:$HH,Y$92,FALSE)),0)</f>
        <v>5239</v>
      </c>
      <c r="AL405" s="150">
        <f>ROUND(INDEX(Input!$1:$1048576,AL$93,$C404*2+MIN($B405,1)+5)-(Y405-VLOOKUP($C405*1000+1,$A:$HH,Y$92,FALSE))/36,0)</f>
        <v>4725</v>
      </c>
      <c r="AM405" s="32" t="str">
        <f t="shared" si="1307"/>
        <v>std/std/std/std</v>
      </c>
      <c r="AN405" s="32" t="str">
        <f t="shared" si="1308"/>
        <v>$0 + 0/0/0/1.9/3.9</v>
      </c>
      <c r="AO405" s="32" t="str">
        <f t="shared" si="1309"/>
        <v>0/0/0/1.9/3.9</v>
      </c>
      <c r="AP405" s="32" t="str">
        <f t="shared" si="1125"/>
        <v>0/0.9/1.9/3.9</v>
      </c>
      <c r="AQ405" s="536">
        <f t="shared" si="1124"/>
        <v>850.44326982924213</v>
      </c>
      <c r="AR405" s="32"/>
      <c r="AS405" s="302"/>
      <c r="AT405" s="3">
        <f t="shared" si="1330"/>
        <v>5</v>
      </c>
      <c r="AU405" s="41" t="s">
        <v>121</v>
      </c>
      <c r="AV405" s="41" t="s">
        <v>116</v>
      </c>
      <c r="AW405" s="41" t="str">
        <f>INDEX(Input!$1:$1048576,AW$93,$C405*2+6)</f>
        <v>Kia</v>
      </c>
      <c r="AX405" s="41" t="str">
        <f>INDEX(Input!$1:$1048576,AX$93,$C405*2+6)</f>
        <v>Kia-LR - R1</v>
      </c>
      <c r="AY405" s="41" t="str">
        <f>IF(LEN(D405)=0,"",INDEX(Input!$1:$1048576,AY$93,$C405*2+6))</f>
        <v>Compact Conventional/Sporty Car (43)</v>
      </c>
      <c r="AZ405" s="41" t="str">
        <f>INDEX(Input!$1:$1048576,AZ$93,$C405*2+6)</f>
        <v>Kia Forte</v>
      </c>
      <c r="BA405" s="3">
        <f>INDEX(Input!$1:$1048576,BA$93,$C405*2+6)</f>
        <v>2020</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19695</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1126"/>
        <v>1410</v>
      </c>
      <c r="CJ405" s="16" t="str">
        <f>INDEX(Input!$1:$1048576,CJ$93,$C405*2+6)</f>
        <v>N</v>
      </c>
      <c r="CK405" s="1" t="str">
        <f t="shared" si="1127"/>
        <v>Market</v>
      </c>
      <c r="CL405" s="1" t="str">
        <f t="shared" si="1128"/>
        <v>Market</v>
      </c>
      <c r="CM405" s="1" t="str">
        <f t="shared" si="1129"/>
        <v>Market</v>
      </c>
      <c r="CN405" s="1" t="str">
        <f t="shared" si="1130"/>
        <v>Market</v>
      </c>
      <c r="CO405" s="1" t="str">
        <f t="shared" si="1131"/>
        <v>Market</v>
      </c>
      <c r="CP405" s="304">
        <f t="shared" si="1132"/>
        <v>350</v>
      </c>
      <c r="CQ405" s="1">
        <f t="shared" si="1133"/>
        <v>0</v>
      </c>
      <c r="CR405" s="1">
        <f t="shared" si="1134"/>
        <v>0</v>
      </c>
      <c r="CS405" s="1">
        <f t="shared" si="1135"/>
        <v>0</v>
      </c>
      <c r="CT405" s="1">
        <f t="shared" si="1136"/>
        <v>1.8999999999999996E-2</v>
      </c>
      <c r="CU405" s="1">
        <f t="shared" si="1137"/>
        <v>3.9E-2</v>
      </c>
      <c r="CV405" s="304">
        <f t="shared" si="1138"/>
        <v>-1395</v>
      </c>
      <c r="CW405" s="20" t="s">
        <v>122</v>
      </c>
      <c r="CX405" s="20" t="s">
        <v>122</v>
      </c>
      <c r="CY405" s="20" t="s">
        <v>122</v>
      </c>
      <c r="CZ405" s="20" t="s">
        <v>122</v>
      </c>
      <c r="DA405" s="20" t="s">
        <v>122</v>
      </c>
      <c r="DB405" s="503">
        <f t="shared" si="1139"/>
        <v>500</v>
      </c>
      <c r="DC405" s="127">
        <v>0</v>
      </c>
      <c r="DD405" s="127">
        <v>0</v>
      </c>
      <c r="DE405" s="127">
        <v>0</v>
      </c>
      <c r="DF405" s="127">
        <v>0</v>
      </c>
      <c r="DG405" s="127">
        <v>0</v>
      </c>
      <c r="DH405" s="127">
        <v>0</v>
      </c>
      <c r="DI405" s="127">
        <v>0</v>
      </c>
      <c r="DJ405" s="127">
        <v>0</v>
      </c>
      <c r="DK405" s="127">
        <v>0</v>
      </c>
      <c r="DL405" s="127">
        <v>0</v>
      </c>
      <c r="DM405" s="304">
        <f>INDEX(Input!$1:$1048576,DM$93,$C405*2+6)</f>
        <v>20731.578947368424</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4.4691086467271483E-2</v>
      </c>
      <c r="DZ405" s="7">
        <v>0</v>
      </c>
      <c r="EA405" s="7">
        <v>0.81238873851427307</v>
      </c>
      <c r="EB405" s="7">
        <v>0</v>
      </c>
      <c r="EC405" s="7">
        <v>0</v>
      </c>
      <c r="ED405" s="7">
        <v>0</v>
      </c>
      <c r="EE405" s="7">
        <v>0</v>
      </c>
      <c r="EF405" s="7">
        <v>0</v>
      </c>
      <c r="EG405" s="7">
        <v>0</v>
      </c>
      <c r="EH405" s="7">
        <v>1.221352871134199E-2</v>
      </c>
      <c r="EI405" s="7">
        <v>1.9592207684055209E-2</v>
      </c>
      <c r="EJ405" s="7">
        <v>0.18416518240193624</v>
      </c>
      <c r="EK405" s="7">
        <v>0.7256962671105629</v>
      </c>
      <c r="EL405" s="7">
        <v>5.8332814092103551E-2</v>
      </c>
      <c r="EM405" s="7">
        <v>3.0713216100381052E-2</v>
      </c>
      <c r="EN405" s="7">
        <v>4.7280000289968836E-2</v>
      </c>
      <c r="EO405" s="7">
        <v>0.5705882704907681</v>
      </c>
      <c r="EP405" s="7">
        <v>0.26984076832372983</v>
      </c>
      <c r="EQ405" s="7">
        <v>6.7552368366741583E-2</v>
      </c>
      <c r="ER405" s="7">
        <v>4.4738592528791331E-2</v>
      </c>
      <c r="ES405" s="7">
        <v>0.11220695891807447</v>
      </c>
      <c r="ET405" s="7">
        <v>0.14292017501845547</v>
      </c>
      <c r="EU405" s="6">
        <v>1199.9999999999998</v>
      </c>
      <c r="EV405" s="6">
        <v>0</v>
      </c>
      <c r="EW405" s="6">
        <v>1199.9999999999998</v>
      </c>
      <c r="EX405" s="6">
        <v>0</v>
      </c>
      <c r="EY405" s="6">
        <v>2195.3730249949858</v>
      </c>
      <c r="EZ405" s="6">
        <v>-71</v>
      </c>
      <c r="FA405" s="6">
        <v>0</v>
      </c>
      <c r="FB405" s="6">
        <v>0</v>
      </c>
      <c r="FC405" s="6">
        <v>0</v>
      </c>
      <c r="FD405" s="6">
        <v>0</v>
      </c>
      <c r="FE405" s="6">
        <v>0</v>
      </c>
      <c r="FF405" s="6">
        <v>0</v>
      </c>
      <c r="FG405" s="6">
        <v>0</v>
      </c>
      <c r="FH405" s="6">
        <v>1153.2605198905878</v>
      </c>
      <c r="FI405" s="6">
        <v>1531.4299904380628</v>
      </c>
      <c r="FJ405" s="6">
        <v>2070.7205842538219</v>
      </c>
      <c r="FK405" s="6">
        <v>1746.9903521590441</v>
      </c>
      <c r="FL405" s="6">
        <v>893.91433563489352</v>
      </c>
      <c r="FM405" s="6">
        <v>1745.3730249949858</v>
      </c>
      <c r="FN405" s="6">
        <v>0</v>
      </c>
      <c r="FO405" s="6">
        <v>0</v>
      </c>
      <c r="FP405" s="6">
        <v>0</v>
      </c>
      <c r="FQ405" s="6">
        <v>0</v>
      </c>
      <c r="FR405" s="6">
        <v>0</v>
      </c>
      <c r="FS405" s="6">
        <v>0</v>
      </c>
      <c r="FT405" s="7">
        <v>0.85707982498154456</v>
      </c>
      <c r="FU405" s="7">
        <v>3.0713216100381052E-2</v>
      </c>
      <c r="FV405" s="7">
        <v>0.11220695891807447</v>
      </c>
      <c r="FW405" s="6">
        <v>1199.9999999999998</v>
      </c>
      <c r="FX405" s="6">
        <v>2195.3730249949858</v>
      </c>
      <c r="FY405" s="6">
        <v>-71</v>
      </c>
      <c r="FZ405" s="6">
        <v>1695.8504614767719</v>
      </c>
      <c r="GA405" s="6">
        <v>1087.9560620322884</v>
      </c>
      <c r="GB405" s="6">
        <v>18607.043937967712</v>
      </c>
      <c r="GC405" s="7">
        <v>8.1891069685915169E-2</v>
      </c>
      <c r="GD405" s="7">
        <v>7.6621804095517054E-2</v>
      </c>
      <c r="GE405" s="7"/>
      <c r="GF405" s="7"/>
      <c r="GG405" s="7">
        <v>-6.4344813306357385E-2</v>
      </c>
      <c r="GH405" s="42">
        <v>2.0846895434910868</v>
      </c>
      <c r="GI405" s="6">
        <v>10535.405952829038</v>
      </c>
      <c r="GJ405" s="14">
        <v>0.51074630601039528</v>
      </c>
      <c r="GK405" s="14">
        <v>0.5082951978616097</v>
      </c>
      <c r="GL405" s="14">
        <v>0.48925369398960417</v>
      </c>
      <c r="GM405" s="14">
        <v>0.49170480213839046</v>
      </c>
      <c r="GO405" s="5">
        <v>338.16872463277008</v>
      </c>
      <c r="GP405" s="5">
        <v>315.27501390194027</v>
      </c>
      <c r="GQ405" s="5">
        <v>527.27910984145694</v>
      </c>
      <c r="GR405" s="5">
        <v>404.20319246551543</v>
      </c>
      <c r="GS405" s="5">
        <v>334.50205195691484</v>
      </c>
      <c r="GT405" s="5">
        <v>289.18266033348181</v>
      </c>
      <c r="GU405" s="5">
        <v>254.29573314828914</v>
      </c>
      <c r="GV405" s="39" t="s">
        <v>392</v>
      </c>
      <c r="GW405" s="5">
        <v>479.875</v>
      </c>
      <c r="GX405" s="5">
        <v>359.90625</v>
      </c>
      <c r="GY405" s="5">
        <v>287.92500000000001</v>
      </c>
      <c r="GZ405" s="5">
        <v>254.06342861438085</v>
      </c>
      <c r="HA405" s="5">
        <v>235.34107974463734</v>
      </c>
      <c r="HB405" s="39">
        <v>264.03907443796822</v>
      </c>
      <c r="HC405" s="5">
        <v>286.22187499999995</v>
      </c>
      <c r="HD405" s="5">
        <v>238.44574195906426</v>
      </c>
      <c r="HE405" s="5">
        <v>239.43471238191628</v>
      </c>
      <c r="HF405" s="5">
        <v>219.34504934210526</v>
      </c>
      <c r="HG405" s="5">
        <v>208.93576754385964</v>
      </c>
      <c r="HH405" s="39">
        <v>238.36093033722742</v>
      </c>
      <c r="HI405" s="16"/>
      <c r="HJ405" s="19" t="str">
        <f t="shared" si="1331"/>
        <v>On</v>
      </c>
      <c r="HK405" s="1" t="str">
        <f t="shared" si="1331"/>
        <v>On</v>
      </c>
      <c r="HL405" s="16"/>
      <c r="HM405" s="639">
        <f t="shared" si="1278"/>
        <v>6.6115095157691428E-2</v>
      </c>
      <c r="HN405" s="639">
        <f t="shared" si="1279"/>
        <v>2.3720927871164412E-3</v>
      </c>
      <c r="HO405" s="639">
        <f t="shared" si="1280"/>
        <v>7.7231033444443466E-3</v>
      </c>
      <c r="HP405" s="644">
        <f>(FT405*$GD405-HM405)/$JF405*INDEX(Input!$1:$1048576,$JG$93,$C405*2+6)</f>
        <v>-10.832767345040795</v>
      </c>
      <c r="HQ405" s="644">
        <f>(FU405*$GD405-HN405)/$JF405*INDEX(Input!$1:$1048576,$JG$93,$C405*2+6)</f>
        <v>-0.45836358998876531</v>
      </c>
      <c r="HR405" s="644">
        <f>(FV405*$GD405-HO405)/$JF405*INDEX(Input!$1:$1048576,$JG$93,$C405*2+6)</f>
        <v>21.329175586280307</v>
      </c>
      <c r="HS405" s="644">
        <f t="shared" si="1281"/>
        <v>2.1659974533015101E-5</v>
      </c>
      <c r="HT405" s="644">
        <f t="shared" si="1282"/>
        <v>-1.7402473892684393E-2</v>
      </c>
      <c r="HU405" s="644">
        <f t="shared" si="1283"/>
        <v>10.573207325238405</v>
      </c>
      <c r="HV405" s="648">
        <f t="shared" si="1284"/>
        <v>0</v>
      </c>
      <c r="HW405" s="648">
        <f t="shared" si="1285"/>
        <v>0</v>
      </c>
      <c r="HX405" s="648">
        <f t="shared" si="1286"/>
        <v>0</v>
      </c>
      <c r="HY405" s="644">
        <f>INDEX(Input!$1:$1048576,HY$93,$C405*2+6)*INDEX(Input!$1:$1048576,$JG$93,$C405*2+6)</f>
        <v>844</v>
      </c>
      <c r="HZ405" s="644">
        <f>INDEX(Input!$1:$1048576,HZ$93,$C405*2+6)*INDEX(Input!$1:$1048576,$JG$93,$C405*2+6)</f>
        <v>865</v>
      </c>
      <c r="IA405" s="644">
        <f>INDEX(Input!$1:$1048576,IA$93,$C405*2+6)*INDEX(Input!$1:$1048576,$JG$93,$C405*2+6)</f>
        <v>150</v>
      </c>
      <c r="IB405" s="644">
        <f t="shared" si="1310"/>
        <v>833.16725431493364</v>
      </c>
      <c r="IC405" s="644">
        <f t="shared" si="1311"/>
        <v>864.52423393611855</v>
      </c>
      <c r="ID405" s="644">
        <f>IF(AND(INDEX(Input!$1:$1048576,IA$93,$C405*2+7)="TOS",Y405&lt;=INDEX(Y:Y,MATCH(C405*1000+2,A:A))),0,1)*MAX(IA405+HR405+HU405+HX405,0%)</f>
        <v>181.90238291151871</v>
      </c>
      <c r="IE405" s="128">
        <f t="shared" ref="IE405:IE406" si="1342">IB405/SUM($IB405:$ID405)</f>
        <v>0.44326982924220804</v>
      </c>
      <c r="IF405" s="128">
        <f t="shared" si="1333"/>
        <v>0.4599526776501941</v>
      </c>
      <c r="IG405" s="128">
        <f t="shared" si="1288"/>
        <v>9.6777493107597756E-2</v>
      </c>
      <c r="IH405" s="21"/>
      <c r="II405" s="19">
        <f t="shared" si="1289"/>
        <v>1199.9999999999998</v>
      </c>
      <c r="IJ405" s="19">
        <f t="shared" si="1290"/>
        <v>2195.4782357510435</v>
      </c>
      <c r="IK405" s="19">
        <f t="shared" si="1291"/>
        <v>-571</v>
      </c>
      <c r="IL405" s="19">
        <f t="shared" si="1313"/>
        <v>0</v>
      </c>
      <c r="IM405" s="19">
        <f t="shared" si="1292"/>
        <v>-0.10521075605765873</v>
      </c>
      <c r="IN405" s="19">
        <f t="shared" si="1293"/>
        <v>500</v>
      </c>
      <c r="IO405" s="39">
        <f t="shared" si="1294"/>
        <v>0</v>
      </c>
      <c r="IP405" s="39">
        <f t="shared" si="1295"/>
        <v>0</v>
      </c>
      <c r="IQ405" s="39">
        <f t="shared" si="1296"/>
        <v>0</v>
      </c>
      <c r="IR405" s="39">
        <v>0</v>
      </c>
      <c r="IS405" s="39">
        <v>0</v>
      </c>
      <c r="IT405" s="39">
        <v>0</v>
      </c>
      <c r="IU405" s="39">
        <v>0</v>
      </c>
      <c r="IV405" s="39">
        <v>0</v>
      </c>
      <c r="IW405" s="39">
        <v>0</v>
      </c>
      <c r="IX405" s="39">
        <f>INDEX(Input!$1:$1048576,IX$93,$C405*2+6)+INDEX(Input!$1:$1048576,IX$94,$C405*2+6)</f>
        <v>1600</v>
      </c>
      <c r="IY405" s="39">
        <f>INDEX(Input!$1:$1048576,IY$93,$C405*2+6)+INDEX(Input!$1:$1048576,IY$94,$C405*2+6)</f>
        <v>2503.549291639752</v>
      </c>
      <c r="IZ405" s="39">
        <f>INDEX(Input!$1:$1048576,IZ$93,$C405*2+6)+INDEX(Input!$1:$1048576,IZ$94,$C405*2+6)</f>
        <v>5413.7109265464023</v>
      </c>
      <c r="JA405" s="19">
        <f t="shared" si="1314"/>
        <v>1600</v>
      </c>
      <c r="JB405" s="19">
        <f t="shared" si="1315"/>
        <v>2503.4440808836944</v>
      </c>
      <c r="JC405" s="19">
        <f t="shared" si="1316"/>
        <v>5913.7109265464023</v>
      </c>
      <c r="JD405" s="19">
        <f t="shared" si="1317"/>
        <v>2433.011653571687</v>
      </c>
      <c r="JE405" s="21"/>
      <c r="JF405" s="1">
        <f t="shared" si="1297"/>
        <v>7.6210291289252219E-2</v>
      </c>
      <c r="JG405" s="15">
        <f>INDEX(Input!$1:$1048576,JG$93,$C405*2+6)/(1+VLOOKUP(C405*1000+INDEX(Input!$1:$1048576,JG$93+1,$C405*2+6),$A:$KK,$JK$92,FALSE))</f>
        <v>1859</v>
      </c>
      <c r="JH405" s="1">
        <f t="shared" si="1318"/>
        <v>5.3997012647933008E-3</v>
      </c>
      <c r="JI405" s="1">
        <f t="shared" si="1319"/>
        <v>5.6782283546639341E-3</v>
      </c>
      <c r="JJ405" s="1">
        <f t="shared" si="1320"/>
        <v>0</v>
      </c>
      <c r="JK405" s="1">
        <f>SUM(JH405:JJ405)</f>
        <v>1.1077929619457236E-2</v>
      </c>
      <c r="JL405" s="15">
        <f t="shared" si="1322"/>
        <v>20.593871162571002</v>
      </c>
      <c r="JM405" s="15">
        <f t="shared" si="1323"/>
        <v>1879.5938711625711</v>
      </c>
      <c r="JN405" s="21"/>
      <c r="JO405" s="19">
        <f>INDEX(Input!$1:$1048576,JO$93,$C405*2+6)</f>
        <v>5908.5</v>
      </c>
      <c r="JP405" s="19">
        <f>INDEX(Input!$1:$1048576,JP$93,$C405*2+6)</f>
        <v>2328.1478086338602</v>
      </c>
      <c r="JQ405" s="39">
        <f t="shared" si="1334"/>
        <v>3475.488346428313</v>
      </c>
      <c r="JR405" s="39">
        <f t="shared" si="1335"/>
        <v>104.8638449378268</v>
      </c>
      <c r="JS405" s="39">
        <f t="shared" si="1336"/>
        <v>4.5730737925204554</v>
      </c>
      <c r="JT405" s="39">
        <f t="shared" si="1324"/>
        <v>0.24504701627010853</v>
      </c>
      <c r="JU405" s="385">
        <f>(JQ405*JM405-INDEX(Input!$1:$1048576,Input!A$18,$C405*2+6)*JL405*INDEX(Input!$1:$1048576,Input!A$19,$C405*2+6))/1000000</f>
        <v>6.5325065952435954</v>
      </c>
      <c r="JV405" s="39">
        <f t="shared" si="1300"/>
        <v>-0.12336812850605838</v>
      </c>
      <c r="JW405" s="1">
        <f t="shared" ref="JW405" si="1343">JV405/(JU405-JV405)</f>
        <v>-1.8535223937712234E-2</v>
      </c>
      <c r="JX405" s="19">
        <f t="shared" si="1340"/>
        <v>11899.02638195956</v>
      </c>
      <c r="JZ405" s="468">
        <f>(IA405+HR405)/SUM(HP405:HR405,HY405:IA405)*IN405</f>
        <v>45.833517428011774</v>
      </c>
      <c r="KA405" s="469">
        <f>JH405/(JZ405/BX405)</f>
        <v>2.3202914019666445</v>
      </c>
      <c r="KB405" s="469">
        <f>KB404</f>
        <v>2.3451977905499271</v>
      </c>
      <c r="KC405" s="469">
        <f>MIN(KE404+1)</f>
        <v>4.5421087848024602</v>
      </c>
      <c r="KD405" s="469">
        <f>KC405+2</f>
        <v>6.5421087848024602</v>
      </c>
      <c r="KE405" s="469">
        <f>MIN(MAX(KA405,KC405),KD405)</f>
        <v>4.5421087848024602</v>
      </c>
      <c r="KF405" s="470">
        <f>A405</f>
        <v>4005</v>
      </c>
      <c r="KG405" s="471">
        <f>(JH405/KA405*KE405-JH405)/MAX(IL405:IN405)*1000</f>
        <v>1.0341071920595567E-2</v>
      </c>
      <c r="KH405" s="472"/>
      <c r="KI405" s="473">
        <f t="shared" si="1338"/>
        <v>-10.832745685066357</v>
      </c>
      <c r="KJ405" s="473">
        <f t="shared" si="1325"/>
        <v>-0.47576606388145137</v>
      </c>
      <c r="KK405" s="473">
        <f t="shared" si="1326"/>
        <v>31.902382911518714</v>
      </c>
      <c r="KL405" s="472" t="str">
        <f>IF(OR(KI405&gt;0,KJ405&gt;0),"Error - Adjust TR","ok")</f>
        <v>ok</v>
      </c>
      <c r="KN405" s="544">
        <f t="shared" si="1341"/>
        <v>4002</v>
      </c>
      <c r="KO405" s="541">
        <f t="shared" si="1301"/>
        <v>-5.9092679631034262E-2</v>
      </c>
      <c r="KP405" s="546">
        <f t="shared" si="1302"/>
        <v>-344.44772687370863</v>
      </c>
      <c r="KQ405" s="546">
        <f t="shared" si="1303"/>
        <v>-290.7319080263087</v>
      </c>
      <c r="KR405" s="548">
        <f t="shared" si="1304"/>
        <v>2.9115506981363266</v>
      </c>
      <c r="KS405" s="548">
        <f t="shared" si="1305"/>
        <v>3.4494907231161762</v>
      </c>
      <c r="KT405" s="473">
        <f t="shared" si="1339"/>
        <v>1050.27685337919</v>
      </c>
      <c r="KU405" s="663">
        <f t="shared" si="1327"/>
        <v>6.3918844991438064</v>
      </c>
      <c r="KV405" s="117"/>
    </row>
    <row r="406" spans="1:310" s="26" customFormat="1" ht="15">
      <c r="A406" s="561">
        <f t="shared" si="1306"/>
        <v>4006</v>
      </c>
      <c r="B406" s="561">
        <f t="shared" si="1328"/>
        <v>6</v>
      </c>
      <c r="C406" s="561">
        <f t="shared" si="1329"/>
        <v>4</v>
      </c>
      <c r="D406" s="561" t="s">
        <v>742</v>
      </c>
      <c r="E406" s="115">
        <f>INDEX(Input!$1:$1048576,E$93,$C406*2+MIN($B406,1)+5)</f>
        <v>750</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1.8999999999999996E-2</v>
      </c>
      <c r="W406" s="862">
        <f>INDEX(Input!$1:$1048576,W$93,$C406*2+MIN($B406,1)+5)</f>
        <v>3.9E-2</v>
      </c>
      <c r="X406" s="118" t="str">
        <f>INDEX(Input!$1:$1048576,X$93,$C406*2+MIN($B406,1)+5)</f>
        <v>Y</v>
      </c>
      <c r="Y406" s="150">
        <f>INDEX(Input!$1:$1048576,Y$93,$C406*2+MIN($B406,1)+5)</f>
        <v>-2070</v>
      </c>
      <c r="Z406" s="477">
        <f>INDEX(Input!$1:$1048576,Z$93,$C406*2+MIN($B406,1)+5)+500</f>
        <v>500</v>
      </c>
      <c r="AA406" s="115">
        <f>INDEX(Input!$1:$1048576,AA$93,$C406*2+MIN($B406,1)+5)</f>
        <v>0</v>
      </c>
      <c r="AB406" s="118">
        <f>INDEX(Input!$1:$1048576,AB$93,$C406*2+MIN($B406,1)+5)</f>
        <v>1</v>
      </c>
      <c r="AC406" s="115">
        <f>INDEX(Input!$1:$1048576,AC$93,$C406*2+MIN($B406,1)+5)</f>
        <v>1000</v>
      </c>
      <c r="AD406" s="118">
        <f>INDEX(Input!$1:$1048576,AD$93,$C406*2+MIN($B406,1)+5)</f>
        <v>0.35</v>
      </c>
      <c r="AE406" s="115">
        <f>INDEX(Input!$1:$1048576,AE$93,$C406*2+MIN($B406,1)+5)</f>
        <v>0</v>
      </c>
      <c r="AF406" s="118">
        <f>INDEX(Input!$1:$1048576,AF$93,$C406*2+MIN($B406,1)+5)</f>
        <v>1</v>
      </c>
      <c r="AG406" s="115">
        <f>INDEX(Input!$1:$1048576,AG$93,$C406*2+MIN($B406,1)+5)</f>
        <v>500</v>
      </c>
      <c r="AH406" s="118">
        <f>INDEX(Input!$1:$1048576,AH$93,$C406*2+MIN($B406,1)+5)</f>
        <v>1</v>
      </c>
      <c r="AI406" s="115">
        <f>INDEX(Input!$1:$1048576,AI$93,$C406*2+MIN($B406,1)+5)</f>
        <v>500</v>
      </c>
      <c r="AJ406" s="118">
        <f>INDEX(Input!$1:$1048576,AJ$93,$C406*2+MIN($B406,1)+5)</f>
        <v>0.35</v>
      </c>
      <c r="AK406" s="150">
        <f>ROUND(INDEX(Input!$1:$1048576,AK$93,$C405*2+MIN($B406,1)+5)+(Y406-VLOOKUP($C406*1000+1,$A:$HH,Y$92,FALSE)),0)</f>
        <v>4739</v>
      </c>
      <c r="AL406" s="150">
        <f>ROUND(INDEX(Input!$1:$1048576,AL$93,$C405*2+MIN($B406,1)+5)-(Y406-VLOOKUP($C406*1000+1,$A:$HH,Y$92,FALSE))/36,0)</f>
        <v>4739</v>
      </c>
      <c r="AM406" s="32" t="str">
        <f t="shared" si="1307"/>
        <v>std/std/std/std</v>
      </c>
      <c r="AN406" s="32" t="str">
        <f t="shared" si="1308"/>
        <v>$0 + 0/0/0/1.9/3.9</v>
      </c>
      <c r="AO406" s="32" t="str">
        <f t="shared" si="1309"/>
        <v>0/0/0/1.9/3.9</v>
      </c>
      <c r="AP406" s="32" t="str">
        <f t="shared" si="1125"/>
        <v>0/0.9/1.9/3.9</v>
      </c>
      <c r="AQ406" s="536">
        <f t="shared" si="1124"/>
        <v>850.45054353750459</v>
      </c>
      <c r="AR406" s="32"/>
      <c r="AS406" s="302"/>
      <c r="AT406" s="3">
        <f t="shared" si="1330"/>
        <v>6</v>
      </c>
      <c r="AU406" s="41" t="s">
        <v>121</v>
      </c>
      <c r="AV406" s="41" t="s">
        <v>116</v>
      </c>
      <c r="AW406" s="41" t="str">
        <f>INDEX(Input!$1:$1048576,AW$93,$C406*2+6)</f>
        <v>Kia</v>
      </c>
      <c r="AX406" s="41" t="str">
        <f>INDEX(Input!$1:$1048576,AX$93,$C406*2+6)</f>
        <v>Kia-LR - R1</v>
      </c>
      <c r="AY406" s="41" t="str">
        <f>IF(LEN(D406)=0,"",INDEX(Input!$1:$1048576,AY$93,$C406*2+6))</f>
        <v>Compact Conventional/Sporty Car (43)</v>
      </c>
      <c r="AZ406" s="41" t="str">
        <f>INDEX(Input!$1:$1048576,AZ$93,$C406*2+6)</f>
        <v>Kia Forte</v>
      </c>
      <c r="BA406" s="3">
        <f>INDEX(Input!$1:$1048576,BA$93,$C406*2+6)</f>
        <v>2020</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19695</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1126"/>
        <v>1410</v>
      </c>
      <c r="CJ406" s="16" t="str">
        <f>INDEX(Input!$1:$1048576,CJ$93,$C406*2+6)</f>
        <v>N</v>
      </c>
      <c r="CK406" s="1" t="str">
        <f t="shared" si="1127"/>
        <v>Market</v>
      </c>
      <c r="CL406" s="1" t="str">
        <f t="shared" si="1128"/>
        <v>Market</v>
      </c>
      <c r="CM406" s="1" t="str">
        <f t="shared" si="1129"/>
        <v>Market</v>
      </c>
      <c r="CN406" s="1" t="str">
        <f t="shared" si="1130"/>
        <v>Market</v>
      </c>
      <c r="CO406" s="1" t="str">
        <f t="shared" si="1131"/>
        <v>Market</v>
      </c>
      <c r="CP406" s="304">
        <f t="shared" si="1132"/>
        <v>350</v>
      </c>
      <c r="CQ406" s="1">
        <f t="shared" si="1133"/>
        <v>0</v>
      </c>
      <c r="CR406" s="1">
        <f t="shared" si="1134"/>
        <v>0</v>
      </c>
      <c r="CS406" s="1">
        <f t="shared" si="1135"/>
        <v>0</v>
      </c>
      <c r="CT406" s="1">
        <f t="shared" si="1136"/>
        <v>1.8999999999999996E-2</v>
      </c>
      <c r="CU406" s="1">
        <f t="shared" si="1137"/>
        <v>3.9E-2</v>
      </c>
      <c r="CV406" s="304">
        <f t="shared" si="1138"/>
        <v>-1895</v>
      </c>
      <c r="CW406" s="20" t="s">
        <v>122</v>
      </c>
      <c r="CX406" s="20" t="s">
        <v>122</v>
      </c>
      <c r="CY406" s="20" t="s">
        <v>122</v>
      </c>
      <c r="CZ406" s="20" t="s">
        <v>122</v>
      </c>
      <c r="DA406" s="20" t="s">
        <v>122</v>
      </c>
      <c r="DB406" s="503">
        <f t="shared" si="1139"/>
        <v>1000</v>
      </c>
      <c r="DC406" s="127">
        <v>0</v>
      </c>
      <c r="DD406" s="127">
        <v>0</v>
      </c>
      <c r="DE406" s="127">
        <v>0</v>
      </c>
      <c r="DF406" s="127">
        <v>0</v>
      </c>
      <c r="DG406" s="127">
        <v>0</v>
      </c>
      <c r="DH406" s="127">
        <v>0</v>
      </c>
      <c r="DI406" s="127">
        <v>0</v>
      </c>
      <c r="DJ406" s="127">
        <v>0</v>
      </c>
      <c r="DK406" s="127">
        <v>0</v>
      </c>
      <c r="DL406" s="127">
        <v>0</v>
      </c>
      <c r="DM406" s="304">
        <f>INDEX(Input!$1:$1048576,DM$93,$C406*2+6)</f>
        <v>20731.578947368424</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4.5731832457483898E-2</v>
      </c>
      <c r="DZ406" s="7">
        <v>0</v>
      </c>
      <c r="EA406" s="7">
        <v>0.82381460227366576</v>
      </c>
      <c r="EB406" s="7">
        <v>0</v>
      </c>
      <c r="EC406" s="7">
        <v>0</v>
      </c>
      <c r="ED406" s="7">
        <v>0</v>
      </c>
      <c r="EE406" s="7">
        <v>0</v>
      </c>
      <c r="EF406" s="7">
        <v>0</v>
      </c>
      <c r="EG406" s="7">
        <v>0</v>
      </c>
      <c r="EH406" s="7">
        <v>1.2249385241136864E-2</v>
      </c>
      <c r="EI406" s="7">
        <v>1.9662206258684738E-2</v>
      </c>
      <c r="EJ406" s="7">
        <v>0.18467926150871433</v>
      </c>
      <c r="EK406" s="7">
        <v>0.7251723664490114</v>
      </c>
      <c r="EL406" s="7">
        <v>5.8236780542452404E-2</v>
      </c>
      <c r="EM406" s="7">
        <v>3.1216149981176194E-2</v>
      </c>
      <c r="EN406" s="7">
        <v>4.7227860933289491E-2</v>
      </c>
      <c r="EO406" s="7">
        <v>0.57040341261618721</v>
      </c>
      <c r="EP406" s="7">
        <v>0.27007711317580979</v>
      </c>
      <c r="EQ406" s="7">
        <v>6.7530297227485547E-2</v>
      </c>
      <c r="ER406" s="7">
        <v>4.4761316047228078E-2</v>
      </c>
      <c r="ES406" s="7">
        <v>9.9237415287674227E-2</v>
      </c>
      <c r="ET406" s="7">
        <v>0.13045356526885041</v>
      </c>
      <c r="EU406" s="6">
        <v>1699.9999999999998</v>
      </c>
      <c r="EV406" s="6">
        <v>0</v>
      </c>
      <c r="EW406" s="6">
        <v>1699.9999999999998</v>
      </c>
      <c r="EX406" s="6">
        <v>0</v>
      </c>
      <c r="EY406" s="6">
        <v>2695.5848686656018</v>
      </c>
      <c r="EZ406" s="6">
        <v>-71</v>
      </c>
      <c r="FA406" s="6">
        <v>0</v>
      </c>
      <c r="FB406" s="6">
        <v>0</v>
      </c>
      <c r="FC406" s="6">
        <v>0</v>
      </c>
      <c r="FD406" s="6">
        <v>0</v>
      </c>
      <c r="FE406" s="6">
        <v>0</v>
      </c>
      <c r="FF406" s="6">
        <v>0</v>
      </c>
      <c r="FG406" s="6">
        <v>0</v>
      </c>
      <c r="FH406" s="6">
        <v>1153.2503000767035</v>
      </c>
      <c r="FI406" s="6">
        <v>1531.4299904380614</v>
      </c>
      <c r="FJ406" s="6">
        <v>2070.7205842538224</v>
      </c>
      <c r="FK406" s="6">
        <v>1746.9903521590445</v>
      </c>
      <c r="FL406" s="6">
        <v>893.91433563489386</v>
      </c>
      <c r="FM406" s="6">
        <v>1745.584868665602</v>
      </c>
      <c r="FN406" s="6">
        <v>0</v>
      </c>
      <c r="FO406" s="6">
        <v>0</v>
      </c>
      <c r="FP406" s="6">
        <v>0</v>
      </c>
      <c r="FQ406" s="6">
        <v>0</v>
      </c>
      <c r="FR406" s="6">
        <v>0</v>
      </c>
      <c r="FS406" s="6">
        <v>0</v>
      </c>
      <c r="FT406" s="7">
        <v>0.86954643473114968</v>
      </c>
      <c r="FU406" s="7">
        <v>3.1216149981176194E-2</v>
      </c>
      <c r="FV406" s="7">
        <v>9.9237415287674227E-2</v>
      </c>
      <c r="FW406" s="6">
        <v>1699.9999999999998</v>
      </c>
      <c r="FX406" s="6">
        <v>2695.5848686656018</v>
      </c>
      <c r="FY406" s="6">
        <v>-71</v>
      </c>
      <c r="FZ406" s="6">
        <v>1695.8504614767719</v>
      </c>
      <c r="GA406" s="6">
        <v>1555.3288641047839</v>
      </c>
      <c r="GB406" s="6">
        <v>18139.671135895216</v>
      </c>
      <c r="GC406" s="7">
        <v>8.1891069685915169E-2</v>
      </c>
      <c r="GD406" s="7">
        <v>8.0747691816003178E-2</v>
      </c>
      <c r="GE406" s="7"/>
      <c r="GF406" s="7"/>
      <c r="GG406" s="7">
        <v>-1.3962180177854553E-2</v>
      </c>
      <c r="GH406" s="42">
        <v>1.9568887896634579</v>
      </c>
      <c r="GI406" s="6">
        <v>11619.774071227199</v>
      </c>
      <c r="GJ406" s="14">
        <v>0.5107463060103955</v>
      </c>
      <c r="GK406" s="14">
        <v>0.5082951978616097</v>
      </c>
      <c r="GL406" s="14">
        <v>0.48925369398960439</v>
      </c>
      <c r="GM406" s="14">
        <v>0.49170480213839035</v>
      </c>
      <c r="GO406" s="5">
        <v>338.16872463277008</v>
      </c>
      <c r="GP406" s="5">
        <v>305.73596776409454</v>
      </c>
      <c r="GQ406" s="5">
        <v>527.27910984145694</v>
      </c>
      <c r="GR406" s="5">
        <v>404.20319246551543</v>
      </c>
      <c r="GS406" s="5">
        <v>334.50205195691484</v>
      </c>
      <c r="GT406" s="5">
        <v>289.18266033348181</v>
      </c>
      <c r="GU406" s="5">
        <v>254.29573314828914</v>
      </c>
      <c r="GV406" s="39" t="s">
        <v>392</v>
      </c>
      <c r="GW406" s="5">
        <v>465.98611111111109</v>
      </c>
      <c r="GX406" s="5">
        <v>349.48958333333331</v>
      </c>
      <c r="GY406" s="5">
        <v>279.59166666666664</v>
      </c>
      <c r="GZ406" s="5">
        <v>246.71014134007967</v>
      </c>
      <c r="HA406" s="5">
        <v>228.52966821545911</v>
      </c>
      <c r="HB406" s="39">
        <v>256.43077134663042</v>
      </c>
      <c r="HC406" s="5">
        <v>286.22187499999995</v>
      </c>
      <c r="HD406" s="5">
        <v>238.44574195906426</v>
      </c>
      <c r="HE406" s="5">
        <v>239.43471238191628</v>
      </c>
      <c r="HF406" s="5">
        <v>219.34504934210526</v>
      </c>
      <c r="HG406" s="5">
        <v>208.93576754385964</v>
      </c>
      <c r="HH406" s="39">
        <v>238.35842406205342</v>
      </c>
      <c r="HI406" s="16"/>
      <c r="HJ406" s="19" t="str">
        <f t="shared" si="1331"/>
        <v>On</v>
      </c>
      <c r="HK406" s="1" t="str">
        <f t="shared" si="1331"/>
        <v>On</v>
      </c>
      <c r="HL406" s="16"/>
      <c r="HM406" s="639">
        <f t="shared" si="1278"/>
        <v>6.6115095157691428E-2</v>
      </c>
      <c r="HN406" s="639">
        <f t="shared" si="1279"/>
        <v>2.3720927871164412E-3</v>
      </c>
      <c r="HO406" s="639">
        <f t="shared" si="1280"/>
        <v>7.7231033444443466E-3</v>
      </c>
      <c r="HP406" s="644">
        <f>(FT406*$GD406-HM406)/$JF406*INDEX(Input!$1:$1048576,$JG$93,$C406*2+6)</f>
        <v>99.981481684123921</v>
      </c>
      <c r="HQ406" s="644">
        <f>(FU406*$GD406-HN406)/$JF406*INDEX(Input!$1:$1048576,$JG$93,$C406*2+6)</f>
        <v>3.6233230522334123</v>
      </c>
      <c r="HR406" s="644">
        <f>(FV406*$GD406-HO406)/$JF406*INDEX(Input!$1:$1048576,$JG$93,$C406*2+6)</f>
        <v>7.076147094876835</v>
      </c>
      <c r="HS406" s="644">
        <f t="shared" si="1281"/>
        <v>-26.344502652978885</v>
      </c>
      <c r="HT406" s="644">
        <f t="shared" si="1282"/>
        <v>80.198510841278036</v>
      </c>
      <c r="HU406" s="644">
        <f t="shared" si="1283"/>
        <v>13.19823587449012</v>
      </c>
      <c r="HV406" s="648">
        <f t="shared" si="1284"/>
        <v>0</v>
      </c>
      <c r="HW406" s="648">
        <f t="shared" si="1285"/>
        <v>0</v>
      </c>
      <c r="HX406" s="648">
        <f t="shared" si="1286"/>
        <v>0</v>
      </c>
      <c r="HY406" s="644">
        <f>INDEX(Input!$1:$1048576,HY$93,$C406*2+6)*INDEX(Input!$1:$1048576,$JG$93,$C406*2+6)</f>
        <v>844</v>
      </c>
      <c r="HZ406" s="644">
        <f>INDEX(Input!$1:$1048576,HZ$93,$C406*2+6)*INDEX(Input!$1:$1048576,$JG$93,$C406*2+6)</f>
        <v>865</v>
      </c>
      <c r="IA406" s="644">
        <f>INDEX(Input!$1:$1048576,IA$93,$C406*2+6)*INDEX(Input!$1:$1048576,$JG$93,$C406*2+6)</f>
        <v>150</v>
      </c>
      <c r="IB406" s="644">
        <f t="shared" si="1310"/>
        <v>917.63697903114519</v>
      </c>
      <c r="IC406" s="644">
        <f t="shared" si="1311"/>
        <v>948.82183389351144</v>
      </c>
      <c r="ID406" s="644">
        <f>IF(AND(INDEX(Input!$1:$1048576,IA$93,$C406*2+7)="TOS",Y406&lt;=INDEX(Y:Y,MATCH(C406*1000+2,A:A))),0,1)*MAX(IA406+HR406+HU406+HX406,0%)</f>
        <v>170.27438296936694</v>
      </c>
      <c r="IE406" s="128">
        <f t="shared" si="1342"/>
        <v>0.45054353750460113</v>
      </c>
      <c r="IF406" s="128">
        <f t="shared" si="1333"/>
        <v>0.46585475005086574</v>
      </c>
      <c r="IG406" s="128">
        <f t="shared" si="1288"/>
        <v>8.360171244453303E-2</v>
      </c>
      <c r="IH406" s="21"/>
      <c r="II406" s="19">
        <f t="shared" si="1289"/>
        <v>1199.9999999999998</v>
      </c>
      <c r="IJ406" s="19">
        <f t="shared" si="1290"/>
        <v>2195.4782357510435</v>
      </c>
      <c r="IK406" s="19">
        <f t="shared" si="1291"/>
        <v>-571</v>
      </c>
      <c r="IL406" s="19">
        <f t="shared" si="1313"/>
        <v>500</v>
      </c>
      <c r="IM406" s="19">
        <f t="shared" si="1292"/>
        <v>500.1066329145583</v>
      </c>
      <c r="IN406" s="19">
        <f t="shared" si="1293"/>
        <v>500</v>
      </c>
      <c r="IO406" s="39">
        <f t="shared" si="1294"/>
        <v>0</v>
      </c>
      <c r="IP406" s="39">
        <f t="shared" si="1295"/>
        <v>0</v>
      </c>
      <c r="IQ406" s="39">
        <f t="shared" si="1296"/>
        <v>0</v>
      </c>
      <c r="IR406" s="39">
        <v>0</v>
      </c>
      <c r="IS406" s="39">
        <v>0</v>
      </c>
      <c r="IT406" s="39">
        <v>0</v>
      </c>
      <c r="IU406" s="39">
        <v>0</v>
      </c>
      <c r="IV406" s="39">
        <v>0</v>
      </c>
      <c r="IW406" s="39">
        <v>0</v>
      </c>
      <c r="IX406" s="39">
        <f>INDEX(Input!$1:$1048576,IX$93,$C406*2+6)+INDEX(Input!$1:$1048576,IX$94,$C406*2+6)</f>
        <v>1600</v>
      </c>
      <c r="IY406" s="39">
        <f>INDEX(Input!$1:$1048576,IY$93,$C406*2+6)+INDEX(Input!$1:$1048576,IY$94,$C406*2+6)</f>
        <v>2503.549291639752</v>
      </c>
      <c r="IZ406" s="39">
        <f>INDEX(Input!$1:$1048576,IZ$93,$C406*2+6)+INDEX(Input!$1:$1048576,IZ$94,$C406*2+6)</f>
        <v>5413.7109265464023</v>
      </c>
      <c r="JA406" s="19">
        <f t="shared" si="1314"/>
        <v>2100</v>
      </c>
      <c r="JB406" s="19">
        <f t="shared" si="1315"/>
        <v>3003.6559245543103</v>
      </c>
      <c r="JC406" s="19">
        <f t="shared" si="1316"/>
        <v>5913.7109265464023</v>
      </c>
      <c r="JD406" s="19">
        <f t="shared" si="1317"/>
        <v>2839.8051690929378</v>
      </c>
      <c r="JE406" s="21"/>
      <c r="JF406" s="1">
        <f t="shared" si="1297"/>
        <v>7.6210291289252219E-2</v>
      </c>
      <c r="JG406" s="15">
        <f>INDEX(Input!$1:$1048576,JG$93,$C406*2+6)/(1+VLOOKUP(C406*1000+INDEX(Input!$1:$1048576,JG$93+1,$C406*2+6),$A:$KK,$JK$92,FALSE))</f>
        <v>1859</v>
      </c>
      <c r="JH406" s="1">
        <f t="shared" si="1318"/>
        <v>5.9537897703730053E-2</v>
      </c>
      <c r="JI406" s="1">
        <f t="shared" si="1319"/>
        <v>3.6068985509838232E-2</v>
      </c>
      <c r="JJ406" s="1">
        <f t="shared" si="1320"/>
        <v>0</v>
      </c>
      <c r="JK406" s="1">
        <f t="shared" ref="JK406:JK407" si="1344">SUM(JH406:JJ406)</f>
        <v>9.5606883213568278E-2</v>
      </c>
      <c r="JL406" s="15">
        <f t="shared" si="1322"/>
        <v>177.73319589402342</v>
      </c>
      <c r="JM406" s="15">
        <f>JG406+JL406</f>
        <v>2036.7331958940235</v>
      </c>
      <c r="JN406" s="21"/>
      <c r="JO406" s="19">
        <f>INDEX(Input!$1:$1048576,JO$93,$C406*2+6)</f>
        <v>5908.5</v>
      </c>
      <c r="JP406" s="19">
        <f>INDEX(Input!$1:$1048576,JP$93,$C406*2+6)</f>
        <v>2328.1478086338602</v>
      </c>
      <c r="JQ406" s="39">
        <f t="shared" si="1334"/>
        <v>3068.6948309070622</v>
      </c>
      <c r="JR406" s="39">
        <f>JD406-JP406</f>
        <v>511.65736045907761</v>
      </c>
      <c r="JS406" s="39">
        <f t="shared" si="1336"/>
        <v>5.7839254577630275</v>
      </c>
      <c r="JT406" s="39">
        <f t="shared" si="1324"/>
        <v>1.4558986815126809</v>
      </c>
      <c r="JU406" s="385">
        <f>(JQ406*JM406-INDEX(Input!$1:$1048576,Input!A$18,$C406*2+6)*JL406*INDEX(Input!$1:$1048576,Input!A$19,$C406*2+6))/1000000</f>
        <v>6.2501126301768108</v>
      </c>
      <c r="JV406" s="39">
        <f t="shared" si="1300"/>
        <v>-0.40576209357284299</v>
      </c>
      <c r="JW406" s="1">
        <f>JV406/(JU406-JV406)</f>
        <v>-6.0963000419012217E-2</v>
      </c>
      <c r="JX406" s="19">
        <f t="shared" si="1340"/>
        <v>8191.4842873853813</v>
      </c>
      <c r="JZ406" s="468">
        <f>DB406-DB401</f>
        <v>500</v>
      </c>
      <c r="KA406" s="469">
        <f>JH406/(JZ406/BX406)</f>
        <v>2.3451977905499271</v>
      </c>
      <c r="KB406" s="469">
        <f t="shared" si="1337"/>
        <v>2.3451977905499271</v>
      </c>
      <c r="KI406" s="473">
        <f t="shared" si="1338"/>
        <v>73.636979031145074</v>
      </c>
      <c r="KJ406" s="473">
        <f t="shared" si="1325"/>
        <v>83.821833893511325</v>
      </c>
      <c r="KK406" s="473">
        <f t="shared" si="1326"/>
        <v>20.274382969366911</v>
      </c>
      <c r="KN406" s="544">
        <f t="shared" si="1341"/>
        <v>4002</v>
      </c>
      <c r="KO406" s="541">
        <f t="shared" si="1301"/>
        <v>1.9569814020431453E-2</v>
      </c>
      <c r="KP406" s="546">
        <f t="shared" si="1302"/>
        <v>106.27281512491577</v>
      </c>
      <c r="KQ406" s="546">
        <f t="shared" si="1303"/>
        <v>116.06160749494211</v>
      </c>
      <c r="KR406" s="548">
        <f t="shared" si="1304"/>
        <v>3.1252049905913353</v>
      </c>
      <c r="KS406" s="548">
        <f t="shared" si="1305"/>
        <v>2.8616209904472578</v>
      </c>
      <c r="KT406" s="473">
        <f t="shared" si="1339"/>
        <v>1050.27685337919</v>
      </c>
      <c r="KU406" s="663">
        <f t="shared" si="1327"/>
        <v>6.5139124170048115</v>
      </c>
      <c r="KV406" s="117"/>
    </row>
    <row r="407" spans="1:310" s="26" customFormat="1" ht="15">
      <c r="A407" s="561">
        <f t="shared" si="1306"/>
        <v>4007</v>
      </c>
      <c r="B407" s="561">
        <f t="shared" si="1328"/>
        <v>7</v>
      </c>
      <c r="C407" s="561">
        <f t="shared" si="1329"/>
        <v>4</v>
      </c>
      <c r="D407" s="561" t="s">
        <v>634</v>
      </c>
      <c r="E407" s="475">
        <f>INDEX(Input!$1:$1048576,E$93,$C407*2+MIN($B407,1)+5)</f>
        <v>750</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1.8999999999999996E-2</v>
      </c>
      <c r="W407" s="863">
        <f>IFERROR(MAX(0,INDEX(Input!$1:$1048576,W$93,$C407*2+MIN($B407,1)+5)-0%),"Market")</f>
        <v>3.9E-2</v>
      </c>
      <c r="X407" s="476" t="str">
        <f>INDEX(Input!$1:$1048576,X$93,$C407*2+MIN($B407,1)+5)</f>
        <v>Y</v>
      </c>
      <c r="Y407" s="475">
        <f>INDEX(Input!$1:$1048576,Y$93,$C407*2+MIN($B407,1)+5)</f>
        <v>-2070</v>
      </c>
      <c r="Z407" s="477">
        <f>INDEX(Input!$1:$1048576,Z$93,$C407*2+MIN($B407,1)+5)</f>
        <v>0</v>
      </c>
      <c r="AA407" s="475">
        <f>INDEX(Input!$1:$1048576,AA$93,$C407*2+MIN($B407,1)+5)</f>
        <v>0</v>
      </c>
      <c r="AB407" s="476">
        <f>INDEX(Input!$1:$1048576,AB$93,$C407*2+MIN($B407,1)+5)</f>
        <v>1</v>
      </c>
      <c r="AC407" s="475">
        <f>INDEX(Input!$1:$1048576,AC$93,$C407*2+MIN($B407,1)+5)</f>
        <v>1000</v>
      </c>
      <c r="AD407" s="476">
        <f>INDEX(Input!$1:$1048576,AD$93,$C407*2+MIN($B407,1)+5)</f>
        <v>0.35</v>
      </c>
      <c r="AE407" s="475">
        <f>INDEX(Input!$1:$1048576,AE$93,$C407*2+MIN($B407,1)+5)</f>
        <v>0</v>
      </c>
      <c r="AF407" s="476">
        <f>INDEX(Input!$1:$1048576,AF$93,$C407*2+MIN($B407,1)+5)</f>
        <v>1</v>
      </c>
      <c r="AG407" s="475">
        <f>INDEX(Input!$1:$1048576,AG$93,$C407*2+MIN($B407,1)+5)</f>
        <v>500</v>
      </c>
      <c r="AH407" s="476">
        <f>INDEX(Input!$1:$1048576,AH$93,$C407*2+MIN($B407,1)+5)</f>
        <v>1</v>
      </c>
      <c r="AI407" s="475">
        <f>INDEX(Input!$1:$1048576,AI$93,$C407*2+MIN($B407,1)+5)</f>
        <v>500</v>
      </c>
      <c r="AJ407" s="476">
        <f>INDEX(Input!$1:$1048576,AJ$93,$C407*2+MIN($B407,1)+5)</f>
        <v>0.35</v>
      </c>
      <c r="AK407" s="150">
        <f>ROUND(INDEX(Input!$1:$1048576,AK$93,$C406*2+MIN($B407,1)+5)+(Y407-VLOOKUP($C407*1000+1,$A:$HH,Y$92,FALSE)),0)</f>
        <v>4739</v>
      </c>
      <c r="AL407" s="150">
        <f>ROUND(INDEX(Input!$1:$1048576,AL$93,$C406*2+MIN($B407,1)+5)-(Y407-VLOOKUP($C407*1000+1,$A:$HH,Y$92,FALSE))/36,0)</f>
        <v>4739</v>
      </c>
      <c r="AM407" s="32" t="str">
        <f t="shared" si="1307"/>
        <v>std/std/std/std</v>
      </c>
      <c r="AN407" s="32" t="str">
        <f t="shared" si="1308"/>
        <v>$0 + 0/0/0/1.9/3.9</v>
      </c>
      <c r="AO407" s="32" t="str">
        <f t="shared" si="1309"/>
        <v>0/0/0/1.9/3.9</v>
      </c>
      <c r="AP407" s="32" t="str">
        <f t="shared" si="1125"/>
        <v>0/0.9/1.9/3.9</v>
      </c>
      <c r="AQ407" s="536">
        <f t="shared" si="1124"/>
        <v>850.45400753093054</v>
      </c>
      <c r="AR407" s="32"/>
      <c r="AS407" s="302"/>
      <c r="AT407" s="3">
        <f t="shared" si="1330"/>
        <v>7</v>
      </c>
      <c r="AU407" s="41" t="s">
        <v>121</v>
      </c>
      <c r="AV407" s="41" t="s">
        <v>116</v>
      </c>
      <c r="AW407" s="41" t="str">
        <f>INDEX(Input!$1:$1048576,AW$93,$C407*2+6)</f>
        <v>Kia</v>
      </c>
      <c r="AX407" s="41" t="str">
        <f>INDEX(Input!$1:$1048576,AX$93,$C407*2+6)</f>
        <v>Kia-LR - R1</v>
      </c>
      <c r="AY407" s="41" t="str">
        <f>IF(LEN(D407)=0,"",INDEX(Input!$1:$1048576,AY$93,$C407*2+6))</f>
        <v>Compact Conventional/Sporty Car (43)</v>
      </c>
      <c r="AZ407" s="41" t="str">
        <f>INDEX(Input!$1:$1048576,AZ$93,$C407*2+6)</f>
        <v>Kia Forte</v>
      </c>
      <c r="BA407" s="3">
        <f>INDEX(Input!$1:$1048576,BA$93,$C407*2+6)</f>
        <v>2020</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19695</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1126"/>
        <v>1410</v>
      </c>
      <c r="CJ407" s="16" t="str">
        <f>INDEX(Input!$1:$1048576,CJ$93,$C407*2+6)</f>
        <v>N</v>
      </c>
      <c r="CK407" s="1" t="str">
        <f t="shared" si="1127"/>
        <v>Market</v>
      </c>
      <c r="CL407" s="1" t="str">
        <f t="shared" si="1128"/>
        <v>Market</v>
      </c>
      <c r="CM407" s="1" t="str">
        <f t="shared" si="1129"/>
        <v>Market</v>
      </c>
      <c r="CN407" s="1" t="str">
        <f t="shared" si="1130"/>
        <v>Market</v>
      </c>
      <c r="CO407" s="1" t="str">
        <f t="shared" si="1131"/>
        <v>Market</v>
      </c>
      <c r="CP407" s="304">
        <f t="shared" si="1132"/>
        <v>350</v>
      </c>
      <c r="CQ407" s="1">
        <f t="shared" si="1133"/>
        <v>0</v>
      </c>
      <c r="CR407" s="1">
        <f t="shared" si="1134"/>
        <v>0</v>
      </c>
      <c r="CS407" s="1">
        <f t="shared" si="1135"/>
        <v>0</v>
      </c>
      <c r="CT407" s="1">
        <f t="shared" si="1136"/>
        <v>1.8999999999999996E-2</v>
      </c>
      <c r="CU407" s="1">
        <f t="shared" si="1137"/>
        <v>3.9E-2</v>
      </c>
      <c r="CV407" s="304">
        <f t="shared" si="1138"/>
        <v>-1895</v>
      </c>
      <c r="CW407" s="20" t="s">
        <v>122</v>
      </c>
      <c r="CX407" s="20" t="s">
        <v>122</v>
      </c>
      <c r="CY407" s="20" t="s">
        <v>122</v>
      </c>
      <c r="CZ407" s="20" t="s">
        <v>122</v>
      </c>
      <c r="DA407" s="20" t="s">
        <v>122</v>
      </c>
      <c r="DB407" s="503">
        <f t="shared" si="1139"/>
        <v>500</v>
      </c>
      <c r="DC407" s="127">
        <v>0</v>
      </c>
      <c r="DD407" s="127">
        <v>0</v>
      </c>
      <c r="DE407" s="127">
        <v>0</v>
      </c>
      <c r="DF407" s="127">
        <v>0</v>
      </c>
      <c r="DG407" s="127">
        <v>0</v>
      </c>
      <c r="DH407" s="127">
        <v>0</v>
      </c>
      <c r="DI407" s="127">
        <v>0</v>
      </c>
      <c r="DJ407" s="127">
        <v>0</v>
      </c>
      <c r="DK407" s="127">
        <v>0</v>
      </c>
      <c r="DL407" s="127">
        <v>0</v>
      </c>
      <c r="DM407" s="304">
        <f>INDEX(Input!$1:$1048576,DM$93,$C407*2+6)</f>
        <v>20731.578947368424</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4.5247322037539006E-2</v>
      </c>
      <c r="DZ407" s="7">
        <v>0</v>
      </c>
      <c r="EA407" s="7">
        <v>0.82228767932802471</v>
      </c>
      <c r="EB407" s="7">
        <v>0</v>
      </c>
      <c r="EC407" s="7">
        <v>0</v>
      </c>
      <c r="ED407" s="7">
        <v>0</v>
      </c>
      <c r="EE407" s="7">
        <v>0</v>
      </c>
      <c r="EF407" s="7">
        <v>0</v>
      </c>
      <c r="EG407" s="7">
        <v>0</v>
      </c>
      <c r="EH407" s="7">
        <v>1.2235334782959644E-2</v>
      </c>
      <c r="EI407" s="7">
        <v>1.9637116390497738E-2</v>
      </c>
      <c r="EJ407" s="7">
        <v>0.18444957696615058</v>
      </c>
      <c r="EK407" s="7">
        <v>0.72538715718423197</v>
      </c>
      <c r="EL407" s="7">
        <v>5.8290814676160339E-2</v>
      </c>
      <c r="EM407" s="7">
        <v>3.112562289144501E-2</v>
      </c>
      <c r="EN407" s="7">
        <v>4.650112995163512E-2</v>
      </c>
      <c r="EO407" s="7">
        <v>0.57167307659593691</v>
      </c>
      <c r="EP407" s="7">
        <v>0.26783778427439825</v>
      </c>
      <c r="EQ407" s="7">
        <v>6.8627346892415481E-2</v>
      </c>
      <c r="ER407" s="7">
        <v>4.5360662285613945E-2</v>
      </c>
      <c r="ES407" s="7">
        <v>0.10133937574299129</v>
      </c>
      <c r="ET407" s="7">
        <v>0.13246499863443631</v>
      </c>
      <c r="EU407" s="6">
        <v>1199.9999999999998</v>
      </c>
      <c r="EV407" s="6">
        <v>0</v>
      </c>
      <c r="EW407" s="6">
        <v>1199.9999999999998</v>
      </c>
      <c r="EX407" s="6">
        <v>0</v>
      </c>
      <c r="EY407" s="6">
        <v>2195.4782357510439</v>
      </c>
      <c r="EZ407" s="6">
        <v>-571</v>
      </c>
      <c r="FA407" s="6">
        <v>0</v>
      </c>
      <c r="FB407" s="6">
        <v>0</v>
      </c>
      <c r="FC407" s="6">
        <v>0</v>
      </c>
      <c r="FD407" s="6">
        <v>0</v>
      </c>
      <c r="FE407" s="6">
        <v>0</v>
      </c>
      <c r="FF407" s="6">
        <v>0</v>
      </c>
      <c r="FG407" s="6">
        <v>0</v>
      </c>
      <c r="FH407" s="6">
        <v>1153.2558118526385</v>
      </c>
      <c r="FI407" s="6">
        <v>1531.4299904380612</v>
      </c>
      <c r="FJ407" s="6">
        <v>2070.7205842538206</v>
      </c>
      <c r="FK407" s="6">
        <v>1746.9903521590427</v>
      </c>
      <c r="FL407" s="6">
        <v>893.9143356348942</v>
      </c>
      <c r="FM407" s="6">
        <v>1745.4782357510442</v>
      </c>
      <c r="FN407" s="6">
        <v>0</v>
      </c>
      <c r="FO407" s="6">
        <v>0</v>
      </c>
      <c r="FP407" s="6">
        <v>0</v>
      </c>
      <c r="FQ407" s="6">
        <v>0</v>
      </c>
      <c r="FR407" s="6">
        <v>0</v>
      </c>
      <c r="FS407" s="6">
        <v>0</v>
      </c>
      <c r="FT407" s="7">
        <v>0.86753500136556372</v>
      </c>
      <c r="FU407" s="7">
        <v>3.112562289144501E-2</v>
      </c>
      <c r="FV407" s="7">
        <v>0.10133937574299129</v>
      </c>
      <c r="FW407" s="6">
        <v>1199.9999999999998</v>
      </c>
      <c r="FX407" s="6">
        <v>2195.4782357510435</v>
      </c>
      <c r="FY407" s="6">
        <v>-571</v>
      </c>
      <c r="FZ407" s="6">
        <v>1695.8504614767719</v>
      </c>
      <c r="GA407" s="6">
        <v>1051.5128457217904</v>
      </c>
      <c r="GB407" s="6">
        <v>18643.487154278209</v>
      </c>
      <c r="GC407" s="7">
        <v>8.1891069685915169E-2</v>
      </c>
      <c r="GD407" s="7">
        <v>7.6210291289252219E-2</v>
      </c>
      <c r="GE407" s="7"/>
      <c r="GF407" s="7"/>
      <c r="GG407" s="7">
        <v>-6.9369937631184875E-2</v>
      </c>
      <c r="GH407" s="42">
        <v>2.1203805089748458</v>
      </c>
      <c r="GI407" s="6">
        <v>10339.940048593066</v>
      </c>
      <c r="GJ407" s="14">
        <v>0.5107463060103955</v>
      </c>
      <c r="GK407" s="14">
        <v>0.50829519786160959</v>
      </c>
      <c r="GL407" s="14">
        <v>0.48925369398960444</v>
      </c>
      <c r="GM407" s="14">
        <v>0.49170480213839035</v>
      </c>
      <c r="GO407" s="5">
        <v>338.16872463277008</v>
      </c>
      <c r="GP407" s="5">
        <v>315.27501390194027</v>
      </c>
      <c r="GQ407" s="5">
        <v>527.27910984145694</v>
      </c>
      <c r="GR407" s="5">
        <v>404.20319246551543</v>
      </c>
      <c r="GS407" s="5">
        <v>334.50205195691484</v>
      </c>
      <c r="GT407" s="5">
        <v>289.18266033348181</v>
      </c>
      <c r="GU407" s="5">
        <v>254.29573314828914</v>
      </c>
      <c r="GV407" s="39" t="s">
        <v>392</v>
      </c>
      <c r="GW407" s="5">
        <v>479.875</v>
      </c>
      <c r="GX407" s="5">
        <v>359.90625</v>
      </c>
      <c r="GY407" s="5">
        <v>287.92500000000001</v>
      </c>
      <c r="GZ407" s="5">
        <v>254.06342861438085</v>
      </c>
      <c r="HA407" s="5">
        <v>235.34107974463734</v>
      </c>
      <c r="HB407" s="39">
        <v>264.05916814001614</v>
      </c>
      <c r="HC407" s="5">
        <v>308.09687499999995</v>
      </c>
      <c r="HD407" s="5">
        <v>253.37629751461984</v>
      </c>
      <c r="HE407" s="5">
        <v>253.29689186909582</v>
      </c>
      <c r="HF407" s="5">
        <v>230.90754934210526</v>
      </c>
      <c r="HG407" s="5">
        <v>218.51910087719298</v>
      </c>
      <c r="HH407" s="39">
        <v>252.77648226717287</v>
      </c>
      <c r="HI407" s="16"/>
      <c r="HJ407" s="19" t="str">
        <f t="shared" si="1331"/>
        <v>On</v>
      </c>
      <c r="HK407" s="1" t="str">
        <f t="shared" si="1331"/>
        <v>On</v>
      </c>
      <c r="HL407" s="16"/>
      <c r="HM407" s="639">
        <f t="shared" si="1278"/>
        <v>6.6115095157691428E-2</v>
      </c>
      <c r="HN407" s="639">
        <f t="shared" si="1279"/>
        <v>2.3720927871164412E-3</v>
      </c>
      <c r="HO407" s="639">
        <f t="shared" si="1280"/>
        <v>7.7231033444443466E-3</v>
      </c>
      <c r="HP407" s="644">
        <f>(FT407*$GD407-HM407)/$JF407*INDEX(Input!$1:$1048576,$JG$93,$C407*2+6)</f>
        <v>0</v>
      </c>
      <c r="HQ407" s="644">
        <f>(FU407*$GD407-HN407)/$JF407*INDEX(Input!$1:$1048576,$JG$93,$C407*2+6)</f>
        <v>0</v>
      </c>
      <c r="HR407" s="644">
        <f>(FV407*$GD407-HO407)/$JF407*INDEX(Input!$1:$1048576,$JG$93,$C407*2+6)</f>
        <v>0</v>
      </c>
      <c r="HS407" s="644">
        <f t="shared" si="1281"/>
        <v>0</v>
      </c>
      <c r="HT407" s="644">
        <f t="shared" si="1282"/>
        <v>0</v>
      </c>
      <c r="HU407" s="644">
        <f t="shared" si="1283"/>
        <v>0</v>
      </c>
      <c r="HV407" s="648">
        <f t="shared" si="1284"/>
        <v>0</v>
      </c>
      <c r="HW407" s="648">
        <f t="shared" si="1285"/>
        <v>0</v>
      </c>
      <c r="HX407" s="648">
        <f t="shared" si="1286"/>
        <v>0</v>
      </c>
      <c r="HY407" s="644">
        <f>INDEX(Input!$1:$1048576,HY$93,$C407*2+6)*INDEX(Input!$1:$1048576,$JG$93,$C407*2+6)</f>
        <v>844</v>
      </c>
      <c r="HZ407" s="644">
        <f>INDEX(Input!$1:$1048576,HZ$93,$C407*2+6)*INDEX(Input!$1:$1048576,$JG$93,$C407*2+6)</f>
        <v>865</v>
      </c>
      <c r="IA407" s="644">
        <f>INDEX(Input!$1:$1048576,IA$93,$C407*2+6)*INDEX(Input!$1:$1048576,$JG$93,$C407*2+6)</f>
        <v>150</v>
      </c>
      <c r="IB407" s="644">
        <f t="shared" si="1310"/>
        <v>844</v>
      </c>
      <c r="IC407" s="644">
        <f t="shared" si="1311"/>
        <v>865</v>
      </c>
      <c r="ID407" s="644">
        <f>IF(AND(INDEX(Input!$1:$1048576,IA$93,$C407*2+7)="TOS",Y407&lt;=INDEX(Y:Y,MATCH(C407*1000+2,A:A))),0,1)*MAX(IA407+HR407+HU407+HX407,0%)</f>
        <v>150</v>
      </c>
      <c r="IE407" s="128">
        <f t="shared" ref="IE407" si="1345">IB407/SUM($IB407:$ID407)</f>
        <v>0.45400753093060786</v>
      </c>
      <c r="IF407" s="128">
        <f t="shared" si="1333"/>
        <v>0.46530392684238836</v>
      </c>
      <c r="IG407" s="128">
        <f t="shared" si="1288"/>
        <v>8.0688542227003765E-2</v>
      </c>
      <c r="IH407" s="21"/>
      <c r="II407" s="19">
        <f t="shared" si="1289"/>
        <v>1199.9999999999998</v>
      </c>
      <c r="IJ407" s="19">
        <f t="shared" si="1290"/>
        <v>2195.4782357510435</v>
      </c>
      <c r="IK407" s="19">
        <f t="shared" si="1291"/>
        <v>-571</v>
      </c>
      <c r="IL407" s="19">
        <f t="shared" si="1313"/>
        <v>0</v>
      </c>
      <c r="IM407" s="19">
        <f t="shared" si="1292"/>
        <v>0</v>
      </c>
      <c r="IN407" s="19">
        <f t="shared" si="1293"/>
        <v>0</v>
      </c>
      <c r="IO407" s="39">
        <f t="shared" si="1294"/>
        <v>0</v>
      </c>
      <c r="IP407" s="39">
        <f t="shared" si="1295"/>
        <v>0</v>
      </c>
      <c r="IQ407" s="39">
        <f t="shared" si="1296"/>
        <v>0</v>
      </c>
      <c r="IR407" s="39">
        <v>0</v>
      </c>
      <c r="IS407" s="39">
        <v>0</v>
      </c>
      <c r="IT407" s="39">
        <v>0</v>
      </c>
      <c r="IU407" s="39">
        <v>0</v>
      </c>
      <c r="IV407" s="39">
        <v>0</v>
      </c>
      <c r="IW407" s="39">
        <v>0</v>
      </c>
      <c r="IX407" s="39">
        <f>INDEX(Input!$1:$1048576,IX$93,$C407*2+6)+INDEX(Input!$1:$1048576,IX$94,$C407*2+6)</f>
        <v>1600</v>
      </c>
      <c r="IY407" s="39">
        <f>INDEX(Input!$1:$1048576,IY$93,$C407*2+6)+INDEX(Input!$1:$1048576,IY$94,$C407*2+6)</f>
        <v>2503.549291639752</v>
      </c>
      <c r="IZ407" s="39">
        <f>INDEX(Input!$1:$1048576,IZ$93,$C407*2+6)+INDEX(Input!$1:$1048576,IZ$94,$C407*2+6)</f>
        <v>5413.7109265464023</v>
      </c>
      <c r="JA407" s="19">
        <f t="shared" si="1314"/>
        <v>1600</v>
      </c>
      <c r="JB407" s="19">
        <f t="shared" si="1315"/>
        <v>2503.549291639752</v>
      </c>
      <c r="JC407" s="19">
        <f t="shared" si="1316"/>
        <v>5413.7109265464023</v>
      </c>
      <c r="JD407" s="19">
        <f t="shared" si="1317"/>
        <v>2328.1478086338602</v>
      </c>
      <c r="JE407" s="21"/>
      <c r="JF407" s="1">
        <f t="shared" si="1297"/>
        <v>7.6210291289252219E-2</v>
      </c>
      <c r="JG407" s="15">
        <f>INDEX(Input!$1:$1048576,JG$93,$C407*2+6)/(1+VLOOKUP(C407*1000+INDEX(Input!$1:$1048576,JG$93+1,$C407*2+6),$A:$KK,$JK$92,FALSE))</f>
        <v>1859</v>
      </c>
      <c r="JH407" s="1">
        <f t="shared" si="1318"/>
        <v>0</v>
      </c>
      <c r="JI407" s="1">
        <f t="shared" si="1319"/>
        <v>0</v>
      </c>
      <c r="JJ407" s="1">
        <f t="shared" si="1320"/>
        <v>0</v>
      </c>
      <c r="JK407" s="1">
        <f t="shared" si="1344"/>
        <v>0</v>
      </c>
      <c r="JL407" s="15">
        <f t="shared" si="1322"/>
        <v>0</v>
      </c>
      <c r="JM407" s="15">
        <f>JG407+JL407</f>
        <v>1859</v>
      </c>
      <c r="JN407" s="21"/>
      <c r="JO407" s="19">
        <f>INDEX(Input!$1:$1048576,JO$93,$C407*2+6)</f>
        <v>5908.5</v>
      </c>
      <c r="JP407" s="19">
        <f>INDEX(Input!$1:$1048576,JP$93,$C407*2+6)</f>
        <v>2328.1478086338602</v>
      </c>
      <c r="JQ407" s="39">
        <f t="shared" si="1334"/>
        <v>3580.3521913661398</v>
      </c>
      <c r="JR407" s="39">
        <f>JD407-JP407</f>
        <v>0</v>
      </c>
      <c r="JS407" s="39">
        <f t="shared" si="1336"/>
        <v>4.3280267762503462</v>
      </c>
      <c r="JT407" s="39">
        <f t="shared" si="1324"/>
        <v>0</v>
      </c>
      <c r="JU407" s="385">
        <f>(JQ407*JM407-INDEX(Input!$1:$1048576,Input!A$18,$C407*2+6)*JL407*INDEX(Input!$1:$1048576,Input!A$19,$C407*2+6))/1000000</f>
        <v>6.6558747237496538</v>
      </c>
      <c r="JV407" s="39">
        <f t="shared" si="1300"/>
        <v>0</v>
      </c>
      <c r="JW407" s="1">
        <f>JV407/(JU407-JV407)</f>
        <v>0</v>
      </c>
      <c r="JX407" s="19">
        <f t="shared" si="1340"/>
        <v>0</v>
      </c>
      <c r="JZ407" s="468"/>
      <c r="KA407" s="469"/>
      <c r="KB407" s="469">
        <f t="shared" si="1337"/>
        <v>2.3451977905499271</v>
      </c>
      <c r="KI407" s="473">
        <f t="shared" si="1338"/>
        <v>0</v>
      </c>
      <c r="KJ407" s="473">
        <f t="shared" si="1325"/>
        <v>0</v>
      </c>
      <c r="KK407" s="473">
        <f t="shared" si="1326"/>
        <v>0</v>
      </c>
      <c r="KN407" s="544">
        <f t="shared" si="1341"/>
        <v>4002</v>
      </c>
      <c r="KO407" s="541">
        <f t="shared" si="1301"/>
        <v>-6.9401781202861335E-2</v>
      </c>
      <c r="KP407" s="546">
        <f t="shared" si="1302"/>
        <v>-393.99529253199773</v>
      </c>
      <c r="KQ407" s="546">
        <f t="shared" si="1303"/>
        <v>-395.5957529641355</v>
      </c>
      <c r="KR407" s="548">
        <f t="shared" si="1304"/>
        <v>2.9894657332231231</v>
      </c>
      <c r="KS407" s="548">
        <f t="shared" si="1305"/>
        <v>2.9773712615726931</v>
      </c>
      <c r="KT407" s="473">
        <f t="shared" si="1339"/>
        <v>1050.27685337919</v>
      </c>
      <c r="KU407" s="663">
        <f t="shared" si="1327"/>
        <v>6.5139134170048107</v>
      </c>
      <c r="KV407" s="117"/>
    </row>
    <row r="408" spans="1:310" s="26" customFormat="1" ht="15">
      <c r="A408" s="561">
        <f t="shared" si="1306"/>
        <v>4008</v>
      </c>
      <c r="B408" s="561">
        <f t="shared" si="1328"/>
        <v>8</v>
      </c>
      <c r="C408" s="561">
        <f t="shared" si="1329"/>
        <v>4</v>
      </c>
      <c r="D408" s="561" t="s">
        <v>569</v>
      </c>
      <c r="E408" s="475">
        <f>INDEX(Input!$1:$1048576,E$93,$C408*2+MIN($B408,2)+5)</f>
        <v>1250</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1.8999999999999996E-2</v>
      </c>
      <c r="W408" s="863">
        <f>IFERROR(MAX(0,INDEX(Input!$1:$1048576,W$93,$C408*2+MIN($B408,2)+5)-0%,),"Market")</f>
        <v>3.9E-2</v>
      </c>
      <c r="X408" s="476" t="str">
        <f>INDEX(Input!$1:$1048576,X$93,$C408*2+MIN($B408,2)+5)</f>
        <v>Y</v>
      </c>
      <c r="Y408" s="475">
        <f>INDEX(Input!$1:$1048576,Y$93,$C408*2+MIN($B408,2)+5)</f>
        <v>-2217</v>
      </c>
      <c r="Z408" s="477">
        <f>INDEX(Input!$1:$1048576,Z$93,$C408*2+MIN($B408,2)+5)</f>
        <v>0</v>
      </c>
      <c r="AA408" s="475">
        <f>INDEX(Input!$1:$1048576,AA$93,$C408*2+MIN($B408,2)+5)</f>
        <v>0</v>
      </c>
      <c r="AB408" s="476">
        <f>INDEX(Input!$1:$1048576,AB$93,$C408*2+MIN($B408,2)+5)</f>
        <v>1</v>
      </c>
      <c r="AC408" s="475">
        <f>INDEX(Input!$1:$1048576,AC$93,$C408*2+MIN($B408,2)+5)</f>
        <v>0</v>
      </c>
      <c r="AD408" s="476">
        <f>INDEX(Input!$1:$1048576,AD$93,$C408*2+MIN($B408,2)+5)</f>
        <v>0.35</v>
      </c>
      <c r="AE408" s="475">
        <f>INDEX(Input!$1:$1048576,AE$93,$C408*2+MIN($B408,2)+5)</f>
        <v>0</v>
      </c>
      <c r="AF408" s="476">
        <f>INDEX(Input!$1:$1048576,AF$93,$C408*2+MIN($B408,2)+5)</f>
        <v>1</v>
      </c>
      <c r="AG408" s="475">
        <f>INDEX(Input!$1:$1048576,AG$93,$C408*2+MIN($B408,2)+5)</f>
        <v>0</v>
      </c>
      <c r="AH408" s="476">
        <f>INDEX(Input!$1:$1048576,AH$93,$C408*2+MIN($B408,2)+5)</f>
        <v>1</v>
      </c>
      <c r="AI408" s="475">
        <f>INDEX(Input!$1:$1048576,AI$93,$C408*2+MIN($B408,2)+5)</f>
        <v>0</v>
      </c>
      <c r="AJ408" s="476">
        <f>INDEX(Input!$1:$1048576,AJ$93,$C408*2+MIN($B408,2)+5)</f>
        <v>0.35</v>
      </c>
      <c r="AK408" s="150">
        <f>ROUND(INDEX(Input!$1:$1048576,AK$93,$C407*2+MIN($B408,1)+5)+(Y408-VLOOKUP($C408*1000+1,$A:$HH,Y$92,FALSE)),0)</f>
        <v>4592</v>
      </c>
      <c r="AL408" s="150">
        <f>ROUND(INDEX(Input!$1:$1048576,AL$93,$C407*2+MIN($B408,1)+5)-(Y408-VLOOKUP($C408*1000+1,$A:$HH,Y$92,FALSE))/36,0)</f>
        <v>4743</v>
      </c>
      <c r="AM408" s="32" t="str">
        <f t="shared" si="1307"/>
        <v>std/std/std/std</v>
      </c>
      <c r="AN408" s="32" t="str">
        <f t="shared" si="1308"/>
        <v>$0 + 0/0/0/1.9/3.9</v>
      </c>
      <c r="AO408" s="32" t="str">
        <f t="shared" si="1309"/>
        <v>0/0/0/1.9/3.9</v>
      </c>
      <c r="AP408" s="32" t="str">
        <f t="shared" si="1125"/>
        <v>0/0.9/1.9/3.9</v>
      </c>
      <c r="AQ408" s="536">
        <f t="shared" si="1124"/>
        <v>0.45259089361904242</v>
      </c>
      <c r="AR408" s="32"/>
      <c r="AS408" s="302"/>
      <c r="AT408" s="3">
        <f t="shared" si="1330"/>
        <v>8</v>
      </c>
      <c r="AU408" s="41" t="s">
        <v>121</v>
      </c>
      <c r="AV408" s="41" t="s">
        <v>116</v>
      </c>
      <c r="AW408" s="41" t="str">
        <f>INDEX(Input!$1:$1048576,AW$93,$C408*2+6)</f>
        <v>Kia</v>
      </c>
      <c r="AX408" s="41" t="str">
        <f>INDEX(Input!$1:$1048576,AX$93,$C408*2+6)</f>
        <v>Kia-LR - R1</v>
      </c>
      <c r="AY408" s="41" t="str">
        <f>IF(LEN(D408)=0,"",INDEX(Input!$1:$1048576,AY$93,$C408*2+6))</f>
        <v>Compact Conventional/Sporty Car (43)</v>
      </c>
      <c r="AZ408" s="41" t="str">
        <f>INDEX(Input!$1:$1048576,AZ$93,$C408*2+6)</f>
        <v>Kia Forte</v>
      </c>
      <c r="BA408" s="3">
        <f>INDEX(Input!$1:$1048576,BA$93,$C408*2+6)</f>
        <v>2020</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19695</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1126"/>
        <v>1560</v>
      </c>
      <c r="CJ408" s="16" t="str">
        <f>INDEX(Input!$1:$1048576,CJ$93,$C408*2+6)</f>
        <v>N</v>
      </c>
      <c r="CK408" s="1" t="str">
        <f t="shared" si="1127"/>
        <v>Market</v>
      </c>
      <c r="CL408" s="1" t="str">
        <f t="shared" si="1128"/>
        <v>Market</v>
      </c>
      <c r="CM408" s="1" t="str">
        <f t="shared" si="1129"/>
        <v>Market</v>
      </c>
      <c r="CN408" s="1" t="str">
        <f t="shared" si="1130"/>
        <v>Market</v>
      </c>
      <c r="CO408" s="1" t="str">
        <f t="shared" si="1131"/>
        <v>Market</v>
      </c>
      <c r="CP408" s="304">
        <f t="shared" si="1132"/>
        <v>0</v>
      </c>
      <c r="CQ408" s="1">
        <f t="shared" si="1133"/>
        <v>0</v>
      </c>
      <c r="CR408" s="1">
        <f t="shared" si="1134"/>
        <v>0</v>
      </c>
      <c r="CS408" s="1">
        <f t="shared" si="1135"/>
        <v>0</v>
      </c>
      <c r="CT408" s="1">
        <f t="shared" si="1136"/>
        <v>1.8999999999999996E-2</v>
      </c>
      <c r="CU408" s="1">
        <f t="shared" si="1137"/>
        <v>3.9E-2</v>
      </c>
      <c r="CV408" s="304">
        <f t="shared" si="1138"/>
        <v>-2217</v>
      </c>
      <c r="CW408" s="20" t="s">
        <v>122</v>
      </c>
      <c r="CX408" s="20" t="s">
        <v>122</v>
      </c>
      <c r="CY408" s="20" t="s">
        <v>122</v>
      </c>
      <c r="CZ408" s="20" t="s">
        <v>122</v>
      </c>
      <c r="DA408" s="20" t="s">
        <v>122</v>
      </c>
      <c r="DB408" s="503">
        <f t="shared" si="1139"/>
        <v>0</v>
      </c>
      <c r="DC408" s="127">
        <v>0</v>
      </c>
      <c r="DD408" s="127">
        <v>0</v>
      </c>
      <c r="DE408" s="127">
        <v>0</v>
      </c>
      <c r="DF408" s="127">
        <v>0</v>
      </c>
      <c r="DG408" s="127">
        <v>0</v>
      </c>
      <c r="DH408" s="127">
        <v>0</v>
      </c>
      <c r="DI408" s="127">
        <v>0</v>
      </c>
      <c r="DJ408" s="127">
        <v>0</v>
      </c>
      <c r="DK408" s="127">
        <v>0</v>
      </c>
      <c r="DL408" s="127">
        <v>0</v>
      </c>
      <c r="DM408" s="304">
        <f>INDEX(Input!$1:$1048576,DM$93,$C408*2+6)</f>
        <v>20731.578947368424</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4.5715727143374817E-2</v>
      </c>
      <c r="DZ408" s="7">
        <v>0</v>
      </c>
      <c r="EA408" s="7">
        <v>0.82494265775599362</v>
      </c>
      <c r="EB408" s="7">
        <v>0</v>
      </c>
      <c r="EC408" s="7">
        <v>0</v>
      </c>
      <c r="ED408" s="7">
        <v>0</v>
      </c>
      <c r="EE408" s="7">
        <v>0</v>
      </c>
      <c r="EF408" s="7">
        <v>0</v>
      </c>
      <c r="EG408" s="7">
        <v>0</v>
      </c>
      <c r="EH408" s="7">
        <v>1.2249807052567773E-2</v>
      </c>
      <c r="EI408" s="7">
        <v>1.9663851070509494E-2</v>
      </c>
      <c r="EJ408" s="7">
        <v>0.18467541133309118</v>
      </c>
      <c r="EK408" s="7">
        <v>0.72516955394520077</v>
      </c>
      <c r="EL408" s="7">
        <v>5.8241376598630788E-2</v>
      </c>
      <c r="EM408" s="7">
        <v>3.1258011178701306E-2</v>
      </c>
      <c r="EN408" s="7">
        <v>4.6958287781203936E-2</v>
      </c>
      <c r="EO408" s="7">
        <v>0.57082545829697673</v>
      </c>
      <c r="EP408" s="7">
        <v>0.26932110679577281</v>
      </c>
      <c r="EQ408" s="7">
        <v>6.7916306922697053E-2</v>
      </c>
      <c r="ER408" s="7">
        <v>4.4978840203349503E-2</v>
      </c>
      <c r="ES408" s="7">
        <v>9.8083603921930246E-2</v>
      </c>
      <c r="ET408" s="7">
        <v>0.12934161510063144</v>
      </c>
      <c r="EU408" s="6">
        <v>1599.9999999999998</v>
      </c>
      <c r="EV408" s="6">
        <v>0</v>
      </c>
      <c r="EW408" s="6">
        <v>1599.9999999999998</v>
      </c>
      <c r="EX408" s="6">
        <v>0</v>
      </c>
      <c r="EY408" s="6">
        <v>2595.5791014354181</v>
      </c>
      <c r="EZ408" s="6">
        <v>-246</v>
      </c>
      <c r="FA408" s="6">
        <v>0</v>
      </c>
      <c r="FB408" s="6">
        <v>0</v>
      </c>
      <c r="FC408" s="6">
        <v>0</v>
      </c>
      <c r="FD408" s="6">
        <v>0</v>
      </c>
      <c r="FE408" s="6">
        <v>0</v>
      </c>
      <c r="FF408" s="6">
        <v>0</v>
      </c>
      <c r="FG408" s="6">
        <v>0</v>
      </c>
      <c r="FH408" s="6">
        <v>1153.2507062817306</v>
      </c>
      <c r="FI408" s="6">
        <v>1531.4299904380609</v>
      </c>
      <c r="FJ408" s="6">
        <v>2070.7205842538237</v>
      </c>
      <c r="FK408" s="6">
        <v>1746.9903521590443</v>
      </c>
      <c r="FL408" s="6">
        <v>893.91433563489397</v>
      </c>
      <c r="FM408" s="6">
        <v>1745.5791014354184</v>
      </c>
      <c r="FN408" s="6">
        <v>0</v>
      </c>
      <c r="FO408" s="6">
        <v>0</v>
      </c>
      <c r="FP408" s="6">
        <v>0</v>
      </c>
      <c r="FQ408" s="6">
        <v>0</v>
      </c>
      <c r="FR408" s="6">
        <v>0</v>
      </c>
      <c r="FS408" s="6">
        <v>0</v>
      </c>
      <c r="FT408" s="7">
        <v>0.87065838489936842</v>
      </c>
      <c r="FU408" s="7">
        <v>3.1258011178701306E-2</v>
      </c>
      <c r="FV408" s="7">
        <v>9.8083603921930246E-2</v>
      </c>
      <c r="FW408" s="6">
        <v>1599.9999999999995</v>
      </c>
      <c r="FX408" s="6">
        <v>2595.5791014354181</v>
      </c>
      <c r="FY408" s="6">
        <v>-246</v>
      </c>
      <c r="FZ408" s="6">
        <v>1695.8504614767719</v>
      </c>
      <c r="GA408" s="6">
        <v>1450.0574898420659</v>
      </c>
      <c r="GB408" s="6">
        <v>18244.942510157933</v>
      </c>
      <c r="GC408" s="7">
        <v>8.1891069685915169E-2</v>
      </c>
      <c r="GD408" s="7">
        <v>7.9759721975264639E-2</v>
      </c>
      <c r="GE408" s="7"/>
      <c r="GF408" s="7"/>
      <c r="GG408" s="7">
        <v>-2.6026619493738409E-2</v>
      </c>
      <c r="GH408" s="42">
        <v>2.0854716370449693</v>
      </c>
      <c r="GI408" s="6">
        <v>10893.964398068843</v>
      </c>
      <c r="GJ408" s="14">
        <v>0.51074630601039528</v>
      </c>
      <c r="GK408" s="14">
        <v>0.50829519786160959</v>
      </c>
      <c r="GL408" s="14">
        <v>0.48925369398960417</v>
      </c>
      <c r="GM408" s="14">
        <v>0.49170480213839041</v>
      </c>
      <c r="GO408" s="5">
        <v>338.16872463277008</v>
      </c>
      <c r="GP408" s="5">
        <v>307.64377699166363</v>
      </c>
      <c r="GQ408" s="5">
        <v>527.27910984145694</v>
      </c>
      <c r="GR408" s="5">
        <v>404.20319246551543</v>
      </c>
      <c r="GS408" s="5">
        <v>334.50205195691484</v>
      </c>
      <c r="GT408" s="5">
        <v>289.18266033348181</v>
      </c>
      <c r="GU408" s="5">
        <v>254.29573314828914</v>
      </c>
      <c r="GV408" s="39" t="s">
        <v>392</v>
      </c>
      <c r="GW408" s="5">
        <v>468.76388888888891</v>
      </c>
      <c r="GX408" s="5">
        <v>351.57291666666669</v>
      </c>
      <c r="GY408" s="5">
        <v>281.25833333333333</v>
      </c>
      <c r="GZ408" s="5">
        <v>248.1807987949399</v>
      </c>
      <c r="HA408" s="5">
        <v>229.89195052129477</v>
      </c>
      <c r="HB408" s="39">
        <v>257.95942589224592</v>
      </c>
      <c r="HC408" s="5">
        <v>293.87812499999995</v>
      </c>
      <c r="HD408" s="5">
        <v>243.67143640350872</v>
      </c>
      <c r="HE408" s="5">
        <v>244.28647520242913</v>
      </c>
      <c r="HF408" s="5">
        <v>223.39192434210526</v>
      </c>
      <c r="HG408" s="5">
        <v>212.2899342105263</v>
      </c>
      <c r="HH408" s="39">
        <v>243.40588632732764</v>
      </c>
      <c r="HI408" s="16"/>
      <c r="HJ408" s="19" t="str">
        <f t="shared" si="1331"/>
        <v>On</v>
      </c>
      <c r="HK408" s="1" t="str">
        <f t="shared" si="1331"/>
        <v>On</v>
      </c>
      <c r="HL408" s="16"/>
      <c r="HM408" s="639">
        <f t="shared" si="1278"/>
        <v>6.6115095157691428E-2</v>
      </c>
      <c r="HN408" s="639">
        <f t="shared" si="1279"/>
        <v>2.3720927871164412E-3</v>
      </c>
      <c r="HO408" s="639">
        <f t="shared" si="1280"/>
        <v>7.7231033444443466E-3</v>
      </c>
      <c r="HP408" s="644">
        <f>(FT408*$GD408-HM408)/$JF408*INDEX(Input!$1:$1048576,$JG$93,$C408*2+6)</f>
        <v>81.189168239296066</v>
      </c>
      <c r="HQ408" s="644">
        <f>(FU408*$GD408-HN408)/$JF408*INDEX(Input!$1:$1048576,$JG$93,$C408*2+6)</f>
        <v>2.9524713464939332</v>
      </c>
      <c r="HR408" s="644">
        <f>(FV408*$GD408-HO408)/$JF408*INDEX(Input!$1:$1048576,$JG$93,$C408*2+6)</f>
        <v>2.4397332665094091</v>
      </c>
      <c r="HS408" s="644">
        <f t="shared" si="1281"/>
        <v>-21.075605325621972</v>
      </c>
      <c r="HT408" s="644">
        <f t="shared" si="1282"/>
        <v>64.161382280890891</v>
      </c>
      <c r="HU408" s="644">
        <f t="shared" si="1283"/>
        <v>8.972607555049029</v>
      </c>
      <c r="HV408" s="648">
        <f t="shared" si="1284"/>
        <v>0</v>
      </c>
      <c r="HW408" s="648">
        <f t="shared" si="1285"/>
        <v>0</v>
      </c>
      <c r="HX408" s="648">
        <f t="shared" si="1286"/>
        <v>0</v>
      </c>
      <c r="HY408" s="644">
        <f>INDEX(Input!$1:$1048576,HY$93,$C408*2+6)*INDEX(Input!$1:$1048576,$JG$93,$C408*2+6)</f>
        <v>844</v>
      </c>
      <c r="HZ408" s="644">
        <f>INDEX(Input!$1:$1048576,HZ$93,$C408*2+6)*INDEX(Input!$1:$1048576,$JG$93,$C408*2+6)</f>
        <v>865</v>
      </c>
      <c r="IA408" s="644">
        <f>INDEX(Input!$1:$1048576,IA$93,$C408*2+6)*INDEX(Input!$1:$1048576,$JG$93,$C408*2+6)</f>
        <v>150</v>
      </c>
      <c r="IB408" s="644">
        <f t="shared" si="1310"/>
        <v>904.11356291367406</v>
      </c>
      <c r="IC408" s="644">
        <f t="shared" si="1311"/>
        <v>932.11385362738474</v>
      </c>
      <c r="ID408" s="644">
        <f>IF(AND(INDEX(Input!$1:$1048576,IA$93,$C408*2+7)="TOS",Y408&lt;=INDEX(Y:Y,MATCH(C408*1000+2,A:A))),0,1)*MAX(IA408+HR408+HU408+HX408,0%)</f>
        <v>161.41234082155844</v>
      </c>
      <c r="IE408" s="128">
        <f t="shared" ref="IE408:IE411" si="1346">IB408/SUM($IB408:$ID408)</f>
        <v>0.45259089361904242</v>
      </c>
      <c r="IF408" s="128">
        <f t="shared" si="1333"/>
        <v>0.46660758036674616</v>
      </c>
      <c r="IG408" s="128">
        <f t="shared" si="1288"/>
        <v>8.0801526014211394E-2</v>
      </c>
      <c r="IH408" s="21"/>
      <c r="II408" s="19">
        <f t="shared" si="1289"/>
        <v>1199.9999999999998</v>
      </c>
      <c r="IJ408" s="19">
        <f t="shared" si="1290"/>
        <v>2195.4782357510435</v>
      </c>
      <c r="IK408" s="19">
        <f t="shared" si="1291"/>
        <v>-571</v>
      </c>
      <c r="IL408" s="19">
        <f t="shared" si="1313"/>
        <v>399.99999999999977</v>
      </c>
      <c r="IM408" s="19">
        <f t="shared" si="1292"/>
        <v>400.10086568437464</v>
      </c>
      <c r="IN408" s="19">
        <f t="shared" si="1293"/>
        <v>325</v>
      </c>
      <c r="IO408" s="39">
        <f t="shared" si="1294"/>
        <v>0</v>
      </c>
      <c r="IP408" s="39">
        <f t="shared" si="1295"/>
        <v>0</v>
      </c>
      <c r="IQ408" s="39">
        <f t="shared" si="1296"/>
        <v>0</v>
      </c>
      <c r="IR408" s="39">
        <v>0</v>
      </c>
      <c r="IS408" s="39">
        <v>0</v>
      </c>
      <c r="IT408" s="39">
        <v>0</v>
      </c>
      <c r="IU408" s="39">
        <v>0</v>
      </c>
      <c r="IV408" s="39">
        <v>0</v>
      </c>
      <c r="IW408" s="39">
        <v>0</v>
      </c>
      <c r="IX408" s="39">
        <f>INDEX(Input!$1:$1048576,IX$93,$C408*2+6)+INDEX(Input!$1:$1048576,IX$94,$C408*2+6)</f>
        <v>1600</v>
      </c>
      <c r="IY408" s="39">
        <f>INDEX(Input!$1:$1048576,IY$93,$C408*2+6)+INDEX(Input!$1:$1048576,IY$94,$C408*2+6)</f>
        <v>2503.549291639752</v>
      </c>
      <c r="IZ408" s="39">
        <f>INDEX(Input!$1:$1048576,IZ$93,$C408*2+6)+INDEX(Input!$1:$1048576,IZ$94,$C408*2+6)</f>
        <v>5413.7109265464023</v>
      </c>
      <c r="JA408" s="19">
        <f t="shared" si="1314"/>
        <v>1999.9999999999998</v>
      </c>
      <c r="JB408" s="19">
        <f t="shared" si="1315"/>
        <v>2903.6501573241267</v>
      </c>
      <c r="JC408" s="19">
        <f t="shared" si="1316"/>
        <v>5738.7109265464023</v>
      </c>
      <c r="JD408" s="19">
        <f t="shared" si="1317"/>
        <v>2723.7435615979957</v>
      </c>
      <c r="JE408" s="21"/>
      <c r="JF408" s="1">
        <f t="shared" si="1297"/>
        <v>7.6210291289252219E-2</v>
      </c>
      <c r="JG408" s="15">
        <f>INDEX(Input!$1:$1048576,JG$93,$C408*2+6)/(1+VLOOKUP(C408*1000+INDEX(Input!$1:$1048576,JG$93+1,$C408*2+6),$A:$KK,$JK$92,FALSE))</f>
        <v>1859</v>
      </c>
      <c r="JH408" s="1">
        <f t="shared" si="1318"/>
        <v>4.6574165063098125E-2</v>
      </c>
      <c r="JI408" s="1">
        <f t="shared" si="1319"/>
        <v>2.8003434378869256E-2</v>
      </c>
      <c r="JJ408" s="1">
        <f t="shared" si="1320"/>
        <v>0</v>
      </c>
      <c r="JK408" s="1">
        <f t="shared" ref="JK408:JK411" si="1347">SUM(JH408:JJ408)</f>
        <v>7.4577599441967374E-2</v>
      </c>
      <c r="JL408" s="15">
        <f t="shared" si="1322"/>
        <v>138.63975736261736</v>
      </c>
      <c r="JM408" s="15">
        <f t="shared" ref="JM408:JM461" si="1348">JG408+JL408</f>
        <v>1997.6397573626173</v>
      </c>
      <c r="JN408" s="21"/>
      <c r="JO408" s="19">
        <f>INDEX(Input!$1:$1048576,JO$93,$C408*2+6)</f>
        <v>5908.5</v>
      </c>
      <c r="JP408" s="19">
        <f>INDEX(Input!$1:$1048576,JP$93,$C408*2+6)</f>
        <v>2328.1478086338602</v>
      </c>
      <c r="JQ408" s="39">
        <f t="shared" si="1334"/>
        <v>3184.7564384020043</v>
      </c>
      <c r="JR408" s="39">
        <f>JD408-JP408</f>
        <v>395.5957529641355</v>
      </c>
      <c r="JS408" s="39">
        <f t="shared" si="1336"/>
        <v>5.4410584275086116</v>
      </c>
      <c r="JT408" s="39">
        <f t="shared" si="1324"/>
        <v>1.1130316512582648</v>
      </c>
      <c r="JU408" s="385">
        <f>(JQ408*JM408-INDEX(Input!$1:$1048576,Input!A$18,$C408*2+6)*JL408*INDEX(Input!$1:$1048576,Input!A$19,$C408*2+6))/1000000</f>
        <v>6.3619960788684136</v>
      </c>
      <c r="JV408" s="39">
        <f t="shared" si="1300"/>
        <v>-0.29387864488124027</v>
      </c>
      <c r="JW408" s="1">
        <f t="shared" ref="JW408:JW461" si="1349">JV408/(JU408-JV408)</f>
        <v>-4.4153271670305833E-2</v>
      </c>
      <c r="JX408" s="19">
        <f t="shared" si="1340"/>
        <v>8028.2284997591978</v>
      </c>
      <c r="JZ408" s="341"/>
      <c r="KA408" s="342"/>
      <c r="KB408" s="469">
        <f t="shared" si="1337"/>
        <v>2.3451977905499271</v>
      </c>
      <c r="KI408" s="473">
        <f t="shared" si="1338"/>
        <v>60.113562913674059</v>
      </c>
      <c r="KJ408" s="473">
        <f t="shared" si="1325"/>
        <v>67.113853627384742</v>
      </c>
      <c r="KK408" s="473">
        <f t="shared" si="1326"/>
        <v>11.412340821558445</v>
      </c>
      <c r="KN408" s="544">
        <f t="shared" si="1341"/>
        <v>4002</v>
      </c>
      <c r="KO408" s="541">
        <f t="shared" si="1301"/>
        <v>0</v>
      </c>
      <c r="KP408" s="546">
        <f t="shared" si="1302"/>
        <v>0</v>
      </c>
      <c r="KQ408" s="546">
        <f t="shared" si="1303"/>
        <v>0</v>
      </c>
      <c r="KR408" s="548" t="e">
        <f t="shared" si="1304"/>
        <v>#DIV/0!</v>
      </c>
      <c r="KS408" s="548" t="e">
        <f t="shared" si="1305"/>
        <v>#DIV/0!</v>
      </c>
      <c r="KT408" s="473">
        <f>KT407</f>
        <v>1050.27685337919</v>
      </c>
      <c r="KU408" s="663">
        <f t="shared" si="1327"/>
        <v>6.5223317041712452</v>
      </c>
      <c r="KV408" s="117"/>
    </row>
    <row r="409" spans="1:310" s="26" customFormat="1" ht="15">
      <c r="A409" s="561">
        <f t="shared" si="1306"/>
        <v>4009</v>
      </c>
      <c r="B409" s="561">
        <f t="shared" si="1328"/>
        <v>9</v>
      </c>
      <c r="C409" s="561">
        <f t="shared" si="1329"/>
        <v>4</v>
      </c>
      <c r="D409" s="561" t="str">
        <f t="shared" ref="D409:D418" si="1350">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1500</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1.8999999999999996E-2</v>
      </c>
      <c r="W409" s="862">
        <f>INDEX(Input!$1:$1048576,W$93,$C409*2+MIN($B409,2)+5)</f>
        <v>3.9E-2</v>
      </c>
      <c r="X409" s="118" t="str">
        <f>INDEX(Input!$1:$1048576,X$93,$C409*2+MIN($B409,2)+5)</f>
        <v>Y</v>
      </c>
      <c r="Y409" s="150">
        <f>INDEX(Input!$1:$1048576,Y$93,$C409*2+MIN($B409,2)+5)</f>
        <v>-2217</v>
      </c>
      <c r="Z409" s="30">
        <f>INDEX(Input!$1:$1048576,Z$93,$C409*2+MIN($B409,2)+5)</f>
        <v>0</v>
      </c>
      <c r="AA409" s="115">
        <f>INDEX(Input!$1:$1048576,AA$93,$C409*2+MIN($B409,2)+5)</f>
        <v>0</v>
      </c>
      <c r="AB409" s="118">
        <f>INDEX(Input!$1:$1048576,AB$93,$C409*2+MIN($B409,2)+5)</f>
        <v>1</v>
      </c>
      <c r="AC409" s="115">
        <f>INDEX(Input!$1:$1048576,AC$93,$C409*2+MIN($B409,2)+5)</f>
        <v>0</v>
      </c>
      <c r="AD409" s="118">
        <f>INDEX(Input!$1:$1048576,AD$93,$C409*2+MIN($B409,2)+5)</f>
        <v>0.35</v>
      </c>
      <c r="AE409" s="115">
        <f>INDEX(Input!$1:$1048576,AE$93,$C409*2+MIN($B409,2)+5)</f>
        <v>0</v>
      </c>
      <c r="AF409" s="118">
        <f>INDEX(Input!$1:$1048576,AF$93,$C409*2+MIN($B409,2)+5)</f>
        <v>1</v>
      </c>
      <c r="AG409" s="115">
        <f>INDEX(Input!$1:$1048576,AG$93,$C409*2+MIN($B409,2)+5)</f>
        <v>0</v>
      </c>
      <c r="AH409" s="118">
        <f>INDEX(Input!$1:$1048576,AH$93,$C409*2+MIN($B409,2)+5)</f>
        <v>1</v>
      </c>
      <c r="AI409" s="115">
        <f>INDEX(Input!$1:$1048576,AI$93,$C409*2+MIN($B409,2)+5)</f>
        <v>0</v>
      </c>
      <c r="AJ409" s="118">
        <f>INDEX(Input!$1:$1048576,AJ$93,$C409*2+MIN($B409,2)+5)</f>
        <v>0.35</v>
      </c>
      <c r="AK409" s="150">
        <f>ROUND(INDEX(Input!$1:$1048576,AK$93,$C408*2+MIN($B409,1)+5)+(Y409-VLOOKUP($C409*1000+1,$A:$HH,Y$92,FALSE)),0)</f>
        <v>4592</v>
      </c>
      <c r="AL409" s="150">
        <f>ROUND(INDEX(Input!$1:$1048576,AL$93,$C408*2+MIN($B409,1)+5)-(Y409-VLOOKUP($C409*1000+1,$A:$HH,Y$92,FALSE))/36,0)</f>
        <v>4743</v>
      </c>
      <c r="AM409" s="32" t="str">
        <f t="shared" si="1307"/>
        <v>std/std/std/std</v>
      </c>
      <c r="AN409" s="32" t="str">
        <f t="shared" si="1308"/>
        <v>$0 + 0/0/0/1.9/3.9</v>
      </c>
      <c r="AO409" s="32" t="str">
        <f t="shared" si="1309"/>
        <v>0/0/0/1.9/3.9</v>
      </c>
      <c r="AP409" s="32" t="str">
        <f t="shared" si="1125"/>
        <v>0/0.9/1.9/3.9</v>
      </c>
      <c r="AQ409" s="536">
        <f t="shared" si="1124"/>
        <v>0.46699960274186492</v>
      </c>
      <c r="AR409" s="32"/>
      <c r="AS409" s="302"/>
      <c r="AT409" s="3">
        <f t="shared" si="1330"/>
        <v>9</v>
      </c>
      <c r="AU409" s="41" t="s">
        <v>121</v>
      </c>
      <c r="AV409" s="41" t="s">
        <v>116</v>
      </c>
      <c r="AW409" s="41" t="str">
        <f>INDEX(Input!$1:$1048576,AW$93,$C409*2+6)</f>
        <v>Kia</v>
      </c>
      <c r="AX409" s="41" t="str">
        <f>INDEX(Input!$1:$1048576,AX$93,$C409*2+6)</f>
        <v>Kia-LR - R1</v>
      </c>
      <c r="AY409" s="41" t="str">
        <f>IF(LEN(D409)=0,"",INDEX(Input!$1:$1048576,AY$93,$C409*2+6))</f>
        <v>Compact Conventional/Sporty Car (43)</v>
      </c>
      <c r="AZ409" s="41" t="str">
        <f>INDEX(Input!$1:$1048576,AZ$93,$C409*2+6)</f>
        <v>Kia Forte</v>
      </c>
      <c r="BA409" s="3">
        <f>INDEX(Input!$1:$1048576,BA$93,$C409*2+6)</f>
        <v>2020</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19695</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1126"/>
        <v>1810</v>
      </c>
      <c r="CJ409" s="16" t="str">
        <f>INDEX(Input!$1:$1048576,CJ$93,$C409*2+6)</f>
        <v>N</v>
      </c>
      <c r="CK409" s="1" t="str">
        <f t="shared" si="1127"/>
        <v>Market</v>
      </c>
      <c r="CL409" s="1" t="str">
        <f t="shared" si="1128"/>
        <v>Market</v>
      </c>
      <c r="CM409" s="1" t="str">
        <f t="shared" si="1129"/>
        <v>Market</v>
      </c>
      <c r="CN409" s="1" t="str">
        <f t="shared" si="1130"/>
        <v>Market</v>
      </c>
      <c r="CO409" s="1" t="str">
        <f t="shared" si="1131"/>
        <v>Market</v>
      </c>
      <c r="CP409" s="304">
        <f t="shared" si="1132"/>
        <v>0</v>
      </c>
      <c r="CQ409" s="1">
        <f t="shared" si="1133"/>
        <v>0</v>
      </c>
      <c r="CR409" s="1">
        <f t="shared" si="1134"/>
        <v>0</v>
      </c>
      <c r="CS409" s="1">
        <f t="shared" si="1135"/>
        <v>0</v>
      </c>
      <c r="CT409" s="1">
        <f t="shared" si="1136"/>
        <v>1.8999999999999996E-2</v>
      </c>
      <c r="CU409" s="1">
        <f t="shared" si="1137"/>
        <v>3.9E-2</v>
      </c>
      <c r="CV409" s="304">
        <f t="shared" si="1138"/>
        <v>-2217</v>
      </c>
      <c r="CW409" s="20" t="s">
        <v>122</v>
      </c>
      <c r="CX409" s="20" t="s">
        <v>122</v>
      </c>
      <c r="CY409" s="20" t="s">
        <v>122</v>
      </c>
      <c r="CZ409" s="20" t="s">
        <v>122</v>
      </c>
      <c r="DA409" s="20" t="s">
        <v>122</v>
      </c>
      <c r="DB409" s="503">
        <f t="shared" si="1139"/>
        <v>0</v>
      </c>
      <c r="DC409" s="127">
        <v>0</v>
      </c>
      <c r="DD409" s="127">
        <v>0</v>
      </c>
      <c r="DE409" s="127">
        <v>0</v>
      </c>
      <c r="DF409" s="127">
        <v>0</v>
      </c>
      <c r="DG409" s="127">
        <v>0</v>
      </c>
      <c r="DH409" s="127">
        <v>0</v>
      </c>
      <c r="DI409" s="127">
        <v>0</v>
      </c>
      <c r="DJ409" s="127">
        <v>0</v>
      </c>
      <c r="DK409" s="127">
        <v>0</v>
      </c>
      <c r="DL409" s="127">
        <v>0</v>
      </c>
      <c r="DM409" s="304">
        <f>INDEX(Input!$1:$1048576,DM$93,$C409*2+6)</f>
        <v>20731.578947368424</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4.6304267675215859E-2</v>
      </c>
      <c r="DZ409" s="7">
        <v>0</v>
      </c>
      <c r="EA409" s="7">
        <v>0.83204953388826464</v>
      </c>
      <c r="EB409" s="7">
        <v>0</v>
      </c>
      <c r="EC409" s="7">
        <v>0</v>
      </c>
      <c r="ED409" s="7">
        <v>0</v>
      </c>
      <c r="EE409" s="7">
        <v>0</v>
      </c>
      <c r="EF409" s="7">
        <v>0</v>
      </c>
      <c r="EG409" s="7">
        <v>0</v>
      </c>
      <c r="EH409" s="7">
        <v>1.2265184005314598E-2</v>
      </c>
      <c r="EI409" s="7">
        <v>1.9691888417695147E-2</v>
      </c>
      <c r="EJ409" s="7">
        <v>0.18491974977056236</v>
      </c>
      <c r="EK409" s="7">
        <v>0.72493679987111559</v>
      </c>
      <c r="EL409" s="7">
        <v>5.8186377935312228E-2</v>
      </c>
      <c r="EM409" s="7">
        <v>2.9305008836983917E-2</v>
      </c>
      <c r="EN409" s="7">
        <v>4.69335272486383E-2</v>
      </c>
      <c r="EO409" s="7">
        <v>0.57073744178765851</v>
      </c>
      <c r="EP409" s="7">
        <v>0.26943374468827691</v>
      </c>
      <c r="EQ409" s="7">
        <v>6.7905807549363706E-2</v>
      </c>
      <c r="ER409" s="7">
        <v>4.4989478726062203E-2</v>
      </c>
      <c r="ES409" s="7">
        <v>9.234118959953555E-2</v>
      </c>
      <c r="ET409" s="7">
        <v>0.12164619843651953</v>
      </c>
      <c r="EU409" s="6">
        <v>1849.9999999999998</v>
      </c>
      <c r="EV409" s="6">
        <v>0</v>
      </c>
      <c r="EW409" s="6">
        <v>1849.9999999999998</v>
      </c>
      <c r="EX409" s="6">
        <v>0</v>
      </c>
      <c r="EY409" s="6">
        <v>2595.6898764823281</v>
      </c>
      <c r="EZ409" s="6">
        <v>-246</v>
      </c>
      <c r="FA409" s="6">
        <v>0</v>
      </c>
      <c r="FB409" s="6">
        <v>0</v>
      </c>
      <c r="FC409" s="6">
        <v>0</v>
      </c>
      <c r="FD409" s="6">
        <v>0</v>
      </c>
      <c r="FE409" s="6">
        <v>0</v>
      </c>
      <c r="FF409" s="6">
        <v>0</v>
      </c>
      <c r="FG409" s="6">
        <v>0</v>
      </c>
      <c r="FH409" s="6">
        <v>1153.2450736227377</v>
      </c>
      <c r="FI409" s="6">
        <v>1531.4299904380621</v>
      </c>
      <c r="FJ409" s="6">
        <v>2070.7205842538206</v>
      </c>
      <c r="FK409" s="6">
        <v>1746.9903521590431</v>
      </c>
      <c r="FL409" s="6">
        <v>893.91433563489352</v>
      </c>
      <c r="FM409" s="6">
        <v>1745.6898764823284</v>
      </c>
      <c r="FN409" s="6">
        <v>0</v>
      </c>
      <c r="FO409" s="6">
        <v>0</v>
      </c>
      <c r="FP409" s="6">
        <v>0</v>
      </c>
      <c r="FQ409" s="6">
        <v>0</v>
      </c>
      <c r="FR409" s="6">
        <v>0</v>
      </c>
      <c r="FS409" s="6">
        <v>0</v>
      </c>
      <c r="FT409" s="7">
        <v>0.87835380156348053</v>
      </c>
      <c r="FU409" s="7">
        <v>2.9305008836983917E-2</v>
      </c>
      <c r="FV409" s="7">
        <v>9.234118959953555E-2</v>
      </c>
      <c r="FW409" s="6">
        <v>1849.9999999999998</v>
      </c>
      <c r="FX409" s="6">
        <v>2595.6898764823281</v>
      </c>
      <c r="FY409" s="6">
        <v>-246</v>
      </c>
      <c r="FZ409" s="6">
        <v>1695.8504614767719</v>
      </c>
      <c r="GA409" s="6">
        <v>1678.3053150193373</v>
      </c>
      <c r="GB409" s="6">
        <v>18016.694684980663</v>
      </c>
      <c r="GC409" s="7">
        <v>8.1891069685915169E-2</v>
      </c>
      <c r="GD409" s="7">
        <v>8.1833963829763753E-2</v>
      </c>
      <c r="GE409" s="7"/>
      <c r="GF409" s="7"/>
      <c r="GG409" s="7">
        <v>-6.9733923821533976E-4</v>
      </c>
      <c r="GH409" s="42">
        <v>0.78278607305847858</v>
      </c>
      <c r="GI409" s="6">
        <v>26838.436132176314</v>
      </c>
      <c r="GJ409" s="14">
        <v>0.5107463060103955</v>
      </c>
      <c r="GK409" s="14">
        <v>0.5082951978616097</v>
      </c>
      <c r="GL409" s="14">
        <v>0.48925369398960417</v>
      </c>
      <c r="GM409" s="14">
        <v>0.49170480213839018</v>
      </c>
      <c r="GO409" s="5">
        <v>338.16872463277008</v>
      </c>
      <c r="GP409" s="5">
        <v>302.87425392274076</v>
      </c>
      <c r="GQ409" s="5">
        <v>527.27910984145694</v>
      </c>
      <c r="GR409" s="5">
        <v>404.20319246551543</v>
      </c>
      <c r="GS409" s="5">
        <v>334.50205195691484</v>
      </c>
      <c r="GT409" s="5">
        <v>289.18266033348181</v>
      </c>
      <c r="GU409" s="5">
        <v>254.29573314828914</v>
      </c>
      <c r="GV409" s="39" t="s">
        <v>392</v>
      </c>
      <c r="GW409" s="5">
        <v>468.76388888888891</v>
      </c>
      <c r="GX409" s="5">
        <v>351.57291666666669</v>
      </c>
      <c r="GY409" s="5">
        <v>281.25833333333333</v>
      </c>
      <c r="GZ409" s="5">
        <v>248.1807987949399</v>
      </c>
      <c r="HA409" s="5">
        <v>229.89195052129477</v>
      </c>
      <c r="HB409" s="39">
        <v>257.97480460401721</v>
      </c>
      <c r="HC409" s="5">
        <v>293.87812499999995</v>
      </c>
      <c r="HD409" s="5">
        <v>243.67143640350872</v>
      </c>
      <c r="HE409" s="5">
        <v>244.28647520242913</v>
      </c>
      <c r="HF409" s="5">
        <v>223.39192434210526</v>
      </c>
      <c r="HG409" s="5">
        <v>212.2899342105263</v>
      </c>
      <c r="HH409" s="39">
        <v>243.40459152899794</v>
      </c>
      <c r="HI409" s="16"/>
      <c r="HJ409" s="19" t="str">
        <f t="shared" si="1331"/>
        <v>On</v>
      </c>
      <c r="HK409" s="1" t="str">
        <f t="shared" si="1331"/>
        <v>On</v>
      </c>
      <c r="HL409" s="16"/>
      <c r="HM409" s="639">
        <f t="shared" si="1278"/>
        <v>6.6115095157691428E-2</v>
      </c>
      <c r="HN409" s="639">
        <f t="shared" si="1279"/>
        <v>2.3720927871164412E-3</v>
      </c>
      <c r="HO409" s="639">
        <f t="shared" si="1280"/>
        <v>7.7231033444443466E-3</v>
      </c>
      <c r="HP409" s="644">
        <f>(FT409*$GD409-HM409)/$JF409*INDEX(Input!$1:$1048576,$JG$93,$C409*2+6)</f>
        <v>140.60333518414515</v>
      </c>
      <c r="HQ409" s="644">
        <f>(FU409*$GD409-HN409)/$JF409*INDEX(Input!$1:$1048576,$JG$93,$C409*2+6)</f>
        <v>0.63549324695910758</v>
      </c>
      <c r="HR409" s="644">
        <f>(FV409*$GD409-HO409)/$JF409*INDEX(Input!$1:$1048576,$JG$93,$C409*2+6)</f>
        <v>-4.0604096643818153</v>
      </c>
      <c r="HS409" s="644">
        <f t="shared" si="1281"/>
        <v>-34.196400420025242</v>
      </c>
      <c r="HT409" s="644">
        <f t="shared" si="1282"/>
        <v>62.918680713962871</v>
      </c>
      <c r="HU409" s="644">
        <f t="shared" si="1283"/>
        <v>10.233654767601436</v>
      </c>
      <c r="HV409" s="648">
        <f t="shared" si="1284"/>
        <v>0</v>
      </c>
      <c r="HW409" s="648">
        <f t="shared" si="1285"/>
        <v>0</v>
      </c>
      <c r="HX409" s="648">
        <f t="shared" si="1286"/>
        <v>0</v>
      </c>
      <c r="HY409" s="644">
        <f>INDEX(Input!$1:$1048576,HY$93,$C409*2+6)*INDEX(Input!$1:$1048576,$JG$93,$C409*2+6)</f>
        <v>844</v>
      </c>
      <c r="HZ409" s="644">
        <f>INDEX(Input!$1:$1048576,HZ$93,$C409*2+6)*INDEX(Input!$1:$1048576,$JG$93,$C409*2+6)</f>
        <v>865</v>
      </c>
      <c r="IA409" s="644">
        <f>INDEX(Input!$1:$1048576,IA$93,$C409*2+6)*INDEX(Input!$1:$1048576,$JG$93,$C409*2+6)</f>
        <v>150</v>
      </c>
      <c r="IB409" s="644">
        <f t="shared" si="1310"/>
        <v>950.40693476412002</v>
      </c>
      <c r="IC409" s="644">
        <f t="shared" si="1311"/>
        <v>928.55417396092196</v>
      </c>
      <c r="ID409" s="644">
        <f>IF(AND(INDEX(Input!$1:$1048576,IA$93,$C409*2+7)="TOS",Y409&lt;=INDEX(Y:Y,MATCH(C409*1000+2,A:A))),0,1)*MAX(IA409+HR409+HU409+HX409,0%)</f>
        <v>156.17324510321964</v>
      </c>
      <c r="IE409" s="128">
        <f t="shared" si="1346"/>
        <v>0.46699960274186492</v>
      </c>
      <c r="IF409" s="128">
        <f t="shared" si="1333"/>
        <v>0.45626185426737664</v>
      </c>
      <c r="IG409" s="128">
        <f t="shared" si="1288"/>
        <v>7.6738542990758538E-2</v>
      </c>
      <c r="IH409" s="21"/>
      <c r="II409" s="19">
        <f t="shared" si="1289"/>
        <v>1199.9999999999998</v>
      </c>
      <c r="IJ409" s="19">
        <f t="shared" si="1290"/>
        <v>2195.4782357510435</v>
      </c>
      <c r="IK409" s="19">
        <f t="shared" si="1291"/>
        <v>-571</v>
      </c>
      <c r="IL409" s="19">
        <f t="shared" si="1313"/>
        <v>650</v>
      </c>
      <c r="IM409" s="19">
        <f t="shared" si="1292"/>
        <v>400.21164073128466</v>
      </c>
      <c r="IN409" s="19">
        <f t="shared" si="1293"/>
        <v>325</v>
      </c>
      <c r="IO409" s="39">
        <f t="shared" si="1294"/>
        <v>0</v>
      </c>
      <c r="IP409" s="39">
        <f t="shared" si="1295"/>
        <v>0</v>
      </c>
      <c r="IQ409" s="39">
        <f t="shared" si="1296"/>
        <v>0</v>
      </c>
      <c r="IR409" s="39">
        <v>0</v>
      </c>
      <c r="IS409" s="39">
        <v>0</v>
      </c>
      <c r="IT409" s="39">
        <v>0</v>
      </c>
      <c r="IU409" s="39">
        <v>0</v>
      </c>
      <c r="IV409" s="39">
        <v>0</v>
      </c>
      <c r="IW409" s="39">
        <v>0</v>
      </c>
      <c r="IX409" s="39">
        <f>INDEX(Input!$1:$1048576,IX$93,$C409*2+6)+INDEX(Input!$1:$1048576,IX$94,$C409*2+6)</f>
        <v>1600</v>
      </c>
      <c r="IY409" s="39">
        <f>INDEX(Input!$1:$1048576,IY$93,$C409*2+6)+INDEX(Input!$1:$1048576,IY$94,$C409*2+6)</f>
        <v>2503.549291639752</v>
      </c>
      <c r="IZ409" s="39">
        <f>INDEX(Input!$1:$1048576,IZ$93,$C409*2+6)+INDEX(Input!$1:$1048576,IZ$94,$C409*2+6)</f>
        <v>5413.7109265464023</v>
      </c>
      <c r="JA409" s="19">
        <f t="shared" si="1314"/>
        <v>2250</v>
      </c>
      <c r="JB409" s="19">
        <f t="shared" si="1315"/>
        <v>2903.7609323710367</v>
      </c>
      <c r="JC409" s="19">
        <f t="shared" si="1316"/>
        <v>5738.7109265464023</v>
      </c>
      <c r="JD409" s="19">
        <f t="shared" si="1317"/>
        <v>2816.0047686702883</v>
      </c>
      <c r="JE409" s="21"/>
      <c r="JF409" s="1">
        <f t="shared" si="1297"/>
        <v>7.6210291289252219E-2</v>
      </c>
      <c r="JG409" s="15">
        <f>INDEX(Input!$1:$1048576,JG$93,$C409*2+6)/(1+VLOOKUP(C409*1000+INDEX(Input!$1:$1048576,JG$93+1,$C409*2+6),$A:$KK,$JK$92,FALSE))</f>
        <v>1859</v>
      </c>
      <c r="JH409" s="1">
        <f t="shared" si="1318"/>
        <v>7.3791510901948604E-2</v>
      </c>
      <c r="JI409" s="1">
        <f t="shared" si="1319"/>
        <v>2.0955317408036075E-2</v>
      </c>
      <c r="JJ409" s="1">
        <f t="shared" si="1320"/>
        <v>0</v>
      </c>
      <c r="JK409" s="1">
        <f t="shared" si="1347"/>
        <v>9.4746828309984682E-2</v>
      </c>
      <c r="JL409" s="15">
        <f t="shared" si="1322"/>
        <v>176.13435382826151</v>
      </c>
      <c r="JM409" s="15">
        <f t="shared" si="1348"/>
        <v>2035.1343538282615</v>
      </c>
      <c r="JN409" s="21"/>
      <c r="JO409" s="19">
        <f>INDEX(Input!$1:$1048576,JO$93,$C409*2+6)</f>
        <v>5908.5</v>
      </c>
      <c r="JP409" s="19">
        <f>INDEX(Input!$1:$1048576,JP$93,$C409*2+6)</f>
        <v>2328.1478086338602</v>
      </c>
      <c r="JQ409" s="39">
        <f t="shared" si="1334"/>
        <v>3092.4952313297117</v>
      </c>
      <c r="JR409" s="39">
        <f t="shared" ref="JR409:JR461" si="1351">JD409-JP409</f>
        <v>487.85696003642806</v>
      </c>
      <c r="JS409" s="39">
        <f t="shared" si="1336"/>
        <v>5.7309480452651105</v>
      </c>
      <c r="JT409" s="39">
        <f t="shared" si="1324"/>
        <v>1.4029212690147637</v>
      </c>
      <c r="JU409" s="385">
        <f>(JQ409*JM409-INDEX(Input!$1:$1048576,Input!A$18,$C409*2+6)*JL409*INDEX(Input!$1:$1048576,Input!A$19,$C409*2+6))/1000000</f>
        <v>6.293643284329173</v>
      </c>
      <c r="JV409" s="39">
        <f t="shared" si="1300"/>
        <v>-0.36223143942048086</v>
      </c>
      <c r="JW409" s="1">
        <f t="shared" si="1349"/>
        <v>-5.4422815100163745E-2</v>
      </c>
      <c r="JX409" s="19">
        <f t="shared" si="1340"/>
        <v>7965.0632515600655</v>
      </c>
      <c r="JZ409" s="341"/>
      <c r="KA409" s="342"/>
      <c r="KB409" s="469">
        <f t="shared" si="1337"/>
        <v>2.3451977905499271</v>
      </c>
      <c r="KI409" s="473">
        <f t="shared" si="1338"/>
        <v>106.40693476412002</v>
      </c>
      <c r="KJ409" s="473">
        <f t="shared" si="1325"/>
        <v>63.554173960921958</v>
      </c>
      <c r="KK409" s="473">
        <f t="shared" si="1326"/>
        <v>6.1732451032196423</v>
      </c>
      <c r="KN409" s="544">
        <f t="shared" si="1341"/>
        <v>4002</v>
      </c>
      <c r="KO409" s="541">
        <f t="shared" si="1301"/>
        <v>1.8769448459088789E-2</v>
      </c>
      <c r="KP409" s="546">
        <f t="shared" si="1302"/>
        <v>116.80044311377605</v>
      </c>
      <c r="KQ409" s="546">
        <f t="shared" si="1303"/>
        <v>92.261207072292564</v>
      </c>
      <c r="KR409" s="548">
        <f t="shared" si="1304"/>
        <v>2.7272252956803618</v>
      </c>
      <c r="KS409" s="548">
        <f t="shared" si="1305"/>
        <v>3.4526008613454167</v>
      </c>
      <c r="KT409" s="473">
        <f t="shared" si="1339"/>
        <v>1050.27685337919</v>
      </c>
      <c r="KU409" s="663">
        <f t="shared" si="1327"/>
        <v>6.5583229331769752</v>
      </c>
      <c r="KV409" s="117" t="e">
        <f>RANK(KU409,$KU$109:$KU$200)</f>
        <v>#N/A</v>
      </c>
    </row>
    <row r="410" spans="1:310" s="26" customFormat="1" ht="15">
      <c r="A410" s="561">
        <f t="shared" si="1306"/>
        <v>4010</v>
      </c>
      <c r="B410" s="561">
        <f t="shared" si="1328"/>
        <v>10</v>
      </c>
      <c r="C410" s="561">
        <f t="shared" si="1329"/>
        <v>4</v>
      </c>
      <c r="D410" s="561" t="str">
        <f t="shared" si="1350"/>
        <v xml:space="preserve">500 CC, </v>
      </c>
      <c r="E410" s="475">
        <f>INDEX(Input!$1:$1048576,E$93,$C410*2+MIN($B410,2)+5)+IF(OR(BX410&gt;50000,INDEX(Input!$1:$1048576,E$93,$C410*2+MIN($B410,2)+5)&gt;0),0,250)+IF(BX410&gt;50000,500,250)*2</f>
        <v>1750</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1.8999999999999996E-2</v>
      </c>
      <c r="W410" s="862">
        <f>INDEX(Input!$1:$1048576,W$93,$C410*2+MIN($B410,2)+5)</f>
        <v>3.9E-2</v>
      </c>
      <c r="X410" s="118" t="str">
        <f>INDEX(Input!$1:$1048576,X$93,$C410*2+MIN($B410,2)+5)</f>
        <v>Y</v>
      </c>
      <c r="Y410" s="150">
        <f>INDEX(Input!$1:$1048576,Y$93,$C410*2+MIN($B410,2)+5)</f>
        <v>-2217</v>
      </c>
      <c r="Z410" s="30">
        <f>INDEX(Input!$1:$1048576,Z$93,$C410*2+MIN($B410,2)+5)</f>
        <v>0</v>
      </c>
      <c r="AA410" s="115">
        <f>INDEX(Input!$1:$1048576,AA$93,$C410*2+MIN($B410,2)+5)</f>
        <v>0</v>
      </c>
      <c r="AB410" s="118">
        <f>INDEX(Input!$1:$1048576,AB$93,$C410*2+MIN($B410,2)+5)</f>
        <v>1</v>
      </c>
      <c r="AC410" s="115">
        <f>INDEX(Input!$1:$1048576,AC$93,$C410*2+MIN($B410,2)+5)</f>
        <v>0</v>
      </c>
      <c r="AD410" s="118">
        <f>INDEX(Input!$1:$1048576,AD$93,$C410*2+MIN($B410,2)+5)</f>
        <v>0.35</v>
      </c>
      <c r="AE410" s="115">
        <f>INDEX(Input!$1:$1048576,AE$93,$C410*2+MIN($B410,2)+5)</f>
        <v>0</v>
      </c>
      <c r="AF410" s="118">
        <f>INDEX(Input!$1:$1048576,AF$93,$C410*2+MIN($B410,2)+5)</f>
        <v>1</v>
      </c>
      <c r="AG410" s="115">
        <f>INDEX(Input!$1:$1048576,AG$93,$C410*2+MIN($B410,2)+5)</f>
        <v>0</v>
      </c>
      <c r="AH410" s="118">
        <f>INDEX(Input!$1:$1048576,AH$93,$C410*2+MIN($B410,2)+5)</f>
        <v>1</v>
      </c>
      <c r="AI410" s="115">
        <f>INDEX(Input!$1:$1048576,AI$93,$C410*2+MIN($B410,2)+5)</f>
        <v>0</v>
      </c>
      <c r="AJ410" s="118">
        <f>INDEX(Input!$1:$1048576,AJ$93,$C410*2+MIN($B410,2)+5)</f>
        <v>0.35</v>
      </c>
      <c r="AK410" s="150">
        <f>ROUND(INDEX(Input!$1:$1048576,AK$93,$C409*2+MIN($B410,1)+5)+(Y410-VLOOKUP($C410*1000+1,$A:$HH,Y$92,FALSE)),0)</f>
        <v>4592</v>
      </c>
      <c r="AL410" s="150">
        <f>ROUND(INDEX(Input!$1:$1048576,AL$93,$C409*2+MIN($B410,1)+5)-(Y410-VLOOKUP($C410*1000+1,$A:$HH,Y$92,FALSE))/36,0)</f>
        <v>4743</v>
      </c>
      <c r="AM410" s="32" t="str">
        <f t="shared" si="1307"/>
        <v>std/std/std/std</v>
      </c>
      <c r="AN410" s="32" t="str">
        <f t="shared" si="1308"/>
        <v>$0 + 0/0/0/1.9/3.9</v>
      </c>
      <c r="AO410" s="32" t="str">
        <f t="shared" si="1309"/>
        <v>0/0/0/1.9/3.9</v>
      </c>
      <c r="AP410" s="32" t="str">
        <f t="shared" si="1125"/>
        <v>0/0.9/1.9/3.9</v>
      </c>
      <c r="AQ410" s="536">
        <f t="shared" si="1124"/>
        <v>0.48119536044366779</v>
      </c>
      <c r="AR410" s="32"/>
      <c r="AS410" s="302"/>
      <c r="AT410" s="3">
        <f t="shared" si="1330"/>
        <v>10</v>
      </c>
      <c r="AU410" s="41" t="s">
        <v>121</v>
      </c>
      <c r="AV410" s="41" t="s">
        <v>116</v>
      </c>
      <c r="AW410" s="41" t="str">
        <f>INDEX(Input!$1:$1048576,AW$93,$C410*2+6)</f>
        <v>Kia</v>
      </c>
      <c r="AX410" s="41" t="str">
        <f>INDEX(Input!$1:$1048576,AX$93,$C410*2+6)</f>
        <v>Kia-LR - R1</v>
      </c>
      <c r="AY410" s="41" t="str">
        <f>IF(LEN(D410)=0,"",INDEX(Input!$1:$1048576,AY$93,$C410*2+6))</f>
        <v>Compact Conventional/Sporty Car (43)</v>
      </c>
      <c r="AZ410" s="41" t="str">
        <f>INDEX(Input!$1:$1048576,AZ$93,$C410*2+6)</f>
        <v>Kia Forte</v>
      </c>
      <c r="BA410" s="3">
        <f>INDEX(Input!$1:$1048576,BA$93,$C410*2+6)</f>
        <v>2020</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19695</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1126"/>
        <v>2060</v>
      </c>
      <c r="CJ410" s="16" t="str">
        <f>INDEX(Input!$1:$1048576,CJ$93,$C410*2+6)</f>
        <v>N</v>
      </c>
      <c r="CK410" s="1" t="str">
        <f t="shared" si="1127"/>
        <v>Market</v>
      </c>
      <c r="CL410" s="1" t="str">
        <f t="shared" si="1128"/>
        <v>Market</v>
      </c>
      <c r="CM410" s="1" t="str">
        <f t="shared" si="1129"/>
        <v>Market</v>
      </c>
      <c r="CN410" s="1" t="str">
        <f t="shared" si="1130"/>
        <v>Market</v>
      </c>
      <c r="CO410" s="1" t="str">
        <f t="shared" si="1131"/>
        <v>Market</v>
      </c>
      <c r="CP410" s="304">
        <f t="shared" si="1132"/>
        <v>0</v>
      </c>
      <c r="CQ410" s="1">
        <f t="shared" si="1133"/>
        <v>0</v>
      </c>
      <c r="CR410" s="1">
        <f t="shared" si="1134"/>
        <v>0</v>
      </c>
      <c r="CS410" s="1">
        <f t="shared" si="1135"/>
        <v>0</v>
      </c>
      <c r="CT410" s="1">
        <f t="shared" si="1136"/>
        <v>1.8999999999999996E-2</v>
      </c>
      <c r="CU410" s="1">
        <f t="shared" si="1137"/>
        <v>3.9E-2</v>
      </c>
      <c r="CV410" s="304">
        <f t="shared" si="1138"/>
        <v>-2217</v>
      </c>
      <c r="CW410" s="20" t="s">
        <v>122</v>
      </c>
      <c r="CX410" s="20" t="s">
        <v>122</v>
      </c>
      <c r="CY410" s="20" t="s">
        <v>122</v>
      </c>
      <c r="CZ410" s="20" t="s">
        <v>122</v>
      </c>
      <c r="DA410" s="20" t="s">
        <v>122</v>
      </c>
      <c r="DB410" s="503">
        <f t="shared" si="1139"/>
        <v>0</v>
      </c>
      <c r="DC410" s="127">
        <v>0</v>
      </c>
      <c r="DD410" s="127">
        <v>0</v>
      </c>
      <c r="DE410" s="127">
        <v>0</v>
      </c>
      <c r="DF410" s="127">
        <v>0</v>
      </c>
      <c r="DG410" s="127">
        <v>0</v>
      </c>
      <c r="DH410" s="127">
        <v>0</v>
      </c>
      <c r="DI410" s="127">
        <v>0</v>
      </c>
      <c r="DJ410" s="127">
        <v>0</v>
      </c>
      <c r="DK410" s="127">
        <v>0</v>
      </c>
      <c r="DL410" s="127">
        <v>0</v>
      </c>
      <c r="DM410" s="304">
        <f>INDEX(Input!$1:$1048576,DM$93,$C410*2+6)</f>
        <v>20731.578947368424</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4.6877022820345476E-2</v>
      </c>
      <c r="DZ410" s="7">
        <v>0</v>
      </c>
      <c r="EA410" s="7">
        <v>0.83878310610823692</v>
      </c>
      <c r="EB410" s="7">
        <v>0</v>
      </c>
      <c r="EC410" s="7">
        <v>0</v>
      </c>
      <c r="ED410" s="7">
        <v>0</v>
      </c>
      <c r="EE410" s="7">
        <v>0</v>
      </c>
      <c r="EF410" s="7">
        <v>0</v>
      </c>
      <c r="EG410" s="7">
        <v>0</v>
      </c>
      <c r="EH410" s="7">
        <v>1.2280249472923596E-2</v>
      </c>
      <c r="EI410" s="7">
        <v>1.9719287437572678E-2</v>
      </c>
      <c r="EJ410" s="7">
        <v>0.18516001856583791</v>
      </c>
      <c r="EK410" s="7">
        <v>0.72470849944501414</v>
      </c>
      <c r="EL410" s="7">
        <v>5.8131945078652124E-2</v>
      </c>
      <c r="EM410" s="7">
        <v>2.7459826388523869E-2</v>
      </c>
      <c r="EN410" s="7">
        <v>4.6909522276780725E-2</v>
      </c>
      <c r="EO410" s="7">
        <v>0.57065215460228302</v>
      </c>
      <c r="EP410" s="7">
        <v>0.26954299750892424</v>
      </c>
      <c r="EQ410" s="7">
        <v>6.7895633734442143E-2</v>
      </c>
      <c r="ER410" s="7">
        <v>4.4999691877569782E-2</v>
      </c>
      <c r="ES410" s="7">
        <v>8.6880044682893773E-2</v>
      </c>
      <c r="ET410" s="7">
        <v>0.11433987107141765</v>
      </c>
      <c r="EU410" s="6">
        <v>2100</v>
      </c>
      <c r="EV410" s="6">
        <v>0</v>
      </c>
      <c r="EW410" s="6">
        <v>2100</v>
      </c>
      <c r="EX410" s="6">
        <v>0</v>
      </c>
      <c r="EY410" s="6">
        <v>2595.7991746689854</v>
      </c>
      <c r="EZ410" s="6">
        <v>-246</v>
      </c>
      <c r="FA410" s="6">
        <v>0</v>
      </c>
      <c r="FB410" s="6">
        <v>0</v>
      </c>
      <c r="FC410" s="6">
        <v>0</v>
      </c>
      <c r="FD410" s="6">
        <v>0</v>
      </c>
      <c r="FE410" s="6">
        <v>0</v>
      </c>
      <c r="FF410" s="6">
        <v>0</v>
      </c>
      <c r="FG410" s="6">
        <v>0</v>
      </c>
      <c r="FH410" s="6">
        <v>1153.2395152800384</v>
      </c>
      <c r="FI410" s="6">
        <v>1531.4299904380632</v>
      </c>
      <c r="FJ410" s="6">
        <v>2070.7205842538206</v>
      </c>
      <c r="FK410" s="6">
        <v>1746.9903521590445</v>
      </c>
      <c r="FL410" s="6">
        <v>893.91433563489443</v>
      </c>
      <c r="FM410" s="6">
        <v>1745.7991746689854</v>
      </c>
      <c r="FN410" s="6">
        <v>0</v>
      </c>
      <c r="FO410" s="6">
        <v>0</v>
      </c>
      <c r="FP410" s="6">
        <v>0</v>
      </c>
      <c r="FQ410" s="6">
        <v>0</v>
      </c>
      <c r="FR410" s="6">
        <v>0</v>
      </c>
      <c r="FS410" s="6">
        <v>0</v>
      </c>
      <c r="FT410" s="7">
        <v>0.88566012892858237</v>
      </c>
      <c r="FU410" s="7">
        <v>2.7459826388523869E-2</v>
      </c>
      <c r="FV410" s="7">
        <v>8.6880044682893773E-2</v>
      </c>
      <c r="FW410" s="6">
        <v>2100</v>
      </c>
      <c r="FX410" s="6">
        <v>2595.7991746689854</v>
      </c>
      <c r="FY410" s="6">
        <v>-246</v>
      </c>
      <c r="FZ410" s="6">
        <v>1695.8504614767719</v>
      </c>
      <c r="GA410" s="6">
        <v>1909.7939744339151</v>
      </c>
      <c r="GB410" s="6">
        <v>17785.206025566084</v>
      </c>
      <c r="GC410" s="7">
        <v>8.1891069685915169E-2</v>
      </c>
      <c r="GD410" s="7">
        <v>8.3974762543251577E-2</v>
      </c>
      <c r="GE410" s="7"/>
      <c r="GF410" s="7"/>
      <c r="GG410" s="7">
        <v>2.5444689699721829E-2</v>
      </c>
      <c r="GH410" s="42">
        <v>2.3423620408458357</v>
      </c>
      <c r="GI410" s="6">
        <v>10317.973263784108</v>
      </c>
      <c r="GJ410" s="14">
        <v>0.51074630601039539</v>
      </c>
      <c r="GK410" s="14">
        <v>0.50829519786160959</v>
      </c>
      <c r="GL410" s="14">
        <v>0.48925369398960417</v>
      </c>
      <c r="GM410" s="14">
        <v>0.49170480213839035</v>
      </c>
      <c r="GO410" s="5">
        <v>338.16872463277008</v>
      </c>
      <c r="GP410" s="5">
        <v>298.1047308538179</v>
      </c>
      <c r="GQ410" s="5">
        <v>527.27910984145694</v>
      </c>
      <c r="GR410" s="5">
        <v>404.20319246551543</v>
      </c>
      <c r="GS410" s="5">
        <v>334.50205195691484</v>
      </c>
      <c r="GT410" s="5">
        <v>289.18266033348181</v>
      </c>
      <c r="GU410" s="5">
        <v>254.29573314828914</v>
      </c>
      <c r="GV410" s="39" t="s">
        <v>392</v>
      </c>
      <c r="GW410" s="5">
        <v>468.76388888888891</v>
      </c>
      <c r="GX410" s="5">
        <v>351.57291666666669</v>
      </c>
      <c r="GY410" s="5">
        <v>281.25833333333333</v>
      </c>
      <c r="GZ410" s="5">
        <v>248.1807987949399</v>
      </c>
      <c r="HA410" s="5">
        <v>229.89195052129477</v>
      </c>
      <c r="HB410" s="39">
        <v>257.98990364773977</v>
      </c>
      <c r="HC410" s="5">
        <v>293.87812499999995</v>
      </c>
      <c r="HD410" s="5">
        <v>243.67143640350872</v>
      </c>
      <c r="HE410" s="5">
        <v>244.28647520242913</v>
      </c>
      <c r="HF410" s="5">
        <v>223.39192434210526</v>
      </c>
      <c r="HG410" s="5">
        <v>212.2899342105263</v>
      </c>
      <c r="HH410" s="39">
        <v>243.40333932954073</v>
      </c>
      <c r="HI410" s="16"/>
      <c r="HJ410" s="19" t="str">
        <f t="shared" si="1331"/>
        <v>On</v>
      </c>
      <c r="HK410" s="1" t="str">
        <f t="shared" si="1331"/>
        <v>On</v>
      </c>
      <c r="HL410" s="16"/>
      <c r="HM410" s="639">
        <f t="shared" si="1278"/>
        <v>6.6115095157691428E-2</v>
      </c>
      <c r="HN410" s="639">
        <f t="shared" si="1279"/>
        <v>2.3720927871164412E-3</v>
      </c>
      <c r="HO410" s="639">
        <f t="shared" si="1280"/>
        <v>7.7231033444443466E-3</v>
      </c>
      <c r="HP410" s="644">
        <f>(FT410*$GD410-HM410)/$JF410*INDEX(Input!$1:$1048576,$JG$93,$C410*2+6)</f>
        <v>201.43774445446789</v>
      </c>
      <c r="HQ410" s="644">
        <f>(FU410*$GD410-HN410)/$JF410*INDEX(Input!$1:$1048576,$JG$93,$C410*2+6)</f>
        <v>-1.6138523645897977</v>
      </c>
      <c r="HR410" s="644">
        <f>(FV410*$GD410-HO410)/$JF410*INDEX(Input!$1:$1048576,$JG$93,$C410*2+6)</f>
        <v>-10.424903882356995</v>
      </c>
      <c r="HS410" s="644">
        <f t="shared" si="1281"/>
        <v>-47.317195210383986</v>
      </c>
      <c r="HT410" s="644">
        <f t="shared" si="1282"/>
        <v>61.675734865718439</v>
      </c>
      <c r="HU410" s="644">
        <f t="shared" si="1283"/>
        <v>11.494701676109312</v>
      </c>
      <c r="HV410" s="648">
        <f t="shared" si="1284"/>
        <v>0</v>
      </c>
      <c r="HW410" s="648">
        <f t="shared" si="1285"/>
        <v>0</v>
      </c>
      <c r="HX410" s="648">
        <f t="shared" si="1286"/>
        <v>0</v>
      </c>
      <c r="HY410" s="644">
        <f>INDEX(Input!$1:$1048576,HY$93,$C410*2+6)*INDEX(Input!$1:$1048576,$JG$93,$C410*2+6)</f>
        <v>844</v>
      </c>
      <c r="HZ410" s="644">
        <f>INDEX(Input!$1:$1048576,HZ$93,$C410*2+6)*INDEX(Input!$1:$1048576,$JG$93,$C410*2+6)</f>
        <v>865</v>
      </c>
      <c r="IA410" s="644">
        <f>INDEX(Input!$1:$1048576,IA$93,$C410*2+6)*INDEX(Input!$1:$1048576,$JG$93,$C410*2+6)</f>
        <v>150</v>
      </c>
      <c r="IB410" s="644">
        <f t="shared" si="1310"/>
        <v>998.1205492440838</v>
      </c>
      <c r="IC410" s="644">
        <f t="shared" si="1311"/>
        <v>925.06188250112871</v>
      </c>
      <c r="ID410" s="644">
        <f>IF(AND(INDEX(Input!$1:$1048576,IA$93,$C410*2+7)="TOS",Y410&lt;=INDEX(Y:Y,MATCH(C410*1000+2,A:A))),0,1)*MAX(IA410+HR410+HU410+HX410,0%)</f>
        <v>151.06979779375231</v>
      </c>
      <c r="IE410" s="128">
        <f t="shared" si="1346"/>
        <v>0.48119536044366779</v>
      </c>
      <c r="IF410" s="128">
        <f t="shared" si="1333"/>
        <v>0.4459736715369173</v>
      </c>
      <c r="IG410" s="128">
        <f t="shared" si="1288"/>
        <v>7.2830968019414855E-2</v>
      </c>
      <c r="IH410" s="21"/>
      <c r="II410" s="19">
        <f t="shared" si="1289"/>
        <v>1199.9999999999998</v>
      </c>
      <c r="IJ410" s="19">
        <f t="shared" si="1290"/>
        <v>2195.4782357510435</v>
      </c>
      <c r="IK410" s="19">
        <f t="shared" si="1291"/>
        <v>-571</v>
      </c>
      <c r="IL410" s="19">
        <f t="shared" si="1313"/>
        <v>900.00000000000023</v>
      </c>
      <c r="IM410" s="19">
        <f t="shared" si="1292"/>
        <v>400.32093891794193</v>
      </c>
      <c r="IN410" s="19">
        <f t="shared" si="1293"/>
        <v>325</v>
      </c>
      <c r="IO410" s="39">
        <f t="shared" si="1294"/>
        <v>0</v>
      </c>
      <c r="IP410" s="39">
        <f t="shared" si="1295"/>
        <v>0</v>
      </c>
      <c r="IQ410" s="39">
        <f t="shared" si="1296"/>
        <v>0</v>
      </c>
      <c r="IR410" s="39">
        <v>0</v>
      </c>
      <c r="IS410" s="39">
        <v>0</v>
      </c>
      <c r="IT410" s="39">
        <v>0</v>
      </c>
      <c r="IU410" s="39">
        <v>0</v>
      </c>
      <c r="IV410" s="39">
        <v>0</v>
      </c>
      <c r="IW410" s="39">
        <v>0</v>
      </c>
      <c r="IX410" s="39">
        <f>INDEX(Input!$1:$1048576,IX$93,$C410*2+6)+INDEX(Input!$1:$1048576,IX$94,$C410*2+6)</f>
        <v>1600</v>
      </c>
      <c r="IY410" s="39">
        <f>INDEX(Input!$1:$1048576,IY$93,$C410*2+6)+INDEX(Input!$1:$1048576,IY$94,$C410*2+6)</f>
        <v>2503.549291639752</v>
      </c>
      <c r="IZ410" s="39">
        <f>INDEX(Input!$1:$1048576,IZ$93,$C410*2+6)+INDEX(Input!$1:$1048576,IZ$94,$C410*2+6)</f>
        <v>5413.7109265464023</v>
      </c>
      <c r="JA410" s="19">
        <f t="shared" si="1314"/>
        <v>2500</v>
      </c>
      <c r="JB410" s="19">
        <f t="shared" si="1315"/>
        <v>2903.870230557694</v>
      </c>
      <c r="JC410" s="19">
        <f t="shared" si="1316"/>
        <v>5738.7109265464023</v>
      </c>
      <c r="JD410" s="19">
        <f t="shared" si="1317"/>
        <v>2915.9939414617061</v>
      </c>
      <c r="JE410" s="21"/>
      <c r="JF410" s="1">
        <f t="shared" si="1297"/>
        <v>7.6210291289252219E-2</v>
      </c>
      <c r="JG410" s="15">
        <f>INDEX(Input!$1:$1048576,JG$93,$C410*2+6)/(1+VLOOKUP(C410*1000+INDEX(Input!$1:$1048576,JG$93+1,$C410*2+6),$A:$KK,$JK$92,FALSE))</f>
        <v>1859</v>
      </c>
      <c r="JH410" s="1">
        <f t="shared" si="1318"/>
        <v>0.10188218838489568</v>
      </c>
      <c r="JI410" s="1">
        <f t="shared" si="1319"/>
        <v>1.390706903251413E-2</v>
      </c>
      <c r="JJ410" s="1">
        <f t="shared" si="1320"/>
        <v>0</v>
      </c>
      <c r="JK410" s="1">
        <f t="shared" si="1347"/>
        <v>0.11578925741740981</v>
      </c>
      <c r="JL410" s="15">
        <f t="shared" si="1322"/>
        <v>215.25222953896483</v>
      </c>
      <c r="JM410" s="15">
        <f t="shared" si="1348"/>
        <v>2074.2522295389649</v>
      </c>
      <c r="JN410" s="21"/>
      <c r="JO410" s="19">
        <f>INDEX(Input!$1:$1048576,JO$93,$C410*2+6)</f>
        <v>5908.5</v>
      </c>
      <c r="JP410" s="19">
        <f>INDEX(Input!$1:$1048576,JP$93,$C410*2+6)</f>
        <v>2328.1478086338602</v>
      </c>
      <c r="JQ410" s="39">
        <f t="shared" si="1334"/>
        <v>2992.5060585382939</v>
      </c>
      <c r="JR410" s="39">
        <f t="shared" si="1351"/>
        <v>587.84613282784585</v>
      </c>
      <c r="JS410" s="39">
        <f t="shared" si="1336"/>
        <v>6.0485069343990583</v>
      </c>
      <c r="JT410" s="39">
        <f t="shared" si="1324"/>
        <v>1.7204801581487115</v>
      </c>
      <c r="JU410" s="385">
        <f>(JQ410*JM410-INDEX(Input!$1:$1048576,Input!A$18,$C410*2+6)*JL410*INDEX(Input!$1:$1048576,Input!A$19,$C410*2+6))/1000000</f>
        <v>6.2072123638319168</v>
      </c>
      <c r="JV410" s="39">
        <f t="shared" si="1300"/>
        <v>-0.44866235991773706</v>
      </c>
      <c r="JW410" s="1">
        <f t="shared" si="1349"/>
        <v>-6.7408474248592615E-2</v>
      </c>
      <c r="JX410" s="19">
        <f t="shared" si="1340"/>
        <v>7992.8563891472786</v>
      </c>
      <c r="JZ410" s="341"/>
      <c r="KA410" s="342"/>
      <c r="KB410" s="469">
        <f t="shared" si="1337"/>
        <v>2.3451977905499271</v>
      </c>
      <c r="KI410" s="473">
        <f t="shared" si="1338"/>
        <v>154.1205492440838</v>
      </c>
      <c r="KJ410" s="473">
        <f t="shared" si="1325"/>
        <v>60.061882501128707</v>
      </c>
      <c r="KK410" s="473">
        <f t="shared" si="1326"/>
        <v>1.0697977937523149</v>
      </c>
      <c r="KN410" s="544">
        <f t="shared" si="1341"/>
        <v>4002</v>
      </c>
      <c r="KO410" s="541">
        <f t="shared" si="1301"/>
        <v>3.8351495505623667E-2</v>
      </c>
      <c r="KP410" s="546">
        <f t="shared" si="1302"/>
        <v>240.69582708981511</v>
      </c>
      <c r="KQ410" s="546">
        <f t="shared" si="1303"/>
        <v>192.25037986371035</v>
      </c>
      <c r="KR410" s="548">
        <f t="shared" si="1304"/>
        <v>2.7041310723649952</v>
      </c>
      <c r="KS410" s="548">
        <f t="shared" si="1305"/>
        <v>3.3855489153445442</v>
      </c>
      <c r="KT410" s="473">
        <f t="shared" si="1339"/>
        <v>1050.27685337919</v>
      </c>
      <c r="KU410" s="663">
        <f t="shared" si="1327"/>
        <v>6.5849994974670256</v>
      </c>
      <c r="KV410" s="117" t="e">
        <f t="shared" ref="KV410:KV411" si="1352">RANK(KU410,$KU$109:$KU$200)</f>
        <v>#N/A</v>
      </c>
    </row>
    <row r="411" spans="1:310" s="26" customFormat="1" ht="15">
      <c r="A411" s="561">
        <f t="shared" si="1306"/>
        <v>4011</v>
      </c>
      <c r="B411" s="561">
        <f t="shared" si="1328"/>
        <v>11</v>
      </c>
      <c r="C411" s="561">
        <f t="shared" si="1329"/>
        <v>4</v>
      </c>
      <c r="D411" s="561" t="str">
        <f t="shared" si="1350"/>
        <v xml:space="preserve">750 CC, </v>
      </c>
      <c r="E411" s="475">
        <f>INDEX(Input!$1:$1048576,E$93,$C411*2+MIN($B411,2)+5)+IF(OR(BX411&gt;50000,INDEX(Input!$1:$1048576,E$93,$C411*2+MIN($B411,2)+5)&gt;0),0,250)+IF(BX411&gt;50000,500,250)*3</f>
        <v>2000</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1.8999999999999996E-2</v>
      </c>
      <c r="W411" s="862">
        <f>INDEX(Input!$1:$1048576,W$93,$C411*2+MIN($B411,2)+5)</f>
        <v>3.9E-2</v>
      </c>
      <c r="X411" s="118" t="str">
        <f>INDEX(Input!$1:$1048576,X$93,$C411*2+MIN($B411,2)+5)</f>
        <v>Y</v>
      </c>
      <c r="Y411" s="150">
        <f>INDEX(Input!$1:$1048576,Y$93,$C411*2+MIN($B411,2)+5)</f>
        <v>-2217</v>
      </c>
      <c r="Z411" s="30">
        <f>INDEX(Input!$1:$1048576,Z$93,$C411*2+MIN($B411,2)+5)</f>
        <v>0</v>
      </c>
      <c r="AA411" s="115">
        <f>INDEX(Input!$1:$1048576,AA$93,$C411*2+MIN($B411,2)+5)</f>
        <v>0</v>
      </c>
      <c r="AB411" s="118">
        <f>INDEX(Input!$1:$1048576,AB$93,$C411*2+MIN($B411,2)+5)</f>
        <v>1</v>
      </c>
      <c r="AC411" s="115">
        <f>INDEX(Input!$1:$1048576,AC$93,$C411*2+MIN($B411,2)+5)</f>
        <v>0</v>
      </c>
      <c r="AD411" s="118">
        <f>INDEX(Input!$1:$1048576,AD$93,$C411*2+MIN($B411,2)+5)</f>
        <v>0.35</v>
      </c>
      <c r="AE411" s="115">
        <f>INDEX(Input!$1:$1048576,AE$93,$C411*2+MIN($B411,2)+5)</f>
        <v>0</v>
      </c>
      <c r="AF411" s="118">
        <f>INDEX(Input!$1:$1048576,AF$93,$C411*2+MIN($B411,2)+5)</f>
        <v>1</v>
      </c>
      <c r="AG411" s="115">
        <f>INDEX(Input!$1:$1048576,AG$93,$C411*2+MIN($B411,2)+5)</f>
        <v>0</v>
      </c>
      <c r="AH411" s="118">
        <f>INDEX(Input!$1:$1048576,AH$93,$C411*2+MIN($B411,2)+5)</f>
        <v>1</v>
      </c>
      <c r="AI411" s="115">
        <f>INDEX(Input!$1:$1048576,AI$93,$C411*2+MIN($B411,2)+5)</f>
        <v>0</v>
      </c>
      <c r="AJ411" s="118">
        <f>INDEX(Input!$1:$1048576,AJ$93,$C411*2+MIN($B411,2)+5)</f>
        <v>0.35</v>
      </c>
      <c r="AK411" s="150">
        <f>ROUND(INDEX(Input!$1:$1048576,AK$93,$C410*2+MIN($B411,1)+5)+(Y411-VLOOKUP($C411*1000+1,$A:$HH,Y$92,FALSE)),0)</f>
        <v>4592</v>
      </c>
      <c r="AL411" s="150">
        <f>ROUND(INDEX(Input!$1:$1048576,AL$93,$C410*2+MIN($B411,1)+5)-(Y411-VLOOKUP($C411*1000+1,$A:$HH,Y$92,FALSE))/36,0)</f>
        <v>4743</v>
      </c>
      <c r="AM411" s="32" t="str">
        <f t="shared" si="1307"/>
        <v>std/std/std/std</v>
      </c>
      <c r="AN411" s="32" t="str">
        <f t="shared" si="1308"/>
        <v>$0 + 0/0/0/1.9/3.9</v>
      </c>
      <c r="AO411" s="32" t="str">
        <f t="shared" si="1309"/>
        <v>0/0/0/1.9/3.9</v>
      </c>
      <c r="AP411" s="32" t="str">
        <f t="shared" si="1125"/>
        <v>0/0.9/1.9/3.9</v>
      </c>
      <c r="AQ411" s="536">
        <f t="shared" si="1124"/>
        <v>0.49516340392389685</v>
      </c>
      <c r="AR411" s="32"/>
      <c r="AS411" s="302"/>
      <c r="AT411" s="3">
        <f t="shared" si="1330"/>
        <v>11</v>
      </c>
      <c r="AU411" s="41" t="s">
        <v>121</v>
      </c>
      <c r="AV411" s="41" t="s">
        <v>116</v>
      </c>
      <c r="AW411" s="41" t="str">
        <f>INDEX(Input!$1:$1048576,AW$93,$C411*2+6)</f>
        <v>Kia</v>
      </c>
      <c r="AX411" s="41" t="str">
        <f>INDEX(Input!$1:$1048576,AX$93,$C411*2+6)</f>
        <v>Kia-LR - R1</v>
      </c>
      <c r="AY411" s="41" t="str">
        <f>IF(LEN(D411)=0,"",INDEX(Input!$1:$1048576,AY$93,$C411*2+6))</f>
        <v>Compact Conventional/Sporty Car (43)</v>
      </c>
      <c r="AZ411" s="41" t="str">
        <f>INDEX(Input!$1:$1048576,AZ$93,$C411*2+6)</f>
        <v>Kia Forte</v>
      </c>
      <c r="BA411" s="3">
        <f>INDEX(Input!$1:$1048576,BA$93,$C411*2+6)</f>
        <v>2020</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19695</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1126"/>
        <v>2310</v>
      </c>
      <c r="CJ411" s="16" t="str">
        <f>INDEX(Input!$1:$1048576,CJ$93,$C411*2+6)</f>
        <v>N</v>
      </c>
      <c r="CK411" s="1" t="str">
        <f t="shared" si="1127"/>
        <v>Market</v>
      </c>
      <c r="CL411" s="1" t="str">
        <f t="shared" si="1128"/>
        <v>Market</v>
      </c>
      <c r="CM411" s="1" t="str">
        <f t="shared" si="1129"/>
        <v>Market</v>
      </c>
      <c r="CN411" s="1" t="str">
        <f t="shared" si="1130"/>
        <v>Market</v>
      </c>
      <c r="CO411" s="1" t="str">
        <f t="shared" si="1131"/>
        <v>Market</v>
      </c>
      <c r="CP411" s="304">
        <f t="shared" si="1132"/>
        <v>0</v>
      </c>
      <c r="CQ411" s="1">
        <f t="shared" si="1133"/>
        <v>0</v>
      </c>
      <c r="CR411" s="1">
        <f t="shared" si="1134"/>
        <v>0</v>
      </c>
      <c r="CS411" s="1">
        <f t="shared" si="1135"/>
        <v>0</v>
      </c>
      <c r="CT411" s="1">
        <f t="shared" si="1136"/>
        <v>1.8999999999999996E-2</v>
      </c>
      <c r="CU411" s="1">
        <f t="shared" si="1137"/>
        <v>3.9E-2</v>
      </c>
      <c r="CV411" s="304">
        <f t="shared" si="1138"/>
        <v>-2217</v>
      </c>
      <c r="CW411" s="20" t="s">
        <v>122</v>
      </c>
      <c r="CX411" s="20" t="s">
        <v>122</v>
      </c>
      <c r="CY411" s="20" t="s">
        <v>122</v>
      </c>
      <c r="CZ411" s="20" t="s">
        <v>122</v>
      </c>
      <c r="DA411" s="20" t="s">
        <v>122</v>
      </c>
      <c r="DB411" s="503">
        <f t="shared" si="1139"/>
        <v>0</v>
      </c>
      <c r="DC411" s="127">
        <v>0</v>
      </c>
      <c r="DD411" s="127">
        <v>0</v>
      </c>
      <c r="DE411" s="127">
        <v>0</v>
      </c>
      <c r="DF411" s="127">
        <v>0</v>
      </c>
      <c r="DG411" s="127">
        <v>0</v>
      </c>
      <c r="DH411" s="127">
        <v>0</v>
      </c>
      <c r="DI411" s="127">
        <v>0</v>
      </c>
      <c r="DJ411" s="127">
        <v>0</v>
      </c>
      <c r="DK411" s="127">
        <v>0</v>
      </c>
      <c r="DL411" s="127">
        <v>0</v>
      </c>
      <c r="DM411" s="304">
        <f>INDEX(Input!$1:$1048576,DM$93,$C411*2+6)</f>
        <v>20731.578947368424</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4.7434384472680953E-2</v>
      </c>
      <c r="DZ411" s="7">
        <v>0</v>
      </c>
      <c r="EA411" s="7">
        <v>0.84515552854191256</v>
      </c>
      <c r="EB411" s="7">
        <v>0</v>
      </c>
      <c r="EC411" s="7">
        <v>0</v>
      </c>
      <c r="ED411" s="7">
        <v>0</v>
      </c>
      <c r="EE411" s="7">
        <v>0</v>
      </c>
      <c r="EF411" s="7">
        <v>0</v>
      </c>
      <c r="EG411" s="7">
        <v>0</v>
      </c>
      <c r="EH411" s="7">
        <v>1.2294989376844494E-2</v>
      </c>
      <c r="EI411" s="7">
        <v>1.974601859716954E-2</v>
      </c>
      <c r="EJ411" s="7">
        <v>0.18539603738642174</v>
      </c>
      <c r="EK411" s="7">
        <v>0.72448484740328045</v>
      </c>
      <c r="EL411" s="7">
        <v>5.8078107236284093E-2</v>
      </c>
      <c r="EM411" s="7">
        <v>2.5718142828464248E-2</v>
      </c>
      <c r="EN411" s="7">
        <v>4.6886282069848614E-2</v>
      </c>
      <c r="EO411" s="7">
        <v>0.57056963041716824</v>
      </c>
      <c r="EP411" s="7">
        <v>0.26964882453235772</v>
      </c>
      <c r="EQ411" s="7">
        <v>6.78857894947167E-2</v>
      </c>
      <c r="ER411" s="7">
        <v>4.5009473485908294E-2</v>
      </c>
      <c r="ES411" s="7">
        <v>8.1691944156942337E-2</v>
      </c>
      <c r="ET411" s="7">
        <v>0.10741008698540651</v>
      </c>
      <c r="EU411" s="6">
        <v>2350</v>
      </c>
      <c r="EV411" s="6">
        <v>0</v>
      </c>
      <c r="EW411" s="6">
        <v>2350</v>
      </c>
      <c r="EX411" s="6">
        <v>0</v>
      </c>
      <c r="EY411" s="6">
        <v>2595.9069274685135</v>
      </c>
      <c r="EZ411" s="6">
        <v>-246</v>
      </c>
      <c r="FA411" s="6">
        <v>0</v>
      </c>
      <c r="FB411" s="6">
        <v>0</v>
      </c>
      <c r="FC411" s="6">
        <v>0</v>
      </c>
      <c r="FD411" s="6">
        <v>0</v>
      </c>
      <c r="FE411" s="6">
        <v>0</v>
      </c>
      <c r="FF411" s="6">
        <v>0</v>
      </c>
      <c r="FG411" s="6">
        <v>0</v>
      </c>
      <c r="FH411" s="6">
        <v>1153.2340340696949</v>
      </c>
      <c r="FI411" s="6">
        <v>1531.4299904380609</v>
      </c>
      <c r="FJ411" s="6">
        <v>2070.7205842538233</v>
      </c>
      <c r="FK411" s="6">
        <v>1746.9903521590431</v>
      </c>
      <c r="FL411" s="6">
        <v>893.91433563489397</v>
      </c>
      <c r="FM411" s="6">
        <v>1745.9069274685132</v>
      </c>
      <c r="FN411" s="6">
        <v>0</v>
      </c>
      <c r="FO411" s="6">
        <v>0</v>
      </c>
      <c r="FP411" s="6">
        <v>0</v>
      </c>
      <c r="FQ411" s="6">
        <v>0</v>
      </c>
      <c r="FR411" s="6">
        <v>0</v>
      </c>
      <c r="FS411" s="6">
        <v>0</v>
      </c>
      <c r="FT411" s="7">
        <v>0.89258991301459356</v>
      </c>
      <c r="FU411" s="7">
        <v>2.5718142828464248E-2</v>
      </c>
      <c r="FV411" s="7">
        <v>8.1691944156942337E-2</v>
      </c>
      <c r="FW411" s="6">
        <v>2350</v>
      </c>
      <c r="FX411" s="6">
        <v>2595.906927468513</v>
      </c>
      <c r="FY411" s="6">
        <v>-246</v>
      </c>
      <c r="FZ411" s="6">
        <v>1695.8504614767719</v>
      </c>
      <c r="GA411" s="6">
        <v>2144.2519824517221</v>
      </c>
      <c r="GB411" s="6">
        <v>17550.748017548278</v>
      </c>
      <c r="GC411" s="7">
        <v>8.1891069685915169E-2</v>
      </c>
      <c r="GD411" s="7">
        <v>8.618334626235459E-2</v>
      </c>
      <c r="GE411" s="7"/>
      <c r="GF411" s="7"/>
      <c r="GG411" s="7">
        <v>5.2414464640674618E-2</v>
      </c>
      <c r="GH411" s="42">
        <v>2.3021841648832315</v>
      </c>
      <c r="GI411" s="6">
        <v>10699.171393514111</v>
      </c>
      <c r="GJ411" s="14">
        <v>0.51074630601039572</v>
      </c>
      <c r="GK411" s="14">
        <v>0.50829519786160993</v>
      </c>
      <c r="GL411" s="14">
        <v>0.4892536939896045</v>
      </c>
      <c r="GM411" s="14">
        <v>0.49170480213839024</v>
      </c>
      <c r="GO411" s="5">
        <v>338.16872463277008</v>
      </c>
      <c r="GP411" s="5">
        <v>293.33520778489498</v>
      </c>
      <c r="GQ411" s="5">
        <v>527.27910984145694</v>
      </c>
      <c r="GR411" s="5">
        <v>404.20319246551543</v>
      </c>
      <c r="GS411" s="5">
        <v>334.50205195691484</v>
      </c>
      <c r="GT411" s="5">
        <v>289.18266033348181</v>
      </c>
      <c r="GU411" s="5">
        <v>254.29573314828914</v>
      </c>
      <c r="GV411" s="39" t="s">
        <v>392</v>
      </c>
      <c r="GW411" s="5">
        <v>468.76388888888891</v>
      </c>
      <c r="GX411" s="5">
        <v>351.57291666666669</v>
      </c>
      <c r="GY411" s="5">
        <v>281.25833333333333</v>
      </c>
      <c r="GZ411" s="5">
        <v>248.1807987949399</v>
      </c>
      <c r="HA411" s="5">
        <v>229.89195052129477</v>
      </c>
      <c r="HB411" s="39">
        <v>258.00471036531826</v>
      </c>
      <c r="HC411" s="5">
        <v>293.87812499999995</v>
      </c>
      <c r="HD411" s="5">
        <v>243.67143640350872</v>
      </c>
      <c r="HE411" s="5">
        <v>244.28647520242913</v>
      </c>
      <c r="HF411" s="5">
        <v>223.39192434210526</v>
      </c>
      <c r="HG411" s="5">
        <v>212.2899342105263</v>
      </c>
      <c r="HH411" s="39">
        <v>243.40213027824845</v>
      </c>
      <c r="HI411" s="16"/>
      <c r="HJ411" s="19" t="str">
        <f t="shared" si="1331"/>
        <v>On</v>
      </c>
      <c r="HK411" s="1" t="str">
        <f t="shared" si="1331"/>
        <v>On</v>
      </c>
      <c r="HL411" s="16"/>
      <c r="HM411" s="639">
        <f t="shared" si="1278"/>
        <v>6.6115095157691428E-2</v>
      </c>
      <c r="HN411" s="639">
        <f t="shared" si="1279"/>
        <v>2.3720927871164412E-3</v>
      </c>
      <c r="HO411" s="639">
        <f t="shared" si="1280"/>
        <v>7.7231033444443466E-3</v>
      </c>
      <c r="HP411" s="644">
        <f>(FT411*$GD411-HM411)/$JF411*INDEX(Input!$1:$1048576,$JG$93,$C411*2+6)</f>
        <v>263.72014182655062</v>
      </c>
      <c r="HQ411" s="644">
        <f>(FU411*$GD411-HN411)/$JF411*INDEX(Input!$1:$1048576,$JG$93,$C411*2+6)</f>
        <v>-3.795974663645624</v>
      </c>
      <c r="HR411" s="644">
        <f>(FV411*$GD411-HO411)/$JF411*INDEX(Input!$1:$1048576,$JG$93,$C411*2+6)</f>
        <v>-16.651127769444834</v>
      </c>
      <c r="HS411" s="644">
        <f t="shared" si="1281"/>
        <v>-60.437989682590384</v>
      </c>
      <c r="HT411" s="644">
        <f t="shared" si="1282"/>
        <v>60.432533401411661</v>
      </c>
      <c r="HU411" s="644">
        <f t="shared" si="1283"/>
        <v>12.755748266464867</v>
      </c>
      <c r="HV411" s="648">
        <f t="shared" si="1284"/>
        <v>0</v>
      </c>
      <c r="HW411" s="648">
        <f t="shared" si="1285"/>
        <v>0</v>
      </c>
      <c r="HX411" s="648">
        <f t="shared" si="1286"/>
        <v>0</v>
      </c>
      <c r="HY411" s="644">
        <f>INDEX(Input!$1:$1048576,HY$93,$C411*2+6)*INDEX(Input!$1:$1048576,$JG$93,$C411*2+6)</f>
        <v>844</v>
      </c>
      <c r="HZ411" s="644">
        <f>INDEX(Input!$1:$1048576,HZ$93,$C411*2+6)*INDEX(Input!$1:$1048576,$JG$93,$C411*2+6)</f>
        <v>865</v>
      </c>
      <c r="IA411" s="644">
        <f>INDEX(Input!$1:$1048576,IA$93,$C411*2+6)*INDEX(Input!$1:$1048576,$JG$93,$C411*2+6)</f>
        <v>150</v>
      </c>
      <c r="IB411" s="644">
        <f t="shared" si="1310"/>
        <v>1047.2821521439603</v>
      </c>
      <c r="IC411" s="644">
        <f t="shared" si="1311"/>
        <v>921.63655873776599</v>
      </c>
      <c r="ID411" s="644">
        <f>IF(AND(INDEX(Input!$1:$1048576,IA$93,$C411*2+7)="TOS",Y411&lt;=INDEX(Y:Y,MATCH(C411*1000+2,A:A))),0,1)*MAX(IA411+HR411+HU411+HX411,0%)</f>
        <v>146.10462049702005</v>
      </c>
      <c r="IE411" s="128">
        <f t="shared" si="1346"/>
        <v>0.49516340392389685</v>
      </c>
      <c r="IF411" s="128">
        <f t="shared" si="1333"/>
        <v>0.43575715930139042</v>
      </c>
      <c r="IG411" s="128">
        <f t="shared" si="1288"/>
        <v>6.9079436774712552E-2</v>
      </c>
      <c r="IH411" s="21"/>
      <c r="II411" s="19">
        <f t="shared" si="1289"/>
        <v>1199.9999999999998</v>
      </c>
      <c r="IJ411" s="19">
        <f t="shared" si="1290"/>
        <v>2195.4782357510435</v>
      </c>
      <c r="IK411" s="19">
        <f t="shared" si="1291"/>
        <v>-571</v>
      </c>
      <c r="IL411" s="19">
        <f t="shared" si="1313"/>
        <v>1150.0000000000002</v>
      </c>
      <c r="IM411" s="19">
        <f t="shared" si="1292"/>
        <v>400.42869171746952</v>
      </c>
      <c r="IN411" s="19">
        <f t="shared" si="1293"/>
        <v>325</v>
      </c>
      <c r="IO411" s="39">
        <f t="shared" si="1294"/>
        <v>0</v>
      </c>
      <c r="IP411" s="39">
        <f t="shared" si="1295"/>
        <v>0</v>
      </c>
      <c r="IQ411" s="39">
        <f t="shared" si="1296"/>
        <v>0</v>
      </c>
      <c r="IR411" s="39">
        <v>0</v>
      </c>
      <c r="IS411" s="39">
        <v>0</v>
      </c>
      <c r="IT411" s="39">
        <v>0</v>
      </c>
      <c r="IU411" s="39">
        <v>0</v>
      </c>
      <c r="IV411" s="39">
        <v>0</v>
      </c>
      <c r="IW411" s="39">
        <v>0</v>
      </c>
      <c r="IX411" s="39">
        <f>INDEX(Input!$1:$1048576,IX$93,$C411*2+6)+INDEX(Input!$1:$1048576,IX$94,$C411*2+6)</f>
        <v>1600</v>
      </c>
      <c r="IY411" s="39">
        <f>INDEX(Input!$1:$1048576,IY$93,$C411*2+6)+INDEX(Input!$1:$1048576,IY$94,$C411*2+6)</f>
        <v>2503.549291639752</v>
      </c>
      <c r="IZ411" s="39">
        <f>INDEX(Input!$1:$1048576,IZ$93,$C411*2+6)+INDEX(Input!$1:$1048576,IZ$94,$C411*2+6)</f>
        <v>5413.7109265464023</v>
      </c>
      <c r="JA411" s="19">
        <f t="shared" si="1314"/>
        <v>2750</v>
      </c>
      <c r="JB411" s="19">
        <f t="shared" si="1315"/>
        <v>2903.9779833572215</v>
      </c>
      <c r="JC411" s="19">
        <f t="shared" si="1316"/>
        <v>5738.7109265464023</v>
      </c>
      <c r="JD411" s="19">
        <f t="shared" si="1317"/>
        <v>3023.5554761109538</v>
      </c>
      <c r="JE411" s="21"/>
      <c r="JF411" s="1">
        <f t="shared" si="1297"/>
        <v>7.6210291289252219E-2</v>
      </c>
      <c r="JG411" s="15">
        <f>INDEX(Input!$1:$1048576,JG$93,$C411*2+6)/(1+VLOOKUP(C411*1000+INDEX(Input!$1:$1048576,JG$93+1,$C411*2+6),$A:$KK,$JK$92,FALSE))</f>
        <v>1859</v>
      </c>
      <c r="JH411" s="1">
        <f t="shared" si="1318"/>
        <v>0.13086231274527174</v>
      </c>
      <c r="JI411" s="1">
        <f t="shared" si="1319"/>
        <v>6.8586831550759243E-3</v>
      </c>
      <c r="JJ411" s="1">
        <f t="shared" si="1320"/>
        <v>0</v>
      </c>
      <c r="JK411" s="1">
        <f t="shared" si="1347"/>
        <v>0.13772099590034767</v>
      </c>
      <c r="JL411" s="15">
        <f t="shared" si="1322"/>
        <v>256.02333137874632</v>
      </c>
      <c r="JM411" s="15">
        <f t="shared" si="1348"/>
        <v>2115.0233313787462</v>
      </c>
      <c r="JN411" s="21"/>
      <c r="JO411" s="19">
        <f>INDEX(Input!$1:$1048576,JO$93,$C411*2+6)</f>
        <v>5908.5</v>
      </c>
      <c r="JP411" s="19">
        <f>INDEX(Input!$1:$1048576,JP$93,$C411*2+6)</f>
        <v>2328.1478086338602</v>
      </c>
      <c r="JQ411" s="39">
        <f t="shared" si="1334"/>
        <v>2884.9445238890462</v>
      </c>
      <c r="JR411" s="39">
        <f t="shared" si="1351"/>
        <v>695.40766747709358</v>
      </c>
      <c r="JS411" s="39">
        <f t="shared" si="1336"/>
        <v>6.3948903756926407</v>
      </c>
      <c r="JT411" s="39">
        <f t="shared" si="1324"/>
        <v>2.0668635994422937</v>
      </c>
      <c r="JU411" s="385">
        <f>(JQ411*JM411-INDEX(Input!$1:$1048576,Input!A$18,$C411*2+6)*JL411*INDEX(Input!$1:$1048576,Input!A$19,$C411*2+6))/1000000</f>
        <v>6.1017249777586811</v>
      </c>
      <c r="JV411" s="39">
        <f t="shared" si="1300"/>
        <v>-0.55414974599097278</v>
      </c>
      <c r="JW411" s="1">
        <f t="shared" si="1349"/>
        <v>-8.3257238002638817E-2</v>
      </c>
      <c r="JX411" s="19">
        <f t="shared" si="1340"/>
        <v>8072.9501811875634</v>
      </c>
      <c r="JZ411" s="341"/>
      <c r="KA411" s="342"/>
      <c r="KB411" s="469">
        <f t="shared" si="1337"/>
        <v>2.3451977905499271</v>
      </c>
      <c r="KI411" s="473">
        <f t="shared" si="1338"/>
        <v>203.28215214396005</v>
      </c>
      <c r="KJ411" s="473">
        <f t="shared" si="1325"/>
        <v>56.636558737765768</v>
      </c>
      <c r="KK411" s="473">
        <f t="shared" si="1326"/>
        <v>-3.8953795029799778</v>
      </c>
      <c r="KN411" s="544">
        <f t="shared" si="1341"/>
        <v>4002</v>
      </c>
      <c r="KO411" s="541">
        <f t="shared" si="1301"/>
        <v>5.8761132272970196E-2</v>
      </c>
      <c r="KP411" s="546">
        <f t="shared" si="1302"/>
        <v>371.51540548384935</v>
      </c>
      <c r="KQ411" s="546">
        <f t="shared" si="1303"/>
        <v>299.81191451295808</v>
      </c>
      <c r="KR411" s="548">
        <f t="shared" si="1304"/>
        <v>2.6842769632033203</v>
      </c>
      <c r="KS411" s="548">
        <f t="shared" si="1305"/>
        <v>3.3262528810286338</v>
      </c>
      <c r="KT411" s="473">
        <f t="shared" si="1339"/>
        <v>1050.27685337919</v>
      </c>
      <c r="KU411" s="663">
        <f t="shared" si="1327"/>
        <v>6.6036064790244744</v>
      </c>
      <c r="KV411" s="117" t="e">
        <f t="shared" si="1352"/>
        <v>#N/A</v>
      </c>
    </row>
    <row r="412" spans="1:310" s="26" customFormat="1" ht="15">
      <c r="A412" s="561">
        <f t="shared" si="1306"/>
        <v>4012</v>
      </c>
      <c r="B412" s="561">
        <f t="shared" si="1328"/>
        <v>12</v>
      </c>
      <c r="C412" s="561">
        <f t="shared" si="1329"/>
        <v>4</v>
      </c>
      <c r="D412" s="561" t="str">
        <f t="shared" si="1350"/>
        <v xml:space="preserve">1000 CC, </v>
      </c>
      <c r="E412" s="475">
        <f>INDEX(Input!$1:$1048576,E$93,$C412*2+MIN($B412,2)+5)+IF(OR(BX412&gt;50000,INDEX(Input!$1:$1048576,E$93,$C412*2+MIN($B412,2)+5)&gt;0),0,250)+IF(BX412&gt;50000,500,250)*4</f>
        <v>2250</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1.8999999999999996E-2</v>
      </c>
      <c r="W412" s="862">
        <f>INDEX(Input!$1:$1048576,W$93,$C412*2+MIN($B412,2)+5)</f>
        <v>3.9E-2</v>
      </c>
      <c r="X412" s="118" t="str">
        <f>INDEX(Input!$1:$1048576,X$93,$C412*2+MIN($B412,2)+5)</f>
        <v>Y</v>
      </c>
      <c r="Y412" s="150">
        <f>INDEX(Input!$1:$1048576,Y$93,$C412*2+MIN($B412,2)+5)</f>
        <v>-2217</v>
      </c>
      <c r="Z412" s="30">
        <f>INDEX(Input!$1:$1048576,Z$93,$C412*2+MIN($B412,2)+5)</f>
        <v>0</v>
      </c>
      <c r="AA412" s="115">
        <f>INDEX(Input!$1:$1048576,AA$93,$C412*2+MIN($B412,2)+5)</f>
        <v>0</v>
      </c>
      <c r="AB412" s="118">
        <f>INDEX(Input!$1:$1048576,AB$93,$C412*2+MIN($B412,2)+5)</f>
        <v>1</v>
      </c>
      <c r="AC412" s="115">
        <f>INDEX(Input!$1:$1048576,AC$93,$C412*2+MIN($B412,2)+5)</f>
        <v>0</v>
      </c>
      <c r="AD412" s="118">
        <f>INDEX(Input!$1:$1048576,AD$93,$C412*2+MIN($B412,2)+5)</f>
        <v>0.35</v>
      </c>
      <c r="AE412" s="115">
        <f>INDEX(Input!$1:$1048576,AE$93,$C412*2+MIN($B412,2)+5)</f>
        <v>0</v>
      </c>
      <c r="AF412" s="118">
        <f>INDEX(Input!$1:$1048576,AF$93,$C412*2+MIN($B412,2)+5)</f>
        <v>1</v>
      </c>
      <c r="AG412" s="115">
        <f>INDEX(Input!$1:$1048576,AG$93,$C412*2+MIN($B412,2)+5)</f>
        <v>0</v>
      </c>
      <c r="AH412" s="118">
        <f>INDEX(Input!$1:$1048576,AH$93,$C412*2+MIN($B412,2)+5)</f>
        <v>1</v>
      </c>
      <c r="AI412" s="115">
        <f>INDEX(Input!$1:$1048576,AI$93,$C412*2+MIN($B412,2)+5)</f>
        <v>0</v>
      </c>
      <c r="AJ412" s="118">
        <f>INDEX(Input!$1:$1048576,AJ$93,$C412*2+MIN($B412,2)+5)</f>
        <v>0.35</v>
      </c>
      <c r="AK412" s="150">
        <f>ROUND(INDEX(Input!$1:$1048576,AK$93,$C411*2+MIN($B412,1)+5)+(Y412-VLOOKUP($C412*1000+1,$A:$HH,Y$92,FALSE)),0)</f>
        <v>4592</v>
      </c>
      <c r="AL412" s="150">
        <f>ROUND(INDEX(Input!$1:$1048576,AL$93,$C411*2+MIN($B412,1)+5)-(Y412-VLOOKUP($C412*1000+1,$A:$HH,Y$92,FALSE))/36,0)</f>
        <v>4743</v>
      </c>
      <c r="AM412" s="32" t="str">
        <f t="shared" si="1307"/>
        <v>std/std/std/std</v>
      </c>
      <c r="AN412" s="32" t="str">
        <f t="shared" si="1308"/>
        <v>$0 + 0/0/0/1.9/3.9</v>
      </c>
      <c r="AO412" s="32" t="str">
        <f t="shared" si="1309"/>
        <v>0/0/0/1.9/3.9</v>
      </c>
      <c r="AP412" s="32" t="str">
        <f t="shared" si="1125"/>
        <v>0/0.9/1.9/3.9</v>
      </c>
      <c r="AQ412" s="536">
        <f t="shared" si="1124"/>
        <v>0.50889056289017442</v>
      </c>
      <c r="AR412" s="32"/>
      <c r="AS412" s="302"/>
      <c r="AT412" s="3">
        <f t="shared" si="1330"/>
        <v>12</v>
      </c>
      <c r="AU412" s="41" t="s">
        <v>121</v>
      </c>
      <c r="AV412" s="41" t="s">
        <v>116</v>
      </c>
      <c r="AW412" s="41" t="str">
        <f>INDEX(Input!$1:$1048576,AW$93,$C412*2+6)</f>
        <v>Kia</v>
      </c>
      <c r="AX412" s="41" t="str">
        <f>INDEX(Input!$1:$1048576,AX$93,$C412*2+6)</f>
        <v>Kia-LR - R1</v>
      </c>
      <c r="AY412" s="41" t="str">
        <f>IF(LEN(D412)=0,"",INDEX(Input!$1:$1048576,AY$93,$C412*2+6))</f>
        <v>Compact Conventional/Sporty Car (43)</v>
      </c>
      <c r="AZ412" s="41" t="str">
        <f>INDEX(Input!$1:$1048576,AZ$93,$C412*2+6)</f>
        <v>Kia Forte</v>
      </c>
      <c r="BA412" s="3">
        <f>INDEX(Input!$1:$1048576,BA$93,$C412*2+6)</f>
        <v>2020</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19695</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1126"/>
        <v>2560</v>
      </c>
      <c r="CJ412" s="16" t="str">
        <f>INDEX(Input!$1:$1048576,CJ$93,$C412*2+6)</f>
        <v>N</v>
      </c>
      <c r="CK412" s="1" t="str">
        <f t="shared" si="1127"/>
        <v>Market</v>
      </c>
      <c r="CL412" s="1" t="str">
        <f t="shared" si="1128"/>
        <v>Market</v>
      </c>
      <c r="CM412" s="1" t="str">
        <f t="shared" si="1129"/>
        <v>Market</v>
      </c>
      <c r="CN412" s="1" t="str">
        <f t="shared" si="1130"/>
        <v>Market</v>
      </c>
      <c r="CO412" s="1" t="str">
        <f t="shared" si="1131"/>
        <v>Market</v>
      </c>
      <c r="CP412" s="304">
        <f t="shared" si="1132"/>
        <v>0</v>
      </c>
      <c r="CQ412" s="1">
        <f t="shared" si="1133"/>
        <v>0</v>
      </c>
      <c r="CR412" s="1">
        <f t="shared" si="1134"/>
        <v>0</v>
      </c>
      <c r="CS412" s="1">
        <f t="shared" si="1135"/>
        <v>0</v>
      </c>
      <c r="CT412" s="1">
        <f t="shared" si="1136"/>
        <v>1.8999999999999996E-2</v>
      </c>
      <c r="CU412" s="1">
        <f t="shared" si="1137"/>
        <v>3.9E-2</v>
      </c>
      <c r="CV412" s="304">
        <f t="shared" si="1138"/>
        <v>-2217</v>
      </c>
      <c r="CW412" s="20" t="s">
        <v>122</v>
      </c>
      <c r="CX412" s="20" t="s">
        <v>122</v>
      </c>
      <c r="CY412" s="20" t="s">
        <v>122</v>
      </c>
      <c r="CZ412" s="20" t="s">
        <v>122</v>
      </c>
      <c r="DA412" s="20" t="s">
        <v>122</v>
      </c>
      <c r="DB412" s="503">
        <f t="shared" si="1139"/>
        <v>0</v>
      </c>
      <c r="DC412" s="127">
        <v>0</v>
      </c>
      <c r="DD412" s="127">
        <v>0</v>
      </c>
      <c r="DE412" s="127">
        <v>0</v>
      </c>
      <c r="DF412" s="127">
        <v>0</v>
      </c>
      <c r="DG412" s="127">
        <v>0</v>
      </c>
      <c r="DH412" s="127">
        <v>0</v>
      </c>
      <c r="DI412" s="127">
        <v>0</v>
      </c>
      <c r="DJ412" s="127">
        <v>0</v>
      </c>
      <c r="DK412" s="127">
        <v>0</v>
      </c>
      <c r="DL412" s="127">
        <v>0</v>
      </c>
      <c r="DM412" s="304">
        <f>INDEX(Input!$1:$1048576,DM$93,$C412*2+6)</f>
        <v>20731.578947368424</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4.7976771788212039E-2</v>
      </c>
      <c r="DZ412" s="7">
        <v>0</v>
      </c>
      <c r="EA412" s="7">
        <v>0.85117925695572105</v>
      </c>
      <c r="EB412" s="7">
        <v>0</v>
      </c>
      <c r="EC412" s="7">
        <v>0</v>
      </c>
      <c r="ED412" s="7">
        <v>0</v>
      </c>
      <c r="EE412" s="7">
        <v>0</v>
      </c>
      <c r="EF412" s="7">
        <v>0</v>
      </c>
      <c r="EG412" s="7">
        <v>0</v>
      </c>
      <c r="EH412" s="7">
        <v>1.2309392386572306E-2</v>
      </c>
      <c r="EI412" s="7">
        <v>1.9772057869590624E-2</v>
      </c>
      <c r="EJ412" s="7">
        <v>0.18562766360569796</v>
      </c>
      <c r="EK412" s="7">
        <v>0.72426599891599175</v>
      </c>
      <c r="EL412" s="7">
        <v>5.8024887222147062E-2</v>
      </c>
      <c r="EM412" s="7">
        <v>2.4075619310208719E-2</v>
      </c>
      <c r="EN412" s="7">
        <v>4.6863811041695347E-2</v>
      </c>
      <c r="EO412" s="7">
        <v>0.57048988563177827</v>
      </c>
      <c r="EP412" s="7">
        <v>0.26975120652789386</v>
      </c>
      <c r="EQ412" s="7">
        <v>6.7876276786147563E-2</v>
      </c>
      <c r="ER412" s="7">
        <v>4.5018820012485375E-2</v>
      </c>
      <c r="ES412" s="7">
        <v>7.6768351945858224E-2</v>
      </c>
      <c r="ET412" s="7">
        <v>0.10084397125606688</v>
      </c>
      <c r="EU412" s="6">
        <v>2600</v>
      </c>
      <c r="EV412" s="6">
        <v>0</v>
      </c>
      <c r="EW412" s="6">
        <v>2600</v>
      </c>
      <c r="EX412" s="6">
        <v>0</v>
      </c>
      <c r="EY412" s="6">
        <v>2596.0130811878767</v>
      </c>
      <c r="EZ412" s="6">
        <v>-246</v>
      </c>
      <c r="FA412" s="6">
        <v>0</v>
      </c>
      <c r="FB412" s="6">
        <v>0</v>
      </c>
      <c r="FC412" s="6">
        <v>0</v>
      </c>
      <c r="FD412" s="6">
        <v>0</v>
      </c>
      <c r="FE412" s="6">
        <v>0</v>
      </c>
      <c r="FF412" s="6">
        <v>0</v>
      </c>
      <c r="FG412" s="6">
        <v>0</v>
      </c>
      <c r="FH412" s="6">
        <v>1153.2286320961002</v>
      </c>
      <c r="FI412" s="6">
        <v>1531.4299904380614</v>
      </c>
      <c r="FJ412" s="6">
        <v>2070.7205842538215</v>
      </c>
      <c r="FK412" s="6">
        <v>1746.9903521590436</v>
      </c>
      <c r="FL412" s="6">
        <v>893.91433563489363</v>
      </c>
      <c r="FM412" s="6">
        <v>1746.0130811878767</v>
      </c>
      <c r="FN412" s="6">
        <v>0</v>
      </c>
      <c r="FO412" s="6">
        <v>0</v>
      </c>
      <c r="FP412" s="6">
        <v>0</v>
      </c>
      <c r="FQ412" s="6">
        <v>0</v>
      </c>
      <c r="FR412" s="6">
        <v>0</v>
      </c>
      <c r="FS412" s="6">
        <v>0</v>
      </c>
      <c r="FT412" s="7">
        <v>0.89915602874393308</v>
      </c>
      <c r="FU412" s="7">
        <v>2.4075619310208719E-2</v>
      </c>
      <c r="FV412" s="7">
        <v>7.6768351945858224E-2</v>
      </c>
      <c r="FW412" s="6">
        <v>2599.9999999999995</v>
      </c>
      <c r="FX412" s="6">
        <v>2596.0130811878767</v>
      </c>
      <c r="FY412" s="6">
        <v>-246</v>
      </c>
      <c r="FZ412" s="6">
        <v>1695.8504614767719</v>
      </c>
      <c r="GA412" s="6">
        <v>2381.4212828225459</v>
      </c>
      <c r="GB412" s="6">
        <v>17313.578717177454</v>
      </c>
      <c r="GC412" s="7">
        <v>8.1891069685915169E-2</v>
      </c>
      <c r="GD412" s="7">
        <v>8.8460944764540708E-2</v>
      </c>
      <c r="GE412" s="7"/>
      <c r="GF412" s="7"/>
      <c r="GG412" s="7">
        <v>8.0227002820009857E-2</v>
      </c>
      <c r="GH412" s="42">
        <v>2.304752144261943</v>
      </c>
      <c r="GI412" s="6">
        <v>10926.808711589638</v>
      </c>
      <c r="GJ412" s="14">
        <v>0.51074630601039539</v>
      </c>
      <c r="GK412" s="14">
        <v>0.5082951978616097</v>
      </c>
      <c r="GL412" s="14">
        <v>0.48925369398960394</v>
      </c>
      <c r="GM412" s="14">
        <v>0.49170480213839007</v>
      </c>
      <c r="GO412" s="5">
        <v>338.16872463277008</v>
      </c>
      <c r="GP412" s="5">
        <v>288.56568471597211</v>
      </c>
      <c r="GQ412" s="5">
        <v>527.27910984145694</v>
      </c>
      <c r="GR412" s="5">
        <v>404.20319246551543</v>
      </c>
      <c r="GS412" s="5">
        <v>334.50205195691484</v>
      </c>
      <c r="GT412" s="5">
        <v>289.18266033348181</v>
      </c>
      <c r="GU412" s="5">
        <v>254.29573314828914</v>
      </c>
      <c r="GV412" s="39" t="s">
        <v>392</v>
      </c>
      <c r="GW412" s="5">
        <v>468.76388888888891</v>
      </c>
      <c r="GX412" s="5">
        <v>351.57291666666669</v>
      </c>
      <c r="GY412" s="5">
        <v>281.25833333333333</v>
      </c>
      <c r="GZ412" s="5">
        <v>248.1807987949399</v>
      </c>
      <c r="HA412" s="5">
        <v>229.89195052129477</v>
      </c>
      <c r="HB412" s="39">
        <v>258.01921463826574</v>
      </c>
      <c r="HC412" s="5">
        <v>293.87812499999995</v>
      </c>
      <c r="HD412" s="5">
        <v>243.67143640350872</v>
      </c>
      <c r="HE412" s="5">
        <v>244.28647520242913</v>
      </c>
      <c r="HF412" s="5">
        <v>223.39192434210526</v>
      </c>
      <c r="HG412" s="5">
        <v>212.2899342105263</v>
      </c>
      <c r="HH412" s="39">
        <v>243.40096465627917</v>
      </c>
      <c r="HI412" s="16"/>
      <c r="HJ412" s="19" t="str">
        <f t="shared" si="1331"/>
        <v>On</v>
      </c>
      <c r="HK412" s="1" t="str">
        <f t="shared" si="1331"/>
        <v>On</v>
      </c>
      <c r="HL412" s="16"/>
      <c r="HM412" s="639">
        <f t="shared" si="1278"/>
        <v>6.6115095157691428E-2</v>
      </c>
      <c r="HN412" s="639">
        <f t="shared" si="1279"/>
        <v>2.3720927871164412E-3</v>
      </c>
      <c r="HO412" s="639">
        <f t="shared" si="1280"/>
        <v>7.7231033444443466E-3</v>
      </c>
      <c r="HP412" s="644">
        <f>(FT412*$GD412-HM412)/$JF412*INDEX(Input!$1:$1048576,$JG$93,$C412*2+6)</f>
        <v>327.47879877662461</v>
      </c>
      <c r="HQ412" s="644">
        <f>(FU412*$GD412-HN412)/$JF412*INDEX(Input!$1:$1048576,$JG$93,$C412*2+6)</f>
        <v>-5.9114256081337473</v>
      </c>
      <c r="HR412" s="644">
        <f>(FV412*$GD412-HO412)/$JF412*INDEX(Input!$1:$1048576,$JG$93,$C412*2+6)</f>
        <v>-22.736802844019838</v>
      </c>
      <c r="HS412" s="644">
        <f t="shared" si="1281"/>
        <v>-73.558783825590552</v>
      </c>
      <c r="HT412" s="644">
        <f t="shared" si="1282"/>
        <v>59.189067439900903</v>
      </c>
      <c r="HU412" s="644">
        <f t="shared" si="1283"/>
        <v>14.016794527614193</v>
      </c>
      <c r="HV412" s="648">
        <f t="shared" si="1284"/>
        <v>0</v>
      </c>
      <c r="HW412" s="648">
        <f t="shared" si="1285"/>
        <v>0</v>
      </c>
      <c r="HX412" s="648">
        <f t="shared" si="1286"/>
        <v>0</v>
      </c>
      <c r="HY412" s="644">
        <f>INDEX(Input!$1:$1048576,HY$93,$C412*2+6)*INDEX(Input!$1:$1048576,$JG$93,$C412*2+6)</f>
        <v>844</v>
      </c>
      <c r="HZ412" s="644">
        <f>INDEX(Input!$1:$1048576,HZ$93,$C412*2+6)*INDEX(Input!$1:$1048576,$JG$93,$C412*2+6)</f>
        <v>865</v>
      </c>
      <c r="IA412" s="644">
        <f>INDEX(Input!$1:$1048576,IA$93,$C412*2+6)*INDEX(Input!$1:$1048576,$JG$93,$C412*2+6)</f>
        <v>150</v>
      </c>
      <c r="IB412" s="644">
        <f t="shared" si="1310"/>
        <v>1097.9200149510339</v>
      </c>
      <c r="IC412" s="644">
        <f t="shared" si="1311"/>
        <v>918.27764183176714</v>
      </c>
      <c r="ID412" s="644">
        <f>IF(AND(INDEX(Input!$1:$1048576,IA$93,$C412*2+7)="TOS",Y412&lt;=INDEX(Y:Y,MATCH(C412*1000+2,A:A))),0,1)*MAX(IA412+HR412+HU412+HX412,0%)</f>
        <v>141.27999168359435</v>
      </c>
      <c r="IE412" s="128">
        <f t="shared" ref="IE412" si="1353">IB412/SUM($IB412:$ID412)</f>
        <v>0.50889056289017442</v>
      </c>
      <c r="IF412" s="128">
        <f t="shared" si="1333"/>
        <v>0.42562556441060168</v>
      </c>
      <c r="IG412" s="128">
        <f t="shared" si="1288"/>
        <v>6.54838726992239E-2</v>
      </c>
      <c r="IH412" s="21"/>
      <c r="II412" s="19">
        <f t="shared" si="1289"/>
        <v>1199.9999999999998</v>
      </c>
      <c r="IJ412" s="19">
        <f t="shared" si="1290"/>
        <v>2195.4782357510435</v>
      </c>
      <c r="IK412" s="19">
        <f t="shared" si="1291"/>
        <v>-571</v>
      </c>
      <c r="IL412" s="19">
        <f t="shared" si="1313"/>
        <v>1399.9999999999998</v>
      </c>
      <c r="IM412" s="19">
        <f t="shared" si="1292"/>
        <v>400.53484543683317</v>
      </c>
      <c r="IN412" s="19">
        <f t="shared" si="1293"/>
        <v>325</v>
      </c>
      <c r="IO412" s="39">
        <f t="shared" si="1294"/>
        <v>0</v>
      </c>
      <c r="IP412" s="39">
        <f t="shared" si="1295"/>
        <v>0</v>
      </c>
      <c r="IQ412" s="39">
        <f t="shared" si="1296"/>
        <v>0</v>
      </c>
      <c r="IR412" s="39">
        <v>0</v>
      </c>
      <c r="IS412" s="39">
        <v>0</v>
      </c>
      <c r="IT412" s="39">
        <v>0</v>
      </c>
      <c r="IU412" s="39">
        <v>0</v>
      </c>
      <c r="IV412" s="39">
        <v>0</v>
      </c>
      <c r="IW412" s="39">
        <v>0</v>
      </c>
      <c r="IX412" s="39">
        <f>INDEX(Input!$1:$1048576,IX$93,$C412*2+6)+INDEX(Input!$1:$1048576,IX$94,$C412*2+6)</f>
        <v>1600</v>
      </c>
      <c r="IY412" s="39">
        <f>INDEX(Input!$1:$1048576,IY$93,$C412*2+6)+INDEX(Input!$1:$1048576,IY$94,$C412*2+6)</f>
        <v>2503.549291639752</v>
      </c>
      <c r="IZ412" s="39">
        <f>INDEX(Input!$1:$1048576,IZ$93,$C412*2+6)+INDEX(Input!$1:$1048576,IZ$94,$C412*2+6)</f>
        <v>5413.7109265464023</v>
      </c>
      <c r="JA412" s="19">
        <f t="shared" si="1314"/>
        <v>3000</v>
      </c>
      <c r="JB412" s="19">
        <f t="shared" si="1315"/>
        <v>2904.0841370765852</v>
      </c>
      <c r="JC412" s="19">
        <f t="shared" si="1316"/>
        <v>5738.7109265464023</v>
      </c>
      <c r="JD412" s="19">
        <f t="shared" si="1317"/>
        <v>3138.5171543812303</v>
      </c>
      <c r="JE412" s="21"/>
      <c r="JF412" s="1">
        <f t="shared" si="1297"/>
        <v>7.6210291289252219E-2</v>
      </c>
      <c r="JG412" s="15">
        <f>INDEX(Input!$1:$1048576,JG$93,$C412*2+6)/(1+VLOOKUP(C412*1000+INDEX(Input!$1:$1048576,JG$93+1,$C412*2+6),$A:$KK,$JK$92,FALSE))</f>
        <v>1859</v>
      </c>
      <c r="JH412" s="1">
        <f t="shared" si="1318"/>
        <v>0.16074802061563798</v>
      </c>
      <c r="JI412" s="1">
        <f t="shared" si="1319"/>
        <v>-1.8984500165436055E-4</v>
      </c>
      <c r="JJ412" s="1">
        <f t="shared" si="1320"/>
        <v>0</v>
      </c>
      <c r="JK412" s="1">
        <f t="shared" ref="JK412" si="1354">SUM(JH412:JJ412)</f>
        <v>0.16055817561398361</v>
      </c>
      <c r="JL412" s="15">
        <f t="shared" si="1322"/>
        <v>298.47764846639552</v>
      </c>
      <c r="JM412" s="15">
        <f t="shared" si="1348"/>
        <v>2157.4776484663953</v>
      </c>
      <c r="JN412" s="21"/>
      <c r="JO412" s="19">
        <f>INDEX(Input!$1:$1048576,JO$93,$C412*2+6)</f>
        <v>5908.5</v>
      </c>
      <c r="JP412" s="19">
        <f>INDEX(Input!$1:$1048576,JP$93,$C412*2+6)</f>
        <v>2328.1478086338602</v>
      </c>
      <c r="JQ412" s="39">
        <f t="shared" si="1334"/>
        <v>2769.9828456187697</v>
      </c>
      <c r="JR412" s="39">
        <f t="shared" si="1351"/>
        <v>810.36934574737006</v>
      </c>
      <c r="JS412" s="39">
        <f t="shared" si="1336"/>
        <v>6.7712806099058591</v>
      </c>
      <c r="JT412" s="39">
        <f t="shared" si="1324"/>
        <v>2.443253833655513</v>
      </c>
      <c r="JU412" s="385">
        <f>(JQ412*JM412-INDEX(Input!$1:$1048576,Input!A$18,$C412*2+6)*JL412*INDEX(Input!$1:$1048576,Input!A$19,$C412*2+6))/1000000</f>
        <v>5.9761760760578371</v>
      </c>
      <c r="JV412" s="39">
        <f t="shared" si="1300"/>
        <v>-0.67969864769181676</v>
      </c>
      <c r="JW412" s="1">
        <f t="shared" si="1349"/>
        <v>-0.10212010831070777</v>
      </c>
      <c r="JX412" s="19">
        <f t="shared" si="1340"/>
        <v>8185.7179129129663</v>
      </c>
      <c r="JZ412" s="341"/>
      <c r="KA412" s="342"/>
      <c r="KB412" s="469">
        <f t="shared" si="1337"/>
        <v>2.3451977905499271</v>
      </c>
      <c r="KI412" s="473">
        <f t="shared" si="1338"/>
        <v>253.92001495103386</v>
      </c>
      <c r="KJ412" s="473">
        <f t="shared" si="1325"/>
        <v>53.277641831767141</v>
      </c>
      <c r="KK412" s="473">
        <f t="shared" si="1326"/>
        <v>-8.7200083164056537</v>
      </c>
      <c r="KN412" s="544">
        <f t="shared" si="1341"/>
        <v>4002</v>
      </c>
      <c r="KO412" s="541">
        <f t="shared" si="1301"/>
        <v>8.0013371036830039E-2</v>
      </c>
      <c r="KP412" s="546">
        <f t="shared" si="1302"/>
        <v>509.07527576725732</v>
      </c>
      <c r="KQ412" s="546">
        <f t="shared" si="1303"/>
        <v>414.77359278323456</v>
      </c>
      <c r="KR412" s="548">
        <f t="shared" si="1304"/>
        <v>2.6674393807879153</v>
      </c>
      <c r="KS412" s="548">
        <f t="shared" si="1305"/>
        <v>3.2739004169841612</v>
      </c>
      <c r="KT412" s="473">
        <f t="shared" si="1339"/>
        <v>1050.27685337919</v>
      </c>
      <c r="KU412" s="663">
        <f t="shared" si="1327"/>
        <v>6.615380988331518</v>
      </c>
      <c r="KV412" s="117" t="e">
        <f>RANK(KU412,$KU$109:$KU$200)</f>
        <v>#N/A</v>
      </c>
    </row>
    <row r="413" spans="1:310" s="26" customFormat="1" ht="15">
      <c r="A413" s="561">
        <f t="shared" si="1306"/>
        <v>4013</v>
      </c>
      <c r="B413" s="561">
        <f t="shared" si="1328"/>
        <v>13</v>
      </c>
      <c r="C413" s="561">
        <f t="shared" si="1329"/>
        <v>4</v>
      </c>
      <c r="D413" s="561" t="str">
        <f t="shared" si="1350"/>
        <v xml:space="preserve">0/0/0.9/3.9, </v>
      </c>
      <c r="E413" s="115">
        <f>INDEX(Input!$1:$1048576,E$93,$C413*2+MIN($B413,2)+5)</f>
        <v>1250</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8.9999999999999959E-3</v>
      </c>
      <c r="W413" s="863">
        <f>IFERROR(MAX(0,INDEX(Input!$1:$1048576,W$93,$C413*2+MIN($B413,2)+5)-0%,),"Market")</f>
        <v>3.9E-2</v>
      </c>
      <c r="X413" s="476" t="str">
        <f>INDEX(Input!$1:$1048576,X$93,$C413*2+MIN($B413,2)+5)</f>
        <v>Y</v>
      </c>
      <c r="Y413" s="150">
        <f>INDEX(Input!$1:$1048576,Y$93,$C413*2+MIN($B413,2)+5)</f>
        <v>-2217</v>
      </c>
      <c r="Z413" s="30">
        <f>INDEX(Input!$1:$1048576,Z$93,$C413*2+MIN($B413,2)+5)</f>
        <v>0</v>
      </c>
      <c r="AA413" s="475">
        <f>INDEX(Input!$1:$1048576,AA$93,$C413*2+MIN($B413,2)+5)</f>
        <v>0</v>
      </c>
      <c r="AB413" s="118">
        <f>INDEX(Input!$1:$1048576,AB$93,$C413*2+MIN($B413,2)+5)</f>
        <v>1</v>
      </c>
      <c r="AC413" s="115">
        <f>INDEX(Input!$1:$1048576,AC$93,$C413*2+MIN($B413,2)+5)</f>
        <v>0</v>
      </c>
      <c r="AD413" s="118">
        <f>INDEX(Input!$1:$1048576,AD$93,$C413*2+MIN($B413,2)+5)</f>
        <v>0.35</v>
      </c>
      <c r="AE413" s="115">
        <f>INDEX(Input!$1:$1048576,AE$93,$C413*2+MIN($B413,2)+5)</f>
        <v>0</v>
      </c>
      <c r="AF413" s="118">
        <f>INDEX(Input!$1:$1048576,AF$93,$C413*2+MIN($B413,2)+5)</f>
        <v>1</v>
      </c>
      <c r="AG413" s="115">
        <f>INDEX(Input!$1:$1048576,AG$93,$C413*2+MIN($B413,2)+5)</f>
        <v>0</v>
      </c>
      <c r="AH413" s="118">
        <f>INDEX(Input!$1:$1048576,AH$93,$C413*2+MIN($B413,2)+5)</f>
        <v>1</v>
      </c>
      <c r="AI413" s="115">
        <f>INDEX(Input!$1:$1048576,AI$93,$C413*2+MIN($B413,2)+5)</f>
        <v>0</v>
      </c>
      <c r="AJ413" s="118">
        <f>INDEX(Input!$1:$1048576,AJ$93,$C413*2+MIN($B413,2)+5)</f>
        <v>0.35</v>
      </c>
      <c r="AK413" s="150">
        <f>ROUND(INDEX(Input!$1:$1048576,AK$93,$C412*2+MIN($B413,1)+5)+(Y413-VLOOKUP($C413*1000+1,$A:$HH,Y$92,FALSE)),0)</f>
        <v>4592</v>
      </c>
      <c r="AL413" s="150">
        <f>ROUND(INDEX(Input!$1:$1048576,AL$93,$C412*2+MIN($B413,1)+5)-(Y413-VLOOKUP($C413*1000+1,$A:$HH,Y$92,FALSE))/36,0)</f>
        <v>4743</v>
      </c>
      <c r="AM413" s="32" t="str">
        <f t="shared" si="1307"/>
        <v>std/std/std/std</v>
      </c>
      <c r="AN413" s="32" t="str">
        <f t="shared" si="1308"/>
        <v>$0 + 0/0/0/0.9/3.9</v>
      </c>
      <c r="AO413" s="32" t="str">
        <f t="shared" si="1309"/>
        <v>0/0/0/0.9/3.9</v>
      </c>
      <c r="AP413" s="32" t="str">
        <f t="shared" si="1125"/>
        <v>0/0/0.9/3.9</v>
      </c>
      <c r="AQ413" s="536">
        <f t="shared" si="1124"/>
        <v>0.42946997773368384</v>
      </c>
      <c r="AR413" s="32"/>
      <c r="AS413" s="302"/>
      <c r="AT413" s="3">
        <f t="shared" si="1330"/>
        <v>13</v>
      </c>
      <c r="AU413" s="41" t="s">
        <v>121</v>
      </c>
      <c r="AV413" s="41" t="s">
        <v>116</v>
      </c>
      <c r="AW413" s="41" t="str">
        <f>INDEX(Input!$1:$1048576,AW$93,$C413*2+6)</f>
        <v>Kia</v>
      </c>
      <c r="AX413" s="41" t="str">
        <f>INDEX(Input!$1:$1048576,AX$93,$C413*2+6)</f>
        <v>Kia-LR - R1</v>
      </c>
      <c r="AY413" s="41" t="str">
        <f>IF(LEN(D413)=0,"",INDEX(Input!$1:$1048576,AY$93,$C413*2+6))</f>
        <v>Compact Conventional/Sporty Car (43)</v>
      </c>
      <c r="AZ413" s="41" t="str">
        <f>INDEX(Input!$1:$1048576,AZ$93,$C413*2+6)</f>
        <v>Kia Forte</v>
      </c>
      <c r="BA413" s="3">
        <f>INDEX(Input!$1:$1048576,BA$93,$C413*2+6)</f>
        <v>2020</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19695</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1126"/>
        <v>1560</v>
      </c>
      <c r="CJ413" s="16" t="str">
        <f>INDEX(Input!$1:$1048576,CJ$93,$C413*2+6)</f>
        <v>N</v>
      </c>
      <c r="CK413" s="1" t="str">
        <f t="shared" si="1127"/>
        <v>Market</v>
      </c>
      <c r="CL413" s="1" t="str">
        <f t="shared" si="1128"/>
        <v>Market</v>
      </c>
      <c r="CM413" s="1" t="str">
        <f t="shared" si="1129"/>
        <v>Market</v>
      </c>
      <c r="CN413" s="1" t="str">
        <f t="shared" si="1130"/>
        <v>Market</v>
      </c>
      <c r="CO413" s="1" t="str">
        <f t="shared" si="1131"/>
        <v>Market</v>
      </c>
      <c r="CP413" s="304">
        <f t="shared" si="1132"/>
        <v>0</v>
      </c>
      <c r="CQ413" s="1">
        <f t="shared" si="1133"/>
        <v>0</v>
      </c>
      <c r="CR413" s="1">
        <f t="shared" si="1134"/>
        <v>0</v>
      </c>
      <c r="CS413" s="1">
        <f t="shared" si="1135"/>
        <v>0</v>
      </c>
      <c r="CT413" s="1">
        <f t="shared" si="1136"/>
        <v>8.9999999999999959E-3</v>
      </c>
      <c r="CU413" s="1">
        <f t="shared" si="1137"/>
        <v>3.9E-2</v>
      </c>
      <c r="CV413" s="304">
        <f t="shared" si="1138"/>
        <v>-2217</v>
      </c>
      <c r="CW413" s="20" t="s">
        <v>122</v>
      </c>
      <c r="CX413" s="20" t="s">
        <v>122</v>
      </c>
      <c r="CY413" s="20" t="s">
        <v>122</v>
      </c>
      <c r="CZ413" s="20" t="s">
        <v>122</v>
      </c>
      <c r="DA413" s="20" t="s">
        <v>122</v>
      </c>
      <c r="DB413" s="503">
        <f t="shared" si="1139"/>
        <v>0</v>
      </c>
      <c r="DC413" s="127">
        <v>0</v>
      </c>
      <c r="DD413" s="127">
        <v>0</v>
      </c>
      <c r="DE413" s="127">
        <v>0</v>
      </c>
      <c r="DF413" s="127">
        <v>0</v>
      </c>
      <c r="DG413" s="127">
        <v>0</v>
      </c>
      <c r="DH413" s="127">
        <v>0</v>
      </c>
      <c r="DI413" s="127">
        <v>0</v>
      </c>
      <c r="DJ413" s="127">
        <v>0</v>
      </c>
      <c r="DK413" s="127">
        <v>0</v>
      </c>
      <c r="DL413" s="127">
        <v>0</v>
      </c>
      <c r="DM413" s="304">
        <f>INDEX(Input!$1:$1048576,DM$93,$C413*2+6)</f>
        <v>20731.578947368424</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4.5084033758658847E-2</v>
      </c>
      <c r="DZ413" s="7">
        <v>0</v>
      </c>
      <c r="EA413" s="7">
        <v>0.81346366560655381</v>
      </c>
      <c r="EB413" s="7">
        <v>0</v>
      </c>
      <c r="EC413" s="7">
        <v>0</v>
      </c>
      <c r="ED413" s="7">
        <v>0</v>
      </c>
      <c r="EE413" s="7">
        <v>0</v>
      </c>
      <c r="EF413" s="7">
        <v>0</v>
      </c>
      <c r="EG413" s="7">
        <v>0</v>
      </c>
      <c r="EH413" s="7">
        <v>8.4480712580485597E-3</v>
      </c>
      <c r="EI413" s="7">
        <v>1.3562757720925507E-2</v>
      </c>
      <c r="EJ413" s="7">
        <v>0.12734499912892017</v>
      </c>
      <c r="EK413" s="7">
        <v>0.81047300981329196</v>
      </c>
      <c r="EL413" s="7">
        <v>4.017116207881391E-2</v>
      </c>
      <c r="EM413" s="7">
        <v>4.4692885859303227E-2</v>
      </c>
      <c r="EN413" s="7">
        <v>4.6955874240799785E-2</v>
      </c>
      <c r="EO413" s="7">
        <v>0.57081628048286404</v>
      </c>
      <c r="EP413" s="7">
        <v>0.26933137073864982</v>
      </c>
      <c r="EQ413" s="7">
        <v>6.7915212375147319E-2</v>
      </c>
      <c r="ER413" s="7">
        <v>4.4981262162539094E-2</v>
      </c>
      <c r="ES413" s="7">
        <v>9.6759414775484234E-2</v>
      </c>
      <c r="ET413" s="7">
        <v>0.14145230063478736</v>
      </c>
      <c r="EU413" s="6">
        <v>1599.9999999999998</v>
      </c>
      <c r="EV413" s="6">
        <v>0</v>
      </c>
      <c r="EW413" s="6">
        <v>1599.9999999999998</v>
      </c>
      <c r="EX413" s="6">
        <v>0</v>
      </c>
      <c r="EY413" s="6">
        <v>2978.2659782972496</v>
      </c>
      <c r="EZ413" s="6">
        <v>-246</v>
      </c>
      <c r="FA413" s="6">
        <v>0</v>
      </c>
      <c r="FB413" s="6">
        <v>0</v>
      </c>
      <c r="FC413" s="6">
        <v>0</v>
      </c>
      <c r="FD413" s="6">
        <v>0</v>
      </c>
      <c r="FE413" s="6">
        <v>0</v>
      </c>
      <c r="FF413" s="6">
        <v>0</v>
      </c>
      <c r="FG413" s="6">
        <v>0</v>
      </c>
      <c r="FH413" s="6">
        <v>1153.2511552877995</v>
      </c>
      <c r="FI413" s="6">
        <v>1531.4299904380609</v>
      </c>
      <c r="FJ413" s="6">
        <v>2070.7205842538219</v>
      </c>
      <c r="FK413" s="6">
        <v>2218.6393698501006</v>
      </c>
      <c r="FL413" s="6">
        <v>893.91433563489409</v>
      </c>
      <c r="FM413" s="6">
        <v>2128.2659782972496</v>
      </c>
      <c r="FN413" s="6">
        <v>0</v>
      </c>
      <c r="FO413" s="6">
        <v>0</v>
      </c>
      <c r="FP413" s="6">
        <v>0</v>
      </c>
      <c r="FQ413" s="6">
        <v>0</v>
      </c>
      <c r="FR413" s="6">
        <v>0</v>
      </c>
      <c r="FS413" s="6">
        <v>0</v>
      </c>
      <c r="FT413" s="7">
        <v>0.85854769936521269</v>
      </c>
      <c r="FU413" s="7">
        <v>4.4692885859303227E-2</v>
      </c>
      <c r="FV413" s="7">
        <v>9.6759414775484234E-2</v>
      </c>
      <c r="FW413" s="6">
        <v>1599.9999999999998</v>
      </c>
      <c r="FX413" s="6">
        <v>2978.2659782972496</v>
      </c>
      <c r="FY413" s="6">
        <v>-246</v>
      </c>
      <c r="FZ413" s="6">
        <v>1695.8504614767719</v>
      </c>
      <c r="GA413" s="6">
        <v>1482.9808043762559</v>
      </c>
      <c r="GB413" s="6">
        <v>18212.019195623743</v>
      </c>
      <c r="GC413" s="7">
        <v>8.1891069685915169E-2</v>
      </c>
      <c r="GD413" s="7">
        <v>8.0202918198098272E-2</v>
      </c>
      <c r="GE413" s="7"/>
      <c r="GF413" s="7"/>
      <c r="GG413" s="7">
        <v>-2.0614598078784772E-2</v>
      </c>
      <c r="GH413" s="42">
        <v>1.9072916013105279</v>
      </c>
      <c r="GI413" s="6">
        <v>11809.141726212883</v>
      </c>
      <c r="GJ413" s="14">
        <v>0.51074630601039539</v>
      </c>
      <c r="GK413" s="14">
        <v>0.50829519786160959</v>
      </c>
      <c r="GL413" s="14">
        <v>0.48925369398960411</v>
      </c>
      <c r="GM413" s="14">
        <v>0.49170480213839007</v>
      </c>
      <c r="GO413" s="5">
        <v>338.16872463277008</v>
      </c>
      <c r="GP413" s="5">
        <v>307.64377699166363</v>
      </c>
      <c r="GQ413" s="5">
        <v>527.27910984145694</v>
      </c>
      <c r="GR413" s="5">
        <v>404.20319246551543</v>
      </c>
      <c r="GS413" s="5">
        <v>334.50205195691484</v>
      </c>
      <c r="GT413" s="5">
        <v>289.18266033348181</v>
      </c>
      <c r="GU413" s="5">
        <v>254.29573314828914</v>
      </c>
      <c r="GV413" s="39" t="s">
        <v>392</v>
      </c>
      <c r="GW413" s="5">
        <v>468.76388888888891</v>
      </c>
      <c r="GX413" s="5">
        <v>351.57291666666669</v>
      </c>
      <c r="GY413" s="5">
        <v>281.25833333333333</v>
      </c>
      <c r="GZ413" s="5">
        <v>240.85506989150105</v>
      </c>
      <c r="HA413" s="5">
        <v>229.89195052129477</v>
      </c>
      <c r="HB413" s="39">
        <v>248.98685146861854</v>
      </c>
      <c r="HC413" s="5">
        <v>293.87812499999995</v>
      </c>
      <c r="HD413" s="5">
        <v>243.67143640350872</v>
      </c>
      <c r="HE413" s="5">
        <v>244.28647520242913</v>
      </c>
      <c r="HF413" s="5">
        <v>223.39192434210526</v>
      </c>
      <c r="HG413" s="5">
        <v>212.2899342105263</v>
      </c>
      <c r="HH413" s="39">
        <v>243.40571765635187</v>
      </c>
      <c r="HI413" s="16"/>
      <c r="HJ413" s="19" t="str">
        <f t="shared" si="1331"/>
        <v>On</v>
      </c>
      <c r="HK413" s="1" t="str">
        <f t="shared" si="1331"/>
        <v>On</v>
      </c>
      <c r="HL413" s="16"/>
      <c r="HM413" s="639">
        <f t="shared" si="1278"/>
        <v>6.6115095157691428E-2</v>
      </c>
      <c r="HN413" s="639">
        <f t="shared" si="1279"/>
        <v>2.3720927871164412E-3</v>
      </c>
      <c r="HO413" s="639">
        <f t="shared" si="1280"/>
        <v>7.7231033444443466E-3</v>
      </c>
      <c r="HP413" s="644">
        <f>(FT413*$GD413-HM413)/$JF413*INDEX(Input!$1:$1048576,$JG$93,$C413*2+6)</f>
        <v>66.908516700383331</v>
      </c>
      <c r="HQ413" s="644">
        <f>(FU413*$GD413-HN413)/$JF413*INDEX(Input!$1:$1048576,$JG$93,$C413*2+6)</f>
        <v>29.574283556315091</v>
      </c>
      <c r="HR413" s="644">
        <f>(FV413*$GD413-HO413)/$JF413*INDEX(Input!$1:$1048576,$JG$93,$C413*2+6)</f>
        <v>0.90947181025778778</v>
      </c>
      <c r="HS413" s="644">
        <f t="shared" si="1281"/>
        <v>-21.154389932040019</v>
      </c>
      <c r="HT413" s="644">
        <f t="shared" si="1282"/>
        <v>127.46002809626009</v>
      </c>
      <c r="HU413" s="644">
        <f t="shared" si="1283"/>
        <v>9.0513921614670636</v>
      </c>
      <c r="HV413" s="648">
        <f t="shared" si="1284"/>
        <v>0</v>
      </c>
      <c r="HW413" s="648">
        <f t="shared" si="1285"/>
        <v>0</v>
      </c>
      <c r="HX413" s="648">
        <f t="shared" si="1286"/>
        <v>0</v>
      </c>
      <c r="HY413" s="644">
        <f>INDEX(Input!$1:$1048576,HY$93,$C413*2+6)*INDEX(Input!$1:$1048576,$JG$93,$C413*2+6)</f>
        <v>844</v>
      </c>
      <c r="HZ413" s="644">
        <f>INDEX(Input!$1:$1048576,HZ$93,$C413*2+6)*INDEX(Input!$1:$1048576,$JG$93,$C413*2+6)</f>
        <v>865</v>
      </c>
      <c r="IA413" s="644">
        <f>INDEX(Input!$1:$1048576,IA$93,$C413*2+6)*INDEX(Input!$1:$1048576,$JG$93,$C413*2+6)</f>
        <v>150</v>
      </c>
      <c r="IB413" s="644">
        <f t="shared" si="1310"/>
        <v>889.75412676834367</v>
      </c>
      <c r="IC413" s="644">
        <f t="shared" si="1311"/>
        <v>1022.0343116525752</v>
      </c>
      <c r="ID413" s="644">
        <f>IF(AND(INDEX(Input!$1:$1048576,IA$93,$C413*2+7)="TOS",Y413&lt;=INDEX(Y:Y,MATCH(C413*1000+2,A:A))),0,1)*MAX(IA413+HR413+HU413+HX413,0%)</f>
        <v>159.96086397172485</v>
      </c>
      <c r="IE413" s="128">
        <f t="shared" ref="IE413:IE414" si="1355">IB413/SUM($IB413:$ID413)</f>
        <v>0.42946997773368384</v>
      </c>
      <c r="IF413" s="128">
        <f t="shared" si="1333"/>
        <v>0.49331949115283275</v>
      </c>
      <c r="IG413" s="128">
        <f t="shared" si="1288"/>
        <v>7.7210531113483458E-2</v>
      </c>
      <c r="IH413" s="21"/>
      <c r="II413" s="19">
        <f t="shared" si="1289"/>
        <v>1199.9999999999998</v>
      </c>
      <c r="IJ413" s="19">
        <f t="shared" si="1290"/>
        <v>2195.4782357510435</v>
      </c>
      <c r="IK413" s="19">
        <f t="shared" si="1291"/>
        <v>-571</v>
      </c>
      <c r="IL413" s="19">
        <f t="shared" si="1313"/>
        <v>400</v>
      </c>
      <c r="IM413" s="19">
        <f t="shared" si="1292"/>
        <v>782.78774254620612</v>
      </c>
      <c r="IN413" s="19">
        <f t="shared" si="1293"/>
        <v>325</v>
      </c>
      <c r="IO413" s="39">
        <f t="shared" si="1294"/>
        <v>0</v>
      </c>
      <c r="IP413" s="39">
        <f t="shared" si="1295"/>
        <v>0</v>
      </c>
      <c r="IQ413" s="39">
        <f t="shared" si="1296"/>
        <v>0</v>
      </c>
      <c r="IR413" s="39">
        <v>0</v>
      </c>
      <c r="IS413" s="39">
        <v>0</v>
      </c>
      <c r="IT413" s="39">
        <v>0</v>
      </c>
      <c r="IU413" s="39">
        <v>0</v>
      </c>
      <c r="IV413" s="39">
        <v>0</v>
      </c>
      <c r="IW413" s="39">
        <v>0</v>
      </c>
      <c r="IX413" s="39">
        <f>INDEX(Input!$1:$1048576,IX$93,$C413*2+6)+INDEX(Input!$1:$1048576,IX$94,$C413*2+6)</f>
        <v>1600</v>
      </c>
      <c r="IY413" s="39">
        <f>INDEX(Input!$1:$1048576,IY$93,$C413*2+6)+INDEX(Input!$1:$1048576,IY$94,$C413*2+6)</f>
        <v>2503.549291639752</v>
      </c>
      <c r="IZ413" s="39">
        <f>INDEX(Input!$1:$1048576,IZ$93,$C413*2+6)+INDEX(Input!$1:$1048576,IZ$94,$C413*2+6)</f>
        <v>5413.7109265464023</v>
      </c>
      <c r="JA413" s="19">
        <f t="shared" si="1314"/>
        <v>2000</v>
      </c>
      <c r="JB413" s="19">
        <f t="shared" si="1315"/>
        <v>3286.3370341859581</v>
      </c>
      <c r="JC413" s="19">
        <f t="shared" si="1316"/>
        <v>5738.7109265464023</v>
      </c>
      <c r="JD413" s="19">
        <f t="shared" si="1317"/>
        <v>2923.2429874740924</v>
      </c>
      <c r="JE413" s="21"/>
      <c r="JF413" s="1">
        <f t="shared" si="1297"/>
        <v>7.6210291289252219E-2</v>
      </c>
      <c r="JG413" s="15">
        <f>INDEX(Input!$1:$1048576,JG$93,$C413*2+6)/(1+VLOOKUP(C413*1000+INDEX(Input!$1:$1048576,JG$93+1,$C413*2+6),$A:$KK,$JK$92,FALSE))</f>
        <v>1859</v>
      </c>
      <c r="JH413" s="1">
        <f t="shared" si="1318"/>
        <v>5.238960304838957E-2</v>
      </c>
      <c r="JI413" s="1">
        <f t="shared" si="1319"/>
        <v>6.2053270750773069E-2</v>
      </c>
      <c r="JJ413" s="1">
        <f>SUM(HV413:HX413)/SUM(HY413:IA413)</f>
        <v>0</v>
      </c>
      <c r="JK413" s="1">
        <f t="shared" ref="JK413:JK414" si="1356">SUM(JH413:JJ413)</f>
        <v>0.11444287379916264</v>
      </c>
      <c r="JL413" s="15">
        <f t="shared" si="1322"/>
        <v>212.74930239264336</v>
      </c>
      <c r="JM413" s="15">
        <f t="shared" si="1348"/>
        <v>2071.7493023926436</v>
      </c>
      <c r="JN413" s="21"/>
      <c r="JO413" s="19">
        <f>INDEX(Input!$1:$1048576,JO$93,$C413*2+6)</f>
        <v>5908.5</v>
      </c>
      <c r="JP413" s="19">
        <f>INDEX(Input!$1:$1048576,JP$93,$C413*2+6)</f>
        <v>2328.1478086338602</v>
      </c>
      <c r="JQ413" s="39">
        <f t="shared" si="1334"/>
        <v>2985.2570125259076</v>
      </c>
      <c r="JR413" s="39">
        <f t="shared" si="1351"/>
        <v>595.09517884023217</v>
      </c>
      <c r="JS413" s="39">
        <f t="shared" si="1336"/>
        <v>6.0562266200236383</v>
      </c>
      <c r="JT413" s="39">
        <f t="shared" si="1324"/>
        <v>1.7281998437732915</v>
      </c>
      <c r="JU413" s="385">
        <f>(JQ413*JM413-INDEX(Input!$1:$1048576,Input!A$18,$C413*2+6)*JL413*INDEX(Input!$1:$1048576,Input!A$19,$C413*2+6))/1000000</f>
        <v>6.1847041331632964</v>
      </c>
      <c r="JV413" s="39">
        <f>JU413-(JO413-JP413)*JG413/1000000</f>
        <v>-0.47117059058635746</v>
      </c>
      <c r="JW413" s="1">
        <f t="shared" si="1349"/>
        <v>-7.0790183130267623E-2</v>
      </c>
      <c r="JX413" s="19">
        <f t="shared" si="1340"/>
        <v>8123.1751377674591</v>
      </c>
      <c r="JZ413" s="341"/>
      <c r="KA413" s="342"/>
      <c r="KB413" s="469">
        <f t="shared" si="1337"/>
        <v>2.3451977905499271</v>
      </c>
      <c r="KI413" s="473">
        <f t="shared" si="1338"/>
        <v>45.754126768343667</v>
      </c>
      <c r="KJ413" s="473">
        <f t="shared" si="1325"/>
        <v>157.03431165257518</v>
      </c>
      <c r="KK413" s="473">
        <f t="shared" si="1326"/>
        <v>9.9608639717248479</v>
      </c>
      <c r="KN413" s="544">
        <f t="shared" si="1341"/>
        <v>4002</v>
      </c>
      <c r="KO413" s="541">
        <f t="shared" si="1301"/>
        <v>3.7098553308665405E-2</v>
      </c>
      <c r="KP413" s="546">
        <f t="shared" si="1302"/>
        <v>188.78689536434555</v>
      </c>
      <c r="KQ413" s="546">
        <f t="shared" si="1303"/>
        <v>199.49942587609667</v>
      </c>
      <c r="KR413" s="548">
        <f t="shared" si="1304"/>
        <v>3.3350252435688725</v>
      </c>
      <c r="KS413" s="548">
        <f t="shared" si="1305"/>
        <v>3.1559442285619395</v>
      </c>
      <c r="KT413" s="473">
        <f t="shared" si="1339"/>
        <v>1050.27685337919</v>
      </c>
      <c r="KU413" s="663">
        <f t="shared" si="1327"/>
        <v>6.5526171368040709</v>
      </c>
      <c r="KV413" s="117" t="e">
        <f>RANK(KU413,$KU$109:$KU$200)</f>
        <v>#N/A</v>
      </c>
    </row>
    <row r="414" spans="1:310" s="26" customFormat="1" ht="15">
      <c r="A414" s="561">
        <f t="shared" si="1306"/>
        <v>4014</v>
      </c>
      <c r="B414" s="561">
        <f t="shared" si="1328"/>
        <v>14</v>
      </c>
      <c r="C414" s="561">
        <f t="shared" si="1329"/>
        <v>4</v>
      </c>
      <c r="D414" s="561" t="str">
        <f t="shared" si="1350"/>
        <v xml:space="preserve">0/0/0/3.9, </v>
      </c>
      <c r="E414" s="115">
        <f>INDEX(Input!$1:$1048576,E$93,$C414*2+MIN($B414,2)+5)</f>
        <v>1250</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63">
        <f>IFERROR(MAX(0,INDEX(Input!$1:$1048576,W$93,$C414*2+MIN($B414,2)+5)-0%,),"Market")</f>
        <v>3.9E-2</v>
      </c>
      <c r="X414" s="476" t="str">
        <f>INDEX(Input!$1:$1048576,X$93,$C414*2+MIN($B414,2)+5)</f>
        <v>Y</v>
      </c>
      <c r="Y414" s="150">
        <f>INDEX(Input!$1:$1048576,Y$93,$C414*2+MIN($B414,2)+5)</f>
        <v>-2217</v>
      </c>
      <c r="Z414" s="30">
        <f>INDEX(Input!$1:$1048576,Z$93,$C414*2+MIN($B414,2)+5)</f>
        <v>0</v>
      </c>
      <c r="AA414" s="475">
        <f>INDEX(Input!$1:$1048576,AA$93,$C414*2+MIN($B414,2)+5)</f>
        <v>0</v>
      </c>
      <c r="AB414" s="118">
        <f>INDEX(Input!$1:$1048576,AB$93,$C414*2+MIN($B414,2)+5)</f>
        <v>1</v>
      </c>
      <c r="AC414" s="115">
        <f>INDEX(Input!$1:$1048576,AC$93,$C414*2+MIN($B414,2)+5)</f>
        <v>0</v>
      </c>
      <c r="AD414" s="118">
        <f>INDEX(Input!$1:$1048576,AD$93,$C414*2+MIN($B414,2)+5)</f>
        <v>0.35</v>
      </c>
      <c r="AE414" s="115">
        <f>INDEX(Input!$1:$1048576,AE$93,$C414*2+MIN($B414,2)+5)</f>
        <v>0</v>
      </c>
      <c r="AF414" s="118">
        <f>INDEX(Input!$1:$1048576,AF$93,$C414*2+MIN($B414,2)+5)</f>
        <v>1</v>
      </c>
      <c r="AG414" s="115">
        <f>INDEX(Input!$1:$1048576,AG$93,$C414*2+MIN($B414,2)+5)</f>
        <v>0</v>
      </c>
      <c r="AH414" s="118">
        <f>INDEX(Input!$1:$1048576,AH$93,$C414*2+MIN($B414,2)+5)</f>
        <v>1</v>
      </c>
      <c r="AI414" s="115">
        <f>INDEX(Input!$1:$1048576,AI$93,$C414*2+MIN($B414,2)+5)</f>
        <v>0</v>
      </c>
      <c r="AJ414" s="118">
        <f>INDEX(Input!$1:$1048576,AJ$93,$C414*2+MIN($B414,2)+5)</f>
        <v>0.35</v>
      </c>
      <c r="AK414" s="150">
        <f>ROUND(INDEX(Input!$1:$1048576,AK$93,$C413*2+MIN($B414,1)+5)+(Y414-VLOOKUP($C414*1000+1,$A:$HH,Y$92,FALSE)),0)</f>
        <v>4592</v>
      </c>
      <c r="AL414" s="150">
        <f>ROUND(INDEX(Input!$1:$1048576,AL$93,$C413*2+MIN($B414,1)+5)-(Y414-VLOOKUP($C414*1000+1,$A:$HH,Y$92,FALSE))/36,0)</f>
        <v>4743</v>
      </c>
      <c r="AM414" s="32" t="str">
        <f t="shared" si="1307"/>
        <v>std/std/std/std</v>
      </c>
      <c r="AN414" s="32" t="str">
        <f t="shared" si="1308"/>
        <v>$0 + 0/0/0/0/3.9</v>
      </c>
      <c r="AO414" s="32" t="str">
        <f t="shared" si="1309"/>
        <v>0/0/0/0/3.9</v>
      </c>
      <c r="AP414" s="32" t="str">
        <f t="shared" si="1125"/>
        <v>0/0/0/3.9</v>
      </c>
      <c r="AQ414" s="536">
        <f t="shared" si="1124"/>
        <v>0.40437084424198233</v>
      </c>
      <c r="AR414" s="32"/>
      <c r="AS414" s="302"/>
      <c r="AT414" s="3">
        <f t="shared" si="1330"/>
        <v>14</v>
      </c>
      <c r="AU414" s="41" t="s">
        <v>121</v>
      </c>
      <c r="AV414" s="41" t="s">
        <v>116</v>
      </c>
      <c r="AW414" s="41" t="str">
        <f>INDEX(Input!$1:$1048576,AW$93,$C414*2+6)</f>
        <v>Kia</v>
      </c>
      <c r="AX414" s="41" t="str">
        <f>INDEX(Input!$1:$1048576,AX$93,$C414*2+6)</f>
        <v>Kia-LR - R1</v>
      </c>
      <c r="AY414" s="41" t="str">
        <f>IF(LEN(D414)=0,"",INDEX(Input!$1:$1048576,AY$93,$C414*2+6))</f>
        <v>Compact Conventional/Sporty Car (43)</v>
      </c>
      <c r="AZ414" s="41" t="str">
        <f>INDEX(Input!$1:$1048576,AZ$93,$C414*2+6)</f>
        <v>Kia Forte</v>
      </c>
      <c r="BA414" s="3">
        <f>INDEX(Input!$1:$1048576,BA$93,$C414*2+6)</f>
        <v>2020</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19695</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1126"/>
        <v>1560</v>
      </c>
      <c r="CJ414" s="16" t="str">
        <f>INDEX(Input!$1:$1048576,CJ$93,$C414*2+6)</f>
        <v>N</v>
      </c>
      <c r="CK414" s="1" t="str">
        <f t="shared" si="1127"/>
        <v>Market</v>
      </c>
      <c r="CL414" s="1" t="str">
        <f t="shared" si="1128"/>
        <v>Market</v>
      </c>
      <c r="CM414" s="1" t="str">
        <f t="shared" si="1129"/>
        <v>Market</v>
      </c>
      <c r="CN414" s="1" t="str">
        <f t="shared" si="1130"/>
        <v>Market</v>
      </c>
      <c r="CO414" s="1" t="str">
        <f t="shared" si="1131"/>
        <v>Market</v>
      </c>
      <c r="CP414" s="304">
        <f t="shared" si="1132"/>
        <v>0</v>
      </c>
      <c r="CQ414" s="1">
        <f t="shared" si="1133"/>
        <v>0</v>
      </c>
      <c r="CR414" s="1">
        <f t="shared" si="1134"/>
        <v>0</v>
      </c>
      <c r="CS414" s="1">
        <f t="shared" si="1135"/>
        <v>0</v>
      </c>
      <c r="CT414" s="1">
        <f t="shared" si="1136"/>
        <v>0</v>
      </c>
      <c r="CU414" s="1">
        <f t="shared" si="1137"/>
        <v>3.9E-2</v>
      </c>
      <c r="CV414" s="304">
        <f t="shared" si="1138"/>
        <v>-2217</v>
      </c>
      <c r="CW414" s="20" t="s">
        <v>122</v>
      </c>
      <c r="CX414" s="20" t="s">
        <v>122</v>
      </c>
      <c r="CY414" s="20" t="s">
        <v>122</v>
      </c>
      <c r="CZ414" s="20" t="s">
        <v>122</v>
      </c>
      <c r="DA414" s="20" t="s">
        <v>122</v>
      </c>
      <c r="DB414" s="503">
        <f t="shared" si="1139"/>
        <v>0</v>
      </c>
      <c r="DC414" s="127">
        <v>0</v>
      </c>
      <c r="DD414" s="127">
        <v>0</v>
      </c>
      <c r="DE414" s="127">
        <v>0</v>
      </c>
      <c r="DF414" s="127">
        <v>0</v>
      </c>
      <c r="DG414" s="127">
        <v>0</v>
      </c>
      <c r="DH414" s="127">
        <v>0</v>
      </c>
      <c r="DI414" s="127">
        <v>0</v>
      </c>
      <c r="DJ414" s="127">
        <v>0</v>
      </c>
      <c r="DK414" s="127">
        <v>0</v>
      </c>
      <c r="DL414" s="127">
        <v>0</v>
      </c>
      <c r="DM414" s="304">
        <f>INDEX(Input!$1:$1048576,DM$93,$C414*2+6)</f>
        <v>20731.578947368424</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4.4226325699170475E-2</v>
      </c>
      <c r="DZ414" s="7">
        <v>0</v>
      </c>
      <c r="EA414" s="7">
        <v>0.79773908057553422</v>
      </c>
      <c r="EB414" s="7">
        <v>0</v>
      </c>
      <c r="EC414" s="7">
        <v>0</v>
      </c>
      <c r="ED414" s="7">
        <v>0</v>
      </c>
      <c r="EE414" s="7">
        <v>0</v>
      </c>
      <c r="EF414" s="7">
        <v>0</v>
      </c>
      <c r="EG414" s="7">
        <v>0</v>
      </c>
      <c r="EH414" s="7">
        <v>5.8719737022155851E-3</v>
      </c>
      <c r="EI414" s="7">
        <v>9.428532241959232E-3</v>
      </c>
      <c r="EJ414" s="7">
        <v>8.8497950925417554E-2</v>
      </c>
      <c r="EK414" s="7">
        <v>0.86827558261105542</v>
      </c>
      <c r="EL414" s="7">
        <v>2.7925960519351974E-2</v>
      </c>
      <c r="EM414" s="7">
        <v>6.306852763764019E-2</v>
      </c>
      <c r="EN414" s="7">
        <v>4.6952347850974172E-2</v>
      </c>
      <c r="EO414" s="7">
        <v>0.57080286185517692</v>
      </c>
      <c r="EP414" s="7">
        <v>0.26934635641624166</v>
      </c>
      <c r="EQ414" s="7">
        <v>6.7913612071208496E-2</v>
      </c>
      <c r="ER414" s="7">
        <v>4.4984821806399053E-2</v>
      </c>
      <c r="ES414" s="7">
        <v>9.4966066087655135E-2</v>
      </c>
      <c r="ET414" s="7">
        <v>0.1580345937252953</v>
      </c>
      <c r="EU414" s="6">
        <v>1599.9999999999998</v>
      </c>
      <c r="EV414" s="6">
        <v>0</v>
      </c>
      <c r="EW414" s="6">
        <v>1599.9999999999998</v>
      </c>
      <c r="EX414" s="6">
        <v>0</v>
      </c>
      <c r="EY414" s="6">
        <v>3367.6786079679814</v>
      </c>
      <c r="EZ414" s="6">
        <v>-246</v>
      </c>
      <c r="FA414" s="6">
        <v>0</v>
      </c>
      <c r="FB414" s="6">
        <v>0</v>
      </c>
      <c r="FC414" s="6">
        <v>0</v>
      </c>
      <c r="FD414" s="6">
        <v>0</v>
      </c>
      <c r="FE414" s="6">
        <v>0</v>
      </c>
      <c r="FF414" s="6">
        <v>0</v>
      </c>
      <c r="FG414" s="6">
        <v>0</v>
      </c>
      <c r="FH414" s="6">
        <v>1153.2518048936397</v>
      </c>
      <c r="FI414" s="6">
        <v>1531.4299904380609</v>
      </c>
      <c r="FJ414" s="6">
        <v>2070.7205842538206</v>
      </c>
      <c r="FK414" s="6">
        <v>2635.395613320291</v>
      </c>
      <c r="FL414" s="6">
        <v>893.91433563489318</v>
      </c>
      <c r="FM414" s="6">
        <v>2517.6786079679814</v>
      </c>
      <c r="FN414" s="6">
        <v>0</v>
      </c>
      <c r="FO414" s="6">
        <v>0</v>
      </c>
      <c r="FP414" s="6">
        <v>0</v>
      </c>
      <c r="FQ414" s="6">
        <v>0</v>
      </c>
      <c r="FR414" s="6">
        <v>0</v>
      </c>
      <c r="FS414" s="6">
        <v>0</v>
      </c>
      <c r="FT414" s="7">
        <v>0.84196540627470473</v>
      </c>
      <c r="FU414" s="7">
        <v>6.306852763764019E-2</v>
      </c>
      <c r="FV414" s="7">
        <v>9.4966066087655135E-2</v>
      </c>
      <c r="FW414" s="6">
        <v>1599.9999999999995</v>
      </c>
      <c r="FX414" s="6">
        <v>3367.6786079679814</v>
      </c>
      <c r="FY414" s="6">
        <v>-246</v>
      </c>
      <c r="FZ414" s="6">
        <v>1695.8504614767719</v>
      </c>
      <c r="GA414" s="6">
        <v>1536.1775291432823</v>
      </c>
      <c r="GB414" s="6">
        <v>18158.822470856718</v>
      </c>
      <c r="GC414" s="7">
        <v>8.1891069685915169E-2</v>
      </c>
      <c r="GD414" s="7">
        <v>8.0818277881125333E-2</v>
      </c>
      <c r="GE414" s="7"/>
      <c r="GF414" s="7"/>
      <c r="GG414" s="7">
        <v>-1.3100229474403239E-2</v>
      </c>
      <c r="GH414" s="42">
        <v>1.6158594680249214</v>
      </c>
      <c r="GI414" s="6">
        <v>13724.737481125574</v>
      </c>
      <c r="GJ414" s="14">
        <v>0.51074630601039561</v>
      </c>
      <c r="GK414" s="14">
        <v>0.5082951978616097</v>
      </c>
      <c r="GL414" s="14">
        <v>0.48925369398960428</v>
      </c>
      <c r="GM414" s="14">
        <v>0.49170480213839018</v>
      </c>
      <c r="GO414" s="5">
        <v>338.16872463277008</v>
      </c>
      <c r="GP414" s="5">
        <v>307.64377699166363</v>
      </c>
      <c r="GQ414" s="5">
        <v>527.27910984145694</v>
      </c>
      <c r="GR414" s="5">
        <v>404.20319246551543</v>
      </c>
      <c r="GS414" s="5">
        <v>334.50205195691484</v>
      </c>
      <c r="GT414" s="5">
        <v>289.18266033348181</v>
      </c>
      <c r="GU414" s="5">
        <v>254.29573314828914</v>
      </c>
      <c r="GV414" s="39" t="s">
        <v>392</v>
      </c>
      <c r="GW414" s="5">
        <v>468.76388888888891</v>
      </c>
      <c r="GX414" s="5">
        <v>351.57291666666669</v>
      </c>
      <c r="GY414" s="5">
        <v>281.25833333333333</v>
      </c>
      <c r="GZ414" s="5">
        <v>234.38194444444446</v>
      </c>
      <c r="HA414" s="5">
        <v>229.89195052129477</v>
      </c>
      <c r="HB414" s="39">
        <v>240.8862448889798</v>
      </c>
      <c r="HC414" s="5">
        <v>293.87812499999995</v>
      </c>
      <c r="HD414" s="5">
        <v>243.67143640350872</v>
      </c>
      <c r="HE414" s="5">
        <v>244.28647520242913</v>
      </c>
      <c r="HF414" s="5">
        <v>223.39192434210526</v>
      </c>
      <c r="HG414" s="5">
        <v>212.2899342105263</v>
      </c>
      <c r="HH414" s="39">
        <v>243.40547057118062</v>
      </c>
      <c r="HI414" s="16"/>
      <c r="HJ414" s="19" t="str">
        <f t="shared" si="1331"/>
        <v>On</v>
      </c>
      <c r="HK414" s="1" t="str">
        <f t="shared" si="1331"/>
        <v>On</v>
      </c>
      <c r="HL414" s="16"/>
      <c r="HM414" s="639">
        <f t="shared" si="1278"/>
        <v>6.6115095157691428E-2</v>
      </c>
      <c r="HN414" s="639">
        <f t="shared" si="1279"/>
        <v>2.3720927871164412E-3</v>
      </c>
      <c r="HO414" s="639">
        <f t="shared" si="1280"/>
        <v>7.7231033444443466E-3</v>
      </c>
      <c r="HP414" s="644">
        <f>(FT414*$GD414-HM414)/$JF414*INDEX(Input!$1:$1048576,$JG$93,$C414*2+6)</f>
        <v>47.105358138293113</v>
      </c>
      <c r="HQ414" s="644">
        <f>(FU414*$GD414-HN414)/$JF414*INDEX(Input!$1:$1048576,$JG$93,$C414*2+6)</f>
        <v>66.47093649297129</v>
      </c>
      <c r="HR414" s="644">
        <f>(FV414*$GD414-HO414)/$JF414*INDEX(Input!$1:$1048576,$JG$93,$C414*2+6)</f>
        <v>-1.1735347234274469</v>
      </c>
      <c r="HS414" s="644">
        <f t="shared" si="1281"/>
        <v>-21.234559184287178</v>
      </c>
      <c r="HT414" s="644">
        <f t="shared" si="1282"/>
        <v>191.87115273082333</v>
      </c>
      <c r="HU414" s="644">
        <f t="shared" si="1283"/>
        <v>9.1315614137142394</v>
      </c>
      <c r="HV414" s="648">
        <f t="shared" si="1284"/>
        <v>0</v>
      </c>
      <c r="HW414" s="648">
        <f t="shared" si="1285"/>
        <v>0</v>
      </c>
      <c r="HX414" s="648">
        <f t="shared" si="1286"/>
        <v>0</v>
      </c>
      <c r="HY414" s="644">
        <f>INDEX(Input!$1:$1048576,HY$93,$C414*2+6)*INDEX(Input!$1:$1048576,$JG$93,$C414*2+6)</f>
        <v>844</v>
      </c>
      <c r="HZ414" s="644">
        <f>INDEX(Input!$1:$1048576,HZ$93,$C414*2+6)*INDEX(Input!$1:$1048576,$JG$93,$C414*2+6)</f>
        <v>865</v>
      </c>
      <c r="IA414" s="644">
        <f>INDEX(Input!$1:$1048576,IA$93,$C414*2+6)*INDEX(Input!$1:$1048576,$JG$93,$C414*2+6)</f>
        <v>150</v>
      </c>
      <c r="IB414" s="644">
        <f t="shared" si="1310"/>
        <v>869.87079895400609</v>
      </c>
      <c r="IC414" s="644">
        <f t="shared" si="1311"/>
        <v>1123.3420892237946</v>
      </c>
      <c r="ID414" s="644">
        <f>IF(AND(INDEX(Input!$1:$1048576,IA$93,$C414*2+7)="TOS",Y414&lt;=INDEX(Y:Y,MATCH(C414*1000+2,A:A))),0,1)*MAX(IA414+HR414+HU414+HX414,0%)</f>
        <v>157.9580266902868</v>
      </c>
      <c r="IE414" s="128">
        <f t="shared" si="1355"/>
        <v>0.40437084424198233</v>
      </c>
      <c r="IF414" s="128">
        <f t="shared" si="1333"/>
        <v>0.5222002963407858</v>
      </c>
      <c r="IG414" s="128">
        <f t="shared" si="1288"/>
        <v>7.3428859417231845E-2</v>
      </c>
      <c r="IH414" s="21"/>
      <c r="II414" s="19">
        <f t="shared" si="1289"/>
        <v>1199.9999999999998</v>
      </c>
      <c r="IJ414" s="19">
        <f t="shared" si="1290"/>
        <v>2195.4782357510435</v>
      </c>
      <c r="IK414" s="19">
        <f t="shared" si="1291"/>
        <v>-571</v>
      </c>
      <c r="IL414" s="19">
        <f t="shared" si="1313"/>
        <v>399.99999999999977</v>
      </c>
      <c r="IM414" s="19">
        <f t="shared" si="1292"/>
        <v>1172.2003722169379</v>
      </c>
      <c r="IN414" s="19">
        <f t="shared" si="1293"/>
        <v>325</v>
      </c>
      <c r="IO414" s="39">
        <f t="shared" si="1294"/>
        <v>0</v>
      </c>
      <c r="IP414" s="39">
        <f t="shared" si="1295"/>
        <v>0</v>
      </c>
      <c r="IQ414" s="39">
        <f t="shared" si="1296"/>
        <v>0</v>
      </c>
      <c r="IR414" s="39">
        <v>0</v>
      </c>
      <c r="IS414" s="39">
        <v>0</v>
      </c>
      <c r="IT414" s="39">
        <v>0</v>
      </c>
      <c r="IU414" s="39">
        <v>0</v>
      </c>
      <c r="IV414" s="39">
        <v>0</v>
      </c>
      <c r="IW414" s="39">
        <v>0</v>
      </c>
      <c r="IX414" s="39">
        <f>INDEX(Input!$1:$1048576,IX$93,$C414*2+6)+INDEX(Input!$1:$1048576,IX$94,$C414*2+6)</f>
        <v>1600</v>
      </c>
      <c r="IY414" s="39">
        <f>INDEX(Input!$1:$1048576,IY$93,$C414*2+6)+INDEX(Input!$1:$1048576,IY$94,$C414*2+6)</f>
        <v>2503.549291639752</v>
      </c>
      <c r="IZ414" s="39">
        <f>INDEX(Input!$1:$1048576,IZ$93,$C414*2+6)+INDEX(Input!$1:$1048576,IZ$94,$C414*2+6)</f>
        <v>5413.7109265464023</v>
      </c>
      <c r="JA414" s="19">
        <f t="shared" si="1314"/>
        <v>1999.9999999999998</v>
      </c>
      <c r="JB414" s="19">
        <f t="shared" si="1315"/>
        <v>3675.7496638566899</v>
      </c>
      <c r="JC414" s="19">
        <f t="shared" si="1316"/>
        <v>5738.7109265464023</v>
      </c>
      <c r="JD414" s="19">
        <f t="shared" si="1317"/>
        <v>3149.6062500859798</v>
      </c>
      <c r="JE414" s="21"/>
      <c r="JF414" s="1">
        <f t="shared" si="1297"/>
        <v>7.6210291289252219E-2</v>
      </c>
      <c r="JG414" s="15">
        <f>INDEX(Input!$1:$1048576,JG$93,$C414*2+6)/(1+VLOOKUP(C414*1000+INDEX(Input!$1:$1048576,JG$93+1,$C414*2+6),$A:$KK,$JK$92,FALSE))</f>
        <v>1859</v>
      </c>
      <c r="JH414" s="1">
        <f t="shared" si="1318"/>
        <v>6.0464098928368452E-2</v>
      </c>
      <c r="JI414" s="1">
        <f t="shared" si="1319"/>
        <v>9.6701535750538137E-2</v>
      </c>
      <c r="JJ414" s="1">
        <f t="shared" ref="JJ414:JJ418" si="1357">SUM(HV414:HX414)/SUM(HY414:IA414)</f>
        <v>0</v>
      </c>
      <c r="JK414" s="1">
        <f t="shared" si="1356"/>
        <v>0.1571656346789066</v>
      </c>
      <c r="JL414" s="15">
        <f t="shared" si="1322"/>
        <v>292.17091486808738</v>
      </c>
      <c r="JM414" s="15">
        <f t="shared" si="1348"/>
        <v>2151.1709148680875</v>
      </c>
      <c r="JN414" s="21"/>
      <c r="JO414" s="19">
        <f>INDEX(Input!$1:$1048576,JO$93,$C414*2+6)</f>
        <v>5908.5</v>
      </c>
      <c r="JP414" s="19">
        <f>INDEX(Input!$1:$1048576,JP$93,$C414*2+6)</f>
        <v>2328.1478086338602</v>
      </c>
      <c r="JQ414" s="39">
        <f t="shared" si="1334"/>
        <v>2758.8937499140202</v>
      </c>
      <c r="JR414" s="39">
        <f t="shared" si="1351"/>
        <v>821.45844145211959</v>
      </c>
      <c r="JS414" s="39">
        <f t="shared" si="1336"/>
        <v>6.7753413584717039</v>
      </c>
      <c r="JT414" s="39">
        <f t="shared" si="1324"/>
        <v>2.4473145822213573</v>
      </c>
      <c r="JU414" s="385">
        <f>(JQ414*JM414-INDEX(Input!$1:$1048576,Input!A$18,$C414*2+6)*JL414*INDEX(Input!$1:$1048576,Input!A$19,$C414*2+6))/1000000</f>
        <v>5.9348519920263918</v>
      </c>
      <c r="JV414" s="39">
        <f t="shared" ref="JV414:JV461" si="1358">JU414-(JO414-JP414)*JG414/1000000</f>
        <v>-0.72102273172326203</v>
      </c>
      <c r="JW414" s="1">
        <f t="shared" si="1349"/>
        <v>-0.10832877144614685</v>
      </c>
      <c r="JX414" s="19">
        <f t="shared" si="1340"/>
        <v>8376.3114590865371</v>
      </c>
      <c r="JZ414" s="341"/>
      <c r="KA414" s="342"/>
      <c r="KB414" s="469">
        <f t="shared" si="1337"/>
        <v>2.3451977905499271</v>
      </c>
      <c r="KI414" s="473">
        <f t="shared" si="1338"/>
        <v>25.870798954006091</v>
      </c>
      <c r="KJ414" s="473">
        <f t="shared" si="1325"/>
        <v>258.34208922379457</v>
      </c>
      <c r="KK414" s="473">
        <f t="shared" si="1326"/>
        <v>7.9580266902868004</v>
      </c>
      <c r="KN414" s="544">
        <f t="shared" si="1341"/>
        <v>4002</v>
      </c>
      <c r="KO414" s="541">
        <f t="shared" si="1301"/>
        <v>7.6856278485451179E-2</v>
      </c>
      <c r="KP414" s="546">
        <f t="shared" si="1302"/>
        <v>403.19059111587904</v>
      </c>
      <c r="KQ414" s="546">
        <f t="shared" si="1303"/>
        <v>425.86268848798409</v>
      </c>
      <c r="KR414" s="548">
        <f t="shared" si="1304"/>
        <v>3.2350646067109103</v>
      </c>
      <c r="KS414" s="548">
        <f t="shared" si="1305"/>
        <v>3.0628360885732624</v>
      </c>
      <c r="KT414" s="473">
        <f t="shared" si="1339"/>
        <v>1050.27685337919</v>
      </c>
      <c r="KU414" s="663">
        <f t="shared" si="1327"/>
        <v>6.5545425007488562</v>
      </c>
      <c r="KV414" s="117" t="e">
        <f t="shared" ref="KV414:KV418" si="1359">RANK(KU414,$KU$109:$KU$200)</f>
        <v>#N/A</v>
      </c>
    </row>
    <row r="415" spans="1:310" s="26" customFormat="1" ht="15">
      <c r="A415" s="561">
        <f t="shared" si="1306"/>
        <v>4015</v>
      </c>
      <c r="B415" s="561">
        <f t="shared" si="1328"/>
        <v>15</v>
      </c>
      <c r="C415" s="561">
        <f t="shared" si="1329"/>
        <v>4</v>
      </c>
      <c r="D415" s="561" t="str">
        <f t="shared" si="1350"/>
        <v xml:space="preserve">500 Combo, </v>
      </c>
      <c r="E415" s="115">
        <f>INDEX(Input!$1:$1048576,E$93,$C415*2+MIN($B415,2)+5)</f>
        <v>1250</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1.8999999999999996E-2</v>
      </c>
      <c r="W415" s="863">
        <f>IFERROR(MAX(0,INDEX(Input!$1:$1048576,W$93,$C415*2+MIN($B415,2)+5)-0%,),"Market")</f>
        <v>3.9E-2</v>
      </c>
      <c r="X415" s="476" t="str">
        <f>INDEX(Input!$1:$1048576,X$93,$C415*2+MIN($B415,2)+5)</f>
        <v>Y</v>
      </c>
      <c r="Y415" s="150">
        <f>INDEX(Input!$1:$1048576,Y$93,$C415*2+MIN($B415,2)+5)</f>
        <v>-2217</v>
      </c>
      <c r="Z415" s="30">
        <f>INDEX(Input!$1:$1048576,Z$93,$C415*2+MIN($B415,2)+5)</f>
        <v>0</v>
      </c>
      <c r="AA415" s="475">
        <f>INDEX(Input!$1:$1048576,AA$93,$C415*2+MIN($B415,2)+5)</f>
        <v>0</v>
      </c>
      <c r="AB415" s="118">
        <f>INDEX(Input!$1:$1048576,AB$93,$C415*2+MIN($B415,2)+5)</f>
        <v>1</v>
      </c>
      <c r="AC415" s="115">
        <f>INDEX(Input!$1:$1048576,AC$93,$C415*2+MIN($B415,2)+5)</f>
        <v>0</v>
      </c>
      <c r="AD415" s="118">
        <f>INDEX(Input!$1:$1048576,AD$93,$C415*2+MIN($B415,2)+5)</f>
        <v>0.35</v>
      </c>
      <c r="AE415" s="115">
        <f>INDEX(Input!$1:$1048576,AE$93,$C415*2+MIN($B415,2)+5)</f>
        <v>0</v>
      </c>
      <c r="AF415" s="118">
        <f>INDEX(Input!$1:$1048576,AF$93,$C415*2+MIN($B415,2)+5)</f>
        <v>1</v>
      </c>
      <c r="AG415" s="115">
        <f>INDEX(Input!$1:$1048576,AG$93,$C415*2+MIN($B415,2)+5)</f>
        <v>0</v>
      </c>
      <c r="AH415" s="118">
        <f>INDEX(Input!$1:$1048576,AH$93,$C415*2+MIN($B415,2)+5)</f>
        <v>1</v>
      </c>
      <c r="AI415" s="115">
        <f>INDEX(Input!$1:$1048576,AI$93,$C415*2+MIN($B415,2)+5)</f>
        <v>0</v>
      </c>
      <c r="AJ415" s="118">
        <f>INDEX(Input!$1:$1048576,AJ$93,$C415*2+MIN($B415,2)+5)</f>
        <v>0.35</v>
      </c>
      <c r="AK415" s="150">
        <f>ROUND(INDEX(Input!$1:$1048576,AK$93,$C414*2+MIN($B415,1)+5)+(Y415-VLOOKUP($C415*1000+1,$A:$HH,Y$92,FALSE)),0)</f>
        <v>4592</v>
      </c>
      <c r="AL415" s="150">
        <f>ROUND(INDEX(Input!$1:$1048576,AL$93,$C414*2+MIN($B415,1)+5)-(Y415-VLOOKUP($C415*1000+1,$A:$HH,Y$92,FALSE))/36,0)</f>
        <v>4743</v>
      </c>
      <c r="AM415" s="32" t="str">
        <f t="shared" si="1307"/>
        <v>std/std/std/std</v>
      </c>
      <c r="AN415" s="32" t="str">
        <f t="shared" si="1308"/>
        <v>$500 + 0/0/0/1.9/3.9</v>
      </c>
      <c r="AO415" s="32" t="str">
        <f t="shared" si="1309"/>
        <v>0/0/0/1.9/3.9</v>
      </c>
      <c r="AP415" s="32" t="str">
        <f t="shared" si="1125"/>
        <v>0/0.9/1.9/3.9</v>
      </c>
      <c r="AQ415" s="536">
        <f t="shared" si="1124"/>
        <v>0.43117317470582972</v>
      </c>
      <c r="AR415" s="32"/>
      <c r="AS415" s="302"/>
      <c r="AT415" s="3">
        <f t="shared" si="1330"/>
        <v>15</v>
      </c>
      <c r="AU415" s="41" t="s">
        <v>121</v>
      </c>
      <c r="AV415" s="41" t="s">
        <v>116</v>
      </c>
      <c r="AW415" s="41" t="str">
        <f>INDEX(Input!$1:$1048576,AW$93,$C415*2+6)</f>
        <v>Kia</v>
      </c>
      <c r="AX415" s="41" t="str">
        <f>INDEX(Input!$1:$1048576,AX$93,$C415*2+6)</f>
        <v>Kia-LR - R1</v>
      </c>
      <c r="AY415" s="41" t="str">
        <f>IF(LEN(D415)=0,"",INDEX(Input!$1:$1048576,AY$93,$C415*2+6))</f>
        <v>Compact Conventional/Sporty Car (43)</v>
      </c>
      <c r="AZ415" s="41" t="str">
        <f>INDEX(Input!$1:$1048576,AZ$93,$C415*2+6)</f>
        <v>Kia Forte</v>
      </c>
      <c r="BA415" s="3">
        <f>INDEX(Input!$1:$1048576,BA$93,$C415*2+6)</f>
        <v>2020</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19695</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1126"/>
        <v>1560</v>
      </c>
      <c r="CJ415" s="16" t="str">
        <f>INDEX(Input!$1:$1048576,CJ$93,$C415*2+6)</f>
        <v>N</v>
      </c>
      <c r="CK415" s="1" t="str">
        <f t="shared" si="1127"/>
        <v>Market</v>
      </c>
      <c r="CL415" s="1" t="str">
        <f t="shared" si="1128"/>
        <v>Market</v>
      </c>
      <c r="CM415" s="1" t="str">
        <f t="shared" si="1129"/>
        <v>Market</v>
      </c>
      <c r="CN415" s="1" t="str">
        <f t="shared" si="1130"/>
        <v>Market</v>
      </c>
      <c r="CO415" s="1" t="str">
        <f t="shared" si="1131"/>
        <v>Market</v>
      </c>
      <c r="CP415" s="304">
        <f t="shared" si="1132"/>
        <v>500</v>
      </c>
      <c r="CQ415" s="1">
        <f t="shared" si="1133"/>
        <v>0</v>
      </c>
      <c r="CR415" s="1">
        <f t="shared" si="1134"/>
        <v>0</v>
      </c>
      <c r="CS415" s="1">
        <f t="shared" si="1135"/>
        <v>0</v>
      </c>
      <c r="CT415" s="1">
        <f t="shared" si="1136"/>
        <v>1.8999999999999996E-2</v>
      </c>
      <c r="CU415" s="1">
        <f t="shared" si="1137"/>
        <v>3.9E-2</v>
      </c>
      <c r="CV415" s="304">
        <f t="shared" si="1138"/>
        <v>-2217</v>
      </c>
      <c r="CW415" s="20" t="s">
        <v>122</v>
      </c>
      <c r="CX415" s="20" t="s">
        <v>122</v>
      </c>
      <c r="CY415" s="20" t="s">
        <v>122</v>
      </c>
      <c r="CZ415" s="20" t="s">
        <v>122</v>
      </c>
      <c r="DA415" s="20" t="s">
        <v>122</v>
      </c>
      <c r="DB415" s="503">
        <f t="shared" si="1139"/>
        <v>0</v>
      </c>
      <c r="DC415" s="127">
        <v>0</v>
      </c>
      <c r="DD415" s="127">
        <v>0</v>
      </c>
      <c r="DE415" s="127">
        <v>0</v>
      </c>
      <c r="DF415" s="127">
        <v>0</v>
      </c>
      <c r="DG415" s="127">
        <v>0</v>
      </c>
      <c r="DH415" s="127">
        <v>0</v>
      </c>
      <c r="DI415" s="127">
        <v>0</v>
      </c>
      <c r="DJ415" s="127">
        <v>0</v>
      </c>
      <c r="DK415" s="127">
        <v>0</v>
      </c>
      <c r="DL415" s="127">
        <v>0</v>
      </c>
      <c r="DM415" s="304">
        <f>INDEX(Input!$1:$1048576,DM$93,$C415*2+6)</f>
        <v>20731.578947368424</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4.5515691096850684E-2</v>
      </c>
      <c r="DZ415" s="7">
        <v>0</v>
      </c>
      <c r="EA415" s="7">
        <v>0.82076591378756902</v>
      </c>
      <c r="EB415" s="7">
        <v>0</v>
      </c>
      <c r="EC415" s="7">
        <v>0</v>
      </c>
      <c r="ED415" s="7">
        <v>0</v>
      </c>
      <c r="EE415" s="7">
        <v>0</v>
      </c>
      <c r="EF415" s="7">
        <v>0</v>
      </c>
      <c r="EG415" s="7">
        <v>0</v>
      </c>
      <c r="EH415" s="7">
        <v>1.2253841629692768E-2</v>
      </c>
      <c r="EI415" s="7">
        <v>1.96756331497757E-2</v>
      </c>
      <c r="EJ415" s="7">
        <v>0.18468645551718521</v>
      </c>
      <c r="EK415" s="7">
        <v>0.72512675693878181</v>
      </c>
      <c r="EL415" s="7">
        <v>5.8257312764564737E-2</v>
      </c>
      <c r="EM415" s="7">
        <v>3.6077769907138409E-2</v>
      </c>
      <c r="EN415" s="7">
        <v>4.695866173921906E-2</v>
      </c>
      <c r="EO415" s="7">
        <v>0.57082668996311359</v>
      </c>
      <c r="EP415" s="7">
        <v>0.26931928887344087</v>
      </c>
      <c r="EQ415" s="7">
        <v>6.7916453889247025E-2</v>
      </c>
      <c r="ER415" s="7">
        <v>4.4978905534980206E-2</v>
      </c>
      <c r="ES415" s="7">
        <v>9.7640625208442008E-2</v>
      </c>
      <c r="ET415" s="7">
        <v>0.13371839511558031</v>
      </c>
      <c r="EU415" s="6">
        <v>1599.9999999999998</v>
      </c>
      <c r="EV415" s="6">
        <v>0</v>
      </c>
      <c r="EW415" s="6">
        <v>1599.9999999999998</v>
      </c>
      <c r="EX415" s="6">
        <v>0</v>
      </c>
      <c r="EY415" s="6">
        <v>3095.5641624914201</v>
      </c>
      <c r="EZ415" s="6">
        <v>-246</v>
      </c>
      <c r="FA415" s="6">
        <v>0</v>
      </c>
      <c r="FB415" s="6">
        <v>0</v>
      </c>
      <c r="FC415" s="6">
        <v>0</v>
      </c>
      <c r="FD415" s="6">
        <v>0</v>
      </c>
      <c r="FE415" s="6">
        <v>0</v>
      </c>
      <c r="FF415" s="6">
        <v>0</v>
      </c>
      <c r="FG415" s="6">
        <v>0</v>
      </c>
      <c r="FH415" s="6">
        <v>1153.2519890090618</v>
      </c>
      <c r="FI415" s="6">
        <v>1531.4299904380616</v>
      </c>
      <c r="FJ415" s="6">
        <v>2070.7205842538219</v>
      </c>
      <c r="FK415" s="6">
        <v>1746.9903521590434</v>
      </c>
      <c r="FL415" s="6">
        <v>893.91433563489397</v>
      </c>
      <c r="FM415" s="6">
        <v>1745.5641624914201</v>
      </c>
      <c r="FN415" s="6">
        <v>0</v>
      </c>
      <c r="FO415" s="6">
        <v>0</v>
      </c>
      <c r="FP415" s="6">
        <v>0</v>
      </c>
      <c r="FQ415" s="6">
        <v>0</v>
      </c>
      <c r="FR415" s="6">
        <v>0</v>
      </c>
      <c r="FS415" s="6">
        <v>0</v>
      </c>
      <c r="FT415" s="7">
        <v>0.86628160488441974</v>
      </c>
      <c r="FU415" s="7">
        <v>3.6077769907138409E-2</v>
      </c>
      <c r="FV415" s="7">
        <v>9.7640625208442008E-2</v>
      </c>
      <c r="FW415" s="6">
        <v>1599.9999999999995</v>
      </c>
      <c r="FX415" s="6">
        <v>3095.5641624914201</v>
      </c>
      <c r="FY415" s="6">
        <v>-246</v>
      </c>
      <c r="FZ415" s="6">
        <v>1695.8504614767719</v>
      </c>
      <c r="GA415" s="6">
        <v>1473.7120256009437</v>
      </c>
      <c r="GB415" s="6">
        <v>18221.287974399056</v>
      </c>
      <c r="GC415" s="7">
        <v>8.1891069685915169E-2</v>
      </c>
      <c r="GD415" s="7">
        <v>7.9900262602886254E-2</v>
      </c>
      <c r="GE415" s="7"/>
      <c r="GF415" s="7"/>
      <c r="GG415" s="7">
        <v>-2.4310429582425182E-2</v>
      </c>
      <c r="GH415" s="42">
        <v>2.1553852611688593</v>
      </c>
      <c r="GI415" s="6">
        <v>10611.289587637089</v>
      </c>
      <c r="GJ415" s="14">
        <v>0.51074630601039561</v>
      </c>
      <c r="GK415" s="14">
        <v>0.5082951978616097</v>
      </c>
      <c r="GL415" s="14">
        <v>0.48925369398960455</v>
      </c>
      <c r="GM415" s="14">
        <v>0.49170480213839035</v>
      </c>
      <c r="GO415" s="5">
        <v>338.16872463277008</v>
      </c>
      <c r="GP415" s="5">
        <v>307.64377699166363</v>
      </c>
      <c r="GQ415" s="5">
        <v>527.27910984145694</v>
      </c>
      <c r="GR415" s="5">
        <v>404.20319246551543</v>
      </c>
      <c r="GS415" s="5">
        <v>334.50205195691484</v>
      </c>
      <c r="GT415" s="5">
        <v>289.18266033348181</v>
      </c>
      <c r="GU415" s="5">
        <v>254.29573314828914</v>
      </c>
      <c r="GV415" s="39" t="s">
        <v>392</v>
      </c>
      <c r="GW415" s="5">
        <v>454.875</v>
      </c>
      <c r="GX415" s="5">
        <v>341.15625</v>
      </c>
      <c r="GY415" s="5">
        <v>272.92500000000001</v>
      </c>
      <c r="GZ415" s="5">
        <v>240.82751152063872</v>
      </c>
      <c r="HA415" s="5">
        <v>223.08053899211652</v>
      </c>
      <c r="HB415" s="39">
        <v>250.31852744743671</v>
      </c>
      <c r="HC415" s="5">
        <v>293.87812499999995</v>
      </c>
      <c r="HD415" s="5">
        <v>243.67143640350872</v>
      </c>
      <c r="HE415" s="5">
        <v>244.28647520242913</v>
      </c>
      <c r="HF415" s="5">
        <v>223.39192434210526</v>
      </c>
      <c r="HG415" s="5">
        <v>212.2899342105263</v>
      </c>
      <c r="HH415" s="39">
        <v>243.40589895381399</v>
      </c>
      <c r="HI415" s="16"/>
      <c r="HJ415" s="19" t="str">
        <f t="shared" si="1331"/>
        <v>On</v>
      </c>
      <c r="HK415" s="1" t="str">
        <f t="shared" si="1331"/>
        <v>On</v>
      </c>
      <c r="HL415" s="16"/>
      <c r="HM415" s="639">
        <f t="shared" si="1278"/>
        <v>6.6115095157691428E-2</v>
      </c>
      <c r="HN415" s="639">
        <f t="shared" si="1279"/>
        <v>2.3720927871164412E-3</v>
      </c>
      <c r="HO415" s="639">
        <f t="shared" si="1280"/>
        <v>7.7231033444443466E-3</v>
      </c>
      <c r="HP415" s="644">
        <f>(FT415*$GD415-HM415)/$JF415*INDEX(Input!$1:$1048576,$JG$93,$C415*2+6)</f>
        <v>75.643583467211172</v>
      </c>
      <c r="HQ415" s="644">
        <f>(FU415*$GD415-HN415)/$JF415*INDEX(Input!$1:$1048576,$JG$93,$C415*2+6)</f>
        <v>12.453386389948705</v>
      </c>
      <c r="HR415" s="644">
        <f>(FV415*$GD415-HO415)/$JF415*INDEX(Input!$1:$1048576,$JG$93,$C415*2+6)</f>
        <v>1.9126148852765634</v>
      </c>
      <c r="HS415" s="644">
        <f t="shared" si="1281"/>
        <v>-21.178538372538068</v>
      </c>
      <c r="HT415" s="644">
        <f t="shared" si="1282"/>
        <v>146.86183324040007</v>
      </c>
      <c r="HU415" s="644">
        <f t="shared" si="1283"/>
        <v>9.0755406019651268</v>
      </c>
      <c r="HV415" s="648">
        <f t="shared" si="1284"/>
        <v>0</v>
      </c>
      <c r="HW415" s="648">
        <f t="shared" si="1285"/>
        <v>0</v>
      </c>
      <c r="HX415" s="648">
        <f t="shared" si="1286"/>
        <v>0</v>
      </c>
      <c r="HY415" s="644">
        <f>INDEX(Input!$1:$1048576,HY$93,$C415*2+6)*INDEX(Input!$1:$1048576,$JG$93,$C415*2+6)</f>
        <v>844</v>
      </c>
      <c r="HZ415" s="644">
        <f>INDEX(Input!$1:$1048576,HZ$93,$C415*2+6)*INDEX(Input!$1:$1048576,$JG$93,$C415*2+6)</f>
        <v>865</v>
      </c>
      <c r="IA415" s="644">
        <f>INDEX(Input!$1:$1048576,IA$93,$C415*2+6)*INDEX(Input!$1:$1048576,$JG$93,$C415*2+6)</f>
        <v>150</v>
      </c>
      <c r="IB415" s="644">
        <f t="shared" si="1310"/>
        <v>898.4650450946732</v>
      </c>
      <c r="IC415" s="644">
        <f t="shared" si="1311"/>
        <v>1024.3152196303488</v>
      </c>
      <c r="ID415" s="644">
        <f>IF(AND(INDEX(Input!$1:$1048576,IA$93,$C415*2+7)="TOS",Y415&lt;=INDEX(Y:Y,MATCH(C415*1000+2,A:A))),0,1)*MAX(IA415+HR415+HU415+HX415,0%)</f>
        <v>160.98815548724167</v>
      </c>
      <c r="IE415" s="128">
        <f t="shared" ref="IE415" si="1360">IB415/SUM($IB415:$ID415)</f>
        <v>0.43117317470582972</v>
      </c>
      <c r="IF415" s="128">
        <f t="shared" si="1333"/>
        <v>0.49156864539007011</v>
      </c>
      <c r="IG415" s="128">
        <f t="shared" si="1288"/>
        <v>7.7258179904100166E-2</v>
      </c>
      <c r="IH415" s="21"/>
      <c r="II415" s="19">
        <f t="shared" si="1289"/>
        <v>1199.9999999999998</v>
      </c>
      <c r="IJ415" s="19">
        <f t="shared" si="1290"/>
        <v>2195.4782357510435</v>
      </c>
      <c r="IK415" s="19">
        <f t="shared" si="1291"/>
        <v>-571</v>
      </c>
      <c r="IL415" s="19">
        <f t="shared" si="1313"/>
        <v>399.99999999999977</v>
      </c>
      <c r="IM415" s="19">
        <f t="shared" si="1292"/>
        <v>900.08592674037664</v>
      </c>
      <c r="IN415" s="19">
        <f t="shared" si="1293"/>
        <v>325</v>
      </c>
      <c r="IO415" s="39">
        <f t="shared" si="1294"/>
        <v>0</v>
      </c>
      <c r="IP415" s="39">
        <f t="shared" si="1295"/>
        <v>0</v>
      </c>
      <c r="IQ415" s="39">
        <f t="shared" si="1296"/>
        <v>0</v>
      </c>
      <c r="IR415" s="39">
        <v>0</v>
      </c>
      <c r="IS415" s="39">
        <v>0</v>
      </c>
      <c r="IT415" s="39">
        <v>0</v>
      </c>
      <c r="IU415" s="39">
        <v>0</v>
      </c>
      <c r="IV415" s="39">
        <v>0</v>
      </c>
      <c r="IW415" s="39">
        <v>0</v>
      </c>
      <c r="IX415" s="39">
        <f>INDEX(Input!$1:$1048576,IX$93,$C415*2+6)+INDEX(Input!$1:$1048576,IX$94,$C415*2+6)</f>
        <v>1600</v>
      </c>
      <c r="IY415" s="39">
        <f>INDEX(Input!$1:$1048576,IY$93,$C415*2+6)+INDEX(Input!$1:$1048576,IY$94,$C415*2+6)</f>
        <v>2503.549291639752</v>
      </c>
      <c r="IZ415" s="39">
        <f>INDEX(Input!$1:$1048576,IZ$93,$C415*2+6)+INDEX(Input!$1:$1048576,IZ$94,$C415*2+6)</f>
        <v>5413.7109265464023</v>
      </c>
      <c r="JA415" s="19">
        <f t="shared" si="1314"/>
        <v>1999.9999999999998</v>
      </c>
      <c r="JB415" s="19">
        <f t="shared" si="1315"/>
        <v>3403.6352183801287</v>
      </c>
      <c r="JC415" s="19">
        <f t="shared" si="1316"/>
        <v>5738.7109265464023</v>
      </c>
      <c r="JD415" s="19">
        <f t="shared" si="1317"/>
        <v>2978.8290642934621</v>
      </c>
      <c r="JE415" s="21"/>
      <c r="JF415" s="1">
        <f t="shared" si="1297"/>
        <v>7.6210291289252219E-2</v>
      </c>
      <c r="JG415" s="15">
        <f>INDEX(Input!$1:$1048576,JG$93,$C415*2+6)/(1+VLOOKUP(C415*1000+INDEX(Input!$1:$1048576,JG$93+1,$C415*2+6),$A:$KK,$JK$92,FALSE))</f>
        <v>1859</v>
      </c>
      <c r="JH415" s="1">
        <f t="shared" si="1318"/>
        <v>4.8418281195501046E-2</v>
      </c>
      <c r="JI415" s="1">
        <f t="shared" si="1319"/>
        <v>7.2489959908459994E-2</v>
      </c>
      <c r="JJ415" s="1">
        <f t="shared" si="1357"/>
        <v>0</v>
      </c>
      <c r="JK415" s="1">
        <f t="shared" ref="JK415:JK418" si="1361">SUM(JH415:JJ415)</f>
        <v>0.12090824110396103</v>
      </c>
      <c r="JL415" s="15">
        <f t="shared" si="1322"/>
        <v>224.76842021226355</v>
      </c>
      <c r="JM415" s="15">
        <f t="shared" si="1348"/>
        <v>2083.7684202122637</v>
      </c>
      <c r="JN415" s="21"/>
      <c r="JO415" s="19">
        <f>INDEX(Input!$1:$1048576,JO$93,$C415*2+6)</f>
        <v>5908.5</v>
      </c>
      <c r="JP415" s="19">
        <f>INDEX(Input!$1:$1048576,JP$93,$C415*2+6)</f>
        <v>2328.1478086338602</v>
      </c>
      <c r="JQ415" s="39">
        <f t="shared" si="1334"/>
        <v>2929.6709357065379</v>
      </c>
      <c r="JR415" s="39">
        <f t="shared" si="1351"/>
        <v>650.6812556596019</v>
      </c>
      <c r="JS415" s="39">
        <f t="shared" si="1336"/>
        <v>6.2071899333851634</v>
      </c>
      <c r="JT415" s="39">
        <f t="shared" si="1324"/>
        <v>1.8791631571348171</v>
      </c>
      <c r="JU415" s="385">
        <f>(JQ415*JM415-INDEX(Input!$1:$1048576,Input!A$18,$C415*2+6)*JL415*INDEX(Input!$1:$1048576,Input!A$19,$C415*2+6))/1000000</f>
        <v>6.1047557774389967</v>
      </c>
      <c r="JV415" s="39">
        <f t="shared" si="1358"/>
        <v>-0.55111894631065717</v>
      </c>
      <c r="JW415" s="1">
        <f t="shared" si="1349"/>
        <v>-8.2801880922449028E-2</v>
      </c>
      <c r="JX415" s="19">
        <f t="shared" si="1340"/>
        <v>8360.4411836867475</v>
      </c>
      <c r="JZ415" s="341"/>
      <c r="KA415" s="342"/>
      <c r="KB415" s="469">
        <f t="shared" si="1337"/>
        <v>2.3451977905499271</v>
      </c>
      <c r="KI415" s="473">
        <f t="shared" ref="KI415" si="1362">$JM415*IE415-$JG415*HY415/SUM($HY415:$IA415)</f>
        <v>54.465045094673201</v>
      </c>
      <c r="KJ415" s="473">
        <f t="shared" si="1325"/>
        <v>159.31521963034879</v>
      </c>
      <c r="KK415" s="473">
        <f t="shared" si="1326"/>
        <v>10.98815548724167</v>
      </c>
      <c r="KN415" s="544">
        <f t="shared" si="1341"/>
        <v>4002</v>
      </c>
      <c r="KO415" s="541">
        <f t="shared" si="1301"/>
        <v>4.3115212606379849E-2</v>
      </c>
      <c r="KP415" s="546">
        <f t="shared" si="1302"/>
        <v>245.7769791785704</v>
      </c>
      <c r="KQ415" s="546">
        <f t="shared" si="1303"/>
        <v>255.0855026954664</v>
      </c>
      <c r="KR415" s="548">
        <f t="shared" si="1304"/>
        <v>2.9771678860429853</v>
      </c>
      <c r="KS415" s="548">
        <f t="shared" si="1305"/>
        <v>2.868525736692523</v>
      </c>
      <c r="KT415" s="473">
        <f t="shared" si="1339"/>
        <v>1050.27685337919</v>
      </c>
      <c r="KU415" s="663">
        <f t="shared" si="1327"/>
        <v>6.5060073067308668</v>
      </c>
      <c r="KV415" s="117" t="e">
        <f t="shared" si="1359"/>
        <v>#N/A</v>
      </c>
    </row>
    <row r="416" spans="1:310" s="26" customFormat="1" ht="15">
      <c r="A416" s="561">
        <f t="shared" si="1306"/>
        <v>4016</v>
      </c>
      <c r="B416" s="561">
        <f t="shared" si="1328"/>
        <v>16</v>
      </c>
      <c r="C416" s="561">
        <f t="shared" si="1329"/>
        <v>4</v>
      </c>
      <c r="D416" s="561" t="str">
        <f t="shared" si="1350"/>
        <v xml:space="preserve">-360 Lease, </v>
      </c>
      <c r="E416" s="115">
        <f>INDEX(Input!$1:$1048576,E$93,$C416*2+MIN($B416,2)+5)</f>
        <v>1250</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1.8999999999999996E-2</v>
      </c>
      <c r="W416" s="862">
        <f>INDEX(Input!$1:$1048576,W$93,$C416*2+MIN($B416,2)+5)</f>
        <v>3.9E-2</v>
      </c>
      <c r="X416" s="118" t="str">
        <f>INDEX(Input!$1:$1048576,X$93,$C416*2+MIN($B416,2)+5)</f>
        <v>Y</v>
      </c>
      <c r="Y416" s="475">
        <f>INDEX(Input!$1:$1048576,Y$93,$C416*2+MIN($B416,2)+5)-360</f>
        <v>-2577</v>
      </c>
      <c r="Z416" s="30">
        <f>INDEX(Input!$1:$1048576,Z$93,$C416*2+MIN($B416,2)+5)</f>
        <v>0</v>
      </c>
      <c r="AA416" s="115">
        <f>INDEX(Input!$1:$1048576,AA$93,$C416*2+MIN($B416,2)+5)</f>
        <v>0</v>
      </c>
      <c r="AB416" s="118">
        <f>INDEX(Input!$1:$1048576,AB$93,$C416*2+MIN($B416,2)+5)</f>
        <v>1</v>
      </c>
      <c r="AC416" s="115">
        <f>INDEX(Input!$1:$1048576,AC$93,$C416*2+MIN($B416,2)+5)</f>
        <v>0</v>
      </c>
      <c r="AD416" s="118">
        <f>INDEX(Input!$1:$1048576,AD$93,$C416*2+MIN($B416,2)+5)</f>
        <v>0.35</v>
      </c>
      <c r="AE416" s="115">
        <f>INDEX(Input!$1:$1048576,AE$93,$C416*2+MIN($B416,2)+5)</f>
        <v>0</v>
      </c>
      <c r="AF416" s="118">
        <f>INDEX(Input!$1:$1048576,AF$93,$C416*2+MIN($B416,2)+5)</f>
        <v>1</v>
      </c>
      <c r="AG416" s="115">
        <f>INDEX(Input!$1:$1048576,AG$93,$C416*2+MIN($B416,2)+5)</f>
        <v>0</v>
      </c>
      <c r="AH416" s="118">
        <f>INDEX(Input!$1:$1048576,AH$93,$C416*2+MIN($B416,2)+5)</f>
        <v>1</v>
      </c>
      <c r="AI416" s="115">
        <f>INDEX(Input!$1:$1048576,AI$93,$C416*2+MIN($B416,2)+5)</f>
        <v>0</v>
      </c>
      <c r="AJ416" s="118">
        <f>INDEX(Input!$1:$1048576,AJ$93,$C416*2+MIN($B416,2)+5)</f>
        <v>0.35</v>
      </c>
      <c r="AK416" s="150">
        <f>ROUND(INDEX(Input!$1:$1048576,AK$93,$C415*2+MIN($B416,1)+5)+(Y416-VLOOKUP($C416*1000+1,$A:$HH,Y$92,FALSE)),0)</f>
        <v>4232</v>
      </c>
      <c r="AL416" s="150">
        <f>ROUND(INDEX(Input!$1:$1048576,AL$93,$C415*2+MIN($B416,1)+5)-(Y416-VLOOKUP($C416*1000+1,$A:$HH,Y$92,FALSE))/36,0)</f>
        <v>4753</v>
      </c>
      <c r="AM416" s="32" t="str">
        <f t="shared" si="1307"/>
        <v>std/std/std/std</v>
      </c>
      <c r="AN416" s="32" t="str">
        <f t="shared" si="1308"/>
        <v>$0 + 0/0/0/1.9/3.9</v>
      </c>
      <c r="AO416" s="32" t="str">
        <f t="shared" si="1309"/>
        <v>0/0/0/1.9/3.9</v>
      </c>
      <c r="AP416" s="32" t="str">
        <f t="shared" si="1125"/>
        <v>0/0.9/1.9/3.9</v>
      </c>
      <c r="AQ416" s="536">
        <f t="shared" si="1124"/>
        <v>0.45952596885132979</v>
      </c>
      <c r="AR416" s="32"/>
      <c r="AS416" s="302"/>
      <c r="AT416" s="3">
        <f t="shared" si="1330"/>
        <v>16</v>
      </c>
      <c r="AU416" s="41" t="s">
        <v>121</v>
      </c>
      <c r="AV416" s="41" t="s">
        <v>116</v>
      </c>
      <c r="AW416" s="41" t="str">
        <f>INDEX(Input!$1:$1048576,AW$93,$C416*2+6)</f>
        <v>Kia</v>
      </c>
      <c r="AX416" s="41" t="str">
        <f>INDEX(Input!$1:$1048576,AX$93,$C416*2+6)</f>
        <v>Kia-LR - R1</v>
      </c>
      <c r="AY416" s="41" t="str">
        <f>IF(LEN(D416)=0,"",INDEX(Input!$1:$1048576,AY$93,$C416*2+6))</f>
        <v>Compact Conventional/Sporty Car (43)</v>
      </c>
      <c r="AZ416" s="41" t="str">
        <f>INDEX(Input!$1:$1048576,AZ$93,$C416*2+6)</f>
        <v>Kia Forte</v>
      </c>
      <c r="BA416" s="3">
        <f>INDEX(Input!$1:$1048576,BA$93,$C416*2+6)</f>
        <v>2020</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19695</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1126"/>
        <v>1560</v>
      </c>
      <c r="CJ416" s="16" t="str">
        <f>INDEX(Input!$1:$1048576,CJ$93,$C416*2+6)</f>
        <v>N</v>
      </c>
      <c r="CK416" s="1" t="str">
        <f t="shared" si="1127"/>
        <v>Market</v>
      </c>
      <c r="CL416" s="1" t="str">
        <f t="shared" si="1128"/>
        <v>Market</v>
      </c>
      <c r="CM416" s="1" t="str">
        <f t="shared" si="1129"/>
        <v>Market</v>
      </c>
      <c r="CN416" s="1" t="str">
        <f t="shared" si="1130"/>
        <v>Market</v>
      </c>
      <c r="CO416" s="1" t="str">
        <f t="shared" si="1131"/>
        <v>Market</v>
      </c>
      <c r="CP416" s="304">
        <f t="shared" si="1132"/>
        <v>0</v>
      </c>
      <c r="CQ416" s="1">
        <f t="shared" si="1133"/>
        <v>0</v>
      </c>
      <c r="CR416" s="1">
        <f t="shared" si="1134"/>
        <v>0</v>
      </c>
      <c r="CS416" s="1">
        <f t="shared" si="1135"/>
        <v>0</v>
      </c>
      <c r="CT416" s="1">
        <f t="shared" si="1136"/>
        <v>1.8999999999999996E-2</v>
      </c>
      <c r="CU416" s="1">
        <f t="shared" si="1137"/>
        <v>3.9E-2</v>
      </c>
      <c r="CV416" s="304">
        <f t="shared" si="1138"/>
        <v>-2577</v>
      </c>
      <c r="CW416" s="20" t="s">
        <v>122</v>
      </c>
      <c r="CX416" s="20" t="s">
        <v>122</v>
      </c>
      <c r="CY416" s="20" t="s">
        <v>122</v>
      </c>
      <c r="CZ416" s="20" t="s">
        <v>122</v>
      </c>
      <c r="DA416" s="20" t="s">
        <v>122</v>
      </c>
      <c r="DB416" s="503">
        <f t="shared" si="1139"/>
        <v>0</v>
      </c>
      <c r="DC416" s="127">
        <v>0</v>
      </c>
      <c r="DD416" s="127">
        <v>0</v>
      </c>
      <c r="DE416" s="127">
        <v>0</v>
      </c>
      <c r="DF416" s="127">
        <v>0</v>
      </c>
      <c r="DG416" s="127">
        <v>0</v>
      </c>
      <c r="DH416" s="127">
        <v>0</v>
      </c>
      <c r="DI416" s="127">
        <v>0</v>
      </c>
      <c r="DJ416" s="127">
        <v>0</v>
      </c>
      <c r="DK416" s="127">
        <v>0</v>
      </c>
      <c r="DL416" s="127">
        <v>0</v>
      </c>
      <c r="DM416" s="304">
        <f>INDEX(Input!$1:$1048576,DM$93,$C416*2+6)</f>
        <v>20731.578947368424</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4.6077581166663724E-2</v>
      </c>
      <c r="DZ416" s="7">
        <v>0</v>
      </c>
      <c r="EA416" s="7">
        <v>0.83132641585953937</v>
      </c>
      <c r="EB416" s="7">
        <v>0</v>
      </c>
      <c r="EC416" s="7">
        <v>0</v>
      </c>
      <c r="ED416" s="7">
        <v>0</v>
      </c>
      <c r="EE416" s="7">
        <v>0</v>
      </c>
      <c r="EF416" s="7">
        <v>0</v>
      </c>
      <c r="EG416" s="7">
        <v>0</v>
      </c>
      <c r="EH416" s="7">
        <v>1.226450936825251E-2</v>
      </c>
      <c r="EI416" s="7">
        <v>1.9694149780426818E-2</v>
      </c>
      <c r="EJ416" s="7">
        <v>0.18486704360117709</v>
      </c>
      <c r="EK416" s="7">
        <v>0.72496132598100493</v>
      </c>
      <c r="EL416" s="7">
        <v>5.82129712691387E-2</v>
      </c>
      <c r="EM416" s="7">
        <v>3.1525971138658647E-2</v>
      </c>
      <c r="EN416" s="7">
        <v>4.6410153435318714E-2</v>
      </c>
      <c r="EO416" s="7">
        <v>0.57160794163923423</v>
      </c>
      <c r="EP416" s="7">
        <v>0.26787749863048022</v>
      </c>
      <c r="EQ416" s="7">
        <v>6.8684277433209137E-2</v>
      </c>
      <c r="ER416" s="7">
        <v>4.5420128861758224E-2</v>
      </c>
      <c r="ES416" s="7">
        <v>9.1070031835138357E-2</v>
      </c>
      <c r="ET416" s="7">
        <v>0.122596002973797</v>
      </c>
      <c r="EU416" s="6">
        <v>1599.9999999999998</v>
      </c>
      <c r="EV416" s="6">
        <v>0</v>
      </c>
      <c r="EW416" s="6">
        <v>1599.9999999999998</v>
      </c>
      <c r="EX416" s="6">
        <v>0</v>
      </c>
      <c r="EY416" s="6">
        <v>2595.6500710020673</v>
      </c>
      <c r="EZ416" s="6">
        <v>-606</v>
      </c>
      <c r="FA416" s="6">
        <v>0</v>
      </c>
      <c r="FB416" s="6">
        <v>0</v>
      </c>
      <c r="FC416" s="6">
        <v>0</v>
      </c>
      <c r="FD416" s="6">
        <v>0</v>
      </c>
      <c r="FE416" s="6">
        <v>0</v>
      </c>
      <c r="FF416" s="6">
        <v>0</v>
      </c>
      <c r="FG416" s="6">
        <v>0</v>
      </c>
      <c r="FH416" s="6">
        <v>1153.2475305552041</v>
      </c>
      <c r="FI416" s="6">
        <v>1531.4299904380612</v>
      </c>
      <c r="FJ416" s="6">
        <v>2070.7205842538224</v>
      </c>
      <c r="FK416" s="6">
        <v>1746.9903521590427</v>
      </c>
      <c r="FL416" s="6">
        <v>893.91433563489352</v>
      </c>
      <c r="FM416" s="6">
        <v>1745.6500710020671</v>
      </c>
      <c r="FN416" s="6">
        <v>0</v>
      </c>
      <c r="FO416" s="6">
        <v>0</v>
      </c>
      <c r="FP416" s="6">
        <v>0</v>
      </c>
      <c r="FQ416" s="6">
        <v>0</v>
      </c>
      <c r="FR416" s="6">
        <v>0</v>
      </c>
      <c r="FS416" s="6">
        <v>0</v>
      </c>
      <c r="FT416" s="7">
        <v>0.87740399702620309</v>
      </c>
      <c r="FU416" s="7">
        <v>3.1525971138658647E-2</v>
      </c>
      <c r="FV416" s="7">
        <v>9.1070031835138357E-2</v>
      </c>
      <c r="FW416" s="6">
        <v>1599.9999999999998</v>
      </c>
      <c r="FX416" s="6">
        <v>2595.6500710020673</v>
      </c>
      <c r="FY416" s="6">
        <v>-606</v>
      </c>
      <c r="FZ416" s="6">
        <v>1695.8504614767719</v>
      </c>
      <c r="GA416" s="6">
        <v>1430.4883451742994</v>
      </c>
      <c r="GB416" s="6">
        <v>18264.511654825699</v>
      </c>
      <c r="GC416" s="7">
        <v>8.1891069685915169E-2</v>
      </c>
      <c r="GD416" s="7">
        <v>7.9488643128330233E-2</v>
      </c>
      <c r="GE416" s="7"/>
      <c r="GF416" s="7"/>
      <c r="GG416" s="7">
        <v>-2.9336856470420978E-2</v>
      </c>
      <c r="GH416" s="42">
        <v>2.1773619996546496</v>
      </c>
      <c r="GI416" s="6">
        <v>10475.83771892281</v>
      </c>
      <c r="GJ416" s="14">
        <v>0.51074630601039539</v>
      </c>
      <c r="GK416" s="14">
        <v>0.5082951978616097</v>
      </c>
      <c r="GL416" s="14">
        <v>0.489253693989604</v>
      </c>
      <c r="GM416" s="14">
        <v>0.49170480213839002</v>
      </c>
      <c r="GO416" s="5">
        <v>338.16872463277008</v>
      </c>
      <c r="GP416" s="5">
        <v>307.64377699166363</v>
      </c>
      <c r="GQ416" s="5">
        <v>527.27910984145694</v>
      </c>
      <c r="GR416" s="5">
        <v>404.20319246551543</v>
      </c>
      <c r="GS416" s="5">
        <v>334.50205195691484</v>
      </c>
      <c r="GT416" s="5">
        <v>289.18266033348181</v>
      </c>
      <c r="GU416" s="5">
        <v>254.29573314828914</v>
      </c>
      <c r="GV416" s="39" t="s">
        <v>392</v>
      </c>
      <c r="GW416" s="5">
        <v>468.76388888888891</v>
      </c>
      <c r="GX416" s="5">
        <v>351.57291666666669</v>
      </c>
      <c r="GY416" s="5">
        <v>281.25833333333333</v>
      </c>
      <c r="GZ416" s="5">
        <v>248.1807987949399</v>
      </c>
      <c r="HA416" s="5">
        <v>229.89195052129477</v>
      </c>
      <c r="HB416" s="39">
        <v>257.97265984598585</v>
      </c>
      <c r="HC416" s="5">
        <v>309.62812499999995</v>
      </c>
      <c r="HD416" s="5">
        <v>254.42143640350872</v>
      </c>
      <c r="HE416" s="5">
        <v>254.26724443319836</v>
      </c>
      <c r="HF416" s="5">
        <v>231.71692434210524</v>
      </c>
      <c r="HG416" s="5">
        <v>219.1899342105263</v>
      </c>
      <c r="HH416" s="39">
        <v>253.78262035760255</v>
      </c>
      <c r="HI416" s="16"/>
      <c r="HJ416" s="19" t="str">
        <f t="shared" si="1331"/>
        <v>On</v>
      </c>
      <c r="HK416" s="1" t="str">
        <f t="shared" si="1331"/>
        <v>On</v>
      </c>
      <c r="HL416" s="16"/>
      <c r="HM416" s="639">
        <f t="shared" si="1278"/>
        <v>6.6115095157691428E-2</v>
      </c>
      <c r="HN416" s="639">
        <f t="shared" si="1279"/>
        <v>2.3720927871164412E-3</v>
      </c>
      <c r="HO416" s="639">
        <f t="shared" si="1280"/>
        <v>7.7231033444443466E-3</v>
      </c>
      <c r="HP416" s="644">
        <f>(FT416*$GD416-HM416)/$JF416*INDEX(Input!$1:$1048576,$JG$93,$C416*2+6)</f>
        <v>88.511528884795155</v>
      </c>
      <c r="HQ416" s="644">
        <f>(FU416*$GD416-HN416)/$JF416*INDEX(Input!$1:$1048576,$JG$93,$C416*2+6)</f>
        <v>3.265345826990504</v>
      </c>
      <c r="HR416" s="644">
        <f>(FV416*$GD416-HO416)/$JF416*INDEX(Input!$1:$1048576,$JG$93,$C416*2+6)</f>
        <v>-11.807936583536762</v>
      </c>
      <c r="HS416" s="644">
        <f t="shared" si="1281"/>
        <v>-21.075619936285989</v>
      </c>
      <c r="HT416" s="644">
        <f t="shared" si="1282"/>
        <v>64.173121061953466</v>
      </c>
      <c r="HU416" s="644">
        <f t="shared" si="1283"/>
        <v>1.3598972963597171</v>
      </c>
      <c r="HV416" s="648">
        <f t="shared" si="1284"/>
        <v>0</v>
      </c>
      <c r="HW416" s="648">
        <f t="shared" si="1285"/>
        <v>0</v>
      </c>
      <c r="HX416" s="648">
        <f t="shared" si="1286"/>
        <v>0</v>
      </c>
      <c r="HY416" s="644">
        <f>INDEX(Input!$1:$1048576,HY$93,$C416*2+6)*INDEX(Input!$1:$1048576,$JG$93,$C416*2+6)</f>
        <v>844</v>
      </c>
      <c r="HZ416" s="644">
        <f>INDEX(Input!$1:$1048576,HZ$93,$C416*2+6)*INDEX(Input!$1:$1048576,$JG$93,$C416*2+6)</f>
        <v>865</v>
      </c>
      <c r="IA416" s="644">
        <f>INDEX(Input!$1:$1048576,IA$93,$C416*2+6)*INDEX(Input!$1:$1048576,$JG$93,$C416*2+6)</f>
        <v>150</v>
      </c>
      <c r="IB416" s="644">
        <f t="shared" si="1310"/>
        <v>911.43590894850934</v>
      </c>
      <c r="IC416" s="644">
        <f t="shared" si="1311"/>
        <v>932.43846688894394</v>
      </c>
      <c r="ID416" s="644">
        <f>IF(AND(INDEX(Input!$1:$1048576,IA$93,$C416*2+7)="TOS",Y416&lt;=INDEX(Y:Y,MATCH(C416*1000+2,A:A))),0,1)*MAX(IA416+HR416+HU416+HX416,0%)</f>
        <v>139.55196071282296</v>
      </c>
      <c r="IE416" s="128">
        <f t="shared" ref="IE416:IE418" si="1363">IB416/SUM($IB416:$ID416)</f>
        <v>0.45952596885132979</v>
      </c>
      <c r="IF416" s="128">
        <f t="shared" si="1333"/>
        <v>0.47011499731858503</v>
      </c>
      <c r="IG416" s="128">
        <f t="shared" si="1288"/>
        <v>7.0359033830085266E-2</v>
      </c>
      <c r="IH416" s="21"/>
      <c r="II416" s="19">
        <f t="shared" si="1289"/>
        <v>1199.9999999999998</v>
      </c>
      <c r="IJ416" s="19">
        <f t="shared" si="1290"/>
        <v>2195.4782357510435</v>
      </c>
      <c r="IK416" s="19">
        <f t="shared" si="1291"/>
        <v>-571</v>
      </c>
      <c r="IL416" s="19">
        <f t="shared" si="1313"/>
        <v>400</v>
      </c>
      <c r="IM416" s="19">
        <f t="shared" si="1292"/>
        <v>400.17183525102382</v>
      </c>
      <c r="IN416" s="19">
        <f t="shared" si="1293"/>
        <v>-35</v>
      </c>
      <c r="IO416" s="39">
        <f t="shared" si="1294"/>
        <v>0</v>
      </c>
      <c r="IP416" s="39">
        <f t="shared" si="1295"/>
        <v>0</v>
      </c>
      <c r="IQ416" s="39">
        <f t="shared" si="1296"/>
        <v>0</v>
      </c>
      <c r="IR416" s="39">
        <v>0</v>
      </c>
      <c r="IS416" s="39">
        <v>0</v>
      </c>
      <c r="IT416" s="39">
        <v>0</v>
      </c>
      <c r="IU416" s="39">
        <v>0</v>
      </c>
      <c r="IV416" s="39">
        <v>0</v>
      </c>
      <c r="IW416" s="39">
        <v>0</v>
      </c>
      <c r="IX416" s="39">
        <f>INDEX(Input!$1:$1048576,IX$93,$C416*2+6)+INDEX(Input!$1:$1048576,IX$94,$C416*2+6)</f>
        <v>1600</v>
      </c>
      <c r="IY416" s="39">
        <f>INDEX(Input!$1:$1048576,IY$93,$C416*2+6)+INDEX(Input!$1:$1048576,IY$94,$C416*2+6)</f>
        <v>2503.549291639752</v>
      </c>
      <c r="IZ416" s="39">
        <f>INDEX(Input!$1:$1048576,IZ$93,$C416*2+6)+INDEX(Input!$1:$1048576,IZ$94,$C416*2+6)</f>
        <v>5413.7109265464023</v>
      </c>
      <c r="JA416" s="19">
        <f t="shared" si="1314"/>
        <v>2000</v>
      </c>
      <c r="JB416" s="19">
        <f t="shared" si="1315"/>
        <v>2903.7211268907758</v>
      </c>
      <c r="JC416" s="19">
        <f t="shared" si="1316"/>
        <v>5378.7109265464023</v>
      </c>
      <c r="JD416" s="19">
        <f t="shared" si="1317"/>
        <v>2662.5756915279626</v>
      </c>
      <c r="JE416" s="21"/>
      <c r="JF416" s="1">
        <f t="shared" si="1297"/>
        <v>7.6210291289252219E-2</v>
      </c>
      <c r="JG416" s="15">
        <f>INDEX(Input!$1:$1048576,JG$93,$C416*2+6)/(1+VLOOKUP(C416*1000+INDEX(Input!$1:$1048576,JG$93+1,$C416*2+6),$A:$KK,$JK$92,FALSE))</f>
        <v>1859</v>
      </c>
      <c r="JH416" s="1">
        <f t="shared" si="1318"/>
        <v>4.3017180273399083E-2</v>
      </c>
      <c r="JI416" s="1">
        <f t="shared" si="1319"/>
        <v>2.391468446585648E-2</v>
      </c>
      <c r="JJ416" s="1">
        <f t="shared" si="1357"/>
        <v>0</v>
      </c>
      <c r="JK416" s="1">
        <f t="shared" si="1361"/>
        <v>6.6931864739255567E-2</v>
      </c>
      <c r="JL416" s="15">
        <f t="shared" si="1322"/>
        <v>124.4263365502761</v>
      </c>
      <c r="JM416" s="15">
        <f t="shared" si="1348"/>
        <v>1983.4263365502761</v>
      </c>
      <c r="JN416" s="21"/>
      <c r="JO416" s="19">
        <f>INDEX(Input!$1:$1048576,JO$93,$C416*2+6)</f>
        <v>5908.5</v>
      </c>
      <c r="JP416" s="19">
        <f>INDEX(Input!$1:$1048576,JP$93,$C416*2+6)</f>
        <v>2328.1478086338602</v>
      </c>
      <c r="JQ416" s="39">
        <f t="shared" si="1334"/>
        <v>3245.9243084720374</v>
      </c>
      <c r="JR416" s="39">
        <f t="shared" si="1351"/>
        <v>334.42788289410237</v>
      </c>
      <c r="JS416" s="39">
        <f t="shared" si="1336"/>
        <v>5.2810227496351247</v>
      </c>
      <c r="JT416" s="39">
        <f t="shared" si="1324"/>
        <v>0.95299597338477804</v>
      </c>
      <c r="JU416" s="385">
        <f>(JQ416*JM416-INDEX(Input!$1:$1048576,Input!A$18,$C416*2+6)*JL416*INDEX(Input!$1:$1048576,Input!A$19,$C416*2+6))/1000000</f>
        <v>6.4380517598721809</v>
      </c>
      <c r="JV416" s="39">
        <f t="shared" si="1358"/>
        <v>-0.21782296387747291</v>
      </c>
      <c r="JW416" s="1">
        <f t="shared" si="1349"/>
        <v>-3.2726421833066018E-2</v>
      </c>
      <c r="JX416" s="19">
        <f t="shared" si="1340"/>
        <v>7659.1178347496179</v>
      </c>
      <c r="JZ416" s="341"/>
      <c r="KA416" s="342"/>
      <c r="KB416" s="469">
        <f t="shared" si="1337"/>
        <v>2.3451977905499271</v>
      </c>
      <c r="KI416" s="473">
        <f t="shared" ref="KI416:KI432" si="1364">$JM416*IE416-$JG416*HY416/SUM($HY416:$IA416)</f>
        <v>67.435908948509336</v>
      </c>
      <c r="KJ416" s="473">
        <f t="shared" ref="KJ416:KJ432" si="1365">$JM416*IF416-$JG416*HZ416/SUM($HY416:$IA416)</f>
        <v>67.438466888943935</v>
      </c>
      <c r="KK416" s="473">
        <f t="shared" si="1326"/>
        <v>-10.448039287177039</v>
      </c>
      <c r="KN416" s="544">
        <f t="shared" si="1341"/>
        <v>4002</v>
      </c>
      <c r="KO416" s="541">
        <f t="shared" si="1301"/>
        <v>-7.1151070957390372E-3</v>
      </c>
      <c r="KP416" s="546">
        <f t="shared" si="1302"/>
        <v>-25.295888321195612</v>
      </c>
      <c r="KQ416" s="546">
        <f t="shared" si="1303"/>
        <v>-61.167870070033132</v>
      </c>
      <c r="KR416" s="548">
        <f t="shared" si="1304"/>
        <v>4.7735942527585271</v>
      </c>
      <c r="KS416" s="548">
        <f t="shared" si="1305"/>
        <v>1.9741133207716335</v>
      </c>
      <c r="KT416" s="473">
        <f t="shared" si="1339"/>
        <v>1050.27685337919</v>
      </c>
      <c r="KU416" s="663">
        <f t="shared" si="1327"/>
        <v>6.5720749140820613</v>
      </c>
      <c r="KV416" s="117" t="e">
        <f t="shared" si="1359"/>
        <v>#N/A</v>
      </c>
    </row>
    <row r="417" spans="1:308" s="26" customFormat="1" ht="15">
      <c r="A417" s="561">
        <f t="shared" si="1306"/>
        <v>4017</v>
      </c>
      <c r="B417" s="561">
        <f t="shared" si="1328"/>
        <v>17</v>
      </c>
      <c r="C417" s="561">
        <f t="shared" si="1329"/>
        <v>4</v>
      </c>
      <c r="D417" s="561" t="str">
        <f t="shared" si="1350"/>
        <v xml:space="preserve">360 Lease, </v>
      </c>
      <c r="E417" s="115">
        <f>INDEX(Input!$1:$1048576,E$93,$C417*2+MIN($B417,2)+5)</f>
        <v>1250</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1.8999999999999996E-2</v>
      </c>
      <c r="W417" s="862">
        <f>INDEX(Input!$1:$1048576,W$93,$C417*2+MIN($B417,2)+5)</f>
        <v>3.9E-2</v>
      </c>
      <c r="X417" s="118" t="str">
        <f>INDEX(Input!$1:$1048576,X$93,$C417*2+MIN($B417,2)+5)</f>
        <v>Y</v>
      </c>
      <c r="Y417" s="475">
        <f>INDEX(Input!$1:$1048576,Y$93,$C417*2+MIN($B417,2)+5)+360</f>
        <v>-1857</v>
      </c>
      <c r="Z417" s="30">
        <f>INDEX(Input!$1:$1048576,Z$93,$C417*2+MIN($B417,2)+5)</f>
        <v>0</v>
      </c>
      <c r="AA417" s="115">
        <f>INDEX(Input!$1:$1048576,AA$93,$C417*2+MIN($B417,2)+5)</f>
        <v>0</v>
      </c>
      <c r="AB417" s="118">
        <f>INDEX(Input!$1:$1048576,AB$93,$C417*2+MIN($B417,2)+5)</f>
        <v>1</v>
      </c>
      <c r="AC417" s="115">
        <f>INDEX(Input!$1:$1048576,AC$93,$C417*2+MIN($B417,2)+5)</f>
        <v>0</v>
      </c>
      <c r="AD417" s="118">
        <f>INDEX(Input!$1:$1048576,AD$93,$C417*2+MIN($B417,2)+5)</f>
        <v>0.35</v>
      </c>
      <c r="AE417" s="115">
        <f>INDEX(Input!$1:$1048576,AE$93,$C417*2+MIN($B417,2)+5)</f>
        <v>0</v>
      </c>
      <c r="AF417" s="118">
        <f>INDEX(Input!$1:$1048576,AF$93,$C417*2+MIN($B417,2)+5)</f>
        <v>1</v>
      </c>
      <c r="AG417" s="115">
        <f>INDEX(Input!$1:$1048576,AG$93,$C417*2+MIN($B417,2)+5)</f>
        <v>0</v>
      </c>
      <c r="AH417" s="118">
        <f>INDEX(Input!$1:$1048576,AH$93,$C417*2+MIN($B417,2)+5)</f>
        <v>1</v>
      </c>
      <c r="AI417" s="115">
        <f>INDEX(Input!$1:$1048576,AI$93,$C417*2+MIN($B417,2)+5)</f>
        <v>0</v>
      </c>
      <c r="AJ417" s="118">
        <f>INDEX(Input!$1:$1048576,AJ$93,$C417*2+MIN($B417,2)+5)</f>
        <v>0.35</v>
      </c>
      <c r="AK417" s="150">
        <f>ROUND(INDEX(Input!$1:$1048576,AK$93,$C416*2+MIN($B417,1)+5)+(Y417-VLOOKUP($C417*1000+1,$A:$HH,Y$92,FALSE)),0)</f>
        <v>4952</v>
      </c>
      <c r="AL417" s="150">
        <f>ROUND(INDEX(Input!$1:$1048576,AL$93,$C416*2+MIN($B417,1)+5)-(Y417-VLOOKUP($C417*1000+1,$A:$HH,Y$92,FALSE))/36,0)</f>
        <v>4733</v>
      </c>
      <c r="AM417" s="32" t="str">
        <f t="shared" si="1307"/>
        <v>std/std/std/std</v>
      </c>
      <c r="AN417" s="32" t="str">
        <f t="shared" si="1308"/>
        <v>$0 + 0/0/0/1.9/3.9</v>
      </c>
      <c r="AO417" s="32" t="str">
        <f t="shared" si="1309"/>
        <v>0/0/0/1.9/3.9</v>
      </c>
      <c r="AP417" s="32" t="str">
        <f t="shared" si="1125"/>
        <v>0/0.9/1.9/3.9</v>
      </c>
      <c r="AQ417" s="536">
        <f t="shared" si="1124"/>
        <v>0.44525063724021591</v>
      </c>
      <c r="AR417" s="32"/>
      <c r="AS417" s="302"/>
      <c r="AT417" s="3">
        <f t="shared" si="1330"/>
        <v>17</v>
      </c>
      <c r="AU417" s="41" t="s">
        <v>121</v>
      </c>
      <c r="AV417" s="41" t="s">
        <v>116</v>
      </c>
      <c r="AW417" s="41" t="str">
        <f>INDEX(Input!$1:$1048576,AW$93,$C417*2+6)</f>
        <v>Kia</v>
      </c>
      <c r="AX417" s="41" t="str">
        <f>INDEX(Input!$1:$1048576,AX$93,$C417*2+6)</f>
        <v>Kia-LR - R1</v>
      </c>
      <c r="AY417" s="41" t="str">
        <f>IF(LEN(D417)=0,"",INDEX(Input!$1:$1048576,AY$93,$C417*2+6))</f>
        <v>Compact Conventional/Sporty Car (43)</v>
      </c>
      <c r="AZ417" s="41" t="str">
        <f>INDEX(Input!$1:$1048576,AZ$93,$C417*2+6)</f>
        <v>Kia Forte</v>
      </c>
      <c r="BA417" s="3">
        <f>INDEX(Input!$1:$1048576,BA$93,$C417*2+6)</f>
        <v>2020</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19695</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1126"/>
        <v>1560</v>
      </c>
      <c r="CJ417" s="16" t="str">
        <f>INDEX(Input!$1:$1048576,CJ$93,$C417*2+6)</f>
        <v>N</v>
      </c>
      <c r="CK417" s="1" t="str">
        <f t="shared" si="1127"/>
        <v>Market</v>
      </c>
      <c r="CL417" s="1" t="str">
        <f t="shared" si="1128"/>
        <v>Market</v>
      </c>
      <c r="CM417" s="1" t="str">
        <f t="shared" si="1129"/>
        <v>Market</v>
      </c>
      <c r="CN417" s="1" t="str">
        <f t="shared" si="1130"/>
        <v>Market</v>
      </c>
      <c r="CO417" s="1" t="str">
        <f t="shared" si="1131"/>
        <v>Market</v>
      </c>
      <c r="CP417" s="304">
        <f t="shared" si="1132"/>
        <v>0</v>
      </c>
      <c r="CQ417" s="1">
        <f t="shared" si="1133"/>
        <v>0</v>
      </c>
      <c r="CR417" s="1">
        <f t="shared" si="1134"/>
        <v>0</v>
      </c>
      <c r="CS417" s="1">
        <f t="shared" si="1135"/>
        <v>0</v>
      </c>
      <c r="CT417" s="1">
        <f t="shared" si="1136"/>
        <v>1.8999999999999996E-2</v>
      </c>
      <c r="CU417" s="1">
        <f t="shared" si="1137"/>
        <v>3.9E-2</v>
      </c>
      <c r="CV417" s="304">
        <f t="shared" si="1138"/>
        <v>-1857</v>
      </c>
      <c r="CW417" s="20" t="s">
        <v>122</v>
      </c>
      <c r="CX417" s="20" t="s">
        <v>122</v>
      </c>
      <c r="CY417" s="20" t="s">
        <v>122</v>
      </c>
      <c r="CZ417" s="20" t="s">
        <v>122</v>
      </c>
      <c r="DA417" s="20" t="s">
        <v>122</v>
      </c>
      <c r="DB417" s="503">
        <f t="shared" si="1139"/>
        <v>0</v>
      </c>
      <c r="DC417" s="127">
        <v>0</v>
      </c>
      <c r="DD417" s="127">
        <v>0</v>
      </c>
      <c r="DE417" s="127">
        <v>0</v>
      </c>
      <c r="DF417" s="127">
        <v>0</v>
      </c>
      <c r="DG417" s="127">
        <v>0</v>
      </c>
      <c r="DH417" s="127">
        <v>0</v>
      </c>
      <c r="DI417" s="127">
        <v>0</v>
      </c>
      <c r="DJ417" s="127">
        <v>0</v>
      </c>
      <c r="DK417" s="127">
        <v>0</v>
      </c>
      <c r="DL417" s="127">
        <v>0</v>
      </c>
      <c r="DM417" s="304">
        <f>INDEX(Input!$1:$1048576,DM$93,$C417*2+6)</f>
        <v>20731.578947368424</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4.5320566847126327E-2</v>
      </c>
      <c r="DZ417" s="7">
        <v>0</v>
      </c>
      <c r="EA417" s="7">
        <v>0.81796522854411868</v>
      </c>
      <c r="EB417" s="7">
        <v>0</v>
      </c>
      <c r="EC417" s="7">
        <v>0</v>
      </c>
      <c r="ED417" s="7">
        <v>0</v>
      </c>
      <c r="EE417" s="7">
        <v>0</v>
      </c>
      <c r="EF417" s="7">
        <v>0</v>
      </c>
      <c r="EG417" s="7">
        <v>0</v>
      </c>
      <c r="EH417" s="7">
        <v>1.2234081448377126E-2</v>
      </c>
      <c r="EI417" s="7">
        <v>1.9631456313557238E-2</v>
      </c>
      <c r="EJ417" s="7">
        <v>0.18447035966729403</v>
      </c>
      <c r="EK417" s="7">
        <v>0.72539238581479559</v>
      </c>
      <c r="EL417" s="7">
        <v>5.8271716755976422E-2</v>
      </c>
      <c r="EM417" s="7">
        <v>3.0966205432603467E-2</v>
      </c>
      <c r="EN417" s="7">
        <v>4.7543821423483644E-2</v>
      </c>
      <c r="EO417" s="7">
        <v>0.5700271427435204</v>
      </c>
      <c r="EP417" s="7">
        <v>0.27078728999406582</v>
      </c>
      <c r="EQ417" s="7">
        <v>6.7124892229988409E-2</v>
      </c>
      <c r="ER417" s="7">
        <v>4.4516853608941809E-2</v>
      </c>
      <c r="ES417" s="7">
        <v>0.10574799917615144</v>
      </c>
      <c r="ET417" s="7">
        <v>0.13671420460875489</v>
      </c>
      <c r="EU417" s="6">
        <v>1599.9999999999998</v>
      </c>
      <c r="EV417" s="6">
        <v>0</v>
      </c>
      <c r="EW417" s="6">
        <v>1599.9999999999998</v>
      </c>
      <c r="EX417" s="6">
        <v>0</v>
      </c>
      <c r="EY417" s="6">
        <v>2595.5031990139692</v>
      </c>
      <c r="EZ417" s="6">
        <v>114</v>
      </c>
      <c r="FA417" s="6">
        <v>0</v>
      </c>
      <c r="FB417" s="6">
        <v>0</v>
      </c>
      <c r="FC417" s="6">
        <v>0</v>
      </c>
      <c r="FD417" s="6">
        <v>0</v>
      </c>
      <c r="FE417" s="6">
        <v>0</v>
      </c>
      <c r="FF417" s="6">
        <v>0</v>
      </c>
      <c r="FG417" s="6">
        <v>0</v>
      </c>
      <c r="FH417" s="6">
        <v>1153.2541002668768</v>
      </c>
      <c r="FI417" s="6">
        <v>1531.4299904380625</v>
      </c>
      <c r="FJ417" s="6">
        <v>2070.7205842538206</v>
      </c>
      <c r="FK417" s="6">
        <v>1746.9903521590431</v>
      </c>
      <c r="FL417" s="6">
        <v>893.91433563489409</v>
      </c>
      <c r="FM417" s="6">
        <v>1745.5031990139692</v>
      </c>
      <c r="FN417" s="6">
        <v>0</v>
      </c>
      <c r="FO417" s="6">
        <v>0</v>
      </c>
      <c r="FP417" s="6">
        <v>0</v>
      </c>
      <c r="FQ417" s="6">
        <v>0</v>
      </c>
      <c r="FR417" s="6">
        <v>0</v>
      </c>
      <c r="FS417" s="6">
        <v>0</v>
      </c>
      <c r="FT417" s="7">
        <v>0.86328579539124506</v>
      </c>
      <c r="FU417" s="7">
        <v>3.0966205432603467E-2</v>
      </c>
      <c r="FV417" s="7">
        <v>0.10574799917615144</v>
      </c>
      <c r="FW417" s="6">
        <v>1599.9999999999998</v>
      </c>
      <c r="FX417" s="6">
        <v>2595.5031990139692</v>
      </c>
      <c r="FY417" s="6">
        <v>114</v>
      </c>
      <c r="FZ417" s="6">
        <v>1695.8504614767719</v>
      </c>
      <c r="GA417" s="6">
        <v>1473.6854297937191</v>
      </c>
      <c r="GB417" s="6">
        <v>18221.314570206279</v>
      </c>
      <c r="GC417" s="7">
        <v>8.1891069685915169E-2</v>
      </c>
      <c r="GD417" s="7">
        <v>8.0060271781451642E-2</v>
      </c>
      <c r="GE417" s="7"/>
      <c r="GF417" s="7"/>
      <c r="GG417" s="7">
        <v>-2.2356502503696255E-2</v>
      </c>
      <c r="GH417" s="42">
        <v>1.9819109851565611</v>
      </c>
      <c r="GI417" s="6">
        <v>11411.064125156359</v>
      </c>
      <c r="GJ417" s="14">
        <v>0.5107463060103955</v>
      </c>
      <c r="GK417" s="14">
        <v>0.50829519786161015</v>
      </c>
      <c r="GL417" s="14">
        <v>0.48925369398960455</v>
      </c>
      <c r="GM417" s="14">
        <v>0.49170480213839046</v>
      </c>
      <c r="GO417" s="5">
        <v>338.16872463277008</v>
      </c>
      <c r="GP417" s="5">
        <v>307.64377699166363</v>
      </c>
      <c r="GQ417" s="5">
        <v>527.27910984145694</v>
      </c>
      <c r="GR417" s="5">
        <v>404.20319246551543</v>
      </c>
      <c r="GS417" s="5">
        <v>334.50205195691484</v>
      </c>
      <c r="GT417" s="5">
        <v>289.18266033348181</v>
      </c>
      <c r="GU417" s="5">
        <v>254.29573314828914</v>
      </c>
      <c r="GV417" s="39" t="s">
        <v>392</v>
      </c>
      <c r="GW417" s="5">
        <v>468.76388888888891</v>
      </c>
      <c r="GX417" s="5">
        <v>351.57291666666669</v>
      </c>
      <c r="GY417" s="5">
        <v>281.25833333333333</v>
      </c>
      <c r="GZ417" s="5">
        <v>248.1807987949399</v>
      </c>
      <c r="HA417" s="5">
        <v>229.89195052129477</v>
      </c>
      <c r="HB417" s="39">
        <v>257.94527023725891</v>
      </c>
      <c r="HC417" s="5">
        <v>278.12812499999995</v>
      </c>
      <c r="HD417" s="5">
        <v>232.92143640350872</v>
      </c>
      <c r="HE417" s="5">
        <v>234.3057059716599</v>
      </c>
      <c r="HF417" s="5">
        <v>215.06692434210527</v>
      </c>
      <c r="HG417" s="5">
        <v>205.38993421052629</v>
      </c>
      <c r="HH417" s="39">
        <v>233.02147968756825</v>
      </c>
      <c r="HI417" s="16"/>
      <c r="HJ417" s="19" t="str">
        <f t="shared" si="1331"/>
        <v>On</v>
      </c>
      <c r="HK417" s="1" t="str">
        <f t="shared" si="1331"/>
        <v>On</v>
      </c>
      <c r="HL417" s="16"/>
      <c r="HM417" s="639">
        <f t="shared" si="1278"/>
        <v>6.6115095157691428E-2</v>
      </c>
      <c r="HN417" s="639">
        <f t="shared" si="1279"/>
        <v>2.3720927871164412E-3</v>
      </c>
      <c r="HO417" s="639">
        <f t="shared" si="1280"/>
        <v>7.7231033444443466E-3</v>
      </c>
      <c r="HP417" s="644">
        <f>(FT417*$GD417-HM417)/$JF417*INDEX(Input!$1:$1048576,$JG$93,$C417*2+6)</f>
        <v>73.174220485375614</v>
      </c>
      <c r="HQ417" s="644">
        <f>(FU417*$GD417-HN417)/$JF417*INDEX(Input!$1:$1048576,$JG$93,$C417*2+6)</f>
        <v>2.6117627067539946</v>
      </c>
      <c r="HR417" s="644">
        <f>(FV417*$GD417-HO417)/$JF417*INDEX(Input!$1:$1048576,$JG$93,$C417*2+6)</f>
        <v>18.126710407666067</v>
      </c>
      <c r="HS417" s="644">
        <f t="shared" si="1281"/>
        <v>-21.075589699420092</v>
      </c>
      <c r="HT417" s="644">
        <f t="shared" si="1282"/>
        <v>64.148827576817368</v>
      </c>
      <c r="HU417" s="644">
        <f t="shared" si="1283"/>
        <v>16.585316798200452</v>
      </c>
      <c r="HV417" s="648">
        <f t="shared" si="1284"/>
        <v>0</v>
      </c>
      <c r="HW417" s="648">
        <f t="shared" si="1285"/>
        <v>0</v>
      </c>
      <c r="HX417" s="648">
        <f t="shared" si="1286"/>
        <v>0</v>
      </c>
      <c r="HY417" s="644">
        <f>INDEX(Input!$1:$1048576,HY$93,$C417*2+6)*INDEX(Input!$1:$1048576,$JG$93,$C417*2+6)</f>
        <v>844</v>
      </c>
      <c r="HZ417" s="644">
        <f>INDEX(Input!$1:$1048576,HZ$93,$C417*2+6)*INDEX(Input!$1:$1048576,$JG$93,$C417*2+6)</f>
        <v>865</v>
      </c>
      <c r="IA417" s="644">
        <f>INDEX(Input!$1:$1048576,IA$93,$C417*2+6)*INDEX(Input!$1:$1048576,$JG$93,$C417*2+6)</f>
        <v>150</v>
      </c>
      <c r="IB417" s="644">
        <f t="shared" si="1310"/>
        <v>896.09863078595572</v>
      </c>
      <c r="IC417" s="644">
        <f t="shared" si="1311"/>
        <v>931.76059028357133</v>
      </c>
      <c r="ID417" s="644">
        <f>IF(AND(INDEX(Input!$1:$1048576,IA$93,$C417*2+7)="TOS",Y417&lt;=INDEX(Y:Y,MATCH(C417*1000+2,A:A))),0,1)*MAX(IA417+HR417+HU417+HX417,0%)</f>
        <v>184.71202720586649</v>
      </c>
      <c r="IE417" s="128">
        <f t="shared" si="1363"/>
        <v>0.44525063724021591</v>
      </c>
      <c r="IF417" s="128">
        <f t="shared" si="1333"/>
        <v>0.46297023823728617</v>
      </c>
      <c r="IG417" s="128">
        <f t="shared" si="1288"/>
        <v>9.1779124522497965E-2</v>
      </c>
      <c r="IH417" s="21"/>
      <c r="II417" s="19">
        <f t="shared" si="1289"/>
        <v>1199.9999999999998</v>
      </c>
      <c r="IJ417" s="19">
        <f t="shared" si="1290"/>
        <v>2195.4782357510435</v>
      </c>
      <c r="IK417" s="19">
        <f t="shared" si="1291"/>
        <v>-571</v>
      </c>
      <c r="IL417" s="19">
        <f t="shared" si="1313"/>
        <v>400</v>
      </c>
      <c r="IM417" s="19">
        <f t="shared" si="1292"/>
        <v>400.02496326292567</v>
      </c>
      <c r="IN417" s="19">
        <f t="shared" si="1293"/>
        <v>685</v>
      </c>
      <c r="IO417" s="39">
        <f t="shared" si="1294"/>
        <v>0</v>
      </c>
      <c r="IP417" s="39">
        <f t="shared" si="1295"/>
        <v>0</v>
      </c>
      <c r="IQ417" s="39">
        <f t="shared" si="1296"/>
        <v>0</v>
      </c>
      <c r="IR417" s="39">
        <v>0</v>
      </c>
      <c r="IS417" s="39">
        <v>0</v>
      </c>
      <c r="IT417" s="39">
        <v>0</v>
      </c>
      <c r="IU417" s="39">
        <v>0</v>
      </c>
      <c r="IV417" s="39">
        <v>0</v>
      </c>
      <c r="IW417" s="39">
        <v>0</v>
      </c>
      <c r="IX417" s="39">
        <f>INDEX(Input!$1:$1048576,IX$93,$C417*2+6)+INDEX(Input!$1:$1048576,IX$94,$C417*2+6)</f>
        <v>1600</v>
      </c>
      <c r="IY417" s="39">
        <f>INDEX(Input!$1:$1048576,IY$93,$C417*2+6)+INDEX(Input!$1:$1048576,IY$94,$C417*2+6)</f>
        <v>2503.549291639752</v>
      </c>
      <c r="IZ417" s="39">
        <f>INDEX(Input!$1:$1048576,IZ$93,$C417*2+6)+INDEX(Input!$1:$1048576,IZ$94,$C417*2+6)</f>
        <v>5413.7109265464023</v>
      </c>
      <c r="JA417" s="19">
        <f t="shared" si="1314"/>
        <v>2000</v>
      </c>
      <c r="JB417" s="19">
        <f t="shared" si="1315"/>
        <v>2903.5742549026777</v>
      </c>
      <c r="JC417" s="19">
        <f t="shared" si="1316"/>
        <v>6098.7109265464023</v>
      </c>
      <c r="JD417" s="19">
        <f t="shared" si="1317"/>
        <v>2794.5040885665967</v>
      </c>
      <c r="JE417" s="21"/>
      <c r="JF417" s="1">
        <f t="shared" si="1297"/>
        <v>7.6210291289252219E-2</v>
      </c>
      <c r="JG417" s="15">
        <f>INDEX(Input!$1:$1048576,JG$93,$C417*2+6)/(1+VLOOKUP(C417*1000+INDEX(Input!$1:$1048576,JG$93+1,$C417*2+6),$A:$KK,$JK$92,FALSE))</f>
        <v>1859</v>
      </c>
      <c r="JH417" s="1">
        <f t="shared" si="1318"/>
        <v>5.0517855621191862E-2</v>
      </c>
      <c r="JI417" s="1">
        <f t="shared" si="1319"/>
        <v>3.2091745387626533E-2</v>
      </c>
      <c r="JJ417" s="1">
        <f t="shared" si="1357"/>
        <v>0</v>
      </c>
      <c r="JK417" s="1">
        <f t="shared" si="1361"/>
        <v>8.2609601008818395E-2</v>
      </c>
      <c r="JL417" s="15">
        <f t="shared" si="1322"/>
        <v>153.5712482753934</v>
      </c>
      <c r="JM417" s="15">
        <f t="shared" si="1348"/>
        <v>2012.5712482753934</v>
      </c>
      <c r="JN417" s="21"/>
      <c r="JO417" s="19">
        <f>INDEX(Input!$1:$1048576,JO$93,$C417*2+6)</f>
        <v>5908.5</v>
      </c>
      <c r="JP417" s="19">
        <f>INDEX(Input!$1:$1048576,JP$93,$C417*2+6)</f>
        <v>2328.1478086338602</v>
      </c>
      <c r="JQ417" s="39">
        <f t="shared" si="1334"/>
        <v>3113.9959114334033</v>
      </c>
      <c r="JR417" s="39">
        <f t="shared" si="1351"/>
        <v>466.35627993273647</v>
      </c>
      <c r="JS417" s="39">
        <f t="shared" si="1336"/>
        <v>5.6241385818371663</v>
      </c>
      <c r="JT417" s="39">
        <f t="shared" si="1324"/>
        <v>1.2961118055868195</v>
      </c>
      <c r="JU417" s="385">
        <f>(JQ417*JM417-INDEX(Input!$1:$1048576,Input!A$18,$C417*2+6)*JL417*INDEX(Input!$1:$1048576,Input!A$19,$C417*2+6))/1000000</f>
        <v>6.2671386385979959</v>
      </c>
      <c r="JV417" s="39">
        <f t="shared" si="1358"/>
        <v>-0.38873608515165792</v>
      </c>
      <c r="JW417" s="1">
        <f t="shared" si="1349"/>
        <v>-5.8404958219024222E-2</v>
      </c>
      <c r="JX417" s="19">
        <f t="shared" si="1340"/>
        <v>8439.8077123300591</v>
      </c>
      <c r="JZ417" s="341"/>
      <c r="KA417" s="342"/>
      <c r="KB417" s="469">
        <f t="shared" si="1337"/>
        <v>2.3451977905499271</v>
      </c>
      <c r="KI417" s="473">
        <f t="shared" si="1364"/>
        <v>52.09863078595572</v>
      </c>
      <c r="KJ417" s="473">
        <f t="shared" si="1365"/>
        <v>66.760590283571332</v>
      </c>
      <c r="KK417" s="473">
        <f t="shared" si="1326"/>
        <v>34.712027205866491</v>
      </c>
      <c r="KN417" s="544">
        <f t="shared" si="1341"/>
        <v>4002</v>
      </c>
      <c r="KO417" s="541">
        <f t="shared" si="1301"/>
        <v>7.4745663514874661E-3</v>
      </c>
      <c r="KP417" s="546">
        <f t="shared" si="1302"/>
        <v>33.00534426595835</v>
      </c>
      <c r="KQ417" s="546">
        <f t="shared" si="1303"/>
        <v>70.760526968600971</v>
      </c>
      <c r="KR417" s="548">
        <f t="shared" si="1304"/>
        <v>3.8434012775252389</v>
      </c>
      <c r="KS417" s="548">
        <f t="shared" si="1305"/>
        <v>1.7927054496532204</v>
      </c>
      <c r="KT417" s="473">
        <f t="shared" si="1339"/>
        <v>1050.27685337919</v>
      </c>
      <c r="KU417" s="663">
        <f t="shared" si="1327"/>
        <v>6.4573829243264749</v>
      </c>
      <c r="KV417" s="117" t="e">
        <f t="shared" si="1359"/>
        <v>#N/A</v>
      </c>
    </row>
    <row r="418" spans="1:308" s="26" customFormat="1" ht="15">
      <c r="A418" s="561">
        <f t="shared" si="1306"/>
        <v>4018</v>
      </c>
      <c r="B418" s="561">
        <f t="shared" si="1328"/>
        <v>18</v>
      </c>
      <c r="C418" s="561">
        <f t="shared" si="1329"/>
        <v>4</v>
      </c>
      <c r="D418" s="561" t="str">
        <f t="shared" si="1350"/>
        <v xml:space="preserve">720 Lease, </v>
      </c>
      <c r="E418" s="115">
        <f>INDEX(Input!$1:$1048576,E$93,$C418*2+MIN($B418,2)+5)</f>
        <v>1250</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1.8999999999999996E-2</v>
      </c>
      <c r="W418" s="862">
        <f>INDEX(Input!$1:$1048576,W$93,$C418*2+MIN($B418,2)+5)</f>
        <v>3.9E-2</v>
      </c>
      <c r="X418" s="118" t="str">
        <f>INDEX(Input!$1:$1048576,X$93,$C418*2+MIN($B418,2)+5)</f>
        <v>Y</v>
      </c>
      <c r="Y418" s="475">
        <f>INDEX(Input!$1:$1048576,Y$93,$C418*2+MIN($B418,2)+5)+720</f>
        <v>-1497</v>
      </c>
      <c r="Z418" s="30">
        <f>INDEX(Input!$1:$1048576,Z$93,$C418*2+MIN($B418,2)+5)</f>
        <v>0</v>
      </c>
      <c r="AA418" s="115">
        <f>INDEX(Input!$1:$1048576,AA$93,$C418*2+MIN($B418,2)+5)</f>
        <v>0</v>
      </c>
      <c r="AB418" s="118">
        <f>INDEX(Input!$1:$1048576,AB$93,$C418*2+MIN($B418,2)+5)</f>
        <v>1</v>
      </c>
      <c r="AC418" s="115">
        <f>INDEX(Input!$1:$1048576,AC$93,$C418*2+MIN($B418,2)+5)</f>
        <v>0</v>
      </c>
      <c r="AD418" s="118">
        <f>INDEX(Input!$1:$1048576,AD$93,$C418*2+MIN($B418,2)+5)</f>
        <v>0.35</v>
      </c>
      <c r="AE418" s="115">
        <f>INDEX(Input!$1:$1048576,AE$93,$C418*2+MIN($B418,2)+5)</f>
        <v>0</v>
      </c>
      <c r="AF418" s="118">
        <f>INDEX(Input!$1:$1048576,AF$93,$C418*2+MIN($B418,2)+5)</f>
        <v>1</v>
      </c>
      <c r="AG418" s="115">
        <f>INDEX(Input!$1:$1048576,AG$93,$C418*2+MIN($B418,2)+5)</f>
        <v>0</v>
      </c>
      <c r="AH418" s="118">
        <f>INDEX(Input!$1:$1048576,AH$93,$C418*2+MIN($B418,2)+5)</f>
        <v>1</v>
      </c>
      <c r="AI418" s="115">
        <f>INDEX(Input!$1:$1048576,AI$93,$C418*2+MIN($B418,2)+5)</f>
        <v>0</v>
      </c>
      <c r="AJ418" s="118">
        <f>INDEX(Input!$1:$1048576,AJ$93,$C418*2+MIN($B418,2)+5)</f>
        <v>0.35</v>
      </c>
      <c r="AK418" s="150">
        <f>ROUND(INDEX(Input!$1:$1048576,AK$93,$C417*2+MIN($B418,1)+5)+(Y418-VLOOKUP($C418*1000+1,$A:$HH,Y$92,FALSE)),0)</f>
        <v>5312</v>
      </c>
      <c r="AL418" s="150">
        <f>ROUND(INDEX(Input!$1:$1048576,AL$93,$C417*2+MIN($B418,1)+5)-(Y418-VLOOKUP($C418*1000+1,$A:$HH,Y$92,FALSE))/36,0)</f>
        <v>4723</v>
      </c>
      <c r="AM418" s="32" t="str">
        <f t="shared" si="1307"/>
        <v>std/std/std/std</v>
      </c>
      <c r="AN418" s="32" t="str">
        <f t="shared" si="1308"/>
        <v>$0 + 0/0/0/1.9/3.9</v>
      </c>
      <c r="AO418" s="32" t="str">
        <f t="shared" si="1309"/>
        <v>0/0/0/1.9/3.9</v>
      </c>
      <c r="AP418" s="32" t="str">
        <f t="shared" si="1125"/>
        <v>0/0.9/1.9/3.9</v>
      </c>
      <c r="AQ418" s="536">
        <f t="shared" si="1124"/>
        <v>0.43746404026283842</v>
      </c>
      <c r="AR418" s="32"/>
      <c r="AS418" s="302"/>
      <c r="AT418" s="3">
        <f t="shared" si="1330"/>
        <v>18</v>
      </c>
      <c r="AU418" s="41" t="s">
        <v>121</v>
      </c>
      <c r="AV418" s="41" t="s">
        <v>116</v>
      </c>
      <c r="AW418" s="41" t="str">
        <f>INDEX(Input!$1:$1048576,AW$93,$C418*2+6)</f>
        <v>Kia</v>
      </c>
      <c r="AX418" s="41" t="str">
        <f>INDEX(Input!$1:$1048576,AX$93,$C418*2+6)</f>
        <v>Kia-LR - R1</v>
      </c>
      <c r="AY418" s="41" t="str">
        <f>IF(LEN(D418)=0,"",INDEX(Input!$1:$1048576,AY$93,$C418*2+6))</f>
        <v>Compact Conventional/Sporty Car (43)</v>
      </c>
      <c r="AZ418" s="41" t="str">
        <f>INDEX(Input!$1:$1048576,AZ$93,$C418*2+6)</f>
        <v>Kia Forte</v>
      </c>
      <c r="BA418" s="3">
        <f>INDEX(Input!$1:$1048576,BA$93,$C418*2+6)</f>
        <v>2020</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19695</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1126"/>
        <v>1560</v>
      </c>
      <c r="CJ418" s="16" t="str">
        <f>INDEX(Input!$1:$1048576,CJ$93,$C418*2+6)</f>
        <v>N</v>
      </c>
      <c r="CK418" s="1" t="str">
        <f t="shared" si="1127"/>
        <v>Market</v>
      </c>
      <c r="CL418" s="1" t="str">
        <f t="shared" si="1128"/>
        <v>Market</v>
      </c>
      <c r="CM418" s="1" t="str">
        <f t="shared" si="1129"/>
        <v>Market</v>
      </c>
      <c r="CN418" s="1" t="str">
        <f t="shared" si="1130"/>
        <v>Market</v>
      </c>
      <c r="CO418" s="1" t="str">
        <f t="shared" si="1131"/>
        <v>Market</v>
      </c>
      <c r="CP418" s="304">
        <f t="shared" si="1132"/>
        <v>0</v>
      </c>
      <c r="CQ418" s="1">
        <f t="shared" si="1133"/>
        <v>0</v>
      </c>
      <c r="CR418" s="1">
        <f t="shared" si="1134"/>
        <v>0</v>
      </c>
      <c r="CS418" s="1">
        <f t="shared" si="1135"/>
        <v>0</v>
      </c>
      <c r="CT418" s="1">
        <f t="shared" si="1136"/>
        <v>1.8999999999999996E-2</v>
      </c>
      <c r="CU418" s="1">
        <f t="shared" si="1137"/>
        <v>3.9E-2</v>
      </c>
      <c r="CV418" s="304">
        <f t="shared" si="1138"/>
        <v>-1497</v>
      </c>
      <c r="CW418" s="20" t="s">
        <v>122</v>
      </c>
      <c r="CX418" s="20" t="s">
        <v>122</v>
      </c>
      <c r="CY418" s="20" t="s">
        <v>122</v>
      </c>
      <c r="CZ418" s="20" t="s">
        <v>122</v>
      </c>
      <c r="DA418" s="20" t="s">
        <v>122</v>
      </c>
      <c r="DB418" s="503">
        <f t="shared" si="1139"/>
        <v>0</v>
      </c>
      <c r="DC418" s="127">
        <v>0</v>
      </c>
      <c r="DD418" s="127">
        <v>0</v>
      </c>
      <c r="DE418" s="127">
        <v>0</v>
      </c>
      <c r="DF418" s="127">
        <v>0</v>
      </c>
      <c r="DG418" s="127">
        <v>0</v>
      </c>
      <c r="DH418" s="127">
        <v>0</v>
      </c>
      <c r="DI418" s="127">
        <v>0</v>
      </c>
      <c r="DJ418" s="127">
        <v>0</v>
      </c>
      <c r="DK418" s="127">
        <v>0</v>
      </c>
      <c r="DL418" s="127">
        <v>0</v>
      </c>
      <c r="DM418" s="304">
        <f>INDEX(Input!$1:$1048576,DM$93,$C418*2+6)</f>
        <v>20731.578947368424</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4.4888704280153034E-2</v>
      </c>
      <c r="DZ418" s="7">
        <v>0</v>
      </c>
      <c r="EA418" s="7">
        <v>0.81033262369308712</v>
      </c>
      <c r="EB418" s="7">
        <v>0</v>
      </c>
      <c r="EC418" s="7">
        <v>0</v>
      </c>
      <c r="ED418" s="7">
        <v>0</v>
      </c>
      <c r="EE418" s="7">
        <v>0</v>
      </c>
      <c r="EF418" s="7">
        <v>0</v>
      </c>
      <c r="EG418" s="7">
        <v>0</v>
      </c>
      <c r="EH418" s="7">
        <v>1.221728634469293E-2</v>
      </c>
      <c r="EI418" s="7">
        <v>1.9596873351452174E-2</v>
      </c>
      <c r="EJ418" s="7">
        <v>0.18425126807870398</v>
      </c>
      <c r="EK418" s="7">
        <v>0.72563050406470064</v>
      </c>
      <c r="EL418" s="7">
        <v>5.8304068160450105E-2</v>
      </c>
      <c r="EM418" s="7">
        <v>3.0648254997983765E-2</v>
      </c>
      <c r="EN418" s="7">
        <v>4.8170572192442904E-2</v>
      </c>
      <c r="EO418" s="7">
        <v>0.56921176979612487</v>
      </c>
      <c r="EP418" s="7">
        <v>0.27227597593265163</v>
      </c>
      <c r="EQ418" s="7">
        <v>6.6308722785761762E-2</v>
      </c>
      <c r="ER418" s="7">
        <v>4.4032959293018689E-2</v>
      </c>
      <c r="ES418" s="7">
        <v>0.11413041702877606</v>
      </c>
      <c r="ET418" s="7">
        <v>0.14477867202675992</v>
      </c>
      <c r="EU418" s="6">
        <v>1599.9999999999998</v>
      </c>
      <c r="EV418" s="6">
        <v>0</v>
      </c>
      <c r="EW418" s="6">
        <v>1599.9999999999998</v>
      </c>
      <c r="EX418" s="6">
        <v>0</v>
      </c>
      <c r="EY418" s="6">
        <v>2595.4221450509394</v>
      </c>
      <c r="EZ418" s="6">
        <v>474</v>
      </c>
      <c r="FA418" s="6">
        <v>0</v>
      </c>
      <c r="FB418" s="6">
        <v>0</v>
      </c>
      <c r="FC418" s="6">
        <v>0</v>
      </c>
      <c r="FD418" s="6">
        <v>0</v>
      </c>
      <c r="FE418" s="6">
        <v>0</v>
      </c>
      <c r="FF418" s="6">
        <v>0</v>
      </c>
      <c r="FG418" s="6">
        <v>0</v>
      </c>
      <c r="FH418" s="6">
        <v>1153.2577211462021</v>
      </c>
      <c r="FI418" s="6">
        <v>1531.4299904380616</v>
      </c>
      <c r="FJ418" s="6">
        <v>2070.7205842538224</v>
      </c>
      <c r="FK418" s="6">
        <v>1746.9903521590441</v>
      </c>
      <c r="FL418" s="6">
        <v>893.9143356348934</v>
      </c>
      <c r="FM418" s="6">
        <v>1745.4221450509394</v>
      </c>
      <c r="FN418" s="6">
        <v>0</v>
      </c>
      <c r="FO418" s="6">
        <v>0</v>
      </c>
      <c r="FP418" s="6">
        <v>0</v>
      </c>
      <c r="FQ418" s="6">
        <v>0</v>
      </c>
      <c r="FR418" s="6">
        <v>0</v>
      </c>
      <c r="FS418" s="6">
        <v>0</v>
      </c>
      <c r="FT418" s="7">
        <v>0.85522132797324013</v>
      </c>
      <c r="FU418" s="7">
        <v>3.0648254997983765E-2</v>
      </c>
      <c r="FV418" s="7">
        <v>0.11413041702877606</v>
      </c>
      <c r="FW418" s="6">
        <v>1599.9999999999998</v>
      </c>
      <c r="FX418" s="6">
        <v>2595.4221450509394</v>
      </c>
      <c r="FY418" s="6">
        <v>474</v>
      </c>
      <c r="FZ418" s="6">
        <v>1695.8504614767719</v>
      </c>
      <c r="GA418" s="6">
        <v>1501.9971021577592</v>
      </c>
      <c r="GB418" s="6">
        <v>18193.002897842242</v>
      </c>
      <c r="GC418" s="7">
        <v>8.1891069685915169E-2</v>
      </c>
      <c r="GD418" s="7">
        <v>8.0394168633445409E-2</v>
      </c>
      <c r="GE418" s="7"/>
      <c r="GF418" s="7"/>
      <c r="GG418" s="7">
        <v>-1.8279173275071024E-2</v>
      </c>
      <c r="GH418" s="42">
        <v>1.8571167346142294</v>
      </c>
      <c r="GI418" s="6">
        <v>12107.146273941587</v>
      </c>
      <c r="GJ418" s="14">
        <v>0.51074630601039539</v>
      </c>
      <c r="GK418" s="14">
        <v>0.50829519786160948</v>
      </c>
      <c r="GL418" s="14">
        <v>0.48925369398960439</v>
      </c>
      <c r="GM418" s="14">
        <v>0.49170480213839007</v>
      </c>
      <c r="GO418" s="5">
        <v>338.16872463277008</v>
      </c>
      <c r="GP418" s="5">
        <v>307.64377699166363</v>
      </c>
      <c r="GQ418" s="5">
        <v>527.27910984145694</v>
      </c>
      <c r="GR418" s="5">
        <v>404.20319246551543</v>
      </c>
      <c r="GS418" s="5">
        <v>334.50205195691484</v>
      </c>
      <c r="GT418" s="5">
        <v>289.18266033348181</v>
      </c>
      <c r="GU418" s="5">
        <v>254.29573314828914</v>
      </c>
      <c r="GV418" s="39" t="s">
        <v>392</v>
      </c>
      <c r="GW418" s="5">
        <v>468.76388888888891</v>
      </c>
      <c r="GX418" s="5">
        <v>351.57291666666669</v>
      </c>
      <c r="GY418" s="5">
        <v>281.25833333333333</v>
      </c>
      <c r="GZ418" s="5">
        <v>248.1807987949399</v>
      </c>
      <c r="HA418" s="5">
        <v>229.89195052129477</v>
      </c>
      <c r="HB418" s="39">
        <v>257.93015123617886</v>
      </c>
      <c r="HC418" s="5">
        <v>262.37812499999995</v>
      </c>
      <c r="HD418" s="5">
        <v>222.17143640350872</v>
      </c>
      <c r="HE418" s="5">
        <v>224.32493674089068</v>
      </c>
      <c r="HF418" s="5">
        <v>206.74192434210525</v>
      </c>
      <c r="HG418" s="5">
        <v>198.48993421052631</v>
      </c>
      <c r="HH418" s="39">
        <v>222.62868414513673</v>
      </c>
      <c r="HI418" s="16"/>
      <c r="HJ418" s="19" t="str">
        <f t="shared" si="1331"/>
        <v>On</v>
      </c>
      <c r="HK418" s="1" t="str">
        <f t="shared" si="1331"/>
        <v>On</v>
      </c>
      <c r="HL418" s="16"/>
      <c r="HM418" s="639">
        <f t="shared" si="1278"/>
        <v>6.6115095157691428E-2</v>
      </c>
      <c r="HN418" s="639">
        <f t="shared" si="1279"/>
        <v>2.3720927871164412E-3</v>
      </c>
      <c r="HO418" s="639">
        <f t="shared" si="1280"/>
        <v>7.7231033444443466E-3</v>
      </c>
      <c r="HP418" s="644">
        <f>(FT418*$GD418-HM418)/$JF418*INDEX(Input!$1:$1048576,$JG$93,$C418*2+6)</f>
        <v>64.390588971325769</v>
      </c>
      <c r="HQ418" s="644">
        <f>(FU418*$GD418-HN418)/$JF418*INDEX(Input!$1:$1048576,$JG$93,$C418*2+6)</f>
        <v>2.2404558341249703</v>
      </c>
      <c r="HR418" s="644">
        <f>(FV418*$GD418-HO418)/$JF418*INDEX(Input!$1:$1048576,$JG$93,$C418*2+6)</f>
        <v>35.426405064866628</v>
      </c>
      <c r="HS418" s="644">
        <f t="shared" si="1281"/>
        <v>-21.075573012658769</v>
      </c>
      <c r="HT418" s="644">
        <f t="shared" si="1282"/>
        <v>64.135420777661281</v>
      </c>
      <c r="HU418" s="644">
        <f t="shared" si="1283"/>
        <v>24.198024980792443</v>
      </c>
      <c r="HV418" s="648">
        <f t="shared" si="1284"/>
        <v>0</v>
      </c>
      <c r="HW418" s="648">
        <f t="shared" si="1285"/>
        <v>0</v>
      </c>
      <c r="HX418" s="648">
        <f t="shared" si="1286"/>
        <v>0</v>
      </c>
      <c r="HY418" s="644">
        <f>INDEX(Input!$1:$1048576,HY$93,$C418*2+6)*INDEX(Input!$1:$1048576,$JG$93,$C418*2+6)</f>
        <v>844</v>
      </c>
      <c r="HZ418" s="644">
        <f>INDEX(Input!$1:$1048576,HZ$93,$C418*2+6)*INDEX(Input!$1:$1048576,$JG$93,$C418*2+6)</f>
        <v>865</v>
      </c>
      <c r="IA418" s="644">
        <f>INDEX(Input!$1:$1048576,IA$93,$C418*2+6)*INDEX(Input!$1:$1048576,$JG$93,$C418*2+6)</f>
        <v>150</v>
      </c>
      <c r="IB418" s="644">
        <f t="shared" si="1310"/>
        <v>887.315015958667</v>
      </c>
      <c r="IC418" s="644">
        <f t="shared" si="1311"/>
        <v>931.37587661178623</v>
      </c>
      <c r="ID418" s="644">
        <f>IF(AND(INDEX(Input!$1:$1048576,IA$93,$C418*2+7)="TOS",Y418&lt;=INDEX(Y:Y,MATCH(C418*1000+2,A:A))),0,1)*MAX(IA418+HR418+HU418+HX418,0%)</f>
        <v>209.62443004565907</v>
      </c>
      <c r="IE418" s="128">
        <f t="shared" si="1363"/>
        <v>0.43746404026283842</v>
      </c>
      <c r="IF418" s="128">
        <f t="shared" si="1333"/>
        <v>0.45918692533984395</v>
      </c>
      <c r="IG418" s="128">
        <f t="shared" si="1288"/>
        <v>0.10334903439731766</v>
      </c>
      <c r="IH418" s="21"/>
      <c r="II418" s="19">
        <f t="shared" si="1289"/>
        <v>1199.9999999999998</v>
      </c>
      <c r="IJ418" s="19">
        <f t="shared" si="1290"/>
        <v>2195.4782357510435</v>
      </c>
      <c r="IK418" s="19">
        <f t="shared" si="1291"/>
        <v>-571</v>
      </c>
      <c r="IL418" s="19">
        <f t="shared" si="1313"/>
        <v>400</v>
      </c>
      <c r="IM418" s="19">
        <f t="shared" si="1292"/>
        <v>399.94390929989595</v>
      </c>
      <c r="IN418" s="19">
        <f t="shared" si="1293"/>
        <v>1045</v>
      </c>
      <c r="IO418" s="39">
        <f t="shared" si="1294"/>
        <v>0</v>
      </c>
      <c r="IP418" s="39">
        <f t="shared" si="1295"/>
        <v>0</v>
      </c>
      <c r="IQ418" s="39">
        <f t="shared" si="1296"/>
        <v>0</v>
      </c>
      <c r="IR418" s="39">
        <v>0</v>
      </c>
      <c r="IS418" s="39">
        <v>0</v>
      </c>
      <c r="IT418" s="39">
        <v>0</v>
      </c>
      <c r="IU418" s="39">
        <v>0</v>
      </c>
      <c r="IV418" s="39">
        <v>0</v>
      </c>
      <c r="IW418" s="39">
        <v>0</v>
      </c>
      <c r="IX418" s="39">
        <f>INDEX(Input!$1:$1048576,IX$93,$C418*2+6)+INDEX(Input!$1:$1048576,IX$94,$C418*2+6)</f>
        <v>1600</v>
      </c>
      <c r="IY418" s="39">
        <f>INDEX(Input!$1:$1048576,IY$93,$C418*2+6)+INDEX(Input!$1:$1048576,IY$94,$C418*2+6)</f>
        <v>2503.549291639752</v>
      </c>
      <c r="IZ418" s="39">
        <f>INDEX(Input!$1:$1048576,IZ$93,$C418*2+6)+INDEX(Input!$1:$1048576,IZ$94,$C418*2+6)</f>
        <v>5413.7109265464023</v>
      </c>
      <c r="JA418" s="19">
        <f t="shared" si="1314"/>
        <v>2000</v>
      </c>
      <c r="JB418" s="19">
        <f t="shared" si="1315"/>
        <v>2903.493200939648</v>
      </c>
      <c r="JC418" s="19">
        <f t="shared" si="1316"/>
        <v>6458.7109265464023</v>
      </c>
      <c r="JD418" s="19">
        <f t="shared" si="1317"/>
        <v>2875.6757339202713</v>
      </c>
      <c r="JE418" s="21"/>
      <c r="JF418" s="1">
        <f t="shared" si="1297"/>
        <v>7.6210291289252219E-2</v>
      </c>
      <c r="JG418" s="15">
        <f>INDEX(Input!$1:$1048576,JG$93,$C418*2+6)/(1+VLOOKUP(C418*1000+INDEX(Input!$1:$1048576,JG$93+1,$C418*2+6),$A:$KK,$JK$92,FALSE))</f>
        <v>1859</v>
      </c>
      <c r="JH418" s="1">
        <f t="shared" si="1318"/>
        <v>5.4899112356276154E-2</v>
      </c>
      <c r="JI418" s="1">
        <f t="shared" si="1319"/>
        <v>3.6179598034316814E-2</v>
      </c>
      <c r="JJ418" s="1">
        <f t="shared" si="1357"/>
        <v>0</v>
      </c>
      <c r="JK418" s="1">
        <f t="shared" si="1361"/>
        <v>9.1078710390592968E-2</v>
      </c>
      <c r="JL418" s="15">
        <f t="shared" si="1322"/>
        <v>169.31532261611233</v>
      </c>
      <c r="JM418" s="15">
        <f t="shared" si="1348"/>
        <v>2028.3153226161123</v>
      </c>
      <c r="JN418" s="21"/>
      <c r="JO418" s="19">
        <f>INDEX(Input!$1:$1048576,JO$93,$C418*2+6)</f>
        <v>5908.5</v>
      </c>
      <c r="JP418" s="19">
        <f>INDEX(Input!$1:$1048576,JP$93,$C418*2+6)</f>
        <v>2328.1478086338602</v>
      </c>
      <c r="JQ418" s="39">
        <f t="shared" si="1334"/>
        <v>3032.8242660797287</v>
      </c>
      <c r="JR418" s="39">
        <f t="shared" si="1351"/>
        <v>547.52792528641112</v>
      </c>
      <c r="JS418" s="39">
        <f t="shared" si="1336"/>
        <v>5.8327771539858206</v>
      </c>
      <c r="JT418" s="39">
        <f t="shared" si="1324"/>
        <v>1.504750377735474</v>
      </c>
      <c r="JU418" s="385">
        <f>(JQ418*JM418-INDEX(Input!$1:$1048576,Input!A$18,$C418*2+6)*JL418*INDEX(Input!$1:$1048576,Input!A$19,$C418*2+6))/1000000</f>
        <v>6.1515239296914785</v>
      </c>
      <c r="JV418" s="39">
        <f t="shared" si="1358"/>
        <v>-0.50435079405817529</v>
      </c>
      <c r="JW418" s="1">
        <f t="shared" si="1349"/>
        <v>-7.5775283488816056E-2</v>
      </c>
      <c r="JX418" s="19">
        <f t="shared" si="1340"/>
        <v>8887.2664002606907</v>
      </c>
      <c r="JZ418" s="341"/>
      <c r="KA418" s="342"/>
      <c r="KB418" s="469">
        <f t="shared" si="1337"/>
        <v>2.3451977905499271</v>
      </c>
      <c r="KI418" s="473">
        <f t="shared" si="1364"/>
        <v>43.315015958667004</v>
      </c>
      <c r="KJ418" s="473">
        <f t="shared" si="1365"/>
        <v>66.375876611786225</v>
      </c>
      <c r="KK418" s="473">
        <f t="shared" si="1326"/>
        <v>59.624430045659068</v>
      </c>
      <c r="KN418" s="544">
        <f t="shared" si="1341"/>
        <v>4002</v>
      </c>
      <c r="KO418" s="541">
        <f t="shared" si="1301"/>
        <v>1.5355904456964886E-2</v>
      </c>
      <c r="KP418" s="546">
        <f t="shared" si="1302"/>
        <v>74.339232446467577</v>
      </c>
      <c r="KQ418" s="546">
        <f t="shared" si="1303"/>
        <v>151.93217232227562</v>
      </c>
      <c r="KR418" s="548">
        <f t="shared" si="1304"/>
        <v>3.5056723590792855</v>
      </c>
      <c r="KS418" s="548">
        <f t="shared" si="1305"/>
        <v>1.715298270269924</v>
      </c>
      <c r="KT418" s="473">
        <f t="shared" si="1339"/>
        <v>1050.27685337919</v>
      </c>
      <c r="KU418" s="663">
        <f t="shared" si="1327"/>
        <v>6.3777786311045439</v>
      </c>
      <c r="KV418" s="117" t="e">
        <f t="shared" si="1359"/>
        <v>#N/A</v>
      </c>
    </row>
    <row r="419" spans="1:308" s="26" customFormat="1" ht="15">
      <c r="A419" s="561">
        <f t="shared" si="1306"/>
        <v>4019</v>
      </c>
      <c r="B419" s="561">
        <f t="shared" si="1328"/>
        <v>19</v>
      </c>
      <c r="C419" s="561">
        <f t="shared" si="1329"/>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v>
      </c>
      <c r="E419" s="475">
        <f>INDEX(Input!$1:$1048576,E$93,$C419*2+MIN($B419,2)+5)</f>
        <v>1250</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1.8999999999999996E-2</v>
      </c>
      <c r="W419" s="863">
        <f>IFERROR(MAX(0,INDEX(Input!$1:$1048576,W$93,$C419*2+MIN($B419,2)+5)-0%,),"Market")</f>
        <v>3.9E-2</v>
      </c>
      <c r="X419" s="476" t="str">
        <f>INDEX(Input!$1:$1048576,X$93,$C419*2+MIN($B419,2)+5)</f>
        <v>Y</v>
      </c>
      <c r="Y419" s="475">
        <f>INDEX(Input!$1:$1048576,Y$93,$C419*2+MIN($B419,2)+5)</f>
        <v>-2217</v>
      </c>
      <c r="Z419" s="477">
        <f>INDEX(Input!$1:$1048576,Z$93,$C419*2+MIN($B419,2)+5)</f>
        <v>0</v>
      </c>
      <c r="AA419" s="475">
        <f>INDEX(Input!$1:$1048576,AA$93,$C419*2+MIN($B419,2)+5)</f>
        <v>0</v>
      </c>
      <c r="AB419" s="476">
        <f>INDEX(Input!$1:$1048576,AB$93,$C419*2+MIN($B419,2)+5)</f>
        <v>1</v>
      </c>
      <c r="AC419" s="475">
        <f>INDEX(Input!$1:$1048576,AC$93,$C419*2+MIN($B419,2)+5)-AC$102</f>
        <v>0</v>
      </c>
      <c r="AD419" s="476">
        <f>INDEX(Input!$1:$1048576,AD$93,$C419*2+MIN($B419,2)+5)</f>
        <v>0.35</v>
      </c>
      <c r="AE419" s="475">
        <f>INDEX(Input!$1:$1048576,AE$93,$C419*2+MIN($B419,2)+5)-AE$102</f>
        <v>0</v>
      </c>
      <c r="AF419" s="476">
        <f>INDEX(Input!$1:$1048576,AF$93,$C419*2+MIN($B419,2)+5)</f>
        <v>1</v>
      </c>
      <c r="AG419" s="475">
        <f>INDEX(Input!$1:$1048576,AG$93,$C419*2+MIN($B419,2)+5)</f>
        <v>0</v>
      </c>
      <c r="AH419" s="476">
        <f>INDEX(Input!$1:$1048576,AH$93,$C419*2+MIN($B419,2)+5)</f>
        <v>1</v>
      </c>
      <c r="AI419" s="475">
        <f>INDEX(Input!$1:$1048576,AI$93,$C419*2+MIN($B419,2)+5)-AI$102</f>
        <v>0</v>
      </c>
      <c r="AJ419" s="476">
        <f>INDEX(Input!$1:$1048576,AJ$93,$C419*2+MIN($B419,2)+5)</f>
        <v>0.35</v>
      </c>
      <c r="AK419" s="150">
        <f>ROUND(INDEX(Input!$1:$1048576,AK$93,$C418*2+MIN($B419,1)+5)+(Y419-VLOOKUP($C419*1000+1,$A:$HH,Y$92,FALSE)),0)</f>
        <v>4592</v>
      </c>
      <c r="AL419" s="150">
        <f>ROUND(INDEX(Input!$1:$1048576,AL$93,$C418*2+MIN($B419,1)+5)-(Y419-VLOOKUP($C419*1000+1,$A:$HH,Y$92,FALSE))/36,0)</f>
        <v>4743</v>
      </c>
      <c r="AM419" s="32" t="str">
        <f t="shared" si="1307"/>
        <v>std/std/std/std</v>
      </c>
      <c r="AN419" s="32" t="str">
        <f t="shared" si="1308"/>
        <v>$0 + 0/0/0/1.9/3.9</v>
      </c>
      <c r="AO419" s="32" t="str">
        <f t="shared" si="1309"/>
        <v>0/0/0/1.9/3.9</v>
      </c>
      <c r="AP419" s="32" t="str">
        <f t="shared" si="1125"/>
        <v>0/0.9/1.9/3.9</v>
      </c>
      <c r="AQ419" s="536">
        <f t="shared" si="1124"/>
        <v>0.45150347324773665</v>
      </c>
      <c r="AR419" s="32"/>
      <c r="AS419" s="302"/>
      <c r="AT419" s="3">
        <f t="shared" si="1330"/>
        <v>19</v>
      </c>
      <c r="AU419" s="41" t="s">
        <v>121</v>
      </c>
      <c r="AV419" s="41" t="s">
        <v>116</v>
      </c>
      <c r="AW419" s="41" t="str">
        <f>INDEX(Input!$1:$1048576,AW$93,$C419*2+6)</f>
        <v>Kia</v>
      </c>
      <c r="AX419" s="41" t="str">
        <f>INDEX(Input!$1:$1048576,AX$93,$C419*2+6)</f>
        <v>Kia-LR - R1</v>
      </c>
      <c r="AY419" s="41" t="str">
        <f>IF(LEN(D419)=0,"",INDEX(Input!$1:$1048576,AY$93,$C419*2+6))</f>
        <v>Compact Conventional/Sporty Car (43)</v>
      </c>
      <c r="AZ419" s="41" t="str">
        <f>INDEX(Input!$1:$1048576,AZ$93,$C419*2+6)</f>
        <v>Kia Forte</v>
      </c>
      <c r="BA419" s="3">
        <f>INDEX(Input!$1:$1048576,BA$93,$C419*2+6)</f>
        <v>2020</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19695</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1126"/>
        <v>1560</v>
      </c>
      <c r="CJ419" s="16" t="str">
        <f>INDEX(Input!$1:$1048576,CJ$93,$C419*2+6)</f>
        <v>N</v>
      </c>
      <c r="CK419" s="1" t="str">
        <f t="shared" si="1127"/>
        <v>Market</v>
      </c>
      <c r="CL419" s="1" t="str">
        <f t="shared" si="1128"/>
        <v>Market</v>
      </c>
      <c r="CM419" s="1" t="str">
        <f t="shared" si="1129"/>
        <v>Market</v>
      </c>
      <c r="CN419" s="1" t="str">
        <f t="shared" si="1130"/>
        <v>Market</v>
      </c>
      <c r="CO419" s="1" t="str">
        <f t="shared" si="1131"/>
        <v>Market</v>
      </c>
      <c r="CP419" s="304">
        <f t="shared" si="1132"/>
        <v>0</v>
      </c>
      <c r="CQ419" s="1">
        <f t="shared" si="1133"/>
        <v>0</v>
      </c>
      <c r="CR419" s="1">
        <f t="shared" si="1134"/>
        <v>0</v>
      </c>
      <c r="CS419" s="1">
        <f t="shared" si="1135"/>
        <v>0</v>
      </c>
      <c r="CT419" s="1">
        <f t="shared" si="1136"/>
        <v>1.8999999999999996E-2</v>
      </c>
      <c r="CU419" s="1">
        <f t="shared" si="1137"/>
        <v>3.9E-2</v>
      </c>
      <c r="CV419" s="304">
        <f t="shared" si="1138"/>
        <v>-2217</v>
      </c>
      <c r="CW419" s="20" t="s">
        <v>122</v>
      </c>
      <c r="CX419" s="20" t="s">
        <v>122</v>
      </c>
      <c r="CY419" s="20" t="s">
        <v>122</v>
      </c>
      <c r="CZ419" s="20" t="s">
        <v>122</v>
      </c>
      <c r="DA419" s="20" t="s">
        <v>122</v>
      </c>
      <c r="DB419" s="503">
        <f t="shared" si="1139"/>
        <v>0</v>
      </c>
      <c r="DC419" s="127">
        <v>0</v>
      </c>
      <c r="DD419" s="127">
        <v>0</v>
      </c>
      <c r="DE419" s="127">
        <v>0</v>
      </c>
      <c r="DF419" s="127">
        <v>0</v>
      </c>
      <c r="DG419" s="127">
        <v>0</v>
      </c>
      <c r="DH419" s="127">
        <v>0</v>
      </c>
      <c r="DI419" s="127">
        <v>0</v>
      </c>
      <c r="DJ419" s="127">
        <v>0</v>
      </c>
      <c r="DK419" s="127">
        <v>0</v>
      </c>
      <c r="DL419" s="127">
        <v>0</v>
      </c>
      <c r="DM419" s="304">
        <f>INDEX(Input!$1:$1048576,DM$93,$C419*2+6)</f>
        <v>20731.578947368424</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4.5190242892202741E-2</v>
      </c>
      <c r="DZ419" s="7">
        <v>0</v>
      </c>
      <c r="EA419" s="7">
        <v>0.82056915644990391</v>
      </c>
      <c r="EB419" s="7">
        <v>0</v>
      </c>
      <c r="EC419" s="7">
        <v>0</v>
      </c>
      <c r="ED419" s="7">
        <v>0</v>
      </c>
      <c r="EE419" s="7">
        <v>0</v>
      </c>
      <c r="EF419" s="7">
        <v>0</v>
      </c>
      <c r="EG419" s="7">
        <v>0</v>
      </c>
      <c r="EH419" s="7">
        <v>1.2232540545175544E-2</v>
      </c>
      <c r="EI419" s="7">
        <v>1.9630977237891156E-2</v>
      </c>
      <c r="EJ419" s="7">
        <v>0.18441776411436364</v>
      </c>
      <c r="EK419" s="7">
        <v>0.72542519450721976</v>
      </c>
      <c r="EL419" s="7">
        <v>5.8293523595350061E-2</v>
      </c>
      <c r="EM419" s="7">
        <v>3.1056486769121427E-2</v>
      </c>
      <c r="EN419" s="7">
        <v>4.6722301609223332E-2</v>
      </c>
      <c r="EO419" s="7">
        <v>0.57133246754987732</v>
      </c>
      <c r="EP419" s="7">
        <v>0.2684574513016656</v>
      </c>
      <c r="EQ419" s="7">
        <v>6.8307342502281557E-2</v>
      </c>
      <c r="ER419" s="7">
        <v>4.5180437036952771E-2</v>
      </c>
      <c r="ES419" s="7">
        <v>0.10318411388877197</v>
      </c>
      <c r="ET419" s="7">
        <v>0.13424060065789334</v>
      </c>
      <c r="EU419" s="6">
        <v>1249.9999999999998</v>
      </c>
      <c r="EV419" s="6">
        <v>0</v>
      </c>
      <c r="EW419" s="6">
        <v>1249.9999999999998</v>
      </c>
      <c r="EX419" s="6">
        <v>0</v>
      </c>
      <c r="EY419" s="6">
        <v>2245.4686128138783</v>
      </c>
      <c r="EZ419" s="6">
        <v>-421</v>
      </c>
      <c r="FA419" s="6">
        <v>0</v>
      </c>
      <c r="FB419" s="6">
        <v>0</v>
      </c>
      <c r="FC419" s="6">
        <v>0</v>
      </c>
      <c r="FD419" s="6">
        <v>0</v>
      </c>
      <c r="FE419" s="6">
        <v>0</v>
      </c>
      <c r="FF419" s="6">
        <v>0</v>
      </c>
      <c r="FG419" s="6">
        <v>0</v>
      </c>
      <c r="FH419" s="6">
        <v>1153.2561687102921</v>
      </c>
      <c r="FI419" s="6">
        <v>1531.4299904380621</v>
      </c>
      <c r="FJ419" s="6">
        <v>2070.720584253821</v>
      </c>
      <c r="FK419" s="6">
        <v>1746.990352159042</v>
      </c>
      <c r="FL419" s="6">
        <v>893.91433563489386</v>
      </c>
      <c r="FM419" s="6">
        <v>1745.4686128138781</v>
      </c>
      <c r="FN419" s="6">
        <v>0</v>
      </c>
      <c r="FO419" s="6">
        <v>0</v>
      </c>
      <c r="FP419" s="6">
        <v>0</v>
      </c>
      <c r="FQ419" s="6">
        <v>0</v>
      </c>
      <c r="FR419" s="6">
        <v>0</v>
      </c>
      <c r="FS419" s="6">
        <v>0</v>
      </c>
      <c r="FT419" s="7">
        <v>0.86575939934210666</v>
      </c>
      <c r="FU419" s="7">
        <v>3.1056486769121427E-2</v>
      </c>
      <c r="FV419" s="7">
        <v>0.10318411388877197</v>
      </c>
      <c r="FW419" s="6">
        <v>1249.9999999999995</v>
      </c>
      <c r="FX419" s="6">
        <v>2245.4686128138783</v>
      </c>
      <c r="FY419" s="6">
        <v>-421</v>
      </c>
      <c r="FZ419" s="6">
        <v>1695.8504614767719</v>
      </c>
      <c r="GA419" s="6">
        <v>1108.4951034947917</v>
      </c>
      <c r="GB419" s="6">
        <v>18586.504896505208</v>
      </c>
      <c r="GC419" s="7">
        <v>8.1891069685915169E-2</v>
      </c>
      <c r="GD419" s="7">
        <v>7.6730920293761273E-2</v>
      </c>
      <c r="GE419" s="7"/>
      <c r="GF419" s="7"/>
      <c r="GG419" s="7">
        <v>-6.3012357903555555E-2</v>
      </c>
      <c r="GH419" s="42">
        <v>2.1129089435302313</v>
      </c>
      <c r="GI419" s="6">
        <v>10429.767589139037</v>
      </c>
      <c r="GJ419" s="14">
        <v>0.51074630601039572</v>
      </c>
      <c r="GK419" s="14">
        <v>0.50829519786160959</v>
      </c>
      <c r="GL419" s="14">
        <v>0.48925369398960461</v>
      </c>
      <c r="GM419" s="14">
        <v>0.49170480213839052</v>
      </c>
      <c r="GO419" s="5">
        <v>338.16872463277008</v>
      </c>
      <c r="GP419" s="5">
        <v>314.32110928815564</v>
      </c>
      <c r="GQ419" s="5">
        <v>527.27910984145694</v>
      </c>
      <c r="GR419" s="5">
        <v>404.20319246551543</v>
      </c>
      <c r="GS419" s="5">
        <v>334.50205195691484</v>
      </c>
      <c r="GT419" s="5">
        <v>289.18266033348181</v>
      </c>
      <c r="GU419" s="5">
        <v>254.29573314828914</v>
      </c>
      <c r="GV419" s="39" t="s">
        <v>392</v>
      </c>
      <c r="GW419" s="5">
        <v>478.48611111111109</v>
      </c>
      <c r="GX419" s="5">
        <v>358.86458333333331</v>
      </c>
      <c r="GY419" s="5">
        <v>287.09166666666664</v>
      </c>
      <c r="GZ419" s="5">
        <v>253.32809988695075</v>
      </c>
      <c r="HA419" s="5">
        <v>234.65993859171954</v>
      </c>
      <c r="HB419" s="39">
        <v>263.29250728572026</v>
      </c>
      <c r="HC419" s="5">
        <v>301.53437499999995</v>
      </c>
      <c r="HD419" s="5">
        <v>248.89713084795318</v>
      </c>
      <c r="HE419" s="5">
        <v>249.13823802294195</v>
      </c>
      <c r="HF419" s="5">
        <v>227.43879934210526</v>
      </c>
      <c r="HG419" s="5">
        <v>215.64410087719298</v>
      </c>
      <c r="HH419" s="39">
        <v>248.45304303621234</v>
      </c>
      <c r="HI419" s="16"/>
      <c r="HJ419" s="19" t="str">
        <f t="shared" ref="HJ419:HK419" si="1366">HJ418</f>
        <v>On</v>
      </c>
      <c r="HK419" s="1" t="str">
        <f t="shared" si="1366"/>
        <v>On</v>
      </c>
      <c r="HL419" s="16"/>
      <c r="HM419" s="639">
        <f t="shared" si="1278"/>
        <v>6.6115095157691428E-2</v>
      </c>
      <c r="HN419" s="639">
        <f t="shared" si="1279"/>
        <v>2.3720927871164412E-3</v>
      </c>
      <c r="HO419" s="639">
        <f t="shared" si="1280"/>
        <v>7.7231033444443466E-3</v>
      </c>
      <c r="HP419" s="644">
        <f>(FT419*$GD419-HM419)/$JF419*INDEX(Input!$1:$1048576,$JG$93,$C419*2+6)</f>
        <v>7.6940573303956796</v>
      </c>
      <c r="HQ419" s="644">
        <f>(FU419*$GD419-HN419)/$JF419*INDEX(Input!$1:$1048576,$JG$93,$C419*2+6)</f>
        <v>0.26588461799941565</v>
      </c>
      <c r="HR419" s="644">
        <f>(FV419*$GD419-HO419)/$JF419*INDEX(Input!$1:$1048576,$JG$93,$C419*2+6)</f>
        <v>4.7397775121818908</v>
      </c>
      <c r="HS419" s="644">
        <f t="shared" ref="HS419" si="1367">IF(AND(HJ419="On",HK419="On"),IL419/1000*INDEX(KG:KG,MATCH(C419*1000+3,$KF:$KF,0))*SUM(HY419:IA419)*1.1
+INDEX(HR:HR,MATCH(C419*1000+4,$KF:$KF,0))/INDEX(IM:IM,MATCH(C419*1000+4,$KF:$KF,0))*IM419*20%,0)</f>
        <v>-2.6344460889264507</v>
      </c>
      <c r="HT419" s="644">
        <f t="shared" si="1282"/>
        <v>8.0164956233632712</v>
      </c>
      <c r="HU419" s="644">
        <f t="shared" si="1283"/>
        <v>3.4344652081201721</v>
      </c>
      <c r="HV419" s="648">
        <f t="shared" si="1284"/>
        <v>0</v>
      </c>
      <c r="HW419" s="648">
        <f t="shared" si="1285"/>
        <v>0</v>
      </c>
      <c r="HX419" s="648">
        <f t="shared" si="1286"/>
        <v>0</v>
      </c>
      <c r="HY419" s="644">
        <f>INDEX(Input!$1:$1048576,HY$93,$C419*2+6)*INDEX(Input!$1:$1048576,$JG$93,$C419*2+6)</f>
        <v>844</v>
      </c>
      <c r="HZ419" s="644">
        <f>INDEX(Input!$1:$1048576,HZ$93,$C419*2+6)*INDEX(Input!$1:$1048576,$JG$93,$C419*2+6)</f>
        <v>865</v>
      </c>
      <c r="IA419" s="644">
        <f>INDEX(Input!$1:$1048576,IA$93,$C419*2+6)*INDEX(Input!$1:$1048576,$JG$93,$C419*2+6)</f>
        <v>150</v>
      </c>
      <c r="IB419" s="644">
        <f t="shared" si="1310"/>
        <v>849.05961124146916</v>
      </c>
      <c r="IC419" s="644">
        <f t="shared" si="1311"/>
        <v>873.28238024136272</v>
      </c>
      <c r="ID419" s="644">
        <f>IF(AND(INDEX(Input!$1:$1048576,IA$93,$C419*2+7)="TOS",Y419&lt;=INDEX(Y:Y,MATCH(C419*1000+2,A:A))),0,1)*MAX(IA419+HR419+HU419+HX419,0%)</f>
        <v>158.17424272030206</v>
      </c>
      <c r="IE419" s="128">
        <f t="shared" ref="IE419" si="1368">IB419/SUM($IB419:$ID419)</f>
        <v>0.45150347324773665</v>
      </c>
      <c r="IF419" s="128">
        <f t="shared" ref="IF419" si="1369">IC419/SUM($IB419:$ID419)</f>
        <v>0.46438438783880792</v>
      </c>
      <c r="IG419" s="128">
        <f t="shared" si="1288"/>
        <v>8.4112138913455411E-2</v>
      </c>
      <c r="IH419" s="21"/>
      <c r="II419" s="19">
        <f t="shared" si="1289"/>
        <v>1199.9999999999998</v>
      </c>
      <c r="IJ419" s="19">
        <f t="shared" si="1290"/>
        <v>2195.4782357510435</v>
      </c>
      <c r="IK419" s="19">
        <f t="shared" si="1291"/>
        <v>-571</v>
      </c>
      <c r="IL419" s="19">
        <f t="shared" si="1313"/>
        <v>49.999999999999773</v>
      </c>
      <c r="IM419" s="19">
        <f t="shared" si="1292"/>
        <v>49.990377062834796</v>
      </c>
      <c r="IN419" s="19">
        <f t="shared" si="1293"/>
        <v>150</v>
      </c>
      <c r="IO419" s="39">
        <f t="shared" si="1294"/>
        <v>0</v>
      </c>
      <c r="IP419" s="39">
        <f t="shared" si="1295"/>
        <v>0</v>
      </c>
      <c r="IQ419" s="39">
        <f t="shared" si="1296"/>
        <v>0</v>
      </c>
      <c r="IR419" s="39">
        <v>0</v>
      </c>
      <c r="IS419" s="39">
        <v>0</v>
      </c>
      <c r="IT419" s="39">
        <v>0</v>
      </c>
      <c r="IU419" s="39">
        <v>0</v>
      </c>
      <c r="IV419" s="39">
        <v>0</v>
      </c>
      <c r="IW419" s="39">
        <v>0</v>
      </c>
      <c r="IX419" s="39">
        <f>INDEX(Input!$1:$1048576,IX$93,$C419*2+6)+INDEX(Input!$1:$1048576,IX$94,$C419*2+6)</f>
        <v>1600</v>
      </c>
      <c r="IY419" s="39">
        <f>INDEX(Input!$1:$1048576,IY$93,$C419*2+6)+INDEX(Input!$1:$1048576,IY$94,$C419*2+6)</f>
        <v>2503.549291639752</v>
      </c>
      <c r="IZ419" s="39">
        <f>INDEX(Input!$1:$1048576,IZ$93,$C419*2+6)+INDEX(Input!$1:$1048576,IZ$94,$C419*2+6)</f>
        <v>5413.7109265464023</v>
      </c>
      <c r="JA419" s="19">
        <f t="shared" si="1314"/>
        <v>1649.9999999999998</v>
      </c>
      <c r="JB419" s="19">
        <f t="shared" si="1315"/>
        <v>2553.5396687025868</v>
      </c>
      <c r="JC419" s="19">
        <f t="shared" si="1316"/>
        <v>5563.7109265464023</v>
      </c>
      <c r="JD419" s="19">
        <f t="shared" si="1317"/>
        <v>2398.7803130593093</v>
      </c>
      <c r="JE419" s="21"/>
      <c r="JF419" s="1">
        <f t="shared" si="1297"/>
        <v>7.6210291289252219E-2</v>
      </c>
      <c r="JG419" s="15">
        <f>INDEX(Input!$1:$1048576,JG$93,$C419*2+6)/(1+VLOOKUP(C419*1000+INDEX(Input!$1:$1048576,JG$93+1,$C419*2+6),$A:$KK,$JK$92,FALSE))</f>
        <v>1859</v>
      </c>
      <c r="JH419" s="1">
        <f t="shared" si="1318"/>
        <v>6.8314789997724508E-3</v>
      </c>
      <c r="JI419" s="1">
        <f t="shared" si="1319"/>
        <v>4.7426114806654084E-3</v>
      </c>
      <c r="JJ419" s="1">
        <f t="shared" ref="JJ419" si="1370">SUM(HV419:HX419)/SUM(HY419:IA419)</f>
        <v>0</v>
      </c>
      <c r="JK419" s="1">
        <f t="shared" ref="JK419" si="1371">SUM(JH419:JJ419)</f>
        <v>1.1574090480437858E-2</v>
      </c>
      <c r="JL419" s="15">
        <f t="shared" si="1322"/>
        <v>21.51623420313398</v>
      </c>
      <c r="JM419" s="15">
        <f t="shared" si="1348"/>
        <v>1880.516234203134</v>
      </c>
      <c r="JN419" s="21"/>
      <c r="JO419" s="19">
        <f>INDEX(Input!$1:$1048576,JO$93,$C419*2+6)</f>
        <v>5908.5</v>
      </c>
      <c r="JP419" s="19">
        <f>INDEX(Input!$1:$1048576,JP$93,$C419*2+6)</f>
        <v>2328.1478086338602</v>
      </c>
      <c r="JQ419" s="39">
        <f t="shared" si="1334"/>
        <v>3509.7196869406907</v>
      </c>
      <c r="JR419" s="39">
        <f t="shared" si="1351"/>
        <v>70.632504425449042</v>
      </c>
      <c r="JS419" s="39">
        <f t="shared" si="1336"/>
        <v>4.5109453209949066</v>
      </c>
      <c r="JT419" s="39">
        <f t="shared" si="1324"/>
        <v>0.18291854474456049</v>
      </c>
      <c r="JU419" s="385">
        <f>(JQ419*JM419-INDEX(Input!$1:$1048576,Input!A$18,$C419*2+6)*JL419*INDEX(Input!$1:$1048576,Input!A$19,$C419*2+6))/1000000</f>
        <v>6.6000848487943102</v>
      </c>
      <c r="JV419" s="39">
        <f t="shared" si="1358"/>
        <v>-5.5789874955343599E-2</v>
      </c>
      <c r="JW419" s="1">
        <f t="shared" si="1349"/>
        <v>-8.3820500341259142E-3</v>
      </c>
      <c r="JX419" s="19">
        <f t="shared" si="1340"/>
        <v>8501.4200448662705</v>
      </c>
      <c r="JZ419" s="341"/>
      <c r="KA419" s="342"/>
      <c r="KB419" s="469">
        <f t="shared" si="1337"/>
        <v>2.3451977905499271</v>
      </c>
      <c r="KI419" s="473">
        <f t="shared" si="1364"/>
        <v>5.0596112414691561</v>
      </c>
      <c r="KJ419" s="473">
        <f t="shared" si="1365"/>
        <v>8.2823802413627163</v>
      </c>
      <c r="KK419" s="473">
        <f t="shared" si="1326"/>
        <v>8.1742427203020611</v>
      </c>
      <c r="KN419" s="544">
        <f t="shared" si="1341"/>
        <v>4002</v>
      </c>
      <c r="KO419" s="541">
        <f t="shared" si="1301"/>
        <v>-5.8630953217568837E-2</v>
      </c>
      <c r="KP419" s="546">
        <f t="shared" si="1302"/>
        <v>-335.33168488102223</v>
      </c>
      <c r="KQ419" s="546">
        <f t="shared" si="1303"/>
        <v>-324.96324853868646</v>
      </c>
      <c r="KR419" s="548">
        <f t="shared" si="1304"/>
        <v>2.9673335003710091</v>
      </c>
      <c r="KS419" s="548">
        <f t="shared" si="1305"/>
        <v>3.0620106943104166</v>
      </c>
      <c r="KT419" s="473">
        <f t="shared" si="1339"/>
        <v>1050.27685337919</v>
      </c>
      <c r="KU419" s="663">
        <f t="shared" si="1327"/>
        <v>6.4903230764839268</v>
      </c>
      <c r="KV419" s="117"/>
    </row>
    <row r="420" spans="1:308" s="26" customFormat="1" ht="15">
      <c r="A420" s="561">
        <f t="shared" si="1306"/>
        <v>4020</v>
      </c>
      <c r="B420" s="561">
        <f t="shared" si="1328"/>
        <v>20</v>
      </c>
      <c r="C420" s="561">
        <f t="shared" si="1329"/>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0.9/1.9/2.9/3.9, </v>
      </c>
      <c r="E420" s="475">
        <f>INDEX(Input!$1:$1048576,E$93,$C420*2+MIN($B420,2)+5)</f>
        <v>1250</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IFERROR(MAX(0,INDEX(Input!$1:$1048576,U$93,$C420*2+MIN($B420,2)+5)+0.9%,),"Market")</f>
        <v>9.0000000000000011E-3</v>
      </c>
      <c r="V420" s="478">
        <f>IFERROR(MAX(0,INDEX(Input!$1:$1048576,V$93,$C420*2+MIN($B420,2)+5)+1%,),"Market")</f>
        <v>2.8999999999999998E-2</v>
      </c>
      <c r="W420" s="478">
        <f>IFERROR(MAX(0,INDEX(Input!$1:$1048576,W$93,$C420*2+MIN($B420,2)+5)+0%,),"Market")</f>
        <v>3.9E-2</v>
      </c>
      <c r="X420" s="476" t="str">
        <f>INDEX(Input!$1:$1048576,X$93,$C420*2+MIN($B420,2)+5)</f>
        <v>Y</v>
      </c>
      <c r="Y420" s="475">
        <f>INDEX(Input!$1:$1048576,Y$93,$C420*2+MIN($B420,2)+5)</f>
        <v>-2217</v>
      </c>
      <c r="Z420" s="477">
        <f>INDEX(Input!$1:$1048576,Z$93,$C420*2+MIN($B420,2)+5)</f>
        <v>0</v>
      </c>
      <c r="AA420" s="475">
        <f>INDEX(Input!$1:$1048576,AA$93,$C420*2+MIN($B420,2)+5)</f>
        <v>0</v>
      </c>
      <c r="AB420" s="476">
        <f>INDEX(Input!$1:$1048576,AB$93,$C420*2+MIN($B420,2)+5)</f>
        <v>1</v>
      </c>
      <c r="AC420" s="475">
        <f>INDEX(Input!$1:$1048576,AC$93,$C420*2+MIN($B420,2)+5)</f>
        <v>0</v>
      </c>
      <c r="AD420" s="476">
        <f>INDEX(Input!$1:$1048576,AD$93,$C420*2+MIN($B420,2)+5)</f>
        <v>0.35</v>
      </c>
      <c r="AE420" s="475">
        <f>INDEX(Input!$1:$1048576,AE$93,$C420*2+MIN($B420,2)+5)</f>
        <v>0</v>
      </c>
      <c r="AF420" s="476">
        <f>INDEX(Input!$1:$1048576,AF$93,$C420*2+MIN($B420,2)+5)</f>
        <v>1</v>
      </c>
      <c r="AG420" s="475">
        <f>INDEX(Input!$1:$1048576,AG$93,$C420*2+MIN($B420,2)+5)</f>
        <v>0</v>
      </c>
      <c r="AH420" s="476">
        <f>INDEX(Input!$1:$1048576,AH$93,$C420*2+MIN($B420,2)+5)</f>
        <v>1</v>
      </c>
      <c r="AI420" s="475">
        <f>INDEX(Input!$1:$1048576,AI$93,$C420*2+MIN($B420,2)+5)</f>
        <v>0</v>
      </c>
      <c r="AJ420" s="476">
        <f>INDEX(Input!$1:$1048576,AJ$93,$C420*2+MIN($B420,2)+5)</f>
        <v>0.35</v>
      </c>
      <c r="AK420" s="150">
        <f>ROUND(INDEX(Input!$1:$1048576,AK$93,$C419*2+MIN($B420,1)+5)+(Y420-VLOOKUP($C420*1000+1,$A:$HH,Y$92,FALSE)),0)</f>
        <v>4592</v>
      </c>
      <c r="AL420" s="150">
        <f>ROUND(INDEX(Input!$1:$1048576,AL$93,$C419*2+MIN($B420,1)+5)-(Y420-VLOOKUP($C420*1000+1,$A:$HH,Y$92,FALSE))/36,0)</f>
        <v>4743</v>
      </c>
      <c r="AM420" s="32" t="str">
        <f t="shared" si="1307"/>
        <v>std/std/std/std</v>
      </c>
      <c r="AN420" s="32" t="str">
        <f t="shared" si="1308"/>
        <v>$0 + 0/0/0.9/2.9/3.9</v>
      </c>
      <c r="AO420" s="32" t="str">
        <f t="shared" si="1309"/>
        <v>0/0/0.9/2.9/3.9</v>
      </c>
      <c r="AP420" s="32" t="str">
        <f t="shared" si="1125"/>
        <v>0.9/1.9/2.9/3.9</v>
      </c>
      <c r="AQ420" s="536">
        <f t="shared" si="1124"/>
        <v>0.47636154802961361</v>
      </c>
      <c r="AR420" s="32"/>
      <c r="AS420" s="302"/>
      <c r="AT420" s="3">
        <f t="shared" si="1330"/>
        <v>20</v>
      </c>
      <c r="AU420" s="41" t="s">
        <v>121</v>
      </c>
      <c r="AV420" s="41" t="s">
        <v>116</v>
      </c>
      <c r="AW420" s="41" t="str">
        <f>INDEX(Input!$1:$1048576,AW$93,$C420*2+6)</f>
        <v>Kia</v>
      </c>
      <c r="AX420" s="41" t="str">
        <f>INDEX(Input!$1:$1048576,AX$93,$C420*2+6)</f>
        <v>Kia-LR - R1</v>
      </c>
      <c r="AY420" s="41" t="str">
        <f>IF(LEN(D420)=0,"",INDEX(Input!$1:$1048576,AY$93,$C420*2+6))</f>
        <v>Compact Conventional/Sporty Car (43)</v>
      </c>
      <c r="AZ420" s="41" t="str">
        <f>INDEX(Input!$1:$1048576,AZ$93,$C420*2+6)</f>
        <v>Kia Forte</v>
      </c>
      <c r="BA420" s="3">
        <f>INDEX(Input!$1:$1048576,BA$93,$C420*2+6)</f>
        <v>2020</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19695</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1126"/>
        <v>1560</v>
      </c>
      <c r="CJ420" s="16" t="str">
        <f>INDEX(Input!$1:$1048576,CJ$93,$C420*2+6)</f>
        <v>N</v>
      </c>
      <c r="CK420" s="1" t="str">
        <f t="shared" si="1127"/>
        <v>Market</v>
      </c>
      <c r="CL420" s="1" t="str">
        <f t="shared" si="1128"/>
        <v>Market</v>
      </c>
      <c r="CM420" s="1" t="str">
        <f t="shared" si="1129"/>
        <v>Market</v>
      </c>
      <c r="CN420" s="1" t="str">
        <f t="shared" si="1130"/>
        <v>Market</v>
      </c>
      <c r="CO420" s="1" t="str">
        <f t="shared" si="1131"/>
        <v>Market</v>
      </c>
      <c r="CP420" s="304">
        <f t="shared" si="1132"/>
        <v>0</v>
      </c>
      <c r="CQ420" s="1">
        <f t="shared" si="1133"/>
        <v>0</v>
      </c>
      <c r="CR420" s="1">
        <f t="shared" si="1134"/>
        <v>0</v>
      </c>
      <c r="CS420" s="1">
        <f t="shared" si="1135"/>
        <v>9.0000000000000011E-3</v>
      </c>
      <c r="CT420" s="1">
        <f t="shared" si="1136"/>
        <v>2.8999999999999998E-2</v>
      </c>
      <c r="CU420" s="1">
        <f t="shared" si="1137"/>
        <v>3.9E-2</v>
      </c>
      <c r="CV420" s="304">
        <f t="shared" si="1138"/>
        <v>-2217</v>
      </c>
      <c r="CW420" s="20" t="s">
        <v>122</v>
      </c>
      <c r="CX420" s="20" t="s">
        <v>122</v>
      </c>
      <c r="CY420" s="20" t="s">
        <v>122</v>
      </c>
      <c r="CZ420" s="20" t="s">
        <v>122</v>
      </c>
      <c r="DA420" s="20" t="s">
        <v>122</v>
      </c>
      <c r="DB420" s="503">
        <f t="shared" si="1139"/>
        <v>0</v>
      </c>
      <c r="DC420" s="127">
        <v>0</v>
      </c>
      <c r="DD420" s="127">
        <v>0</v>
      </c>
      <c r="DE420" s="127">
        <v>0</v>
      </c>
      <c r="DF420" s="127">
        <v>0</v>
      </c>
      <c r="DG420" s="127">
        <v>0</v>
      </c>
      <c r="DH420" s="127">
        <v>0</v>
      </c>
      <c r="DI420" s="127">
        <v>0</v>
      </c>
      <c r="DJ420" s="127">
        <v>0</v>
      </c>
      <c r="DK420" s="127">
        <v>0</v>
      </c>
      <c r="DL420" s="127">
        <v>0</v>
      </c>
      <c r="DM420" s="304">
        <f>INDEX(Input!$1:$1048576,DM$93,$C420*2+6)</f>
        <v>20731.578947368424</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4.6208838396866077E-2</v>
      </c>
      <c r="DZ420" s="7">
        <v>0</v>
      </c>
      <c r="EA420" s="7">
        <v>0.83364896032115654</v>
      </c>
      <c r="EB420" s="7">
        <v>0</v>
      </c>
      <c r="EC420" s="7">
        <v>0</v>
      </c>
      <c r="ED420" s="7">
        <v>0</v>
      </c>
      <c r="EE420" s="7">
        <v>0</v>
      </c>
      <c r="EF420" s="7">
        <v>0</v>
      </c>
      <c r="EG420" s="7">
        <v>0</v>
      </c>
      <c r="EH420" s="7">
        <v>1.8440040646855633E-2</v>
      </c>
      <c r="EI420" s="7">
        <v>2.9597896109855231E-2</v>
      </c>
      <c r="EJ420" s="7">
        <v>0.20063848051276204</v>
      </c>
      <c r="EK420" s="7">
        <v>0.66367280095243597</v>
      </c>
      <c r="EL420" s="7">
        <v>8.7650781778091311E-2</v>
      </c>
      <c r="EM420" s="7">
        <v>2.0994167340207631E-2</v>
      </c>
      <c r="EN420" s="7">
        <v>4.6958762238961144E-2</v>
      </c>
      <c r="EO420" s="7">
        <v>0.57082761350794142</v>
      </c>
      <c r="EP420" s="7">
        <v>0.26931950880238587</v>
      </c>
      <c r="EQ420" s="7">
        <v>6.7916563809933786E-2</v>
      </c>
      <c r="ER420" s="7">
        <v>4.4977551640777665E-2</v>
      </c>
      <c r="ES420" s="7">
        <v>9.9148033941769784E-2</v>
      </c>
      <c r="ET420" s="7">
        <v>0.12014220128197731</v>
      </c>
      <c r="EU420" s="6">
        <v>1599.9999999999998</v>
      </c>
      <c r="EV420" s="6">
        <v>0</v>
      </c>
      <c r="EW420" s="6">
        <v>1599.9999999999998</v>
      </c>
      <c r="EX420" s="6">
        <v>0</v>
      </c>
      <c r="EY420" s="6">
        <v>2178.4566190643122</v>
      </c>
      <c r="EZ420" s="6">
        <v>-246</v>
      </c>
      <c r="FA420" s="6">
        <v>0</v>
      </c>
      <c r="FB420" s="6">
        <v>0</v>
      </c>
      <c r="FC420" s="6">
        <v>0</v>
      </c>
      <c r="FD420" s="6">
        <v>0</v>
      </c>
      <c r="FE420" s="6">
        <v>0</v>
      </c>
      <c r="FF420" s="6">
        <v>0</v>
      </c>
      <c r="FG420" s="6">
        <v>0</v>
      </c>
      <c r="FH420" s="6">
        <v>1153.2500164135033</v>
      </c>
      <c r="FI420" s="6">
        <v>1531.4299904380618</v>
      </c>
      <c r="FJ420" s="6">
        <v>1709.9775738488468</v>
      </c>
      <c r="FK420" s="6">
        <v>1266.3227157028182</v>
      </c>
      <c r="FL420" s="6">
        <v>893.91433563489352</v>
      </c>
      <c r="FM420" s="6">
        <v>1328.4566190643122</v>
      </c>
      <c r="FN420" s="6">
        <v>0</v>
      </c>
      <c r="FO420" s="6">
        <v>0</v>
      </c>
      <c r="FP420" s="6">
        <v>0</v>
      </c>
      <c r="FQ420" s="6">
        <v>0</v>
      </c>
      <c r="FR420" s="6">
        <v>0</v>
      </c>
      <c r="FS420" s="6">
        <v>0</v>
      </c>
      <c r="FT420" s="7">
        <v>0.87985779871802261</v>
      </c>
      <c r="FU420" s="7">
        <v>2.0994167340207631E-2</v>
      </c>
      <c r="FV420" s="7">
        <v>9.9148033941769784E-2</v>
      </c>
      <c r="FW420" s="6">
        <v>1599.9999999999998</v>
      </c>
      <c r="FX420" s="6">
        <v>2178.4566190643122</v>
      </c>
      <c r="FY420" s="6">
        <v>-246</v>
      </c>
      <c r="FZ420" s="6">
        <v>1695.8504614767719</v>
      </c>
      <c r="GA420" s="6">
        <v>1429.1169444031798</v>
      </c>
      <c r="GB420" s="6">
        <v>18265.88305559682</v>
      </c>
      <c r="GC420" s="7">
        <v>8.1891069685915169E-2</v>
      </c>
      <c r="GD420" s="7">
        <v>7.9417816565823043E-2</v>
      </c>
      <c r="GE420" s="7"/>
      <c r="GF420" s="7"/>
      <c r="GG420" s="7">
        <v>-3.0201743970106082E-2</v>
      </c>
      <c r="GH420" s="42">
        <v>2.2300285094172354</v>
      </c>
      <c r="GI420" s="6">
        <v>10260.842600299302</v>
      </c>
      <c r="GJ420" s="14">
        <v>0.51074630601039561</v>
      </c>
      <c r="GK420" s="14">
        <v>0.5082951978616097</v>
      </c>
      <c r="GL420" s="14">
        <v>0.48925369398960417</v>
      </c>
      <c r="GM420" s="14">
        <v>0.49170480213839035</v>
      </c>
      <c r="GO420" s="5">
        <v>338.16872463277008</v>
      </c>
      <c r="GP420" s="5">
        <v>307.64377699166363</v>
      </c>
      <c r="GQ420" s="5">
        <v>527.27910984145694</v>
      </c>
      <c r="GR420" s="5">
        <v>404.20319246551543</v>
      </c>
      <c r="GS420" s="5">
        <v>334.50205195691484</v>
      </c>
      <c r="GT420" s="5">
        <v>289.18266033348181</v>
      </c>
      <c r="GU420" s="5">
        <v>254.29573314828914</v>
      </c>
      <c r="GV420" s="39" t="s">
        <v>392</v>
      </c>
      <c r="GW420" s="5">
        <v>468.76388888888891</v>
      </c>
      <c r="GX420" s="5">
        <v>351.57291666666669</v>
      </c>
      <c r="GY420" s="5">
        <v>287.73954748358943</v>
      </c>
      <c r="GZ420" s="5">
        <v>255.64660634518972</v>
      </c>
      <c r="HA420" s="5">
        <v>229.89195052129477</v>
      </c>
      <c r="HB420" s="39">
        <v>266.59737789274379</v>
      </c>
      <c r="HC420" s="5">
        <v>293.87812499999995</v>
      </c>
      <c r="HD420" s="5">
        <v>243.67143640350872</v>
      </c>
      <c r="HE420" s="5">
        <v>244.28647520242913</v>
      </c>
      <c r="HF420" s="5">
        <v>223.39192434210526</v>
      </c>
      <c r="HG420" s="5">
        <v>212.2899342105263</v>
      </c>
      <c r="HH420" s="39">
        <v>243.40594439293386</v>
      </c>
      <c r="HI420" s="16"/>
      <c r="HJ420" s="19" t="str">
        <f t="shared" ref="HJ420:HK420" si="1372">HJ419</f>
        <v>On</v>
      </c>
      <c r="HK420" s="1" t="str">
        <f t="shared" si="1372"/>
        <v>On</v>
      </c>
      <c r="HL420" s="16"/>
      <c r="HM420" s="639">
        <f t="shared" si="1278"/>
        <v>6.6115095157691428E-2</v>
      </c>
      <c r="HN420" s="639">
        <f t="shared" si="1279"/>
        <v>2.3720927871164412E-3</v>
      </c>
      <c r="HO420" s="639">
        <f t="shared" si="1280"/>
        <v>7.7231033444443466E-3</v>
      </c>
      <c r="HP420" s="644">
        <f>(FT420*$GD420-HM420)/$JF420*INDEX(Input!$1:$1048576,$JG$93,$C420*2+6)</f>
        <v>91.749266230729461</v>
      </c>
      <c r="HQ420" s="644">
        <f>(FU420*$GD420-HN420)/$JF420*INDEX(Input!$1:$1048576,$JG$93,$C420*2+6)</f>
        <v>-17.191765689001656</v>
      </c>
      <c r="HR420" s="644">
        <f>(FV420*$GD420-HO420)/$JF420*INDEX(Input!$1:$1048576,$JG$93,$C420*2+6)</f>
        <v>3.6837630497433187</v>
      </c>
      <c r="HS420" s="644">
        <f t="shared" ref="HS420" si="1373">IF(AND(HJ420="On",HK420="On"),IL420/1000*INDEX(KG:KG,MATCH(C420*1000+3,$KF:$KF,0))*SUM(HY420:IA420)*1.1
+INDEX(HR:HR,MATCH(C420*1000+4,$KF:$KF,0))/INDEX(IM:IM,MATCH(C420*1000+4,$KF:$KF,0))*IM420*20%,0)</f>
        <v>-20.989731383794641</v>
      </c>
      <c r="HT420" s="644">
        <f t="shared" si="1282"/>
        <v>-4.8331139238197789</v>
      </c>
      <c r="HU420" s="644">
        <f t="shared" si="1283"/>
        <v>8.8867336132216863</v>
      </c>
      <c r="HV420" s="648">
        <f t="shared" si="1284"/>
        <v>0</v>
      </c>
      <c r="HW420" s="648">
        <f t="shared" si="1285"/>
        <v>0</v>
      </c>
      <c r="HX420" s="648">
        <f t="shared" si="1286"/>
        <v>0</v>
      </c>
      <c r="HY420" s="644">
        <f>INDEX(Input!$1:$1048576,HY$93,$C420*2+6)*INDEX(Input!$1:$1048576,$JG$93,$C420*2+6)</f>
        <v>844</v>
      </c>
      <c r="HZ420" s="644">
        <f>INDEX(Input!$1:$1048576,HZ$93,$C420*2+6)*INDEX(Input!$1:$1048576,$JG$93,$C420*2+6)</f>
        <v>865</v>
      </c>
      <c r="IA420" s="644">
        <f>INDEX(Input!$1:$1048576,IA$93,$C420*2+6)*INDEX(Input!$1:$1048576,$JG$93,$C420*2+6)</f>
        <v>150</v>
      </c>
      <c r="IB420" s="644">
        <f t="shared" si="1310"/>
        <v>914.75953484693457</v>
      </c>
      <c r="IC420" s="644">
        <f t="shared" si="1311"/>
        <v>842.97512038717866</v>
      </c>
      <c r="ID420" s="644">
        <f>IF(AND(INDEX(Input!$1:$1048576,IA$93,$C420*2+7)="TOS",Y420&lt;=INDEX(Y:Y,MATCH(C420*1000+2,A:A))),0,1)*MAX(IA420+HR420+HU420+HX420,0%)</f>
        <v>162.57049666296498</v>
      </c>
      <c r="IE420" s="128">
        <f t="shared" ref="IE420" si="1374">IB420/SUM($IB420:$ID420)</f>
        <v>0.47636154802961361</v>
      </c>
      <c r="IF420" s="128">
        <f t="shared" ref="IF420" si="1375">IC420/SUM($IB420:$ID420)</f>
        <v>0.43897977337320565</v>
      </c>
      <c r="IG420" s="128">
        <f t="shared" si="1288"/>
        <v>8.4658678597180681E-2</v>
      </c>
      <c r="IH420" s="21"/>
      <c r="II420" s="19">
        <f t="shared" si="1289"/>
        <v>1199.9999999999998</v>
      </c>
      <c r="IJ420" s="19">
        <f t="shared" si="1290"/>
        <v>2195.4782357510435</v>
      </c>
      <c r="IK420" s="19">
        <f t="shared" si="1291"/>
        <v>-571</v>
      </c>
      <c r="IL420" s="19">
        <f t="shared" si="1313"/>
        <v>400</v>
      </c>
      <c r="IM420" s="19">
        <f t="shared" si="1292"/>
        <v>-17.02161668673125</v>
      </c>
      <c r="IN420" s="19">
        <f t="shared" si="1293"/>
        <v>325</v>
      </c>
      <c r="IO420" s="39">
        <f t="shared" si="1294"/>
        <v>0</v>
      </c>
      <c r="IP420" s="39">
        <f t="shared" si="1295"/>
        <v>0</v>
      </c>
      <c r="IQ420" s="39">
        <f t="shared" si="1296"/>
        <v>0</v>
      </c>
      <c r="IR420" s="39">
        <v>0</v>
      </c>
      <c r="IS420" s="39">
        <v>0</v>
      </c>
      <c r="IT420" s="39">
        <v>0</v>
      </c>
      <c r="IU420" s="39">
        <v>0</v>
      </c>
      <c r="IV420" s="39">
        <v>0</v>
      </c>
      <c r="IW420" s="39">
        <v>0</v>
      </c>
      <c r="IX420" s="39">
        <f>INDEX(Input!$1:$1048576,IX$93,$C420*2+6)+INDEX(Input!$1:$1048576,IX$94,$C420*2+6)</f>
        <v>1600</v>
      </c>
      <c r="IY420" s="39">
        <f>INDEX(Input!$1:$1048576,IY$93,$C420*2+6)+INDEX(Input!$1:$1048576,IY$94,$C420*2+6)</f>
        <v>2503.549291639752</v>
      </c>
      <c r="IZ420" s="39">
        <f>INDEX(Input!$1:$1048576,IZ$93,$C420*2+6)+INDEX(Input!$1:$1048576,IZ$94,$C420*2+6)</f>
        <v>5413.7109265464023</v>
      </c>
      <c r="JA420" s="19">
        <f t="shared" si="1314"/>
        <v>2000</v>
      </c>
      <c r="JB420" s="19">
        <f t="shared" si="1315"/>
        <v>2486.5276749530208</v>
      </c>
      <c r="JC420" s="19">
        <f t="shared" si="1316"/>
        <v>5738.7109265464023</v>
      </c>
      <c r="JD420" s="19">
        <f t="shared" si="1317"/>
        <v>2530.0901351889288</v>
      </c>
      <c r="JE420" s="21"/>
      <c r="JF420" s="1">
        <f t="shared" si="1297"/>
        <v>7.6210291289252219E-2</v>
      </c>
      <c r="JG420" s="15">
        <f>INDEX(Input!$1:$1048576,JG$93,$C420*2+6)/(1+VLOOKUP(C420*1000+INDEX(Input!$1:$1048576,JG$93+1,$C420*2+6),$A:$KK,$JK$92,FALSE))</f>
        <v>1859</v>
      </c>
      <c r="JH420" s="1">
        <f t="shared" si="1318"/>
        <v>4.2087823341297001E-2</v>
      </c>
      <c r="JI420" s="1">
        <f t="shared" si="1319"/>
        <v>-9.110334424095071E-3</v>
      </c>
      <c r="JJ420" s="1">
        <f t="shared" ref="JJ420" si="1376">SUM(HV420:HX420)/SUM(HY420:IA420)</f>
        <v>0</v>
      </c>
      <c r="JK420" s="1">
        <f t="shared" ref="JK420" si="1377">SUM(JH420:JJ420)</f>
        <v>3.2977488917201932E-2</v>
      </c>
      <c r="JL420" s="15">
        <f t="shared" si="1322"/>
        <v>61.305151897078389</v>
      </c>
      <c r="JM420" s="15">
        <f t="shared" si="1348"/>
        <v>1920.3051518970783</v>
      </c>
      <c r="JN420" s="21"/>
      <c r="JO420" s="19">
        <f>INDEX(Input!$1:$1048576,JO$93,$C420*2+6)</f>
        <v>5908.5</v>
      </c>
      <c r="JP420" s="19">
        <f>INDEX(Input!$1:$1048576,JP$93,$C420*2+6)</f>
        <v>2328.1478086338602</v>
      </c>
      <c r="JQ420" s="39">
        <f t="shared" si="1334"/>
        <v>3378.4098648110712</v>
      </c>
      <c r="JR420" s="39">
        <f t="shared" si="1351"/>
        <v>201.94232655506858</v>
      </c>
      <c r="JS420" s="39">
        <f t="shared" si="1336"/>
        <v>4.8585451213672757</v>
      </c>
      <c r="JT420" s="39">
        <f t="shared" si="1324"/>
        <v>0.53051834511692919</v>
      </c>
      <c r="JU420" s="385">
        <f>(JQ420*JM420-INDEX(Input!$1:$1048576,Input!A$18,$C420*2+6)*JL420*INDEX(Input!$1:$1048576,Input!A$19,$C420*2+6))/1000000</f>
        <v>6.4875778686166115</v>
      </c>
      <c r="JV420" s="39">
        <f t="shared" si="1358"/>
        <v>-0.16829685513304238</v>
      </c>
      <c r="JW420" s="1">
        <f t="shared" si="1349"/>
        <v>-2.5285460156352021E-2</v>
      </c>
      <c r="JX420" s="19">
        <f t="shared" si="1340"/>
        <v>8653.7318430853138</v>
      </c>
      <c r="JZ420" s="341"/>
      <c r="KA420" s="342"/>
      <c r="KB420" s="469">
        <f t="shared" si="1337"/>
        <v>2.3451977905499271</v>
      </c>
      <c r="KI420" s="473">
        <f t="shared" si="1364"/>
        <v>70.759534846934571</v>
      </c>
      <c r="KJ420" s="473">
        <f t="shared" si="1365"/>
        <v>-22.024879612821337</v>
      </c>
      <c r="KK420" s="473">
        <f t="shared" si="1326"/>
        <v>12.570496662964985</v>
      </c>
      <c r="KN420" s="544">
        <f t="shared" si="1341"/>
        <v>4002</v>
      </c>
      <c r="KO420" s="541">
        <f t="shared" si="1301"/>
        <v>-3.8712988756110844E-2</v>
      </c>
      <c r="KP420" s="546">
        <f t="shared" si="1302"/>
        <v>-183.10833278013692</v>
      </c>
      <c r="KQ420" s="546">
        <f t="shared" si="1303"/>
        <v>-193.65342640906692</v>
      </c>
      <c r="KR420" s="548">
        <f t="shared" si="1304"/>
        <v>3.5880838938434212</v>
      </c>
      <c r="KS420" s="548">
        <f t="shared" si="1305"/>
        <v>3.3927004125870153</v>
      </c>
      <c r="KT420" s="473">
        <f t="shared" si="1339"/>
        <v>1050.27685337919</v>
      </c>
      <c r="KU420" s="663">
        <f t="shared" si="1327"/>
        <v>6.4483844669082551</v>
      </c>
      <c r="KV420" s="117"/>
    </row>
    <row r="421" spans="1:308" s="26" customFormat="1" ht="15">
      <c r="A421" s="561">
        <f t="shared" si="1306"/>
        <v>4021</v>
      </c>
      <c r="B421" s="561">
        <f t="shared" si="1328"/>
        <v>21</v>
      </c>
      <c r="C421" s="561">
        <f t="shared" si="1329"/>
        <v>4</v>
      </c>
      <c r="D421" s="561" t="str">
        <f t="shared" ref="D421:D452" si="1378">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0/0/0.9/3.9, </v>
      </c>
      <c r="E421" s="475">
        <f>INDEX(Input!$1:$1048576,E$93,$C421*2+MIN($B421,2)+5)
+INDEX(Scenarios!E$121:E$200,MATCH($B421,Scenarios!$B$121:$B$200,0))</f>
        <v>1250</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8.9999999999999959E-3</v>
      </c>
      <c r="W421" s="863">
        <f>IFERROR(MAX(0,INDEX(Input!$1:$1048576,W$93,$C421*2+MIN($B421,2)+5)-0%,),"Market")</f>
        <v>3.9E-2</v>
      </c>
      <c r="X421" s="476" t="str">
        <f>INDEX(Input!$1:$1048576,X$93,$C421*2+MIN($B421,2)+5)</f>
        <v>Y</v>
      </c>
      <c r="Y421" s="475">
        <f>INDEX(Input!$1:$1048576,Y$93,$C421*2+MIN($B421,2)+5)
++INDEX(Scenarios!Y$121:Y$200,MATCH($B421,Scenarios!$B$121:$B$200,0))</f>
        <v>-2217</v>
      </c>
      <c r="Z421" s="477">
        <f>INDEX(Input!$1:$1048576,Z$93,$C421*2+MIN($B421,2)+5)
+INDEX(Scenarios!Z$121:Z$200,MATCH($B421,Scenarios!$B$121:$B$200,0))</f>
        <v>0</v>
      </c>
      <c r="AA421" s="475">
        <f>INDEX(Input!$1:$1048576,AA$93,$C421*2+MIN($B421,2)+5)</f>
        <v>0</v>
      </c>
      <c r="AB421" s="476">
        <f>INDEX(Input!$1:$1048576,AB$93,$C421*2+MIN($B421,2)+5)</f>
        <v>1</v>
      </c>
      <c r="AC421" s="475">
        <f>INDEX(Input!$1:$1048576,AC$93,$C421*2+MIN($B421,2)+5)
+INDEX(Scenarios!AC$121:AC$200,MATCH($B421,Scenarios!$B$121:$B$200,0))</f>
        <v>0</v>
      </c>
      <c r="AD421" s="476">
        <f>INDEX(Input!$1:$1048576,AD$93,$C421*2+MIN($B421,2)+5)</f>
        <v>0.35</v>
      </c>
      <c r="AE421" s="475">
        <f>INDEX(Input!$1:$1048576,AE$93,$C421*2+MIN($B421,2)+5)
+INDEX(Scenarios!AE$121:AE$200,MATCH($B421,Scenarios!$B$121:$B$200,0))</f>
        <v>0</v>
      </c>
      <c r="AF421" s="476">
        <f>INDEX(Input!$1:$1048576,AF$93,$C421*2+MIN($B421,2)+5)</f>
        <v>1</v>
      </c>
      <c r="AG421" s="475">
        <f>INDEX(Input!$1:$1048576,AG$93,$C421*2+MIN($B421,2)+5)
+INDEX(Scenarios!AG$121:AG$200,MATCH($B421,Scenarios!$B$121:$B$200,0))</f>
        <v>0</v>
      </c>
      <c r="AH421" s="476">
        <f>INDEX(Input!$1:$1048576,AH$93,$C421*2+MIN($B421,2)+5)</f>
        <v>1</v>
      </c>
      <c r="AI421" s="475">
        <f>INDEX(Input!$1:$1048576,AI$93,$C421*2+MIN($B421,2)+5)
+INDEX(Scenarios!AI$121:AI$200,MATCH($B421,Scenarios!$B$121:$B$200,0))</f>
        <v>0</v>
      </c>
      <c r="AJ421" s="476">
        <f>INDEX(Input!$1:$1048576,AJ$93,$C421*2+MIN($B421,2)+5)</f>
        <v>0.35</v>
      </c>
      <c r="AK421" s="150">
        <f>ROUND(INDEX(Input!$1:$1048576,AK$93,$C420*2+MIN($B421,1)+5)+(Y421-VLOOKUP($C421*1000+1,$A:$HH,Y$92,FALSE)),0)</f>
        <v>4592</v>
      </c>
      <c r="AL421" s="150">
        <f>ROUND(INDEX(Input!$1:$1048576,AL$93,$C420*2+MIN($B421,1)+5)-(Y421-VLOOKUP($C421*1000+1,$A:$HH,Y$92,FALSE))/36,0)</f>
        <v>4743</v>
      </c>
      <c r="AM421" s="32" t="str">
        <f t="shared" si="1307"/>
        <v>std/std/std/std</v>
      </c>
      <c r="AN421" s="32" t="str">
        <f t="shared" si="1308"/>
        <v>$0 + 0/0/0/0.9/3.9</v>
      </c>
      <c r="AO421" s="32" t="str">
        <f t="shared" si="1309"/>
        <v>0/0/0/0.9/3.9</v>
      </c>
      <c r="AP421" s="32" t="str">
        <f t="shared" si="1125"/>
        <v>0/0/0.9/3.9</v>
      </c>
      <c r="AQ421" s="536">
        <f t="shared" ref="AQ421:AQ484" si="1379">SUM(IE421,G421*IF421,H421*IG421,AC421*AD421,AE421*AF421,AI421)</f>
        <v>0.42946997773368384</v>
      </c>
      <c r="AR421" s="32"/>
      <c r="AS421" s="302"/>
      <c r="AT421" s="3">
        <f t="shared" si="1330"/>
        <v>21</v>
      </c>
      <c r="AU421" s="41" t="s">
        <v>121</v>
      </c>
      <c r="AV421" s="41" t="s">
        <v>116</v>
      </c>
      <c r="AW421" s="41" t="str">
        <f>INDEX(Input!$1:$1048576,AW$93,$C421*2+6)</f>
        <v>Kia</v>
      </c>
      <c r="AX421" s="41" t="str">
        <f>INDEX(Input!$1:$1048576,AX$93,$C421*2+6)</f>
        <v>Kia-LR - R1</v>
      </c>
      <c r="AY421" s="41" t="str">
        <f>IF(LEN(D421)=0,"",INDEX(Input!$1:$1048576,AY$93,$C421*2+6))</f>
        <v>Compact Conventional/Sporty Car (43)</v>
      </c>
      <c r="AZ421" s="41" t="str">
        <f>INDEX(Input!$1:$1048576,AZ$93,$C421*2+6)</f>
        <v>Kia Forte</v>
      </c>
      <c r="BA421" s="3">
        <f>INDEX(Input!$1:$1048576,BA$93,$C421*2+6)</f>
        <v>2020</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19695</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1126"/>
        <v>1560</v>
      </c>
      <c r="CJ421" s="16" t="str">
        <f>INDEX(Input!$1:$1048576,CJ$93,$C421*2+6)</f>
        <v>N</v>
      </c>
      <c r="CK421" s="1" t="str">
        <f t="shared" si="1127"/>
        <v>Market</v>
      </c>
      <c r="CL421" s="1" t="str">
        <f t="shared" si="1128"/>
        <v>Market</v>
      </c>
      <c r="CM421" s="1" t="str">
        <f t="shared" si="1129"/>
        <v>Market</v>
      </c>
      <c r="CN421" s="1" t="str">
        <f t="shared" si="1130"/>
        <v>Market</v>
      </c>
      <c r="CO421" s="1" t="str">
        <f t="shared" si="1131"/>
        <v>Market</v>
      </c>
      <c r="CP421" s="304">
        <f t="shared" si="1132"/>
        <v>0</v>
      </c>
      <c r="CQ421" s="1">
        <f t="shared" si="1133"/>
        <v>0</v>
      </c>
      <c r="CR421" s="1">
        <f t="shared" si="1134"/>
        <v>0</v>
      </c>
      <c r="CS421" s="1">
        <f t="shared" si="1135"/>
        <v>0</v>
      </c>
      <c r="CT421" s="1">
        <f t="shared" si="1136"/>
        <v>8.9999999999999959E-3</v>
      </c>
      <c r="CU421" s="1">
        <f t="shared" si="1137"/>
        <v>3.9E-2</v>
      </c>
      <c r="CV421" s="304">
        <f t="shared" si="1138"/>
        <v>-2217</v>
      </c>
      <c r="CW421" s="20" t="s">
        <v>122</v>
      </c>
      <c r="CX421" s="20" t="s">
        <v>122</v>
      </c>
      <c r="CY421" s="20" t="s">
        <v>122</v>
      </c>
      <c r="CZ421" s="20" t="s">
        <v>122</v>
      </c>
      <c r="DA421" s="20" t="s">
        <v>122</v>
      </c>
      <c r="DB421" s="503">
        <f t="shared" si="1139"/>
        <v>0</v>
      </c>
      <c r="DC421" s="127">
        <v>0</v>
      </c>
      <c r="DD421" s="127">
        <v>0</v>
      </c>
      <c r="DE421" s="127">
        <v>0</v>
      </c>
      <c r="DF421" s="127">
        <v>0</v>
      </c>
      <c r="DG421" s="127">
        <v>0</v>
      </c>
      <c r="DH421" s="127">
        <v>0</v>
      </c>
      <c r="DI421" s="127">
        <v>0</v>
      </c>
      <c r="DJ421" s="127">
        <v>0</v>
      </c>
      <c r="DK421" s="127">
        <v>0</v>
      </c>
      <c r="DL421" s="127">
        <v>0</v>
      </c>
      <c r="DM421" s="304">
        <f>INDEX(Input!$1:$1048576,DM$93,$C421*2+6)</f>
        <v>20731.578947368424</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4.5084033758658847E-2</v>
      </c>
      <c r="DZ421" s="7">
        <v>0</v>
      </c>
      <c r="EA421" s="7">
        <v>0.81346366560655381</v>
      </c>
      <c r="EB421" s="7">
        <v>0</v>
      </c>
      <c r="EC421" s="7">
        <v>0</v>
      </c>
      <c r="ED421" s="7">
        <v>0</v>
      </c>
      <c r="EE421" s="7">
        <v>0</v>
      </c>
      <c r="EF421" s="7">
        <v>0</v>
      </c>
      <c r="EG421" s="7">
        <v>0</v>
      </c>
      <c r="EH421" s="7">
        <v>8.4480712580485597E-3</v>
      </c>
      <c r="EI421" s="7">
        <v>1.3562757720925507E-2</v>
      </c>
      <c r="EJ421" s="7">
        <v>0.12734499912892017</v>
      </c>
      <c r="EK421" s="7">
        <v>0.81047300981329196</v>
      </c>
      <c r="EL421" s="7">
        <v>4.017116207881391E-2</v>
      </c>
      <c r="EM421" s="7">
        <v>4.4692885859303227E-2</v>
      </c>
      <c r="EN421" s="7">
        <v>4.6955874240799785E-2</v>
      </c>
      <c r="EO421" s="7">
        <v>0.57081628048286404</v>
      </c>
      <c r="EP421" s="7">
        <v>0.26933137073864982</v>
      </c>
      <c r="EQ421" s="7">
        <v>6.7915212375147319E-2</v>
      </c>
      <c r="ER421" s="7">
        <v>4.4981262162539094E-2</v>
      </c>
      <c r="ES421" s="7">
        <v>9.6759414775484234E-2</v>
      </c>
      <c r="ET421" s="7">
        <v>0.14145230063478736</v>
      </c>
      <c r="EU421" s="6">
        <v>1599.9999999999998</v>
      </c>
      <c r="EV421" s="6">
        <v>0</v>
      </c>
      <c r="EW421" s="6">
        <v>1599.9999999999998</v>
      </c>
      <c r="EX421" s="6">
        <v>0</v>
      </c>
      <c r="EY421" s="6">
        <v>2978.2659782972496</v>
      </c>
      <c r="EZ421" s="6">
        <v>-246</v>
      </c>
      <c r="FA421" s="6">
        <v>0</v>
      </c>
      <c r="FB421" s="6">
        <v>0</v>
      </c>
      <c r="FC421" s="6">
        <v>0</v>
      </c>
      <c r="FD421" s="6">
        <v>0</v>
      </c>
      <c r="FE421" s="6">
        <v>0</v>
      </c>
      <c r="FF421" s="6">
        <v>0</v>
      </c>
      <c r="FG421" s="6">
        <v>0</v>
      </c>
      <c r="FH421" s="6">
        <v>1153.2511552877995</v>
      </c>
      <c r="FI421" s="6">
        <v>1531.4299904380609</v>
      </c>
      <c r="FJ421" s="6">
        <v>2070.7205842538219</v>
      </c>
      <c r="FK421" s="6">
        <v>2218.6393698501006</v>
      </c>
      <c r="FL421" s="6">
        <v>893.91433563489409</v>
      </c>
      <c r="FM421" s="6">
        <v>2128.2659782972496</v>
      </c>
      <c r="FN421" s="6">
        <v>0</v>
      </c>
      <c r="FO421" s="6">
        <v>0</v>
      </c>
      <c r="FP421" s="6">
        <v>0</v>
      </c>
      <c r="FQ421" s="6">
        <v>0</v>
      </c>
      <c r="FR421" s="6">
        <v>0</v>
      </c>
      <c r="FS421" s="6">
        <v>0</v>
      </c>
      <c r="FT421" s="7">
        <v>0.85854769936521269</v>
      </c>
      <c r="FU421" s="7">
        <v>4.4692885859303227E-2</v>
      </c>
      <c r="FV421" s="7">
        <v>9.6759414775484234E-2</v>
      </c>
      <c r="FW421" s="6">
        <v>1599.9999999999998</v>
      </c>
      <c r="FX421" s="6">
        <v>2978.2659782972496</v>
      </c>
      <c r="FY421" s="6">
        <v>-246</v>
      </c>
      <c r="FZ421" s="6">
        <v>1695.8504614767719</v>
      </c>
      <c r="GA421" s="6">
        <v>1482.9808043762559</v>
      </c>
      <c r="GB421" s="6">
        <v>18212.019195623743</v>
      </c>
      <c r="GC421" s="7">
        <v>8.1891069685915169E-2</v>
      </c>
      <c r="GD421" s="7">
        <v>8.0202918198098272E-2</v>
      </c>
      <c r="GE421" s="7"/>
      <c r="GF421" s="7"/>
      <c r="GG421" s="7">
        <v>-2.0614598078784772E-2</v>
      </c>
      <c r="GH421" s="42">
        <v>1.9072916013105279</v>
      </c>
      <c r="GI421" s="6">
        <v>11809.141726212883</v>
      </c>
      <c r="GJ421" s="14">
        <v>0.51074630601039539</v>
      </c>
      <c r="GK421" s="14">
        <v>0.50829519786160959</v>
      </c>
      <c r="GL421" s="14">
        <v>0.48925369398960411</v>
      </c>
      <c r="GM421" s="14">
        <v>0.49170480213839007</v>
      </c>
      <c r="GO421" s="5">
        <v>338.16872463277008</v>
      </c>
      <c r="GP421" s="5">
        <v>307.64377699166363</v>
      </c>
      <c r="GQ421" s="5">
        <v>527.27910984145694</v>
      </c>
      <c r="GR421" s="5">
        <v>404.20319246551543</v>
      </c>
      <c r="GS421" s="5">
        <v>334.50205195691484</v>
      </c>
      <c r="GT421" s="5">
        <v>289.18266033348181</v>
      </c>
      <c r="GU421" s="5">
        <v>254.29573314828914</v>
      </c>
      <c r="GV421" s="39" t="s">
        <v>392</v>
      </c>
      <c r="GW421" s="5">
        <v>468.76388888888891</v>
      </c>
      <c r="GX421" s="5">
        <v>351.57291666666669</v>
      </c>
      <c r="GY421" s="5">
        <v>281.25833333333333</v>
      </c>
      <c r="GZ421" s="5">
        <v>240.85506989150105</v>
      </c>
      <c r="HA421" s="5">
        <v>229.89195052129477</v>
      </c>
      <c r="HB421" s="39">
        <v>248.98685146861854</v>
      </c>
      <c r="HC421" s="5">
        <v>293.87812499999995</v>
      </c>
      <c r="HD421" s="5">
        <v>243.67143640350872</v>
      </c>
      <c r="HE421" s="5">
        <v>244.28647520242913</v>
      </c>
      <c r="HF421" s="5">
        <v>223.39192434210526</v>
      </c>
      <c r="HG421" s="5">
        <v>212.2899342105263</v>
      </c>
      <c r="HH421" s="39">
        <v>243.40571765635187</v>
      </c>
      <c r="HI421" s="16"/>
      <c r="HJ421" s="19" t="str">
        <f t="shared" ref="HJ421:HK434" si="1380">HJ420</f>
        <v>On</v>
      </c>
      <c r="HK421" s="1" t="str">
        <f t="shared" si="1380"/>
        <v>On</v>
      </c>
      <c r="HL421" s="16"/>
      <c r="HM421" s="639">
        <f t="shared" si="1278"/>
        <v>6.6115095157691428E-2</v>
      </c>
      <c r="HN421" s="639">
        <f t="shared" si="1279"/>
        <v>2.3720927871164412E-3</v>
      </c>
      <c r="HO421" s="639">
        <f t="shared" si="1280"/>
        <v>7.7231033444443466E-3</v>
      </c>
      <c r="HP421" s="644">
        <f>(FT421*$GD421-HM421)/$JF421*INDEX(Input!$1:$1048576,$JG$93,$C421*2+6)</f>
        <v>66.908516700383331</v>
      </c>
      <c r="HQ421" s="644">
        <f>(FU421*$GD421-HN421)/$JF421*INDEX(Input!$1:$1048576,$JG$93,$C421*2+6)</f>
        <v>29.574283556315091</v>
      </c>
      <c r="HR421" s="644">
        <f>(FV421*$GD421-HO421)/$JF421*INDEX(Input!$1:$1048576,$JG$93,$C421*2+6)</f>
        <v>0.90947181025778778</v>
      </c>
      <c r="HS421" s="644">
        <f t="shared" ref="HS421:HS432" si="1381">IF(AND(HJ421="On",HK421="On"),IL421/1000*INDEX(KG:KG,MATCH(C421*1000+3,$KF:$KF,0))*SUM(HY421:IA421)*1.1
+INDEX(HR:HR,MATCH(C421*1000+4,$KF:$KF,0))/INDEX(IM:IM,MATCH(C421*1000+4,$KF:$KF,0))*IM421*20%,0)</f>
        <v>-21.154389932040019</v>
      </c>
      <c r="HT421" s="644">
        <f t="shared" si="1282"/>
        <v>127.46002809626009</v>
      </c>
      <c r="HU421" s="644">
        <f t="shared" si="1283"/>
        <v>9.0513921614670636</v>
      </c>
      <c r="HV421" s="648">
        <f t="shared" si="1284"/>
        <v>0</v>
      </c>
      <c r="HW421" s="648">
        <f t="shared" si="1285"/>
        <v>0</v>
      </c>
      <c r="HX421" s="648">
        <f t="shared" si="1286"/>
        <v>0</v>
      </c>
      <c r="HY421" s="644">
        <f>INDEX(Input!$1:$1048576,HY$93,$C421*2+6)*INDEX(Input!$1:$1048576,$JG$93,$C421*2+6)</f>
        <v>844</v>
      </c>
      <c r="HZ421" s="644">
        <f>INDEX(Input!$1:$1048576,HZ$93,$C421*2+6)*INDEX(Input!$1:$1048576,$JG$93,$C421*2+6)</f>
        <v>865</v>
      </c>
      <c r="IA421" s="644">
        <f>INDEX(Input!$1:$1048576,IA$93,$C421*2+6)*INDEX(Input!$1:$1048576,$JG$93,$C421*2+6)</f>
        <v>150</v>
      </c>
      <c r="IB421" s="644">
        <f t="shared" si="1310"/>
        <v>889.75412676834367</v>
      </c>
      <c r="IC421" s="644">
        <f t="shared" si="1311"/>
        <v>1022.0343116525752</v>
      </c>
      <c r="ID421" s="644">
        <f>IF(AND(INDEX(Input!$1:$1048576,IA$93,$C421*2+7)="TOS",Y421&lt;=INDEX(Y:Y,MATCH(C421*1000+2,A:A))),0,1)*MAX(IA421+HR421+HU421+HX421,0%)</f>
        <v>159.96086397172485</v>
      </c>
      <c r="IE421" s="128">
        <f t="shared" ref="IE421:IE432" si="1382">IB421/SUM($IB421:$ID421)</f>
        <v>0.42946997773368384</v>
      </c>
      <c r="IF421" s="128">
        <f t="shared" ref="IF421:IF461" si="1383">IC421/SUM($IB421:$ID421)</f>
        <v>0.49331949115283275</v>
      </c>
      <c r="IG421" s="128">
        <f t="shared" si="1288"/>
        <v>7.7210531113483458E-2</v>
      </c>
      <c r="IH421" s="21"/>
      <c r="II421" s="19">
        <f t="shared" si="1289"/>
        <v>1199.9999999999998</v>
      </c>
      <c r="IJ421" s="19">
        <f t="shared" si="1290"/>
        <v>2195.4782357510435</v>
      </c>
      <c r="IK421" s="19">
        <f t="shared" si="1291"/>
        <v>-571</v>
      </c>
      <c r="IL421" s="19">
        <f t="shared" si="1313"/>
        <v>400</v>
      </c>
      <c r="IM421" s="19">
        <f t="shared" si="1292"/>
        <v>782.78774254620612</v>
      </c>
      <c r="IN421" s="19">
        <f t="shared" si="1293"/>
        <v>325</v>
      </c>
      <c r="IO421" s="39">
        <f t="shared" si="1294"/>
        <v>0</v>
      </c>
      <c r="IP421" s="39">
        <f t="shared" si="1295"/>
        <v>0</v>
      </c>
      <c r="IQ421" s="39">
        <f t="shared" si="1296"/>
        <v>0</v>
      </c>
      <c r="IR421" s="39">
        <v>0</v>
      </c>
      <c r="IS421" s="39">
        <v>0</v>
      </c>
      <c r="IT421" s="39">
        <v>0</v>
      </c>
      <c r="IU421" s="39">
        <v>0</v>
      </c>
      <c r="IV421" s="39">
        <v>0</v>
      </c>
      <c r="IW421" s="39">
        <v>0</v>
      </c>
      <c r="IX421" s="39">
        <f>INDEX(Input!$1:$1048576,IX$93,$C421*2+6)+INDEX(Input!$1:$1048576,IX$94,$C421*2+6)</f>
        <v>1600</v>
      </c>
      <c r="IY421" s="39">
        <f>INDEX(Input!$1:$1048576,IY$93,$C421*2+6)+INDEX(Input!$1:$1048576,IY$94,$C421*2+6)</f>
        <v>2503.549291639752</v>
      </c>
      <c r="IZ421" s="39">
        <f>INDEX(Input!$1:$1048576,IZ$93,$C421*2+6)+INDEX(Input!$1:$1048576,IZ$94,$C421*2+6)</f>
        <v>5413.7109265464023</v>
      </c>
      <c r="JA421" s="19">
        <f t="shared" si="1314"/>
        <v>2000</v>
      </c>
      <c r="JB421" s="19">
        <f t="shared" si="1315"/>
        <v>3286.3370341859581</v>
      </c>
      <c r="JC421" s="19">
        <f t="shared" si="1316"/>
        <v>5738.7109265464023</v>
      </c>
      <c r="JD421" s="19">
        <f t="shared" si="1317"/>
        <v>2923.2429874740924</v>
      </c>
      <c r="JE421" s="21"/>
      <c r="JF421" s="1">
        <f t="shared" si="1297"/>
        <v>7.6210291289252219E-2</v>
      </c>
      <c r="JG421" s="15">
        <f>INDEX(Input!$1:$1048576,JG$93,$C421*2+6)/(1+VLOOKUP(C421*1000+INDEX(Input!$1:$1048576,JG$93+1,$C421*2+6),$A:$KK,$JK$92,FALSE))</f>
        <v>1859</v>
      </c>
      <c r="JH421" s="1">
        <f t="shared" si="1318"/>
        <v>5.238960304838957E-2</v>
      </c>
      <c r="JI421" s="1">
        <f t="shared" si="1319"/>
        <v>6.2053270750773069E-2</v>
      </c>
      <c r="JJ421" s="1">
        <f t="shared" ref="JJ421:JJ461" si="1384">SUM(HV421:HX421)/SUM(HY421:IA421)</f>
        <v>0</v>
      </c>
      <c r="JK421" s="1">
        <f t="shared" ref="JK421:JK461" si="1385">SUM(JH421:JJ421)</f>
        <v>0.11444287379916264</v>
      </c>
      <c r="JL421" s="15">
        <f t="shared" si="1322"/>
        <v>212.74930239264336</v>
      </c>
      <c r="JM421" s="15">
        <f t="shared" si="1348"/>
        <v>2071.7493023926436</v>
      </c>
      <c r="JN421" s="21"/>
      <c r="JO421" s="19">
        <f>INDEX(Input!$1:$1048576,JO$93,$C421*2+6)</f>
        <v>5908.5</v>
      </c>
      <c r="JP421" s="19">
        <f>INDEX(Input!$1:$1048576,JP$93,$C421*2+6)</f>
        <v>2328.1478086338602</v>
      </c>
      <c r="JQ421" s="39">
        <f t="shared" si="1334"/>
        <v>2985.2570125259076</v>
      </c>
      <c r="JR421" s="39">
        <f t="shared" si="1351"/>
        <v>595.09517884023217</v>
      </c>
      <c r="JS421" s="39">
        <f t="shared" si="1336"/>
        <v>6.0562266200236383</v>
      </c>
      <c r="JT421" s="39">
        <f t="shared" si="1324"/>
        <v>1.7281998437732915</v>
      </c>
      <c r="JU421" s="385">
        <f>(JQ421*JM421-INDEX(Input!$1:$1048576,Input!A$18,$C421*2+6)*JL421*INDEX(Input!$1:$1048576,Input!A$19,$C421*2+6))/1000000</f>
        <v>6.1847041331632964</v>
      </c>
      <c r="JV421" s="39">
        <f t="shared" si="1358"/>
        <v>-0.47117059058635746</v>
      </c>
      <c r="JW421" s="1">
        <f t="shared" si="1349"/>
        <v>-7.0790183130267623E-2</v>
      </c>
      <c r="JX421" s="19">
        <f t="shared" si="1340"/>
        <v>8123.1751377674591</v>
      </c>
      <c r="JZ421" s="341"/>
      <c r="KA421" s="342"/>
      <c r="KB421" s="469">
        <f t="shared" si="1337"/>
        <v>2.3451977905499271</v>
      </c>
      <c r="KI421" s="473">
        <f t="shared" si="1364"/>
        <v>45.754126768343667</v>
      </c>
      <c r="KJ421" s="473">
        <f t="shared" si="1365"/>
        <v>157.03431165257518</v>
      </c>
      <c r="KK421" s="473">
        <f t="shared" si="1326"/>
        <v>9.9608639717248479</v>
      </c>
      <c r="KN421" s="544">
        <f t="shared" si="1341"/>
        <v>4002</v>
      </c>
      <c r="KO421" s="541">
        <f t="shared" si="1301"/>
        <v>3.7098553308665405E-2</v>
      </c>
      <c r="KP421" s="546">
        <f t="shared" si="1302"/>
        <v>188.78689536434555</v>
      </c>
      <c r="KQ421" s="546">
        <f t="shared" si="1303"/>
        <v>199.49942587609667</v>
      </c>
      <c r="KR421" s="548">
        <f t="shared" si="1304"/>
        <v>3.3350252435688725</v>
      </c>
      <c r="KS421" s="548">
        <f t="shared" si="1305"/>
        <v>3.1559442285619395</v>
      </c>
      <c r="KT421" s="473">
        <f t="shared" si="1339"/>
        <v>1050.27685337919</v>
      </c>
      <c r="KU421" s="663">
        <f t="shared" si="1327"/>
        <v>6.5526251368040711</v>
      </c>
      <c r="KV421" s="117"/>
    </row>
    <row r="422" spans="1:308" s="26" customFormat="1" ht="15">
      <c r="A422" s="561">
        <f t="shared" si="1306"/>
        <v>4022</v>
      </c>
      <c r="B422" s="561">
        <f t="shared" si="1328"/>
        <v>22</v>
      </c>
      <c r="C422" s="561">
        <f t="shared" si="1329"/>
        <v>4</v>
      </c>
      <c r="D422" s="561" t="str">
        <f t="shared" si="1378"/>
        <v xml:space="preserve">0/1.9/2.9/3.9, </v>
      </c>
      <c r="E422" s="475">
        <f>INDEX(Input!$1:$1048576,E$93,$C422*2+MIN($B422,2)+5)
+INDEX(Scenarios!E$121:E$200,MATCH($B422,Scenarios!$B$121:$B$200,0))</f>
        <v>1250</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2.8999999999999998E-2</v>
      </c>
      <c r="W422" s="863">
        <f>IFERROR(MAX(0,INDEX(Input!$1:$1048576,W$93,$C422*2+MIN($B422,2)+5)-0%,),"Market")</f>
        <v>3.9E-2</v>
      </c>
      <c r="X422" s="476" t="str">
        <f>INDEX(Input!$1:$1048576,X$93,$C422*2+MIN($B422,2)+5)</f>
        <v>Y</v>
      </c>
      <c r="Y422" s="475">
        <f>INDEX(Input!$1:$1048576,Y$93,$C422*2+MIN($B422,2)+5)
++INDEX(Scenarios!Y$121:Y$200,MATCH($B422,Scenarios!$B$121:$B$200,0))</f>
        <v>-2217</v>
      </c>
      <c r="Z422" s="477">
        <f>INDEX(Input!$1:$1048576,Z$93,$C422*2+MIN($B422,2)+5)
+INDEX(Scenarios!Z$121:Z$200,MATCH($B422,Scenarios!$B$121:$B$200,0))</f>
        <v>0</v>
      </c>
      <c r="AA422" s="475">
        <f>INDEX(Input!$1:$1048576,AA$93,$C422*2+MIN($B422,2)+5)</f>
        <v>0</v>
      </c>
      <c r="AB422" s="476">
        <f>INDEX(Input!$1:$1048576,AB$93,$C422*2+MIN($B422,2)+5)</f>
        <v>1</v>
      </c>
      <c r="AC422" s="475">
        <f>INDEX(Input!$1:$1048576,AC$93,$C422*2+MIN($B422,2)+5)
+INDEX(Scenarios!AC$121:AC$200,MATCH($B422,Scenarios!$B$121:$B$200,0))</f>
        <v>0</v>
      </c>
      <c r="AD422" s="476">
        <f>INDEX(Input!$1:$1048576,AD$93,$C422*2+MIN($B422,2)+5)</f>
        <v>0.35</v>
      </c>
      <c r="AE422" s="475">
        <f>INDEX(Input!$1:$1048576,AE$93,$C422*2+MIN($B422,2)+5)
+INDEX(Scenarios!AE$121:AE$200,MATCH($B422,Scenarios!$B$121:$B$200,0))</f>
        <v>0</v>
      </c>
      <c r="AF422" s="476">
        <f>INDEX(Input!$1:$1048576,AF$93,$C422*2+MIN($B422,2)+5)</f>
        <v>1</v>
      </c>
      <c r="AG422" s="475">
        <f>INDEX(Input!$1:$1048576,AG$93,$C422*2+MIN($B422,2)+5)
+INDEX(Scenarios!AG$121:AG$200,MATCH($B422,Scenarios!$B$121:$B$200,0))</f>
        <v>0</v>
      </c>
      <c r="AH422" s="476">
        <f>INDEX(Input!$1:$1048576,AH$93,$C422*2+MIN($B422,2)+5)</f>
        <v>1</v>
      </c>
      <c r="AI422" s="475">
        <f>INDEX(Input!$1:$1048576,AI$93,$C422*2+MIN($B422,2)+5)
+INDEX(Scenarios!AI$121:AI$200,MATCH($B422,Scenarios!$B$121:$B$200,0))</f>
        <v>0</v>
      </c>
      <c r="AJ422" s="476">
        <f>INDEX(Input!$1:$1048576,AJ$93,$C422*2+MIN($B422,2)+5)</f>
        <v>0.35</v>
      </c>
      <c r="AK422" s="150">
        <f>ROUND(INDEX(Input!$1:$1048576,AK$93,$C421*2+MIN($B422,1)+5)+(Y422-VLOOKUP($C422*1000+1,$A:$HH,Y$92,FALSE)),0)</f>
        <v>4592</v>
      </c>
      <c r="AL422" s="150">
        <f>ROUND(INDEX(Input!$1:$1048576,AL$93,$C421*2+MIN($B422,1)+5)-(Y422-VLOOKUP($C422*1000+1,$A:$HH,Y$92,FALSE))/36,0)</f>
        <v>4743</v>
      </c>
      <c r="AM422" s="32" t="str">
        <f t="shared" si="1307"/>
        <v>std/std/std/std</v>
      </c>
      <c r="AN422" s="32" t="str">
        <f t="shared" si="1308"/>
        <v>$0 + 0/0/0/2.9/3.9</v>
      </c>
      <c r="AO422" s="32" t="str">
        <f t="shared" si="1309"/>
        <v>0/0/0/2.9/3.9</v>
      </c>
      <c r="AP422" s="32" t="str">
        <f t="shared" ref="AP422:AP485" si="1386">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0/1.9/2.9/3.9</v>
      </c>
      <c r="AQ422" s="536">
        <f t="shared" si="1379"/>
        <v>0.47032862038857692</v>
      </c>
      <c r="AR422" s="32"/>
      <c r="AS422" s="302"/>
      <c r="AT422" s="3">
        <f t="shared" si="1330"/>
        <v>22</v>
      </c>
      <c r="AU422" s="41" t="s">
        <v>121</v>
      </c>
      <c r="AV422" s="41" t="s">
        <v>116</v>
      </c>
      <c r="AW422" s="41" t="str">
        <f>INDEX(Input!$1:$1048576,AW$93,$C422*2+6)</f>
        <v>Kia</v>
      </c>
      <c r="AX422" s="41" t="str">
        <f>INDEX(Input!$1:$1048576,AX$93,$C422*2+6)</f>
        <v>Kia-LR - R1</v>
      </c>
      <c r="AY422" s="41" t="str">
        <f>IF(LEN(D422)=0,"",INDEX(Input!$1:$1048576,AY$93,$C422*2+6))</f>
        <v>Compact Conventional/Sporty Car (43)</v>
      </c>
      <c r="AZ422" s="41" t="str">
        <f>INDEX(Input!$1:$1048576,AZ$93,$C422*2+6)</f>
        <v>Kia Forte</v>
      </c>
      <c r="BA422" s="3">
        <f>INDEX(Input!$1:$1048576,BA$93,$C422*2+6)</f>
        <v>2020</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19695</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387">E422+F422*I422+AA338*AB338+AC422*AD422</f>
        <v>1560</v>
      </c>
      <c r="CJ422" s="16" t="str">
        <f>INDEX(Input!$1:$1048576,CJ$93,$C422*2+6)</f>
        <v>N</v>
      </c>
      <c r="CK422" s="1" t="str">
        <f t="shared" ref="CK422:CK485" si="1388">K422</f>
        <v>Market</v>
      </c>
      <c r="CL422" s="1" t="str">
        <f t="shared" ref="CL422:CL485" si="1389">L422</f>
        <v>Market</v>
      </c>
      <c r="CM422" s="1" t="str">
        <f t="shared" ref="CM422:CM485" si="1390">M422</f>
        <v>Market</v>
      </c>
      <c r="CN422" s="1" t="str">
        <f t="shared" ref="CN422:CN485" si="1391">N422</f>
        <v>Market</v>
      </c>
      <c r="CO422" s="1" t="str">
        <f t="shared" ref="CO422:CO485" si="1392">O422</f>
        <v>Market</v>
      </c>
      <c r="CP422" s="304">
        <f t="shared" ref="CP422:CP485" si="1393">Q422+G422*I422+AA422*AB422+AC422*AD422</f>
        <v>0</v>
      </c>
      <c r="CQ422" s="1">
        <f t="shared" ref="CQ422:CQ485" si="1394">S422</f>
        <v>0</v>
      </c>
      <c r="CR422" s="1">
        <f t="shared" ref="CR422:CR485" si="1395">T422</f>
        <v>0</v>
      </c>
      <c r="CS422" s="1">
        <f t="shared" ref="CS422:CS485" si="1396">U422</f>
        <v>0</v>
      </c>
      <c r="CT422" s="1">
        <f t="shared" ref="CT422:CT485" si="1397">V422</f>
        <v>2.8999999999999998E-2</v>
      </c>
      <c r="CU422" s="1">
        <f t="shared" ref="CU422:CU485" si="1398">W422</f>
        <v>3.9E-2</v>
      </c>
      <c r="CV422" s="304">
        <f t="shared" ref="CV422:CV485" si="1399">Y422+H422*I422+AE422*AF422+AI422*AJ422</f>
        <v>-2217</v>
      </c>
      <c r="CW422" s="20" t="s">
        <v>122</v>
      </c>
      <c r="CX422" s="20" t="s">
        <v>122</v>
      </c>
      <c r="CY422" s="20" t="s">
        <v>122</v>
      </c>
      <c r="CZ422" s="20" t="s">
        <v>122</v>
      </c>
      <c r="DA422" s="20" t="s">
        <v>122</v>
      </c>
      <c r="DB422" s="503">
        <f t="shared" ref="DB422:DB485" si="1400">Z422+AG422*AH422</f>
        <v>0</v>
      </c>
      <c r="DC422" s="127">
        <v>0</v>
      </c>
      <c r="DD422" s="127">
        <v>0</v>
      </c>
      <c r="DE422" s="127">
        <v>0</v>
      </c>
      <c r="DF422" s="127">
        <v>0</v>
      </c>
      <c r="DG422" s="127">
        <v>0</v>
      </c>
      <c r="DH422" s="127">
        <v>0</v>
      </c>
      <c r="DI422" s="127">
        <v>0</v>
      </c>
      <c r="DJ422" s="127">
        <v>0</v>
      </c>
      <c r="DK422" s="127">
        <v>0</v>
      </c>
      <c r="DL422" s="127">
        <v>0</v>
      </c>
      <c r="DM422" s="304">
        <f>INDEX(Input!$1:$1048576,DM$93,$C422*2+6)</f>
        <v>20731.578947368424</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4.6134023688991443E-2</v>
      </c>
      <c r="DZ422" s="7">
        <v>0</v>
      </c>
      <c r="EA422" s="7">
        <v>0.83232251547960456</v>
      </c>
      <c r="EB422" s="7">
        <v>0</v>
      </c>
      <c r="EC422" s="7">
        <v>0</v>
      </c>
      <c r="ED422" s="7">
        <v>0</v>
      </c>
      <c r="EE422" s="7">
        <v>0</v>
      </c>
      <c r="EF422" s="7">
        <v>0</v>
      </c>
      <c r="EG422" s="7">
        <v>0</v>
      </c>
      <c r="EH422" s="7">
        <v>1.7114378448017168E-2</v>
      </c>
      <c r="EI422" s="7">
        <v>2.7470517446028093E-2</v>
      </c>
      <c r="EJ422" s="7">
        <v>0.25803440766971736</v>
      </c>
      <c r="EK422" s="7">
        <v>0.61601821276601976</v>
      </c>
      <c r="EL422" s="7">
        <v>8.1362483670217145E-2</v>
      </c>
      <c r="EM422" s="7">
        <v>2.2580111790497986E-2</v>
      </c>
      <c r="EN422" s="7">
        <v>4.6959748910146468E-2</v>
      </c>
      <c r="EO422" s="7">
        <v>0.57083100830611777</v>
      </c>
      <c r="EP422" s="7">
        <v>0.26931488579433532</v>
      </c>
      <c r="EQ422" s="7">
        <v>6.7916968820164861E-2</v>
      </c>
      <c r="ER422" s="7">
        <v>4.4977388169235549E-2</v>
      </c>
      <c r="ES422" s="7">
        <v>9.8963349040906048E-2</v>
      </c>
      <c r="ET422" s="7">
        <v>0.12154346083140405</v>
      </c>
      <c r="EU422" s="6">
        <v>1599.9999999999998</v>
      </c>
      <c r="EV422" s="6">
        <v>0</v>
      </c>
      <c r="EW422" s="6">
        <v>1599.9999999999998</v>
      </c>
      <c r="EX422" s="6">
        <v>0</v>
      </c>
      <c r="EY422" s="6">
        <v>2298.9324446792034</v>
      </c>
      <c r="EZ422" s="6">
        <v>-246</v>
      </c>
      <c r="FA422" s="6">
        <v>0</v>
      </c>
      <c r="FB422" s="6">
        <v>0</v>
      </c>
      <c r="FC422" s="6">
        <v>0</v>
      </c>
      <c r="FD422" s="6">
        <v>0</v>
      </c>
      <c r="FE422" s="6">
        <v>0</v>
      </c>
      <c r="FF422" s="6">
        <v>0</v>
      </c>
      <c r="FG422" s="6">
        <v>0</v>
      </c>
      <c r="FH422" s="6">
        <v>1153.2504329091719</v>
      </c>
      <c r="FI422" s="6">
        <v>1531.4299904380616</v>
      </c>
      <c r="FJ422" s="6">
        <v>2070.7205842538242</v>
      </c>
      <c r="FK422" s="6">
        <v>1266.3227157028184</v>
      </c>
      <c r="FL422" s="6">
        <v>893.91433563489443</v>
      </c>
      <c r="FM422" s="6">
        <v>1448.9324446792032</v>
      </c>
      <c r="FN422" s="6">
        <v>0</v>
      </c>
      <c r="FO422" s="6">
        <v>0</v>
      </c>
      <c r="FP422" s="6">
        <v>0</v>
      </c>
      <c r="FQ422" s="6">
        <v>0</v>
      </c>
      <c r="FR422" s="6">
        <v>0</v>
      </c>
      <c r="FS422" s="6">
        <v>0</v>
      </c>
      <c r="FT422" s="7">
        <v>0.87845653916859601</v>
      </c>
      <c r="FU422" s="7">
        <v>2.2580111790497986E-2</v>
      </c>
      <c r="FV422" s="7">
        <v>9.8963349040906048E-2</v>
      </c>
      <c r="FW422" s="6">
        <v>1599.9999999999998</v>
      </c>
      <c r="FX422" s="6">
        <v>2298.9324446792034</v>
      </c>
      <c r="FY422" s="6">
        <v>-246</v>
      </c>
      <c r="FZ422" s="6">
        <v>1695.8504614767719</v>
      </c>
      <c r="GA422" s="6">
        <v>1433.0956304053498</v>
      </c>
      <c r="GB422" s="6">
        <v>18261.904369594649</v>
      </c>
      <c r="GC422" s="7">
        <v>8.1891069685915169E-2</v>
      </c>
      <c r="GD422" s="7">
        <v>7.9470726899055627E-2</v>
      </c>
      <c r="GE422" s="7"/>
      <c r="GF422" s="7"/>
      <c r="GG422" s="7">
        <v>-2.9555637704361652E-2</v>
      </c>
      <c r="GH422" s="42">
        <v>2.2153666298496204</v>
      </c>
      <c r="GI422" s="6">
        <v>10323.27197170778</v>
      </c>
      <c r="GJ422" s="14">
        <v>0.51074630601039539</v>
      </c>
      <c r="GK422" s="14">
        <v>0.50829519786160982</v>
      </c>
      <c r="GL422" s="14">
        <v>0.48925369398960433</v>
      </c>
      <c r="GM422" s="14">
        <v>0.49170480213839013</v>
      </c>
      <c r="GO422" s="5">
        <v>338.16872463277008</v>
      </c>
      <c r="GP422" s="5">
        <v>307.64377699166363</v>
      </c>
      <c r="GQ422" s="5">
        <v>527.27910984145694</v>
      </c>
      <c r="GR422" s="5">
        <v>404.20319246551543</v>
      </c>
      <c r="GS422" s="5">
        <v>334.50205195691484</v>
      </c>
      <c r="GT422" s="5">
        <v>289.18266033348181</v>
      </c>
      <c r="GU422" s="5">
        <v>254.29573314828914</v>
      </c>
      <c r="GV422" s="39" t="s">
        <v>392</v>
      </c>
      <c r="GW422" s="5">
        <v>468.76388888888891</v>
      </c>
      <c r="GX422" s="5">
        <v>351.57291666666669</v>
      </c>
      <c r="GY422" s="5">
        <v>281.25833333333333</v>
      </c>
      <c r="GZ422" s="5">
        <v>255.64660634518972</v>
      </c>
      <c r="HA422" s="5">
        <v>229.89195052129477</v>
      </c>
      <c r="HB422" s="39">
        <v>266.44236559255512</v>
      </c>
      <c r="HC422" s="5">
        <v>293.87812499999995</v>
      </c>
      <c r="HD422" s="5">
        <v>243.67143640350872</v>
      </c>
      <c r="HE422" s="5">
        <v>244.28647520242913</v>
      </c>
      <c r="HF422" s="5">
        <v>223.39192434210526</v>
      </c>
      <c r="HG422" s="5">
        <v>212.2899342105263</v>
      </c>
      <c r="HH422" s="39">
        <v>243.40598800367019</v>
      </c>
      <c r="HI422" s="16"/>
      <c r="HJ422" s="19" t="str">
        <f t="shared" si="1380"/>
        <v>On</v>
      </c>
      <c r="HK422" s="1" t="str">
        <f t="shared" si="1380"/>
        <v>On</v>
      </c>
      <c r="HL422" s="16"/>
      <c r="HM422" s="639">
        <f t="shared" si="1278"/>
        <v>6.6115095157691428E-2</v>
      </c>
      <c r="HN422" s="639">
        <f t="shared" si="1279"/>
        <v>2.3720927871164412E-3</v>
      </c>
      <c r="HO422" s="639">
        <f t="shared" si="1280"/>
        <v>7.7231033444443466E-3</v>
      </c>
      <c r="HP422" s="644">
        <f>(FT422*$GD422-HM422)/$JF422*INDEX(Input!$1:$1048576,$JG$93,$C422*2+6)</f>
        <v>90.168462545214339</v>
      </c>
      <c r="HQ422" s="644">
        <f>(FU422*$GD422-HN422)/$JF422*INDEX(Input!$1:$1048576,$JG$93,$C422*2+6)</f>
        <v>-14.090265785877225</v>
      </c>
      <c r="HR422" s="644">
        <f>(FV422*$GD422-HO422)/$JF422*INDEX(Input!$1:$1048576,$JG$93,$C422*2+6)</f>
        <v>3.4537102323285924</v>
      </c>
      <c r="HS422" s="644">
        <f t="shared" si="1381"/>
        <v>-21.014534012465351</v>
      </c>
      <c r="HT422" s="644">
        <f t="shared" si="1282"/>
        <v>15.094291681114303</v>
      </c>
      <c r="HU422" s="644">
        <f t="shared" si="1283"/>
        <v>8.911536241892394</v>
      </c>
      <c r="HV422" s="648">
        <f t="shared" si="1284"/>
        <v>0</v>
      </c>
      <c r="HW422" s="648">
        <f t="shared" si="1285"/>
        <v>0</v>
      </c>
      <c r="HX422" s="648">
        <f t="shared" si="1286"/>
        <v>0</v>
      </c>
      <c r="HY422" s="644">
        <f>INDEX(Input!$1:$1048576,HY$93,$C422*2+6)*INDEX(Input!$1:$1048576,$JG$93,$C422*2+6)</f>
        <v>844</v>
      </c>
      <c r="HZ422" s="644">
        <f>INDEX(Input!$1:$1048576,HZ$93,$C422*2+6)*INDEX(Input!$1:$1048576,$JG$93,$C422*2+6)</f>
        <v>865</v>
      </c>
      <c r="IA422" s="644">
        <f>INDEX(Input!$1:$1048576,IA$93,$C422*2+6)*INDEX(Input!$1:$1048576,$JG$93,$C422*2+6)</f>
        <v>150</v>
      </c>
      <c r="IB422" s="644">
        <f t="shared" si="1310"/>
        <v>913.15392853274875</v>
      </c>
      <c r="IC422" s="644">
        <f t="shared" si="1311"/>
        <v>866.00402589523708</v>
      </c>
      <c r="ID422" s="644">
        <f>IF(AND(INDEX(Input!$1:$1048576,IA$93,$C422*2+7)="TOS",Y422&lt;=INDEX(Y:Y,MATCH(C422*1000+2,A:A))),0,1)*MAX(IA422+HR422+HU422+HX422,0%)</f>
        <v>162.36524647422101</v>
      </c>
      <c r="IE422" s="128">
        <f t="shared" si="1382"/>
        <v>0.47032862038857692</v>
      </c>
      <c r="IF422" s="128">
        <f t="shared" si="1383"/>
        <v>0.44604361436052553</v>
      </c>
      <c r="IG422" s="128">
        <f t="shared" si="1288"/>
        <v>8.3627765250897587E-2</v>
      </c>
      <c r="IH422" s="21"/>
      <c r="II422" s="19">
        <f t="shared" si="1289"/>
        <v>1199.9999999999998</v>
      </c>
      <c r="IJ422" s="19">
        <f t="shared" si="1290"/>
        <v>2195.4782357510435</v>
      </c>
      <c r="IK422" s="19">
        <f t="shared" si="1291"/>
        <v>-571</v>
      </c>
      <c r="IL422" s="19">
        <f t="shared" si="1313"/>
        <v>400</v>
      </c>
      <c r="IM422" s="19">
        <f t="shared" si="1292"/>
        <v>103.45420892815991</v>
      </c>
      <c r="IN422" s="19">
        <f t="shared" si="1293"/>
        <v>325</v>
      </c>
      <c r="IO422" s="39">
        <f t="shared" si="1294"/>
        <v>0</v>
      </c>
      <c r="IP422" s="39">
        <f t="shared" si="1295"/>
        <v>0</v>
      </c>
      <c r="IQ422" s="39">
        <f t="shared" si="1296"/>
        <v>0</v>
      </c>
      <c r="IR422" s="39">
        <v>0</v>
      </c>
      <c r="IS422" s="39">
        <v>0</v>
      </c>
      <c r="IT422" s="39">
        <v>0</v>
      </c>
      <c r="IU422" s="39">
        <v>0</v>
      </c>
      <c r="IV422" s="39">
        <v>0</v>
      </c>
      <c r="IW422" s="39">
        <v>0</v>
      </c>
      <c r="IX422" s="39">
        <f>INDEX(Input!$1:$1048576,IX$93,$C422*2+6)+INDEX(Input!$1:$1048576,IX$94,$C422*2+6)</f>
        <v>1600</v>
      </c>
      <c r="IY422" s="39">
        <f>INDEX(Input!$1:$1048576,IY$93,$C422*2+6)+INDEX(Input!$1:$1048576,IY$94,$C422*2+6)</f>
        <v>2503.549291639752</v>
      </c>
      <c r="IZ422" s="39">
        <f>INDEX(Input!$1:$1048576,IZ$93,$C422*2+6)+INDEX(Input!$1:$1048576,IZ$94,$C422*2+6)</f>
        <v>5413.7109265464023</v>
      </c>
      <c r="JA422" s="19">
        <f t="shared" si="1314"/>
        <v>2000</v>
      </c>
      <c r="JB422" s="19">
        <f t="shared" si="1315"/>
        <v>2607.0035005679119</v>
      </c>
      <c r="JC422" s="19">
        <f t="shared" si="1316"/>
        <v>5738.7109265464023</v>
      </c>
      <c r="JD422" s="19">
        <f t="shared" si="1317"/>
        <v>2583.4100750289908</v>
      </c>
      <c r="JE422" s="21"/>
      <c r="JF422" s="1">
        <f t="shared" si="1297"/>
        <v>7.6210291289252219E-2</v>
      </c>
      <c r="JG422" s="15">
        <f>INDEX(Input!$1:$1048576,JG$93,$C422*2+6)/(1+VLOOKUP(C422*1000+INDEX(Input!$1:$1048576,JG$93+1,$C422*2+6),$A:$KK,$JK$92,FALSE))</f>
        <v>1859</v>
      </c>
      <c r="JH422" s="1">
        <f t="shared" si="1318"/>
        <v>4.2782090904607696E-2</v>
      </c>
      <c r="JI422" s="1">
        <f t="shared" si="1319"/>
        <v>1.6090876334272975E-3</v>
      </c>
      <c r="JJ422" s="1">
        <f t="shared" si="1384"/>
        <v>0</v>
      </c>
      <c r="JK422" s="1">
        <f t="shared" si="1385"/>
        <v>4.4391178538034995E-2</v>
      </c>
      <c r="JL422" s="15">
        <f t="shared" si="1322"/>
        <v>82.523200902207051</v>
      </c>
      <c r="JM422" s="15">
        <f t="shared" si="1348"/>
        <v>1941.523200902207</v>
      </c>
      <c r="JN422" s="21"/>
      <c r="JO422" s="19">
        <f>INDEX(Input!$1:$1048576,JO$93,$C422*2+6)</f>
        <v>5908.5</v>
      </c>
      <c r="JP422" s="19">
        <f>INDEX(Input!$1:$1048576,JP$93,$C422*2+6)</f>
        <v>2328.1478086338602</v>
      </c>
      <c r="JQ422" s="39">
        <f t="shared" si="1334"/>
        <v>3325.0899249710092</v>
      </c>
      <c r="JR422" s="39">
        <f t="shared" si="1351"/>
        <v>255.26226639513061</v>
      </c>
      <c r="JS422" s="39">
        <f t="shared" si="1336"/>
        <v>5.0157505981132973</v>
      </c>
      <c r="JT422" s="39">
        <f t="shared" si="1324"/>
        <v>0.68772382186295089</v>
      </c>
      <c r="JU422" s="385">
        <f>(JQ422*JM422-INDEX(Input!$1:$1048576,Input!A$18,$C422*2+6)*JL422*INDEX(Input!$1:$1048576,Input!A$19,$C422*2+6))/1000000</f>
        <v>6.4557392344173925</v>
      </c>
      <c r="JV422" s="39">
        <f t="shared" si="1358"/>
        <v>-0.20013548933226133</v>
      </c>
      <c r="JW422" s="1">
        <f t="shared" si="1349"/>
        <v>-3.0068998837693418E-2</v>
      </c>
      <c r="JX422" s="19">
        <f t="shared" si="1340"/>
        <v>8333.7026962626933</v>
      </c>
      <c r="JZ422" s="341"/>
      <c r="KA422" s="342"/>
      <c r="KB422" s="469">
        <f t="shared" si="1337"/>
        <v>2.3451977905499271</v>
      </c>
      <c r="KI422" s="473">
        <f t="shared" si="1364"/>
        <v>69.153928532748864</v>
      </c>
      <c r="KJ422" s="473">
        <f t="shared" si="1365"/>
        <v>1.0040258952371914</v>
      </c>
      <c r="KK422" s="473">
        <f t="shared" si="1326"/>
        <v>12.365246474221038</v>
      </c>
      <c r="KN422" s="544">
        <f t="shared" si="1341"/>
        <v>4002</v>
      </c>
      <c r="KO422" s="541">
        <f t="shared" si="1301"/>
        <v>-2.8091429525060163E-2</v>
      </c>
      <c r="KP422" s="546">
        <f t="shared" si="1302"/>
        <v>-132.31734696750812</v>
      </c>
      <c r="KQ422" s="546">
        <f t="shared" si="1303"/>
        <v>-140.33348656900489</v>
      </c>
      <c r="KR422" s="548">
        <f t="shared" si="1304"/>
        <v>3.603056327211303</v>
      </c>
      <c r="KS422" s="548">
        <f t="shared" si="1305"/>
        <v>3.3972422822735688</v>
      </c>
      <c r="KT422" s="473">
        <f t="shared" si="1339"/>
        <v>1050.27685337919</v>
      </c>
      <c r="KU422" s="663">
        <f t="shared" si="1327"/>
        <v>6.46931177842177</v>
      </c>
      <c r="KV422" s="117"/>
    </row>
    <row r="423" spans="1:308" s="26" customFormat="1" ht="15">
      <c r="A423" s="561">
        <f t="shared" si="1306"/>
        <v>4023</v>
      </c>
      <c r="B423" s="561">
        <f t="shared" si="1328"/>
        <v>23</v>
      </c>
      <c r="C423" s="561">
        <f t="shared" si="1329"/>
        <v>4</v>
      </c>
      <c r="D423" s="561" t="str">
        <f t="shared" si="1378"/>
        <v xml:space="preserve">0/0/0.9/3.9, </v>
      </c>
      <c r="E423" s="475">
        <f>INDEX(Input!$1:$1048576,E$93,$C423*2+MIN($B423,2)+5)
+INDEX(Scenarios!E$121:E$200,MATCH($B423,Scenarios!$B$121:$B$200,0))</f>
        <v>1250</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8.9999999999999959E-3</v>
      </c>
      <c r="W423" s="863">
        <f>IFERROR(MAX(0,INDEX(Input!$1:$1048576,W$93,$C423*2+MIN($B423,2)+5)-0%,),"Market")</f>
        <v>3.9E-2</v>
      </c>
      <c r="X423" s="476" t="str">
        <f>INDEX(Input!$1:$1048576,X$93,$C423*2+MIN($B423,2)+5)</f>
        <v>Y</v>
      </c>
      <c r="Y423" s="475">
        <f>INDEX(Input!$1:$1048576,Y$93,$C423*2+MIN($B423,2)+5)
++INDEX(Scenarios!Y$121:Y$200,MATCH($B423,Scenarios!$B$121:$B$200,0))</f>
        <v>-2217</v>
      </c>
      <c r="Z423" s="477">
        <f>INDEX(Input!$1:$1048576,Z$93,$C423*2+MIN($B423,2)+5)
+INDEX(Scenarios!Z$121:Z$200,MATCH($B423,Scenarios!$B$121:$B$200,0))</f>
        <v>0</v>
      </c>
      <c r="AA423" s="475">
        <f>INDEX(Input!$1:$1048576,AA$93,$C423*2+MIN($B423,2)+5)</f>
        <v>0</v>
      </c>
      <c r="AB423" s="476">
        <f>INDEX(Input!$1:$1048576,AB$93,$C423*2+MIN($B423,2)+5)</f>
        <v>1</v>
      </c>
      <c r="AC423" s="475">
        <f>INDEX(Input!$1:$1048576,AC$93,$C423*2+MIN($B423,2)+5)
+INDEX(Scenarios!AC$121:AC$200,MATCH($B423,Scenarios!$B$121:$B$200,0))</f>
        <v>0</v>
      </c>
      <c r="AD423" s="476">
        <f>INDEX(Input!$1:$1048576,AD$93,$C423*2+MIN($B423,2)+5)</f>
        <v>0.35</v>
      </c>
      <c r="AE423" s="475">
        <f>INDEX(Input!$1:$1048576,AE$93,$C423*2+MIN($B423,2)+5)
+INDEX(Scenarios!AE$121:AE$200,MATCH($B423,Scenarios!$B$121:$B$200,0))</f>
        <v>0</v>
      </c>
      <c r="AF423" s="476">
        <f>INDEX(Input!$1:$1048576,AF$93,$C423*2+MIN($B423,2)+5)</f>
        <v>1</v>
      </c>
      <c r="AG423" s="475">
        <f>INDEX(Input!$1:$1048576,AG$93,$C423*2+MIN($B423,2)+5)
+INDEX(Scenarios!AG$121:AG$200,MATCH($B423,Scenarios!$B$121:$B$200,0))</f>
        <v>0</v>
      </c>
      <c r="AH423" s="476">
        <f>INDEX(Input!$1:$1048576,AH$93,$C423*2+MIN($B423,2)+5)</f>
        <v>1</v>
      </c>
      <c r="AI423" s="475">
        <f>INDEX(Input!$1:$1048576,AI$93,$C423*2+MIN($B423,2)+5)
+INDEX(Scenarios!AI$121:AI$200,MATCH($B423,Scenarios!$B$121:$B$200,0))</f>
        <v>0</v>
      </c>
      <c r="AJ423" s="476">
        <f>INDEX(Input!$1:$1048576,AJ$93,$C423*2+MIN($B423,2)+5)</f>
        <v>0.35</v>
      </c>
      <c r="AK423" s="150">
        <f>ROUND(INDEX(Input!$1:$1048576,AK$93,$C422*2+MIN($B423,1)+5)+(Y423-VLOOKUP($C423*1000+1,$A:$HH,Y$92,FALSE)),0)</f>
        <v>4592</v>
      </c>
      <c r="AL423" s="150">
        <f>ROUND(INDEX(Input!$1:$1048576,AL$93,$C422*2+MIN($B423,1)+5)-(Y423-VLOOKUP($C423*1000+1,$A:$HH,Y$92,FALSE))/36,0)</f>
        <v>4743</v>
      </c>
      <c r="AM423" s="32" t="str">
        <f t="shared" si="1307"/>
        <v>std/std/std/std</v>
      </c>
      <c r="AN423" s="32" t="str">
        <f t="shared" si="1308"/>
        <v>$0 + 0/0/0/0.9/3.9</v>
      </c>
      <c r="AO423" s="32" t="str">
        <f t="shared" si="1309"/>
        <v>0/0/0/0.9/3.9</v>
      </c>
      <c r="AP423" s="32" t="str">
        <f t="shared" si="1386"/>
        <v>0/0/0.9/3.9</v>
      </c>
      <c r="AQ423" s="536">
        <f t="shared" si="1379"/>
        <v>0.42946997773368384</v>
      </c>
      <c r="AR423" s="32"/>
      <c r="AS423" s="302"/>
      <c r="AT423" s="3">
        <f t="shared" si="1330"/>
        <v>23</v>
      </c>
      <c r="AU423" s="41" t="s">
        <v>121</v>
      </c>
      <c r="AV423" s="41" t="s">
        <v>116</v>
      </c>
      <c r="AW423" s="41" t="str">
        <f>INDEX(Input!$1:$1048576,AW$93,$C423*2+6)</f>
        <v>Kia</v>
      </c>
      <c r="AX423" s="41" t="str">
        <f>INDEX(Input!$1:$1048576,AX$93,$C423*2+6)</f>
        <v>Kia-LR - R1</v>
      </c>
      <c r="AY423" s="41" t="str">
        <f>IF(LEN(D423)=0,"",INDEX(Input!$1:$1048576,AY$93,$C423*2+6))</f>
        <v>Compact Conventional/Sporty Car (43)</v>
      </c>
      <c r="AZ423" s="41" t="str">
        <f>INDEX(Input!$1:$1048576,AZ$93,$C423*2+6)</f>
        <v>Kia Forte</v>
      </c>
      <c r="BA423" s="3">
        <f>INDEX(Input!$1:$1048576,BA$93,$C423*2+6)</f>
        <v>2020</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19695</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387"/>
        <v>1560</v>
      </c>
      <c r="CJ423" s="16" t="str">
        <f>INDEX(Input!$1:$1048576,CJ$93,$C423*2+6)</f>
        <v>N</v>
      </c>
      <c r="CK423" s="1" t="str">
        <f t="shared" si="1388"/>
        <v>Market</v>
      </c>
      <c r="CL423" s="1" t="str">
        <f t="shared" si="1389"/>
        <v>Market</v>
      </c>
      <c r="CM423" s="1" t="str">
        <f t="shared" si="1390"/>
        <v>Market</v>
      </c>
      <c r="CN423" s="1" t="str">
        <f t="shared" si="1391"/>
        <v>Market</v>
      </c>
      <c r="CO423" s="1" t="str">
        <f t="shared" si="1392"/>
        <v>Market</v>
      </c>
      <c r="CP423" s="304">
        <f t="shared" si="1393"/>
        <v>0</v>
      </c>
      <c r="CQ423" s="1">
        <f t="shared" si="1394"/>
        <v>0</v>
      </c>
      <c r="CR423" s="1">
        <f t="shared" si="1395"/>
        <v>0</v>
      </c>
      <c r="CS423" s="1">
        <f t="shared" si="1396"/>
        <v>0</v>
      </c>
      <c r="CT423" s="1">
        <f t="shared" si="1397"/>
        <v>8.9999999999999959E-3</v>
      </c>
      <c r="CU423" s="1">
        <f t="shared" si="1398"/>
        <v>3.9E-2</v>
      </c>
      <c r="CV423" s="304">
        <f t="shared" si="1399"/>
        <v>-2217</v>
      </c>
      <c r="CW423" s="20" t="s">
        <v>122</v>
      </c>
      <c r="CX423" s="20" t="s">
        <v>122</v>
      </c>
      <c r="CY423" s="20" t="s">
        <v>122</v>
      </c>
      <c r="CZ423" s="20" t="s">
        <v>122</v>
      </c>
      <c r="DA423" s="20" t="s">
        <v>122</v>
      </c>
      <c r="DB423" s="503">
        <f t="shared" si="1400"/>
        <v>0</v>
      </c>
      <c r="DC423" s="127">
        <v>0</v>
      </c>
      <c r="DD423" s="127">
        <v>0</v>
      </c>
      <c r="DE423" s="127">
        <v>0</v>
      </c>
      <c r="DF423" s="127">
        <v>0</v>
      </c>
      <c r="DG423" s="127">
        <v>0</v>
      </c>
      <c r="DH423" s="127">
        <v>0</v>
      </c>
      <c r="DI423" s="127">
        <v>0</v>
      </c>
      <c r="DJ423" s="127">
        <v>0</v>
      </c>
      <c r="DK423" s="127">
        <v>0</v>
      </c>
      <c r="DL423" s="127">
        <v>0</v>
      </c>
      <c r="DM423" s="304">
        <f>INDEX(Input!$1:$1048576,DM$93,$C423*2+6)</f>
        <v>20731.578947368424</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4.5084033758658847E-2</v>
      </c>
      <c r="DZ423" s="7">
        <v>0</v>
      </c>
      <c r="EA423" s="7">
        <v>0.81346366560655381</v>
      </c>
      <c r="EB423" s="7">
        <v>0</v>
      </c>
      <c r="EC423" s="7">
        <v>0</v>
      </c>
      <c r="ED423" s="7">
        <v>0</v>
      </c>
      <c r="EE423" s="7">
        <v>0</v>
      </c>
      <c r="EF423" s="7">
        <v>0</v>
      </c>
      <c r="EG423" s="7">
        <v>0</v>
      </c>
      <c r="EH423" s="7">
        <v>8.4480712580485597E-3</v>
      </c>
      <c r="EI423" s="7">
        <v>1.3562757720925507E-2</v>
      </c>
      <c r="EJ423" s="7">
        <v>0.12734499912892017</v>
      </c>
      <c r="EK423" s="7">
        <v>0.81047300981329196</v>
      </c>
      <c r="EL423" s="7">
        <v>4.017116207881391E-2</v>
      </c>
      <c r="EM423" s="7">
        <v>4.4692885859303227E-2</v>
      </c>
      <c r="EN423" s="7">
        <v>4.6955874240799785E-2</v>
      </c>
      <c r="EO423" s="7">
        <v>0.57081628048286404</v>
      </c>
      <c r="EP423" s="7">
        <v>0.26933137073864982</v>
      </c>
      <c r="EQ423" s="7">
        <v>6.7915212375147319E-2</v>
      </c>
      <c r="ER423" s="7">
        <v>4.4981262162539094E-2</v>
      </c>
      <c r="ES423" s="7">
        <v>9.6759414775484234E-2</v>
      </c>
      <c r="ET423" s="7">
        <v>0.14145230063478736</v>
      </c>
      <c r="EU423" s="6">
        <v>1599.9999999999998</v>
      </c>
      <c r="EV423" s="6">
        <v>0</v>
      </c>
      <c r="EW423" s="6">
        <v>1599.9999999999998</v>
      </c>
      <c r="EX423" s="6">
        <v>0</v>
      </c>
      <c r="EY423" s="6">
        <v>2978.2659782972496</v>
      </c>
      <c r="EZ423" s="6">
        <v>-246</v>
      </c>
      <c r="FA423" s="6">
        <v>0</v>
      </c>
      <c r="FB423" s="6">
        <v>0</v>
      </c>
      <c r="FC423" s="6">
        <v>0</v>
      </c>
      <c r="FD423" s="6">
        <v>0</v>
      </c>
      <c r="FE423" s="6">
        <v>0</v>
      </c>
      <c r="FF423" s="6">
        <v>0</v>
      </c>
      <c r="FG423" s="6">
        <v>0</v>
      </c>
      <c r="FH423" s="6">
        <v>1153.2511552877995</v>
      </c>
      <c r="FI423" s="6">
        <v>1531.4299904380609</v>
      </c>
      <c r="FJ423" s="6">
        <v>2070.7205842538219</v>
      </c>
      <c r="FK423" s="6">
        <v>2218.6393698501006</v>
      </c>
      <c r="FL423" s="6">
        <v>893.91433563489409</v>
      </c>
      <c r="FM423" s="6">
        <v>2128.2659782972496</v>
      </c>
      <c r="FN423" s="6">
        <v>0</v>
      </c>
      <c r="FO423" s="6">
        <v>0</v>
      </c>
      <c r="FP423" s="6">
        <v>0</v>
      </c>
      <c r="FQ423" s="6">
        <v>0</v>
      </c>
      <c r="FR423" s="6">
        <v>0</v>
      </c>
      <c r="FS423" s="6">
        <v>0</v>
      </c>
      <c r="FT423" s="7">
        <v>0.85854769936521269</v>
      </c>
      <c r="FU423" s="7">
        <v>4.4692885859303227E-2</v>
      </c>
      <c r="FV423" s="7">
        <v>9.6759414775484234E-2</v>
      </c>
      <c r="FW423" s="6">
        <v>1599.9999999999998</v>
      </c>
      <c r="FX423" s="6">
        <v>2978.2659782972496</v>
      </c>
      <c r="FY423" s="6">
        <v>-246</v>
      </c>
      <c r="FZ423" s="6">
        <v>1695.8504614767719</v>
      </c>
      <c r="GA423" s="6">
        <v>1482.9808043762559</v>
      </c>
      <c r="GB423" s="6">
        <v>18212.019195623743</v>
      </c>
      <c r="GC423" s="7">
        <v>8.1891069685915169E-2</v>
      </c>
      <c r="GD423" s="7">
        <v>8.0202918198098272E-2</v>
      </c>
      <c r="GE423" s="7"/>
      <c r="GF423" s="7"/>
      <c r="GG423" s="7">
        <v>-2.0614598078784772E-2</v>
      </c>
      <c r="GH423" s="42">
        <v>1.9072916013105279</v>
      </c>
      <c r="GI423" s="6">
        <v>11809.141726212883</v>
      </c>
      <c r="GJ423" s="14">
        <v>0.51074630601039539</v>
      </c>
      <c r="GK423" s="14">
        <v>0.50829519786160959</v>
      </c>
      <c r="GL423" s="14">
        <v>0.48925369398960411</v>
      </c>
      <c r="GM423" s="14">
        <v>0.49170480213839007</v>
      </c>
      <c r="GO423" s="5">
        <v>338.16872463277008</v>
      </c>
      <c r="GP423" s="5">
        <v>307.64377699166363</v>
      </c>
      <c r="GQ423" s="5">
        <v>527.27910984145694</v>
      </c>
      <c r="GR423" s="5">
        <v>404.20319246551543</v>
      </c>
      <c r="GS423" s="5">
        <v>334.50205195691484</v>
      </c>
      <c r="GT423" s="5">
        <v>289.18266033348181</v>
      </c>
      <c r="GU423" s="5">
        <v>254.29573314828914</v>
      </c>
      <c r="GV423" s="39" t="s">
        <v>392</v>
      </c>
      <c r="GW423" s="5">
        <v>468.76388888888891</v>
      </c>
      <c r="GX423" s="5">
        <v>351.57291666666669</v>
      </c>
      <c r="GY423" s="5">
        <v>281.25833333333333</v>
      </c>
      <c r="GZ423" s="5">
        <v>240.85506989150105</v>
      </c>
      <c r="HA423" s="5">
        <v>229.89195052129477</v>
      </c>
      <c r="HB423" s="39">
        <v>248.98685146861854</v>
      </c>
      <c r="HC423" s="5">
        <v>293.87812499999995</v>
      </c>
      <c r="HD423" s="5">
        <v>243.67143640350872</v>
      </c>
      <c r="HE423" s="5">
        <v>244.28647520242913</v>
      </c>
      <c r="HF423" s="5">
        <v>223.39192434210526</v>
      </c>
      <c r="HG423" s="5">
        <v>212.2899342105263</v>
      </c>
      <c r="HH423" s="39">
        <v>243.40571765635187</v>
      </c>
      <c r="HI423" s="16"/>
      <c r="HJ423" s="19" t="str">
        <f t="shared" si="1380"/>
        <v>On</v>
      </c>
      <c r="HK423" s="1" t="str">
        <f t="shared" si="1380"/>
        <v>On</v>
      </c>
      <c r="HL423" s="16"/>
      <c r="HM423" s="639">
        <f t="shared" si="1278"/>
        <v>6.6115095157691428E-2</v>
      </c>
      <c r="HN423" s="639">
        <f t="shared" si="1279"/>
        <v>2.3720927871164412E-3</v>
      </c>
      <c r="HO423" s="639">
        <f t="shared" si="1280"/>
        <v>7.7231033444443466E-3</v>
      </c>
      <c r="HP423" s="644">
        <f>(FT423*$GD423-HM423)/$JF423*INDEX(Input!$1:$1048576,$JG$93,$C423*2+6)</f>
        <v>66.908516700383331</v>
      </c>
      <c r="HQ423" s="644">
        <f>(FU423*$GD423-HN423)/$JF423*INDEX(Input!$1:$1048576,$JG$93,$C423*2+6)</f>
        <v>29.574283556315091</v>
      </c>
      <c r="HR423" s="644">
        <f>(FV423*$GD423-HO423)/$JF423*INDEX(Input!$1:$1048576,$JG$93,$C423*2+6)</f>
        <v>0.90947181025778778</v>
      </c>
      <c r="HS423" s="644">
        <f t="shared" si="1381"/>
        <v>-21.154389932040019</v>
      </c>
      <c r="HT423" s="644">
        <f t="shared" si="1282"/>
        <v>127.46002809626009</v>
      </c>
      <c r="HU423" s="644">
        <f t="shared" si="1283"/>
        <v>9.0513921614670636</v>
      </c>
      <c r="HV423" s="648">
        <f t="shared" si="1284"/>
        <v>0</v>
      </c>
      <c r="HW423" s="648">
        <f t="shared" si="1285"/>
        <v>0</v>
      </c>
      <c r="HX423" s="648">
        <f t="shared" si="1286"/>
        <v>0</v>
      </c>
      <c r="HY423" s="644">
        <f>INDEX(Input!$1:$1048576,HY$93,$C423*2+6)*INDEX(Input!$1:$1048576,$JG$93,$C423*2+6)</f>
        <v>844</v>
      </c>
      <c r="HZ423" s="644">
        <f>INDEX(Input!$1:$1048576,HZ$93,$C423*2+6)*INDEX(Input!$1:$1048576,$JG$93,$C423*2+6)</f>
        <v>865</v>
      </c>
      <c r="IA423" s="644">
        <f>INDEX(Input!$1:$1048576,IA$93,$C423*2+6)*INDEX(Input!$1:$1048576,$JG$93,$C423*2+6)</f>
        <v>150</v>
      </c>
      <c r="IB423" s="644">
        <f t="shared" si="1310"/>
        <v>889.75412676834367</v>
      </c>
      <c r="IC423" s="644">
        <f t="shared" si="1311"/>
        <v>1022.0343116525752</v>
      </c>
      <c r="ID423" s="644">
        <f>IF(AND(INDEX(Input!$1:$1048576,IA$93,$C423*2+7)="TOS",Y423&lt;=INDEX(Y:Y,MATCH(C423*1000+2,A:A))),0,1)*MAX(IA423+HR423+HU423+HX423,0%)</f>
        <v>159.96086397172485</v>
      </c>
      <c r="IE423" s="128">
        <f t="shared" si="1382"/>
        <v>0.42946997773368384</v>
      </c>
      <c r="IF423" s="128">
        <f t="shared" si="1383"/>
        <v>0.49331949115283275</v>
      </c>
      <c r="IG423" s="128">
        <f t="shared" si="1288"/>
        <v>7.7210531113483458E-2</v>
      </c>
      <c r="IH423" s="21"/>
      <c r="II423" s="19">
        <f t="shared" si="1289"/>
        <v>1199.9999999999998</v>
      </c>
      <c r="IJ423" s="19">
        <f t="shared" si="1290"/>
        <v>2195.4782357510435</v>
      </c>
      <c r="IK423" s="19">
        <f t="shared" si="1291"/>
        <v>-571</v>
      </c>
      <c r="IL423" s="19">
        <f t="shared" si="1313"/>
        <v>400</v>
      </c>
      <c r="IM423" s="19">
        <f t="shared" si="1292"/>
        <v>782.78774254620612</v>
      </c>
      <c r="IN423" s="19">
        <f t="shared" si="1293"/>
        <v>325</v>
      </c>
      <c r="IO423" s="39">
        <f t="shared" si="1294"/>
        <v>0</v>
      </c>
      <c r="IP423" s="39">
        <f t="shared" si="1295"/>
        <v>0</v>
      </c>
      <c r="IQ423" s="39">
        <f t="shared" si="1296"/>
        <v>0</v>
      </c>
      <c r="IR423" s="39">
        <v>0</v>
      </c>
      <c r="IS423" s="39">
        <v>0</v>
      </c>
      <c r="IT423" s="39">
        <v>0</v>
      </c>
      <c r="IU423" s="39">
        <v>0</v>
      </c>
      <c r="IV423" s="39">
        <v>0</v>
      </c>
      <c r="IW423" s="39">
        <v>0</v>
      </c>
      <c r="IX423" s="39">
        <f>INDEX(Input!$1:$1048576,IX$93,$C423*2+6)+INDEX(Input!$1:$1048576,IX$94,$C423*2+6)</f>
        <v>1600</v>
      </c>
      <c r="IY423" s="39">
        <f>INDEX(Input!$1:$1048576,IY$93,$C423*2+6)+INDEX(Input!$1:$1048576,IY$94,$C423*2+6)</f>
        <v>2503.549291639752</v>
      </c>
      <c r="IZ423" s="39">
        <f>INDEX(Input!$1:$1048576,IZ$93,$C423*2+6)+INDEX(Input!$1:$1048576,IZ$94,$C423*2+6)</f>
        <v>5413.7109265464023</v>
      </c>
      <c r="JA423" s="19">
        <f t="shared" si="1314"/>
        <v>2000</v>
      </c>
      <c r="JB423" s="19">
        <f t="shared" si="1315"/>
        <v>3286.3370341859581</v>
      </c>
      <c r="JC423" s="19">
        <f t="shared" si="1316"/>
        <v>5738.7109265464023</v>
      </c>
      <c r="JD423" s="19">
        <f t="shared" si="1317"/>
        <v>2923.2429874740924</v>
      </c>
      <c r="JE423" s="21"/>
      <c r="JF423" s="1">
        <f t="shared" si="1297"/>
        <v>7.6210291289252219E-2</v>
      </c>
      <c r="JG423" s="15">
        <f>INDEX(Input!$1:$1048576,JG$93,$C423*2+6)/(1+VLOOKUP(C423*1000+INDEX(Input!$1:$1048576,JG$93+1,$C423*2+6),$A:$KK,$JK$92,FALSE))</f>
        <v>1859</v>
      </c>
      <c r="JH423" s="1">
        <f t="shared" si="1318"/>
        <v>5.238960304838957E-2</v>
      </c>
      <c r="JI423" s="1">
        <f t="shared" si="1319"/>
        <v>6.2053270750773069E-2</v>
      </c>
      <c r="JJ423" s="1">
        <f t="shared" si="1384"/>
        <v>0</v>
      </c>
      <c r="JK423" s="1">
        <f t="shared" si="1385"/>
        <v>0.11444287379916264</v>
      </c>
      <c r="JL423" s="15">
        <f t="shared" si="1322"/>
        <v>212.74930239264336</v>
      </c>
      <c r="JM423" s="15">
        <f t="shared" si="1348"/>
        <v>2071.7493023926436</v>
      </c>
      <c r="JN423" s="21"/>
      <c r="JO423" s="19">
        <f>INDEX(Input!$1:$1048576,JO$93,$C423*2+6)</f>
        <v>5908.5</v>
      </c>
      <c r="JP423" s="19">
        <f>INDEX(Input!$1:$1048576,JP$93,$C423*2+6)</f>
        <v>2328.1478086338602</v>
      </c>
      <c r="JQ423" s="39">
        <f t="shared" si="1334"/>
        <v>2985.2570125259076</v>
      </c>
      <c r="JR423" s="39">
        <f t="shared" si="1351"/>
        <v>595.09517884023217</v>
      </c>
      <c r="JS423" s="39">
        <f t="shared" si="1336"/>
        <v>6.0562266200236383</v>
      </c>
      <c r="JT423" s="39">
        <f t="shared" si="1324"/>
        <v>1.7281998437732915</v>
      </c>
      <c r="JU423" s="385">
        <f>(JQ423*JM423-INDEX(Input!$1:$1048576,Input!A$18,$C423*2+6)*JL423*INDEX(Input!$1:$1048576,Input!A$19,$C423*2+6))/1000000</f>
        <v>6.1847041331632964</v>
      </c>
      <c r="JV423" s="39">
        <f t="shared" si="1358"/>
        <v>-0.47117059058635746</v>
      </c>
      <c r="JW423" s="1">
        <f t="shared" si="1349"/>
        <v>-7.0790183130267623E-2</v>
      </c>
      <c r="JX423" s="19">
        <f t="shared" si="1340"/>
        <v>8123.1751377674591</v>
      </c>
      <c r="JZ423" s="341"/>
      <c r="KA423" s="342"/>
      <c r="KB423" s="469">
        <f t="shared" si="1337"/>
        <v>2.3451977905499271</v>
      </c>
      <c r="KI423" s="473">
        <f t="shared" si="1364"/>
        <v>45.754126768343667</v>
      </c>
      <c r="KJ423" s="473">
        <f t="shared" si="1365"/>
        <v>157.03431165257518</v>
      </c>
      <c r="KK423" s="473">
        <f t="shared" si="1326"/>
        <v>9.9608639717248479</v>
      </c>
      <c r="KN423" s="544">
        <f t="shared" si="1341"/>
        <v>4002</v>
      </c>
      <c r="KO423" s="541">
        <f t="shared" si="1301"/>
        <v>3.7098553308665405E-2</v>
      </c>
      <c r="KP423" s="546">
        <f t="shared" si="1302"/>
        <v>188.78689536434555</v>
      </c>
      <c r="KQ423" s="546">
        <f t="shared" si="1303"/>
        <v>199.49942587609667</v>
      </c>
      <c r="KR423" s="548">
        <f t="shared" si="1304"/>
        <v>3.3350252435688725</v>
      </c>
      <c r="KS423" s="548">
        <f t="shared" si="1305"/>
        <v>3.1559442285619395</v>
      </c>
      <c r="KT423" s="473">
        <f t="shared" si="1339"/>
        <v>1050.27685337919</v>
      </c>
      <c r="KU423" s="663">
        <f t="shared" si="1327"/>
        <v>6.5526271368040705</v>
      </c>
      <c r="KV423" s="117"/>
    </row>
    <row r="424" spans="1:308" s="26" customFormat="1" ht="15">
      <c r="A424" s="561">
        <f t="shared" si="1306"/>
        <v>4024</v>
      </c>
      <c r="B424" s="561">
        <f t="shared" si="1328"/>
        <v>24</v>
      </c>
      <c r="C424" s="561">
        <f t="shared" si="1329"/>
        <v>4</v>
      </c>
      <c r="D424" s="561" t="str">
        <f t="shared" si="1378"/>
        <v xml:space="preserve">0/0/0/3.9, </v>
      </c>
      <c r="E424" s="475">
        <f>INDEX(Input!$1:$1048576,E$93,$C424*2+MIN($B424,2)+5)
+INDEX(Scenarios!E$121:E$200,MATCH($B424,Scenarios!$B$121:$B$200,0))</f>
        <v>1250</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63">
        <f>IFERROR(MAX(0,INDEX(Input!$1:$1048576,W$93,$C424*2+MIN($B424,2)+5)-0%,),"Market")</f>
        <v>3.9E-2</v>
      </c>
      <c r="X424" s="476" t="str">
        <f>INDEX(Input!$1:$1048576,X$93,$C424*2+MIN($B424,2)+5)</f>
        <v>Y</v>
      </c>
      <c r="Y424" s="475">
        <f>INDEX(Input!$1:$1048576,Y$93,$C424*2+MIN($B424,2)+5)
++INDEX(Scenarios!Y$121:Y$200,MATCH($B424,Scenarios!$B$121:$B$200,0))</f>
        <v>-2217</v>
      </c>
      <c r="Z424" s="477">
        <f>INDEX(Input!$1:$1048576,Z$93,$C424*2+MIN($B424,2)+5)
+INDEX(Scenarios!Z$121:Z$200,MATCH($B424,Scenarios!$B$121:$B$200,0))</f>
        <v>0</v>
      </c>
      <c r="AA424" s="475">
        <f>INDEX(Input!$1:$1048576,AA$93,$C424*2+MIN($B424,2)+5)</f>
        <v>0</v>
      </c>
      <c r="AB424" s="476">
        <f>INDEX(Input!$1:$1048576,AB$93,$C424*2+MIN($B424,2)+5)</f>
        <v>1</v>
      </c>
      <c r="AC424" s="475">
        <f>INDEX(Input!$1:$1048576,AC$93,$C424*2+MIN($B424,2)+5)
+INDEX(Scenarios!AC$121:AC$200,MATCH($B424,Scenarios!$B$121:$B$200,0))</f>
        <v>0</v>
      </c>
      <c r="AD424" s="476">
        <f>INDEX(Input!$1:$1048576,AD$93,$C424*2+MIN($B424,2)+5)</f>
        <v>0.35</v>
      </c>
      <c r="AE424" s="475">
        <f>INDEX(Input!$1:$1048576,AE$93,$C424*2+MIN($B424,2)+5)
+INDEX(Scenarios!AE$121:AE$200,MATCH($B424,Scenarios!$B$121:$B$200,0))</f>
        <v>0</v>
      </c>
      <c r="AF424" s="476">
        <f>INDEX(Input!$1:$1048576,AF$93,$C424*2+MIN($B424,2)+5)</f>
        <v>1</v>
      </c>
      <c r="AG424" s="475">
        <f>INDEX(Input!$1:$1048576,AG$93,$C424*2+MIN($B424,2)+5)
+INDEX(Scenarios!AG$121:AG$200,MATCH($B424,Scenarios!$B$121:$B$200,0))</f>
        <v>0</v>
      </c>
      <c r="AH424" s="476">
        <f>INDEX(Input!$1:$1048576,AH$93,$C424*2+MIN($B424,2)+5)</f>
        <v>1</v>
      </c>
      <c r="AI424" s="475">
        <f>INDEX(Input!$1:$1048576,AI$93,$C424*2+MIN($B424,2)+5)
+INDEX(Scenarios!AI$121:AI$200,MATCH($B424,Scenarios!$B$121:$B$200,0))</f>
        <v>0</v>
      </c>
      <c r="AJ424" s="476">
        <f>INDEX(Input!$1:$1048576,AJ$93,$C424*2+MIN($B424,2)+5)</f>
        <v>0.35</v>
      </c>
      <c r="AK424" s="150">
        <f>ROUND(INDEX(Input!$1:$1048576,AK$93,$C423*2+MIN($B424,1)+5)+(Y424-VLOOKUP($C424*1000+1,$A:$HH,Y$92,FALSE)),0)</f>
        <v>4592</v>
      </c>
      <c r="AL424" s="150">
        <f>ROUND(INDEX(Input!$1:$1048576,AL$93,$C423*2+MIN($B424,1)+5)-(Y424-VLOOKUP($C424*1000+1,$A:$HH,Y$92,FALSE))/36,0)</f>
        <v>4743</v>
      </c>
      <c r="AM424" s="32" t="str">
        <f t="shared" si="1307"/>
        <v>std/std/std/std</v>
      </c>
      <c r="AN424" s="32" t="str">
        <f t="shared" si="1308"/>
        <v>$0 + 0/0/0/0/3.9</v>
      </c>
      <c r="AO424" s="32" t="str">
        <f t="shared" si="1309"/>
        <v>0/0/0/0/3.9</v>
      </c>
      <c r="AP424" s="32" t="str">
        <f t="shared" si="1386"/>
        <v>0/0/0/3.9</v>
      </c>
      <c r="AQ424" s="536">
        <f t="shared" si="1379"/>
        <v>0.40437084424198233</v>
      </c>
      <c r="AR424" s="32"/>
      <c r="AS424" s="302"/>
      <c r="AT424" s="3">
        <f t="shared" si="1330"/>
        <v>24</v>
      </c>
      <c r="AU424" s="41" t="s">
        <v>121</v>
      </c>
      <c r="AV424" s="41" t="s">
        <v>116</v>
      </c>
      <c r="AW424" s="41" t="str">
        <f>INDEX(Input!$1:$1048576,AW$93,$C424*2+6)</f>
        <v>Kia</v>
      </c>
      <c r="AX424" s="41" t="str">
        <f>INDEX(Input!$1:$1048576,AX$93,$C424*2+6)</f>
        <v>Kia-LR - R1</v>
      </c>
      <c r="AY424" s="41" t="str">
        <f>IF(LEN(D424)=0,"",INDEX(Input!$1:$1048576,AY$93,$C424*2+6))</f>
        <v>Compact Conventional/Sporty Car (43)</v>
      </c>
      <c r="AZ424" s="41" t="str">
        <f>INDEX(Input!$1:$1048576,AZ$93,$C424*2+6)</f>
        <v>Kia Forte</v>
      </c>
      <c r="BA424" s="3">
        <f>INDEX(Input!$1:$1048576,BA$93,$C424*2+6)</f>
        <v>2020</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19695</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387"/>
        <v>1560</v>
      </c>
      <c r="CJ424" s="16" t="str">
        <f>INDEX(Input!$1:$1048576,CJ$93,$C424*2+6)</f>
        <v>N</v>
      </c>
      <c r="CK424" s="1" t="str">
        <f t="shared" si="1388"/>
        <v>Market</v>
      </c>
      <c r="CL424" s="1" t="str">
        <f t="shared" si="1389"/>
        <v>Market</v>
      </c>
      <c r="CM424" s="1" t="str">
        <f t="shared" si="1390"/>
        <v>Market</v>
      </c>
      <c r="CN424" s="1" t="str">
        <f t="shared" si="1391"/>
        <v>Market</v>
      </c>
      <c r="CO424" s="1" t="str">
        <f t="shared" si="1392"/>
        <v>Market</v>
      </c>
      <c r="CP424" s="304">
        <f t="shared" si="1393"/>
        <v>0</v>
      </c>
      <c r="CQ424" s="1">
        <f t="shared" si="1394"/>
        <v>0</v>
      </c>
      <c r="CR424" s="1">
        <f t="shared" si="1395"/>
        <v>0</v>
      </c>
      <c r="CS424" s="1">
        <f t="shared" si="1396"/>
        <v>0</v>
      </c>
      <c r="CT424" s="1">
        <f t="shared" si="1397"/>
        <v>0</v>
      </c>
      <c r="CU424" s="1">
        <f t="shared" si="1398"/>
        <v>3.9E-2</v>
      </c>
      <c r="CV424" s="304">
        <f t="shared" si="1399"/>
        <v>-2217</v>
      </c>
      <c r="CW424" s="20" t="s">
        <v>122</v>
      </c>
      <c r="CX424" s="20" t="s">
        <v>122</v>
      </c>
      <c r="CY424" s="20" t="s">
        <v>122</v>
      </c>
      <c r="CZ424" s="20" t="s">
        <v>122</v>
      </c>
      <c r="DA424" s="20" t="s">
        <v>122</v>
      </c>
      <c r="DB424" s="503">
        <f t="shared" si="1400"/>
        <v>0</v>
      </c>
      <c r="DC424" s="127">
        <v>0</v>
      </c>
      <c r="DD424" s="127">
        <v>0</v>
      </c>
      <c r="DE424" s="127">
        <v>0</v>
      </c>
      <c r="DF424" s="127">
        <v>0</v>
      </c>
      <c r="DG424" s="127">
        <v>0</v>
      </c>
      <c r="DH424" s="127">
        <v>0</v>
      </c>
      <c r="DI424" s="127">
        <v>0</v>
      </c>
      <c r="DJ424" s="127">
        <v>0</v>
      </c>
      <c r="DK424" s="127">
        <v>0</v>
      </c>
      <c r="DL424" s="127">
        <v>0</v>
      </c>
      <c r="DM424" s="304">
        <f>INDEX(Input!$1:$1048576,DM$93,$C424*2+6)</f>
        <v>20731.578947368424</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4.4226325699170475E-2</v>
      </c>
      <c r="DZ424" s="7">
        <v>0</v>
      </c>
      <c r="EA424" s="7">
        <v>0.79773908057553422</v>
      </c>
      <c r="EB424" s="7">
        <v>0</v>
      </c>
      <c r="EC424" s="7">
        <v>0</v>
      </c>
      <c r="ED424" s="7">
        <v>0</v>
      </c>
      <c r="EE424" s="7">
        <v>0</v>
      </c>
      <c r="EF424" s="7">
        <v>0</v>
      </c>
      <c r="EG424" s="7">
        <v>0</v>
      </c>
      <c r="EH424" s="7">
        <v>5.8719737022155851E-3</v>
      </c>
      <c r="EI424" s="7">
        <v>9.428532241959232E-3</v>
      </c>
      <c r="EJ424" s="7">
        <v>8.8497950925417554E-2</v>
      </c>
      <c r="EK424" s="7">
        <v>0.86827558261105542</v>
      </c>
      <c r="EL424" s="7">
        <v>2.7925960519351974E-2</v>
      </c>
      <c r="EM424" s="7">
        <v>6.306852763764019E-2</v>
      </c>
      <c r="EN424" s="7">
        <v>4.6952347850974172E-2</v>
      </c>
      <c r="EO424" s="7">
        <v>0.57080286185517692</v>
      </c>
      <c r="EP424" s="7">
        <v>0.26934635641624166</v>
      </c>
      <c r="EQ424" s="7">
        <v>6.7913612071208496E-2</v>
      </c>
      <c r="ER424" s="7">
        <v>4.4984821806399053E-2</v>
      </c>
      <c r="ES424" s="7">
        <v>9.4966066087655135E-2</v>
      </c>
      <c r="ET424" s="7">
        <v>0.1580345937252953</v>
      </c>
      <c r="EU424" s="6">
        <v>1599.9999999999998</v>
      </c>
      <c r="EV424" s="6">
        <v>0</v>
      </c>
      <c r="EW424" s="6">
        <v>1599.9999999999998</v>
      </c>
      <c r="EX424" s="6">
        <v>0</v>
      </c>
      <c r="EY424" s="6">
        <v>3367.6786079679814</v>
      </c>
      <c r="EZ424" s="6">
        <v>-246</v>
      </c>
      <c r="FA424" s="6">
        <v>0</v>
      </c>
      <c r="FB424" s="6">
        <v>0</v>
      </c>
      <c r="FC424" s="6">
        <v>0</v>
      </c>
      <c r="FD424" s="6">
        <v>0</v>
      </c>
      <c r="FE424" s="6">
        <v>0</v>
      </c>
      <c r="FF424" s="6">
        <v>0</v>
      </c>
      <c r="FG424" s="6">
        <v>0</v>
      </c>
      <c r="FH424" s="6">
        <v>1153.2518048936397</v>
      </c>
      <c r="FI424" s="6">
        <v>1531.4299904380609</v>
      </c>
      <c r="FJ424" s="6">
        <v>2070.7205842538206</v>
      </c>
      <c r="FK424" s="6">
        <v>2635.395613320291</v>
      </c>
      <c r="FL424" s="6">
        <v>893.91433563489318</v>
      </c>
      <c r="FM424" s="6">
        <v>2517.6786079679814</v>
      </c>
      <c r="FN424" s="6">
        <v>0</v>
      </c>
      <c r="FO424" s="6">
        <v>0</v>
      </c>
      <c r="FP424" s="6">
        <v>0</v>
      </c>
      <c r="FQ424" s="6">
        <v>0</v>
      </c>
      <c r="FR424" s="6">
        <v>0</v>
      </c>
      <c r="FS424" s="6">
        <v>0</v>
      </c>
      <c r="FT424" s="7">
        <v>0.84196540627470473</v>
      </c>
      <c r="FU424" s="7">
        <v>6.306852763764019E-2</v>
      </c>
      <c r="FV424" s="7">
        <v>9.4966066087655135E-2</v>
      </c>
      <c r="FW424" s="6">
        <v>1599.9999999999995</v>
      </c>
      <c r="FX424" s="6">
        <v>3367.6786079679814</v>
      </c>
      <c r="FY424" s="6">
        <v>-246</v>
      </c>
      <c r="FZ424" s="6">
        <v>1695.8504614767719</v>
      </c>
      <c r="GA424" s="6">
        <v>1536.1775291432823</v>
      </c>
      <c r="GB424" s="6">
        <v>18158.822470856718</v>
      </c>
      <c r="GC424" s="7">
        <v>8.1891069685915169E-2</v>
      </c>
      <c r="GD424" s="7">
        <v>8.0818277881125333E-2</v>
      </c>
      <c r="GE424" s="7"/>
      <c r="GF424" s="7"/>
      <c r="GG424" s="7">
        <v>-1.3100229474403239E-2</v>
      </c>
      <c r="GH424" s="42">
        <v>1.6158594680249214</v>
      </c>
      <c r="GI424" s="6">
        <v>13724.737481125574</v>
      </c>
      <c r="GJ424" s="14">
        <v>0.51074630601039561</v>
      </c>
      <c r="GK424" s="14">
        <v>0.5082951978616097</v>
      </c>
      <c r="GL424" s="14">
        <v>0.48925369398960428</v>
      </c>
      <c r="GM424" s="14">
        <v>0.49170480213839018</v>
      </c>
      <c r="GO424" s="5">
        <v>338.16872463277008</v>
      </c>
      <c r="GP424" s="5">
        <v>307.64377699166363</v>
      </c>
      <c r="GQ424" s="5">
        <v>527.27910984145694</v>
      </c>
      <c r="GR424" s="5">
        <v>404.20319246551543</v>
      </c>
      <c r="GS424" s="5">
        <v>334.50205195691484</v>
      </c>
      <c r="GT424" s="5">
        <v>289.18266033348181</v>
      </c>
      <c r="GU424" s="5">
        <v>254.29573314828914</v>
      </c>
      <c r="GV424" s="39" t="s">
        <v>392</v>
      </c>
      <c r="GW424" s="5">
        <v>468.76388888888891</v>
      </c>
      <c r="GX424" s="5">
        <v>351.57291666666669</v>
      </c>
      <c r="GY424" s="5">
        <v>281.25833333333333</v>
      </c>
      <c r="GZ424" s="5">
        <v>234.38194444444446</v>
      </c>
      <c r="HA424" s="5">
        <v>229.89195052129477</v>
      </c>
      <c r="HB424" s="39">
        <v>240.8862448889798</v>
      </c>
      <c r="HC424" s="5">
        <v>293.87812499999995</v>
      </c>
      <c r="HD424" s="5">
        <v>243.67143640350872</v>
      </c>
      <c r="HE424" s="5">
        <v>244.28647520242913</v>
      </c>
      <c r="HF424" s="5">
        <v>223.39192434210526</v>
      </c>
      <c r="HG424" s="5">
        <v>212.2899342105263</v>
      </c>
      <c r="HH424" s="39">
        <v>243.40547057118062</v>
      </c>
      <c r="HI424" s="16"/>
      <c r="HJ424" s="19" t="str">
        <f t="shared" si="1380"/>
        <v>On</v>
      </c>
      <c r="HK424" s="1" t="str">
        <f t="shared" si="1380"/>
        <v>On</v>
      </c>
      <c r="HL424" s="16"/>
      <c r="HM424" s="639">
        <f t="shared" si="1278"/>
        <v>6.6115095157691428E-2</v>
      </c>
      <c r="HN424" s="639">
        <f t="shared" si="1279"/>
        <v>2.3720927871164412E-3</v>
      </c>
      <c r="HO424" s="639">
        <f t="shared" si="1280"/>
        <v>7.7231033444443466E-3</v>
      </c>
      <c r="HP424" s="644">
        <f>(FT424*$GD424-HM424)/$JF424*INDEX(Input!$1:$1048576,$JG$93,$C424*2+6)</f>
        <v>47.105358138293113</v>
      </c>
      <c r="HQ424" s="644">
        <f>(FU424*$GD424-HN424)/$JF424*INDEX(Input!$1:$1048576,$JG$93,$C424*2+6)</f>
        <v>66.47093649297129</v>
      </c>
      <c r="HR424" s="644">
        <f>(FV424*$GD424-HO424)/$JF424*INDEX(Input!$1:$1048576,$JG$93,$C424*2+6)</f>
        <v>-1.1735347234274469</v>
      </c>
      <c r="HS424" s="644">
        <f t="shared" si="1381"/>
        <v>-21.234559184287178</v>
      </c>
      <c r="HT424" s="644">
        <f t="shared" si="1282"/>
        <v>191.87115273082333</v>
      </c>
      <c r="HU424" s="644">
        <f t="shared" si="1283"/>
        <v>9.1315614137142394</v>
      </c>
      <c r="HV424" s="648">
        <f t="shared" si="1284"/>
        <v>0</v>
      </c>
      <c r="HW424" s="648">
        <f t="shared" si="1285"/>
        <v>0</v>
      </c>
      <c r="HX424" s="648">
        <f t="shared" si="1286"/>
        <v>0</v>
      </c>
      <c r="HY424" s="644">
        <f>INDEX(Input!$1:$1048576,HY$93,$C424*2+6)*INDEX(Input!$1:$1048576,$JG$93,$C424*2+6)</f>
        <v>844</v>
      </c>
      <c r="HZ424" s="644">
        <f>INDEX(Input!$1:$1048576,HZ$93,$C424*2+6)*INDEX(Input!$1:$1048576,$JG$93,$C424*2+6)</f>
        <v>865</v>
      </c>
      <c r="IA424" s="644">
        <f>INDEX(Input!$1:$1048576,IA$93,$C424*2+6)*INDEX(Input!$1:$1048576,$JG$93,$C424*2+6)</f>
        <v>150</v>
      </c>
      <c r="IB424" s="644">
        <f t="shared" si="1310"/>
        <v>869.87079895400609</v>
      </c>
      <c r="IC424" s="644">
        <f t="shared" si="1311"/>
        <v>1123.3420892237946</v>
      </c>
      <c r="ID424" s="644">
        <f>IF(AND(INDEX(Input!$1:$1048576,IA$93,$C424*2+7)="TOS",Y424&lt;=INDEX(Y:Y,MATCH(C424*1000+2,A:A))),0,1)*MAX(IA424+HR424+HU424+HX424,0%)</f>
        <v>157.9580266902868</v>
      </c>
      <c r="IE424" s="128">
        <f t="shared" si="1382"/>
        <v>0.40437084424198233</v>
      </c>
      <c r="IF424" s="128">
        <f t="shared" si="1383"/>
        <v>0.5222002963407858</v>
      </c>
      <c r="IG424" s="128">
        <f t="shared" si="1288"/>
        <v>7.3428859417231845E-2</v>
      </c>
      <c r="IH424" s="21"/>
      <c r="II424" s="19">
        <f t="shared" si="1289"/>
        <v>1199.9999999999998</v>
      </c>
      <c r="IJ424" s="19">
        <f t="shared" si="1290"/>
        <v>2195.4782357510435</v>
      </c>
      <c r="IK424" s="19">
        <f t="shared" si="1291"/>
        <v>-571</v>
      </c>
      <c r="IL424" s="19">
        <f t="shared" si="1313"/>
        <v>399.99999999999977</v>
      </c>
      <c r="IM424" s="19">
        <f t="shared" si="1292"/>
        <v>1172.2003722169379</v>
      </c>
      <c r="IN424" s="19">
        <f t="shared" si="1293"/>
        <v>325</v>
      </c>
      <c r="IO424" s="39">
        <f t="shared" si="1294"/>
        <v>0</v>
      </c>
      <c r="IP424" s="39">
        <f t="shared" si="1295"/>
        <v>0</v>
      </c>
      <c r="IQ424" s="39">
        <f t="shared" si="1296"/>
        <v>0</v>
      </c>
      <c r="IR424" s="39">
        <v>0</v>
      </c>
      <c r="IS424" s="39">
        <v>0</v>
      </c>
      <c r="IT424" s="39">
        <v>0</v>
      </c>
      <c r="IU424" s="39">
        <v>0</v>
      </c>
      <c r="IV424" s="39">
        <v>0</v>
      </c>
      <c r="IW424" s="39">
        <v>0</v>
      </c>
      <c r="IX424" s="39">
        <f>INDEX(Input!$1:$1048576,IX$93,$C424*2+6)+INDEX(Input!$1:$1048576,IX$94,$C424*2+6)</f>
        <v>1600</v>
      </c>
      <c r="IY424" s="39">
        <f>INDEX(Input!$1:$1048576,IY$93,$C424*2+6)+INDEX(Input!$1:$1048576,IY$94,$C424*2+6)</f>
        <v>2503.549291639752</v>
      </c>
      <c r="IZ424" s="39">
        <f>INDEX(Input!$1:$1048576,IZ$93,$C424*2+6)+INDEX(Input!$1:$1048576,IZ$94,$C424*2+6)</f>
        <v>5413.7109265464023</v>
      </c>
      <c r="JA424" s="19">
        <f t="shared" si="1314"/>
        <v>1999.9999999999998</v>
      </c>
      <c r="JB424" s="19">
        <f t="shared" si="1315"/>
        <v>3675.7496638566899</v>
      </c>
      <c r="JC424" s="19">
        <f t="shared" si="1316"/>
        <v>5738.7109265464023</v>
      </c>
      <c r="JD424" s="19">
        <f t="shared" si="1317"/>
        <v>3149.6062500859798</v>
      </c>
      <c r="JE424" s="21"/>
      <c r="JF424" s="1">
        <f t="shared" si="1297"/>
        <v>7.6210291289252219E-2</v>
      </c>
      <c r="JG424" s="15">
        <f>INDEX(Input!$1:$1048576,JG$93,$C424*2+6)/(1+VLOOKUP(C424*1000+INDEX(Input!$1:$1048576,JG$93+1,$C424*2+6),$A:$KK,$JK$92,FALSE))</f>
        <v>1859</v>
      </c>
      <c r="JH424" s="1">
        <f t="shared" si="1318"/>
        <v>6.0464098928368452E-2</v>
      </c>
      <c r="JI424" s="1">
        <f t="shared" si="1319"/>
        <v>9.6701535750538137E-2</v>
      </c>
      <c r="JJ424" s="1">
        <f t="shared" si="1384"/>
        <v>0</v>
      </c>
      <c r="JK424" s="1">
        <f t="shared" si="1385"/>
        <v>0.1571656346789066</v>
      </c>
      <c r="JL424" s="15">
        <f t="shared" si="1322"/>
        <v>292.17091486808738</v>
      </c>
      <c r="JM424" s="15">
        <f t="shared" si="1348"/>
        <v>2151.1709148680875</v>
      </c>
      <c r="JN424" s="21"/>
      <c r="JO424" s="19">
        <f>INDEX(Input!$1:$1048576,JO$93,$C424*2+6)</f>
        <v>5908.5</v>
      </c>
      <c r="JP424" s="19">
        <f>INDEX(Input!$1:$1048576,JP$93,$C424*2+6)</f>
        <v>2328.1478086338602</v>
      </c>
      <c r="JQ424" s="39">
        <f t="shared" si="1334"/>
        <v>2758.8937499140202</v>
      </c>
      <c r="JR424" s="39">
        <f t="shared" si="1351"/>
        <v>821.45844145211959</v>
      </c>
      <c r="JS424" s="39">
        <f t="shared" si="1336"/>
        <v>6.7753413584717039</v>
      </c>
      <c r="JT424" s="39">
        <f t="shared" si="1324"/>
        <v>2.4473145822213573</v>
      </c>
      <c r="JU424" s="385">
        <f>(JQ424*JM424-INDEX(Input!$1:$1048576,Input!A$18,$C424*2+6)*JL424*INDEX(Input!$1:$1048576,Input!A$19,$C424*2+6))/1000000</f>
        <v>5.9348519920263918</v>
      </c>
      <c r="JV424" s="39">
        <f t="shared" si="1358"/>
        <v>-0.72102273172326203</v>
      </c>
      <c r="JW424" s="1">
        <f t="shared" si="1349"/>
        <v>-0.10832877144614685</v>
      </c>
      <c r="JX424" s="19">
        <f t="shared" si="1340"/>
        <v>8376.3114590865371</v>
      </c>
      <c r="JZ424" s="341"/>
      <c r="KA424" s="342"/>
      <c r="KB424" s="469">
        <f t="shared" si="1337"/>
        <v>2.3451977905499271</v>
      </c>
      <c r="KI424" s="473">
        <f t="shared" si="1364"/>
        <v>25.870798954006091</v>
      </c>
      <c r="KJ424" s="473">
        <f t="shared" si="1365"/>
        <v>258.34208922379457</v>
      </c>
      <c r="KK424" s="473">
        <f t="shared" si="1326"/>
        <v>7.9580266902868004</v>
      </c>
      <c r="KN424" s="544">
        <f t="shared" si="1341"/>
        <v>4002</v>
      </c>
      <c r="KO424" s="541">
        <f t="shared" si="1301"/>
        <v>7.6856278485451179E-2</v>
      </c>
      <c r="KP424" s="546">
        <f t="shared" si="1302"/>
        <v>403.19059111587904</v>
      </c>
      <c r="KQ424" s="546">
        <f t="shared" si="1303"/>
        <v>425.86268848798409</v>
      </c>
      <c r="KR424" s="548">
        <f t="shared" si="1304"/>
        <v>3.2350646067109103</v>
      </c>
      <c r="KS424" s="548">
        <f t="shared" si="1305"/>
        <v>3.0628360885732624</v>
      </c>
      <c r="KT424" s="473">
        <f t="shared" si="1339"/>
        <v>1050.27685337919</v>
      </c>
      <c r="KU424" s="663">
        <f t="shared" si="1327"/>
        <v>6.5545525007488559</v>
      </c>
      <c r="KV424" s="117"/>
    </row>
    <row r="425" spans="1:308" s="26" customFormat="1" ht="15">
      <c r="A425" s="561">
        <f t="shared" si="1306"/>
        <v>4025</v>
      </c>
      <c r="B425" s="561">
        <f t="shared" si="1328"/>
        <v>25</v>
      </c>
      <c r="C425" s="561">
        <f t="shared" si="1329"/>
        <v>4</v>
      </c>
      <c r="D425" s="561" t="str">
        <f t="shared" si="1378"/>
        <v xml:space="preserve">0.9/1.9/2.9/3.9, </v>
      </c>
      <c r="E425" s="475">
        <f>INDEX(Input!$1:$1048576,E$93,$C425*2+MIN($B425,2)+5)
+INDEX(Scenarios!E$121:E$200,MATCH($B425,Scenarios!$B$121:$B$200,0))</f>
        <v>1250</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2.8999999999999998E-2</v>
      </c>
      <c r="W425" s="863">
        <f>IFERROR(MAX(0,INDEX(Input!$1:$1048576,W$93,$C425*2+MIN($B425,2)+5)-0%,),"Market")</f>
        <v>3.9E-2</v>
      </c>
      <c r="X425" s="476" t="str">
        <f>INDEX(Input!$1:$1048576,X$93,$C425*2+MIN($B425,2)+5)</f>
        <v>Y</v>
      </c>
      <c r="Y425" s="475">
        <f>INDEX(Input!$1:$1048576,Y$93,$C425*2+MIN($B425,2)+5)
++INDEX(Scenarios!Y$121:Y$200,MATCH($B425,Scenarios!$B$121:$B$200,0))</f>
        <v>-2217</v>
      </c>
      <c r="Z425" s="477">
        <f>INDEX(Input!$1:$1048576,Z$93,$C425*2+MIN($B425,2)+5)
+INDEX(Scenarios!Z$121:Z$200,MATCH($B425,Scenarios!$B$121:$B$200,0))</f>
        <v>0</v>
      </c>
      <c r="AA425" s="475">
        <f>INDEX(Input!$1:$1048576,AA$93,$C425*2+MIN($B425,2)+5)</f>
        <v>0</v>
      </c>
      <c r="AB425" s="476">
        <f>INDEX(Input!$1:$1048576,AB$93,$C425*2+MIN($B425,2)+5)</f>
        <v>1</v>
      </c>
      <c r="AC425" s="475">
        <f>INDEX(Input!$1:$1048576,AC$93,$C425*2+MIN($B425,2)+5)
+INDEX(Scenarios!AC$121:AC$200,MATCH($B425,Scenarios!$B$121:$B$200,0))</f>
        <v>0</v>
      </c>
      <c r="AD425" s="476">
        <f>INDEX(Input!$1:$1048576,AD$93,$C425*2+MIN($B425,2)+5)</f>
        <v>0.35</v>
      </c>
      <c r="AE425" s="475">
        <f>INDEX(Input!$1:$1048576,AE$93,$C425*2+MIN($B425,2)+5)
+INDEX(Scenarios!AE$121:AE$200,MATCH($B425,Scenarios!$B$121:$B$200,0))</f>
        <v>0</v>
      </c>
      <c r="AF425" s="476">
        <f>INDEX(Input!$1:$1048576,AF$93,$C425*2+MIN($B425,2)+5)</f>
        <v>1</v>
      </c>
      <c r="AG425" s="475">
        <f>INDEX(Input!$1:$1048576,AG$93,$C425*2+MIN($B425,2)+5)
+INDEX(Scenarios!AG$121:AG$200,MATCH($B425,Scenarios!$B$121:$B$200,0))</f>
        <v>0</v>
      </c>
      <c r="AH425" s="476">
        <f>INDEX(Input!$1:$1048576,AH$93,$C425*2+MIN($B425,2)+5)</f>
        <v>1</v>
      </c>
      <c r="AI425" s="475">
        <f>INDEX(Input!$1:$1048576,AI$93,$C425*2+MIN($B425,2)+5)
+INDEX(Scenarios!AI$121:AI$200,MATCH($B425,Scenarios!$B$121:$B$200,0))</f>
        <v>0</v>
      </c>
      <c r="AJ425" s="476">
        <f>INDEX(Input!$1:$1048576,AJ$93,$C425*2+MIN($B425,2)+5)</f>
        <v>0.35</v>
      </c>
      <c r="AK425" s="150">
        <f>ROUND(INDEX(Input!$1:$1048576,AK$93,$C424*2+MIN($B425,1)+5)+(Y425-VLOOKUP($C425*1000+1,$A:$HH,Y$92,FALSE)),0)</f>
        <v>4592</v>
      </c>
      <c r="AL425" s="150">
        <f>ROUND(INDEX(Input!$1:$1048576,AL$93,$C424*2+MIN($B425,1)+5)-(Y425-VLOOKUP($C425*1000+1,$A:$HH,Y$92,FALSE))/36,0)</f>
        <v>4743</v>
      </c>
      <c r="AM425" s="32" t="str">
        <f t="shared" si="1307"/>
        <v>std/std/std/std</v>
      </c>
      <c r="AN425" s="32" t="str">
        <f t="shared" si="1308"/>
        <v>$0 + 0.9/0.9/0.9/2.9/3.9</v>
      </c>
      <c r="AO425" s="32" t="str">
        <f t="shared" si="1309"/>
        <v>0.9/0.9/0.9/2.9/3.9</v>
      </c>
      <c r="AP425" s="32" t="str">
        <f t="shared" si="1386"/>
        <v>0.9/1.9/2.9/3.9</v>
      </c>
      <c r="AQ425" s="536">
        <f t="shared" si="1379"/>
        <v>0.47696820971107468</v>
      </c>
      <c r="AR425" s="32"/>
      <c r="AS425" s="302"/>
      <c r="AT425" s="3">
        <f t="shared" si="1330"/>
        <v>25</v>
      </c>
      <c r="AU425" s="41" t="s">
        <v>121</v>
      </c>
      <c r="AV425" s="41" t="s">
        <v>116</v>
      </c>
      <c r="AW425" s="41" t="str">
        <f>INDEX(Input!$1:$1048576,AW$93,$C425*2+6)</f>
        <v>Kia</v>
      </c>
      <c r="AX425" s="41" t="str">
        <f>INDEX(Input!$1:$1048576,AX$93,$C425*2+6)</f>
        <v>Kia-LR - R1</v>
      </c>
      <c r="AY425" s="41" t="str">
        <f>IF(LEN(D425)=0,"",INDEX(Input!$1:$1048576,AY$93,$C425*2+6))</f>
        <v>Compact Conventional/Sporty Car (43)</v>
      </c>
      <c r="AZ425" s="41" t="str">
        <f>INDEX(Input!$1:$1048576,AZ$93,$C425*2+6)</f>
        <v>Kia Forte</v>
      </c>
      <c r="BA425" s="3">
        <f>INDEX(Input!$1:$1048576,BA$93,$C425*2+6)</f>
        <v>2020</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19695</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387"/>
        <v>1560</v>
      </c>
      <c r="CJ425" s="16" t="str">
        <f>INDEX(Input!$1:$1048576,CJ$93,$C425*2+6)</f>
        <v>N</v>
      </c>
      <c r="CK425" s="1" t="str">
        <f t="shared" si="1388"/>
        <v>Market</v>
      </c>
      <c r="CL425" s="1" t="str">
        <f t="shared" si="1389"/>
        <v>Market</v>
      </c>
      <c r="CM425" s="1" t="str">
        <f t="shared" si="1390"/>
        <v>Market</v>
      </c>
      <c r="CN425" s="1" t="str">
        <f t="shared" si="1391"/>
        <v>Market</v>
      </c>
      <c r="CO425" s="1" t="str">
        <f t="shared" si="1392"/>
        <v>Market</v>
      </c>
      <c r="CP425" s="304">
        <f t="shared" si="1393"/>
        <v>0</v>
      </c>
      <c r="CQ425" s="1">
        <f t="shared" si="1394"/>
        <v>9.0000000000000011E-3</v>
      </c>
      <c r="CR425" s="1">
        <f t="shared" si="1395"/>
        <v>9.0000000000000011E-3</v>
      </c>
      <c r="CS425" s="1">
        <f t="shared" si="1396"/>
        <v>9.0000000000000011E-3</v>
      </c>
      <c r="CT425" s="1">
        <f t="shared" si="1397"/>
        <v>2.8999999999999998E-2</v>
      </c>
      <c r="CU425" s="1">
        <f t="shared" si="1398"/>
        <v>3.9E-2</v>
      </c>
      <c r="CV425" s="304">
        <f t="shared" si="1399"/>
        <v>-2217</v>
      </c>
      <c r="CW425" s="20" t="s">
        <v>122</v>
      </c>
      <c r="CX425" s="20" t="s">
        <v>122</v>
      </c>
      <c r="CY425" s="20" t="s">
        <v>122</v>
      </c>
      <c r="CZ425" s="20" t="s">
        <v>122</v>
      </c>
      <c r="DA425" s="20" t="s">
        <v>122</v>
      </c>
      <c r="DB425" s="503">
        <f t="shared" si="1400"/>
        <v>0</v>
      </c>
      <c r="DC425" s="127">
        <v>0</v>
      </c>
      <c r="DD425" s="127">
        <v>0</v>
      </c>
      <c r="DE425" s="127">
        <v>0</v>
      </c>
      <c r="DF425" s="127">
        <v>0</v>
      </c>
      <c r="DG425" s="127">
        <v>0</v>
      </c>
      <c r="DH425" s="127">
        <v>0</v>
      </c>
      <c r="DI425" s="127">
        <v>0</v>
      </c>
      <c r="DJ425" s="127">
        <v>0</v>
      </c>
      <c r="DK425" s="127">
        <v>0</v>
      </c>
      <c r="DL425" s="127">
        <v>0</v>
      </c>
      <c r="DM425" s="304">
        <f>INDEX(Input!$1:$1048576,DM$93,$C425*2+6)</f>
        <v>20731.578947368424</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4.6219130842428978E-2</v>
      </c>
      <c r="DZ425" s="7">
        <v>0</v>
      </c>
      <c r="EA425" s="7">
        <v>0.83381995626472671</v>
      </c>
      <c r="EB425" s="7">
        <v>0</v>
      </c>
      <c r="EC425" s="7">
        <v>0</v>
      </c>
      <c r="ED425" s="7">
        <v>0</v>
      </c>
      <c r="EE425" s="7">
        <v>0</v>
      </c>
      <c r="EF425" s="7">
        <v>0</v>
      </c>
      <c r="EG425" s="7">
        <v>0</v>
      </c>
      <c r="EH425" s="7">
        <v>1.5315712736737229E-2</v>
      </c>
      <c r="EI425" s="7">
        <v>2.298426483026331E-2</v>
      </c>
      <c r="EJ425" s="7">
        <v>0.20269339995489641</v>
      </c>
      <c r="EK425" s="7">
        <v>0.67045994284918775</v>
      </c>
      <c r="EL425" s="7">
        <v>8.8546679628915007E-2</v>
      </c>
      <c r="EM425" s="7">
        <v>2.0786403638656775E-2</v>
      </c>
      <c r="EN425" s="7">
        <v>4.6958555959409017E-2</v>
      </c>
      <c r="EO425" s="7">
        <v>0.5708268767553194</v>
      </c>
      <c r="EP425" s="7">
        <v>0.26932044301531521</v>
      </c>
      <c r="EQ425" s="7">
        <v>6.7916475925211356E-2</v>
      </c>
      <c r="ER425" s="7">
        <v>4.4977648344744735E-2</v>
      </c>
      <c r="ES425" s="7">
        <v>9.9174509254187637E-2</v>
      </c>
      <c r="ET425" s="7">
        <v>0.1199609128928443</v>
      </c>
      <c r="EU425" s="6">
        <v>1599.9999999999998</v>
      </c>
      <c r="EV425" s="6">
        <v>0</v>
      </c>
      <c r="EW425" s="6">
        <v>1599.9999999999998</v>
      </c>
      <c r="EX425" s="6">
        <v>0</v>
      </c>
      <c r="EY425" s="6">
        <v>2167.2657523845564</v>
      </c>
      <c r="EZ425" s="6">
        <v>-246</v>
      </c>
      <c r="FA425" s="6">
        <v>0</v>
      </c>
      <c r="FB425" s="6">
        <v>0</v>
      </c>
      <c r="FC425" s="6">
        <v>0</v>
      </c>
      <c r="FD425" s="6">
        <v>0</v>
      </c>
      <c r="FE425" s="6">
        <v>0</v>
      </c>
      <c r="FF425" s="6">
        <v>0</v>
      </c>
      <c r="FG425" s="6">
        <v>0</v>
      </c>
      <c r="FH425" s="6">
        <v>925.42160704259243</v>
      </c>
      <c r="FI425" s="6">
        <v>1232.1164465304232</v>
      </c>
      <c r="FJ425" s="6">
        <v>1709.9775738488456</v>
      </c>
      <c r="FK425" s="6">
        <v>1266.3227157028182</v>
      </c>
      <c r="FL425" s="6">
        <v>893.91433563489375</v>
      </c>
      <c r="FM425" s="6">
        <v>1317.2657523845567</v>
      </c>
      <c r="FN425" s="6">
        <v>0</v>
      </c>
      <c r="FO425" s="6">
        <v>0</v>
      </c>
      <c r="FP425" s="6">
        <v>0</v>
      </c>
      <c r="FQ425" s="6">
        <v>0</v>
      </c>
      <c r="FR425" s="6">
        <v>0</v>
      </c>
      <c r="FS425" s="6">
        <v>0</v>
      </c>
      <c r="FT425" s="7">
        <v>0.88003908710715573</v>
      </c>
      <c r="FU425" s="7">
        <v>2.0786403638656775E-2</v>
      </c>
      <c r="FV425" s="7">
        <v>9.9174509254187637E-2</v>
      </c>
      <c r="FW425" s="6">
        <v>1599.9999999999995</v>
      </c>
      <c r="FX425" s="6">
        <v>2167.2657523845564</v>
      </c>
      <c r="FY425" s="6">
        <v>-246</v>
      </c>
      <c r="FZ425" s="6">
        <v>1695.8504614767719</v>
      </c>
      <c r="GA425" s="6">
        <v>1428.7152708162212</v>
      </c>
      <c r="GB425" s="6">
        <v>18266.284729183779</v>
      </c>
      <c r="GC425" s="7">
        <v>8.1891069685915169E-2</v>
      </c>
      <c r="GD425" s="7">
        <v>7.9410553390545244E-2</v>
      </c>
      <c r="GE425" s="7"/>
      <c r="GF425" s="7"/>
      <c r="GG425" s="7">
        <v>-3.0290437099963301E-2</v>
      </c>
      <c r="GH425" s="42">
        <v>2.2332144155497664</v>
      </c>
      <c r="GI425" s="6">
        <v>10247.841577213238</v>
      </c>
      <c r="GJ425" s="14">
        <v>0.51074630601039528</v>
      </c>
      <c r="GK425" s="14">
        <v>0.50829519786160948</v>
      </c>
      <c r="GL425" s="14">
        <v>0.48925369398960422</v>
      </c>
      <c r="GM425" s="14">
        <v>0.49170480213839007</v>
      </c>
      <c r="GO425" s="5">
        <v>338.16872463277008</v>
      </c>
      <c r="GP425" s="5">
        <v>307.64377699166363</v>
      </c>
      <c r="GQ425" s="5">
        <v>527.27910984145694</v>
      </c>
      <c r="GR425" s="5">
        <v>404.20319246551543</v>
      </c>
      <c r="GS425" s="5">
        <v>334.50205195691484</v>
      </c>
      <c r="GT425" s="5">
        <v>289.18266033348181</v>
      </c>
      <c r="GU425" s="5">
        <v>254.29573314828914</v>
      </c>
      <c r="GV425" s="39" t="s">
        <v>392</v>
      </c>
      <c r="GW425" s="5">
        <v>475.29643226912253</v>
      </c>
      <c r="GX425" s="5">
        <v>358.07100736083845</v>
      </c>
      <c r="GY425" s="5">
        <v>287.73954748358943</v>
      </c>
      <c r="GZ425" s="5">
        <v>255.64660634518972</v>
      </c>
      <c r="HA425" s="5">
        <v>229.89195052129477</v>
      </c>
      <c r="HB425" s="39">
        <v>265.5893876354429</v>
      </c>
      <c r="HC425" s="5">
        <v>293.87812499999995</v>
      </c>
      <c r="HD425" s="5">
        <v>243.67143640350872</v>
      </c>
      <c r="HE425" s="5">
        <v>244.28647520242913</v>
      </c>
      <c r="HF425" s="5">
        <v>223.39192434210526</v>
      </c>
      <c r="HG425" s="5">
        <v>212.2899342105263</v>
      </c>
      <c r="HH425" s="39">
        <v>243.40593335844136</v>
      </c>
      <c r="HI425" s="16"/>
      <c r="HJ425" s="19" t="str">
        <f t="shared" si="1380"/>
        <v>On</v>
      </c>
      <c r="HK425" s="1" t="str">
        <f t="shared" si="1380"/>
        <v>On</v>
      </c>
      <c r="HL425" s="16"/>
      <c r="HM425" s="639">
        <f t="shared" si="1278"/>
        <v>6.6115095157691428E-2</v>
      </c>
      <c r="HN425" s="639">
        <f t="shared" si="1279"/>
        <v>2.3720927871164412E-3</v>
      </c>
      <c r="HO425" s="639">
        <f t="shared" si="1280"/>
        <v>7.7231033444443466E-3</v>
      </c>
      <c r="HP425" s="644">
        <f>(FT425*$GD425-HM425)/$JF425*INDEX(Input!$1:$1048576,$JG$93,$C425*2+6)</f>
        <v>91.94454829695421</v>
      </c>
      <c r="HQ425" s="644">
        <f>(FU425*$GD425-HN425)/$JF425*INDEX(Input!$1:$1048576,$JG$93,$C425*2+6)</f>
        <v>-17.597936849729496</v>
      </c>
      <c r="HR425" s="644">
        <f>(FV425*$GD425-HO425)/$JF425*INDEX(Input!$1:$1048576,$JG$93,$C425*2+6)</f>
        <v>3.7174812843403338</v>
      </c>
      <c r="HS425" s="644">
        <f t="shared" si="1381"/>
        <v>-20.987427494949337</v>
      </c>
      <c r="HT425" s="644">
        <f t="shared" si="1282"/>
        <v>-6.6841486709157278</v>
      </c>
      <c r="HU425" s="644">
        <f t="shared" si="1283"/>
        <v>8.8844297243763961</v>
      </c>
      <c r="HV425" s="648">
        <f t="shared" si="1284"/>
        <v>0</v>
      </c>
      <c r="HW425" s="648">
        <f t="shared" si="1285"/>
        <v>0</v>
      </c>
      <c r="HX425" s="648">
        <f t="shared" si="1286"/>
        <v>0</v>
      </c>
      <c r="HY425" s="644">
        <f>INDEX(Input!$1:$1048576,HY$93,$C425*2+6)*INDEX(Input!$1:$1048576,$JG$93,$C425*2+6)</f>
        <v>844</v>
      </c>
      <c r="HZ425" s="644">
        <f>INDEX(Input!$1:$1048576,HZ$93,$C425*2+6)*INDEX(Input!$1:$1048576,$JG$93,$C425*2+6)</f>
        <v>865</v>
      </c>
      <c r="IA425" s="644">
        <f>INDEX(Input!$1:$1048576,IA$93,$C425*2+6)*INDEX(Input!$1:$1048576,$JG$93,$C425*2+6)</f>
        <v>150</v>
      </c>
      <c r="IB425" s="644">
        <f t="shared" si="1310"/>
        <v>914.95712080200508</v>
      </c>
      <c r="IC425" s="644">
        <f t="shared" si="1311"/>
        <v>840.7179144793547</v>
      </c>
      <c r="ID425" s="644">
        <f>IF(AND(INDEX(Input!$1:$1048576,IA$93,$C425*2+7)="TOS",Y425&lt;=INDEX(Y:Y,MATCH(C425*1000+2,A:A))),0,1)*MAX(IA425+HR425+HU425+HX425,0%)</f>
        <v>162.60191100871671</v>
      </c>
      <c r="IE425" s="128">
        <f t="shared" si="1382"/>
        <v>0.47696820971107468</v>
      </c>
      <c r="IF425" s="128">
        <f t="shared" si="1383"/>
        <v>0.43826722523319306</v>
      </c>
      <c r="IG425" s="128">
        <f t="shared" si="1288"/>
        <v>8.4764565055732322E-2</v>
      </c>
      <c r="IH425" s="21"/>
      <c r="II425" s="19">
        <f t="shared" si="1289"/>
        <v>1199.9999999999998</v>
      </c>
      <c r="IJ425" s="19">
        <f t="shared" si="1290"/>
        <v>2195.4782357510435</v>
      </c>
      <c r="IK425" s="19">
        <f t="shared" si="1291"/>
        <v>-571</v>
      </c>
      <c r="IL425" s="19">
        <f t="shared" si="1313"/>
        <v>399.99999999999977</v>
      </c>
      <c r="IM425" s="19">
        <f t="shared" si="1292"/>
        <v>-28.212483366487049</v>
      </c>
      <c r="IN425" s="19">
        <f t="shared" si="1293"/>
        <v>325</v>
      </c>
      <c r="IO425" s="39">
        <f t="shared" si="1294"/>
        <v>0</v>
      </c>
      <c r="IP425" s="39">
        <f t="shared" si="1295"/>
        <v>0</v>
      </c>
      <c r="IQ425" s="39">
        <f t="shared" si="1296"/>
        <v>0</v>
      </c>
      <c r="IR425" s="39">
        <v>0</v>
      </c>
      <c r="IS425" s="39">
        <v>0</v>
      </c>
      <c r="IT425" s="39">
        <v>0</v>
      </c>
      <c r="IU425" s="39">
        <v>0</v>
      </c>
      <c r="IV425" s="39">
        <v>0</v>
      </c>
      <c r="IW425" s="39">
        <v>0</v>
      </c>
      <c r="IX425" s="39">
        <f>INDEX(Input!$1:$1048576,IX$93,$C425*2+6)+INDEX(Input!$1:$1048576,IX$94,$C425*2+6)</f>
        <v>1600</v>
      </c>
      <c r="IY425" s="39">
        <f>INDEX(Input!$1:$1048576,IY$93,$C425*2+6)+INDEX(Input!$1:$1048576,IY$94,$C425*2+6)</f>
        <v>2503.549291639752</v>
      </c>
      <c r="IZ425" s="39">
        <f>INDEX(Input!$1:$1048576,IZ$93,$C425*2+6)+INDEX(Input!$1:$1048576,IZ$94,$C425*2+6)</f>
        <v>5413.7109265464023</v>
      </c>
      <c r="JA425" s="19">
        <f t="shared" si="1314"/>
        <v>1999.9999999999998</v>
      </c>
      <c r="JB425" s="19">
        <f t="shared" si="1315"/>
        <v>2475.336808273265</v>
      </c>
      <c r="JC425" s="19">
        <f t="shared" si="1316"/>
        <v>5738.7109265464023</v>
      </c>
      <c r="JD425" s="19">
        <f t="shared" si="1317"/>
        <v>2525.234749570946</v>
      </c>
      <c r="JE425" s="21"/>
      <c r="JF425" s="1">
        <f t="shared" si="1297"/>
        <v>7.6210291289252219E-2</v>
      </c>
      <c r="JG425" s="15">
        <f>INDEX(Input!$1:$1048576,JG$93,$C425*2+6)/(1+VLOOKUP(C425*1000+INDEX(Input!$1:$1048576,JG$93+1,$C425*2+6),$A:$KK,$JK$92,FALSE))</f>
        <v>1859</v>
      </c>
      <c r="JH425" s="1">
        <f t="shared" si="1318"/>
        <v>4.199251895189083E-2</v>
      </c>
      <c r="JI425" s="1">
        <f t="shared" si="1319"/>
        <v>-1.0106049726459747E-2</v>
      </c>
      <c r="JJ425" s="1">
        <f t="shared" si="1384"/>
        <v>0</v>
      </c>
      <c r="JK425" s="1">
        <f t="shared" si="1385"/>
        <v>3.1886469225431084E-2</v>
      </c>
      <c r="JL425" s="15">
        <f t="shared" si="1322"/>
        <v>59.276946290076388</v>
      </c>
      <c r="JM425" s="15">
        <f t="shared" si="1348"/>
        <v>1918.2769462900765</v>
      </c>
      <c r="JN425" s="21"/>
      <c r="JO425" s="19">
        <f>INDEX(Input!$1:$1048576,JO$93,$C425*2+6)</f>
        <v>5908.5</v>
      </c>
      <c r="JP425" s="19">
        <f>INDEX(Input!$1:$1048576,JP$93,$C425*2+6)</f>
        <v>2328.1478086338602</v>
      </c>
      <c r="JQ425" s="39">
        <f t="shared" si="1334"/>
        <v>3383.265250429054</v>
      </c>
      <c r="JR425" s="39">
        <f t="shared" si="1351"/>
        <v>197.08694093708573</v>
      </c>
      <c r="JS425" s="39">
        <f t="shared" si="1336"/>
        <v>4.8440996040725404</v>
      </c>
      <c r="JT425" s="39">
        <f t="shared" si="1324"/>
        <v>0.51607282782219355</v>
      </c>
      <c r="JU425" s="385">
        <f>(JQ425*JM425-INDEX(Input!$1:$1048576,Input!A$18,$C425*2+6)*JL425*INDEX(Input!$1:$1048576,Input!A$19,$C425*2+6))/1000000</f>
        <v>6.4900397330823765</v>
      </c>
      <c r="JV425" s="39">
        <f t="shared" si="1358"/>
        <v>-0.16583499066727736</v>
      </c>
      <c r="JW425" s="1">
        <f t="shared" si="1349"/>
        <v>-2.4915581730458495E-2</v>
      </c>
      <c r="JX425" s="19">
        <f t="shared" si="1340"/>
        <v>8706.1304625368302</v>
      </c>
      <c r="JZ425" s="341"/>
      <c r="KA425" s="342"/>
      <c r="KB425" s="469">
        <f t="shared" si="1337"/>
        <v>2.3451977905499271</v>
      </c>
      <c r="KI425" s="473">
        <f t="shared" si="1364"/>
        <v>70.957120802005079</v>
      </c>
      <c r="KJ425" s="473">
        <f t="shared" si="1365"/>
        <v>-24.282085520645296</v>
      </c>
      <c r="KK425" s="473">
        <f t="shared" si="1326"/>
        <v>12.601911008716712</v>
      </c>
      <c r="KN425" s="544">
        <f t="shared" si="1341"/>
        <v>4002</v>
      </c>
      <c r="KO425" s="541">
        <f t="shared" si="1301"/>
        <v>-3.9728289737945288E-2</v>
      </c>
      <c r="KP425" s="546">
        <f t="shared" si="1302"/>
        <v>-187.71570301885723</v>
      </c>
      <c r="KQ425" s="546">
        <f t="shared" si="1303"/>
        <v>-198.50881202704977</v>
      </c>
      <c r="KR425" s="548">
        <f t="shared" si="1304"/>
        <v>3.5918092208517725</v>
      </c>
      <c r="KS425" s="548">
        <f t="shared" si="1305"/>
        <v>3.396519207973141</v>
      </c>
      <c r="KT425" s="473">
        <f t="shared" si="1339"/>
        <v>1050.27685337919</v>
      </c>
      <c r="KU425" s="663">
        <f t="shared" si="1327"/>
        <v>6.4457267370437732</v>
      </c>
      <c r="KV425" s="117"/>
    </row>
    <row r="426" spans="1:308" s="26" customFormat="1" ht="15">
      <c r="A426" s="561">
        <f t="shared" si="1306"/>
        <v>4026</v>
      </c>
      <c r="B426" s="561">
        <f t="shared" si="1328"/>
        <v>26</v>
      </c>
      <c r="C426" s="561">
        <f t="shared" si="1329"/>
        <v>4</v>
      </c>
      <c r="D426" s="561" t="str">
        <f t="shared" si="1378"/>
        <v xml:space="preserve">1.9/2.9/3.9/3.9, </v>
      </c>
      <c r="E426" s="475">
        <f>INDEX(Input!$1:$1048576,E$93,$C426*2+MIN($B426,2)+5)
+INDEX(Scenarios!E$121:E$200,MATCH($B426,Scenarios!$B$121:$B$200,0))</f>
        <v>1250</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3.8999999999999993E-2</v>
      </c>
      <c r="W426" s="863">
        <f>IFERROR(MAX(0,INDEX(Input!$1:$1048576,W$93,$C426*2+MIN($B426,2)+5)-0%,),"Market")</f>
        <v>3.9E-2</v>
      </c>
      <c r="X426" s="476" t="str">
        <f>INDEX(Input!$1:$1048576,X$93,$C426*2+MIN($B426,2)+5)</f>
        <v>Y</v>
      </c>
      <c r="Y426" s="475">
        <f>INDEX(Input!$1:$1048576,Y$93,$C426*2+MIN($B426,2)+5)
++INDEX(Scenarios!Y$121:Y$200,MATCH($B426,Scenarios!$B$121:$B$200,0))</f>
        <v>-2217</v>
      </c>
      <c r="Z426" s="477">
        <f>INDEX(Input!$1:$1048576,Z$93,$C426*2+MIN($B426,2)+5)
+INDEX(Scenarios!Z$121:Z$200,MATCH($B426,Scenarios!$B$121:$B$200,0))</f>
        <v>0</v>
      </c>
      <c r="AA426" s="475">
        <f>INDEX(Input!$1:$1048576,AA$93,$C426*2+MIN($B426,2)+5)</f>
        <v>0</v>
      </c>
      <c r="AB426" s="476">
        <f>INDEX(Input!$1:$1048576,AB$93,$C426*2+MIN($B426,2)+5)</f>
        <v>1</v>
      </c>
      <c r="AC426" s="475">
        <f>INDEX(Input!$1:$1048576,AC$93,$C426*2+MIN($B426,2)+5)
+INDEX(Scenarios!AC$121:AC$200,MATCH($B426,Scenarios!$B$121:$B$200,0))</f>
        <v>0</v>
      </c>
      <c r="AD426" s="476">
        <f>INDEX(Input!$1:$1048576,AD$93,$C426*2+MIN($B426,2)+5)</f>
        <v>0.35</v>
      </c>
      <c r="AE426" s="475">
        <f>INDEX(Input!$1:$1048576,AE$93,$C426*2+MIN($B426,2)+5)
+INDEX(Scenarios!AE$121:AE$200,MATCH($B426,Scenarios!$B$121:$B$200,0))</f>
        <v>0</v>
      </c>
      <c r="AF426" s="476">
        <f>INDEX(Input!$1:$1048576,AF$93,$C426*2+MIN($B426,2)+5)</f>
        <v>1</v>
      </c>
      <c r="AG426" s="475">
        <f>INDEX(Input!$1:$1048576,AG$93,$C426*2+MIN($B426,2)+5)
+INDEX(Scenarios!AG$121:AG$200,MATCH($B426,Scenarios!$B$121:$B$200,0))</f>
        <v>0</v>
      </c>
      <c r="AH426" s="476">
        <f>INDEX(Input!$1:$1048576,AH$93,$C426*2+MIN($B426,2)+5)</f>
        <v>1</v>
      </c>
      <c r="AI426" s="475">
        <f>INDEX(Input!$1:$1048576,AI$93,$C426*2+MIN($B426,2)+5)
+INDEX(Scenarios!AI$121:AI$200,MATCH($B426,Scenarios!$B$121:$B$200,0))</f>
        <v>0</v>
      </c>
      <c r="AJ426" s="476">
        <f>INDEX(Input!$1:$1048576,AJ$93,$C426*2+MIN($B426,2)+5)</f>
        <v>0.35</v>
      </c>
      <c r="AK426" s="150">
        <f>ROUND(INDEX(Input!$1:$1048576,AK$93,$C425*2+MIN($B426,1)+5)+(Y426-VLOOKUP($C426*1000+1,$A:$HH,Y$92,FALSE)),0)</f>
        <v>4592</v>
      </c>
      <c r="AL426" s="150">
        <f>ROUND(INDEX(Input!$1:$1048576,AL$93,$C425*2+MIN($B426,1)+5)-(Y426-VLOOKUP($C426*1000+1,$A:$HH,Y$92,FALSE))/36,0)</f>
        <v>4743</v>
      </c>
      <c r="AM426" s="32" t="str">
        <f t="shared" si="1307"/>
        <v>std/std/std/std</v>
      </c>
      <c r="AN426" s="32" t="str">
        <f t="shared" si="1308"/>
        <v>$0 + 1.9/1.9/1.9/3.9/3.9</v>
      </c>
      <c r="AO426" s="32" t="str">
        <f t="shared" si="1309"/>
        <v>1.9/1.9/1.9/3.9/3.9</v>
      </c>
      <c r="AP426" s="32" t="str">
        <f t="shared" si="1386"/>
        <v>1.9/2.9/3.9/3.9</v>
      </c>
      <c r="AQ426" s="536">
        <f t="shared" si="1379"/>
        <v>0.50001919160009001</v>
      </c>
      <c r="AR426" s="32"/>
      <c r="AS426" s="302"/>
      <c r="AT426" s="3">
        <f t="shared" si="1330"/>
        <v>26</v>
      </c>
      <c r="AU426" s="41" t="s">
        <v>121</v>
      </c>
      <c r="AV426" s="41" t="s">
        <v>116</v>
      </c>
      <c r="AW426" s="41" t="str">
        <f>INDEX(Input!$1:$1048576,AW$93,$C426*2+6)</f>
        <v>Kia</v>
      </c>
      <c r="AX426" s="41" t="str">
        <f>INDEX(Input!$1:$1048576,AX$93,$C426*2+6)</f>
        <v>Kia-LR - R1</v>
      </c>
      <c r="AY426" s="41" t="str">
        <f>IF(LEN(D426)=0,"",INDEX(Input!$1:$1048576,AY$93,$C426*2+6))</f>
        <v>Compact Conventional/Sporty Car (43)</v>
      </c>
      <c r="AZ426" s="41" t="str">
        <f>INDEX(Input!$1:$1048576,AZ$93,$C426*2+6)</f>
        <v>Kia Forte</v>
      </c>
      <c r="BA426" s="3">
        <f>INDEX(Input!$1:$1048576,BA$93,$C426*2+6)</f>
        <v>2020</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19695</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387"/>
        <v>1560</v>
      </c>
      <c r="CJ426" s="16" t="str">
        <f>INDEX(Input!$1:$1048576,CJ$93,$C426*2+6)</f>
        <v>N</v>
      </c>
      <c r="CK426" s="1" t="str">
        <f t="shared" si="1388"/>
        <v>Market</v>
      </c>
      <c r="CL426" s="1" t="str">
        <f t="shared" si="1389"/>
        <v>Market</v>
      </c>
      <c r="CM426" s="1" t="str">
        <f t="shared" si="1390"/>
        <v>Market</v>
      </c>
      <c r="CN426" s="1" t="str">
        <f t="shared" si="1391"/>
        <v>Market</v>
      </c>
      <c r="CO426" s="1" t="str">
        <f t="shared" si="1392"/>
        <v>Market</v>
      </c>
      <c r="CP426" s="304">
        <f t="shared" si="1393"/>
        <v>0</v>
      </c>
      <c r="CQ426" s="1">
        <f t="shared" si="1394"/>
        <v>1.9E-2</v>
      </c>
      <c r="CR426" s="1">
        <f t="shared" si="1395"/>
        <v>1.9E-2</v>
      </c>
      <c r="CS426" s="1">
        <f t="shared" si="1396"/>
        <v>1.9E-2</v>
      </c>
      <c r="CT426" s="1">
        <f t="shared" si="1397"/>
        <v>3.8999999999999993E-2</v>
      </c>
      <c r="CU426" s="1">
        <f t="shared" si="1398"/>
        <v>3.9E-2</v>
      </c>
      <c r="CV426" s="304">
        <f t="shared" si="1399"/>
        <v>-2217</v>
      </c>
      <c r="CW426" s="20" t="s">
        <v>122</v>
      </c>
      <c r="CX426" s="20" t="s">
        <v>122</v>
      </c>
      <c r="CY426" s="20" t="s">
        <v>122</v>
      </c>
      <c r="CZ426" s="20" t="s">
        <v>122</v>
      </c>
      <c r="DA426" s="20" t="s">
        <v>122</v>
      </c>
      <c r="DB426" s="503">
        <f t="shared" si="1400"/>
        <v>0</v>
      </c>
      <c r="DC426" s="127">
        <v>0</v>
      </c>
      <c r="DD426" s="127">
        <v>0</v>
      </c>
      <c r="DE426" s="127">
        <v>0</v>
      </c>
      <c r="DF426" s="127">
        <v>0</v>
      </c>
      <c r="DG426" s="127">
        <v>0</v>
      </c>
      <c r="DH426" s="127">
        <v>0</v>
      </c>
      <c r="DI426" s="127">
        <v>0</v>
      </c>
      <c r="DJ426" s="127">
        <v>0</v>
      </c>
      <c r="DK426" s="127">
        <v>0</v>
      </c>
      <c r="DL426" s="127">
        <v>0</v>
      </c>
      <c r="DM426" s="304">
        <f>INDEX(Input!$1:$1048576,DM$93,$C426*2+6)</f>
        <v>20731.578947368424</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4.6593587164029802E-2</v>
      </c>
      <c r="DZ426" s="7">
        <v>0</v>
      </c>
      <c r="EA426" s="7">
        <v>0.84009499313074043</v>
      </c>
      <c r="EB426" s="7">
        <v>0</v>
      </c>
      <c r="EC426" s="7">
        <v>0</v>
      </c>
      <c r="ED426" s="7">
        <v>0</v>
      </c>
      <c r="EE426" s="7">
        <v>0</v>
      </c>
      <c r="EF426" s="7">
        <v>0</v>
      </c>
      <c r="EG426" s="7">
        <v>0</v>
      </c>
      <c r="EH426" s="7">
        <v>1.906584825573272E-2</v>
      </c>
      <c r="EI426" s="7">
        <v>2.6565683046738092E-2</v>
      </c>
      <c r="EJ426" s="7">
        <v>0.22035590934084109</v>
      </c>
      <c r="EK426" s="7">
        <v>0.59469163431995864</v>
      </c>
      <c r="EL426" s="7">
        <v>0.13932092503672952</v>
      </c>
      <c r="EM426" s="7">
        <v>1.331820106895255E-2</v>
      </c>
      <c r="EN426" s="7">
        <v>4.695845235724664E-2</v>
      </c>
      <c r="EO426" s="7">
        <v>0.5708268109760477</v>
      </c>
      <c r="EP426" s="7">
        <v>0.26932127600017619</v>
      </c>
      <c r="EQ426" s="7">
        <v>6.7916467946145143E-2</v>
      </c>
      <c r="ER426" s="7">
        <v>4.4976992720384489E-2</v>
      </c>
      <c r="ES426" s="7">
        <v>9.9993218636277276E-2</v>
      </c>
      <c r="ET426" s="7">
        <v>0.11331141970522975</v>
      </c>
      <c r="EU426" s="6">
        <v>1599.9999999999998</v>
      </c>
      <c r="EV426" s="6">
        <v>0</v>
      </c>
      <c r="EW426" s="6">
        <v>1599.9999999999998</v>
      </c>
      <c r="EX426" s="6">
        <v>0</v>
      </c>
      <c r="EY426" s="6">
        <v>1760.1053393386387</v>
      </c>
      <c r="EZ426" s="6">
        <v>-246</v>
      </c>
      <c r="FA426" s="6">
        <v>0</v>
      </c>
      <c r="FB426" s="6">
        <v>0</v>
      </c>
      <c r="FC426" s="6">
        <v>0</v>
      </c>
      <c r="FD426" s="6">
        <v>0</v>
      </c>
      <c r="FE426" s="6">
        <v>0</v>
      </c>
      <c r="FF426" s="6">
        <v>0</v>
      </c>
      <c r="FG426" s="6">
        <v>0</v>
      </c>
      <c r="FH426" s="6">
        <v>670.5593479845412</v>
      </c>
      <c r="FI426" s="6">
        <v>895.4505722393626</v>
      </c>
      <c r="FJ426" s="6">
        <v>1302.9658415685944</v>
      </c>
      <c r="FK426" s="6">
        <v>776.66319621661648</v>
      </c>
      <c r="FL426" s="6">
        <v>893.9143356348934</v>
      </c>
      <c r="FM426" s="6">
        <v>910.1053393386386</v>
      </c>
      <c r="FN426" s="6">
        <v>0</v>
      </c>
      <c r="FO426" s="6">
        <v>0</v>
      </c>
      <c r="FP426" s="6">
        <v>0</v>
      </c>
      <c r="FQ426" s="6">
        <v>0</v>
      </c>
      <c r="FR426" s="6">
        <v>0</v>
      </c>
      <c r="FS426" s="6">
        <v>0</v>
      </c>
      <c r="FT426" s="7">
        <v>0.88668858029477027</v>
      </c>
      <c r="FU426" s="7">
        <v>1.331820106895255E-2</v>
      </c>
      <c r="FV426" s="7">
        <v>9.9993218636277276E-2</v>
      </c>
      <c r="FW426" s="6">
        <v>1599.9999999999995</v>
      </c>
      <c r="FX426" s="6">
        <v>1760.1053393386387</v>
      </c>
      <c r="FY426" s="6">
        <v>-246</v>
      </c>
      <c r="FZ426" s="6">
        <v>1695.8504614767719</v>
      </c>
      <c r="GA426" s="6">
        <v>1417.5448334989569</v>
      </c>
      <c r="GB426" s="6">
        <v>18277.455166501044</v>
      </c>
      <c r="GC426" s="7">
        <v>8.1891069685915169E-2</v>
      </c>
      <c r="GD426" s="7">
        <v>7.915389638599106E-2</v>
      </c>
      <c r="GE426" s="7"/>
      <c r="GF426" s="7"/>
      <c r="GG426" s="7">
        <v>-3.3424564002183112E-2</v>
      </c>
      <c r="GH426" s="42">
        <v>2.3653736103226497</v>
      </c>
      <c r="GI426" s="6">
        <v>9743.9250357848377</v>
      </c>
      <c r="GJ426" s="14">
        <v>0.51074630601039539</v>
      </c>
      <c r="GK426" s="14">
        <v>0.5082951978616097</v>
      </c>
      <c r="GL426" s="14">
        <v>0.48925369398960405</v>
      </c>
      <c r="GM426" s="14">
        <v>0.4917048021383903</v>
      </c>
      <c r="GO426" s="5">
        <v>338.16872463277008</v>
      </c>
      <c r="GP426" s="5">
        <v>307.64377699166363</v>
      </c>
      <c r="GQ426" s="5">
        <v>527.27910984145694</v>
      </c>
      <c r="GR426" s="5">
        <v>404.20319246551543</v>
      </c>
      <c r="GS426" s="5">
        <v>334.50205195691484</v>
      </c>
      <c r="GT426" s="5">
        <v>289.18266033348181</v>
      </c>
      <c r="GU426" s="5">
        <v>254.29573314828914</v>
      </c>
      <c r="GV426" s="39" t="s">
        <v>392</v>
      </c>
      <c r="GW426" s="5">
        <v>482.62147721109295</v>
      </c>
      <c r="GX426" s="5">
        <v>365.38001635587005</v>
      </c>
      <c r="GY426" s="5">
        <v>295.0520389871549</v>
      </c>
      <c r="GZ426" s="5">
        <v>263.25207727846521</v>
      </c>
      <c r="HA426" s="5">
        <v>229.89195052129477</v>
      </c>
      <c r="HB426" s="39">
        <v>272.50718518944944</v>
      </c>
      <c r="HC426" s="5">
        <v>293.87812499999995</v>
      </c>
      <c r="HD426" s="5">
        <v>243.67143640350872</v>
      </c>
      <c r="HE426" s="5">
        <v>244.28647520242913</v>
      </c>
      <c r="HF426" s="5">
        <v>223.39192434210526</v>
      </c>
      <c r="HG426" s="5">
        <v>212.2899342105263</v>
      </c>
      <c r="HH426" s="39">
        <v>243.40594940552683</v>
      </c>
      <c r="HI426" s="16"/>
      <c r="HJ426" s="19" t="str">
        <f t="shared" si="1380"/>
        <v>On</v>
      </c>
      <c r="HK426" s="1" t="str">
        <f t="shared" si="1380"/>
        <v>On</v>
      </c>
      <c r="HL426" s="16"/>
      <c r="HM426" s="639">
        <f t="shared" si="1278"/>
        <v>6.6115095157691428E-2</v>
      </c>
      <c r="HN426" s="639">
        <f t="shared" si="1279"/>
        <v>2.3720927871164412E-3</v>
      </c>
      <c r="HO426" s="639">
        <f t="shared" si="1280"/>
        <v>7.7231033444443466E-3</v>
      </c>
      <c r="HP426" s="644">
        <f>(FT426*$GD426-HM426)/$JF426*INDEX(Input!$1:$1048576,$JG$93,$C426*2+6)</f>
        <v>99.273802774635371</v>
      </c>
      <c r="HQ426" s="644">
        <f>(FU426*$GD426-HN426)/$JF426*INDEX(Input!$1:$1048576,$JG$93,$C426*2+6)</f>
        <v>-32.147704377393744</v>
      </c>
      <c r="HR426" s="644">
        <f>(FV426*$GD426-HO426)/$JF426*INDEX(Input!$1:$1048576,$JG$93,$C426*2+6)</f>
        <v>4.6773520589207571</v>
      </c>
      <c r="HS426" s="644">
        <f t="shared" si="1381"/>
        <v>-20.90360446669742</v>
      </c>
      <c r="HT426" s="644">
        <f t="shared" si="1282"/>
        <v>-74.030860391940251</v>
      </c>
      <c r="HU426" s="644">
        <f t="shared" si="1283"/>
        <v>8.8006066961244809</v>
      </c>
      <c r="HV426" s="648">
        <f t="shared" si="1284"/>
        <v>0</v>
      </c>
      <c r="HW426" s="648">
        <f t="shared" si="1285"/>
        <v>0</v>
      </c>
      <c r="HX426" s="648">
        <f t="shared" si="1286"/>
        <v>0</v>
      </c>
      <c r="HY426" s="644">
        <f>INDEX(Input!$1:$1048576,HY$93,$C426*2+6)*INDEX(Input!$1:$1048576,$JG$93,$C426*2+6)</f>
        <v>844</v>
      </c>
      <c r="HZ426" s="644">
        <f>INDEX(Input!$1:$1048576,HZ$93,$C426*2+6)*INDEX(Input!$1:$1048576,$JG$93,$C426*2+6)</f>
        <v>865</v>
      </c>
      <c r="IA426" s="644">
        <f>INDEX(Input!$1:$1048576,IA$93,$C426*2+6)*INDEX(Input!$1:$1048576,$JG$93,$C426*2+6)</f>
        <v>150</v>
      </c>
      <c r="IB426" s="644">
        <f t="shared" si="1310"/>
        <v>922.37019830793815</v>
      </c>
      <c r="IC426" s="644">
        <f t="shared" si="1311"/>
        <v>758.821435230666</v>
      </c>
      <c r="ID426" s="644">
        <f>IF(AND(INDEX(Input!$1:$1048576,IA$93,$C426*2+7)="TOS",Y426&lt;=INDEX(Y:Y,MATCH(C426*1000+2,A:A))),0,1)*MAX(IA426+HR426+HU426+HX426,0%)</f>
        <v>163.47795875504522</v>
      </c>
      <c r="IE426" s="128">
        <f t="shared" si="1382"/>
        <v>0.50001919160009001</v>
      </c>
      <c r="IF426" s="128">
        <f t="shared" si="1383"/>
        <v>0.41135899805620624</v>
      </c>
      <c r="IG426" s="128">
        <f t="shared" si="1288"/>
        <v>8.8621810343703811E-2</v>
      </c>
      <c r="IH426" s="21"/>
      <c r="II426" s="19">
        <f t="shared" si="1289"/>
        <v>1199.9999999999998</v>
      </c>
      <c r="IJ426" s="19">
        <f t="shared" si="1290"/>
        <v>2195.4782357510435</v>
      </c>
      <c r="IK426" s="19">
        <f t="shared" si="1291"/>
        <v>-571</v>
      </c>
      <c r="IL426" s="19">
        <f t="shared" si="1313"/>
        <v>399.99999999999977</v>
      </c>
      <c r="IM426" s="19">
        <f t="shared" si="1292"/>
        <v>-435.37289641240477</v>
      </c>
      <c r="IN426" s="19">
        <f t="shared" si="1293"/>
        <v>325</v>
      </c>
      <c r="IO426" s="39">
        <f t="shared" si="1294"/>
        <v>0</v>
      </c>
      <c r="IP426" s="39">
        <f t="shared" si="1295"/>
        <v>0</v>
      </c>
      <c r="IQ426" s="39">
        <f t="shared" si="1296"/>
        <v>0</v>
      </c>
      <c r="IR426" s="39">
        <v>0</v>
      </c>
      <c r="IS426" s="39">
        <v>0</v>
      </c>
      <c r="IT426" s="39">
        <v>0</v>
      </c>
      <c r="IU426" s="39">
        <v>0</v>
      </c>
      <c r="IV426" s="39">
        <v>0</v>
      </c>
      <c r="IW426" s="39">
        <v>0</v>
      </c>
      <c r="IX426" s="39">
        <f>INDEX(Input!$1:$1048576,IX$93,$C426*2+6)+INDEX(Input!$1:$1048576,IX$94,$C426*2+6)</f>
        <v>1600</v>
      </c>
      <c r="IY426" s="39">
        <f>INDEX(Input!$1:$1048576,IY$93,$C426*2+6)+INDEX(Input!$1:$1048576,IY$94,$C426*2+6)</f>
        <v>2503.549291639752</v>
      </c>
      <c r="IZ426" s="39">
        <f>INDEX(Input!$1:$1048576,IZ$93,$C426*2+6)+INDEX(Input!$1:$1048576,IZ$94,$C426*2+6)</f>
        <v>5413.7109265464023</v>
      </c>
      <c r="JA426" s="19">
        <f t="shared" si="1314"/>
        <v>1999.9999999999998</v>
      </c>
      <c r="JB426" s="19">
        <f t="shared" si="1315"/>
        <v>2068.1763952273473</v>
      </c>
      <c r="JC426" s="19">
        <f t="shared" si="1316"/>
        <v>5738.7109265464023</v>
      </c>
      <c r="JD426" s="19">
        <f t="shared" si="1317"/>
        <v>2359.3763042941337</v>
      </c>
      <c r="JE426" s="21"/>
      <c r="JF426" s="1">
        <f t="shared" si="1297"/>
        <v>7.6210291289252219E-2</v>
      </c>
      <c r="JG426" s="15">
        <f>INDEX(Input!$1:$1048576,JG$93,$C426*2+6)/(1+VLOOKUP(C426*1000+INDEX(Input!$1:$1048576,JG$93+1,$C426*2+6),$A:$KK,$JK$92,FALSE))</f>
        <v>1859</v>
      </c>
      <c r="JH426" s="1">
        <f t="shared" si="1318"/>
        <v>3.8624771627844216E-2</v>
      </c>
      <c r="JI426" s="1">
        <f t="shared" si="1319"/>
        <v>-4.6333436343471326E-2</v>
      </c>
      <c r="JJ426" s="1">
        <f t="shared" si="1384"/>
        <v>0</v>
      </c>
      <c r="JK426" s="1">
        <f t="shared" si="1385"/>
        <v>-7.7086647156271101E-3</v>
      </c>
      <c r="JL426" s="15">
        <f t="shared" si="1322"/>
        <v>-14.330407706350798</v>
      </c>
      <c r="JM426" s="15">
        <f t="shared" si="1348"/>
        <v>1844.6695922936492</v>
      </c>
      <c r="JN426" s="21"/>
      <c r="JO426" s="19">
        <f>INDEX(Input!$1:$1048576,JO$93,$C426*2+6)</f>
        <v>5908.5</v>
      </c>
      <c r="JP426" s="19">
        <f>INDEX(Input!$1:$1048576,JP$93,$C426*2+6)</f>
        <v>2328.1478086338602</v>
      </c>
      <c r="JQ426" s="39">
        <f t="shared" si="1334"/>
        <v>3549.1236957058663</v>
      </c>
      <c r="JR426" s="39">
        <f t="shared" si="1351"/>
        <v>31.228495660273438</v>
      </c>
      <c r="JS426" s="39">
        <f t="shared" si="1336"/>
        <v>4.3522697253095561</v>
      </c>
      <c r="JT426" s="39">
        <f t="shared" si="1324"/>
        <v>2.4242949059209786E-2</v>
      </c>
      <c r="JU426" s="385">
        <f>(JQ426*JM426-INDEX(Input!$1:$1048576,Input!A$18,$C426*2+6)*JL426*INDEX(Input!$1:$1048576,Input!A$19,$C426*2+6))/1000000</f>
        <v>6.5469605607574701</v>
      </c>
      <c r="JV426" s="39">
        <f t="shared" si="1358"/>
        <v>-0.10891416299218371</v>
      </c>
      <c r="JW426" s="1">
        <f t="shared" si="1349"/>
        <v>-1.6363613726615607E-2</v>
      </c>
      <c r="JX426" s="19">
        <f t="shared" si="1340"/>
        <v>-1691.7138406652628</v>
      </c>
      <c r="JZ426" s="341"/>
      <c r="KA426" s="342"/>
      <c r="KB426" s="469">
        <f t="shared" si="1337"/>
        <v>2.3451977905499271</v>
      </c>
      <c r="KI426" s="473">
        <f t="shared" si="1364"/>
        <v>78.370198307938153</v>
      </c>
      <c r="KJ426" s="473">
        <f t="shared" si="1365"/>
        <v>-106.178564769334</v>
      </c>
      <c r="KK426" s="473">
        <f t="shared" si="1326"/>
        <v>13.477958755045222</v>
      </c>
      <c r="KN426" s="544">
        <f t="shared" si="1341"/>
        <v>4002</v>
      </c>
      <c r="KO426" s="541">
        <f t="shared" si="1301"/>
        <v>-7.6575450856528282E-2</v>
      </c>
      <c r="KP426" s="546">
        <f t="shared" si="1302"/>
        <v>-343.67964967838037</v>
      </c>
      <c r="KQ426" s="546">
        <f t="shared" si="1303"/>
        <v>-364.36725730386206</v>
      </c>
      <c r="KR426" s="548">
        <f t="shared" si="1304"/>
        <v>3.7813749361900135</v>
      </c>
      <c r="KS426" s="548">
        <f t="shared" si="1305"/>
        <v>3.5666805601267648</v>
      </c>
      <c r="KT426" s="473">
        <f t="shared" si="1339"/>
        <v>1050.27685337919</v>
      </c>
      <c r="KU426" s="663">
        <f t="shared" si="1327"/>
        <v>6.3138176041028045</v>
      </c>
      <c r="KV426" s="117"/>
    </row>
    <row r="427" spans="1:308" s="26" customFormat="1" ht="15">
      <c r="A427" s="561">
        <f t="shared" si="1306"/>
        <v>4027</v>
      </c>
      <c r="B427" s="561">
        <f t="shared" si="1328"/>
        <v>27</v>
      </c>
      <c r="C427" s="561">
        <f t="shared" si="1329"/>
        <v>4</v>
      </c>
      <c r="D427" s="561" t="str">
        <f t="shared" si="1378"/>
        <v xml:space="preserve">750 Combo, </v>
      </c>
      <c r="E427" s="475">
        <f>INDEX(Input!$1:$1048576,E$93,$C427*2+MIN($B427,2)+5)
+INDEX(Scenarios!E$121:E$200,MATCH($B427,Scenarios!$B$121:$B$200,0))</f>
        <v>1250</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1.8999999999999996E-2</v>
      </c>
      <c r="W427" s="863">
        <f>IFERROR(MAX(0,INDEX(Input!$1:$1048576,W$93,$C427*2+MIN($B427,2)+5)-0%,),"Market")</f>
        <v>3.9E-2</v>
      </c>
      <c r="X427" s="476" t="str">
        <f>INDEX(Input!$1:$1048576,X$93,$C427*2+MIN($B427,2)+5)</f>
        <v>Y</v>
      </c>
      <c r="Y427" s="475">
        <f>INDEX(Input!$1:$1048576,Y$93,$C427*2+MIN($B427,2)+5)
++INDEX(Scenarios!Y$121:Y$200,MATCH($B427,Scenarios!$B$121:$B$200,0))</f>
        <v>-2217</v>
      </c>
      <c r="Z427" s="477">
        <f>INDEX(Input!$1:$1048576,Z$93,$C427*2+MIN($B427,2)+5)
+INDEX(Scenarios!Z$121:Z$200,MATCH($B427,Scenarios!$B$121:$B$200,0))</f>
        <v>0</v>
      </c>
      <c r="AA427" s="475">
        <f>INDEX(Input!$1:$1048576,AA$93,$C427*2+MIN($B427,2)+5)</f>
        <v>0</v>
      </c>
      <c r="AB427" s="476">
        <f>INDEX(Input!$1:$1048576,AB$93,$C427*2+MIN($B427,2)+5)</f>
        <v>1</v>
      </c>
      <c r="AC427" s="475">
        <f>INDEX(Input!$1:$1048576,AC$93,$C427*2+MIN($B427,2)+5)
+INDEX(Scenarios!AC$121:AC$200,MATCH($B427,Scenarios!$B$121:$B$200,0))</f>
        <v>0</v>
      </c>
      <c r="AD427" s="476">
        <f>INDEX(Input!$1:$1048576,AD$93,$C427*2+MIN($B427,2)+5)</f>
        <v>0.35</v>
      </c>
      <c r="AE427" s="475">
        <f>INDEX(Input!$1:$1048576,AE$93,$C427*2+MIN($B427,2)+5)
+INDEX(Scenarios!AE$121:AE$200,MATCH($B427,Scenarios!$B$121:$B$200,0))</f>
        <v>0</v>
      </c>
      <c r="AF427" s="476">
        <f>INDEX(Input!$1:$1048576,AF$93,$C427*2+MIN($B427,2)+5)</f>
        <v>1</v>
      </c>
      <c r="AG427" s="475">
        <f>INDEX(Input!$1:$1048576,AG$93,$C427*2+MIN($B427,2)+5)
+INDEX(Scenarios!AG$121:AG$200,MATCH($B427,Scenarios!$B$121:$B$200,0))</f>
        <v>0</v>
      </c>
      <c r="AH427" s="476">
        <f>INDEX(Input!$1:$1048576,AH$93,$C427*2+MIN($B427,2)+5)</f>
        <v>1</v>
      </c>
      <c r="AI427" s="475">
        <f>INDEX(Input!$1:$1048576,AI$93,$C427*2+MIN($B427,2)+5)
+INDEX(Scenarios!AI$121:AI$200,MATCH($B427,Scenarios!$B$121:$B$200,0))</f>
        <v>0</v>
      </c>
      <c r="AJ427" s="476">
        <f>INDEX(Input!$1:$1048576,AJ$93,$C427*2+MIN($B427,2)+5)</f>
        <v>0.35</v>
      </c>
      <c r="AK427" s="150">
        <f>ROUND(INDEX(Input!$1:$1048576,AK$93,$C426*2+MIN($B427,1)+5)+(Y427-VLOOKUP($C427*1000+1,$A:$HH,Y$92,FALSE)),0)</f>
        <v>4592</v>
      </c>
      <c r="AL427" s="150">
        <f>ROUND(INDEX(Input!$1:$1048576,AL$93,$C426*2+MIN($B427,1)+5)-(Y427-VLOOKUP($C427*1000+1,$A:$HH,Y$92,FALSE))/36,0)</f>
        <v>4743</v>
      </c>
      <c r="AM427" s="32" t="str">
        <f t="shared" si="1307"/>
        <v>std/std/std/std</v>
      </c>
      <c r="AN427" s="32" t="str">
        <f t="shared" si="1308"/>
        <v>$750 + 0/0/0/1.9/3.9</v>
      </c>
      <c r="AO427" s="32" t="str">
        <f t="shared" si="1309"/>
        <v>0/0/0/1.9/3.9</v>
      </c>
      <c r="AP427" s="32" t="str">
        <f t="shared" si="1386"/>
        <v>0/0.9/1.9/3.9</v>
      </c>
      <c r="AQ427" s="536">
        <f t="shared" si="1379"/>
        <v>0.4209319866135357</v>
      </c>
      <c r="AR427" s="32"/>
      <c r="AS427" s="302"/>
      <c r="AT427" s="3">
        <f t="shared" si="1330"/>
        <v>27</v>
      </c>
      <c r="AU427" s="41" t="s">
        <v>121</v>
      </c>
      <c r="AV427" s="41" t="s">
        <v>116</v>
      </c>
      <c r="AW427" s="41" t="str">
        <f>INDEX(Input!$1:$1048576,AW$93,$C427*2+6)</f>
        <v>Kia</v>
      </c>
      <c r="AX427" s="41" t="str">
        <f>INDEX(Input!$1:$1048576,AX$93,$C427*2+6)</f>
        <v>Kia-LR - R1</v>
      </c>
      <c r="AY427" s="41" t="str">
        <f>IF(LEN(D427)=0,"",INDEX(Input!$1:$1048576,AY$93,$C427*2+6))</f>
        <v>Compact Conventional/Sporty Car (43)</v>
      </c>
      <c r="AZ427" s="41" t="str">
        <f>INDEX(Input!$1:$1048576,AZ$93,$C427*2+6)</f>
        <v>Kia Forte</v>
      </c>
      <c r="BA427" s="3">
        <f>INDEX(Input!$1:$1048576,BA$93,$C427*2+6)</f>
        <v>2020</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19695</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387"/>
        <v>1560</v>
      </c>
      <c r="CJ427" s="16" t="str">
        <f>INDEX(Input!$1:$1048576,CJ$93,$C427*2+6)</f>
        <v>N</v>
      </c>
      <c r="CK427" s="1" t="str">
        <f t="shared" si="1388"/>
        <v>Market</v>
      </c>
      <c r="CL427" s="1" t="str">
        <f t="shared" si="1389"/>
        <v>Market</v>
      </c>
      <c r="CM427" s="1" t="str">
        <f t="shared" si="1390"/>
        <v>Market</v>
      </c>
      <c r="CN427" s="1" t="str">
        <f t="shared" si="1391"/>
        <v>Market</v>
      </c>
      <c r="CO427" s="1" t="str">
        <f t="shared" si="1392"/>
        <v>Market</v>
      </c>
      <c r="CP427" s="304">
        <f t="shared" si="1393"/>
        <v>750</v>
      </c>
      <c r="CQ427" s="1">
        <f t="shared" si="1394"/>
        <v>0</v>
      </c>
      <c r="CR427" s="1">
        <f t="shared" si="1395"/>
        <v>0</v>
      </c>
      <c r="CS427" s="1">
        <f t="shared" si="1396"/>
        <v>0</v>
      </c>
      <c r="CT427" s="1">
        <f t="shared" si="1397"/>
        <v>1.8999999999999996E-2</v>
      </c>
      <c r="CU427" s="1">
        <f t="shared" si="1398"/>
        <v>3.9E-2</v>
      </c>
      <c r="CV427" s="304">
        <f t="shared" si="1399"/>
        <v>-2217</v>
      </c>
      <c r="CW427" s="20" t="s">
        <v>122</v>
      </c>
      <c r="CX427" s="20" t="s">
        <v>122</v>
      </c>
      <c r="CY427" s="20" t="s">
        <v>122</v>
      </c>
      <c r="CZ427" s="20" t="s">
        <v>122</v>
      </c>
      <c r="DA427" s="20" t="s">
        <v>122</v>
      </c>
      <c r="DB427" s="503">
        <f t="shared" si="1400"/>
        <v>0</v>
      </c>
      <c r="DC427" s="127">
        <v>0</v>
      </c>
      <c r="DD427" s="127">
        <v>0</v>
      </c>
      <c r="DE427" s="127">
        <v>0</v>
      </c>
      <c r="DF427" s="127">
        <v>0</v>
      </c>
      <c r="DG427" s="127">
        <v>0</v>
      </c>
      <c r="DH427" s="127">
        <v>0</v>
      </c>
      <c r="DI427" s="127">
        <v>0</v>
      </c>
      <c r="DJ427" s="127">
        <v>0</v>
      </c>
      <c r="DK427" s="127">
        <v>0</v>
      </c>
      <c r="DL427" s="127">
        <v>0</v>
      </c>
      <c r="DM427" s="304">
        <f>INDEX(Input!$1:$1048576,DM$93,$C427*2+6)</f>
        <v>20731.578947368424</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4.5404784742242424E-2</v>
      </c>
      <c r="DZ427" s="7">
        <v>0</v>
      </c>
      <c r="EA427" s="7">
        <v>0.81845042594940742</v>
      </c>
      <c r="EB427" s="7">
        <v>0</v>
      </c>
      <c r="EC427" s="7">
        <v>0</v>
      </c>
      <c r="ED427" s="7">
        <v>0</v>
      </c>
      <c r="EE427" s="7">
        <v>0</v>
      </c>
      <c r="EF427" s="7">
        <v>0</v>
      </c>
      <c r="EG427" s="7">
        <v>0</v>
      </c>
      <c r="EH427" s="7">
        <v>1.2255830349174402E-2</v>
      </c>
      <c r="EI427" s="7">
        <v>1.9681503191915622E-2</v>
      </c>
      <c r="EJ427" s="7">
        <v>0.18469122249009107</v>
      </c>
      <c r="EK427" s="7">
        <v>0.72510597802195664</v>
      </c>
      <c r="EL427" s="7">
        <v>5.8265465946862813E-2</v>
      </c>
      <c r="EM427" s="7">
        <v>3.8749917995420852E-2</v>
      </c>
      <c r="EN427" s="7">
        <v>4.6958881896063932E-2</v>
      </c>
      <c r="EO427" s="7">
        <v>0.57082742065414982</v>
      </c>
      <c r="EP427" s="7">
        <v>0.26931822530106264</v>
      </c>
      <c r="EQ427" s="7">
        <v>6.7916541075124834E-2</v>
      </c>
      <c r="ER427" s="7">
        <v>4.497893107359887E-2</v>
      </c>
      <c r="ES427" s="7">
        <v>9.7394871312929274E-2</v>
      </c>
      <c r="ET427" s="7">
        <v>0.13614478930835017</v>
      </c>
      <c r="EU427" s="6">
        <v>1599.9999999999998</v>
      </c>
      <c r="EV427" s="6">
        <v>0</v>
      </c>
      <c r="EW427" s="6">
        <v>1599.9999999999998</v>
      </c>
      <c r="EX427" s="6">
        <v>0</v>
      </c>
      <c r="EY427" s="6">
        <v>3345.5563122795793</v>
      </c>
      <c r="EZ427" s="6">
        <v>-246</v>
      </c>
      <c r="FA427" s="6">
        <v>0</v>
      </c>
      <c r="FB427" s="6">
        <v>0</v>
      </c>
      <c r="FC427" s="6">
        <v>0</v>
      </c>
      <c r="FD427" s="6">
        <v>0</v>
      </c>
      <c r="FE427" s="6">
        <v>0</v>
      </c>
      <c r="FF427" s="6">
        <v>0</v>
      </c>
      <c r="FG427" s="6">
        <v>0</v>
      </c>
      <c r="FH427" s="6">
        <v>1153.2526406701679</v>
      </c>
      <c r="FI427" s="6">
        <v>1531.4299904380621</v>
      </c>
      <c r="FJ427" s="6">
        <v>2070.720584253821</v>
      </c>
      <c r="FK427" s="6">
        <v>1746.9903521590422</v>
      </c>
      <c r="FL427" s="6">
        <v>893.91433563489295</v>
      </c>
      <c r="FM427" s="6">
        <v>1745.5563122795791</v>
      </c>
      <c r="FN427" s="6">
        <v>0</v>
      </c>
      <c r="FO427" s="6">
        <v>0</v>
      </c>
      <c r="FP427" s="6">
        <v>0</v>
      </c>
      <c r="FQ427" s="6">
        <v>0</v>
      </c>
      <c r="FR427" s="6">
        <v>0</v>
      </c>
      <c r="FS427" s="6">
        <v>0</v>
      </c>
      <c r="FT427" s="7">
        <v>0.86385521069164983</v>
      </c>
      <c r="FU427" s="7">
        <v>3.8749917995420852E-2</v>
      </c>
      <c r="FV427" s="7">
        <v>9.7394871312929274E-2</v>
      </c>
      <c r="FW427" s="6">
        <v>1600</v>
      </c>
      <c r="FX427" s="6">
        <v>3345.5563122795788</v>
      </c>
      <c r="FY427" s="6">
        <v>-246</v>
      </c>
      <c r="FZ427" s="6">
        <v>1695.8504614767719</v>
      </c>
      <c r="GA427" s="6">
        <v>1487.8492315135554</v>
      </c>
      <c r="GB427" s="6">
        <v>18207.150768486445</v>
      </c>
      <c r="GC427" s="7">
        <v>8.1891069685915169E-2</v>
      </c>
      <c r="GD427" s="7">
        <v>7.9978553505747035E-2</v>
      </c>
      <c r="GE427" s="7"/>
      <c r="GF427" s="7"/>
      <c r="GG427" s="7">
        <v>-2.3354392456996761E-2</v>
      </c>
      <c r="GH427" s="42">
        <v>2.2113559593945316</v>
      </c>
      <c r="GI427" s="6">
        <v>10394.14942091973</v>
      </c>
      <c r="GJ427" s="14">
        <v>0.51074630601039528</v>
      </c>
      <c r="GK427" s="14">
        <v>0.50829519786160959</v>
      </c>
      <c r="GL427" s="14">
        <v>0.48925369398960411</v>
      </c>
      <c r="GM427" s="14">
        <v>0.49170480213839024</v>
      </c>
      <c r="GO427" s="5">
        <v>338.16872463277008</v>
      </c>
      <c r="GP427" s="5">
        <v>307.64377699166363</v>
      </c>
      <c r="GQ427" s="5">
        <v>527.27910984145694</v>
      </c>
      <c r="GR427" s="5">
        <v>404.20319246551543</v>
      </c>
      <c r="GS427" s="5">
        <v>334.50205195691484</v>
      </c>
      <c r="GT427" s="5">
        <v>289.18266033348181</v>
      </c>
      <c r="GU427" s="5">
        <v>254.29573314828914</v>
      </c>
      <c r="GV427" s="39" t="s">
        <v>392</v>
      </c>
      <c r="GW427" s="5">
        <v>447.93055555555554</v>
      </c>
      <c r="GX427" s="5">
        <v>335.94791666666669</v>
      </c>
      <c r="GY427" s="5">
        <v>268.75833333333333</v>
      </c>
      <c r="GZ427" s="5">
        <v>237.1508678834881</v>
      </c>
      <c r="HA427" s="5">
        <v>219.67483322752742</v>
      </c>
      <c r="HB427" s="39">
        <v>246.49799453923922</v>
      </c>
      <c r="HC427" s="5">
        <v>293.87812499999995</v>
      </c>
      <c r="HD427" s="5">
        <v>243.67143640350872</v>
      </c>
      <c r="HE427" s="5">
        <v>244.28647520242913</v>
      </c>
      <c r="HF427" s="5">
        <v>223.39192434210526</v>
      </c>
      <c r="HG427" s="5">
        <v>212.2899342105263</v>
      </c>
      <c r="HH427" s="39">
        <v>243.40590678349443</v>
      </c>
      <c r="HI427" s="16"/>
      <c r="HJ427" s="19" t="str">
        <f t="shared" si="1380"/>
        <v>On</v>
      </c>
      <c r="HK427" s="1" t="str">
        <f t="shared" si="1380"/>
        <v>On</v>
      </c>
      <c r="HL427" s="16"/>
      <c r="HM427" s="639">
        <f t="shared" si="1278"/>
        <v>6.6115095157691428E-2</v>
      </c>
      <c r="HN427" s="639">
        <f t="shared" si="1279"/>
        <v>2.3720927871164412E-3</v>
      </c>
      <c r="HO427" s="639">
        <f t="shared" si="1280"/>
        <v>7.7231033444443466E-3</v>
      </c>
      <c r="HP427" s="644">
        <f>(FT427*$GD427-HM427)/$JF427*INDEX(Input!$1:$1048576,$JG$93,$C427*2+6)</f>
        <v>72.564267510550053</v>
      </c>
      <c r="HQ427" s="644">
        <f>(FU427*$GD427-HN427)/$JF427*INDEX(Input!$1:$1048576,$JG$93,$C427*2+6)</f>
        <v>17.73543137563043</v>
      </c>
      <c r="HR427" s="644">
        <f>(FV427*$GD427-HO427)/$JF427*INDEX(Input!$1:$1048576,$JG$93,$C427*2+6)</f>
        <v>1.6196382788750476</v>
      </c>
      <c r="HS427" s="644">
        <f t="shared" si="1381"/>
        <v>-21.230004817612379</v>
      </c>
      <c r="HT427" s="644">
        <f t="shared" si="1282"/>
        <v>188.21199574355975</v>
      </c>
      <c r="HU427" s="644">
        <f t="shared" si="1283"/>
        <v>9.1270070470394113</v>
      </c>
      <c r="HV427" s="648">
        <f t="shared" si="1284"/>
        <v>0</v>
      </c>
      <c r="HW427" s="648">
        <f t="shared" si="1285"/>
        <v>0</v>
      </c>
      <c r="HX427" s="648">
        <f t="shared" si="1286"/>
        <v>0</v>
      </c>
      <c r="HY427" s="644">
        <f>INDEX(Input!$1:$1048576,HY$93,$C427*2+6)*INDEX(Input!$1:$1048576,$JG$93,$C427*2+6)</f>
        <v>844</v>
      </c>
      <c r="HZ427" s="644">
        <f>INDEX(Input!$1:$1048576,HZ$93,$C427*2+6)*INDEX(Input!$1:$1048576,$JG$93,$C427*2+6)</f>
        <v>865</v>
      </c>
      <c r="IA427" s="644">
        <f>INDEX(Input!$1:$1048576,IA$93,$C427*2+6)*INDEX(Input!$1:$1048576,$JG$93,$C427*2+6)</f>
        <v>150</v>
      </c>
      <c r="IB427" s="644">
        <f t="shared" si="1310"/>
        <v>895.3342626929375</v>
      </c>
      <c r="IC427" s="644">
        <f t="shared" si="1311"/>
        <v>1070.9474271191903</v>
      </c>
      <c r="ID427" s="644">
        <f>IF(AND(INDEX(Input!$1:$1048576,IA$93,$C427*2+7)="TOS",Y427&lt;=INDEX(Y:Y,MATCH(C427*1000+2,A:A))),0,1)*MAX(IA427+HR427+HU427+HX427,0%)</f>
        <v>160.74664532591444</v>
      </c>
      <c r="IE427" s="128">
        <f t="shared" si="1382"/>
        <v>0.4209319866135357</v>
      </c>
      <c r="IF427" s="128">
        <f t="shared" si="1383"/>
        <v>0.50349466879560245</v>
      </c>
      <c r="IG427" s="128">
        <f t="shared" si="1288"/>
        <v>7.5573344590861846E-2</v>
      </c>
      <c r="IH427" s="21"/>
      <c r="II427" s="19">
        <f t="shared" si="1289"/>
        <v>1199.9999999999998</v>
      </c>
      <c r="IJ427" s="19">
        <f t="shared" si="1290"/>
        <v>2195.4782357510435</v>
      </c>
      <c r="IK427" s="19">
        <f t="shared" si="1291"/>
        <v>-571</v>
      </c>
      <c r="IL427" s="19">
        <f t="shared" si="1313"/>
        <v>400.00000000000023</v>
      </c>
      <c r="IM427" s="19">
        <f t="shared" si="1292"/>
        <v>1150.0780765285353</v>
      </c>
      <c r="IN427" s="19">
        <f t="shared" si="1293"/>
        <v>325</v>
      </c>
      <c r="IO427" s="39">
        <f t="shared" si="1294"/>
        <v>0</v>
      </c>
      <c r="IP427" s="39">
        <f t="shared" si="1295"/>
        <v>0</v>
      </c>
      <c r="IQ427" s="39">
        <f t="shared" si="1296"/>
        <v>0</v>
      </c>
      <c r="IR427" s="39">
        <v>0</v>
      </c>
      <c r="IS427" s="39">
        <v>0</v>
      </c>
      <c r="IT427" s="39">
        <v>0</v>
      </c>
      <c r="IU427" s="39">
        <v>0</v>
      </c>
      <c r="IV427" s="39">
        <v>0</v>
      </c>
      <c r="IW427" s="39">
        <v>0</v>
      </c>
      <c r="IX427" s="39">
        <f>INDEX(Input!$1:$1048576,IX$93,$C427*2+6)+INDEX(Input!$1:$1048576,IX$94,$C427*2+6)</f>
        <v>1600</v>
      </c>
      <c r="IY427" s="39">
        <f>INDEX(Input!$1:$1048576,IY$93,$C427*2+6)+INDEX(Input!$1:$1048576,IY$94,$C427*2+6)</f>
        <v>2503.549291639752</v>
      </c>
      <c r="IZ427" s="39">
        <f>INDEX(Input!$1:$1048576,IZ$93,$C427*2+6)+INDEX(Input!$1:$1048576,IZ$94,$C427*2+6)</f>
        <v>5413.7109265464023</v>
      </c>
      <c r="JA427" s="19">
        <f t="shared" si="1314"/>
        <v>2000.0000000000002</v>
      </c>
      <c r="JB427" s="19">
        <f t="shared" si="1315"/>
        <v>3653.6273681682874</v>
      </c>
      <c r="JC427" s="19">
        <f t="shared" si="1316"/>
        <v>5738.7109265464023</v>
      </c>
      <c r="JD427" s="19">
        <f t="shared" si="1317"/>
        <v>3115.1394532247473</v>
      </c>
      <c r="JE427" s="21"/>
      <c r="JF427" s="1">
        <f t="shared" si="1297"/>
        <v>7.6210291289252219E-2</v>
      </c>
      <c r="JG427" s="15">
        <f>INDEX(Input!$1:$1048576,JG$93,$C427*2+6)/(1+VLOOKUP(C427*1000+INDEX(Input!$1:$1048576,JG$93+1,$C427*2+6),$A:$KK,$JK$92,FALSE))</f>
        <v>1859</v>
      </c>
      <c r="JH427" s="1">
        <f t="shared" si="1318"/>
        <v>4.944558212213853E-2</v>
      </c>
      <c r="JI427" s="1">
        <f t="shared" si="1319"/>
        <v>9.4733188796657763E-2</v>
      </c>
      <c r="JJ427" s="1">
        <f t="shared" si="1384"/>
        <v>0</v>
      </c>
      <c r="JK427" s="1">
        <f t="shared" si="1385"/>
        <v>0.1441787709187963</v>
      </c>
      <c r="JL427" s="15">
        <f t="shared" si="1322"/>
        <v>268.02833513804234</v>
      </c>
      <c r="JM427" s="15">
        <f t="shared" si="1348"/>
        <v>2127.0283351380422</v>
      </c>
      <c r="JN427" s="21"/>
      <c r="JO427" s="19">
        <f>INDEX(Input!$1:$1048576,JO$93,$C427*2+6)</f>
        <v>5908.5</v>
      </c>
      <c r="JP427" s="19">
        <f>INDEX(Input!$1:$1048576,JP$93,$C427*2+6)</f>
        <v>2328.1478086338602</v>
      </c>
      <c r="JQ427" s="39">
        <f t="shared" si="1334"/>
        <v>2793.3605467752527</v>
      </c>
      <c r="JR427" s="39">
        <f t="shared" si="1351"/>
        <v>786.99164459088706</v>
      </c>
      <c r="JS427" s="39">
        <f t="shared" si="1336"/>
        <v>6.6259898849154659</v>
      </c>
      <c r="JT427" s="39">
        <f t="shared" si="1324"/>
        <v>2.2979631086651189</v>
      </c>
      <c r="JU427" s="385">
        <f>(JQ427*JM427-INDEX(Input!$1:$1048576,Input!A$18,$C427*2+6)*JL427*INDEX(Input!$1:$1048576,Input!A$19,$C427*2+6))/1000000</f>
        <v>5.9415570332476575</v>
      </c>
      <c r="JV427" s="39">
        <f t="shared" si="1358"/>
        <v>-0.71431769050199634</v>
      </c>
      <c r="JW427" s="1">
        <f t="shared" si="1349"/>
        <v>-0.10732138451361631</v>
      </c>
      <c r="JX427" s="19">
        <f t="shared" si="1340"/>
        <v>8573.5827425917541</v>
      </c>
      <c r="JZ427" s="341"/>
      <c r="KA427" s="342"/>
      <c r="KB427" s="469">
        <f t="shared" si="1337"/>
        <v>2.3451977905499271</v>
      </c>
      <c r="KI427" s="473">
        <f t="shared" si="1364"/>
        <v>51.3342626929375</v>
      </c>
      <c r="KJ427" s="473">
        <f t="shared" si="1365"/>
        <v>205.94742711919025</v>
      </c>
      <c r="KK427" s="473">
        <f t="shared" si="1326"/>
        <v>10.746645325914443</v>
      </c>
      <c r="KN427" s="544">
        <f t="shared" si="1341"/>
        <v>4002</v>
      </c>
      <c r="KO427" s="541">
        <f t="shared" si="1301"/>
        <v>6.4770726202531215E-2</v>
      </c>
      <c r="KP427" s="546">
        <f t="shared" si="1302"/>
        <v>377.60952737823055</v>
      </c>
      <c r="KQ427" s="546">
        <f t="shared" si="1303"/>
        <v>391.39589162675156</v>
      </c>
      <c r="KR427" s="548">
        <f t="shared" si="1304"/>
        <v>2.9110510312512132</v>
      </c>
      <c r="KS427" s="548">
        <f t="shared" si="1305"/>
        <v>2.8085133942411291</v>
      </c>
      <c r="KT427" s="473">
        <f t="shared" si="1339"/>
        <v>1050.27685337919</v>
      </c>
      <c r="KU427" s="663">
        <f t="shared" si="1327"/>
        <v>6.4817456482027458</v>
      </c>
      <c r="KV427" s="117"/>
    </row>
    <row r="428" spans="1:308" s="26" customFormat="1" ht="15">
      <c r="A428" s="561">
        <f t="shared" si="1306"/>
        <v>4028</v>
      </c>
      <c r="B428" s="561">
        <f t="shared" si="1328"/>
        <v>28</v>
      </c>
      <c r="C428" s="561">
        <f t="shared" si="1329"/>
        <v>4</v>
      </c>
      <c r="D428" s="561" t="str">
        <f t="shared" si="1378"/>
        <v xml:space="preserve">1000 Combo, </v>
      </c>
      <c r="E428" s="475">
        <f>INDEX(Input!$1:$1048576,E$93,$C428*2+MIN($B428,2)+5)
+INDEX(Scenarios!E$121:E$200,MATCH($B428,Scenarios!$B$121:$B$200,0))</f>
        <v>1250</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1.8999999999999996E-2</v>
      </c>
      <c r="W428" s="863">
        <f>IFERROR(MAX(0,INDEX(Input!$1:$1048576,W$93,$C428*2+MIN($B428,2)+5)-0%,),"Market")</f>
        <v>3.9E-2</v>
      </c>
      <c r="X428" s="476" t="str">
        <f>INDEX(Input!$1:$1048576,X$93,$C428*2+MIN($B428,2)+5)</f>
        <v>Y</v>
      </c>
      <c r="Y428" s="475">
        <f>INDEX(Input!$1:$1048576,Y$93,$C428*2+MIN($B428,2)+5)
++INDEX(Scenarios!Y$121:Y$200,MATCH($B428,Scenarios!$B$121:$B$200,0))</f>
        <v>-2217</v>
      </c>
      <c r="Z428" s="477">
        <f>INDEX(Input!$1:$1048576,Z$93,$C428*2+MIN($B428,2)+5)
+INDEX(Scenarios!Z$121:Z$200,MATCH($B428,Scenarios!$B$121:$B$200,0))</f>
        <v>0</v>
      </c>
      <c r="AA428" s="475">
        <f>INDEX(Input!$1:$1048576,AA$93,$C428*2+MIN($B428,2)+5)</f>
        <v>0</v>
      </c>
      <c r="AB428" s="476">
        <f>INDEX(Input!$1:$1048576,AB$93,$C428*2+MIN($B428,2)+5)</f>
        <v>1</v>
      </c>
      <c r="AC428" s="475">
        <f>INDEX(Input!$1:$1048576,AC$93,$C428*2+MIN($B428,2)+5)
+INDEX(Scenarios!AC$121:AC$200,MATCH($B428,Scenarios!$B$121:$B$200,0))</f>
        <v>0</v>
      </c>
      <c r="AD428" s="476">
        <f>INDEX(Input!$1:$1048576,AD$93,$C428*2+MIN($B428,2)+5)</f>
        <v>0.35</v>
      </c>
      <c r="AE428" s="475">
        <f>INDEX(Input!$1:$1048576,AE$93,$C428*2+MIN($B428,2)+5)
+INDEX(Scenarios!AE$121:AE$200,MATCH($B428,Scenarios!$B$121:$B$200,0))</f>
        <v>0</v>
      </c>
      <c r="AF428" s="476">
        <f>INDEX(Input!$1:$1048576,AF$93,$C428*2+MIN($B428,2)+5)</f>
        <v>1</v>
      </c>
      <c r="AG428" s="475">
        <f>INDEX(Input!$1:$1048576,AG$93,$C428*2+MIN($B428,2)+5)
+INDEX(Scenarios!AG$121:AG$200,MATCH($B428,Scenarios!$B$121:$B$200,0))</f>
        <v>0</v>
      </c>
      <c r="AH428" s="476">
        <f>INDEX(Input!$1:$1048576,AH$93,$C428*2+MIN($B428,2)+5)</f>
        <v>1</v>
      </c>
      <c r="AI428" s="475">
        <f>INDEX(Input!$1:$1048576,AI$93,$C428*2+MIN($B428,2)+5)
+INDEX(Scenarios!AI$121:AI$200,MATCH($B428,Scenarios!$B$121:$B$200,0))</f>
        <v>0</v>
      </c>
      <c r="AJ428" s="476">
        <f>INDEX(Input!$1:$1048576,AJ$93,$C428*2+MIN($B428,2)+5)</f>
        <v>0.35</v>
      </c>
      <c r="AK428" s="150">
        <f>ROUND(INDEX(Input!$1:$1048576,AK$93,$C427*2+MIN($B428,1)+5)+(Y428-VLOOKUP($C428*1000+1,$A:$HH,Y$92,FALSE)),0)</f>
        <v>4592</v>
      </c>
      <c r="AL428" s="150">
        <f>ROUND(INDEX(Input!$1:$1048576,AL$93,$C427*2+MIN($B428,1)+5)-(Y428-VLOOKUP($C428*1000+1,$A:$HH,Y$92,FALSE))/36,0)</f>
        <v>4743</v>
      </c>
      <c r="AM428" s="32" t="str">
        <f t="shared" si="1307"/>
        <v>std/std/std/std</v>
      </c>
      <c r="AN428" s="32" t="str">
        <f t="shared" si="1308"/>
        <v>$1000 + 0/0/0/1.9/3.9</v>
      </c>
      <c r="AO428" s="32" t="str">
        <f t="shared" si="1309"/>
        <v>0/0/0/1.9/3.9</v>
      </c>
      <c r="AP428" s="32" t="str">
        <f t="shared" si="1386"/>
        <v>0/0.9/1.9/3.9</v>
      </c>
      <c r="AQ428" s="536">
        <f t="shared" si="1379"/>
        <v>0.36973500416307592</v>
      </c>
      <c r="AR428" s="32"/>
      <c r="AS428" s="302"/>
      <c r="AT428" s="3">
        <f t="shared" si="1330"/>
        <v>28</v>
      </c>
      <c r="AU428" s="41" t="s">
        <v>121</v>
      </c>
      <c r="AV428" s="41" t="s">
        <v>116</v>
      </c>
      <c r="AW428" s="41" t="str">
        <f>INDEX(Input!$1:$1048576,AW$93,$C428*2+6)</f>
        <v>Kia</v>
      </c>
      <c r="AX428" s="41" t="str">
        <f>INDEX(Input!$1:$1048576,AX$93,$C428*2+6)</f>
        <v>Kia-LR - R1</v>
      </c>
      <c r="AY428" s="41" t="str">
        <f>IF(LEN(D428)=0,"",INDEX(Input!$1:$1048576,AY$93,$C428*2+6))</f>
        <v>Compact Conventional/Sporty Car (43)</v>
      </c>
      <c r="AZ428" s="41" t="str">
        <f>INDEX(Input!$1:$1048576,AZ$93,$C428*2+6)</f>
        <v>Kia Forte</v>
      </c>
      <c r="BA428" s="3">
        <f>INDEX(Input!$1:$1048576,BA$93,$C428*2+6)</f>
        <v>2020</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19695</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387"/>
        <v>1560</v>
      </c>
      <c r="CJ428" s="16" t="str">
        <f>INDEX(Input!$1:$1048576,CJ$93,$C428*2+6)</f>
        <v>N</v>
      </c>
      <c r="CK428" s="1" t="str">
        <f t="shared" si="1388"/>
        <v>Market</v>
      </c>
      <c r="CL428" s="1" t="str">
        <f t="shared" si="1389"/>
        <v>Market</v>
      </c>
      <c r="CM428" s="1" t="str">
        <f t="shared" si="1390"/>
        <v>Market</v>
      </c>
      <c r="CN428" s="1" t="str">
        <f t="shared" si="1391"/>
        <v>Market</v>
      </c>
      <c r="CO428" s="1" t="str">
        <f t="shared" si="1392"/>
        <v>Market</v>
      </c>
      <c r="CP428" s="304">
        <f t="shared" si="1393"/>
        <v>1000</v>
      </c>
      <c r="CQ428" s="1">
        <f t="shared" si="1394"/>
        <v>0</v>
      </c>
      <c r="CR428" s="1">
        <f t="shared" si="1395"/>
        <v>0</v>
      </c>
      <c r="CS428" s="1">
        <f t="shared" si="1396"/>
        <v>0</v>
      </c>
      <c r="CT428" s="1">
        <f t="shared" si="1397"/>
        <v>1.8999999999999996E-2</v>
      </c>
      <c r="CU428" s="1">
        <f t="shared" si="1398"/>
        <v>3.9E-2</v>
      </c>
      <c r="CV428" s="304">
        <f t="shared" si="1399"/>
        <v>-2217</v>
      </c>
      <c r="CW428" s="20" t="s">
        <v>122</v>
      </c>
      <c r="CX428" s="20" t="s">
        <v>122</v>
      </c>
      <c r="CY428" s="20" t="s">
        <v>122</v>
      </c>
      <c r="CZ428" s="20" t="s">
        <v>122</v>
      </c>
      <c r="DA428" s="20" t="s">
        <v>122</v>
      </c>
      <c r="DB428" s="503">
        <f t="shared" si="1400"/>
        <v>0</v>
      </c>
      <c r="DC428" s="127">
        <v>0</v>
      </c>
      <c r="DD428" s="127">
        <v>0</v>
      </c>
      <c r="DE428" s="127">
        <v>0</v>
      </c>
      <c r="DF428" s="127">
        <v>0</v>
      </c>
      <c r="DG428" s="127">
        <v>0</v>
      </c>
      <c r="DH428" s="127">
        <v>0</v>
      </c>
      <c r="DI428" s="127">
        <v>0</v>
      </c>
      <c r="DJ428" s="127">
        <v>0</v>
      </c>
      <c r="DK428" s="127">
        <v>0</v>
      </c>
      <c r="DL428" s="127">
        <v>0</v>
      </c>
      <c r="DM428" s="304">
        <f>INDEX(Input!$1:$1048576,DM$93,$C428*2+6)</f>
        <v>20731.578947368424</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4.3878786215569683E-2</v>
      </c>
      <c r="DZ428" s="7">
        <v>0</v>
      </c>
      <c r="EA428" s="7">
        <v>0.76080162877486723</v>
      </c>
      <c r="EB428" s="7">
        <v>0</v>
      </c>
      <c r="EC428" s="7">
        <v>0</v>
      </c>
      <c r="ED428" s="7">
        <v>0</v>
      </c>
      <c r="EE428" s="7">
        <v>0</v>
      </c>
      <c r="EF428" s="7">
        <v>0</v>
      </c>
      <c r="EG428" s="7">
        <v>0</v>
      </c>
      <c r="EH428" s="7">
        <v>1.477654003663864E-2</v>
      </c>
      <c r="EI428" s="7">
        <v>1.9230623892552163E-2</v>
      </c>
      <c r="EJ428" s="7">
        <v>0.13820231799459473</v>
      </c>
      <c r="EK428" s="7">
        <v>0.58994597615036537</v>
      </c>
      <c r="EL428" s="7">
        <v>0.23784454192584889</v>
      </c>
      <c r="EM428" s="7">
        <v>0.10096634473228024</v>
      </c>
      <c r="EN428" s="7">
        <v>4.6946798530893993E-2</v>
      </c>
      <c r="EO428" s="7">
        <v>0.57078442247393391</v>
      </c>
      <c r="EP428" s="7">
        <v>0.26937313942569679</v>
      </c>
      <c r="EQ428" s="7">
        <v>6.7911411898735591E-2</v>
      </c>
      <c r="ER428" s="7">
        <v>4.4984227670739903E-2</v>
      </c>
      <c r="ES428" s="7">
        <v>9.4353240277282938E-2</v>
      </c>
      <c r="ET428" s="7">
        <v>0.19531958500956312</v>
      </c>
      <c r="EU428" s="6">
        <v>1599.9999999999998</v>
      </c>
      <c r="EV428" s="6">
        <v>0</v>
      </c>
      <c r="EW428" s="6">
        <v>1599.9999999999998</v>
      </c>
      <c r="EX428" s="6">
        <v>0</v>
      </c>
      <c r="EY428" s="6">
        <v>3425.8412233194513</v>
      </c>
      <c r="EZ428" s="6">
        <v>-246</v>
      </c>
      <c r="FA428" s="6">
        <v>0</v>
      </c>
      <c r="FB428" s="6">
        <v>0</v>
      </c>
      <c r="FC428" s="6">
        <v>0</v>
      </c>
      <c r="FD428" s="6">
        <v>0</v>
      </c>
      <c r="FE428" s="6">
        <v>0</v>
      </c>
      <c r="FF428" s="6">
        <v>0</v>
      </c>
      <c r="FG428" s="6">
        <v>0</v>
      </c>
      <c r="FH428" s="6">
        <v>1148.4359762648648</v>
      </c>
      <c r="FI428" s="6">
        <v>1531.4299904380609</v>
      </c>
      <c r="FJ428" s="6">
        <v>2070.7205842538219</v>
      </c>
      <c r="FK428" s="6">
        <v>1746.9903521590438</v>
      </c>
      <c r="FL428" s="6">
        <v>893.91433563489397</v>
      </c>
      <c r="FM428" s="6">
        <v>1575.8412233194513</v>
      </c>
      <c r="FN428" s="6">
        <v>0</v>
      </c>
      <c r="FO428" s="6">
        <v>0</v>
      </c>
      <c r="FP428" s="6">
        <v>0</v>
      </c>
      <c r="FQ428" s="6">
        <v>0</v>
      </c>
      <c r="FR428" s="6">
        <v>0</v>
      </c>
      <c r="FS428" s="6">
        <v>0</v>
      </c>
      <c r="FT428" s="7">
        <v>0.80468041499043697</v>
      </c>
      <c r="FU428" s="7">
        <v>0.10096634473228024</v>
      </c>
      <c r="FV428" s="7">
        <v>9.4353240277282938E-2</v>
      </c>
      <c r="FW428" s="6">
        <v>1599.9999999999995</v>
      </c>
      <c r="FX428" s="6">
        <v>3425.8412233194513</v>
      </c>
      <c r="FY428" s="6">
        <v>-246</v>
      </c>
      <c r="FZ428" s="6">
        <v>1695.8504614767719</v>
      </c>
      <c r="GA428" s="6">
        <v>1610.1724328282157</v>
      </c>
      <c r="GB428" s="6">
        <v>18084.827567171786</v>
      </c>
      <c r="GC428" s="7">
        <v>8.1891069685915169E-2</v>
      </c>
      <c r="GD428" s="7">
        <v>8.1060049502859624E-2</v>
      </c>
      <c r="GE428" s="7"/>
      <c r="GF428" s="7"/>
      <c r="GG428" s="7">
        <v>-1.0147873098285781E-2</v>
      </c>
      <c r="GH428" s="42">
        <v>2.3327142771988427</v>
      </c>
      <c r="GI428" s="6">
        <v>10053.126716817935</v>
      </c>
      <c r="GJ428" s="14">
        <v>0.51074630601039539</v>
      </c>
      <c r="GK428" s="14">
        <v>0.50829519786160959</v>
      </c>
      <c r="GL428" s="14">
        <v>0.48925369398960417</v>
      </c>
      <c r="GM428" s="14">
        <v>0.49170480213839041</v>
      </c>
      <c r="GO428" s="5">
        <v>338.16872463277008</v>
      </c>
      <c r="GP428" s="5">
        <v>307.64377699166363</v>
      </c>
      <c r="GQ428" s="5">
        <v>527.27910984145694</v>
      </c>
      <c r="GR428" s="5">
        <v>404.20319246551543</v>
      </c>
      <c r="GS428" s="5">
        <v>334.50205195691484</v>
      </c>
      <c r="GT428" s="5">
        <v>289.18266033348181</v>
      </c>
      <c r="GU428" s="5">
        <v>254.29573314828914</v>
      </c>
      <c r="GV428" s="39" t="s">
        <v>392</v>
      </c>
      <c r="GW428" s="5">
        <v>440.98611111111109</v>
      </c>
      <c r="GX428" s="5">
        <v>330.73958333333331</v>
      </c>
      <c r="GY428" s="5">
        <v>264.59166666666664</v>
      </c>
      <c r="GZ428" s="5">
        <v>233.47422424633751</v>
      </c>
      <c r="HA428" s="5">
        <v>216.26912746293829</v>
      </c>
      <c r="HB428" s="39">
        <v>238.61936979836463</v>
      </c>
      <c r="HC428" s="5">
        <v>293.87812499999995</v>
      </c>
      <c r="HD428" s="5">
        <v>243.67143640350872</v>
      </c>
      <c r="HE428" s="5">
        <v>244.28647520242913</v>
      </c>
      <c r="HF428" s="5">
        <v>223.39192434210526</v>
      </c>
      <c r="HG428" s="5">
        <v>212.2899342105263</v>
      </c>
      <c r="HH428" s="39">
        <v>243.40527169407906</v>
      </c>
      <c r="HI428" s="16"/>
      <c r="HJ428" s="19" t="str">
        <f t="shared" si="1380"/>
        <v>On</v>
      </c>
      <c r="HK428" s="1" t="str">
        <f t="shared" si="1380"/>
        <v>On</v>
      </c>
      <c r="HL428" s="16"/>
      <c r="HM428" s="639">
        <f t="shared" si="1278"/>
        <v>6.6115095157691428E-2</v>
      </c>
      <c r="HN428" s="639">
        <f t="shared" si="1279"/>
        <v>2.3720927871164412E-3</v>
      </c>
      <c r="HO428" s="639">
        <f t="shared" si="1280"/>
        <v>7.7231033444443466E-3</v>
      </c>
      <c r="HP428" s="644">
        <f>(FT428*$GD428-HM428)/$JF428*INDEX(Input!$1:$1048576,$JG$93,$C428*2+6)</f>
        <v>-21.652739499189</v>
      </c>
      <c r="HQ428" s="644">
        <f>(FU428*$GD428-HN428)/$JF428*INDEX(Input!$1:$1048576,$JG$93,$C428*2+6)</f>
        <v>141.77825103416276</v>
      </c>
      <c r="HR428" s="644">
        <f>(FV428*$GD428-HO428)/$JF428*INDEX(Input!$1:$1048576,$JG$93,$C428*2+6)</f>
        <v>-1.8252089567096175</v>
      </c>
      <c r="HS428" s="644">
        <f t="shared" si="1381"/>
        <v>-21.246533252476517</v>
      </c>
      <c r="HT428" s="644">
        <f t="shared" si="1282"/>
        <v>201.4915892062489</v>
      </c>
      <c r="HU428" s="644">
        <f t="shared" si="1283"/>
        <v>9.1435354819035783</v>
      </c>
      <c r="HV428" s="648">
        <f t="shared" si="1284"/>
        <v>0</v>
      </c>
      <c r="HW428" s="648">
        <f t="shared" si="1285"/>
        <v>0</v>
      </c>
      <c r="HX428" s="648">
        <f t="shared" si="1286"/>
        <v>0</v>
      </c>
      <c r="HY428" s="644">
        <f>INDEX(Input!$1:$1048576,HY$93,$C428*2+6)*INDEX(Input!$1:$1048576,$JG$93,$C428*2+6)</f>
        <v>844</v>
      </c>
      <c r="HZ428" s="644">
        <f>INDEX(Input!$1:$1048576,HZ$93,$C428*2+6)*INDEX(Input!$1:$1048576,$JG$93,$C428*2+6)</f>
        <v>865</v>
      </c>
      <c r="IA428" s="644">
        <f>INDEX(Input!$1:$1048576,IA$93,$C428*2+6)*INDEX(Input!$1:$1048576,$JG$93,$C428*2+6)</f>
        <v>150</v>
      </c>
      <c r="IB428" s="644">
        <f t="shared" si="1310"/>
        <v>801.10072724833458</v>
      </c>
      <c r="IC428" s="644">
        <f t="shared" si="1311"/>
        <v>1208.2698402404117</v>
      </c>
      <c r="ID428" s="644">
        <f>IF(AND(INDEX(Input!$1:$1048576,IA$93,$C428*2+7)="TOS",Y428&lt;=INDEX(Y:Y,MATCH(C428*1000+2,A:A))),0,1)*MAX(IA428+HR428+HU428+HX428,0%)</f>
        <v>157.31832652519395</v>
      </c>
      <c r="IE428" s="128">
        <f t="shared" si="1382"/>
        <v>0.36973500416307592</v>
      </c>
      <c r="IF428" s="128">
        <f t="shared" si="1383"/>
        <v>0.55765728230692535</v>
      </c>
      <c r="IG428" s="128">
        <f t="shared" si="1288"/>
        <v>7.260771352999873E-2</v>
      </c>
      <c r="IH428" s="21"/>
      <c r="II428" s="19">
        <f t="shared" si="1289"/>
        <v>1199.9999999999998</v>
      </c>
      <c r="IJ428" s="19">
        <f t="shared" si="1290"/>
        <v>2195.4782357510435</v>
      </c>
      <c r="IK428" s="19">
        <f t="shared" si="1291"/>
        <v>-571</v>
      </c>
      <c r="IL428" s="19">
        <f t="shared" si="1313"/>
        <v>399.99999999999977</v>
      </c>
      <c r="IM428" s="19">
        <f t="shared" si="1292"/>
        <v>1230.3629875684078</v>
      </c>
      <c r="IN428" s="19">
        <f t="shared" si="1293"/>
        <v>325</v>
      </c>
      <c r="IO428" s="39">
        <f t="shared" si="1294"/>
        <v>0</v>
      </c>
      <c r="IP428" s="39">
        <f t="shared" si="1295"/>
        <v>0</v>
      </c>
      <c r="IQ428" s="39">
        <f t="shared" si="1296"/>
        <v>0</v>
      </c>
      <c r="IR428" s="39">
        <v>0</v>
      </c>
      <c r="IS428" s="39">
        <v>0</v>
      </c>
      <c r="IT428" s="39">
        <v>0</v>
      </c>
      <c r="IU428" s="39">
        <v>0</v>
      </c>
      <c r="IV428" s="39">
        <v>0</v>
      </c>
      <c r="IW428" s="39">
        <v>0</v>
      </c>
      <c r="IX428" s="39">
        <f>INDEX(Input!$1:$1048576,IX$93,$C428*2+6)+INDEX(Input!$1:$1048576,IX$94,$C428*2+6)</f>
        <v>1600</v>
      </c>
      <c r="IY428" s="39">
        <f>INDEX(Input!$1:$1048576,IY$93,$C428*2+6)+INDEX(Input!$1:$1048576,IY$94,$C428*2+6)</f>
        <v>2503.549291639752</v>
      </c>
      <c r="IZ428" s="39">
        <f>INDEX(Input!$1:$1048576,IZ$93,$C428*2+6)+INDEX(Input!$1:$1048576,IZ$94,$C428*2+6)</f>
        <v>5413.7109265464023</v>
      </c>
      <c r="JA428" s="19">
        <f t="shared" si="1314"/>
        <v>1999.9999999999998</v>
      </c>
      <c r="JB428" s="19">
        <f t="shared" si="1315"/>
        <v>3733.9122792081598</v>
      </c>
      <c r="JC428" s="19">
        <f t="shared" si="1316"/>
        <v>5738.7109265464023</v>
      </c>
      <c r="JD428" s="19">
        <f t="shared" si="1317"/>
        <v>3238.3880613079868</v>
      </c>
      <c r="JE428" s="21"/>
      <c r="JF428" s="1">
        <f t="shared" si="1297"/>
        <v>7.6210291289252219E-2</v>
      </c>
      <c r="JG428" s="15">
        <f>INDEX(Input!$1:$1048576,JG$93,$C428*2+6)/(1+VLOOKUP(C428*1000+INDEX(Input!$1:$1048576,JG$93+1,$C428*2+6),$A:$KK,$JK$92,FALSE))</f>
        <v>1859</v>
      </c>
      <c r="JH428" s="1">
        <f t="shared" si="1318"/>
        <v>6.363652640035726E-2</v>
      </c>
      <c r="JI428" s="1">
        <f t="shared" si="1319"/>
        <v>0.10187659571580202</v>
      </c>
      <c r="JJ428" s="1">
        <f t="shared" si="1384"/>
        <v>0</v>
      </c>
      <c r="JK428" s="1">
        <f t="shared" si="1385"/>
        <v>0.16551312211615926</v>
      </c>
      <c r="JL428" s="15">
        <f t="shared" si="1322"/>
        <v>307.68889401394006</v>
      </c>
      <c r="JM428" s="15">
        <f t="shared" si="1348"/>
        <v>2166.6888940139402</v>
      </c>
      <c r="JN428" s="21"/>
      <c r="JO428" s="19">
        <f>INDEX(Input!$1:$1048576,JO$93,$C428*2+6)</f>
        <v>5908.5</v>
      </c>
      <c r="JP428" s="19">
        <f>INDEX(Input!$1:$1048576,JP$93,$C428*2+6)</f>
        <v>2328.1478086338602</v>
      </c>
      <c r="JQ428" s="39">
        <f t="shared" si="1334"/>
        <v>2670.1119386920132</v>
      </c>
      <c r="JR428" s="39">
        <f t="shared" si="1351"/>
        <v>910.24025267412662</v>
      </c>
      <c r="JS428" s="39">
        <f t="shared" si="1336"/>
        <v>7.01657944694335</v>
      </c>
      <c r="JT428" s="39">
        <f t="shared" si="1324"/>
        <v>2.6885526706930034</v>
      </c>
      <c r="JU428" s="385">
        <f>(JQ428*JM428-INDEX(Input!$1:$1048576,Input!A$18,$C428*2+6)*JL428*INDEX(Input!$1:$1048576,Input!A$19,$C428*2+6))/1000000</f>
        <v>5.7853018833380156</v>
      </c>
      <c r="JV428" s="39">
        <f t="shared" si="1358"/>
        <v>-0.87057284041163818</v>
      </c>
      <c r="JW428" s="1">
        <f t="shared" si="1349"/>
        <v>-0.13079766019411979</v>
      </c>
      <c r="JX428" s="19">
        <f t="shared" si="1340"/>
        <v>8737.8931219116294</v>
      </c>
      <c r="JZ428" s="341"/>
      <c r="KA428" s="342"/>
      <c r="KB428" s="469">
        <f t="shared" si="1337"/>
        <v>2.3451977905499271</v>
      </c>
      <c r="KI428" s="473">
        <f t="shared" si="1364"/>
        <v>-42.899272751665421</v>
      </c>
      <c r="KJ428" s="473">
        <f t="shared" si="1365"/>
        <v>343.26984024041167</v>
      </c>
      <c r="KK428" s="473">
        <f t="shared" si="1326"/>
        <v>7.3183265251939531</v>
      </c>
      <c r="KN428" s="544">
        <f t="shared" si="1341"/>
        <v>4002</v>
      </c>
      <c r="KO428" s="541">
        <f t="shared" si="1301"/>
        <v>8.4624435425989963E-2</v>
      </c>
      <c r="KP428" s="546">
        <f t="shared" si="1302"/>
        <v>463.00171849223113</v>
      </c>
      <c r="KQ428" s="546">
        <f t="shared" si="1303"/>
        <v>514.64449970999112</v>
      </c>
      <c r="KR428" s="548">
        <f t="shared" si="1304"/>
        <v>3.1018956025614943</v>
      </c>
      <c r="KS428" s="548">
        <f t="shared" si="1305"/>
        <v>2.7906311937245509</v>
      </c>
      <c r="KT428" s="473">
        <f t="shared" si="1339"/>
        <v>1050.27685337919</v>
      </c>
      <c r="KU428" s="663">
        <f t="shared" si="1327"/>
        <v>6.4647196184039348</v>
      </c>
      <c r="KV428" s="117"/>
    </row>
    <row r="429" spans="1:308" s="26" customFormat="1" ht="15">
      <c r="A429" s="561">
        <f t="shared" si="1306"/>
        <v>4029</v>
      </c>
      <c r="B429" s="561">
        <f t="shared" si="1328"/>
        <v>29</v>
      </c>
      <c r="C429" s="561">
        <f t="shared" si="1329"/>
        <v>4</v>
      </c>
      <c r="D429" s="561" t="str">
        <f t="shared" si="1378"/>
        <v xml:space="preserve">-720 Lease, </v>
      </c>
      <c r="E429" s="475">
        <f>INDEX(Input!$1:$1048576,E$93,$C429*2+MIN($B429,2)+5)
+INDEX(Scenarios!E$121:E$200,MATCH($B429,Scenarios!$B$121:$B$200,0))</f>
        <v>1250</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1.8999999999999996E-2</v>
      </c>
      <c r="W429" s="863">
        <f>IFERROR(MAX(0,INDEX(Input!$1:$1048576,W$93,$C429*2+MIN($B429,2)+5)-0%,),"Market")</f>
        <v>3.9E-2</v>
      </c>
      <c r="X429" s="476" t="str">
        <f>INDEX(Input!$1:$1048576,X$93,$C429*2+MIN($B429,2)+5)</f>
        <v>Y</v>
      </c>
      <c r="Y429" s="475">
        <f>INDEX(Input!$1:$1048576,Y$93,$C429*2+MIN($B429,2)+5)
++INDEX(Scenarios!Y$121:Y$200,MATCH($B429,Scenarios!$B$121:$B$200,0))</f>
        <v>-2937</v>
      </c>
      <c r="Z429" s="477">
        <f>INDEX(Input!$1:$1048576,Z$93,$C429*2+MIN($B429,2)+5)
+INDEX(Scenarios!Z$121:Z$200,MATCH($B429,Scenarios!$B$121:$B$200,0))</f>
        <v>0</v>
      </c>
      <c r="AA429" s="475">
        <f>INDEX(Input!$1:$1048576,AA$93,$C429*2+MIN($B429,2)+5)</f>
        <v>0</v>
      </c>
      <c r="AB429" s="476">
        <f>INDEX(Input!$1:$1048576,AB$93,$C429*2+MIN($B429,2)+5)</f>
        <v>1</v>
      </c>
      <c r="AC429" s="475">
        <f>INDEX(Input!$1:$1048576,AC$93,$C429*2+MIN($B429,2)+5)
+INDEX(Scenarios!AC$121:AC$200,MATCH($B429,Scenarios!$B$121:$B$200,0))</f>
        <v>0</v>
      </c>
      <c r="AD429" s="476">
        <f>INDEX(Input!$1:$1048576,AD$93,$C429*2+MIN($B429,2)+5)</f>
        <v>0.35</v>
      </c>
      <c r="AE429" s="475">
        <f>INDEX(Input!$1:$1048576,AE$93,$C429*2+MIN($B429,2)+5)
+INDEX(Scenarios!AE$121:AE$200,MATCH($B429,Scenarios!$B$121:$B$200,0))</f>
        <v>0</v>
      </c>
      <c r="AF429" s="476">
        <f>INDEX(Input!$1:$1048576,AF$93,$C429*2+MIN($B429,2)+5)</f>
        <v>1</v>
      </c>
      <c r="AG429" s="475">
        <f>INDEX(Input!$1:$1048576,AG$93,$C429*2+MIN($B429,2)+5)
+INDEX(Scenarios!AG$121:AG$200,MATCH($B429,Scenarios!$B$121:$B$200,0))</f>
        <v>0</v>
      </c>
      <c r="AH429" s="476">
        <f>INDEX(Input!$1:$1048576,AH$93,$C429*2+MIN($B429,2)+5)</f>
        <v>1</v>
      </c>
      <c r="AI429" s="475">
        <f>INDEX(Input!$1:$1048576,AI$93,$C429*2+MIN($B429,2)+5)
+INDEX(Scenarios!AI$121:AI$200,MATCH($B429,Scenarios!$B$121:$B$200,0))</f>
        <v>0</v>
      </c>
      <c r="AJ429" s="476">
        <f>INDEX(Input!$1:$1048576,AJ$93,$C429*2+MIN($B429,2)+5)</f>
        <v>0.35</v>
      </c>
      <c r="AK429" s="150">
        <f>ROUND(INDEX(Input!$1:$1048576,AK$93,$C428*2+MIN($B429,1)+5)+(Y429-VLOOKUP($C429*1000+1,$A:$HH,Y$92,FALSE)),0)</f>
        <v>3872</v>
      </c>
      <c r="AL429" s="150">
        <f>ROUND(INDEX(Input!$1:$1048576,AL$93,$C428*2+MIN($B429,1)+5)-(Y429-VLOOKUP($C429*1000+1,$A:$HH,Y$92,FALSE))/36,0)</f>
        <v>4763</v>
      </c>
      <c r="AM429" s="32" t="str">
        <f t="shared" si="1307"/>
        <v>std/std/std/std</v>
      </c>
      <c r="AN429" s="32" t="str">
        <f t="shared" si="1308"/>
        <v>$0 + 0/0/0/1.9/3.9</v>
      </c>
      <c r="AO429" s="32" t="str">
        <f t="shared" si="1309"/>
        <v>0/0/0/1.9/3.9</v>
      </c>
      <c r="AP429" s="32" t="str">
        <f t="shared" si="1386"/>
        <v>0/0.9/1.9/3.9</v>
      </c>
      <c r="AQ429" s="536">
        <f t="shared" si="1379"/>
        <v>0.46609330097365126</v>
      </c>
      <c r="AR429" s="32"/>
      <c r="AS429" s="302"/>
      <c r="AT429" s="3">
        <f t="shared" si="1330"/>
        <v>29</v>
      </c>
      <c r="AU429" s="41" t="s">
        <v>121</v>
      </c>
      <c r="AV429" s="41" t="s">
        <v>116</v>
      </c>
      <c r="AW429" s="41" t="str">
        <f>INDEX(Input!$1:$1048576,AW$93,$C429*2+6)</f>
        <v>Kia</v>
      </c>
      <c r="AX429" s="41" t="str">
        <f>INDEX(Input!$1:$1048576,AX$93,$C429*2+6)</f>
        <v>Kia-LR - R1</v>
      </c>
      <c r="AY429" s="41" t="str">
        <f>IF(LEN(D429)=0,"",INDEX(Input!$1:$1048576,AY$93,$C429*2+6))</f>
        <v>Compact Conventional/Sporty Car (43)</v>
      </c>
      <c r="AZ429" s="41" t="str">
        <f>INDEX(Input!$1:$1048576,AZ$93,$C429*2+6)</f>
        <v>Kia Forte</v>
      </c>
      <c r="BA429" s="3">
        <f>INDEX(Input!$1:$1048576,BA$93,$C429*2+6)</f>
        <v>2020</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19695</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387"/>
        <v>1560</v>
      </c>
      <c r="CJ429" s="16" t="str">
        <f>INDEX(Input!$1:$1048576,CJ$93,$C429*2+6)</f>
        <v>N</v>
      </c>
      <c r="CK429" s="1" t="str">
        <f t="shared" si="1388"/>
        <v>Market</v>
      </c>
      <c r="CL429" s="1" t="str">
        <f t="shared" si="1389"/>
        <v>Market</v>
      </c>
      <c r="CM429" s="1" t="str">
        <f t="shared" si="1390"/>
        <v>Market</v>
      </c>
      <c r="CN429" s="1" t="str">
        <f t="shared" si="1391"/>
        <v>Market</v>
      </c>
      <c r="CO429" s="1" t="str">
        <f t="shared" si="1392"/>
        <v>Market</v>
      </c>
      <c r="CP429" s="304">
        <f t="shared" si="1393"/>
        <v>0</v>
      </c>
      <c r="CQ429" s="1">
        <f t="shared" si="1394"/>
        <v>0</v>
      </c>
      <c r="CR429" s="1">
        <f t="shared" si="1395"/>
        <v>0</v>
      </c>
      <c r="CS429" s="1">
        <f t="shared" si="1396"/>
        <v>0</v>
      </c>
      <c r="CT429" s="1">
        <f t="shared" si="1397"/>
        <v>1.8999999999999996E-2</v>
      </c>
      <c r="CU429" s="1">
        <f t="shared" si="1398"/>
        <v>3.9E-2</v>
      </c>
      <c r="CV429" s="304">
        <f t="shared" si="1399"/>
        <v>-2937</v>
      </c>
      <c r="CW429" s="20" t="s">
        <v>122</v>
      </c>
      <c r="CX429" s="20" t="s">
        <v>122</v>
      </c>
      <c r="CY429" s="20" t="s">
        <v>122</v>
      </c>
      <c r="CZ429" s="20" t="s">
        <v>122</v>
      </c>
      <c r="DA429" s="20" t="s">
        <v>122</v>
      </c>
      <c r="DB429" s="503">
        <f t="shared" si="1400"/>
        <v>0</v>
      </c>
      <c r="DC429" s="127">
        <v>0</v>
      </c>
      <c r="DD429" s="127">
        <v>0</v>
      </c>
      <c r="DE429" s="127">
        <v>0</v>
      </c>
      <c r="DF429" s="127">
        <v>0</v>
      </c>
      <c r="DG429" s="127">
        <v>0</v>
      </c>
      <c r="DH429" s="127">
        <v>0</v>
      </c>
      <c r="DI429" s="127">
        <v>0</v>
      </c>
      <c r="DJ429" s="127">
        <v>0</v>
      </c>
      <c r="DK429" s="127">
        <v>0</v>
      </c>
      <c r="DL429" s="127">
        <v>0</v>
      </c>
      <c r="DM429" s="304">
        <f>INDEX(Input!$1:$1048576,DM$93,$C429*2+6)</f>
        <v>20731.578947368424</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4.6409201499452928E-2</v>
      </c>
      <c r="DZ429" s="7">
        <v>0</v>
      </c>
      <c r="EA429" s="7">
        <v>0.83717203353208713</v>
      </c>
      <c r="EB429" s="7">
        <v>0</v>
      </c>
      <c r="EC429" s="7">
        <v>0</v>
      </c>
      <c r="ED429" s="7">
        <v>0</v>
      </c>
      <c r="EE429" s="7">
        <v>0</v>
      </c>
      <c r="EF429" s="7">
        <v>0</v>
      </c>
      <c r="EG429" s="7">
        <v>0</v>
      </c>
      <c r="EH429" s="7">
        <v>1.2278237792215258E-2</v>
      </c>
      <c r="EI429" s="7">
        <v>1.9722451582567819E-2</v>
      </c>
      <c r="EJ429" s="7">
        <v>0.18504591653397662</v>
      </c>
      <c r="EK429" s="7">
        <v>0.72476697850339933</v>
      </c>
      <c r="EL429" s="7">
        <v>5.8186415587841531E-2</v>
      </c>
      <c r="EM429" s="7">
        <v>3.1772181585243454E-2</v>
      </c>
      <c r="EN429" s="7">
        <v>4.5896045533600834E-2</v>
      </c>
      <c r="EO429" s="7">
        <v>0.5723756282085628</v>
      </c>
      <c r="EP429" s="7">
        <v>0.26645645927814132</v>
      </c>
      <c r="EQ429" s="7">
        <v>6.9430014864571996E-2</v>
      </c>
      <c r="ER429" s="7">
        <v>4.5841852115123427E-2</v>
      </c>
      <c r="ES429" s="7">
        <v>8.4646583383216553E-2</v>
      </c>
      <c r="ET429" s="7">
        <v>0.11641876496845989</v>
      </c>
      <c r="EU429" s="6">
        <v>1599.9999999999998</v>
      </c>
      <c r="EV429" s="6">
        <v>0</v>
      </c>
      <c r="EW429" s="6">
        <v>1599.9999999999998</v>
      </c>
      <c r="EX429" s="6">
        <v>0</v>
      </c>
      <c r="EY429" s="6">
        <v>2595.7163432618777</v>
      </c>
      <c r="EZ429" s="6">
        <v>-966</v>
      </c>
      <c r="FA429" s="6">
        <v>0</v>
      </c>
      <c r="FB429" s="6">
        <v>0</v>
      </c>
      <c r="FC429" s="6">
        <v>0</v>
      </c>
      <c r="FD429" s="6">
        <v>0</v>
      </c>
      <c r="FE429" s="6">
        <v>0</v>
      </c>
      <c r="FF429" s="6">
        <v>0</v>
      </c>
      <c r="FG429" s="6">
        <v>0</v>
      </c>
      <c r="FH429" s="6">
        <v>1153.2445634216535</v>
      </c>
      <c r="FI429" s="6">
        <v>1531.4299904380618</v>
      </c>
      <c r="FJ429" s="6">
        <v>2070.720584253821</v>
      </c>
      <c r="FK429" s="6">
        <v>1746.9903521590429</v>
      </c>
      <c r="FL429" s="6">
        <v>893.91433563489306</v>
      </c>
      <c r="FM429" s="6">
        <v>1745.7163432618777</v>
      </c>
      <c r="FN429" s="6">
        <v>0</v>
      </c>
      <c r="FO429" s="6">
        <v>0</v>
      </c>
      <c r="FP429" s="6">
        <v>0</v>
      </c>
      <c r="FQ429" s="6">
        <v>0</v>
      </c>
      <c r="FR429" s="6">
        <v>0</v>
      </c>
      <c r="FS429" s="6">
        <v>0</v>
      </c>
      <c r="FT429" s="7">
        <v>0.88358123503154007</v>
      </c>
      <c r="FU429" s="7">
        <v>3.1772181585243454E-2</v>
      </c>
      <c r="FV429" s="7">
        <v>8.4646583383216553E-2</v>
      </c>
      <c r="FW429" s="6">
        <v>1599.9999999999998</v>
      </c>
      <c r="FX429" s="6">
        <v>2595.7163432618777</v>
      </c>
      <c r="FY429" s="6">
        <v>-966</v>
      </c>
      <c r="FZ429" s="6">
        <v>1695.8504614767719</v>
      </c>
      <c r="GA429" s="6">
        <v>1414.432947504177</v>
      </c>
      <c r="GB429" s="6">
        <v>18280.567052495822</v>
      </c>
      <c r="GC429" s="7">
        <v>8.1891069685915169E-2</v>
      </c>
      <c r="GD429" s="7">
        <v>7.9243668633394992E-2</v>
      </c>
      <c r="GE429" s="7"/>
      <c r="GF429" s="7"/>
      <c r="GG429" s="7">
        <v>-3.232832423210507E-2</v>
      </c>
      <c r="GH429" s="42">
        <v>2.2624972296973436</v>
      </c>
      <c r="GI429" s="6">
        <v>10119.415981951741</v>
      </c>
      <c r="GJ429" s="14">
        <v>0.51074630601039572</v>
      </c>
      <c r="GK429" s="14">
        <v>0.50829519786160959</v>
      </c>
      <c r="GL429" s="14">
        <v>0.48925369398960439</v>
      </c>
      <c r="GM429" s="14">
        <v>0.49170480213839035</v>
      </c>
      <c r="GO429" s="5">
        <v>338.16872463277008</v>
      </c>
      <c r="GP429" s="5">
        <v>307.64377699166363</v>
      </c>
      <c r="GQ429" s="5">
        <v>527.27910984145694</v>
      </c>
      <c r="GR429" s="5">
        <v>404.20319246551543</v>
      </c>
      <c r="GS429" s="5">
        <v>334.50205195691484</v>
      </c>
      <c r="GT429" s="5">
        <v>289.18266033348181</v>
      </c>
      <c r="GU429" s="5">
        <v>254.29573314828914</v>
      </c>
      <c r="GV429" s="39" t="s">
        <v>392</v>
      </c>
      <c r="GW429" s="5">
        <v>468.76388888888891</v>
      </c>
      <c r="GX429" s="5">
        <v>351.57291666666669</v>
      </c>
      <c r="GY429" s="5">
        <v>281.25833333333333</v>
      </c>
      <c r="GZ429" s="5">
        <v>248.1807987949399</v>
      </c>
      <c r="HA429" s="5">
        <v>229.89195052129477</v>
      </c>
      <c r="HB429" s="39">
        <v>257.98501663586745</v>
      </c>
      <c r="HC429" s="5">
        <v>325.37812499999995</v>
      </c>
      <c r="HD429" s="5">
        <v>265.17143640350872</v>
      </c>
      <c r="HE429" s="5">
        <v>264.24801366396758</v>
      </c>
      <c r="HF429" s="5">
        <v>240.04192434210523</v>
      </c>
      <c r="HG429" s="5">
        <v>226.08993421052631</v>
      </c>
      <c r="HH429" s="39">
        <v>264.15232253123537</v>
      </c>
      <c r="HI429" s="16"/>
      <c r="HJ429" s="19" t="str">
        <f t="shared" si="1380"/>
        <v>On</v>
      </c>
      <c r="HK429" s="1" t="str">
        <f t="shared" si="1380"/>
        <v>On</v>
      </c>
      <c r="HL429" s="16"/>
      <c r="HM429" s="639">
        <f t="shared" si="1278"/>
        <v>6.6115095157691428E-2</v>
      </c>
      <c r="HN429" s="639">
        <f t="shared" si="1279"/>
        <v>2.3720927871164412E-3</v>
      </c>
      <c r="HO429" s="639">
        <f t="shared" si="1280"/>
        <v>7.7231033444443466E-3</v>
      </c>
      <c r="HP429" s="644">
        <f>(FT429*$GD429-HM429)/$JF429*INDEX(Input!$1:$1048576,$JG$93,$C429*2+6)</f>
        <v>95.209011219097277</v>
      </c>
      <c r="HQ429" s="644">
        <f>(FU429*$GD429-HN429)/$JF429*INDEX(Input!$1:$1048576,$JG$93,$C429*2+6)</f>
        <v>3.552880148346071</v>
      </c>
      <c r="HR429" s="644">
        <f>(FV429*$GD429-HO429)/$JF429*INDEX(Input!$1:$1048576,$JG$93,$C429*2+6)</f>
        <v>-24.768623694988086</v>
      </c>
      <c r="HS429" s="644">
        <f t="shared" si="1381"/>
        <v>-21.075633579904888</v>
      </c>
      <c r="HT429" s="644">
        <f t="shared" si="1282"/>
        <v>64.184082881014319</v>
      </c>
      <c r="HU429" s="644">
        <f t="shared" si="1283"/>
        <v>-6.2528139293746996</v>
      </c>
      <c r="HV429" s="648">
        <f t="shared" si="1284"/>
        <v>0</v>
      </c>
      <c r="HW429" s="648">
        <f t="shared" si="1285"/>
        <v>0</v>
      </c>
      <c r="HX429" s="648">
        <f t="shared" si="1286"/>
        <v>0</v>
      </c>
      <c r="HY429" s="644">
        <f>INDEX(Input!$1:$1048576,HY$93,$C429*2+6)*INDEX(Input!$1:$1048576,$JG$93,$C429*2+6)</f>
        <v>844</v>
      </c>
      <c r="HZ429" s="644">
        <f>INDEX(Input!$1:$1048576,HZ$93,$C429*2+6)*INDEX(Input!$1:$1048576,$JG$93,$C429*2+6)</f>
        <v>865</v>
      </c>
      <c r="IA429" s="644">
        <f>INDEX(Input!$1:$1048576,IA$93,$C429*2+6)*INDEX(Input!$1:$1048576,$JG$93,$C429*2+6)</f>
        <v>150</v>
      </c>
      <c r="IB429" s="644">
        <f t="shared" si="1310"/>
        <v>918.13337763919253</v>
      </c>
      <c r="IC429" s="644">
        <f t="shared" si="1311"/>
        <v>932.73696302936037</v>
      </c>
      <c r="ID429" s="644">
        <f>IF(AND(INDEX(Input!$1:$1048576,IA$93,$C429*2+7)="TOS",Y429&lt;=INDEX(Y:Y,MATCH(C429*1000+2,A:A))),0,1)*MAX(IA429+HR429+HU429+HX429,0%)</f>
        <v>118.97856237563721</v>
      </c>
      <c r="IE429" s="128">
        <f t="shared" si="1382"/>
        <v>0.46609330097365126</v>
      </c>
      <c r="IF429" s="128">
        <f t="shared" si="1383"/>
        <v>0.47350685709341234</v>
      </c>
      <c r="IG429" s="128">
        <f t="shared" si="1288"/>
        <v>6.0399841932936384E-2</v>
      </c>
      <c r="IH429" s="21"/>
      <c r="II429" s="19">
        <f t="shared" si="1289"/>
        <v>1199.9999999999998</v>
      </c>
      <c r="IJ429" s="19">
        <f t="shared" si="1290"/>
        <v>2195.4782357510435</v>
      </c>
      <c r="IK429" s="19">
        <f t="shared" si="1291"/>
        <v>-571</v>
      </c>
      <c r="IL429" s="19">
        <f t="shared" si="1313"/>
        <v>400</v>
      </c>
      <c r="IM429" s="19">
        <f t="shared" si="1292"/>
        <v>400.2381075108342</v>
      </c>
      <c r="IN429" s="19">
        <f t="shared" si="1293"/>
        <v>-395</v>
      </c>
      <c r="IO429" s="39">
        <f t="shared" si="1294"/>
        <v>0</v>
      </c>
      <c r="IP429" s="39">
        <f t="shared" si="1295"/>
        <v>0</v>
      </c>
      <c r="IQ429" s="39">
        <f t="shared" si="1296"/>
        <v>0</v>
      </c>
      <c r="IR429" s="39">
        <v>0</v>
      </c>
      <c r="IS429" s="39">
        <v>0</v>
      </c>
      <c r="IT429" s="39">
        <v>0</v>
      </c>
      <c r="IU429" s="39">
        <v>0</v>
      </c>
      <c r="IV429" s="39">
        <v>0</v>
      </c>
      <c r="IW429" s="39">
        <v>0</v>
      </c>
      <c r="IX429" s="39">
        <f>INDEX(Input!$1:$1048576,IX$93,$C429*2+6)+INDEX(Input!$1:$1048576,IX$94,$C429*2+6)</f>
        <v>1600</v>
      </c>
      <c r="IY429" s="39">
        <f>INDEX(Input!$1:$1048576,IY$93,$C429*2+6)+INDEX(Input!$1:$1048576,IY$94,$C429*2+6)</f>
        <v>2503.549291639752</v>
      </c>
      <c r="IZ429" s="39">
        <f>INDEX(Input!$1:$1048576,IZ$93,$C429*2+6)+INDEX(Input!$1:$1048576,IZ$94,$C429*2+6)</f>
        <v>5413.7109265464023</v>
      </c>
      <c r="JA429" s="19">
        <f t="shared" si="1314"/>
        <v>2000</v>
      </c>
      <c r="JB429" s="19">
        <f t="shared" si="1315"/>
        <v>2903.7873991505862</v>
      </c>
      <c r="JC429" s="19">
        <f t="shared" si="1316"/>
        <v>5018.7109265464023</v>
      </c>
      <c r="JD429" s="19">
        <f t="shared" si="1317"/>
        <v>2610.2791936570538</v>
      </c>
      <c r="JE429" s="21"/>
      <c r="JF429" s="1">
        <f t="shared" si="1297"/>
        <v>7.6210291289252219E-2</v>
      </c>
      <c r="JG429" s="15">
        <f>INDEX(Input!$1:$1048576,JG$93,$C429*2+6)/(1+VLOOKUP(C429*1000+INDEX(Input!$1:$1048576,JG$93+1,$C429*2+6),$A:$KK,$JK$92,FALSE))</f>
        <v>1859</v>
      </c>
      <c r="JH429" s="1">
        <f t="shared" si="1318"/>
        <v>3.9802726020685991E-2</v>
      </c>
      <c r="JI429" s="1">
        <f t="shared" si="1319"/>
        <v>1.9825516606635146E-2</v>
      </c>
      <c r="JJ429" s="1">
        <f t="shared" si="1384"/>
        <v>0</v>
      </c>
      <c r="JK429" s="1">
        <f t="shared" si="1385"/>
        <v>5.9628242627321137E-2</v>
      </c>
      <c r="JL429" s="15">
        <f t="shared" si="1322"/>
        <v>110.84890304419</v>
      </c>
      <c r="JM429" s="15">
        <f t="shared" si="1348"/>
        <v>1969.8489030441899</v>
      </c>
      <c r="JN429" s="21"/>
      <c r="JO429" s="19">
        <f>INDEX(Input!$1:$1048576,JO$93,$C429*2+6)</f>
        <v>5908.5</v>
      </c>
      <c r="JP429" s="19">
        <f>INDEX(Input!$1:$1048576,JP$93,$C429*2+6)</f>
        <v>2328.1478086338602</v>
      </c>
      <c r="JQ429" s="39">
        <f t="shared" si="1334"/>
        <v>3298.2208063429462</v>
      </c>
      <c r="JR429" s="39">
        <f t="shared" si="1351"/>
        <v>282.13138502319362</v>
      </c>
      <c r="JS429" s="39">
        <f t="shared" si="1336"/>
        <v>5.1418556062644196</v>
      </c>
      <c r="JT429" s="39">
        <f t="shared" si="1324"/>
        <v>0.81382883001407325</v>
      </c>
      <c r="JU429" s="385">
        <f>(JQ429*JM429-INDEX(Input!$1:$1048576,Input!A$18,$C429*2+6)*JL429*INDEX(Input!$1:$1048576,Input!A$19,$C429*2+6))/1000000</f>
        <v>6.4969966373721766</v>
      </c>
      <c r="JV429" s="39">
        <f t="shared" si="1358"/>
        <v>-0.15887808637747725</v>
      </c>
      <c r="JW429" s="1">
        <f t="shared" si="1349"/>
        <v>-2.3870354081419923E-2</v>
      </c>
      <c r="JX429" s="19">
        <f t="shared" si="1340"/>
        <v>7341.785147748732</v>
      </c>
      <c r="JZ429" s="341"/>
      <c r="KA429" s="342"/>
      <c r="KB429" s="469">
        <f t="shared" si="1337"/>
        <v>2.3451977905499271</v>
      </c>
      <c r="KI429" s="473">
        <f t="shared" si="1364"/>
        <v>74.133377639192418</v>
      </c>
      <c r="KJ429" s="473">
        <f t="shared" si="1365"/>
        <v>67.736963029360254</v>
      </c>
      <c r="KK429" s="473">
        <f t="shared" si="1326"/>
        <v>-31.021437624362804</v>
      </c>
      <c r="KN429" s="544">
        <f t="shared" si="1341"/>
        <v>4002</v>
      </c>
      <c r="KO429" s="541">
        <f t="shared" si="1301"/>
        <v>-1.3911844823872643E-2</v>
      </c>
      <c r="KP429" s="546">
        <f t="shared" si="1302"/>
        <v>-43.422901245805463</v>
      </c>
      <c r="KQ429" s="546">
        <f t="shared" si="1303"/>
        <v>-113.46436794094188</v>
      </c>
      <c r="KR429" s="548">
        <f t="shared" si="1304"/>
        <v>5.437257282757102</v>
      </c>
      <c r="KS429" s="548">
        <f t="shared" si="1305"/>
        <v>2.0808425616056736</v>
      </c>
      <c r="KT429" s="473">
        <f t="shared" si="1339"/>
        <v>1050.27685337919</v>
      </c>
      <c r="KU429" s="663">
        <f t="shared" si="1327"/>
        <v>6.6062179555902141</v>
      </c>
      <c r="KV429" s="117"/>
    </row>
    <row r="430" spans="1:308" s="26" customFormat="1" ht="15">
      <c r="A430" s="561">
        <f t="shared" si="1306"/>
        <v>4030</v>
      </c>
      <c r="B430" s="561">
        <f t="shared" si="1328"/>
        <v>30</v>
      </c>
      <c r="C430" s="561">
        <f t="shared" si="1329"/>
        <v>4</v>
      </c>
      <c r="D430" s="561" t="str">
        <f t="shared" si="1378"/>
        <v xml:space="preserve">1080 Lease, </v>
      </c>
      <c r="E430" s="475">
        <f>INDEX(Input!$1:$1048576,E$93,$C430*2+MIN($B430,2)+5)
+INDEX(Scenarios!E$121:E$200,MATCH($B430,Scenarios!$B$121:$B$200,0))</f>
        <v>1250</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1.8999999999999996E-2</v>
      </c>
      <c r="W430" s="863">
        <f>IFERROR(MAX(0,INDEX(Input!$1:$1048576,W$93,$C430*2+MIN($B430,2)+5)-0%,),"Market")</f>
        <v>3.9E-2</v>
      </c>
      <c r="X430" s="476" t="str">
        <f>INDEX(Input!$1:$1048576,X$93,$C430*2+MIN($B430,2)+5)</f>
        <v>Y</v>
      </c>
      <c r="Y430" s="475">
        <f>INDEX(Input!$1:$1048576,Y$93,$C430*2+MIN($B430,2)+5)
++INDEX(Scenarios!Y$121:Y$200,MATCH($B430,Scenarios!$B$121:$B$200,0))</f>
        <v>-1137</v>
      </c>
      <c r="Z430" s="477">
        <f>INDEX(Input!$1:$1048576,Z$93,$C430*2+MIN($B430,2)+5)
+INDEX(Scenarios!Z$121:Z$200,MATCH($B430,Scenarios!$B$121:$B$200,0))</f>
        <v>0</v>
      </c>
      <c r="AA430" s="475">
        <f>INDEX(Input!$1:$1048576,AA$93,$C430*2+MIN($B430,2)+5)</f>
        <v>0</v>
      </c>
      <c r="AB430" s="476">
        <f>INDEX(Input!$1:$1048576,AB$93,$C430*2+MIN($B430,2)+5)</f>
        <v>1</v>
      </c>
      <c r="AC430" s="475">
        <f>INDEX(Input!$1:$1048576,AC$93,$C430*2+MIN($B430,2)+5)
+INDEX(Scenarios!AC$121:AC$200,MATCH($B430,Scenarios!$B$121:$B$200,0))</f>
        <v>0</v>
      </c>
      <c r="AD430" s="476">
        <f>INDEX(Input!$1:$1048576,AD$93,$C430*2+MIN($B430,2)+5)</f>
        <v>0.35</v>
      </c>
      <c r="AE430" s="475">
        <f>INDEX(Input!$1:$1048576,AE$93,$C430*2+MIN($B430,2)+5)
+INDEX(Scenarios!AE$121:AE$200,MATCH($B430,Scenarios!$B$121:$B$200,0))</f>
        <v>0</v>
      </c>
      <c r="AF430" s="476">
        <f>INDEX(Input!$1:$1048576,AF$93,$C430*2+MIN($B430,2)+5)</f>
        <v>1</v>
      </c>
      <c r="AG430" s="475">
        <f>INDEX(Input!$1:$1048576,AG$93,$C430*2+MIN($B430,2)+5)
+INDEX(Scenarios!AG$121:AG$200,MATCH($B430,Scenarios!$B$121:$B$200,0))</f>
        <v>0</v>
      </c>
      <c r="AH430" s="476">
        <f>INDEX(Input!$1:$1048576,AH$93,$C430*2+MIN($B430,2)+5)</f>
        <v>1</v>
      </c>
      <c r="AI430" s="475">
        <f>INDEX(Input!$1:$1048576,AI$93,$C430*2+MIN($B430,2)+5)
+INDEX(Scenarios!AI$121:AI$200,MATCH($B430,Scenarios!$B$121:$B$200,0))</f>
        <v>0</v>
      </c>
      <c r="AJ430" s="476">
        <f>INDEX(Input!$1:$1048576,AJ$93,$C430*2+MIN($B430,2)+5)</f>
        <v>0.35</v>
      </c>
      <c r="AK430" s="150">
        <f>ROUND(INDEX(Input!$1:$1048576,AK$93,$C429*2+MIN($B430,1)+5)+(Y430-VLOOKUP($C430*1000+1,$A:$HH,Y$92,FALSE)),0)</f>
        <v>5672</v>
      </c>
      <c r="AL430" s="150">
        <f>ROUND(INDEX(Input!$1:$1048576,AL$93,$C429*2+MIN($B430,1)+5)-(Y430-VLOOKUP($C430*1000+1,$A:$HH,Y$92,FALSE))/36,0)</f>
        <v>4713</v>
      </c>
      <c r="AM430" s="32" t="str">
        <f t="shared" si="1307"/>
        <v>std/std/std/std</v>
      </c>
      <c r="AN430" s="32" t="str">
        <f t="shared" si="1308"/>
        <v>$0 + 0/0/0/1.9/3.9</v>
      </c>
      <c r="AO430" s="32" t="str">
        <f t="shared" si="1309"/>
        <v>0/0/0/1.9/3.9</v>
      </c>
      <c r="AP430" s="32" t="str">
        <f t="shared" si="1386"/>
        <v>0/0.9/1.9/3.9</v>
      </c>
      <c r="AQ430" s="536">
        <f t="shared" si="1379"/>
        <v>0.42918588546502479</v>
      </c>
      <c r="AR430" s="32"/>
      <c r="AS430" s="302"/>
      <c r="AT430" s="3">
        <f t="shared" si="1330"/>
        <v>30</v>
      </c>
      <c r="AU430" s="41" t="s">
        <v>121</v>
      </c>
      <c r="AV430" s="41" t="s">
        <v>116</v>
      </c>
      <c r="AW430" s="41" t="str">
        <f>INDEX(Input!$1:$1048576,AW$93,$C430*2+6)</f>
        <v>Kia</v>
      </c>
      <c r="AX430" s="41" t="str">
        <f>INDEX(Input!$1:$1048576,AX$93,$C430*2+6)</f>
        <v>Kia-LR - R1</v>
      </c>
      <c r="AY430" s="41" t="str">
        <f>IF(LEN(D430)=0,"",INDEX(Input!$1:$1048576,AY$93,$C430*2+6))</f>
        <v>Compact Conventional/Sporty Car (43)</v>
      </c>
      <c r="AZ430" s="41" t="str">
        <f>INDEX(Input!$1:$1048576,AZ$93,$C430*2+6)</f>
        <v>Kia Forte</v>
      </c>
      <c r="BA430" s="3">
        <f>INDEX(Input!$1:$1048576,BA$93,$C430*2+6)</f>
        <v>2020</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19695</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387"/>
        <v>1560</v>
      </c>
      <c r="CJ430" s="16" t="str">
        <f>INDEX(Input!$1:$1048576,CJ$93,$C430*2+6)</f>
        <v>N</v>
      </c>
      <c r="CK430" s="1" t="str">
        <f t="shared" si="1388"/>
        <v>Market</v>
      </c>
      <c r="CL430" s="1" t="str">
        <f t="shared" si="1389"/>
        <v>Market</v>
      </c>
      <c r="CM430" s="1" t="str">
        <f t="shared" si="1390"/>
        <v>Market</v>
      </c>
      <c r="CN430" s="1" t="str">
        <f t="shared" si="1391"/>
        <v>Market</v>
      </c>
      <c r="CO430" s="1" t="str">
        <f t="shared" si="1392"/>
        <v>Market</v>
      </c>
      <c r="CP430" s="304">
        <f t="shared" si="1393"/>
        <v>0</v>
      </c>
      <c r="CQ430" s="1">
        <f t="shared" si="1394"/>
        <v>0</v>
      </c>
      <c r="CR430" s="1">
        <f t="shared" si="1395"/>
        <v>0</v>
      </c>
      <c r="CS430" s="1">
        <f t="shared" si="1396"/>
        <v>0</v>
      </c>
      <c r="CT430" s="1">
        <f t="shared" si="1397"/>
        <v>1.8999999999999996E-2</v>
      </c>
      <c r="CU430" s="1">
        <f t="shared" si="1398"/>
        <v>3.9E-2</v>
      </c>
      <c r="CV430" s="304">
        <f t="shared" si="1399"/>
        <v>-1137</v>
      </c>
      <c r="CW430" s="20" t="s">
        <v>122</v>
      </c>
      <c r="CX430" s="20" t="s">
        <v>122</v>
      </c>
      <c r="CY430" s="20" t="s">
        <v>122</v>
      </c>
      <c r="CZ430" s="20" t="s">
        <v>122</v>
      </c>
      <c r="DA430" s="20" t="s">
        <v>122</v>
      </c>
      <c r="DB430" s="503">
        <f t="shared" si="1400"/>
        <v>0</v>
      </c>
      <c r="DC430" s="127">
        <v>0</v>
      </c>
      <c r="DD430" s="127">
        <v>0</v>
      </c>
      <c r="DE430" s="127">
        <v>0</v>
      </c>
      <c r="DF430" s="127">
        <v>0</v>
      </c>
      <c r="DG430" s="127">
        <v>0</v>
      </c>
      <c r="DH430" s="127">
        <v>0</v>
      </c>
      <c r="DI430" s="127">
        <v>0</v>
      </c>
      <c r="DJ430" s="127">
        <v>0</v>
      </c>
      <c r="DK430" s="127">
        <v>0</v>
      </c>
      <c r="DL430" s="127">
        <v>0</v>
      </c>
      <c r="DM430" s="304">
        <f>INDEX(Input!$1:$1048576,DM$93,$C430*2+6)</f>
        <v>20731.578947368424</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4.4416388710534951E-2</v>
      </c>
      <c r="DZ430" s="7">
        <v>0</v>
      </c>
      <c r="EA430" s="7">
        <v>0.80197676960920106</v>
      </c>
      <c r="EB430" s="7">
        <v>0</v>
      </c>
      <c r="EC430" s="7">
        <v>0</v>
      </c>
      <c r="ED430" s="7">
        <v>0</v>
      </c>
      <c r="EE430" s="7">
        <v>0</v>
      </c>
      <c r="EF430" s="7">
        <v>0</v>
      </c>
      <c r="EG430" s="7">
        <v>0</v>
      </c>
      <c r="EH430" s="7">
        <v>1.2199380288350277E-2</v>
      </c>
      <c r="EI430" s="7">
        <v>1.9560020256716486E-2</v>
      </c>
      <c r="EJ430" s="7">
        <v>0.18401757632900398</v>
      </c>
      <c r="EK430" s="7">
        <v>0.72588452831166328</v>
      </c>
      <c r="EL430" s="7">
        <v>5.8338494814266582E-2</v>
      </c>
      <c r="EM430" s="7">
        <v>3.0301641250775248E-2</v>
      </c>
      <c r="EN430" s="7">
        <v>4.8842877742168354E-2</v>
      </c>
      <c r="EO430" s="7">
        <v>0.56837788165531433</v>
      </c>
      <c r="EP430" s="7">
        <v>0.27378699909788456</v>
      </c>
      <c r="EQ430" s="7">
        <v>6.5466377243835305E-2</v>
      </c>
      <c r="ER430" s="7">
        <v>4.3525864260797603E-2</v>
      </c>
      <c r="ES430" s="7">
        <v>0.12330520042948866</v>
      </c>
      <c r="ET430" s="7">
        <v>0.15360684168026395</v>
      </c>
      <c r="EU430" s="6">
        <v>1599.9999999999998</v>
      </c>
      <c r="EV430" s="6">
        <v>0</v>
      </c>
      <c r="EW430" s="6">
        <v>1599.9999999999998</v>
      </c>
      <c r="EX430" s="6">
        <v>0</v>
      </c>
      <c r="EY430" s="6">
        <v>2595.3357459181884</v>
      </c>
      <c r="EZ430" s="6">
        <v>834</v>
      </c>
      <c r="FA430" s="6">
        <v>0</v>
      </c>
      <c r="FB430" s="6">
        <v>0</v>
      </c>
      <c r="FC430" s="6">
        <v>0</v>
      </c>
      <c r="FD430" s="6">
        <v>0</v>
      </c>
      <c r="FE430" s="6">
        <v>0</v>
      </c>
      <c r="FF430" s="6">
        <v>0</v>
      </c>
      <c r="FG430" s="6">
        <v>0</v>
      </c>
      <c r="FH430" s="6">
        <v>1153.2615760913629</v>
      </c>
      <c r="FI430" s="6">
        <v>1531.4299904380612</v>
      </c>
      <c r="FJ430" s="6">
        <v>2070.7205842538201</v>
      </c>
      <c r="FK430" s="6">
        <v>1746.9903521590438</v>
      </c>
      <c r="FL430" s="6">
        <v>893.91433563489375</v>
      </c>
      <c r="FM430" s="6">
        <v>1745.3357459181884</v>
      </c>
      <c r="FN430" s="6">
        <v>0</v>
      </c>
      <c r="FO430" s="6">
        <v>0</v>
      </c>
      <c r="FP430" s="6">
        <v>0</v>
      </c>
      <c r="FQ430" s="6">
        <v>0</v>
      </c>
      <c r="FR430" s="6">
        <v>0</v>
      </c>
      <c r="FS430" s="6">
        <v>0</v>
      </c>
      <c r="FT430" s="7">
        <v>0.84639315831973605</v>
      </c>
      <c r="FU430" s="7">
        <v>3.0301641250775248E-2</v>
      </c>
      <c r="FV430" s="7">
        <v>0.12330520042948866</v>
      </c>
      <c r="FW430" s="6">
        <v>1599.9999999999998</v>
      </c>
      <c r="FX430" s="6">
        <v>2595.3357459181884</v>
      </c>
      <c r="FY430" s="6">
        <v>834</v>
      </c>
      <c r="FZ430" s="6">
        <v>1695.8504614767719</v>
      </c>
      <c r="GA430" s="6">
        <v>1535.7085231678971</v>
      </c>
      <c r="GB430" s="6">
        <v>18159.291476832102</v>
      </c>
      <c r="GC430" s="7">
        <v>8.1891069685915169E-2</v>
      </c>
      <c r="GD430" s="7">
        <v>8.0765887319423232E-2</v>
      </c>
      <c r="GE430" s="7"/>
      <c r="GF430" s="7"/>
      <c r="GG430" s="7">
        <v>-1.3739988631330111E-2</v>
      </c>
      <c r="GH430" s="42">
        <v>1.6898076728165203</v>
      </c>
      <c r="GI430" s="6">
        <v>13190.881071398169</v>
      </c>
      <c r="GJ430" s="14">
        <v>0.51074630601039561</v>
      </c>
      <c r="GK430" s="14">
        <v>0.50829519786160948</v>
      </c>
      <c r="GL430" s="14">
        <v>0.4892536939896045</v>
      </c>
      <c r="GM430" s="14">
        <v>0.49170480213839046</v>
      </c>
      <c r="GO430" s="5">
        <v>338.16872463277008</v>
      </c>
      <c r="GP430" s="5">
        <v>307.64377699166363</v>
      </c>
      <c r="GQ430" s="5">
        <v>527.27910984145694</v>
      </c>
      <c r="GR430" s="5">
        <v>404.20319246551543</v>
      </c>
      <c r="GS430" s="5">
        <v>334.50205195691484</v>
      </c>
      <c r="GT430" s="5">
        <v>289.18266033348181</v>
      </c>
      <c r="GU430" s="5">
        <v>254.29573314828914</v>
      </c>
      <c r="GV430" s="39" t="s">
        <v>392</v>
      </c>
      <c r="GW430" s="5">
        <v>468.76388888888891</v>
      </c>
      <c r="GX430" s="5">
        <v>351.57291666666669</v>
      </c>
      <c r="GY430" s="5">
        <v>281.25833333333333</v>
      </c>
      <c r="GZ430" s="5">
        <v>248.1807987949399</v>
      </c>
      <c r="HA430" s="5">
        <v>229.89195052129477</v>
      </c>
      <c r="HB430" s="39">
        <v>257.91403157265449</v>
      </c>
      <c r="HC430" s="5">
        <v>246.62812499999998</v>
      </c>
      <c r="HD430" s="5">
        <v>211.42143640350872</v>
      </c>
      <c r="HE430" s="5">
        <v>214.34416751012142</v>
      </c>
      <c r="HF430" s="5">
        <v>198.41692434210526</v>
      </c>
      <c r="HG430" s="5">
        <v>191.58993421052631</v>
      </c>
      <c r="HH430" s="39">
        <v>212.22669660416003</v>
      </c>
      <c r="HI430" s="16"/>
      <c r="HJ430" s="19" t="str">
        <f t="shared" si="1380"/>
        <v>On</v>
      </c>
      <c r="HK430" s="1" t="str">
        <f t="shared" si="1380"/>
        <v>On</v>
      </c>
      <c r="HL430" s="16"/>
      <c r="HM430" s="639">
        <f t="shared" si="1278"/>
        <v>6.6115095157691428E-2</v>
      </c>
      <c r="HN430" s="639">
        <f t="shared" si="1279"/>
        <v>2.3720927871164412E-3</v>
      </c>
      <c r="HO430" s="639">
        <f t="shared" si="1280"/>
        <v>7.7231033444443466E-3</v>
      </c>
      <c r="HP430" s="644">
        <f>(FT430*$GD430-HM430)/$JF430*INDEX(Input!$1:$1048576,$JG$93,$C430*2+6)</f>
        <v>54.752580248474359</v>
      </c>
      <c r="HQ430" s="644">
        <f>(FU430*$GD430-HN430)/$JF430*INDEX(Input!$1:$1048576,$JG$93,$C430*2+6)</f>
        <v>1.8354818115659532</v>
      </c>
      <c r="HR430" s="644">
        <f>(FV430*$GD430-HO430)/$JF430*INDEX(Input!$1:$1048576,$JG$93,$C430*2+6)</f>
        <v>54.53673325067188</v>
      </c>
      <c r="HS430" s="644">
        <f t="shared" si="1381"/>
        <v>-21.075555225475355</v>
      </c>
      <c r="HT430" s="644">
        <f t="shared" si="1282"/>
        <v>64.121129856196703</v>
      </c>
      <c r="HU430" s="644">
        <f t="shared" si="1283"/>
        <v>31.810732062962344</v>
      </c>
      <c r="HV430" s="648">
        <f t="shared" si="1284"/>
        <v>0</v>
      </c>
      <c r="HW430" s="648">
        <f t="shared" si="1285"/>
        <v>0</v>
      </c>
      <c r="HX430" s="648">
        <f t="shared" si="1286"/>
        <v>0</v>
      </c>
      <c r="HY430" s="644">
        <f>INDEX(Input!$1:$1048576,HY$93,$C430*2+6)*INDEX(Input!$1:$1048576,$JG$93,$C430*2+6)</f>
        <v>844</v>
      </c>
      <c r="HZ430" s="644">
        <f>INDEX(Input!$1:$1048576,HZ$93,$C430*2+6)*INDEX(Input!$1:$1048576,$JG$93,$C430*2+6)</f>
        <v>865</v>
      </c>
      <c r="IA430" s="644">
        <f>INDEX(Input!$1:$1048576,IA$93,$C430*2+6)*INDEX(Input!$1:$1048576,$JG$93,$C430*2+6)</f>
        <v>150</v>
      </c>
      <c r="IB430" s="644">
        <f t="shared" si="1310"/>
        <v>877.67702502299881</v>
      </c>
      <c r="IC430" s="644">
        <f t="shared" si="1311"/>
        <v>930.95661166776267</v>
      </c>
      <c r="ID430" s="644">
        <f>IF(AND(INDEX(Input!$1:$1048576,IA$93,$C430*2+7)="TOS",Y430&lt;=INDEX(Y:Y,MATCH(C430*1000+2,A:A))),0,1)*MAX(IA430+HR430+HU430+HX430,0%)</f>
        <v>236.34746531363425</v>
      </c>
      <c r="IE430" s="128">
        <f t="shared" si="1382"/>
        <v>0.42918588546502479</v>
      </c>
      <c r="IF430" s="128">
        <f t="shared" si="1383"/>
        <v>0.45523971383172301</v>
      </c>
      <c r="IG430" s="128">
        <f t="shared" si="1288"/>
        <v>0.11557440070325217</v>
      </c>
      <c r="IH430" s="21"/>
      <c r="II430" s="19">
        <f t="shared" si="1289"/>
        <v>1199.9999999999998</v>
      </c>
      <c r="IJ430" s="19">
        <f t="shared" si="1290"/>
        <v>2195.4782357510435</v>
      </c>
      <c r="IK430" s="19">
        <f t="shared" si="1291"/>
        <v>-571</v>
      </c>
      <c r="IL430" s="19">
        <f t="shared" si="1313"/>
        <v>400</v>
      </c>
      <c r="IM430" s="19">
        <f t="shared" si="1292"/>
        <v>399.85751016714494</v>
      </c>
      <c r="IN430" s="19">
        <f t="shared" si="1293"/>
        <v>1405</v>
      </c>
      <c r="IO430" s="39">
        <f t="shared" si="1294"/>
        <v>0</v>
      </c>
      <c r="IP430" s="39">
        <f t="shared" si="1295"/>
        <v>0</v>
      </c>
      <c r="IQ430" s="39">
        <f t="shared" si="1296"/>
        <v>0</v>
      </c>
      <c r="IR430" s="39">
        <v>0</v>
      </c>
      <c r="IS430" s="39">
        <v>0</v>
      </c>
      <c r="IT430" s="39">
        <v>0</v>
      </c>
      <c r="IU430" s="39">
        <v>0</v>
      </c>
      <c r="IV430" s="39">
        <v>0</v>
      </c>
      <c r="IW430" s="39">
        <v>0</v>
      </c>
      <c r="IX430" s="39">
        <f>INDEX(Input!$1:$1048576,IX$93,$C430*2+6)+INDEX(Input!$1:$1048576,IX$94,$C430*2+6)</f>
        <v>1600</v>
      </c>
      <c r="IY430" s="39">
        <f>INDEX(Input!$1:$1048576,IY$93,$C430*2+6)+INDEX(Input!$1:$1048576,IY$94,$C430*2+6)</f>
        <v>2503.549291639752</v>
      </c>
      <c r="IZ430" s="39">
        <f>INDEX(Input!$1:$1048576,IZ$93,$C430*2+6)+INDEX(Input!$1:$1048576,IZ$94,$C430*2+6)</f>
        <v>5413.7109265464023</v>
      </c>
      <c r="JA430" s="19">
        <f t="shared" si="1314"/>
        <v>2000</v>
      </c>
      <c r="JB430" s="19">
        <f t="shared" si="1315"/>
        <v>2903.406801806897</v>
      </c>
      <c r="JC430" s="19">
        <f t="shared" si="1316"/>
        <v>6818.7109265464023</v>
      </c>
      <c r="JD430" s="19">
        <f t="shared" si="1317"/>
        <v>2968.1862814260176</v>
      </c>
      <c r="JE430" s="21"/>
      <c r="JF430" s="1">
        <f t="shared" si="1297"/>
        <v>7.6210291289252219E-2</v>
      </c>
      <c r="JG430" s="15">
        <f>INDEX(Input!$1:$1048576,JG$93,$C430*2+6)/(1+VLOOKUP(C430*1000+INDEX(Input!$1:$1048576,JG$93+1,$C430*2+6),$A:$KK,$JK$92,FALSE))</f>
        <v>1859</v>
      </c>
      <c r="JH430" s="1">
        <f t="shared" si="1318"/>
        <v>5.9776651592637002E-2</v>
      </c>
      <c r="JI430" s="1">
        <f t="shared" si="1319"/>
        <v>4.0266975090738941E-2</v>
      </c>
      <c r="JJ430" s="1">
        <f t="shared" si="1384"/>
        <v>0</v>
      </c>
      <c r="JK430" s="1">
        <f t="shared" si="1385"/>
        <v>0.10004362668337594</v>
      </c>
      <c r="JL430" s="15">
        <f t="shared" si="1322"/>
        <v>185.98110200439586</v>
      </c>
      <c r="JM430" s="15">
        <f t="shared" si="1348"/>
        <v>2044.9811020043958</v>
      </c>
      <c r="JN430" s="21"/>
      <c r="JO430" s="19">
        <f>INDEX(Input!$1:$1048576,JO$93,$C430*2+6)</f>
        <v>5908.5</v>
      </c>
      <c r="JP430" s="19">
        <f>INDEX(Input!$1:$1048576,JP$93,$C430*2+6)</f>
        <v>2328.1478086338602</v>
      </c>
      <c r="JQ430" s="39">
        <f t="shared" si="1334"/>
        <v>2940.3137185739824</v>
      </c>
      <c r="JR430" s="39">
        <f t="shared" si="1351"/>
        <v>640.03847279215734</v>
      </c>
      <c r="JS430" s="39">
        <f t="shared" si="1336"/>
        <v>6.0698848527449067</v>
      </c>
      <c r="JT430" s="39">
        <f t="shared" si="1324"/>
        <v>1.7418580764945606</v>
      </c>
      <c r="JU430" s="385">
        <f>(JQ430*JM430-INDEX(Input!$1:$1048576,Input!A$18,$C430*2+6)*JL430*INDEX(Input!$1:$1048576,Input!A$19,$C430*2+6))/1000000</f>
        <v>6.0128859884480654</v>
      </c>
      <c r="JV430" s="39">
        <f t="shared" si="1358"/>
        <v>-0.6429887353015884</v>
      </c>
      <c r="JW430" s="1">
        <f t="shared" si="1349"/>
        <v>-9.6604693145329254E-2</v>
      </c>
      <c r="JX430" s="19">
        <f t="shared" si="1340"/>
        <v>9365.7799514135022</v>
      </c>
      <c r="JZ430" s="341"/>
      <c r="KA430" s="342"/>
      <c r="KB430" s="469">
        <f t="shared" si="1337"/>
        <v>2.3451977905499271</v>
      </c>
      <c r="KI430" s="473">
        <f t="shared" si="1364"/>
        <v>33.677025022998805</v>
      </c>
      <c r="KJ430" s="473">
        <f t="shared" si="1365"/>
        <v>65.956611667762672</v>
      </c>
      <c r="KK430" s="473">
        <f t="shared" si="1326"/>
        <v>86.347465313634245</v>
      </c>
      <c r="KN430" s="544">
        <f t="shared" si="1341"/>
        <v>4002</v>
      </c>
      <c r="KO430" s="541">
        <f t="shared" si="1301"/>
        <v>2.3698639590694182E-2</v>
      </c>
      <c r="KP430" s="546">
        <f t="shared" si="1302"/>
        <v>124.70956766348942</v>
      </c>
      <c r="KQ430" s="546">
        <f t="shared" si="1303"/>
        <v>244.44271982802184</v>
      </c>
      <c r="KR430" s="548">
        <f t="shared" si="1304"/>
        <v>3.2250588088012915</v>
      </c>
      <c r="KS430" s="548">
        <f t="shared" si="1305"/>
        <v>1.6453576118687554</v>
      </c>
      <c r="KT430" s="473">
        <f t="shared" si="1339"/>
        <v>1050.27685337919</v>
      </c>
      <c r="KU430" s="663">
        <f t="shared" si="1327"/>
        <v>6.2843025212503845</v>
      </c>
      <c r="KV430" s="117"/>
    </row>
    <row r="431" spans="1:308" s="26" customFormat="1" ht="15">
      <c r="A431" s="561">
        <f t="shared" si="1306"/>
        <v>4031</v>
      </c>
      <c r="B431" s="561">
        <f t="shared" si="1328"/>
        <v>31</v>
      </c>
      <c r="C431" s="561">
        <f t="shared" si="1329"/>
        <v>4</v>
      </c>
      <c r="D431" s="561" t="str">
        <f t="shared" si="1378"/>
        <v xml:space="preserve">250 CC, 250 Combo, </v>
      </c>
      <c r="E431" s="475">
        <f>INDEX(Input!$1:$1048576,E$93,$C431*2+MIN($B431,2)+5)
+INDEX(Scenarios!E$121:E$200,MATCH($B431,Scenarios!$B$121:$B$200,0))</f>
        <v>1500</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1.8999999999999996E-2</v>
      </c>
      <c r="W431" s="863">
        <f>IFERROR(MAX(0,INDEX(Input!$1:$1048576,W$93,$C431*2+MIN($B431,2)+5)-0%,),"Market")</f>
        <v>3.9E-2</v>
      </c>
      <c r="X431" s="476" t="str">
        <f>INDEX(Input!$1:$1048576,X$93,$C431*2+MIN($B431,2)+5)</f>
        <v>Y</v>
      </c>
      <c r="Y431" s="475">
        <f>INDEX(Input!$1:$1048576,Y$93,$C431*2+MIN($B431,2)+5)
++INDEX(Scenarios!Y$121:Y$200,MATCH($B431,Scenarios!$B$121:$B$200,0))</f>
        <v>-2217</v>
      </c>
      <c r="Z431" s="477">
        <f>INDEX(Input!$1:$1048576,Z$93,$C431*2+MIN($B431,2)+5)
+INDEX(Scenarios!Z$121:Z$200,MATCH($B431,Scenarios!$B$121:$B$200,0))</f>
        <v>0</v>
      </c>
      <c r="AA431" s="475">
        <f>INDEX(Input!$1:$1048576,AA$93,$C431*2+MIN($B431,2)+5)</f>
        <v>0</v>
      </c>
      <c r="AB431" s="476">
        <f>INDEX(Input!$1:$1048576,AB$93,$C431*2+MIN($B431,2)+5)</f>
        <v>1</v>
      </c>
      <c r="AC431" s="475">
        <f>INDEX(Input!$1:$1048576,AC$93,$C431*2+MIN($B431,2)+5)
+INDEX(Scenarios!AC$121:AC$200,MATCH($B431,Scenarios!$B$121:$B$200,0))</f>
        <v>0</v>
      </c>
      <c r="AD431" s="476">
        <f>INDEX(Input!$1:$1048576,AD$93,$C431*2+MIN($B431,2)+5)</f>
        <v>0.35</v>
      </c>
      <c r="AE431" s="475">
        <f>INDEX(Input!$1:$1048576,AE$93,$C431*2+MIN($B431,2)+5)
+INDEX(Scenarios!AE$121:AE$200,MATCH($B431,Scenarios!$B$121:$B$200,0))</f>
        <v>0</v>
      </c>
      <c r="AF431" s="476">
        <f>INDEX(Input!$1:$1048576,AF$93,$C431*2+MIN($B431,2)+5)</f>
        <v>1</v>
      </c>
      <c r="AG431" s="475">
        <f>INDEX(Input!$1:$1048576,AG$93,$C431*2+MIN($B431,2)+5)
+INDEX(Scenarios!AG$121:AG$200,MATCH($B431,Scenarios!$B$121:$B$200,0))</f>
        <v>0</v>
      </c>
      <c r="AH431" s="476">
        <f>INDEX(Input!$1:$1048576,AH$93,$C431*2+MIN($B431,2)+5)</f>
        <v>1</v>
      </c>
      <c r="AI431" s="475">
        <f>INDEX(Input!$1:$1048576,AI$93,$C431*2+MIN($B431,2)+5)
+INDEX(Scenarios!AI$121:AI$200,MATCH($B431,Scenarios!$B$121:$B$200,0))</f>
        <v>0</v>
      </c>
      <c r="AJ431" s="476">
        <f>INDEX(Input!$1:$1048576,AJ$93,$C431*2+MIN($B431,2)+5)</f>
        <v>0.35</v>
      </c>
      <c r="AK431" s="150">
        <f>ROUND(INDEX(Input!$1:$1048576,AK$93,$C430*2+MIN($B431,1)+5)+(Y431-VLOOKUP($C431*1000+1,$A:$HH,Y$92,FALSE)),0)</f>
        <v>4592</v>
      </c>
      <c r="AL431" s="150">
        <f>ROUND(INDEX(Input!$1:$1048576,AL$93,$C430*2+MIN($B431,1)+5)-(Y431-VLOOKUP($C431*1000+1,$A:$HH,Y$92,FALSE))/36,0)</f>
        <v>4743</v>
      </c>
      <c r="AM431" s="32" t="str">
        <f t="shared" si="1307"/>
        <v>std/std/std/std</v>
      </c>
      <c r="AN431" s="32" t="str">
        <f t="shared" si="1308"/>
        <v>$250 + 0/0/0/1.9/3.9</v>
      </c>
      <c r="AO431" s="32" t="str">
        <f t="shared" si="1309"/>
        <v>0/0/0/1.9/3.9</v>
      </c>
      <c r="AP431" s="32" t="str">
        <f t="shared" si="1386"/>
        <v>0/0.9/1.9/3.9</v>
      </c>
      <c r="AQ431" s="536">
        <f t="shared" si="1379"/>
        <v>0.45607770578175544</v>
      </c>
      <c r="AR431" s="32"/>
      <c r="AS431" s="302"/>
      <c r="AT431" s="3">
        <f t="shared" si="1330"/>
        <v>31</v>
      </c>
      <c r="AU431" s="41" t="s">
        <v>121</v>
      </c>
      <c r="AV431" s="41" t="s">
        <v>116</v>
      </c>
      <c r="AW431" s="41" t="str">
        <f>INDEX(Input!$1:$1048576,AW$93,$C431*2+6)</f>
        <v>Kia</v>
      </c>
      <c r="AX431" s="41" t="str">
        <f>INDEX(Input!$1:$1048576,AX$93,$C431*2+6)</f>
        <v>Kia-LR - R1</v>
      </c>
      <c r="AY431" s="41" t="str">
        <f>IF(LEN(D431)=0,"",INDEX(Input!$1:$1048576,AY$93,$C431*2+6))</f>
        <v>Compact Conventional/Sporty Car (43)</v>
      </c>
      <c r="AZ431" s="41" t="str">
        <f>INDEX(Input!$1:$1048576,AZ$93,$C431*2+6)</f>
        <v>Kia Forte</v>
      </c>
      <c r="BA431" s="3">
        <f>INDEX(Input!$1:$1048576,BA$93,$C431*2+6)</f>
        <v>2020</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19695</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387"/>
        <v>1810</v>
      </c>
      <c r="CJ431" s="16" t="str">
        <f>INDEX(Input!$1:$1048576,CJ$93,$C431*2+6)</f>
        <v>N</v>
      </c>
      <c r="CK431" s="1" t="str">
        <f t="shared" si="1388"/>
        <v>Market</v>
      </c>
      <c r="CL431" s="1" t="str">
        <f t="shared" si="1389"/>
        <v>Market</v>
      </c>
      <c r="CM431" s="1" t="str">
        <f t="shared" si="1390"/>
        <v>Market</v>
      </c>
      <c r="CN431" s="1" t="str">
        <f t="shared" si="1391"/>
        <v>Market</v>
      </c>
      <c r="CO431" s="1" t="str">
        <f t="shared" si="1392"/>
        <v>Market</v>
      </c>
      <c r="CP431" s="304">
        <f t="shared" si="1393"/>
        <v>250</v>
      </c>
      <c r="CQ431" s="1">
        <f t="shared" si="1394"/>
        <v>0</v>
      </c>
      <c r="CR431" s="1">
        <f t="shared" si="1395"/>
        <v>0</v>
      </c>
      <c r="CS431" s="1">
        <f t="shared" si="1396"/>
        <v>0</v>
      </c>
      <c r="CT431" s="1">
        <f t="shared" si="1397"/>
        <v>1.8999999999999996E-2</v>
      </c>
      <c r="CU431" s="1">
        <f t="shared" si="1398"/>
        <v>3.9E-2</v>
      </c>
      <c r="CV431" s="304">
        <f t="shared" si="1399"/>
        <v>-2217</v>
      </c>
      <c r="CW431" s="20" t="s">
        <v>122</v>
      </c>
      <c r="CX431" s="20" t="s">
        <v>122</v>
      </c>
      <c r="CY431" s="20" t="s">
        <v>122</v>
      </c>
      <c r="CZ431" s="20" t="s">
        <v>122</v>
      </c>
      <c r="DA431" s="20" t="s">
        <v>122</v>
      </c>
      <c r="DB431" s="503">
        <f t="shared" si="1400"/>
        <v>0</v>
      </c>
      <c r="DC431" s="127">
        <v>0</v>
      </c>
      <c r="DD431" s="127">
        <v>0</v>
      </c>
      <c r="DE431" s="127">
        <v>0</v>
      </c>
      <c r="DF431" s="127">
        <v>0</v>
      </c>
      <c r="DG431" s="127">
        <v>0</v>
      </c>
      <c r="DH431" s="127">
        <v>0</v>
      </c>
      <c r="DI431" s="127">
        <v>0</v>
      </c>
      <c r="DJ431" s="127">
        <v>0</v>
      </c>
      <c r="DK431" s="127">
        <v>0</v>
      </c>
      <c r="DL431" s="127">
        <v>0</v>
      </c>
      <c r="DM431" s="304">
        <f>INDEX(Input!$1:$1048576,DM$93,$C431*2+6)</f>
        <v>20731.578947368424</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4.6212586760553044E-2</v>
      </c>
      <c r="DZ431" s="7">
        <v>0</v>
      </c>
      <c r="EA431" s="7">
        <v>0.83014563490926385</v>
      </c>
      <c r="EB431" s="7">
        <v>0</v>
      </c>
      <c r="EC431" s="7">
        <v>0</v>
      </c>
      <c r="ED431" s="7">
        <v>0</v>
      </c>
      <c r="EE431" s="7">
        <v>0</v>
      </c>
      <c r="EF431" s="7">
        <v>0</v>
      </c>
      <c r="EG431" s="7">
        <v>0</v>
      </c>
      <c r="EH431" s="7">
        <v>1.2267233607730587E-2</v>
      </c>
      <c r="EI431" s="7">
        <v>1.969781815743922E-2</v>
      </c>
      <c r="EJ431" s="7">
        <v>0.18492599286141714</v>
      </c>
      <c r="EK431" s="7">
        <v>0.72491480015010035</v>
      </c>
      <c r="EL431" s="7">
        <v>5.8194155223313351E-2</v>
      </c>
      <c r="EM431" s="7">
        <v>3.1490133892168481E-2</v>
      </c>
      <c r="EN431" s="7">
        <v>4.6933735142897372E-2</v>
      </c>
      <c r="EO431" s="7">
        <v>0.57073813923267314</v>
      </c>
      <c r="EP431" s="7">
        <v>0.26943274926753141</v>
      </c>
      <c r="EQ431" s="7">
        <v>6.7905890764841936E-2</v>
      </c>
      <c r="ER431" s="7">
        <v>4.4989485592055858E-2</v>
      </c>
      <c r="ES431" s="7">
        <v>9.2151644438014726E-2</v>
      </c>
      <c r="ET431" s="7">
        <v>0.12364177833018317</v>
      </c>
      <c r="EU431" s="6">
        <v>1849.9999999999998</v>
      </c>
      <c r="EV431" s="6">
        <v>0</v>
      </c>
      <c r="EW431" s="6">
        <v>1849.9999999999998</v>
      </c>
      <c r="EX431" s="6">
        <v>0</v>
      </c>
      <c r="EY431" s="6">
        <v>2845.682775468998</v>
      </c>
      <c r="EZ431" s="6">
        <v>-246</v>
      </c>
      <c r="FA431" s="6">
        <v>0</v>
      </c>
      <c r="FB431" s="6">
        <v>0</v>
      </c>
      <c r="FC431" s="6">
        <v>0</v>
      </c>
      <c r="FD431" s="6">
        <v>0</v>
      </c>
      <c r="FE431" s="6">
        <v>0</v>
      </c>
      <c r="FF431" s="6">
        <v>0</v>
      </c>
      <c r="FG431" s="6">
        <v>0</v>
      </c>
      <c r="FH431" s="6">
        <v>1153.2457001604951</v>
      </c>
      <c r="FI431" s="6">
        <v>1531.4299904380612</v>
      </c>
      <c r="FJ431" s="6">
        <v>2070.7205842538224</v>
      </c>
      <c r="FK431" s="6">
        <v>1746.9903521590436</v>
      </c>
      <c r="FL431" s="6">
        <v>893.91433563489375</v>
      </c>
      <c r="FM431" s="6">
        <v>1745.682775468998</v>
      </c>
      <c r="FN431" s="6">
        <v>0</v>
      </c>
      <c r="FO431" s="6">
        <v>0</v>
      </c>
      <c r="FP431" s="6">
        <v>0</v>
      </c>
      <c r="FQ431" s="6">
        <v>0</v>
      </c>
      <c r="FR431" s="6">
        <v>0</v>
      </c>
      <c r="FS431" s="6">
        <v>0</v>
      </c>
      <c r="FT431" s="7">
        <v>0.87635822166981692</v>
      </c>
      <c r="FU431" s="7">
        <v>3.1490133892168481E-2</v>
      </c>
      <c r="FV431" s="7">
        <v>9.2151644438014726E-2</v>
      </c>
      <c r="FW431" s="6">
        <v>1849.9999999999995</v>
      </c>
      <c r="FX431" s="6">
        <v>2845.682775468998</v>
      </c>
      <c r="FY431" s="6">
        <v>-246</v>
      </c>
      <c r="FZ431" s="6">
        <v>1695.8504614767719</v>
      </c>
      <c r="GA431" s="6">
        <v>1688.2043371715658</v>
      </c>
      <c r="GB431" s="6">
        <v>18006.795662828434</v>
      </c>
      <c r="GC431" s="7">
        <v>8.1891069685915169E-2</v>
      </c>
      <c r="GD431" s="7">
        <v>8.1898967892558586E-2</v>
      </c>
      <c r="GE431" s="7"/>
      <c r="GF431" s="7"/>
      <c r="GG431" s="7">
        <v>9.6447716139374642E-5</v>
      </c>
      <c r="GH431" s="42">
        <v>-0.24843145279127035</v>
      </c>
      <c r="GI431" s="6">
        <v>-77589.197049466864</v>
      </c>
      <c r="GJ431" s="14">
        <v>0.51074630601039583</v>
      </c>
      <c r="GK431" s="14">
        <v>0.50829519786160959</v>
      </c>
      <c r="GL431" s="14">
        <v>0.48925369398960422</v>
      </c>
      <c r="GM431" s="14">
        <v>0.49170480213839063</v>
      </c>
      <c r="GO431" s="5">
        <v>338.16872463277008</v>
      </c>
      <c r="GP431" s="5">
        <v>302.87425392274076</v>
      </c>
      <c r="GQ431" s="5">
        <v>527.27910984145694</v>
      </c>
      <c r="GR431" s="5">
        <v>404.20319246551543</v>
      </c>
      <c r="GS431" s="5">
        <v>334.50205195691484</v>
      </c>
      <c r="GT431" s="5">
        <v>289.18266033348181</v>
      </c>
      <c r="GU431" s="5">
        <v>254.29573314828914</v>
      </c>
      <c r="GV431" s="39" t="s">
        <v>392</v>
      </c>
      <c r="GW431" s="5">
        <v>461.81944444444446</v>
      </c>
      <c r="GX431" s="5">
        <v>346.36458333333331</v>
      </c>
      <c r="GY431" s="5">
        <v>277.09166666666664</v>
      </c>
      <c r="GZ431" s="5">
        <v>244.50415515778931</v>
      </c>
      <c r="HA431" s="5">
        <v>226.48624475670564</v>
      </c>
      <c r="HB431" s="39">
        <v>254.15418161562278</v>
      </c>
      <c r="HC431" s="5">
        <v>293.87812499999995</v>
      </c>
      <c r="HD431" s="5">
        <v>243.67143640350872</v>
      </c>
      <c r="HE431" s="5">
        <v>244.28647520242913</v>
      </c>
      <c r="HF431" s="5">
        <v>223.39192434210526</v>
      </c>
      <c r="HG431" s="5">
        <v>212.2899342105263</v>
      </c>
      <c r="HH431" s="39">
        <v>243.40459945142339</v>
      </c>
      <c r="HI431" s="16"/>
      <c r="HJ431" s="19" t="str">
        <f t="shared" si="1380"/>
        <v>On</v>
      </c>
      <c r="HK431" s="1" t="str">
        <f t="shared" si="1380"/>
        <v>On</v>
      </c>
      <c r="HL431" s="16"/>
      <c r="HM431" s="639">
        <f t="shared" si="1278"/>
        <v>6.6115095157691428E-2</v>
      </c>
      <c r="HN431" s="639">
        <f t="shared" si="1279"/>
        <v>2.3720927871164412E-3</v>
      </c>
      <c r="HO431" s="639">
        <f t="shared" si="1280"/>
        <v>7.7231033444443466E-3</v>
      </c>
      <c r="HP431" s="644">
        <f>(FT431*$GD431-HM431)/$JF431*INDEX(Input!$1:$1048576,$JG$93,$C431*2+6)</f>
        <v>138.00939568197012</v>
      </c>
      <c r="HQ431" s="644">
        <f>(FU431*$GD431-HN431)/$JF431*INDEX(Input!$1:$1048576,$JG$93,$C431*2+6)</f>
        <v>5.0473249330695058</v>
      </c>
      <c r="HR431" s="644">
        <f>(FV431*$GD431-HO431)/$JF431*INDEX(Input!$1:$1048576,$JG$93,$C431*2+6)</f>
        <v>-4.2926557276776718</v>
      </c>
      <c r="HS431" s="644">
        <f t="shared" si="1381"/>
        <v>-34.247867019338692</v>
      </c>
      <c r="HT431" s="644">
        <f t="shared" si="1282"/>
        <v>104.26896713893451</v>
      </c>
      <c r="HU431" s="644">
        <f t="shared" si="1283"/>
        <v>10.285121366914899</v>
      </c>
      <c r="HV431" s="648">
        <f t="shared" si="1284"/>
        <v>0</v>
      </c>
      <c r="HW431" s="648">
        <f t="shared" si="1285"/>
        <v>0</v>
      </c>
      <c r="HX431" s="648">
        <f t="shared" si="1286"/>
        <v>0</v>
      </c>
      <c r="HY431" s="644">
        <f>INDEX(Input!$1:$1048576,HY$93,$C431*2+6)*INDEX(Input!$1:$1048576,$JG$93,$C431*2+6)</f>
        <v>844</v>
      </c>
      <c r="HZ431" s="644">
        <f>INDEX(Input!$1:$1048576,HZ$93,$C431*2+6)*INDEX(Input!$1:$1048576,$JG$93,$C431*2+6)</f>
        <v>865</v>
      </c>
      <c r="IA431" s="644">
        <f>INDEX(Input!$1:$1048576,IA$93,$C431*2+6)*INDEX(Input!$1:$1048576,$JG$93,$C431*2+6)</f>
        <v>150</v>
      </c>
      <c r="IB431" s="644">
        <f t="shared" si="1310"/>
        <v>947.76152866263124</v>
      </c>
      <c r="IC431" s="644">
        <f t="shared" si="1311"/>
        <v>974.31629207200399</v>
      </c>
      <c r="ID431" s="644">
        <f>IF(AND(INDEX(Input!$1:$1048576,IA$93,$C431*2+7)="TOS",Y431&lt;=INDEX(Y:Y,MATCH(C431*1000+2,A:A))),0,1)*MAX(IA431+HR431+HU431+HX431,0%)</f>
        <v>155.99246563923722</v>
      </c>
      <c r="IE431" s="128">
        <f t="shared" si="1382"/>
        <v>0.45607770578175544</v>
      </c>
      <c r="IF431" s="128">
        <f t="shared" si="1383"/>
        <v>0.46885627423706472</v>
      </c>
      <c r="IG431" s="128">
        <f t="shared" si="1288"/>
        <v>7.5066019981179843E-2</v>
      </c>
      <c r="IH431" s="21"/>
      <c r="II431" s="19">
        <f t="shared" si="1289"/>
        <v>1199.9999999999998</v>
      </c>
      <c r="IJ431" s="19">
        <f t="shared" si="1290"/>
        <v>2195.4782357510435</v>
      </c>
      <c r="IK431" s="19">
        <f t="shared" si="1291"/>
        <v>-571</v>
      </c>
      <c r="IL431" s="19">
        <f t="shared" si="1313"/>
        <v>649.99999999999977</v>
      </c>
      <c r="IM431" s="19">
        <f t="shared" si="1292"/>
        <v>650.2045397179545</v>
      </c>
      <c r="IN431" s="19">
        <f t="shared" si="1293"/>
        <v>325</v>
      </c>
      <c r="IO431" s="39">
        <f t="shared" si="1294"/>
        <v>0</v>
      </c>
      <c r="IP431" s="39">
        <f t="shared" si="1295"/>
        <v>0</v>
      </c>
      <c r="IQ431" s="39">
        <f t="shared" si="1296"/>
        <v>0</v>
      </c>
      <c r="IR431" s="39">
        <v>0</v>
      </c>
      <c r="IS431" s="39">
        <v>0</v>
      </c>
      <c r="IT431" s="39">
        <v>0</v>
      </c>
      <c r="IU431" s="39">
        <v>0</v>
      </c>
      <c r="IV431" s="39">
        <v>0</v>
      </c>
      <c r="IW431" s="39">
        <v>0</v>
      </c>
      <c r="IX431" s="39">
        <f>INDEX(Input!$1:$1048576,IX$93,$C431*2+6)+INDEX(Input!$1:$1048576,IX$94,$C431*2+6)</f>
        <v>1600</v>
      </c>
      <c r="IY431" s="39">
        <f>INDEX(Input!$1:$1048576,IY$93,$C431*2+6)+INDEX(Input!$1:$1048576,IY$94,$C431*2+6)</f>
        <v>2503.549291639752</v>
      </c>
      <c r="IZ431" s="39">
        <f>INDEX(Input!$1:$1048576,IZ$93,$C431*2+6)+INDEX(Input!$1:$1048576,IZ$94,$C431*2+6)</f>
        <v>5413.7109265464023</v>
      </c>
      <c r="JA431" s="19">
        <f t="shared" si="1314"/>
        <v>2250</v>
      </c>
      <c r="JB431" s="19">
        <f t="shared" si="1315"/>
        <v>3153.7538313577065</v>
      </c>
      <c r="JC431" s="19">
        <f t="shared" si="1316"/>
        <v>5738.7109265464023</v>
      </c>
      <c r="JD431" s="19">
        <f t="shared" si="1317"/>
        <v>2935.6142983185396</v>
      </c>
      <c r="JE431" s="21"/>
      <c r="JF431" s="1">
        <f t="shared" si="1297"/>
        <v>7.6210291289252219E-2</v>
      </c>
      <c r="JG431" s="15">
        <f>INDEX(Input!$1:$1048576,JG$93,$C431*2+6)/(1+VLOOKUP(C431*1000+INDEX(Input!$1:$1048576,JG$93+1,$C431*2+6),$A:$KK,$JK$92,FALSE))</f>
        <v>1859</v>
      </c>
      <c r="JH431" s="1">
        <f t="shared" si="1318"/>
        <v>7.4644467395030639E-2</v>
      </c>
      <c r="JI431" s="1">
        <f t="shared" si="1319"/>
        <v>4.3198612956702909E-2</v>
      </c>
      <c r="JJ431" s="1">
        <f t="shared" si="1384"/>
        <v>0</v>
      </c>
      <c r="JK431" s="1">
        <f t="shared" si="1385"/>
        <v>0.11784308035173355</v>
      </c>
      <c r="JL431" s="15">
        <f t="shared" si="1322"/>
        <v>219.07028637387268</v>
      </c>
      <c r="JM431" s="15">
        <f t="shared" si="1348"/>
        <v>2078.0702863738725</v>
      </c>
      <c r="JN431" s="21"/>
      <c r="JO431" s="19">
        <f>INDEX(Input!$1:$1048576,JO$93,$C431*2+6)</f>
        <v>5908.5</v>
      </c>
      <c r="JP431" s="19">
        <f>INDEX(Input!$1:$1048576,JP$93,$C431*2+6)</f>
        <v>2328.1478086338602</v>
      </c>
      <c r="JQ431" s="39">
        <f t="shared" si="1334"/>
        <v>2972.8857016814604</v>
      </c>
      <c r="JR431" s="39">
        <f t="shared" si="1351"/>
        <v>607.46648968467935</v>
      </c>
      <c r="JS431" s="39">
        <f t="shared" si="1336"/>
        <v>6.1004128455900419</v>
      </c>
      <c r="JT431" s="39">
        <f t="shared" si="1324"/>
        <v>1.7723860693396953</v>
      </c>
      <c r="JU431" s="385">
        <f>(JQ431*JM431-INDEX(Input!$1:$1048576,Input!A$18,$C431*2+6)*JL431*INDEX(Input!$1:$1048576,Input!A$19,$C431*2+6))/1000000</f>
        <v>6.177865441449983</v>
      </c>
      <c r="JV431" s="39">
        <f t="shared" si="1358"/>
        <v>-0.47800928229967088</v>
      </c>
      <c r="JW431" s="1">
        <f t="shared" si="1349"/>
        <v>-7.1817650142065703E-2</v>
      </c>
      <c r="JX431" s="19">
        <f t="shared" si="1340"/>
        <v>8090.4904936075272</v>
      </c>
      <c r="JZ431" s="341"/>
      <c r="KA431" s="342"/>
      <c r="KB431" s="469">
        <f t="shared" si="1337"/>
        <v>2.3451977905499271</v>
      </c>
      <c r="KI431" s="473">
        <f t="shared" si="1364"/>
        <v>103.76152866263124</v>
      </c>
      <c r="KJ431" s="473">
        <f t="shared" si="1365"/>
        <v>109.31629207200399</v>
      </c>
      <c r="KK431" s="473">
        <f t="shared" si="1326"/>
        <v>5.9924656392372242</v>
      </c>
      <c r="KN431" s="544">
        <f t="shared" si="1341"/>
        <v>4002</v>
      </c>
      <c r="KO431" s="541">
        <f t="shared" si="1301"/>
        <v>4.0262779470029875E-2</v>
      </c>
      <c r="KP431" s="546">
        <f t="shared" si="1302"/>
        <v>231.28210322582441</v>
      </c>
      <c r="KQ431" s="546">
        <f t="shared" si="1303"/>
        <v>211.87073672054385</v>
      </c>
      <c r="KR431" s="548">
        <f t="shared" si="1304"/>
        <v>2.9544437108543544</v>
      </c>
      <c r="KS431" s="548">
        <f t="shared" si="1305"/>
        <v>3.2251266309135747</v>
      </c>
      <c r="KT431" s="473">
        <f t="shared" si="1339"/>
        <v>1050.27685337919</v>
      </c>
      <c r="KU431" s="663">
        <f t="shared" si="1327"/>
        <v>6.5653984087121016</v>
      </c>
      <c r="KV431" s="117"/>
    </row>
    <row r="432" spans="1:308" s="26" customFormat="1" ht="15">
      <c r="A432" s="561">
        <f t="shared" si="1306"/>
        <v>4032</v>
      </c>
      <c r="B432" s="561">
        <f t="shared" si="1328"/>
        <v>32</v>
      </c>
      <c r="C432" s="561">
        <f t="shared" si="1329"/>
        <v>4</v>
      </c>
      <c r="D432" s="561" t="str">
        <f t="shared" si="1378"/>
        <v xml:space="preserve">500 CC, 500 Combo, </v>
      </c>
      <c r="E432" s="475">
        <f>INDEX(Input!$1:$1048576,E$93,$C432*2+MIN($B432,2)+5)
+INDEX(Scenarios!E$121:E$200,MATCH($B432,Scenarios!$B$121:$B$200,0))</f>
        <v>1750</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1.8999999999999996E-2</v>
      </c>
      <c r="W432" s="863">
        <f>IFERROR(MAX(0,INDEX(Input!$1:$1048576,W$93,$C432*2+MIN($B432,2)+5)-0%,),"Market")</f>
        <v>3.9E-2</v>
      </c>
      <c r="X432" s="476" t="str">
        <f>INDEX(Input!$1:$1048576,X$93,$C432*2+MIN($B432,2)+5)</f>
        <v>Y</v>
      </c>
      <c r="Y432" s="475">
        <f>INDEX(Input!$1:$1048576,Y$93,$C432*2+MIN($B432,2)+5)
++INDEX(Scenarios!Y$121:Y$200,MATCH($B432,Scenarios!$B$121:$B$200,0))</f>
        <v>-2217</v>
      </c>
      <c r="Z432" s="477">
        <f>INDEX(Input!$1:$1048576,Z$93,$C432*2+MIN($B432,2)+5)
+INDEX(Scenarios!Z$121:Z$200,MATCH($B432,Scenarios!$B$121:$B$200,0))</f>
        <v>0</v>
      </c>
      <c r="AA432" s="475">
        <f>INDEX(Input!$1:$1048576,AA$93,$C432*2+MIN($B432,2)+5)</f>
        <v>0</v>
      </c>
      <c r="AB432" s="476">
        <f>INDEX(Input!$1:$1048576,AB$93,$C432*2+MIN($B432,2)+5)</f>
        <v>1</v>
      </c>
      <c r="AC432" s="475">
        <f>INDEX(Input!$1:$1048576,AC$93,$C432*2+MIN($B432,2)+5)
+INDEX(Scenarios!AC$121:AC$200,MATCH($B432,Scenarios!$B$121:$B$200,0))</f>
        <v>0</v>
      </c>
      <c r="AD432" s="476">
        <f>INDEX(Input!$1:$1048576,AD$93,$C432*2+MIN($B432,2)+5)</f>
        <v>0.35</v>
      </c>
      <c r="AE432" s="475">
        <f>INDEX(Input!$1:$1048576,AE$93,$C432*2+MIN($B432,2)+5)
+INDEX(Scenarios!AE$121:AE$200,MATCH($B432,Scenarios!$B$121:$B$200,0))</f>
        <v>0</v>
      </c>
      <c r="AF432" s="476">
        <f>INDEX(Input!$1:$1048576,AF$93,$C432*2+MIN($B432,2)+5)</f>
        <v>1</v>
      </c>
      <c r="AG432" s="475">
        <f>INDEX(Input!$1:$1048576,AG$93,$C432*2+MIN($B432,2)+5)
+INDEX(Scenarios!AG$121:AG$200,MATCH($B432,Scenarios!$B$121:$B$200,0))</f>
        <v>0</v>
      </c>
      <c r="AH432" s="476">
        <f>INDEX(Input!$1:$1048576,AH$93,$C432*2+MIN($B432,2)+5)</f>
        <v>1</v>
      </c>
      <c r="AI432" s="475">
        <f>INDEX(Input!$1:$1048576,AI$93,$C432*2+MIN($B432,2)+5)
+INDEX(Scenarios!AI$121:AI$200,MATCH($B432,Scenarios!$B$121:$B$200,0))</f>
        <v>0</v>
      </c>
      <c r="AJ432" s="476">
        <f>INDEX(Input!$1:$1048576,AJ$93,$C432*2+MIN($B432,2)+5)</f>
        <v>0.35</v>
      </c>
      <c r="AK432" s="150">
        <f>ROUND(INDEX(Input!$1:$1048576,AK$93,$C431*2+MIN($B432,1)+5)+(Y432-VLOOKUP($C432*1000+1,$A:$HH,Y$92,FALSE)),0)</f>
        <v>4592</v>
      </c>
      <c r="AL432" s="150">
        <f>ROUND(INDEX(Input!$1:$1048576,AL$93,$C431*2+MIN($B432,1)+5)-(Y432-VLOOKUP($C432*1000+1,$A:$HH,Y$92,FALSE))/36,0)</f>
        <v>4743</v>
      </c>
      <c r="AM432" s="32" t="str">
        <f t="shared" si="1307"/>
        <v>std/std/std/std</v>
      </c>
      <c r="AN432" s="32" t="str">
        <f t="shared" si="1308"/>
        <v>$500 + 0/0/0/1.9/3.9</v>
      </c>
      <c r="AO432" s="32" t="str">
        <f t="shared" si="1309"/>
        <v>0/0/0/1.9/3.9</v>
      </c>
      <c r="AP432" s="32" t="str">
        <f t="shared" si="1386"/>
        <v>0/0.9/1.9/3.9</v>
      </c>
      <c r="AQ432" s="536">
        <f t="shared" si="1379"/>
        <v>0.4596088724638529</v>
      </c>
      <c r="AR432" s="32"/>
      <c r="AS432" s="302"/>
      <c r="AT432" s="3">
        <f t="shared" si="1330"/>
        <v>32</v>
      </c>
      <c r="AU432" s="41" t="s">
        <v>121</v>
      </c>
      <c r="AV432" s="41" t="s">
        <v>116</v>
      </c>
      <c r="AW432" s="41" t="str">
        <f>INDEX(Input!$1:$1048576,AW$93,$C432*2+6)</f>
        <v>Kia</v>
      </c>
      <c r="AX432" s="41" t="str">
        <f>INDEX(Input!$1:$1048576,AX$93,$C432*2+6)</f>
        <v>Kia-LR - R1</v>
      </c>
      <c r="AY432" s="41" t="str">
        <f>IF(LEN(D432)=0,"",INDEX(Input!$1:$1048576,AY$93,$C432*2+6))</f>
        <v>Compact Conventional/Sporty Car (43)</v>
      </c>
      <c r="AZ432" s="41" t="str">
        <f>INDEX(Input!$1:$1048576,AZ$93,$C432*2+6)</f>
        <v>Kia Forte</v>
      </c>
      <c r="BA432" s="3">
        <f>INDEX(Input!$1:$1048576,BA$93,$C432*2+6)</f>
        <v>2020</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19695</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387"/>
        <v>2060</v>
      </c>
      <c r="CJ432" s="16" t="str">
        <f>INDEX(Input!$1:$1048576,CJ$93,$C432*2+6)</f>
        <v>N</v>
      </c>
      <c r="CK432" s="1" t="str">
        <f t="shared" si="1388"/>
        <v>Market</v>
      </c>
      <c r="CL432" s="1" t="str">
        <f t="shared" si="1389"/>
        <v>Market</v>
      </c>
      <c r="CM432" s="1" t="str">
        <f t="shared" si="1390"/>
        <v>Market</v>
      </c>
      <c r="CN432" s="1" t="str">
        <f t="shared" si="1391"/>
        <v>Market</v>
      </c>
      <c r="CO432" s="1" t="str">
        <f t="shared" si="1392"/>
        <v>Market</v>
      </c>
      <c r="CP432" s="304">
        <f t="shared" si="1393"/>
        <v>500</v>
      </c>
      <c r="CQ432" s="1">
        <f t="shared" si="1394"/>
        <v>0</v>
      </c>
      <c r="CR432" s="1">
        <f t="shared" si="1395"/>
        <v>0</v>
      </c>
      <c r="CS432" s="1">
        <f t="shared" si="1396"/>
        <v>0</v>
      </c>
      <c r="CT432" s="1">
        <f t="shared" si="1397"/>
        <v>1.8999999999999996E-2</v>
      </c>
      <c r="CU432" s="1">
        <f t="shared" si="1398"/>
        <v>3.9E-2</v>
      </c>
      <c r="CV432" s="304">
        <f t="shared" si="1399"/>
        <v>-2217</v>
      </c>
      <c r="CW432" s="20" t="s">
        <v>122</v>
      </c>
      <c r="CX432" s="20" t="s">
        <v>122</v>
      </c>
      <c r="CY432" s="20" t="s">
        <v>122</v>
      </c>
      <c r="CZ432" s="20" t="s">
        <v>122</v>
      </c>
      <c r="DA432" s="20" t="s">
        <v>122</v>
      </c>
      <c r="DB432" s="503">
        <f t="shared" si="1400"/>
        <v>0</v>
      </c>
      <c r="DC432" s="127">
        <v>0</v>
      </c>
      <c r="DD432" s="127">
        <v>0</v>
      </c>
      <c r="DE432" s="127">
        <v>0</v>
      </c>
      <c r="DF432" s="127">
        <v>0</v>
      </c>
      <c r="DG432" s="127">
        <v>0</v>
      </c>
      <c r="DH432" s="127">
        <v>0</v>
      </c>
      <c r="DI432" s="127">
        <v>0</v>
      </c>
      <c r="DJ432" s="127">
        <v>0</v>
      </c>
      <c r="DK432" s="127">
        <v>0</v>
      </c>
      <c r="DL432" s="127">
        <v>0</v>
      </c>
      <c r="DM432" s="304">
        <f>INDEX(Input!$1:$1048576,DM$93,$C432*2+6)</f>
        <v>20731.578947368424</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4.6696753124252803E-2</v>
      </c>
      <c r="DZ432" s="7">
        <v>0</v>
      </c>
      <c r="EA432" s="7">
        <v>0.83505990532117091</v>
      </c>
      <c r="EB432" s="7">
        <v>0</v>
      </c>
      <c r="EC432" s="7">
        <v>0</v>
      </c>
      <c r="ED432" s="7">
        <v>0</v>
      </c>
      <c r="EE432" s="7">
        <v>0</v>
      </c>
      <c r="EF432" s="7">
        <v>0</v>
      </c>
      <c r="EG432" s="7">
        <v>0</v>
      </c>
      <c r="EH432" s="7">
        <v>1.2284380424789059E-2</v>
      </c>
      <c r="EI432" s="7">
        <v>1.9731204298010348E-2</v>
      </c>
      <c r="EJ432" s="7">
        <v>0.18517303455474404</v>
      </c>
      <c r="EK432" s="7">
        <v>0.72466403320814987</v>
      </c>
      <c r="EL432" s="7">
        <v>5.8147347514306377E-2</v>
      </c>
      <c r="EM432" s="7">
        <v>3.1711315307441763E-2</v>
      </c>
      <c r="EN432" s="7">
        <v>4.6910013181965825E-2</v>
      </c>
      <c r="EO432" s="7">
        <v>0.57065382637107886</v>
      </c>
      <c r="EP432" s="7">
        <v>0.26954067674533794</v>
      </c>
      <c r="EQ432" s="7">
        <v>6.7895833189587404E-2</v>
      </c>
      <c r="ER432" s="7">
        <v>4.4999650512030392E-2</v>
      </c>
      <c r="ES432" s="7">
        <v>8.6532026247134422E-2</v>
      </c>
      <c r="ET432" s="7">
        <v>0.11824334155457623</v>
      </c>
      <c r="EU432" s="6">
        <v>2100</v>
      </c>
      <c r="EV432" s="6">
        <v>0</v>
      </c>
      <c r="EW432" s="6">
        <v>2100</v>
      </c>
      <c r="EX432" s="6">
        <v>0</v>
      </c>
      <c r="EY432" s="6">
        <v>3095.7852425155938</v>
      </c>
      <c r="EZ432" s="6">
        <v>-246</v>
      </c>
      <c r="FA432" s="6">
        <v>0</v>
      </c>
      <c r="FB432" s="6">
        <v>0</v>
      </c>
      <c r="FC432" s="6">
        <v>0</v>
      </c>
      <c r="FD432" s="6">
        <v>0</v>
      </c>
      <c r="FE432" s="6">
        <v>0</v>
      </c>
      <c r="FF432" s="6">
        <v>0</v>
      </c>
      <c r="FG432" s="6">
        <v>0</v>
      </c>
      <c r="FH432" s="6">
        <v>1153.2407513885209</v>
      </c>
      <c r="FI432" s="6">
        <v>1531.4299904380616</v>
      </c>
      <c r="FJ432" s="6">
        <v>2070.7205842538224</v>
      </c>
      <c r="FK432" s="6">
        <v>1746.9903521590441</v>
      </c>
      <c r="FL432" s="6">
        <v>893.91433563489295</v>
      </c>
      <c r="FM432" s="6">
        <v>1745.7852425155938</v>
      </c>
      <c r="FN432" s="6">
        <v>0</v>
      </c>
      <c r="FO432" s="6">
        <v>0</v>
      </c>
      <c r="FP432" s="6">
        <v>0</v>
      </c>
      <c r="FQ432" s="6">
        <v>0</v>
      </c>
      <c r="FR432" s="6">
        <v>0</v>
      </c>
      <c r="FS432" s="6">
        <v>0</v>
      </c>
      <c r="FT432" s="7">
        <v>0.88175665844542372</v>
      </c>
      <c r="FU432" s="7">
        <v>3.1711315307441763E-2</v>
      </c>
      <c r="FV432" s="7">
        <v>8.6532026247134422E-2</v>
      </c>
      <c r="FW432" s="6">
        <v>2100</v>
      </c>
      <c r="FX432" s="6">
        <v>3095.7852425155938</v>
      </c>
      <c r="FY432" s="6">
        <v>-246</v>
      </c>
      <c r="FZ432" s="6">
        <v>1695.8504614767719</v>
      </c>
      <c r="GA432" s="6">
        <v>1928.5735262281319</v>
      </c>
      <c r="GB432" s="6">
        <v>17766.426473771869</v>
      </c>
      <c r="GC432" s="7">
        <v>8.1891069685915169E-2</v>
      </c>
      <c r="GD432" s="7">
        <v>8.4104203634082733E-2</v>
      </c>
      <c r="GE432" s="7"/>
      <c r="GF432" s="7"/>
      <c r="GG432" s="7">
        <v>2.7025339352090692E-2</v>
      </c>
      <c r="GH432" s="42">
        <v>2.2871134801704942</v>
      </c>
      <c r="GI432" s="6">
        <v>10539.864645255524</v>
      </c>
      <c r="GJ432" s="14">
        <v>0.51074630601039517</v>
      </c>
      <c r="GK432" s="14">
        <v>0.50829519786160959</v>
      </c>
      <c r="GL432" s="14">
        <v>0.48925369398960417</v>
      </c>
      <c r="GM432" s="14">
        <v>0.49170480213838996</v>
      </c>
      <c r="GO432" s="5">
        <v>338.16872463277008</v>
      </c>
      <c r="GP432" s="5">
        <v>298.1047308538179</v>
      </c>
      <c r="GQ432" s="5">
        <v>527.27910984145694</v>
      </c>
      <c r="GR432" s="5">
        <v>404.20319246551543</v>
      </c>
      <c r="GS432" s="5">
        <v>334.50205195691484</v>
      </c>
      <c r="GT432" s="5">
        <v>289.18266033348181</v>
      </c>
      <c r="GU432" s="5">
        <v>254.29573314828914</v>
      </c>
      <c r="GV432" s="39" t="s">
        <v>392</v>
      </c>
      <c r="GW432" s="5">
        <v>454.875</v>
      </c>
      <c r="GX432" s="5">
        <v>341.15625</v>
      </c>
      <c r="GY432" s="5">
        <v>272.92500000000001</v>
      </c>
      <c r="GZ432" s="5">
        <v>240.82751152063872</v>
      </c>
      <c r="HA432" s="5">
        <v>223.08053899211652</v>
      </c>
      <c r="HB432" s="39">
        <v>250.34820909835415</v>
      </c>
      <c r="HC432" s="5">
        <v>293.87812499999995</v>
      </c>
      <c r="HD432" s="5">
        <v>243.67143640350872</v>
      </c>
      <c r="HE432" s="5">
        <v>244.28647520242913</v>
      </c>
      <c r="HF432" s="5">
        <v>223.39192434210526</v>
      </c>
      <c r="HG432" s="5">
        <v>212.2899342105263</v>
      </c>
      <c r="HH432" s="39">
        <v>243.40335980216477</v>
      </c>
      <c r="HI432" s="16"/>
      <c r="HJ432" s="19" t="str">
        <f t="shared" si="1380"/>
        <v>On</v>
      </c>
      <c r="HK432" s="1" t="str">
        <f t="shared" si="1380"/>
        <v>On</v>
      </c>
      <c r="HL432" s="16"/>
      <c r="HM432" s="639">
        <f t="shared" si="1278"/>
        <v>6.6115095157691428E-2</v>
      </c>
      <c r="HN432" s="639">
        <f t="shared" si="1279"/>
        <v>2.3720927871164412E-3</v>
      </c>
      <c r="HO432" s="639">
        <f t="shared" si="1280"/>
        <v>7.7231033444443466E-3</v>
      </c>
      <c r="HP432" s="644">
        <f>(FT432*$GD432-HM432)/$JF432*INDEX(Input!$1:$1048576,$JG$93,$C432*2+6)</f>
        <v>196.22599132544204</v>
      </c>
      <c r="HQ432" s="644">
        <f>(FU432*$GD432-HN432)/$JF432*INDEX(Input!$1:$1048576,$JG$93,$C432*2+6)</f>
        <v>7.1950204622047229</v>
      </c>
      <c r="HR432" s="644">
        <f>(FV432*$GD432-HO432)/$JF432*INDEX(Input!$1:$1048576,$JG$93,$C432*2+6)</f>
        <v>-10.8645630353053</v>
      </c>
      <c r="HS432" s="644">
        <f t="shared" si="1381"/>
        <v>-47.420128464570318</v>
      </c>
      <c r="HT432" s="644">
        <f t="shared" si="1282"/>
        <v>144.37635235427746</v>
      </c>
      <c r="HU432" s="644">
        <f t="shared" si="1283"/>
        <v>11.597634930295651</v>
      </c>
      <c r="HV432" s="648">
        <f t="shared" si="1284"/>
        <v>0</v>
      </c>
      <c r="HW432" s="648">
        <f t="shared" si="1285"/>
        <v>0</v>
      </c>
      <c r="HX432" s="648">
        <f t="shared" si="1286"/>
        <v>0</v>
      </c>
      <c r="HY432" s="644">
        <f>INDEX(Input!$1:$1048576,HY$93,$C432*2+6)*INDEX(Input!$1:$1048576,$JG$93,$C432*2+6)</f>
        <v>844</v>
      </c>
      <c r="HZ432" s="644">
        <f>INDEX(Input!$1:$1048576,HZ$93,$C432*2+6)*INDEX(Input!$1:$1048576,$JG$93,$C432*2+6)</f>
        <v>865</v>
      </c>
      <c r="IA432" s="644">
        <f>INDEX(Input!$1:$1048576,IA$93,$C432*2+6)*INDEX(Input!$1:$1048576,$JG$93,$C432*2+6)</f>
        <v>150</v>
      </c>
      <c r="IB432" s="644">
        <f t="shared" si="1310"/>
        <v>992.80586286087157</v>
      </c>
      <c r="IC432" s="644">
        <f t="shared" si="1311"/>
        <v>1016.5713728164822</v>
      </c>
      <c r="ID432" s="644">
        <f>IF(AND(INDEX(Input!$1:$1048576,IA$93,$C432*2+7)="TOS",Y432&lt;=INDEX(Y:Y,MATCH(C432*1000+2,A:A))),0,1)*MAX(IA432+HR432+HU432+HX432,0%)</f>
        <v>150.73307189499033</v>
      </c>
      <c r="IE432" s="128">
        <f t="shared" si="1382"/>
        <v>0.4596088724638529</v>
      </c>
      <c r="IF432" s="128">
        <f t="shared" si="1383"/>
        <v>0.4706108615161248</v>
      </c>
      <c r="IG432" s="128">
        <f t="shared" si="1288"/>
        <v>6.9780266020022283E-2</v>
      </c>
      <c r="IH432" s="21"/>
      <c r="II432" s="19">
        <f t="shared" si="1289"/>
        <v>1199.9999999999998</v>
      </c>
      <c r="IJ432" s="19">
        <f t="shared" si="1290"/>
        <v>2195.4782357510435</v>
      </c>
      <c r="IK432" s="19">
        <f t="shared" si="1291"/>
        <v>-571</v>
      </c>
      <c r="IL432" s="19">
        <f t="shared" si="1313"/>
        <v>900.00000000000023</v>
      </c>
      <c r="IM432" s="19">
        <f t="shared" si="1292"/>
        <v>900.30700676455035</v>
      </c>
      <c r="IN432" s="19">
        <f t="shared" si="1293"/>
        <v>325</v>
      </c>
      <c r="IO432" s="39">
        <f t="shared" si="1294"/>
        <v>0</v>
      </c>
      <c r="IP432" s="39">
        <f t="shared" si="1295"/>
        <v>0</v>
      </c>
      <c r="IQ432" s="39">
        <f t="shared" si="1296"/>
        <v>0</v>
      </c>
      <c r="IR432" s="39">
        <v>0</v>
      </c>
      <c r="IS432" s="39">
        <v>0</v>
      </c>
      <c r="IT432" s="39">
        <v>0</v>
      </c>
      <c r="IU432" s="39">
        <v>0</v>
      </c>
      <c r="IV432" s="39">
        <v>0</v>
      </c>
      <c r="IW432" s="39">
        <v>0</v>
      </c>
      <c r="IX432" s="39">
        <f>INDEX(Input!$1:$1048576,IX$93,$C432*2+6)+INDEX(Input!$1:$1048576,IX$94,$C432*2+6)</f>
        <v>1600</v>
      </c>
      <c r="IY432" s="39">
        <f>INDEX(Input!$1:$1048576,IY$93,$C432*2+6)+INDEX(Input!$1:$1048576,IY$94,$C432*2+6)</f>
        <v>2503.549291639752</v>
      </c>
      <c r="IZ432" s="39">
        <f>INDEX(Input!$1:$1048576,IZ$93,$C432*2+6)+INDEX(Input!$1:$1048576,IZ$94,$C432*2+6)</f>
        <v>5413.7109265464023</v>
      </c>
      <c r="JA432" s="19">
        <f t="shared" si="1314"/>
        <v>2500</v>
      </c>
      <c r="JB432" s="19">
        <f t="shared" si="1315"/>
        <v>3403.8562984043024</v>
      </c>
      <c r="JC432" s="19">
        <f t="shared" si="1316"/>
        <v>5738.7109265464023</v>
      </c>
      <c r="JD432" s="19">
        <f t="shared" si="1317"/>
        <v>3151.3627012951852</v>
      </c>
      <c r="JE432" s="21"/>
      <c r="JF432" s="1">
        <f t="shared" si="1297"/>
        <v>7.6210291289252219E-2</v>
      </c>
      <c r="JG432" s="15">
        <f>INDEX(Input!$1:$1048576,JG$93,$C432*2+6)/(1+VLOOKUP(C432*1000+INDEX(Input!$1:$1048576,JG$93+1,$C432*2+6),$A:$KK,$JK$92,FALSE))</f>
        <v>1859</v>
      </c>
      <c r="JH432" s="1">
        <f t="shared" si="1318"/>
        <v>0.10358066097490126</v>
      </c>
      <c r="JI432" s="1">
        <f t="shared" si="1319"/>
        <v>5.8393684142013333E-2</v>
      </c>
      <c r="JJ432" s="1">
        <f t="shared" si="1384"/>
        <v>0</v>
      </c>
      <c r="JK432" s="1">
        <f t="shared" si="1385"/>
        <v>0.16197434511691461</v>
      </c>
      <c r="JL432" s="15">
        <f t="shared" si="1322"/>
        <v>301.11030757234425</v>
      </c>
      <c r="JM432" s="15">
        <f t="shared" si="1348"/>
        <v>2160.110307572344</v>
      </c>
      <c r="JN432" s="21"/>
      <c r="JO432" s="19">
        <f>INDEX(Input!$1:$1048576,JO$93,$C432*2+6)</f>
        <v>5908.5</v>
      </c>
      <c r="JP432" s="19">
        <f>INDEX(Input!$1:$1048576,JP$93,$C432*2+6)</f>
        <v>2328.1478086338602</v>
      </c>
      <c r="JQ432" s="39">
        <f t="shared" si="1334"/>
        <v>2757.1372987048148</v>
      </c>
      <c r="JR432" s="39">
        <f t="shared" si="1351"/>
        <v>823.21489266132494</v>
      </c>
      <c r="JS432" s="39">
        <f t="shared" si="1336"/>
        <v>6.8072910539667548</v>
      </c>
      <c r="JT432" s="39">
        <f t="shared" si="1324"/>
        <v>2.4792642777164087</v>
      </c>
      <c r="JU432" s="385">
        <f>(JQ432*JM432-INDEX(Input!$1:$1048576,Input!A$18,$C432*2+6)*JL432*INDEX(Input!$1:$1048576,Input!A$19,$C432*2+6))/1000000</f>
        <v>5.9557206983244395</v>
      </c>
      <c r="JV432" s="39">
        <f t="shared" si="1358"/>
        <v>-0.70015402542521432</v>
      </c>
      <c r="JW432" s="1">
        <f t="shared" si="1349"/>
        <v>-0.10519338997275711</v>
      </c>
      <c r="JX432" s="19">
        <f t="shared" si="1340"/>
        <v>8233.7409758739159</v>
      </c>
      <c r="JZ432" s="341"/>
      <c r="KA432" s="342"/>
      <c r="KB432" s="469">
        <f t="shared" si="1337"/>
        <v>2.3451977905499271</v>
      </c>
      <c r="KI432" s="473">
        <f t="shared" si="1364"/>
        <v>148.80586286087157</v>
      </c>
      <c r="KJ432" s="473">
        <f t="shared" si="1365"/>
        <v>151.57137281648215</v>
      </c>
      <c r="KK432" s="473">
        <f t="shared" si="1326"/>
        <v>0.73307189499033143</v>
      </c>
      <c r="KN432" s="544">
        <f t="shared" si="1341"/>
        <v>4002</v>
      </c>
      <c r="KO432" s="541">
        <f t="shared" si="1301"/>
        <v>8.1331255853772433E-2</v>
      </c>
      <c r="KP432" s="546">
        <f t="shared" si="1302"/>
        <v>465.20687922132447</v>
      </c>
      <c r="KQ432" s="546">
        <f t="shared" si="1303"/>
        <v>427.61913969718944</v>
      </c>
      <c r="KR432" s="548">
        <f t="shared" si="1304"/>
        <v>2.9670532857597203</v>
      </c>
      <c r="KS432" s="548">
        <f t="shared" si="1305"/>
        <v>3.2278573885375792</v>
      </c>
      <c r="KT432" s="473">
        <f t="shared" si="1339"/>
        <v>1050.27685337919</v>
      </c>
      <c r="KU432" s="663">
        <f t="shared" si="1327"/>
        <v>6.6041011507637739</v>
      </c>
      <c r="KV432" s="117"/>
    </row>
    <row r="433" spans="1:308" s="26" customFormat="1" ht="15">
      <c r="A433" s="561">
        <f t="shared" si="1306"/>
        <v>4033</v>
      </c>
      <c r="B433" s="561">
        <f t="shared" si="1328"/>
        <v>33</v>
      </c>
      <c r="C433" s="561">
        <f t="shared" si="1329"/>
        <v>4</v>
      </c>
      <c r="D433" s="561" t="str">
        <f t="shared" si="1378"/>
        <v xml:space="preserve">750 CC, 750 Combo, </v>
      </c>
      <c r="E433" s="475">
        <f>INDEX(Input!$1:$1048576,E$93,$C433*2+MIN($B433,2)+5)
+INDEX(Scenarios!E$121:E$200,MATCH($B433,Scenarios!$B$121:$B$200,0))</f>
        <v>2000</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1.8999999999999996E-2</v>
      </c>
      <c r="W433" s="863">
        <f>IFERROR(MAX(0,INDEX(Input!$1:$1048576,W$93,$C433*2+MIN($B433,2)+5)-0%,),"Market")</f>
        <v>3.9E-2</v>
      </c>
      <c r="X433" s="476" t="str">
        <f>INDEX(Input!$1:$1048576,X$93,$C433*2+MIN($B433,2)+5)</f>
        <v>Y</v>
      </c>
      <c r="Y433" s="475">
        <f>INDEX(Input!$1:$1048576,Y$93,$C433*2+MIN($B433,2)+5)
++INDEX(Scenarios!Y$121:Y$200,MATCH($B433,Scenarios!$B$121:$B$200,0))</f>
        <v>-2217</v>
      </c>
      <c r="Z433" s="477">
        <f>INDEX(Input!$1:$1048576,Z$93,$C433*2+MIN($B433,2)+5)
+INDEX(Scenarios!Z$121:Z$200,MATCH($B433,Scenarios!$B$121:$B$200,0))</f>
        <v>0</v>
      </c>
      <c r="AA433" s="475">
        <f>INDEX(Input!$1:$1048576,AA$93,$C433*2+MIN($B433,2)+5)</f>
        <v>0</v>
      </c>
      <c r="AB433" s="476">
        <f>INDEX(Input!$1:$1048576,AB$93,$C433*2+MIN($B433,2)+5)</f>
        <v>1</v>
      </c>
      <c r="AC433" s="475">
        <f>INDEX(Input!$1:$1048576,AC$93,$C433*2+MIN($B433,2)+5)
+INDEX(Scenarios!AC$121:AC$200,MATCH($B433,Scenarios!$B$121:$B$200,0))</f>
        <v>0</v>
      </c>
      <c r="AD433" s="476">
        <f>INDEX(Input!$1:$1048576,AD$93,$C433*2+MIN($B433,2)+5)</f>
        <v>0.35</v>
      </c>
      <c r="AE433" s="475">
        <f>INDEX(Input!$1:$1048576,AE$93,$C433*2+MIN($B433,2)+5)
+INDEX(Scenarios!AE$121:AE$200,MATCH($B433,Scenarios!$B$121:$B$200,0))</f>
        <v>0</v>
      </c>
      <c r="AF433" s="476">
        <f>INDEX(Input!$1:$1048576,AF$93,$C433*2+MIN($B433,2)+5)</f>
        <v>1</v>
      </c>
      <c r="AG433" s="475">
        <f>INDEX(Input!$1:$1048576,AG$93,$C433*2+MIN($B433,2)+5)
+INDEX(Scenarios!AG$121:AG$200,MATCH($B433,Scenarios!$B$121:$B$200,0))</f>
        <v>0</v>
      </c>
      <c r="AH433" s="476">
        <f>INDEX(Input!$1:$1048576,AH$93,$C433*2+MIN($B433,2)+5)</f>
        <v>1</v>
      </c>
      <c r="AI433" s="475">
        <f>INDEX(Input!$1:$1048576,AI$93,$C433*2+MIN($B433,2)+5)
+INDEX(Scenarios!AI$121:AI$200,MATCH($B433,Scenarios!$B$121:$B$200,0))</f>
        <v>0</v>
      </c>
      <c r="AJ433" s="476">
        <f>INDEX(Input!$1:$1048576,AJ$93,$C433*2+MIN($B433,2)+5)</f>
        <v>0.35</v>
      </c>
      <c r="AK433" s="150">
        <f>ROUND(INDEX(Input!$1:$1048576,AK$93,$C432*2+MIN($B433,1)+5)+(Y433-VLOOKUP($C433*1000+1,$A:$HH,Y$92,FALSE)),0)</f>
        <v>4592</v>
      </c>
      <c r="AL433" s="150">
        <f>ROUND(INDEX(Input!$1:$1048576,AL$93,$C432*2+MIN($B433,1)+5)-(Y433-VLOOKUP($C433*1000+1,$A:$HH,Y$92,FALSE))/36,0)</f>
        <v>4743</v>
      </c>
      <c r="AM433" s="32" t="str">
        <f t="shared" si="1307"/>
        <v>std/std/std/std</v>
      </c>
      <c r="AN433" s="32" t="str">
        <f t="shared" si="1308"/>
        <v>$750 + 0/0/0/1.9/3.9</v>
      </c>
      <c r="AO433" s="32" t="str">
        <f t="shared" si="1309"/>
        <v>0/0/0/1.9/3.9</v>
      </c>
      <c r="AP433" s="32" t="str">
        <f t="shared" si="1386"/>
        <v>0/0.9/1.9/3.9</v>
      </c>
      <c r="AQ433" s="536">
        <f t="shared" si="1379"/>
        <v>0.46317830794329906</v>
      </c>
      <c r="AR433" s="32"/>
      <c r="AS433" s="302"/>
      <c r="AT433" s="3">
        <f t="shared" si="1330"/>
        <v>33</v>
      </c>
      <c r="AU433" s="41" t="s">
        <v>121</v>
      </c>
      <c r="AV433" s="41" t="s">
        <v>116</v>
      </c>
      <c r="AW433" s="41" t="str">
        <f>INDEX(Input!$1:$1048576,AW$93,$C433*2+6)</f>
        <v>Kia</v>
      </c>
      <c r="AX433" s="41" t="str">
        <f>INDEX(Input!$1:$1048576,AX$93,$C433*2+6)</f>
        <v>Kia-LR - R1</v>
      </c>
      <c r="AY433" s="41" t="str">
        <f>IF(LEN(D433)=0,"",INDEX(Input!$1:$1048576,AY$93,$C433*2+6))</f>
        <v>Compact Conventional/Sporty Car (43)</v>
      </c>
      <c r="AZ433" s="41" t="str">
        <f>INDEX(Input!$1:$1048576,AZ$93,$C433*2+6)</f>
        <v>Kia Forte</v>
      </c>
      <c r="BA433" s="3">
        <f>INDEX(Input!$1:$1048576,BA$93,$C433*2+6)</f>
        <v>2020</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19695</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387"/>
        <v>2310</v>
      </c>
      <c r="CJ433" s="16" t="str">
        <f>INDEX(Input!$1:$1048576,CJ$93,$C433*2+6)</f>
        <v>N</v>
      </c>
      <c r="CK433" s="1" t="str">
        <f t="shared" si="1388"/>
        <v>Market</v>
      </c>
      <c r="CL433" s="1" t="str">
        <f t="shared" si="1389"/>
        <v>Market</v>
      </c>
      <c r="CM433" s="1" t="str">
        <f t="shared" si="1390"/>
        <v>Market</v>
      </c>
      <c r="CN433" s="1" t="str">
        <f t="shared" si="1391"/>
        <v>Market</v>
      </c>
      <c r="CO433" s="1" t="str">
        <f t="shared" si="1392"/>
        <v>Market</v>
      </c>
      <c r="CP433" s="304">
        <f t="shared" si="1393"/>
        <v>750</v>
      </c>
      <c r="CQ433" s="1">
        <f t="shared" si="1394"/>
        <v>0</v>
      </c>
      <c r="CR433" s="1">
        <f t="shared" si="1395"/>
        <v>0</v>
      </c>
      <c r="CS433" s="1">
        <f t="shared" si="1396"/>
        <v>0</v>
      </c>
      <c r="CT433" s="1">
        <f t="shared" si="1397"/>
        <v>1.8999999999999996E-2</v>
      </c>
      <c r="CU433" s="1">
        <f t="shared" si="1398"/>
        <v>3.9E-2</v>
      </c>
      <c r="CV433" s="304">
        <f t="shared" si="1399"/>
        <v>-2217</v>
      </c>
      <c r="CW433" s="20" t="s">
        <v>122</v>
      </c>
      <c r="CX433" s="20" t="s">
        <v>122</v>
      </c>
      <c r="CY433" s="20" t="s">
        <v>122</v>
      </c>
      <c r="CZ433" s="20" t="s">
        <v>122</v>
      </c>
      <c r="DA433" s="20" t="s">
        <v>122</v>
      </c>
      <c r="DB433" s="503">
        <f t="shared" si="1400"/>
        <v>0</v>
      </c>
      <c r="DC433" s="127">
        <v>0</v>
      </c>
      <c r="DD433" s="127">
        <v>0</v>
      </c>
      <c r="DE433" s="127">
        <v>0</v>
      </c>
      <c r="DF433" s="127">
        <v>0</v>
      </c>
      <c r="DG433" s="127">
        <v>0</v>
      </c>
      <c r="DH433" s="127">
        <v>0</v>
      </c>
      <c r="DI433" s="127">
        <v>0</v>
      </c>
      <c r="DJ433" s="127">
        <v>0</v>
      </c>
      <c r="DK433" s="127">
        <v>0</v>
      </c>
      <c r="DL433" s="127">
        <v>0</v>
      </c>
      <c r="DM433" s="304">
        <f>INDEX(Input!$1:$1048576,DM$93,$C433*2+6)</f>
        <v>20731.578947368424</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4.7168633245337599E-2</v>
      </c>
      <c r="DZ433" s="7">
        <v>0</v>
      </c>
      <c r="EA433" s="7">
        <v>0.83969646130081566</v>
      </c>
      <c r="EB433" s="7">
        <v>0</v>
      </c>
      <c r="EC433" s="7">
        <v>0</v>
      </c>
      <c r="ED433" s="7">
        <v>0</v>
      </c>
      <c r="EE433" s="7">
        <v>0</v>
      </c>
      <c r="EF433" s="7">
        <v>0</v>
      </c>
      <c r="EG433" s="7">
        <v>0</v>
      </c>
      <c r="EH433" s="7">
        <v>1.2301235752997011E-2</v>
      </c>
      <c r="EI433" s="7">
        <v>1.9763984423151623E-2</v>
      </c>
      <c r="EJ433" s="7">
        <v>0.18541638743293223</v>
      </c>
      <c r="EK433" s="7">
        <v>0.72441741106344271</v>
      </c>
      <c r="EL433" s="7">
        <v>5.8100981327476556E-2</v>
      </c>
      <c r="EM433" s="7">
        <v>3.1921907984099121E-2</v>
      </c>
      <c r="EN433" s="7">
        <v>4.688712092781297E-2</v>
      </c>
      <c r="EO433" s="7">
        <v>0.57057251629464101</v>
      </c>
      <c r="EP433" s="7">
        <v>0.26964489368354538</v>
      </c>
      <c r="EQ433" s="7">
        <v>6.7886133789243797E-2</v>
      </c>
      <c r="ER433" s="7">
        <v>4.5009335304756752E-2</v>
      </c>
      <c r="ES433" s="7">
        <v>8.1212997469747555E-2</v>
      </c>
      <c r="ET433" s="7">
        <v>0.1131349054538467</v>
      </c>
      <c r="EU433" s="6">
        <v>2350</v>
      </c>
      <c r="EV433" s="6">
        <v>0</v>
      </c>
      <c r="EW433" s="6">
        <v>2350</v>
      </c>
      <c r="EX433" s="6">
        <v>0</v>
      </c>
      <c r="EY433" s="6">
        <v>3345.8864430079739</v>
      </c>
      <c r="EZ433" s="6">
        <v>-246</v>
      </c>
      <c r="FA433" s="6">
        <v>0</v>
      </c>
      <c r="FB433" s="6">
        <v>0</v>
      </c>
      <c r="FC433" s="6">
        <v>0</v>
      </c>
      <c r="FD433" s="6">
        <v>0</v>
      </c>
      <c r="FE433" s="6">
        <v>0</v>
      </c>
      <c r="FF433" s="6">
        <v>0</v>
      </c>
      <c r="FG433" s="6">
        <v>0</v>
      </c>
      <c r="FH433" s="6">
        <v>1153.2358629941175</v>
      </c>
      <c r="FI433" s="6">
        <v>1531.4299904380616</v>
      </c>
      <c r="FJ433" s="6">
        <v>2070.7205842538224</v>
      </c>
      <c r="FK433" s="6">
        <v>1746.9903521590434</v>
      </c>
      <c r="FL433" s="6">
        <v>893.91433563489397</v>
      </c>
      <c r="FM433" s="6">
        <v>1745.8864430079739</v>
      </c>
      <c r="FN433" s="6">
        <v>0</v>
      </c>
      <c r="FO433" s="6">
        <v>0</v>
      </c>
      <c r="FP433" s="6">
        <v>0</v>
      </c>
      <c r="FQ433" s="6">
        <v>0</v>
      </c>
      <c r="FR433" s="6">
        <v>0</v>
      </c>
      <c r="FS433" s="6">
        <v>0</v>
      </c>
      <c r="FT433" s="7">
        <v>0.88686509454615325</v>
      </c>
      <c r="FU433" s="7">
        <v>3.1921907984099121E-2</v>
      </c>
      <c r="FV433" s="7">
        <v>8.1212997469747555E-2</v>
      </c>
      <c r="FW433" s="6">
        <v>2350</v>
      </c>
      <c r="FX433" s="6">
        <v>3345.8864430079739</v>
      </c>
      <c r="FY433" s="6">
        <v>-246</v>
      </c>
      <c r="FZ433" s="6">
        <v>1695.8504614767719</v>
      </c>
      <c r="GA433" s="6">
        <v>2170.9616539648473</v>
      </c>
      <c r="GB433" s="6">
        <v>17524.038346035151</v>
      </c>
      <c r="GC433" s="7">
        <v>8.1891069685915169E-2</v>
      </c>
      <c r="GD433" s="7">
        <v>8.6376673411901861E-2</v>
      </c>
      <c r="GE433" s="7"/>
      <c r="GF433" s="7"/>
      <c r="GG433" s="7">
        <v>5.4775248915306232E-2</v>
      </c>
      <c r="GH433" s="42">
        <v>2.2706232655506899</v>
      </c>
      <c r="GI433" s="6">
        <v>10844.791566133665</v>
      </c>
      <c r="GJ433" s="14">
        <v>0.5107463060103955</v>
      </c>
      <c r="GK433" s="14">
        <v>0.5082951978616097</v>
      </c>
      <c r="GL433" s="14">
        <v>0.48925369398960417</v>
      </c>
      <c r="GM433" s="14">
        <v>0.4917048021383903</v>
      </c>
      <c r="GO433" s="5">
        <v>338.16872463277008</v>
      </c>
      <c r="GP433" s="5">
        <v>293.33520778489498</v>
      </c>
      <c r="GQ433" s="5">
        <v>527.27910984145694</v>
      </c>
      <c r="GR433" s="5">
        <v>404.20319246551543</v>
      </c>
      <c r="GS433" s="5">
        <v>334.50205195691484</v>
      </c>
      <c r="GT433" s="5">
        <v>289.18266033348181</v>
      </c>
      <c r="GU433" s="5">
        <v>254.29573314828914</v>
      </c>
      <c r="GV433" s="39" t="s">
        <v>392</v>
      </c>
      <c r="GW433" s="5">
        <v>447.93055555555554</v>
      </c>
      <c r="GX433" s="5">
        <v>335.94791666666669</v>
      </c>
      <c r="GY433" s="5">
        <v>268.75833333333333</v>
      </c>
      <c r="GZ433" s="5">
        <v>237.1508678834881</v>
      </c>
      <c r="HA433" s="5">
        <v>219.67483322752742</v>
      </c>
      <c r="HB433" s="39">
        <v>246.54150914308661</v>
      </c>
      <c r="HC433" s="5">
        <v>293.87812499999995</v>
      </c>
      <c r="HD433" s="5">
        <v>243.67143640350872</v>
      </c>
      <c r="HE433" s="5">
        <v>244.28647520242913</v>
      </c>
      <c r="HF433" s="5">
        <v>223.39192434210526</v>
      </c>
      <c r="HG433" s="5">
        <v>212.2899342105263</v>
      </c>
      <c r="HH433" s="39">
        <v>243.40216733111168</v>
      </c>
      <c r="HI433" s="16"/>
      <c r="HJ433" s="19" t="str">
        <f t="shared" si="1380"/>
        <v>On</v>
      </c>
      <c r="HK433" s="1" t="str">
        <f t="shared" si="1380"/>
        <v>On</v>
      </c>
      <c r="HL433" s="16"/>
      <c r="HM433" s="639">
        <f t="shared" si="1278"/>
        <v>6.6115095157691428E-2</v>
      </c>
      <c r="HN433" s="639">
        <f t="shared" si="1279"/>
        <v>2.3720927871164412E-3</v>
      </c>
      <c r="HO433" s="639">
        <f t="shared" si="1280"/>
        <v>7.7231033444443466E-3</v>
      </c>
      <c r="HP433" s="644">
        <f>(FT433*$GD433-HM433)/$JF433*INDEX(Input!$1:$1048576,$JG$93,$C433*2+6)</f>
        <v>255.86731989755171</v>
      </c>
      <c r="HQ433" s="644">
        <f>(FU433*$GD433-HN433)/$JF433*INDEX(Input!$1:$1048576,$JG$93,$C433*2+6)</f>
        <v>9.3965720217330002</v>
      </c>
      <c r="HR433" s="644">
        <f>(FV433*$GD433-HO433)/$JF433*INDEX(Input!$1:$1048576,$JG$93,$C433*2+6)</f>
        <v>-17.275017368545345</v>
      </c>
      <c r="HS433" s="644">
        <f t="shared" ref="HS433:HS436" si="1401">IF(AND(HJ433="On",HK433="On"),IL433/1000*INDEX(KG:KG,MATCH(C433*1000+3,$KF:$KF,0))*SUM(HY433:IA433)*1.1
+INDEX(HR:HR,MATCH(C433*1000+4,$KF:$KF,0))/INDEX(IM:IM,MATCH(C433*1000+4,$KF:$KF,0))*IM433*20%,0)</f>
        <v>-60.592389649053558</v>
      </c>
      <c r="HT433" s="644">
        <f t="shared" si="1282"/>
        <v>184.48352807415151</v>
      </c>
      <c r="HU433" s="644">
        <f t="shared" si="1283"/>
        <v>12.910148232928041</v>
      </c>
      <c r="HV433" s="648">
        <f t="shared" si="1284"/>
        <v>0</v>
      </c>
      <c r="HW433" s="648">
        <f t="shared" si="1285"/>
        <v>0</v>
      </c>
      <c r="HX433" s="648">
        <f t="shared" si="1286"/>
        <v>0</v>
      </c>
      <c r="HY433" s="644">
        <f>INDEX(Input!$1:$1048576,HY$93,$C433*2+6)*INDEX(Input!$1:$1048576,$JG$93,$C433*2+6)</f>
        <v>844</v>
      </c>
      <c r="HZ433" s="644">
        <f>INDEX(Input!$1:$1048576,HZ$93,$C433*2+6)*INDEX(Input!$1:$1048576,$JG$93,$C433*2+6)</f>
        <v>865</v>
      </c>
      <c r="IA433" s="644">
        <f>INDEX(Input!$1:$1048576,IA$93,$C433*2+6)*INDEX(Input!$1:$1048576,$JG$93,$C433*2+6)</f>
        <v>150</v>
      </c>
      <c r="IB433" s="644">
        <f t="shared" si="1310"/>
        <v>1039.2749302484981</v>
      </c>
      <c r="IC433" s="644">
        <f t="shared" si="1311"/>
        <v>1058.8801000958845</v>
      </c>
      <c r="ID433" s="644">
        <f>IF(AND(INDEX(Input!$1:$1048576,IA$93,$C433*2+7)="TOS",Y433&lt;=INDEX(Y:Y,MATCH(C433*1000+2,A:A))),0,1)*MAX(IA433+HR433+HU433+HX433,0%)</f>
        <v>145.63513086438269</v>
      </c>
      <c r="IE433" s="128">
        <f t="shared" ref="IE433:IE436" si="1402">IB433/SUM($IB433:$ID433)</f>
        <v>0.46317830794329906</v>
      </c>
      <c r="IF433" s="128">
        <f t="shared" si="1383"/>
        <v>0.47191583170390988</v>
      </c>
      <c r="IG433" s="128">
        <f t="shared" si="1288"/>
        <v>6.490586035279107E-2</v>
      </c>
      <c r="IH433" s="21"/>
      <c r="II433" s="19">
        <f t="shared" si="1289"/>
        <v>1199.9999999999998</v>
      </c>
      <c r="IJ433" s="19">
        <f t="shared" si="1290"/>
        <v>2195.4782357510435</v>
      </c>
      <c r="IK433" s="19">
        <f t="shared" si="1291"/>
        <v>-571</v>
      </c>
      <c r="IL433" s="19">
        <f t="shared" si="1313"/>
        <v>1150.0000000000002</v>
      </c>
      <c r="IM433" s="19">
        <f t="shared" si="1292"/>
        <v>1150.4082072569304</v>
      </c>
      <c r="IN433" s="19">
        <f t="shared" si="1293"/>
        <v>325</v>
      </c>
      <c r="IO433" s="39">
        <f t="shared" si="1294"/>
        <v>0</v>
      </c>
      <c r="IP433" s="39">
        <f t="shared" si="1295"/>
        <v>0</v>
      </c>
      <c r="IQ433" s="39">
        <f t="shared" si="1296"/>
        <v>0</v>
      </c>
      <c r="IR433" s="39">
        <v>0</v>
      </c>
      <c r="IS433" s="39">
        <v>0</v>
      </c>
      <c r="IT433" s="39">
        <v>0</v>
      </c>
      <c r="IU433" s="39">
        <v>0</v>
      </c>
      <c r="IV433" s="39">
        <v>0</v>
      </c>
      <c r="IW433" s="39">
        <v>0</v>
      </c>
      <c r="IX433" s="39">
        <f>INDEX(Input!$1:$1048576,IX$93,$C433*2+6)+INDEX(Input!$1:$1048576,IX$94,$C433*2+6)</f>
        <v>1600</v>
      </c>
      <c r="IY433" s="39">
        <f>INDEX(Input!$1:$1048576,IY$93,$C433*2+6)+INDEX(Input!$1:$1048576,IY$94,$C433*2+6)</f>
        <v>2503.549291639752</v>
      </c>
      <c r="IZ433" s="39">
        <f>INDEX(Input!$1:$1048576,IZ$93,$C433*2+6)+INDEX(Input!$1:$1048576,IZ$94,$C433*2+6)</f>
        <v>5413.7109265464023</v>
      </c>
      <c r="JA433" s="19">
        <f t="shared" si="1314"/>
        <v>2750</v>
      </c>
      <c r="JB433" s="19">
        <f t="shared" si="1315"/>
        <v>3653.9574988966824</v>
      </c>
      <c r="JC433" s="19">
        <f t="shared" si="1316"/>
        <v>5738.7109265464023</v>
      </c>
      <c r="JD433" s="19">
        <f t="shared" si="1317"/>
        <v>3370.5767089500955</v>
      </c>
      <c r="JE433" s="21"/>
      <c r="JF433" s="1">
        <f t="shared" si="1297"/>
        <v>7.6210291289252219E-2</v>
      </c>
      <c r="JG433" s="15">
        <f>INDEX(Input!$1:$1048576,JG$93,$C433*2+6)/(1+VLOOKUP(C433*1000+INDEX(Input!$1:$1048576,JG$93+1,$C433*2+6),$A:$KK,$JK$92,FALSE))</f>
        <v>1859</v>
      </c>
      <c r="JH433" s="1">
        <f t="shared" si="1318"/>
        <v>0.1333990718400965</v>
      </c>
      <c r="JI433" s="1">
        <f t="shared" si="1319"/>
        <v>7.3588642634763848E-2</v>
      </c>
      <c r="JJ433" s="1">
        <f t="shared" si="1384"/>
        <v>0</v>
      </c>
      <c r="JK433" s="1">
        <f t="shared" si="1385"/>
        <v>0.20698771447486036</v>
      </c>
      <c r="JL433" s="15">
        <f t="shared" si="1322"/>
        <v>384.79016120876543</v>
      </c>
      <c r="JM433" s="15">
        <f t="shared" si="1348"/>
        <v>2243.7901612087653</v>
      </c>
      <c r="JN433" s="21"/>
      <c r="JO433" s="19">
        <f>INDEX(Input!$1:$1048576,JO$93,$C433*2+6)</f>
        <v>5908.5</v>
      </c>
      <c r="JP433" s="19">
        <f>INDEX(Input!$1:$1048576,JP$93,$C433*2+6)</f>
        <v>2328.1478086338602</v>
      </c>
      <c r="JQ433" s="39">
        <f t="shared" si="1334"/>
        <v>2537.9232910499045</v>
      </c>
      <c r="JR433" s="39">
        <f t="shared" si="1351"/>
        <v>1042.4289003162353</v>
      </c>
      <c r="JS433" s="39">
        <f t="shared" si="1336"/>
        <v>7.5628668571416444</v>
      </c>
      <c r="JT433" s="39">
        <f t="shared" si="1324"/>
        <v>3.2348400808912983</v>
      </c>
      <c r="JU433" s="385">
        <f>(JQ433*JM433-INDEX(Input!$1:$1048576,Input!A$18,$C433*2+6)*JL433*INDEX(Input!$1:$1048576,Input!A$19,$C433*2+6))/1000000</f>
        <v>5.6945673103603447</v>
      </c>
      <c r="JV433" s="39">
        <f t="shared" si="1358"/>
        <v>-0.96130741338930914</v>
      </c>
      <c r="JW433" s="1">
        <f t="shared" si="1349"/>
        <v>-0.14442991391637056</v>
      </c>
      <c r="JX433" s="19">
        <f t="shared" si="1340"/>
        <v>8406.7640158196682</v>
      </c>
      <c r="JZ433" s="341"/>
      <c r="KA433" s="342"/>
      <c r="KB433" s="469">
        <f t="shared" si="1337"/>
        <v>2.3451977905499271</v>
      </c>
      <c r="KI433" s="473">
        <f t="shared" ref="KI433:KI436" si="1403">$JM433*IE433-$JG433*HY433/SUM($HY433:$IA433)</f>
        <v>195.27493024849809</v>
      </c>
      <c r="KJ433" s="473">
        <f t="shared" ref="KJ433:KJ436" si="1404">$JM433*IF433-$JG433*HZ433/SUM($HY433:$IA433)</f>
        <v>193.88010009588447</v>
      </c>
      <c r="KK433" s="473">
        <f t="shared" si="1326"/>
        <v>-4.3648691356173117</v>
      </c>
      <c r="KN433" s="544">
        <f t="shared" si="1341"/>
        <v>4002</v>
      </c>
      <c r="KO433" s="541">
        <f t="shared" si="1301"/>
        <v>0.1232206172003345</v>
      </c>
      <c r="KP433" s="546">
        <f t="shared" si="1302"/>
        <v>701.46564408923678</v>
      </c>
      <c r="KQ433" s="546">
        <f t="shared" si="1303"/>
        <v>646.83314735209979</v>
      </c>
      <c r="KR433" s="548">
        <f t="shared" si="1304"/>
        <v>2.9811990232539647</v>
      </c>
      <c r="KS433" s="548">
        <f t="shared" si="1305"/>
        <v>3.2329955593118496</v>
      </c>
      <c r="KT433" s="473">
        <f t="shared" si="1339"/>
        <v>1050.27685337919</v>
      </c>
      <c r="KU433" s="663">
        <f t="shared" si="1327"/>
        <v>6.6401424988142894</v>
      </c>
      <c r="KV433" s="117"/>
    </row>
    <row r="434" spans="1:308" s="26" customFormat="1" ht="15">
      <c r="A434" s="561">
        <f t="shared" si="1306"/>
        <v>4034</v>
      </c>
      <c r="B434" s="561">
        <f t="shared" si="1328"/>
        <v>34</v>
      </c>
      <c r="C434" s="561">
        <f t="shared" si="1329"/>
        <v>4</v>
      </c>
      <c r="D434" s="561" t="str">
        <f t="shared" si="1378"/>
        <v xml:space="preserve">1000 CC, 1000 Combo, </v>
      </c>
      <c r="E434" s="475">
        <f>INDEX(Input!$1:$1048576,E$93,$C434*2+MIN($B434,2)+5)
+INDEX(Scenarios!E$121:E$200,MATCH($B434,Scenarios!$B$121:$B$200,0))</f>
        <v>2250</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1.8999999999999996E-2</v>
      </c>
      <c r="W434" s="863">
        <f>IFERROR(MAX(0,INDEX(Input!$1:$1048576,W$93,$C434*2+MIN($B434,2)+5)-0%,),"Market")</f>
        <v>3.9E-2</v>
      </c>
      <c r="X434" s="476" t="str">
        <f>INDEX(Input!$1:$1048576,X$93,$C434*2+MIN($B434,2)+5)</f>
        <v>Y</v>
      </c>
      <c r="Y434" s="475">
        <f>INDEX(Input!$1:$1048576,Y$93,$C434*2+MIN($B434,2)+5)
++INDEX(Scenarios!Y$121:Y$200,MATCH($B434,Scenarios!$B$121:$B$200,0))</f>
        <v>-2217</v>
      </c>
      <c r="Z434" s="477">
        <f>INDEX(Input!$1:$1048576,Z$93,$C434*2+MIN($B434,2)+5)
+INDEX(Scenarios!Z$121:Z$200,MATCH($B434,Scenarios!$B$121:$B$200,0))</f>
        <v>0</v>
      </c>
      <c r="AA434" s="475">
        <f>INDEX(Input!$1:$1048576,AA$93,$C434*2+MIN($B434,2)+5)</f>
        <v>0</v>
      </c>
      <c r="AB434" s="476">
        <f>INDEX(Input!$1:$1048576,AB$93,$C434*2+MIN($B434,2)+5)</f>
        <v>1</v>
      </c>
      <c r="AC434" s="475">
        <f>INDEX(Input!$1:$1048576,AC$93,$C434*2+MIN($B434,2)+5)
+INDEX(Scenarios!AC$121:AC$200,MATCH($B434,Scenarios!$B$121:$B$200,0))</f>
        <v>0</v>
      </c>
      <c r="AD434" s="476">
        <f>INDEX(Input!$1:$1048576,AD$93,$C434*2+MIN($B434,2)+5)</f>
        <v>0.35</v>
      </c>
      <c r="AE434" s="475">
        <f>INDEX(Input!$1:$1048576,AE$93,$C434*2+MIN($B434,2)+5)
+INDEX(Scenarios!AE$121:AE$200,MATCH($B434,Scenarios!$B$121:$B$200,0))</f>
        <v>0</v>
      </c>
      <c r="AF434" s="476">
        <f>INDEX(Input!$1:$1048576,AF$93,$C434*2+MIN($B434,2)+5)</f>
        <v>1</v>
      </c>
      <c r="AG434" s="475">
        <f>INDEX(Input!$1:$1048576,AG$93,$C434*2+MIN($B434,2)+5)
+INDEX(Scenarios!AG$121:AG$200,MATCH($B434,Scenarios!$B$121:$B$200,0))</f>
        <v>0</v>
      </c>
      <c r="AH434" s="476">
        <f>INDEX(Input!$1:$1048576,AH$93,$C434*2+MIN($B434,2)+5)</f>
        <v>1</v>
      </c>
      <c r="AI434" s="475">
        <f>INDEX(Input!$1:$1048576,AI$93,$C434*2+MIN($B434,2)+5)
+INDEX(Scenarios!AI$121:AI$200,MATCH($B434,Scenarios!$B$121:$B$200,0))</f>
        <v>0</v>
      </c>
      <c r="AJ434" s="476">
        <f>INDEX(Input!$1:$1048576,AJ$93,$C434*2+MIN($B434,2)+5)</f>
        <v>0.35</v>
      </c>
      <c r="AK434" s="150">
        <f>ROUND(INDEX(Input!$1:$1048576,AK$93,$C433*2+MIN($B434,1)+5)+(Y434-VLOOKUP($C434*1000+1,$A:$HH,Y$92,FALSE)),0)</f>
        <v>4592</v>
      </c>
      <c r="AL434" s="150">
        <f>ROUND(INDEX(Input!$1:$1048576,AL$93,$C433*2+MIN($B434,1)+5)-(Y434-VLOOKUP($C434*1000+1,$A:$HH,Y$92,FALSE))/36,0)</f>
        <v>4743</v>
      </c>
      <c r="AM434" s="32" t="str">
        <f t="shared" si="1307"/>
        <v>std/std/std/std</v>
      </c>
      <c r="AN434" s="32" t="str">
        <f t="shared" si="1308"/>
        <v>$1000 + 0/0/0/1.9/3.9</v>
      </c>
      <c r="AO434" s="32" t="str">
        <f t="shared" si="1309"/>
        <v>0/0/0/1.9/3.9</v>
      </c>
      <c r="AP434" s="32" t="str">
        <f t="shared" si="1386"/>
        <v>0/0.9/1.9/3.9</v>
      </c>
      <c r="AQ434" s="536">
        <f t="shared" si="1379"/>
        <v>0.46678057424269204</v>
      </c>
      <c r="AR434" s="32"/>
      <c r="AS434" s="302"/>
      <c r="AT434" s="3">
        <f t="shared" si="1330"/>
        <v>34</v>
      </c>
      <c r="AU434" s="41" t="s">
        <v>121</v>
      </c>
      <c r="AV434" s="41" t="s">
        <v>116</v>
      </c>
      <c r="AW434" s="41" t="str">
        <f>INDEX(Input!$1:$1048576,AW$93,$C434*2+6)</f>
        <v>Kia</v>
      </c>
      <c r="AX434" s="41" t="str">
        <f>INDEX(Input!$1:$1048576,AX$93,$C434*2+6)</f>
        <v>Kia-LR - R1</v>
      </c>
      <c r="AY434" s="41" t="str">
        <f>IF(LEN(D434)=0,"",INDEX(Input!$1:$1048576,AY$93,$C434*2+6))</f>
        <v>Compact Conventional/Sporty Car (43)</v>
      </c>
      <c r="AZ434" s="41" t="str">
        <f>INDEX(Input!$1:$1048576,AZ$93,$C434*2+6)</f>
        <v>Kia Forte</v>
      </c>
      <c r="BA434" s="3">
        <f>INDEX(Input!$1:$1048576,BA$93,$C434*2+6)</f>
        <v>2020</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19695</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387"/>
        <v>2560</v>
      </c>
      <c r="CJ434" s="16" t="str">
        <f>INDEX(Input!$1:$1048576,CJ$93,$C434*2+6)</f>
        <v>N</v>
      </c>
      <c r="CK434" s="1" t="str">
        <f t="shared" si="1388"/>
        <v>Market</v>
      </c>
      <c r="CL434" s="1" t="str">
        <f t="shared" si="1389"/>
        <v>Market</v>
      </c>
      <c r="CM434" s="1" t="str">
        <f t="shared" si="1390"/>
        <v>Market</v>
      </c>
      <c r="CN434" s="1" t="str">
        <f t="shared" si="1391"/>
        <v>Market</v>
      </c>
      <c r="CO434" s="1" t="str">
        <f t="shared" si="1392"/>
        <v>Market</v>
      </c>
      <c r="CP434" s="304">
        <f t="shared" si="1393"/>
        <v>1000</v>
      </c>
      <c r="CQ434" s="1">
        <f t="shared" si="1394"/>
        <v>0</v>
      </c>
      <c r="CR434" s="1">
        <f t="shared" si="1395"/>
        <v>0</v>
      </c>
      <c r="CS434" s="1">
        <f t="shared" si="1396"/>
        <v>0</v>
      </c>
      <c r="CT434" s="1">
        <f t="shared" si="1397"/>
        <v>1.8999999999999996E-2</v>
      </c>
      <c r="CU434" s="1">
        <f t="shared" si="1398"/>
        <v>3.9E-2</v>
      </c>
      <c r="CV434" s="304">
        <f t="shared" si="1399"/>
        <v>-2217</v>
      </c>
      <c r="CW434" s="20" t="s">
        <v>122</v>
      </c>
      <c r="CX434" s="20" t="s">
        <v>122</v>
      </c>
      <c r="CY434" s="20" t="s">
        <v>122</v>
      </c>
      <c r="CZ434" s="20" t="s">
        <v>122</v>
      </c>
      <c r="DA434" s="20" t="s">
        <v>122</v>
      </c>
      <c r="DB434" s="503">
        <f t="shared" si="1400"/>
        <v>0</v>
      </c>
      <c r="DC434" s="127">
        <v>0</v>
      </c>
      <c r="DD434" s="127">
        <v>0</v>
      </c>
      <c r="DE434" s="127">
        <v>0</v>
      </c>
      <c r="DF434" s="127">
        <v>0</v>
      </c>
      <c r="DG434" s="127">
        <v>0</v>
      </c>
      <c r="DH434" s="127">
        <v>0</v>
      </c>
      <c r="DI434" s="127">
        <v>0</v>
      </c>
      <c r="DJ434" s="127">
        <v>0</v>
      </c>
      <c r="DK434" s="127">
        <v>0</v>
      </c>
      <c r="DL434" s="127">
        <v>0</v>
      </c>
      <c r="DM434" s="304">
        <f>INDEX(Input!$1:$1048576,DM$93,$C434*2+6)</f>
        <v>20731.578947368424</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4.7628644023565814E-2</v>
      </c>
      <c r="DZ434" s="7">
        <v>0</v>
      </c>
      <c r="EA434" s="7">
        <v>0.84406628314981502</v>
      </c>
      <c r="EB434" s="7">
        <v>0</v>
      </c>
      <c r="EC434" s="7">
        <v>0</v>
      </c>
      <c r="ED434" s="7">
        <v>0</v>
      </c>
      <c r="EE434" s="7">
        <v>0</v>
      </c>
      <c r="EF434" s="7">
        <v>0</v>
      </c>
      <c r="EG434" s="7">
        <v>0</v>
      </c>
      <c r="EH434" s="7">
        <v>1.2317790466797008E-2</v>
      </c>
      <c r="EI434" s="7">
        <v>1.979613882547707E-2</v>
      </c>
      <c r="EJ434" s="7">
        <v>0.18565593762434787</v>
      </c>
      <c r="EK434" s="7">
        <v>0.72417505453587827</v>
      </c>
      <c r="EL434" s="7">
        <v>5.8055078547499951E-2</v>
      </c>
      <c r="EM434" s="7">
        <v>3.2122270928748337E-2</v>
      </c>
      <c r="EN434" s="7">
        <v>4.6865053070857435E-2</v>
      </c>
      <c r="EO434" s="7">
        <v>0.57049418994844225</v>
      </c>
      <c r="EP434" s="7">
        <v>0.26974542401962165</v>
      </c>
      <c r="EQ434" s="7">
        <v>6.7876790290854389E-2</v>
      </c>
      <c r="ER434" s="7">
        <v>4.5018542670224308E-2</v>
      </c>
      <c r="ES434" s="7">
        <v>7.61828018978708E-2</v>
      </c>
      <c r="ET434" s="7">
        <v>0.10830507282661909</v>
      </c>
      <c r="EU434" s="6">
        <v>2600</v>
      </c>
      <c r="EV434" s="6">
        <v>0</v>
      </c>
      <c r="EW434" s="6">
        <v>2600</v>
      </c>
      <c r="EX434" s="6">
        <v>0</v>
      </c>
      <c r="EY434" s="6">
        <v>3595.9863311156682</v>
      </c>
      <c r="EZ434" s="6">
        <v>-246</v>
      </c>
      <c r="FA434" s="6">
        <v>0</v>
      </c>
      <c r="FB434" s="6">
        <v>0</v>
      </c>
      <c r="FC434" s="6">
        <v>0</v>
      </c>
      <c r="FD434" s="6">
        <v>0</v>
      </c>
      <c r="FE434" s="6">
        <v>0</v>
      </c>
      <c r="FF434" s="6">
        <v>0</v>
      </c>
      <c r="FG434" s="6">
        <v>0</v>
      </c>
      <c r="FH434" s="6">
        <v>1153.2310373048563</v>
      </c>
      <c r="FI434" s="6">
        <v>1531.4299904380607</v>
      </c>
      <c r="FJ434" s="6">
        <v>2070.7205842538224</v>
      </c>
      <c r="FK434" s="6">
        <v>1746.9903521590436</v>
      </c>
      <c r="FL434" s="6">
        <v>893.91433563489397</v>
      </c>
      <c r="FM434" s="6">
        <v>1745.9863311156682</v>
      </c>
      <c r="FN434" s="6">
        <v>0</v>
      </c>
      <c r="FO434" s="6">
        <v>0</v>
      </c>
      <c r="FP434" s="6">
        <v>0</v>
      </c>
      <c r="FQ434" s="6">
        <v>0</v>
      </c>
      <c r="FR434" s="6">
        <v>0</v>
      </c>
      <c r="FS434" s="6">
        <v>0</v>
      </c>
      <c r="FT434" s="7">
        <v>0.89169492717338084</v>
      </c>
      <c r="FU434" s="7">
        <v>3.2122270928748337E-2</v>
      </c>
      <c r="FV434" s="7">
        <v>7.61828018978708E-2</v>
      </c>
      <c r="FW434" s="6">
        <v>2599.9999999999995</v>
      </c>
      <c r="FX434" s="6">
        <v>3595.9863311156682</v>
      </c>
      <c r="FY434" s="6">
        <v>-246</v>
      </c>
      <c r="FZ434" s="6">
        <v>1695.8504614767719</v>
      </c>
      <c r="GA434" s="6">
        <v>2415.1770885680867</v>
      </c>
      <c r="GB434" s="6">
        <v>17279.822911431915</v>
      </c>
      <c r="GC434" s="7">
        <v>8.1891069685915169E-2</v>
      </c>
      <c r="GD434" s="7">
        <v>8.8717624269991954E-2</v>
      </c>
      <c r="GE434" s="7"/>
      <c r="GF434" s="7"/>
      <c r="GG434" s="7">
        <v>8.336140448841782E-2</v>
      </c>
      <c r="GH434" s="42">
        <v>2.2824163593640621</v>
      </c>
      <c r="GI434" s="6">
        <v>11044.189897382481</v>
      </c>
      <c r="GJ434" s="14">
        <v>0.51074630601039572</v>
      </c>
      <c r="GK434" s="14">
        <v>0.50829519786160993</v>
      </c>
      <c r="GL434" s="14">
        <v>0.48925369398960455</v>
      </c>
      <c r="GM434" s="14">
        <v>0.4917048021383903</v>
      </c>
      <c r="GO434" s="5">
        <v>338.16872463277008</v>
      </c>
      <c r="GP434" s="5">
        <v>288.56568471597211</v>
      </c>
      <c r="GQ434" s="5">
        <v>527.27910984145694</v>
      </c>
      <c r="GR434" s="5">
        <v>404.20319246551543</v>
      </c>
      <c r="GS434" s="5">
        <v>334.50205195691484</v>
      </c>
      <c r="GT434" s="5">
        <v>289.18266033348181</v>
      </c>
      <c r="GU434" s="5">
        <v>254.29573314828914</v>
      </c>
      <c r="GV434" s="39" t="s">
        <v>392</v>
      </c>
      <c r="GW434" s="5">
        <v>440.98611111111109</v>
      </c>
      <c r="GX434" s="5">
        <v>330.73958333333331</v>
      </c>
      <c r="GY434" s="5">
        <v>264.59166666666664</v>
      </c>
      <c r="GZ434" s="5">
        <v>233.47422424633751</v>
      </c>
      <c r="HA434" s="5">
        <v>216.26912746293829</v>
      </c>
      <c r="HB434" s="39">
        <v>242.73408544334384</v>
      </c>
      <c r="HC434" s="5">
        <v>293.87812499999995</v>
      </c>
      <c r="HD434" s="5">
        <v>243.67143640350872</v>
      </c>
      <c r="HE434" s="5">
        <v>244.28647520242913</v>
      </c>
      <c r="HF434" s="5">
        <v>223.39192434210526</v>
      </c>
      <c r="HG434" s="5">
        <v>212.2899342105263</v>
      </c>
      <c r="HH434" s="39">
        <v>243.40102174777536</v>
      </c>
      <c r="HI434" s="16"/>
      <c r="HJ434" s="19" t="str">
        <f t="shared" si="1380"/>
        <v>On</v>
      </c>
      <c r="HK434" s="1" t="str">
        <f t="shared" si="1380"/>
        <v>On</v>
      </c>
      <c r="HL434" s="16"/>
      <c r="HM434" s="639">
        <f t="shared" si="1278"/>
        <v>6.6115095157691428E-2</v>
      </c>
      <c r="HN434" s="639">
        <f t="shared" si="1279"/>
        <v>2.3720927871164412E-3</v>
      </c>
      <c r="HO434" s="639">
        <f t="shared" si="1280"/>
        <v>7.7231033444443466E-3</v>
      </c>
      <c r="HP434" s="644">
        <f>(FT434*$GD434-HM434)/$JF434*INDEX(Input!$1:$1048576,$JG$93,$C434*2+6)</f>
        <v>316.96207809742225</v>
      </c>
      <c r="HQ434" s="644">
        <f>(FU434*$GD434-HN434)/$JF434*INDEX(Input!$1:$1048576,$JG$93,$C434*2+6)</f>
        <v>11.653008921253184</v>
      </c>
      <c r="HR434" s="644">
        <f>(FV434*$GD434-HO434)/$JF434*INDEX(Input!$1:$1048576,$JG$93,$C434*2+6)</f>
        <v>-23.523325553721982</v>
      </c>
      <c r="HS434" s="644">
        <f t="shared" si="1401"/>
        <v>-73.7646505633532</v>
      </c>
      <c r="HT434" s="644">
        <f t="shared" si="1282"/>
        <v>224.59048671792914</v>
      </c>
      <c r="HU434" s="644">
        <f t="shared" si="1283"/>
        <v>14.222661265376844</v>
      </c>
      <c r="HV434" s="648">
        <f t="shared" si="1284"/>
        <v>0</v>
      </c>
      <c r="HW434" s="648">
        <f t="shared" si="1285"/>
        <v>0</v>
      </c>
      <c r="HX434" s="648">
        <f t="shared" si="1286"/>
        <v>0</v>
      </c>
      <c r="HY434" s="644">
        <f>INDEX(Input!$1:$1048576,HY$93,$C434*2+6)*INDEX(Input!$1:$1048576,$JG$93,$C434*2+6)</f>
        <v>844</v>
      </c>
      <c r="HZ434" s="644">
        <f>INDEX(Input!$1:$1048576,HZ$93,$C434*2+6)*INDEX(Input!$1:$1048576,$JG$93,$C434*2+6)</f>
        <v>865</v>
      </c>
      <c r="IA434" s="644">
        <f>INDEX(Input!$1:$1048576,IA$93,$C434*2+6)*INDEX(Input!$1:$1048576,$JG$93,$C434*2+6)</f>
        <v>150</v>
      </c>
      <c r="IB434" s="644">
        <f t="shared" si="1310"/>
        <v>1087.1974275340688</v>
      </c>
      <c r="IC434" s="644">
        <f t="shared" si="1311"/>
        <v>1101.2434956391824</v>
      </c>
      <c r="ID434" s="644">
        <f>IF(AND(INDEX(Input!$1:$1048576,IA$93,$C434*2+7)="TOS",Y434&lt;=INDEX(Y:Y,MATCH(C434*1000+2,A:A))),0,1)*MAX(IA434+HR434+HU434+HX434,0%)</f>
        <v>140.69933571165487</v>
      </c>
      <c r="IE434" s="128">
        <f t="shared" si="1402"/>
        <v>0.46678057424269204</v>
      </c>
      <c r="IF434" s="128">
        <f t="shared" si="1383"/>
        <v>0.47281115486209974</v>
      </c>
      <c r="IG434" s="128">
        <f t="shared" si="1288"/>
        <v>6.0408270895208248E-2</v>
      </c>
      <c r="IH434" s="21"/>
      <c r="II434" s="19">
        <f t="shared" si="1289"/>
        <v>1199.9999999999998</v>
      </c>
      <c r="IJ434" s="19">
        <f t="shared" si="1290"/>
        <v>2195.4782357510435</v>
      </c>
      <c r="IK434" s="19">
        <f t="shared" si="1291"/>
        <v>-571</v>
      </c>
      <c r="IL434" s="19">
        <f t="shared" si="1313"/>
        <v>1399.9999999999998</v>
      </c>
      <c r="IM434" s="19">
        <f t="shared" si="1292"/>
        <v>1400.5080953646248</v>
      </c>
      <c r="IN434" s="19">
        <f t="shared" si="1293"/>
        <v>325</v>
      </c>
      <c r="IO434" s="39">
        <f t="shared" si="1294"/>
        <v>0</v>
      </c>
      <c r="IP434" s="39">
        <f t="shared" si="1295"/>
        <v>0</v>
      </c>
      <c r="IQ434" s="39">
        <f t="shared" si="1296"/>
        <v>0</v>
      </c>
      <c r="IR434" s="39">
        <v>0</v>
      </c>
      <c r="IS434" s="39">
        <v>0</v>
      </c>
      <c r="IT434" s="39">
        <v>0</v>
      </c>
      <c r="IU434" s="39">
        <v>0</v>
      </c>
      <c r="IV434" s="39">
        <v>0</v>
      </c>
      <c r="IW434" s="39">
        <v>0</v>
      </c>
      <c r="IX434" s="39">
        <f>INDEX(Input!$1:$1048576,IX$93,$C434*2+6)+INDEX(Input!$1:$1048576,IX$94,$C434*2+6)</f>
        <v>1600</v>
      </c>
      <c r="IY434" s="39">
        <f>INDEX(Input!$1:$1048576,IY$93,$C434*2+6)+INDEX(Input!$1:$1048576,IY$94,$C434*2+6)</f>
        <v>2503.549291639752</v>
      </c>
      <c r="IZ434" s="39">
        <f>INDEX(Input!$1:$1048576,IZ$93,$C434*2+6)+INDEX(Input!$1:$1048576,IZ$94,$C434*2+6)</f>
        <v>5413.7109265464023</v>
      </c>
      <c r="JA434" s="19">
        <f t="shared" si="1314"/>
        <v>3000</v>
      </c>
      <c r="JB434" s="19">
        <f t="shared" si="1315"/>
        <v>3904.0573870043768</v>
      </c>
      <c r="JC434" s="19">
        <f t="shared" si="1316"/>
        <v>5738.7109265464023</v>
      </c>
      <c r="JD434" s="19">
        <f t="shared" si="1317"/>
        <v>3592.8892087656332</v>
      </c>
      <c r="JE434" s="21"/>
      <c r="JF434" s="1">
        <f t="shared" si="1297"/>
        <v>7.6210291289252219E-2</v>
      </c>
      <c r="JG434" s="15">
        <f>INDEX(Input!$1:$1048576,JG$93,$C434*2+6)/(1+VLOOKUP(C434*1000+INDEX(Input!$1:$1048576,JG$93+1,$C434*2+6),$A:$KK,$JK$92,FALSE))</f>
        <v>1859</v>
      </c>
      <c r="JH434" s="1">
        <f t="shared" si="1318"/>
        <v>0.16411606318717237</v>
      </c>
      <c r="JI434" s="1">
        <f t="shared" si="1319"/>
        <v>8.8783484357155884E-2</v>
      </c>
      <c r="JJ434" s="1">
        <f t="shared" si="1384"/>
        <v>0</v>
      </c>
      <c r="JK434" s="1">
        <f t="shared" si="1385"/>
        <v>0.25289954754432825</v>
      </c>
      <c r="JL434" s="15">
        <f t="shared" si="1322"/>
        <v>470.14025888490625</v>
      </c>
      <c r="JM434" s="15">
        <f t="shared" si="1348"/>
        <v>2329.1402588849064</v>
      </c>
      <c r="JN434" s="21"/>
      <c r="JO434" s="19">
        <f>INDEX(Input!$1:$1048576,JO$93,$C434*2+6)</f>
        <v>5908.5</v>
      </c>
      <c r="JP434" s="19">
        <f>INDEX(Input!$1:$1048576,JP$93,$C434*2+6)</f>
        <v>2328.1478086338602</v>
      </c>
      <c r="JQ434" s="39">
        <f t="shared" si="1334"/>
        <v>2315.6107912343668</v>
      </c>
      <c r="JR434" s="39">
        <f t="shared" si="1351"/>
        <v>1264.7414001317729</v>
      </c>
      <c r="JS434" s="39">
        <f t="shared" si="1336"/>
        <v>8.3683429018491733</v>
      </c>
      <c r="JT434" s="39">
        <f t="shared" si="1324"/>
        <v>4.0403161255988262</v>
      </c>
      <c r="JU434" s="385">
        <f>(JQ434*JM434-INDEX(Input!$1:$1048576,Input!A$18,$C434*2+6)*JL434*INDEX(Input!$1:$1048576,Input!A$19,$C434*2+6))/1000000</f>
        <v>5.3933823177722964</v>
      </c>
      <c r="JV434" s="39">
        <f t="shared" si="1358"/>
        <v>-1.2624924059773575</v>
      </c>
      <c r="JW434" s="1">
        <f t="shared" si="1349"/>
        <v>-0.1896809147372473</v>
      </c>
      <c r="JX434" s="19">
        <f t="shared" si="1340"/>
        <v>8593.8526838390262</v>
      </c>
      <c r="JZ434" s="341"/>
      <c r="KA434" s="342"/>
      <c r="KB434" s="469">
        <f t="shared" si="1337"/>
        <v>2.3451977905499271</v>
      </c>
      <c r="KI434" s="473">
        <f t="shared" si="1403"/>
        <v>243.19742753406899</v>
      </c>
      <c r="KJ434" s="473">
        <f t="shared" si="1404"/>
        <v>236.24349563918258</v>
      </c>
      <c r="KK434" s="473">
        <f t="shared" si="1326"/>
        <v>-9.3006642883451036</v>
      </c>
      <c r="KN434" s="544">
        <f t="shared" si="1341"/>
        <v>4002</v>
      </c>
      <c r="KO434" s="541">
        <f t="shared" si="1301"/>
        <v>0.16594608727649307</v>
      </c>
      <c r="KP434" s="546">
        <f t="shared" si="1302"/>
        <v>939.78427184020495</v>
      </c>
      <c r="KQ434" s="546">
        <f t="shared" si="1303"/>
        <v>869.14564716763743</v>
      </c>
      <c r="KR434" s="548">
        <f t="shared" si="1304"/>
        <v>2.9967660520686734</v>
      </c>
      <c r="KS434" s="548">
        <f t="shared" si="1305"/>
        <v>3.2403241174785569</v>
      </c>
      <c r="KT434" s="473">
        <f t="shared" si="1339"/>
        <v>1050.27685337919</v>
      </c>
      <c r="KU434" s="663">
        <f t="shared" si="1327"/>
        <v>6.6747459098149875</v>
      </c>
      <c r="KV434" s="117"/>
    </row>
    <row r="435" spans="1:308" s="26" customFormat="1" ht="15">
      <c r="A435" s="561">
        <f t="shared" si="1306"/>
        <v>4035</v>
      </c>
      <c r="B435" s="561">
        <f t="shared" si="1328"/>
        <v>35</v>
      </c>
      <c r="C435" s="561">
        <f t="shared" si="1329"/>
        <v>4</v>
      </c>
      <c r="D435" s="561" t="str">
        <f t="shared" si="1378"/>
        <v xml:space="preserve">250 CC, 0/0/0.9/3.9, </v>
      </c>
      <c r="E435" s="475">
        <f>INDEX(Input!$1:$1048576,E$93,$C435*2+MIN($B435,2)+5)
+INDEX(Scenarios!E$121:E$200,MATCH($B435,Scenarios!$B$121:$B$200,0))</f>
        <v>1500</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8.9999999999999959E-3</v>
      </c>
      <c r="W435" s="863">
        <f>IFERROR(MAX(0,INDEX(Input!$1:$1048576,W$93,$C435*2+MIN($B435,2)+5)-0%,),"Market")</f>
        <v>3.9E-2</v>
      </c>
      <c r="X435" s="476" t="str">
        <f>INDEX(Input!$1:$1048576,X$93,$C435*2+MIN($B435,2)+5)</f>
        <v>Y</v>
      </c>
      <c r="Y435" s="475">
        <f>INDEX(Input!$1:$1048576,Y$93,$C435*2+MIN($B435,2)+5)
++INDEX(Scenarios!Y$121:Y$200,MATCH($B435,Scenarios!$B$121:$B$200,0))</f>
        <v>-2217</v>
      </c>
      <c r="Z435" s="477">
        <f>INDEX(Input!$1:$1048576,Z$93,$C435*2+MIN($B435,2)+5)
+INDEX(Scenarios!Z$121:Z$200,MATCH($B435,Scenarios!$B$121:$B$200,0))</f>
        <v>0</v>
      </c>
      <c r="AA435" s="475">
        <f>INDEX(Input!$1:$1048576,AA$93,$C435*2+MIN($B435,2)+5)</f>
        <v>0</v>
      </c>
      <c r="AB435" s="476">
        <f>INDEX(Input!$1:$1048576,AB$93,$C435*2+MIN($B435,2)+5)</f>
        <v>1</v>
      </c>
      <c r="AC435" s="475">
        <f>INDEX(Input!$1:$1048576,AC$93,$C435*2+MIN($B435,2)+5)
+INDEX(Scenarios!AC$121:AC$200,MATCH($B435,Scenarios!$B$121:$B$200,0))</f>
        <v>0</v>
      </c>
      <c r="AD435" s="476">
        <f>INDEX(Input!$1:$1048576,AD$93,$C435*2+MIN($B435,2)+5)</f>
        <v>0.35</v>
      </c>
      <c r="AE435" s="475">
        <f>INDEX(Input!$1:$1048576,AE$93,$C435*2+MIN($B435,2)+5)
+INDEX(Scenarios!AE$121:AE$200,MATCH($B435,Scenarios!$B$121:$B$200,0))</f>
        <v>0</v>
      </c>
      <c r="AF435" s="476">
        <f>INDEX(Input!$1:$1048576,AF$93,$C435*2+MIN($B435,2)+5)</f>
        <v>1</v>
      </c>
      <c r="AG435" s="475">
        <f>INDEX(Input!$1:$1048576,AG$93,$C435*2+MIN($B435,2)+5)
+INDEX(Scenarios!AG$121:AG$200,MATCH($B435,Scenarios!$B$121:$B$200,0))</f>
        <v>0</v>
      </c>
      <c r="AH435" s="476">
        <f>INDEX(Input!$1:$1048576,AH$93,$C435*2+MIN($B435,2)+5)</f>
        <v>1</v>
      </c>
      <c r="AI435" s="475">
        <f>INDEX(Input!$1:$1048576,AI$93,$C435*2+MIN($B435,2)+5)
+INDEX(Scenarios!AI$121:AI$200,MATCH($B435,Scenarios!$B$121:$B$200,0))</f>
        <v>0</v>
      </c>
      <c r="AJ435" s="476">
        <f>INDEX(Input!$1:$1048576,AJ$93,$C435*2+MIN($B435,2)+5)</f>
        <v>0.35</v>
      </c>
      <c r="AK435" s="150">
        <f>ROUND(INDEX(Input!$1:$1048576,AK$93,$C434*2+MIN($B435,1)+5)+(Y435-VLOOKUP($C435*1000+1,$A:$HH,Y$92,FALSE)),0)</f>
        <v>4592</v>
      </c>
      <c r="AL435" s="150">
        <f>ROUND(INDEX(Input!$1:$1048576,AL$93,$C434*2+MIN($B435,1)+5)-(Y435-VLOOKUP($C435*1000+1,$A:$HH,Y$92,FALSE))/36,0)</f>
        <v>4743</v>
      </c>
      <c r="AM435" s="32" t="str">
        <f t="shared" si="1307"/>
        <v>std/std/std/std</v>
      </c>
      <c r="AN435" s="32" t="str">
        <f t="shared" si="1308"/>
        <v>$0 + 0/0/0/0.9/3.9</v>
      </c>
      <c r="AO435" s="32" t="str">
        <f t="shared" si="1309"/>
        <v>0/0/0/0.9/3.9</v>
      </c>
      <c r="AP435" s="32" t="str">
        <f t="shared" si="1386"/>
        <v>0/0/0.9/3.9</v>
      </c>
      <c r="AQ435" s="536">
        <f t="shared" si="1379"/>
        <v>0.44407366972107765</v>
      </c>
      <c r="AR435" s="32"/>
      <c r="AS435" s="302"/>
      <c r="AT435" s="3">
        <f t="shared" si="1330"/>
        <v>35</v>
      </c>
      <c r="AU435" s="41" t="s">
        <v>121</v>
      </c>
      <c r="AV435" s="41" t="s">
        <v>116</v>
      </c>
      <c r="AW435" s="41" t="str">
        <f>INDEX(Input!$1:$1048576,AW$93,$C435*2+6)</f>
        <v>Kia</v>
      </c>
      <c r="AX435" s="41" t="str">
        <f>INDEX(Input!$1:$1048576,AX$93,$C435*2+6)</f>
        <v>Kia-LR - R1</v>
      </c>
      <c r="AY435" s="41" t="str">
        <f>IF(LEN(D435)=0,"",INDEX(Input!$1:$1048576,AY$93,$C435*2+6))</f>
        <v>Compact Conventional/Sporty Car (43)</v>
      </c>
      <c r="AZ435" s="41" t="str">
        <f>INDEX(Input!$1:$1048576,AZ$93,$C435*2+6)</f>
        <v>Kia Forte</v>
      </c>
      <c r="BA435" s="3">
        <f>INDEX(Input!$1:$1048576,BA$93,$C435*2+6)</f>
        <v>2020</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19695</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387"/>
        <v>1810</v>
      </c>
      <c r="CJ435" s="16" t="str">
        <f>INDEX(Input!$1:$1048576,CJ$93,$C435*2+6)</f>
        <v>N</v>
      </c>
      <c r="CK435" s="1" t="str">
        <f t="shared" si="1388"/>
        <v>Market</v>
      </c>
      <c r="CL435" s="1" t="str">
        <f t="shared" si="1389"/>
        <v>Market</v>
      </c>
      <c r="CM435" s="1" t="str">
        <f t="shared" si="1390"/>
        <v>Market</v>
      </c>
      <c r="CN435" s="1" t="str">
        <f t="shared" si="1391"/>
        <v>Market</v>
      </c>
      <c r="CO435" s="1" t="str">
        <f t="shared" si="1392"/>
        <v>Market</v>
      </c>
      <c r="CP435" s="304">
        <f t="shared" si="1393"/>
        <v>0</v>
      </c>
      <c r="CQ435" s="1">
        <f t="shared" si="1394"/>
        <v>0</v>
      </c>
      <c r="CR435" s="1">
        <f t="shared" si="1395"/>
        <v>0</v>
      </c>
      <c r="CS435" s="1">
        <f t="shared" si="1396"/>
        <v>0</v>
      </c>
      <c r="CT435" s="1">
        <f t="shared" si="1397"/>
        <v>8.9999999999999959E-3</v>
      </c>
      <c r="CU435" s="1">
        <f t="shared" si="1398"/>
        <v>3.9E-2</v>
      </c>
      <c r="CV435" s="304">
        <f t="shared" si="1399"/>
        <v>-2217</v>
      </c>
      <c r="CW435" s="20" t="s">
        <v>122</v>
      </c>
      <c r="CX435" s="20" t="s">
        <v>122</v>
      </c>
      <c r="CY435" s="20" t="s">
        <v>122</v>
      </c>
      <c r="CZ435" s="20" t="s">
        <v>122</v>
      </c>
      <c r="DA435" s="20" t="s">
        <v>122</v>
      </c>
      <c r="DB435" s="503">
        <f t="shared" si="1400"/>
        <v>0</v>
      </c>
      <c r="DC435" s="127">
        <v>0</v>
      </c>
      <c r="DD435" s="127">
        <v>0</v>
      </c>
      <c r="DE435" s="127">
        <v>0</v>
      </c>
      <c r="DF435" s="127">
        <v>0</v>
      </c>
      <c r="DG435" s="127">
        <v>0</v>
      </c>
      <c r="DH435" s="127">
        <v>0</v>
      </c>
      <c r="DI435" s="127">
        <v>0</v>
      </c>
      <c r="DJ435" s="127">
        <v>0</v>
      </c>
      <c r="DK435" s="127">
        <v>0</v>
      </c>
      <c r="DL435" s="127">
        <v>0</v>
      </c>
      <c r="DM435" s="304">
        <f>INDEX(Input!$1:$1048576,DM$93,$C435*2+6)</f>
        <v>20731.578947368424</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4.5704344292597711E-2</v>
      </c>
      <c r="DZ435" s="7">
        <v>0</v>
      </c>
      <c r="EA435" s="7">
        <v>0.82119523835384667</v>
      </c>
      <c r="EB435" s="7">
        <v>0</v>
      </c>
      <c r="EC435" s="7">
        <v>0</v>
      </c>
      <c r="ED435" s="7">
        <v>0</v>
      </c>
      <c r="EE435" s="7">
        <v>0</v>
      </c>
      <c r="EF435" s="7">
        <v>0</v>
      </c>
      <c r="EG435" s="7">
        <v>0</v>
      </c>
      <c r="EH435" s="7">
        <v>8.4595310752025293E-3</v>
      </c>
      <c r="EI435" s="7">
        <v>1.3583358108523751E-2</v>
      </c>
      <c r="EJ435" s="7">
        <v>0.12752728689005566</v>
      </c>
      <c r="EK435" s="7">
        <v>0.81029216169826035</v>
      </c>
      <c r="EL435" s="7">
        <v>4.0137662227958247E-2</v>
      </c>
      <c r="EM435" s="7">
        <v>4.1932278331043106E-2</v>
      </c>
      <c r="EN435" s="7">
        <v>4.6931476018328193E-2</v>
      </c>
      <c r="EO435" s="7">
        <v>0.5707296032840673</v>
      </c>
      <c r="EP435" s="7">
        <v>0.26944242191182977</v>
      </c>
      <c r="EQ435" s="7">
        <v>6.7904872743910827E-2</v>
      </c>
      <c r="ER435" s="7">
        <v>4.4991626041864227E-2</v>
      </c>
      <c r="ES435" s="7">
        <v>9.1168139022512418E-2</v>
      </c>
      <c r="ET435" s="7">
        <v>0.13310041735355563</v>
      </c>
      <c r="EU435" s="6">
        <v>1849.9999999999998</v>
      </c>
      <c r="EV435" s="6">
        <v>0</v>
      </c>
      <c r="EW435" s="6">
        <v>1849.9999999999998</v>
      </c>
      <c r="EX435" s="6">
        <v>0</v>
      </c>
      <c r="EY435" s="6">
        <v>2978.2569790212669</v>
      </c>
      <c r="EZ435" s="6">
        <v>-246</v>
      </c>
      <c r="FA435" s="6">
        <v>0</v>
      </c>
      <c r="FB435" s="6">
        <v>0</v>
      </c>
      <c r="FC435" s="6">
        <v>0</v>
      </c>
      <c r="FD435" s="6">
        <v>0</v>
      </c>
      <c r="FE435" s="6">
        <v>0</v>
      </c>
      <c r="FF435" s="6">
        <v>0</v>
      </c>
      <c r="FG435" s="6">
        <v>0</v>
      </c>
      <c r="FH435" s="6">
        <v>1153.2455226958873</v>
      </c>
      <c r="FI435" s="6">
        <v>1531.4299904380618</v>
      </c>
      <c r="FJ435" s="6">
        <v>2070.7205842538219</v>
      </c>
      <c r="FK435" s="6">
        <v>2218.6393698501024</v>
      </c>
      <c r="FL435" s="6">
        <v>893.91433563489295</v>
      </c>
      <c r="FM435" s="6">
        <v>2128.2569790212669</v>
      </c>
      <c r="FN435" s="6">
        <v>0</v>
      </c>
      <c r="FO435" s="6">
        <v>0</v>
      </c>
      <c r="FP435" s="6">
        <v>0</v>
      </c>
      <c r="FQ435" s="6">
        <v>0</v>
      </c>
      <c r="FR435" s="6">
        <v>0</v>
      </c>
      <c r="FS435" s="6">
        <v>0</v>
      </c>
      <c r="FT435" s="7">
        <v>0.8668995826464444</v>
      </c>
      <c r="FU435" s="7">
        <v>4.1932278331043106E-2</v>
      </c>
      <c r="FV435" s="7">
        <v>9.1168139022512418E-2</v>
      </c>
      <c r="FW435" s="6">
        <v>1849.9999999999995</v>
      </c>
      <c r="FX435" s="6">
        <v>2978.2569790212669</v>
      </c>
      <c r="FY435" s="6">
        <v>-246</v>
      </c>
      <c r="FZ435" s="6">
        <v>1695.8504614767719</v>
      </c>
      <c r="GA435" s="6">
        <v>1706.2219662820751</v>
      </c>
      <c r="GB435" s="6">
        <v>17988.778033717925</v>
      </c>
      <c r="GC435" s="7">
        <v>8.1891069685915169E-2</v>
      </c>
      <c r="GD435" s="7">
        <v>8.2259262696290344E-2</v>
      </c>
      <c r="GE435" s="7"/>
      <c r="GF435" s="7"/>
      <c r="GG435" s="7">
        <v>4.496131407091669E-3</v>
      </c>
      <c r="GH435" s="42">
        <v>8.5379421525594061</v>
      </c>
      <c r="GI435" s="6">
        <v>4012.9839058785469</v>
      </c>
      <c r="GJ435" s="14">
        <v>0.51074630601039572</v>
      </c>
      <c r="GK435" s="14">
        <v>0.50829519786161015</v>
      </c>
      <c r="GL435" s="14">
        <v>0.4892536939896045</v>
      </c>
      <c r="GM435" s="14">
        <v>0.49170480213839035</v>
      </c>
      <c r="GO435" s="5">
        <v>338.16872463277008</v>
      </c>
      <c r="GP435" s="5">
        <v>302.87425392274076</v>
      </c>
      <c r="GQ435" s="5">
        <v>527.27910984145694</v>
      </c>
      <c r="GR435" s="5">
        <v>404.20319246551543</v>
      </c>
      <c r="GS435" s="5">
        <v>334.50205195691484</v>
      </c>
      <c r="GT435" s="5">
        <v>289.18266033348181</v>
      </c>
      <c r="GU435" s="5">
        <v>254.29573314828914</v>
      </c>
      <c r="GV435" s="39" t="s">
        <v>392</v>
      </c>
      <c r="GW435" s="5">
        <v>468.76388888888891</v>
      </c>
      <c r="GX435" s="5">
        <v>351.57291666666669</v>
      </c>
      <c r="GY435" s="5">
        <v>281.25833333333333</v>
      </c>
      <c r="GZ435" s="5">
        <v>240.85506989150105</v>
      </c>
      <c r="HA435" s="5">
        <v>229.89195052129477</v>
      </c>
      <c r="HB435" s="39">
        <v>248.99947637586894</v>
      </c>
      <c r="HC435" s="5">
        <v>293.87812499999995</v>
      </c>
      <c r="HD435" s="5">
        <v>243.67143640350872</v>
      </c>
      <c r="HE435" s="5">
        <v>244.28647520242913</v>
      </c>
      <c r="HF435" s="5">
        <v>223.39192434210526</v>
      </c>
      <c r="HG435" s="5">
        <v>212.2899342105263</v>
      </c>
      <c r="HH435" s="39">
        <v>243.40444545174873</v>
      </c>
      <c r="HI435" s="16"/>
      <c r="HJ435" s="19" t="str">
        <f t="shared" ref="HJ435:HK450" si="1405">HJ434</f>
        <v>On</v>
      </c>
      <c r="HK435" s="1" t="str">
        <f t="shared" si="1405"/>
        <v>On</v>
      </c>
      <c r="HL435" s="16"/>
      <c r="HM435" s="639">
        <f t="shared" si="1278"/>
        <v>6.6115095157691428E-2</v>
      </c>
      <c r="HN435" s="639">
        <f t="shared" si="1279"/>
        <v>2.3720927871164412E-3</v>
      </c>
      <c r="HO435" s="639">
        <f t="shared" si="1280"/>
        <v>7.7231033444443466E-3</v>
      </c>
      <c r="HP435" s="644">
        <f>(FT435*$GD435-HM435)/$JF435*INDEX(Input!$1:$1048576,$JG$93,$C435*2+6)</f>
        <v>126.73217157903183</v>
      </c>
      <c r="HQ435" s="644">
        <f>(FU435*$GD435-HN435)/$JF435*INDEX(Input!$1:$1048576,$JG$93,$C435*2+6)</f>
        <v>26.276795326886887</v>
      </c>
      <c r="HR435" s="644">
        <f>(FV435*$GD435-HO435)/$JF435*INDEX(Input!$1:$1048576,$JG$93,$C435*2+6)</f>
        <v>-5.4562196922398973</v>
      </c>
      <c r="HS435" s="644">
        <f t="shared" si="1401"/>
        <v>-34.27516036823453</v>
      </c>
      <c r="HT435" s="644">
        <f t="shared" si="1282"/>
        <v>126.19751515637688</v>
      </c>
      <c r="HU435" s="644">
        <f t="shared" si="1283"/>
        <v>10.312414715810739</v>
      </c>
      <c r="HV435" s="648">
        <f t="shared" si="1284"/>
        <v>0</v>
      </c>
      <c r="HW435" s="648">
        <f t="shared" si="1285"/>
        <v>0</v>
      </c>
      <c r="HX435" s="648">
        <f t="shared" si="1286"/>
        <v>0</v>
      </c>
      <c r="HY435" s="644">
        <f>INDEX(Input!$1:$1048576,HY$93,$C435*2+6)*INDEX(Input!$1:$1048576,$JG$93,$C435*2+6)</f>
        <v>844</v>
      </c>
      <c r="HZ435" s="644">
        <f>INDEX(Input!$1:$1048576,HZ$93,$C435*2+6)*INDEX(Input!$1:$1048576,$JG$93,$C435*2+6)</f>
        <v>865</v>
      </c>
      <c r="IA435" s="644">
        <f>INDEX(Input!$1:$1048576,IA$93,$C435*2+6)*INDEX(Input!$1:$1048576,$JG$93,$C435*2+6)</f>
        <v>150</v>
      </c>
      <c r="IB435" s="644">
        <f t="shared" si="1310"/>
        <v>936.45701121079708</v>
      </c>
      <c r="IC435" s="644">
        <f t="shared" si="1311"/>
        <v>1017.4743104832638</v>
      </c>
      <c r="ID435" s="644">
        <f>IF(AND(INDEX(Input!$1:$1048576,IA$93,$C435*2+7)="TOS",Y435&lt;=INDEX(Y:Y,MATCH(C435*1000+2,A:A))),0,1)*MAX(IA435+HR435+HU435+HX435,0%)</f>
        <v>154.85619502357085</v>
      </c>
      <c r="IE435" s="128">
        <f t="shared" si="1402"/>
        <v>0.44407366972107765</v>
      </c>
      <c r="IF435" s="128">
        <f t="shared" si="1383"/>
        <v>0.48249257092861692</v>
      </c>
      <c r="IG435" s="128">
        <f t="shared" si="1288"/>
        <v>7.343375935030548E-2</v>
      </c>
      <c r="IH435" s="21"/>
      <c r="II435" s="19">
        <f t="shared" si="1289"/>
        <v>1199.9999999999998</v>
      </c>
      <c r="IJ435" s="19">
        <f t="shared" si="1290"/>
        <v>2195.4782357510435</v>
      </c>
      <c r="IK435" s="19">
        <f t="shared" si="1291"/>
        <v>-571</v>
      </c>
      <c r="IL435" s="19">
        <f t="shared" si="1313"/>
        <v>649.99999999999977</v>
      </c>
      <c r="IM435" s="19">
        <f t="shared" si="1292"/>
        <v>782.77874327022346</v>
      </c>
      <c r="IN435" s="19">
        <f t="shared" si="1293"/>
        <v>325</v>
      </c>
      <c r="IO435" s="39">
        <f t="shared" si="1294"/>
        <v>0</v>
      </c>
      <c r="IP435" s="39">
        <f t="shared" si="1295"/>
        <v>0</v>
      </c>
      <c r="IQ435" s="39">
        <f t="shared" si="1296"/>
        <v>0</v>
      </c>
      <c r="IR435" s="39">
        <v>0</v>
      </c>
      <c r="IS435" s="39">
        <v>0</v>
      </c>
      <c r="IT435" s="39">
        <v>0</v>
      </c>
      <c r="IU435" s="39">
        <v>0</v>
      </c>
      <c r="IV435" s="39">
        <v>0</v>
      </c>
      <c r="IW435" s="39">
        <v>0</v>
      </c>
      <c r="IX435" s="39">
        <f>INDEX(Input!$1:$1048576,IX$93,$C435*2+6)+INDEX(Input!$1:$1048576,IX$94,$C435*2+6)</f>
        <v>1600</v>
      </c>
      <c r="IY435" s="39">
        <f>INDEX(Input!$1:$1048576,IY$93,$C435*2+6)+INDEX(Input!$1:$1048576,IY$94,$C435*2+6)</f>
        <v>2503.549291639752</v>
      </c>
      <c r="IZ435" s="39">
        <f>INDEX(Input!$1:$1048576,IZ$93,$C435*2+6)+INDEX(Input!$1:$1048576,IZ$94,$C435*2+6)</f>
        <v>5413.7109265464023</v>
      </c>
      <c r="JA435" s="19">
        <f t="shared" si="1314"/>
        <v>2250</v>
      </c>
      <c r="JB435" s="19">
        <f t="shared" si="1315"/>
        <v>3286.3280349099755</v>
      </c>
      <c r="JC435" s="19">
        <f t="shared" si="1316"/>
        <v>5738.7109265464023</v>
      </c>
      <c r="JD435" s="19">
        <f t="shared" si="1317"/>
        <v>3006.2097365119052</v>
      </c>
      <c r="JE435" s="21"/>
      <c r="JF435" s="1">
        <f t="shared" si="1297"/>
        <v>7.6210291289252219E-2</v>
      </c>
      <c r="JG435" s="15">
        <f>INDEX(Input!$1:$1048576,JG$93,$C435*2+6)/(1+VLOOKUP(C435*1000+INDEX(Input!$1:$1048576,JG$93+1,$C435*2+6),$A:$KK,$JK$92,FALSE))</f>
        <v>1859</v>
      </c>
      <c r="JH435" s="1">
        <f t="shared" si="1318"/>
        <v>7.9372107161742242E-2</v>
      </c>
      <c r="JI435" s="1">
        <f t="shared" si="1319"/>
        <v>5.4994496774584768E-2</v>
      </c>
      <c r="JJ435" s="1">
        <f t="shared" si="1384"/>
        <v>0</v>
      </c>
      <c r="JK435" s="1">
        <f t="shared" si="1385"/>
        <v>0.13436660393632702</v>
      </c>
      <c r="JL435" s="15">
        <f t="shared" si="1322"/>
        <v>249.78751671763192</v>
      </c>
      <c r="JM435" s="15">
        <f t="shared" si="1348"/>
        <v>2108.7875167176321</v>
      </c>
      <c r="JN435" s="21"/>
      <c r="JO435" s="19">
        <f>INDEX(Input!$1:$1048576,JO$93,$C435*2+6)</f>
        <v>5908.5</v>
      </c>
      <c r="JP435" s="19">
        <f>INDEX(Input!$1:$1048576,JP$93,$C435*2+6)</f>
        <v>2328.1478086338602</v>
      </c>
      <c r="JQ435" s="39">
        <f t="shared" si="1334"/>
        <v>2902.2902634880948</v>
      </c>
      <c r="JR435" s="39">
        <f t="shared" si="1351"/>
        <v>678.06192787804503</v>
      </c>
      <c r="JS435" s="39">
        <f t="shared" si="1336"/>
        <v>6.3394575649913074</v>
      </c>
      <c r="JT435" s="39">
        <f t="shared" si="1324"/>
        <v>2.0114307887409608</v>
      </c>
      <c r="JU435" s="385">
        <f>(JQ435*JM435-INDEX(Input!$1:$1048576,Input!A$18,$C435*2+6)*JL435*INDEX(Input!$1:$1048576,Input!A$19,$C435*2+6))/1000000</f>
        <v>6.1203134775348209</v>
      </c>
      <c r="JV435" s="39">
        <f t="shared" si="1358"/>
        <v>-0.53556124621483292</v>
      </c>
      <c r="JW435" s="1">
        <f t="shared" si="1349"/>
        <v>-8.0464442082094828E-2</v>
      </c>
      <c r="JX435" s="19">
        <f t="shared" si="1340"/>
        <v>8052.5672986883037</v>
      </c>
      <c r="JZ435" s="341"/>
      <c r="KA435" s="342"/>
      <c r="KB435" s="469">
        <f t="shared" si="1337"/>
        <v>2.3451977905499271</v>
      </c>
      <c r="KI435" s="473">
        <f t="shared" si="1403"/>
        <v>92.457011210797305</v>
      </c>
      <c r="KJ435" s="473">
        <f t="shared" si="1404"/>
        <v>152.47431048326405</v>
      </c>
      <c r="KK435" s="473">
        <f t="shared" si="1326"/>
        <v>4.8561950235709048</v>
      </c>
      <c r="KN435" s="544">
        <f t="shared" si="1341"/>
        <v>4002</v>
      </c>
      <c r="KO435" s="541">
        <f t="shared" si="1301"/>
        <v>5.5639541086105249E-2</v>
      </c>
      <c r="KP435" s="546">
        <f t="shared" si="1302"/>
        <v>295.65765042417218</v>
      </c>
      <c r="KQ435" s="546">
        <f t="shared" si="1303"/>
        <v>282.46617491390953</v>
      </c>
      <c r="KR435" s="548">
        <f t="shared" si="1304"/>
        <v>3.1938051274254979</v>
      </c>
      <c r="KS435" s="548">
        <f t="shared" si="1305"/>
        <v>3.3429592770712939</v>
      </c>
      <c r="KT435" s="473">
        <f t="shared" si="1339"/>
        <v>1050.27685337919</v>
      </c>
      <c r="KU435" s="663">
        <f t="shared" si="1327"/>
        <v>6.6028351298165315</v>
      </c>
      <c r="KV435" s="117"/>
    </row>
    <row r="436" spans="1:308" s="26" customFormat="1" ht="15">
      <c r="A436" s="561">
        <f t="shared" si="1306"/>
        <v>4036</v>
      </c>
      <c r="B436" s="561">
        <f t="shared" si="1328"/>
        <v>36</v>
      </c>
      <c r="C436" s="561">
        <f t="shared" si="1329"/>
        <v>4</v>
      </c>
      <c r="D436" s="561" t="str">
        <f t="shared" si="1378"/>
        <v xml:space="preserve">500 CC, 0/0/0.9/3.9, </v>
      </c>
      <c r="E436" s="475">
        <f>INDEX(Input!$1:$1048576,E$93,$C436*2+MIN($B436,2)+5)
+INDEX(Scenarios!E$121:E$200,MATCH($B436,Scenarios!$B$121:$B$200,0))</f>
        <v>1750</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8.9999999999999959E-3</v>
      </c>
      <c r="W436" s="863">
        <f>IFERROR(MAX(0,INDEX(Input!$1:$1048576,W$93,$C436*2+MIN($B436,2)+5)-0%,),"Market")</f>
        <v>3.9E-2</v>
      </c>
      <c r="X436" s="476" t="str">
        <f>INDEX(Input!$1:$1048576,X$93,$C436*2+MIN($B436,2)+5)</f>
        <v>Y</v>
      </c>
      <c r="Y436" s="475">
        <f>INDEX(Input!$1:$1048576,Y$93,$C436*2+MIN($B436,2)+5)
++INDEX(Scenarios!Y$121:Y$200,MATCH($B436,Scenarios!$B$121:$B$200,0))</f>
        <v>-2217</v>
      </c>
      <c r="Z436" s="477">
        <f>INDEX(Input!$1:$1048576,Z$93,$C436*2+MIN($B436,2)+5)
+INDEX(Scenarios!Z$121:Z$200,MATCH($B436,Scenarios!$B$121:$B$200,0))</f>
        <v>0</v>
      </c>
      <c r="AA436" s="475">
        <f>INDEX(Input!$1:$1048576,AA$93,$C436*2+MIN($B436,2)+5)</f>
        <v>0</v>
      </c>
      <c r="AB436" s="476">
        <f>INDEX(Input!$1:$1048576,AB$93,$C436*2+MIN($B436,2)+5)</f>
        <v>1</v>
      </c>
      <c r="AC436" s="475">
        <f>INDEX(Input!$1:$1048576,AC$93,$C436*2+MIN($B436,2)+5)
+INDEX(Scenarios!AC$121:AC$200,MATCH($B436,Scenarios!$B$121:$B$200,0))</f>
        <v>0</v>
      </c>
      <c r="AD436" s="476">
        <f>INDEX(Input!$1:$1048576,AD$93,$C436*2+MIN($B436,2)+5)</f>
        <v>0.35</v>
      </c>
      <c r="AE436" s="475">
        <f>INDEX(Input!$1:$1048576,AE$93,$C436*2+MIN($B436,2)+5)
+INDEX(Scenarios!AE$121:AE$200,MATCH($B436,Scenarios!$B$121:$B$200,0))</f>
        <v>0</v>
      </c>
      <c r="AF436" s="476">
        <f>INDEX(Input!$1:$1048576,AF$93,$C436*2+MIN($B436,2)+5)</f>
        <v>1</v>
      </c>
      <c r="AG436" s="475">
        <f>INDEX(Input!$1:$1048576,AG$93,$C436*2+MIN($B436,2)+5)
+INDEX(Scenarios!AG$121:AG$200,MATCH($B436,Scenarios!$B$121:$B$200,0))</f>
        <v>0</v>
      </c>
      <c r="AH436" s="476">
        <f>INDEX(Input!$1:$1048576,AH$93,$C436*2+MIN($B436,2)+5)</f>
        <v>1</v>
      </c>
      <c r="AI436" s="475">
        <f>INDEX(Input!$1:$1048576,AI$93,$C436*2+MIN($B436,2)+5)
+INDEX(Scenarios!AI$121:AI$200,MATCH($B436,Scenarios!$B$121:$B$200,0))</f>
        <v>0</v>
      </c>
      <c r="AJ436" s="476">
        <f>INDEX(Input!$1:$1048576,AJ$93,$C436*2+MIN($B436,2)+5)</f>
        <v>0.35</v>
      </c>
      <c r="AK436" s="150">
        <f>ROUND(INDEX(Input!$1:$1048576,AK$93,$C435*2+MIN($B436,1)+5)+(Y436-VLOOKUP($C436*1000+1,$A:$HH,Y$92,FALSE)),0)</f>
        <v>4592</v>
      </c>
      <c r="AL436" s="150">
        <f>ROUND(INDEX(Input!$1:$1048576,AL$93,$C435*2+MIN($B436,1)+5)-(Y436-VLOOKUP($C436*1000+1,$A:$HH,Y$92,FALSE))/36,0)</f>
        <v>4743</v>
      </c>
      <c r="AM436" s="32" t="str">
        <f t="shared" si="1307"/>
        <v>std/std/std/std</v>
      </c>
      <c r="AN436" s="32" t="str">
        <f t="shared" si="1308"/>
        <v>$0 + 0/0/0/0.9/3.9</v>
      </c>
      <c r="AO436" s="32" t="str">
        <f t="shared" si="1309"/>
        <v>0/0/0/0.9/3.9</v>
      </c>
      <c r="AP436" s="32" t="str">
        <f t="shared" si="1386"/>
        <v>0/0/0.9/3.9</v>
      </c>
      <c r="AQ436" s="536">
        <f t="shared" si="1379"/>
        <v>0.45848477515157943</v>
      </c>
      <c r="AR436" s="32"/>
      <c r="AS436" s="302"/>
      <c r="AT436" s="3">
        <f t="shared" si="1330"/>
        <v>36</v>
      </c>
      <c r="AU436" s="41" t="s">
        <v>121</v>
      </c>
      <c r="AV436" s="41" t="s">
        <v>116</v>
      </c>
      <c r="AW436" s="41" t="str">
        <f>INDEX(Input!$1:$1048576,AW$93,$C436*2+6)</f>
        <v>Kia</v>
      </c>
      <c r="AX436" s="41" t="str">
        <f>INDEX(Input!$1:$1048576,AX$93,$C436*2+6)</f>
        <v>Kia-LR - R1</v>
      </c>
      <c r="AY436" s="41" t="str">
        <f>IF(LEN(D436)=0,"",INDEX(Input!$1:$1048576,AY$93,$C436*2+6))</f>
        <v>Compact Conventional/Sporty Car (43)</v>
      </c>
      <c r="AZ436" s="41" t="str">
        <f>INDEX(Input!$1:$1048576,AZ$93,$C436*2+6)</f>
        <v>Kia Forte</v>
      </c>
      <c r="BA436" s="3">
        <f>INDEX(Input!$1:$1048576,BA$93,$C436*2+6)</f>
        <v>2020</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19695</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387"/>
        <v>2060</v>
      </c>
      <c r="CJ436" s="16" t="str">
        <f>INDEX(Input!$1:$1048576,CJ$93,$C436*2+6)</f>
        <v>N</v>
      </c>
      <c r="CK436" s="1" t="str">
        <f t="shared" si="1388"/>
        <v>Market</v>
      </c>
      <c r="CL436" s="1" t="str">
        <f t="shared" si="1389"/>
        <v>Market</v>
      </c>
      <c r="CM436" s="1" t="str">
        <f t="shared" si="1390"/>
        <v>Market</v>
      </c>
      <c r="CN436" s="1" t="str">
        <f t="shared" si="1391"/>
        <v>Market</v>
      </c>
      <c r="CO436" s="1" t="str">
        <f t="shared" si="1392"/>
        <v>Market</v>
      </c>
      <c r="CP436" s="304">
        <f t="shared" si="1393"/>
        <v>0</v>
      </c>
      <c r="CQ436" s="1">
        <f t="shared" si="1394"/>
        <v>0</v>
      </c>
      <c r="CR436" s="1">
        <f t="shared" si="1395"/>
        <v>0</v>
      </c>
      <c r="CS436" s="1">
        <f t="shared" si="1396"/>
        <v>0</v>
      </c>
      <c r="CT436" s="1">
        <f t="shared" si="1397"/>
        <v>8.9999999999999959E-3</v>
      </c>
      <c r="CU436" s="1">
        <f t="shared" si="1398"/>
        <v>3.9E-2</v>
      </c>
      <c r="CV436" s="304">
        <f t="shared" si="1399"/>
        <v>-2217</v>
      </c>
      <c r="CW436" s="20" t="s">
        <v>122</v>
      </c>
      <c r="CX436" s="20" t="s">
        <v>122</v>
      </c>
      <c r="CY436" s="20" t="s">
        <v>122</v>
      </c>
      <c r="CZ436" s="20" t="s">
        <v>122</v>
      </c>
      <c r="DA436" s="20" t="s">
        <v>122</v>
      </c>
      <c r="DB436" s="503">
        <f t="shared" si="1400"/>
        <v>0</v>
      </c>
      <c r="DC436" s="127">
        <v>0</v>
      </c>
      <c r="DD436" s="127">
        <v>0</v>
      </c>
      <c r="DE436" s="127">
        <v>0</v>
      </c>
      <c r="DF436" s="127">
        <v>0</v>
      </c>
      <c r="DG436" s="127">
        <v>0</v>
      </c>
      <c r="DH436" s="127">
        <v>0</v>
      </c>
      <c r="DI436" s="127">
        <v>0</v>
      </c>
      <c r="DJ436" s="127">
        <v>0</v>
      </c>
      <c r="DK436" s="127">
        <v>0</v>
      </c>
      <c r="DL436" s="127">
        <v>0</v>
      </c>
      <c r="DM436" s="304">
        <f>INDEX(Input!$1:$1048576,DM$93,$C436*2+6)</f>
        <v>20731.578947368424</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4.6307843316802925E-2</v>
      </c>
      <c r="DZ436" s="7">
        <v>0</v>
      </c>
      <c r="EA436" s="7">
        <v>0.82852997240137849</v>
      </c>
      <c r="EB436" s="7">
        <v>0</v>
      </c>
      <c r="EC436" s="7">
        <v>0</v>
      </c>
      <c r="ED436" s="7">
        <v>0</v>
      </c>
      <c r="EE436" s="7">
        <v>0</v>
      </c>
      <c r="EF436" s="7">
        <v>0</v>
      </c>
      <c r="EG436" s="7">
        <v>0</v>
      </c>
      <c r="EH436" s="7">
        <v>8.4707731253785053E-3</v>
      </c>
      <c r="EI436" s="7">
        <v>1.3603520632743732E-2</v>
      </c>
      <c r="EJ436" s="7">
        <v>0.12770668790840262</v>
      </c>
      <c r="EK436" s="7">
        <v>0.81011457574682777</v>
      </c>
      <c r="EL436" s="7">
        <v>4.0104442586646784E-2</v>
      </c>
      <c r="EM436" s="7">
        <v>3.9320047215620622E-2</v>
      </c>
      <c r="EN436" s="7">
        <v>4.6907792880433834E-2</v>
      </c>
      <c r="EO436" s="7">
        <v>0.57064550741784659</v>
      </c>
      <c r="EP436" s="7">
        <v>0.26955026722791064</v>
      </c>
      <c r="EQ436" s="7">
        <v>6.7894841019189411E-2</v>
      </c>
      <c r="ER436" s="7">
        <v>4.5001591454619641E-2</v>
      </c>
      <c r="ES436" s="7">
        <v>8.5842137066198046E-2</v>
      </c>
      <c r="ET436" s="7">
        <v>0.12516218428181861</v>
      </c>
      <c r="EU436" s="6">
        <v>2100</v>
      </c>
      <c r="EV436" s="6">
        <v>0</v>
      </c>
      <c r="EW436" s="6">
        <v>2100</v>
      </c>
      <c r="EX436" s="6">
        <v>0</v>
      </c>
      <c r="EY436" s="6">
        <v>2978.2485689403479</v>
      </c>
      <c r="EZ436" s="6">
        <v>-246</v>
      </c>
      <c r="FA436" s="6">
        <v>0</v>
      </c>
      <c r="FB436" s="6">
        <v>0</v>
      </c>
      <c r="FC436" s="6">
        <v>0</v>
      </c>
      <c r="FD436" s="6">
        <v>0</v>
      </c>
      <c r="FE436" s="6">
        <v>0</v>
      </c>
      <c r="FF436" s="6">
        <v>0</v>
      </c>
      <c r="FG436" s="6">
        <v>0</v>
      </c>
      <c r="FH436" s="6">
        <v>1153.2399619546393</v>
      </c>
      <c r="FI436" s="6">
        <v>1531.4299904380612</v>
      </c>
      <c r="FJ436" s="6">
        <v>2070.7205842538228</v>
      </c>
      <c r="FK436" s="6">
        <v>2218.6393698501024</v>
      </c>
      <c r="FL436" s="6">
        <v>893.91433563489261</v>
      </c>
      <c r="FM436" s="6">
        <v>2128.2485689403479</v>
      </c>
      <c r="FN436" s="6">
        <v>0</v>
      </c>
      <c r="FO436" s="6">
        <v>0</v>
      </c>
      <c r="FP436" s="6">
        <v>0</v>
      </c>
      <c r="FQ436" s="6">
        <v>0</v>
      </c>
      <c r="FR436" s="6">
        <v>0</v>
      </c>
      <c r="FS436" s="6">
        <v>0</v>
      </c>
      <c r="FT436" s="7">
        <v>0.87483781571818142</v>
      </c>
      <c r="FU436" s="7">
        <v>3.9320047215620622E-2</v>
      </c>
      <c r="FV436" s="7">
        <v>8.5842137066198046E-2</v>
      </c>
      <c r="FW436" s="6">
        <v>2100</v>
      </c>
      <c r="FX436" s="6">
        <v>2978.2485689403479</v>
      </c>
      <c r="FY436" s="6">
        <v>-246</v>
      </c>
      <c r="FZ436" s="6">
        <v>1695.8504614767719</v>
      </c>
      <c r="GA436" s="6">
        <v>1933.1471216404852</v>
      </c>
      <c r="GB436" s="6">
        <v>17761.852878359514</v>
      </c>
      <c r="GC436" s="7">
        <v>8.1891069685915169E-2</v>
      </c>
      <c r="GD436" s="7">
        <v>8.4382706484731618E-2</v>
      </c>
      <c r="GE436" s="7"/>
      <c r="GF436" s="7"/>
      <c r="GG436" s="7">
        <v>3.0426233389951644E-2</v>
      </c>
      <c r="GH436" s="42">
        <v>2.5252975166261202</v>
      </c>
      <c r="GI436" s="6">
        <v>9732.2281686583356</v>
      </c>
      <c r="GJ436" s="14">
        <v>0.51074630601039561</v>
      </c>
      <c r="GK436" s="14">
        <v>0.50829519786160982</v>
      </c>
      <c r="GL436" s="14">
        <v>0.4892536939896045</v>
      </c>
      <c r="GM436" s="14">
        <v>0.49170480213839052</v>
      </c>
      <c r="GO436" s="5">
        <v>338.16872463277008</v>
      </c>
      <c r="GP436" s="5">
        <v>298.1047308538179</v>
      </c>
      <c r="GQ436" s="5">
        <v>527.27910984145694</v>
      </c>
      <c r="GR436" s="5">
        <v>404.20319246551543</v>
      </c>
      <c r="GS436" s="5">
        <v>334.50205195691484</v>
      </c>
      <c r="GT436" s="5">
        <v>289.18266033348181</v>
      </c>
      <c r="GU436" s="5">
        <v>254.29573314828914</v>
      </c>
      <c r="GV436" s="39" t="s">
        <v>392</v>
      </c>
      <c r="GW436" s="5">
        <v>468.76388888888891</v>
      </c>
      <c r="GX436" s="5">
        <v>351.57291666666669</v>
      </c>
      <c r="GY436" s="5">
        <v>281.25833333333333</v>
      </c>
      <c r="GZ436" s="5">
        <v>240.85506989150105</v>
      </c>
      <c r="HA436" s="5">
        <v>229.89195052129477</v>
      </c>
      <c r="HB436" s="39">
        <v>249.01188346701372</v>
      </c>
      <c r="HC436" s="5">
        <v>293.87812499999995</v>
      </c>
      <c r="HD436" s="5">
        <v>243.67143640350872</v>
      </c>
      <c r="HE436" s="5">
        <v>244.28647520242913</v>
      </c>
      <c r="HF436" s="5">
        <v>223.39192434210526</v>
      </c>
      <c r="HG436" s="5">
        <v>212.2899342105263</v>
      </c>
      <c r="HH436" s="39">
        <v>243.40321343773337</v>
      </c>
      <c r="HI436" s="16"/>
      <c r="HJ436" s="19" t="str">
        <f t="shared" si="1405"/>
        <v>On</v>
      </c>
      <c r="HK436" s="1" t="str">
        <f t="shared" si="1405"/>
        <v>On</v>
      </c>
      <c r="HL436" s="16"/>
      <c r="HM436" s="639">
        <f t="shared" si="1278"/>
        <v>6.6115095157691428E-2</v>
      </c>
      <c r="HN436" s="639">
        <f t="shared" si="1279"/>
        <v>2.3720927871164412E-3</v>
      </c>
      <c r="HO436" s="639">
        <f t="shared" si="1280"/>
        <v>7.7231033444443466E-3</v>
      </c>
      <c r="HP436" s="644">
        <f>(FT436*$GD436-HM436)/$JF436*INDEX(Input!$1:$1048576,$JG$93,$C436*2+6)</f>
        <v>187.97483069927301</v>
      </c>
      <c r="HQ436" s="644">
        <f>(FU436*$GD436-HN436)/$JF436*INDEX(Input!$1:$1048576,$JG$93,$C436*2+6)</f>
        <v>23.071885343597195</v>
      </c>
      <c r="HR436" s="644">
        <f>(FV436*$GD436-HO436)/$JF436*INDEX(Input!$1:$1048576,$JG$93,$C436*2+6)</f>
        <v>-11.696738613525357</v>
      </c>
      <c r="HS436" s="644">
        <f t="shared" si="1401"/>
        <v>-47.395930925728003</v>
      </c>
      <c r="HT436" s="644">
        <f t="shared" si="1282"/>
        <v>124.93509967280042</v>
      </c>
      <c r="HU436" s="644">
        <f t="shared" si="1283"/>
        <v>11.57343739145333</v>
      </c>
      <c r="HV436" s="648">
        <f t="shared" si="1284"/>
        <v>0</v>
      </c>
      <c r="HW436" s="648">
        <f t="shared" si="1285"/>
        <v>0</v>
      </c>
      <c r="HX436" s="648">
        <f t="shared" si="1286"/>
        <v>0</v>
      </c>
      <c r="HY436" s="644">
        <f>INDEX(Input!$1:$1048576,HY$93,$C436*2+6)*INDEX(Input!$1:$1048576,$JG$93,$C436*2+6)</f>
        <v>844</v>
      </c>
      <c r="HZ436" s="644">
        <f>INDEX(Input!$1:$1048576,HZ$93,$C436*2+6)*INDEX(Input!$1:$1048576,$JG$93,$C436*2+6)</f>
        <v>865</v>
      </c>
      <c r="IA436" s="644">
        <f>INDEX(Input!$1:$1048576,IA$93,$C436*2+6)*INDEX(Input!$1:$1048576,$JG$93,$C436*2+6)</f>
        <v>150</v>
      </c>
      <c r="IB436" s="644">
        <f t="shared" si="1310"/>
        <v>984.57889977354512</v>
      </c>
      <c r="IC436" s="644">
        <f t="shared" si="1311"/>
        <v>1013.0069850163976</v>
      </c>
      <c r="ID436" s="644">
        <f>IF(AND(INDEX(Input!$1:$1048576,IA$93,$C436*2+7)="TOS",Y436&lt;=INDEX(Y:Y,MATCH(C436*1000+2,A:A))),0,1)*MAX(IA436+HR436+HU436+HX436,0%)</f>
        <v>149.87669877792797</v>
      </c>
      <c r="IE436" s="128">
        <f t="shared" si="1402"/>
        <v>0.45848477515157943</v>
      </c>
      <c r="IF436" s="128">
        <f t="shared" si="1383"/>
        <v>0.47172276377144218</v>
      </c>
      <c r="IG436" s="128">
        <f t="shared" si="1288"/>
        <v>6.979246107697834E-2</v>
      </c>
      <c r="IH436" s="21"/>
      <c r="II436" s="19">
        <f t="shared" si="1289"/>
        <v>1199.9999999999998</v>
      </c>
      <c r="IJ436" s="19">
        <f t="shared" si="1290"/>
        <v>2195.4782357510435</v>
      </c>
      <c r="IK436" s="19">
        <f t="shared" si="1291"/>
        <v>-571</v>
      </c>
      <c r="IL436" s="19">
        <f t="shared" si="1313"/>
        <v>900.00000000000023</v>
      </c>
      <c r="IM436" s="19">
        <f t="shared" si="1292"/>
        <v>782.77033318930444</v>
      </c>
      <c r="IN436" s="19">
        <f t="shared" si="1293"/>
        <v>325</v>
      </c>
      <c r="IO436" s="39">
        <f t="shared" si="1294"/>
        <v>0</v>
      </c>
      <c r="IP436" s="39">
        <f t="shared" si="1295"/>
        <v>0</v>
      </c>
      <c r="IQ436" s="39">
        <f t="shared" si="1296"/>
        <v>0</v>
      </c>
      <c r="IR436" s="39">
        <v>0</v>
      </c>
      <c r="IS436" s="39">
        <v>0</v>
      </c>
      <c r="IT436" s="39">
        <v>0</v>
      </c>
      <c r="IU436" s="39">
        <v>0</v>
      </c>
      <c r="IV436" s="39">
        <v>0</v>
      </c>
      <c r="IW436" s="39">
        <v>0</v>
      </c>
      <c r="IX436" s="39">
        <f>INDEX(Input!$1:$1048576,IX$93,$C436*2+6)+INDEX(Input!$1:$1048576,IX$94,$C436*2+6)</f>
        <v>1600</v>
      </c>
      <c r="IY436" s="39">
        <f>INDEX(Input!$1:$1048576,IY$93,$C436*2+6)+INDEX(Input!$1:$1048576,IY$94,$C436*2+6)</f>
        <v>2503.549291639752</v>
      </c>
      <c r="IZ436" s="39">
        <f>INDEX(Input!$1:$1048576,IZ$93,$C436*2+6)+INDEX(Input!$1:$1048576,IZ$94,$C436*2+6)</f>
        <v>5413.7109265464023</v>
      </c>
      <c r="JA436" s="19">
        <f t="shared" si="1314"/>
        <v>2500</v>
      </c>
      <c r="JB436" s="19">
        <f t="shared" si="1315"/>
        <v>3286.3196248290565</v>
      </c>
      <c r="JC436" s="19">
        <f t="shared" si="1316"/>
        <v>5738.7109265464023</v>
      </c>
      <c r="JD436" s="19">
        <f t="shared" si="1317"/>
        <v>3096.9624729126608</v>
      </c>
      <c r="JE436" s="21"/>
      <c r="JF436" s="1">
        <f t="shared" si="1297"/>
        <v>7.6210291289252219E-2</v>
      </c>
      <c r="JG436" s="15">
        <f>INDEX(Input!$1:$1048576,JG$93,$C436*2+6)/(1+VLOOKUP(C436*1000+INDEX(Input!$1:$1048576,JG$93+1,$C436*2+6),$A:$KK,$JK$92,FALSE))</f>
        <v>1859</v>
      </c>
      <c r="JH436" s="1">
        <f t="shared" si="1318"/>
        <v>0.10723506047839959</v>
      </c>
      <c r="JI436" s="1">
        <f t="shared" si="1319"/>
        <v>4.7935775222445257E-2</v>
      </c>
      <c r="JJ436" s="1">
        <f t="shared" si="1384"/>
        <v>0</v>
      </c>
      <c r="JK436" s="1">
        <f t="shared" si="1385"/>
        <v>0.15517083570084483</v>
      </c>
      <c r="JL436" s="15">
        <f t="shared" si="1322"/>
        <v>288.46258356787052</v>
      </c>
      <c r="JM436" s="15">
        <f t="shared" si="1348"/>
        <v>2147.4625835678708</v>
      </c>
      <c r="JN436" s="21"/>
      <c r="JO436" s="19">
        <f>INDEX(Input!$1:$1048576,JO$93,$C436*2+6)</f>
        <v>5908.5</v>
      </c>
      <c r="JP436" s="19">
        <f>INDEX(Input!$1:$1048576,JP$93,$C436*2+6)</f>
        <v>2328.1478086338602</v>
      </c>
      <c r="JQ436" s="39">
        <f t="shared" si="1334"/>
        <v>2811.5375270873392</v>
      </c>
      <c r="JR436" s="39">
        <f t="shared" si="1351"/>
        <v>768.81466427880059</v>
      </c>
      <c r="JS436" s="39">
        <f t="shared" si="1336"/>
        <v>6.6506110332937638</v>
      </c>
      <c r="JT436" s="39">
        <f t="shared" si="1324"/>
        <v>2.3225842570434176</v>
      </c>
      <c r="JU436" s="385">
        <f>(JQ436*JM436-INDEX(Input!$1:$1048576,Input!A$18,$C436*2+6)*JL436*INDEX(Input!$1:$1048576,Input!A$19,$C436*2+6))/1000000</f>
        <v>6.037671641717</v>
      </c>
      <c r="JV436" s="39">
        <f t="shared" si="1358"/>
        <v>-0.61820308203265384</v>
      </c>
      <c r="JW436" s="1">
        <f t="shared" si="1349"/>
        <v>-9.2880816976131861E-2</v>
      </c>
      <c r="JX436" s="19">
        <f t="shared" si="1340"/>
        <v>8051.5962531998593</v>
      </c>
      <c r="JZ436" s="341"/>
      <c r="KA436" s="342"/>
      <c r="KB436" s="469">
        <f t="shared" si="1337"/>
        <v>2.3451977905499271</v>
      </c>
      <c r="KI436" s="473">
        <f t="shared" si="1403"/>
        <v>140.57889977354512</v>
      </c>
      <c r="KJ436" s="473">
        <f t="shared" si="1404"/>
        <v>148.00698501639761</v>
      </c>
      <c r="KK436" s="473">
        <f t="shared" si="1326"/>
        <v>-0.12330122207202976</v>
      </c>
      <c r="KN436" s="544">
        <f t="shared" si="1341"/>
        <v>4002</v>
      </c>
      <c r="KO436" s="541">
        <f t="shared" si="1301"/>
        <v>7.4999922109608486E-2</v>
      </c>
      <c r="KP436" s="546">
        <f t="shared" si="1302"/>
        <v>409.75628639816148</v>
      </c>
      <c r="KQ436" s="546">
        <f t="shared" si="1303"/>
        <v>373.21891131466509</v>
      </c>
      <c r="KR436" s="548">
        <f t="shared" si="1304"/>
        <v>3.1063413869031318</v>
      </c>
      <c r="KS436" s="548">
        <f t="shared" si="1305"/>
        <v>3.4104459136294771</v>
      </c>
      <c r="KT436" s="473">
        <f t="shared" si="1339"/>
        <v>1050.27685337919</v>
      </c>
      <c r="KU436" s="663">
        <f t="shared" si="1327"/>
        <v>6.6435277270571591</v>
      </c>
      <c r="KV436" s="117"/>
    </row>
    <row r="437" spans="1:308" s="26" customFormat="1" ht="15">
      <c r="A437" s="561">
        <f t="shared" si="1306"/>
        <v>4037</v>
      </c>
      <c r="B437" s="561">
        <f t="shared" si="1328"/>
        <v>37</v>
      </c>
      <c r="C437" s="561">
        <f t="shared" si="1329"/>
        <v>4</v>
      </c>
      <c r="D437" s="561" t="str">
        <f t="shared" si="1378"/>
        <v xml:space="preserve">750 CC, 0/0/0.9/3.9, </v>
      </c>
      <c r="E437" s="475">
        <f>INDEX(Input!$1:$1048576,E$93,$C437*2+MIN($B437,2)+5)
+INDEX(Scenarios!E$121:E$200,MATCH($B437,Scenarios!$B$121:$B$200,0))</f>
        <v>2000</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8.9999999999999959E-3</v>
      </c>
      <c r="W437" s="863">
        <f>IFERROR(MAX(0,INDEX(Input!$1:$1048576,W$93,$C437*2+MIN($B437,2)+5)-0%,),"Market")</f>
        <v>3.9E-2</v>
      </c>
      <c r="X437" s="476" t="str">
        <f>INDEX(Input!$1:$1048576,X$93,$C437*2+MIN($B437,2)+5)</f>
        <v>Y</v>
      </c>
      <c r="Y437" s="475">
        <f>INDEX(Input!$1:$1048576,Y$93,$C437*2+MIN($B437,2)+5)
++INDEX(Scenarios!Y$121:Y$200,MATCH($B437,Scenarios!$B$121:$B$200,0))</f>
        <v>-2217</v>
      </c>
      <c r="Z437" s="477">
        <f>INDEX(Input!$1:$1048576,Z$93,$C437*2+MIN($B437,2)+5)
+INDEX(Scenarios!Z$121:Z$200,MATCH($B437,Scenarios!$B$121:$B$200,0))</f>
        <v>0</v>
      </c>
      <c r="AA437" s="475">
        <f>INDEX(Input!$1:$1048576,AA$93,$C437*2+MIN($B437,2)+5)</f>
        <v>0</v>
      </c>
      <c r="AB437" s="476">
        <f>INDEX(Input!$1:$1048576,AB$93,$C437*2+MIN($B437,2)+5)</f>
        <v>1</v>
      </c>
      <c r="AC437" s="475">
        <f>INDEX(Input!$1:$1048576,AC$93,$C437*2+MIN($B437,2)+5)
+INDEX(Scenarios!AC$121:AC$200,MATCH($B437,Scenarios!$B$121:$B$200,0))</f>
        <v>0</v>
      </c>
      <c r="AD437" s="476">
        <f>INDEX(Input!$1:$1048576,AD$93,$C437*2+MIN($B437,2)+5)</f>
        <v>0.35</v>
      </c>
      <c r="AE437" s="475">
        <f>INDEX(Input!$1:$1048576,AE$93,$C437*2+MIN($B437,2)+5)
+INDEX(Scenarios!AE$121:AE$200,MATCH($B437,Scenarios!$B$121:$B$200,0))</f>
        <v>0</v>
      </c>
      <c r="AF437" s="476">
        <f>INDEX(Input!$1:$1048576,AF$93,$C437*2+MIN($B437,2)+5)</f>
        <v>1</v>
      </c>
      <c r="AG437" s="475">
        <f>INDEX(Input!$1:$1048576,AG$93,$C437*2+MIN($B437,2)+5)
+INDEX(Scenarios!AG$121:AG$200,MATCH($B437,Scenarios!$B$121:$B$200,0))</f>
        <v>0</v>
      </c>
      <c r="AH437" s="476">
        <f>INDEX(Input!$1:$1048576,AH$93,$C437*2+MIN($B437,2)+5)</f>
        <v>1</v>
      </c>
      <c r="AI437" s="475">
        <f>INDEX(Input!$1:$1048576,AI$93,$C437*2+MIN($B437,2)+5)
+INDEX(Scenarios!AI$121:AI$200,MATCH($B437,Scenarios!$B$121:$B$200,0))</f>
        <v>0</v>
      </c>
      <c r="AJ437" s="476">
        <f>INDEX(Input!$1:$1048576,AJ$93,$C437*2+MIN($B437,2)+5)</f>
        <v>0.35</v>
      </c>
      <c r="AK437" s="150">
        <f>ROUND(INDEX(Input!$1:$1048576,AK$93,$C436*2+MIN($B437,1)+5)+(Y437-VLOOKUP($C437*1000+1,$A:$HH,Y$92,FALSE)),0)</f>
        <v>4592</v>
      </c>
      <c r="AL437" s="150">
        <f>ROUND(INDEX(Input!$1:$1048576,AL$93,$C436*2+MIN($B437,1)+5)-(Y437-VLOOKUP($C437*1000+1,$A:$HH,Y$92,FALSE))/36,0)</f>
        <v>4743</v>
      </c>
      <c r="AM437" s="32" t="str">
        <f t="shared" si="1307"/>
        <v>std/std/std/std</v>
      </c>
      <c r="AN437" s="32" t="str">
        <f t="shared" si="1308"/>
        <v>$0 + 0/0/0/0.9/3.9</v>
      </c>
      <c r="AO437" s="32" t="str">
        <f t="shared" si="1309"/>
        <v>0/0/0/0.9/3.9</v>
      </c>
      <c r="AP437" s="32" t="str">
        <f t="shared" si="1386"/>
        <v>0/0/0.9/3.9</v>
      </c>
      <c r="AQ437" s="536">
        <f t="shared" si="1379"/>
        <v>0.47268691578062533</v>
      </c>
      <c r="AR437" s="32"/>
      <c r="AS437" s="302"/>
      <c r="AT437" s="3">
        <f t="shared" si="1330"/>
        <v>37</v>
      </c>
      <c r="AU437" s="41" t="s">
        <v>121</v>
      </c>
      <c r="AV437" s="41" t="s">
        <v>116</v>
      </c>
      <c r="AW437" s="41" t="str">
        <f>INDEX(Input!$1:$1048576,AW$93,$C437*2+6)</f>
        <v>Kia</v>
      </c>
      <c r="AX437" s="41" t="str">
        <f>INDEX(Input!$1:$1048576,AX$93,$C437*2+6)</f>
        <v>Kia-LR - R1</v>
      </c>
      <c r="AY437" s="41" t="str">
        <f>IF(LEN(D437)=0,"",INDEX(Input!$1:$1048576,AY$93,$C437*2+6))</f>
        <v>Compact Conventional/Sporty Car (43)</v>
      </c>
      <c r="AZ437" s="41" t="str">
        <f>INDEX(Input!$1:$1048576,AZ$93,$C437*2+6)</f>
        <v>Kia Forte</v>
      </c>
      <c r="BA437" s="3">
        <f>INDEX(Input!$1:$1048576,BA$93,$C437*2+6)</f>
        <v>2020</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19695</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387"/>
        <v>2310</v>
      </c>
      <c r="CJ437" s="16" t="str">
        <f>INDEX(Input!$1:$1048576,CJ$93,$C437*2+6)</f>
        <v>N</v>
      </c>
      <c r="CK437" s="1" t="str">
        <f t="shared" si="1388"/>
        <v>Market</v>
      </c>
      <c r="CL437" s="1" t="str">
        <f t="shared" si="1389"/>
        <v>Market</v>
      </c>
      <c r="CM437" s="1" t="str">
        <f t="shared" si="1390"/>
        <v>Market</v>
      </c>
      <c r="CN437" s="1" t="str">
        <f t="shared" si="1391"/>
        <v>Market</v>
      </c>
      <c r="CO437" s="1" t="str">
        <f t="shared" si="1392"/>
        <v>Market</v>
      </c>
      <c r="CP437" s="304">
        <f t="shared" si="1393"/>
        <v>0</v>
      </c>
      <c r="CQ437" s="1">
        <f t="shared" si="1394"/>
        <v>0</v>
      </c>
      <c r="CR437" s="1">
        <f t="shared" si="1395"/>
        <v>0</v>
      </c>
      <c r="CS437" s="1">
        <f t="shared" si="1396"/>
        <v>0</v>
      </c>
      <c r="CT437" s="1">
        <f t="shared" si="1397"/>
        <v>8.9999999999999959E-3</v>
      </c>
      <c r="CU437" s="1">
        <f t="shared" si="1398"/>
        <v>3.9E-2</v>
      </c>
      <c r="CV437" s="304">
        <f t="shared" si="1399"/>
        <v>-2217</v>
      </c>
      <c r="CW437" s="20" t="s">
        <v>122</v>
      </c>
      <c r="CX437" s="20" t="s">
        <v>122</v>
      </c>
      <c r="CY437" s="20" t="s">
        <v>122</v>
      </c>
      <c r="CZ437" s="20" t="s">
        <v>122</v>
      </c>
      <c r="DA437" s="20" t="s">
        <v>122</v>
      </c>
      <c r="DB437" s="503">
        <f t="shared" si="1400"/>
        <v>0</v>
      </c>
      <c r="DC437" s="127">
        <v>0</v>
      </c>
      <c r="DD437" s="127">
        <v>0</v>
      </c>
      <c r="DE437" s="127">
        <v>0</v>
      </c>
      <c r="DF437" s="127">
        <v>0</v>
      </c>
      <c r="DG437" s="127">
        <v>0</v>
      </c>
      <c r="DH437" s="127">
        <v>0</v>
      </c>
      <c r="DI437" s="127">
        <v>0</v>
      </c>
      <c r="DJ437" s="127">
        <v>0</v>
      </c>
      <c r="DK437" s="127">
        <v>0</v>
      </c>
      <c r="DL437" s="127">
        <v>0</v>
      </c>
      <c r="DM437" s="304">
        <f>INDEX(Input!$1:$1048576,DM$93,$C437*2+6)</f>
        <v>20731.578947368424</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4.6894889665346391E-2</v>
      </c>
      <c r="DZ437" s="7">
        <v>0</v>
      </c>
      <c r="EA437" s="7">
        <v>0.83547965634747623</v>
      </c>
      <c r="EB437" s="7">
        <v>0</v>
      </c>
      <c r="EC437" s="7">
        <v>0</v>
      </c>
      <c r="ED437" s="7">
        <v>0</v>
      </c>
      <c r="EE437" s="7">
        <v>0</v>
      </c>
      <c r="EF437" s="7">
        <v>0</v>
      </c>
      <c r="EG437" s="7">
        <v>0</v>
      </c>
      <c r="EH437" s="7">
        <v>8.4817857669294248E-3</v>
      </c>
      <c r="EI437" s="7">
        <v>1.3623221595018364E-2</v>
      </c>
      <c r="EJ437" s="7">
        <v>0.12788304865931374</v>
      </c>
      <c r="EK437" s="7">
        <v>0.80994042281598511</v>
      </c>
      <c r="EL437" s="7">
        <v>4.0071521162752755E-2</v>
      </c>
      <c r="EM437" s="7">
        <v>3.6850763454430446E-2</v>
      </c>
      <c r="EN437" s="7">
        <v>4.6884837074649348E-2</v>
      </c>
      <c r="EO437" s="7">
        <v>0.57056403761248697</v>
      </c>
      <c r="EP437" s="7">
        <v>0.26965485239684767</v>
      </c>
      <c r="EQ437" s="7">
        <v>6.7885122536039871E-2</v>
      </c>
      <c r="ER437" s="7">
        <v>4.5011150379975967E-2</v>
      </c>
      <c r="ES437" s="7">
        <v>8.0774690532747079E-2</v>
      </c>
      <c r="ET437" s="7">
        <v>0.1176254539871774</v>
      </c>
      <c r="EU437" s="6">
        <v>2350</v>
      </c>
      <c r="EV437" s="6">
        <v>0</v>
      </c>
      <c r="EW437" s="6">
        <v>2350</v>
      </c>
      <c r="EX437" s="6">
        <v>0</v>
      </c>
      <c r="EY437" s="6">
        <v>2978.2407756291614</v>
      </c>
      <c r="EZ437" s="6">
        <v>-246</v>
      </c>
      <c r="FA437" s="6">
        <v>0</v>
      </c>
      <c r="FB437" s="6">
        <v>0</v>
      </c>
      <c r="FC437" s="6">
        <v>0</v>
      </c>
      <c r="FD437" s="6">
        <v>0</v>
      </c>
      <c r="FE437" s="6">
        <v>0</v>
      </c>
      <c r="FF437" s="6">
        <v>0</v>
      </c>
      <c r="FG437" s="6">
        <v>0</v>
      </c>
      <c r="FH437" s="6">
        <v>1153.2344761249085</v>
      </c>
      <c r="FI437" s="6">
        <v>1531.429990438063</v>
      </c>
      <c r="FJ437" s="6">
        <v>2070.7205842538206</v>
      </c>
      <c r="FK437" s="6">
        <v>2218.6393698501024</v>
      </c>
      <c r="FL437" s="6">
        <v>893.91433563489431</v>
      </c>
      <c r="FM437" s="6">
        <v>2128.2407756291614</v>
      </c>
      <c r="FN437" s="6">
        <v>0</v>
      </c>
      <c r="FO437" s="6">
        <v>0</v>
      </c>
      <c r="FP437" s="6">
        <v>0</v>
      </c>
      <c r="FQ437" s="6">
        <v>0</v>
      </c>
      <c r="FR437" s="6">
        <v>0</v>
      </c>
      <c r="FS437" s="6">
        <v>0</v>
      </c>
      <c r="FT437" s="7">
        <v>0.88237454601282261</v>
      </c>
      <c r="FU437" s="7">
        <v>3.6850763454430446E-2</v>
      </c>
      <c r="FV437" s="7">
        <v>8.0774690532747079E-2</v>
      </c>
      <c r="FW437" s="6">
        <v>2350</v>
      </c>
      <c r="FX437" s="6">
        <v>2978.2407756291614</v>
      </c>
      <c r="FY437" s="6">
        <v>-246</v>
      </c>
      <c r="FZ437" s="6">
        <v>1695.8504614767719</v>
      </c>
      <c r="GA437" s="6">
        <v>2163.460055592127</v>
      </c>
      <c r="GB437" s="6">
        <v>17531.539944407872</v>
      </c>
      <c r="GC437" s="7">
        <v>8.1891069685915169E-2</v>
      </c>
      <c r="GD437" s="7">
        <v>8.6574474171352736E-2</v>
      </c>
      <c r="GE437" s="7"/>
      <c r="GF437" s="7"/>
      <c r="GG437" s="7">
        <v>5.7190661978165469E-2</v>
      </c>
      <c r="GH437" s="42">
        <v>2.408783099908133</v>
      </c>
      <c r="GI437" s="6">
        <v>10339.787762620272</v>
      </c>
      <c r="GJ437" s="14">
        <v>0.51074630601039572</v>
      </c>
      <c r="GK437" s="14">
        <v>0.50829519786160959</v>
      </c>
      <c r="GL437" s="14">
        <v>0.48925369398960433</v>
      </c>
      <c r="GM437" s="14">
        <v>0.49170480213839041</v>
      </c>
      <c r="GO437" s="5">
        <v>338.16872463277008</v>
      </c>
      <c r="GP437" s="5">
        <v>293.33520778489498</v>
      </c>
      <c r="GQ437" s="5">
        <v>527.27910984145694</v>
      </c>
      <c r="GR437" s="5">
        <v>404.20319246551543</v>
      </c>
      <c r="GS437" s="5">
        <v>334.50205195691484</v>
      </c>
      <c r="GT437" s="5">
        <v>289.18266033348181</v>
      </c>
      <c r="GU437" s="5">
        <v>254.29573314828914</v>
      </c>
      <c r="GV437" s="39" t="s">
        <v>392</v>
      </c>
      <c r="GW437" s="5">
        <v>468.76388888888891</v>
      </c>
      <c r="GX437" s="5">
        <v>351.57291666666669</v>
      </c>
      <c r="GY437" s="5">
        <v>281.25833333333333</v>
      </c>
      <c r="GZ437" s="5">
        <v>240.85506989150105</v>
      </c>
      <c r="HA437" s="5">
        <v>229.89195052129477</v>
      </c>
      <c r="HB437" s="39">
        <v>249.02406106464593</v>
      </c>
      <c r="HC437" s="5">
        <v>293.87812499999995</v>
      </c>
      <c r="HD437" s="5">
        <v>243.67143640350872</v>
      </c>
      <c r="HE437" s="5">
        <v>244.28647520242913</v>
      </c>
      <c r="HF437" s="5">
        <v>223.39192434210526</v>
      </c>
      <c r="HG437" s="5">
        <v>212.2899342105263</v>
      </c>
      <c r="HH437" s="39">
        <v>243.40202233933667</v>
      </c>
      <c r="HI437" s="16"/>
      <c r="HJ437" s="19" t="str">
        <f t="shared" si="1405"/>
        <v>On</v>
      </c>
      <c r="HK437" s="1" t="str">
        <f t="shared" si="1405"/>
        <v>On</v>
      </c>
      <c r="HL437" s="16"/>
      <c r="HM437" s="639">
        <f t="shared" si="1278"/>
        <v>6.6115095157691428E-2</v>
      </c>
      <c r="HN437" s="639">
        <f t="shared" si="1279"/>
        <v>2.3720927871164412E-3</v>
      </c>
      <c r="HO437" s="639">
        <f t="shared" si="1280"/>
        <v>7.7231033444443466E-3</v>
      </c>
      <c r="HP437" s="644">
        <f>(FT437*$GD437-HM437)/$JF437*INDEX(Input!$1:$1048576,$JG$93,$C437*2+6)</f>
        <v>250.66320604183815</v>
      </c>
      <c r="HQ437" s="644">
        <f>(FU437*$GD437-HN437)/$JF437*INDEX(Input!$1:$1048576,$JG$93,$C437*2+6)</f>
        <v>19.959419123928484</v>
      </c>
      <c r="HR437" s="644">
        <f>(FV437*$GD437-HO437)/$JF437*INDEX(Input!$1:$1048576,$JG$93,$C437*2+6)</f>
        <v>-17.80879055256559</v>
      </c>
      <c r="HS437" s="644">
        <f t="shared" ref="HS437:HS461" si="1406">IF(AND(HJ437="On",HK437="On"),IL437/1000*INDEX(KG:KG,MATCH(C437*1000+3,$KF:$KF,0))*SUM(HY437:IA437)*1.1
+INDEX(HR:HR,MATCH(C437*1000+4,$KF:$KF,0))/INDEX(IM:IM,MATCH(C437*1000+4,$KF:$KF,0))*IM437*20%,0)</f>
        <v>-60.516701610197202</v>
      </c>
      <c r="HT437" s="644">
        <f t="shared" si="1282"/>
        <v>123.67278620654204</v>
      </c>
      <c r="HU437" s="644">
        <f t="shared" si="1283"/>
        <v>12.834460194071687</v>
      </c>
      <c r="HV437" s="648">
        <f t="shared" si="1284"/>
        <v>0</v>
      </c>
      <c r="HW437" s="648">
        <f t="shared" si="1285"/>
        <v>0</v>
      </c>
      <c r="HX437" s="648">
        <f t="shared" si="1286"/>
        <v>0</v>
      </c>
      <c r="HY437" s="644">
        <f>INDEX(Input!$1:$1048576,HY$93,$C437*2+6)*INDEX(Input!$1:$1048576,$JG$93,$C437*2+6)</f>
        <v>844</v>
      </c>
      <c r="HZ437" s="644">
        <f>INDEX(Input!$1:$1048576,HZ$93,$C437*2+6)*INDEX(Input!$1:$1048576,$JG$93,$C437*2+6)</f>
        <v>865</v>
      </c>
      <c r="IA437" s="644">
        <f>INDEX(Input!$1:$1048576,IA$93,$C437*2+6)*INDEX(Input!$1:$1048576,$JG$93,$C437*2+6)</f>
        <v>150</v>
      </c>
      <c r="IB437" s="644">
        <f t="shared" si="1310"/>
        <v>1034.146504431641</v>
      </c>
      <c r="IC437" s="644">
        <f t="shared" si="1311"/>
        <v>1008.6322053304705</v>
      </c>
      <c r="ID437" s="644">
        <f>IF(AND(INDEX(Input!$1:$1048576,IA$93,$C437*2+7)="TOS",Y437&lt;=INDEX(Y:Y,MATCH(C437*1000+2,A:A))),0,1)*MAX(IA437+HR437+HU437+HX437,0%)</f>
        <v>145.02566964150608</v>
      </c>
      <c r="IE437" s="128">
        <f t="shared" ref="IE437:IE440" si="1407">IB437/SUM($IB437:$ID437)</f>
        <v>0.47268691578062533</v>
      </c>
      <c r="IF437" s="128">
        <f t="shared" si="1383"/>
        <v>0.46102485890690903</v>
      </c>
      <c r="IG437" s="128">
        <f t="shared" si="1288"/>
        <v>6.6288225312465657E-2</v>
      </c>
      <c r="IH437" s="21"/>
      <c r="II437" s="19">
        <f t="shared" si="1289"/>
        <v>1199.9999999999998</v>
      </c>
      <c r="IJ437" s="19">
        <f t="shared" si="1290"/>
        <v>2195.4782357510435</v>
      </c>
      <c r="IK437" s="19">
        <f t="shared" si="1291"/>
        <v>-571</v>
      </c>
      <c r="IL437" s="19">
        <f t="shared" si="1313"/>
        <v>1150.0000000000002</v>
      </c>
      <c r="IM437" s="19">
        <f t="shared" si="1292"/>
        <v>782.76253987811788</v>
      </c>
      <c r="IN437" s="19">
        <f t="shared" si="1293"/>
        <v>325</v>
      </c>
      <c r="IO437" s="39">
        <f t="shared" si="1294"/>
        <v>0</v>
      </c>
      <c r="IP437" s="39">
        <f t="shared" si="1295"/>
        <v>0</v>
      </c>
      <c r="IQ437" s="39">
        <f t="shared" si="1296"/>
        <v>0</v>
      </c>
      <c r="IR437" s="39">
        <v>0</v>
      </c>
      <c r="IS437" s="39">
        <v>0</v>
      </c>
      <c r="IT437" s="39">
        <v>0</v>
      </c>
      <c r="IU437" s="39">
        <v>0</v>
      </c>
      <c r="IV437" s="39">
        <v>0</v>
      </c>
      <c r="IW437" s="39">
        <v>0</v>
      </c>
      <c r="IX437" s="39">
        <f>INDEX(Input!$1:$1048576,IX$93,$C437*2+6)+INDEX(Input!$1:$1048576,IX$94,$C437*2+6)</f>
        <v>1600</v>
      </c>
      <c r="IY437" s="39">
        <f>INDEX(Input!$1:$1048576,IY$93,$C437*2+6)+INDEX(Input!$1:$1048576,IY$94,$C437*2+6)</f>
        <v>2503.549291639752</v>
      </c>
      <c r="IZ437" s="39">
        <f>INDEX(Input!$1:$1048576,IZ$93,$C437*2+6)+INDEX(Input!$1:$1048576,IZ$94,$C437*2+6)</f>
        <v>5413.7109265464023</v>
      </c>
      <c r="JA437" s="19">
        <f t="shared" si="1314"/>
        <v>2750</v>
      </c>
      <c r="JB437" s="19">
        <f t="shared" si="1315"/>
        <v>3286.3118315178699</v>
      </c>
      <c r="JC437" s="19">
        <f t="shared" si="1316"/>
        <v>5738.7109265464023</v>
      </c>
      <c r="JD437" s="19">
        <f t="shared" si="1317"/>
        <v>3195.369429748368</v>
      </c>
      <c r="JE437" s="21"/>
      <c r="JF437" s="1">
        <f t="shared" si="1297"/>
        <v>7.6210291289252219E-2</v>
      </c>
      <c r="JG437" s="15">
        <f>INDEX(Input!$1:$1048576,JG$93,$C437*2+6)/(1+VLOOKUP(C437*1000+INDEX(Input!$1:$1048576,JG$93+1,$C437*2+6),$A:$KK,$JK$92,FALSE))</f>
        <v>1859</v>
      </c>
      <c r="JH437" s="1">
        <f t="shared" si="1318"/>
        <v>0.13599453179838678</v>
      </c>
      <c r="JI437" s="1">
        <f t="shared" si="1319"/>
        <v>4.0877108547830297E-2</v>
      </c>
      <c r="JJ437" s="1">
        <f t="shared" si="1384"/>
        <v>0</v>
      </c>
      <c r="JK437" s="1">
        <f t="shared" si="1385"/>
        <v>0.17687164034621708</v>
      </c>
      <c r="JL437" s="15">
        <f t="shared" si="1322"/>
        <v>328.80437940361753</v>
      </c>
      <c r="JM437" s="15">
        <f t="shared" si="1348"/>
        <v>2187.8043794036175</v>
      </c>
      <c r="JN437" s="21"/>
      <c r="JO437" s="19">
        <f>INDEX(Input!$1:$1048576,JO$93,$C437*2+6)</f>
        <v>5908.5</v>
      </c>
      <c r="JP437" s="19">
        <f>INDEX(Input!$1:$1048576,JP$93,$C437*2+6)</f>
        <v>2328.1478086338602</v>
      </c>
      <c r="JQ437" s="39">
        <f t="shared" si="1334"/>
        <v>2713.130570251632</v>
      </c>
      <c r="JR437" s="39">
        <f t="shared" si="1351"/>
        <v>867.2216211145078</v>
      </c>
      <c r="JS437" s="39">
        <f t="shared" si="1336"/>
        <v>6.9908432322159193</v>
      </c>
      <c r="JT437" s="39">
        <f t="shared" si="1324"/>
        <v>2.6628164559655731</v>
      </c>
      <c r="JU437" s="385">
        <f>(JQ437*JM437-INDEX(Input!$1:$1048576,Input!A$18,$C437*2+6)*JL437*INDEX(Input!$1:$1048576,Input!A$19,$C437*2+6))/1000000</f>
        <v>5.9357989434903544</v>
      </c>
      <c r="JV437" s="39">
        <f t="shared" si="1358"/>
        <v>-0.72007578025929941</v>
      </c>
      <c r="JW437" s="1">
        <f t="shared" si="1349"/>
        <v>-0.10818649841618977</v>
      </c>
      <c r="JX437" s="19">
        <f t="shared" si="1340"/>
        <v>8098.4823279889579</v>
      </c>
      <c r="JZ437" s="341"/>
      <c r="KA437" s="342"/>
      <c r="KB437" s="469">
        <f t="shared" si="1337"/>
        <v>2.3451977905499271</v>
      </c>
      <c r="KI437" s="473">
        <f t="shared" ref="KI437:KI461" si="1408">$JM437*IE437-$JG437*HY437/SUM($HY437:$IA437)</f>
        <v>190.14650443164101</v>
      </c>
      <c r="KJ437" s="473">
        <f t="shared" ref="KJ437:KJ461" si="1409">$JM437*IF437-$JG437*HZ437/SUM($HY437:$IA437)</f>
        <v>143.63220533047047</v>
      </c>
      <c r="KK437" s="473">
        <f t="shared" si="1326"/>
        <v>-4.9743303584939156</v>
      </c>
      <c r="KN437" s="544">
        <f t="shared" si="1341"/>
        <v>4002</v>
      </c>
      <c r="KO437" s="541">
        <f t="shared" si="1301"/>
        <v>9.5194652259056545E-2</v>
      </c>
      <c r="KP437" s="546">
        <f t="shared" si="1302"/>
        <v>530.93173118972129</v>
      </c>
      <c r="KQ437" s="546">
        <f t="shared" si="1303"/>
        <v>471.6258681503723</v>
      </c>
      <c r="KR437" s="548">
        <f t="shared" si="1304"/>
        <v>3.0429013000084755</v>
      </c>
      <c r="KS437" s="548">
        <f t="shared" si="1305"/>
        <v>3.4255391066417227</v>
      </c>
      <c r="KT437" s="473">
        <f t="shared" si="1339"/>
        <v>1050.27685337919</v>
      </c>
      <c r="KU437" s="663">
        <f t="shared" si="1327"/>
        <v>6.6756788620159186</v>
      </c>
      <c r="KV437" s="117"/>
    </row>
    <row r="438" spans="1:308" s="26" customFormat="1" ht="15">
      <c r="A438" s="561">
        <f t="shared" si="1306"/>
        <v>4038</v>
      </c>
      <c r="B438" s="561">
        <f t="shared" si="1328"/>
        <v>38</v>
      </c>
      <c r="C438" s="561">
        <f t="shared" si="1329"/>
        <v>4</v>
      </c>
      <c r="D438" s="561" t="str">
        <f t="shared" si="1378"/>
        <v xml:space="preserve">1000 CC, 0/0/0.9/3.9, </v>
      </c>
      <c r="E438" s="475">
        <f>INDEX(Input!$1:$1048576,E$93,$C438*2+MIN($B438,2)+5)
+INDEX(Scenarios!E$121:E$200,MATCH($B438,Scenarios!$B$121:$B$200,0))</f>
        <v>2250</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8.9999999999999959E-3</v>
      </c>
      <c r="W438" s="863">
        <f>IFERROR(MAX(0,INDEX(Input!$1:$1048576,W$93,$C438*2+MIN($B438,2)+5)-0%,),"Market")</f>
        <v>3.9E-2</v>
      </c>
      <c r="X438" s="476" t="str">
        <f>INDEX(Input!$1:$1048576,X$93,$C438*2+MIN($B438,2)+5)</f>
        <v>Y</v>
      </c>
      <c r="Y438" s="475">
        <f>INDEX(Input!$1:$1048576,Y$93,$C438*2+MIN($B438,2)+5)
++INDEX(Scenarios!Y$121:Y$200,MATCH($B438,Scenarios!$B$121:$B$200,0))</f>
        <v>-2217</v>
      </c>
      <c r="Z438" s="477">
        <f>INDEX(Input!$1:$1048576,Z$93,$C438*2+MIN($B438,2)+5)
+INDEX(Scenarios!Z$121:Z$200,MATCH($B438,Scenarios!$B$121:$B$200,0))</f>
        <v>0</v>
      </c>
      <c r="AA438" s="475">
        <f>INDEX(Input!$1:$1048576,AA$93,$C438*2+MIN($B438,2)+5)</f>
        <v>0</v>
      </c>
      <c r="AB438" s="476">
        <f>INDEX(Input!$1:$1048576,AB$93,$C438*2+MIN($B438,2)+5)</f>
        <v>1</v>
      </c>
      <c r="AC438" s="475">
        <f>INDEX(Input!$1:$1048576,AC$93,$C438*2+MIN($B438,2)+5)
+INDEX(Scenarios!AC$121:AC$200,MATCH($B438,Scenarios!$B$121:$B$200,0))</f>
        <v>0</v>
      </c>
      <c r="AD438" s="476">
        <f>INDEX(Input!$1:$1048576,AD$93,$C438*2+MIN($B438,2)+5)</f>
        <v>0.35</v>
      </c>
      <c r="AE438" s="475">
        <f>INDEX(Input!$1:$1048576,AE$93,$C438*2+MIN($B438,2)+5)
+INDEX(Scenarios!AE$121:AE$200,MATCH($B438,Scenarios!$B$121:$B$200,0))</f>
        <v>0</v>
      </c>
      <c r="AF438" s="476">
        <f>INDEX(Input!$1:$1048576,AF$93,$C438*2+MIN($B438,2)+5)</f>
        <v>1</v>
      </c>
      <c r="AG438" s="475">
        <f>INDEX(Input!$1:$1048576,AG$93,$C438*2+MIN($B438,2)+5)
+INDEX(Scenarios!AG$121:AG$200,MATCH($B438,Scenarios!$B$121:$B$200,0))</f>
        <v>0</v>
      </c>
      <c r="AH438" s="476">
        <f>INDEX(Input!$1:$1048576,AH$93,$C438*2+MIN($B438,2)+5)</f>
        <v>1</v>
      </c>
      <c r="AI438" s="475">
        <f>INDEX(Input!$1:$1048576,AI$93,$C438*2+MIN($B438,2)+5)
+INDEX(Scenarios!AI$121:AI$200,MATCH($B438,Scenarios!$B$121:$B$200,0))</f>
        <v>0</v>
      </c>
      <c r="AJ438" s="476">
        <f>INDEX(Input!$1:$1048576,AJ$93,$C438*2+MIN($B438,2)+5)</f>
        <v>0.35</v>
      </c>
      <c r="AK438" s="150">
        <f>ROUND(INDEX(Input!$1:$1048576,AK$93,$C437*2+MIN($B438,1)+5)+(Y438-VLOOKUP($C438*1000+1,$A:$HH,Y$92,FALSE)),0)</f>
        <v>4592</v>
      </c>
      <c r="AL438" s="150">
        <f>ROUND(INDEX(Input!$1:$1048576,AL$93,$C437*2+MIN($B438,1)+5)-(Y438-VLOOKUP($C438*1000+1,$A:$HH,Y$92,FALSE))/36,0)</f>
        <v>4743</v>
      </c>
      <c r="AM438" s="32" t="str">
        <f t="shared" si="1307"/>
        <v>std/std/std/std</v>
      </c>
      <c r="AN438" s="32" t="str">
        <f t="shared" si="1308"/>
        <v>$0 + 0/0/0/0.9/3.9</v>
      </c>
      <c r="AO438" s="32" t="str">
        <f t="shared" si="1309"/>
        <v>0/0/0/0.9/3.9</v>
      </c>
      <c r="AP438" s="32" t="str">
        <f t="shared" si="1386"/>
        <v>0/0/0.9/3.9</v>
      </c>
      <c r="AQ438" s="536">
        <f t="shared" si="1379"/>
        <v>0.48666532205245477</v>
      </c>
      <c r="AR438" s="32"/>
      <c r="AS438" s="302"/>
      <c r="AT438" s="3">
        <f t="shared" si="1330"/>
        <v>38</v>
      </c>
      <c r="AU438" s="41" t="s">
        <v>121</v>
      </c>
      <c r="AV438" s="41" t="s">
        <v>116</v>
      </c>
      <c r="AW438" s="41" t="str">
        <f>INDEX(Input!$1:$1048576,AW$93,$C438*2+6)</f>
        <v>Kia</v>
      </c>
      <c r="AX438" s="41" t="str">
        <f>INDEX(Input!$1:$1048576,AX$93,$C438*2+6)</f>
        <v>Kia-LR - R1</v>
      </c>
      <c r="AY438" s="41" t="str">
        <f>IF(LEN(D438)=0,"",INDEX(Input!$1:$1048576,AY$93,$C438*2+6))</f>
        <v>Compact Conventional/Sporty Car (43)</v>
      </c>
      <c r="AZ438" s="41" t="str">
        <f>INDEX(Input!$1:$1048576,AZ$93,$C438*2+6)</f>
        <v>Kia Forte</v>
      </c>
      <c r="BA438" s="3">
        <f>INDEX(Input!$1:$1048576,BA$93,$C438*2+6)</f>
        <v>2020</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19695</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387"/>
        <v>2560</v>
      </c>
      <c r="CJ438" s="16" t="str">
        <f>INDEX(Input!$1:$1048576,CJ$93,$C438*2+6)</f>
        <v>N</v>
      </c>
      <c r="CK438" s="1" t="str">
        <f t="shared" si="1388"/>
        <v>Market</v>
      </c>
      <c r="CL438" s="1" t="str">
        <f t="shared" si="1389"/>
        <v>Market</v>
      </c>
      <c r="CM438" s="1" t="str">
        <f t="shared" si="1390"/>
        <v>Market</v>
      </c>
      <c r="CN438" s="1" t="str">
        <f t="shared" si="1391"/>
        <v>Market</v>
      </c>
      <c r="CO438" s="1" t="str">
        <f t="shared" si="1392"/>
        <v>Market</v>
      </c>
      <c r="CP438" s="304">
        <f t="shared" si="1393"/>
        <v>0</v>
      </c>
      <c r="CQ438" s="1">
        <f t="shared" si="1394"/>
        <v>0</v>
      </c>
      <c r="CR438" s="1">
        <f t="shared" si="1395"/>
        <v>0</v>
      </c>
      <c r="CS438" s="1">
        <f t="shared" si="1396"/>
        <v>0</v>
      </c>
      <c r="CT438" s="1">
        <f t="shared" si="1397"/>
        <v>8.9999999999999959E-3</v>
      </c>
      <c r="CU438" s="1">
        <f t="shared" si="1398"/>
        <v>3.9E-2</v>
      </c>
      <c r="CV438" s="304">
        <f t="shared" si="1399"/>
        <v>-2217</v>
      </c>
      <c r="CW438" s="20" t="s">
        <v>122</v>
      </c>
      <c r="CX438" s="20" t="s">
        <v>122</v>
      </c>
      <c r="CY438" s="20" t="s">
        <v>122</v>
      </c>
      <c r="CZ438" s="20" t="s">
        <v>122</v>
      </c>
      <c r="DA438" s="20" t="s">
        <v>122</v>
      </c>
      <c r="DB438" s="503">
        <f t="shared" si="1400"/>
        <v>0</v>
      </c>
      <c r="DC438" s="127">
        <v>0</v>
      </c>
      <c r="DD438" s="127">
        <v>0</v>
      </c>
      <c r="DE438" s="127">
        <v>0</v>
      </c>
      <c r="DF438" s="127">
        <v>0</v>
      </c>
      <c r="DG438" s="127">
        <v>0</v>
      </c>
      <c r="DH438" s="127">
        <v>0</v>
      </c>
      <c r="DI438" s="127">
        <v>0</v>
      </c>
      <c r="DJ438" s="127">
        <v>0</v>
      </c>
      <c r="DK438" s="127">
        <v>0</v>
      </c>
      <c r="DL438" s="127">
        <v>0</v>
      </c>
      <c r="DM438" s="304">
        <f>INDEX(Input!$1:$1048576,DM$93,$C438*2+6)</f>
        <v>20731.578947368424</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4.7465879175395576E-2</v>
      </c>
      <c r="DZ438" s="7">
        <v>0</v>
      </c>
      <c r="EA438" s="7">
        <v>0.84205657038584736</v>
      </c>
      <c r="EB438" s="7">
        <v>0</v>
      </c>
      <c r="EC438" s="7">
        <v>0</v>
      </c>
      <c r="ED438" s="7">
        <v>0</v>
      </c>
      <c r="EE438" s="7">
        <v>0</v>
      </c>
      <c r="EF438" s="7">
        <v>0</v>
      </c>
      <c r="EG438" s="7">
        <v>0</v>
      </c>
      <c r="EH438" s="7">
        <v>8.4925593958367681E-3</v>
      </c>
      <c r="EI438" s="7">
        <v>1.3642441288816622E-2</v>
      </c>
      <c r="EJ438" s="7">
        <v>0.12805624403861501</v>
      </c>
      <c r="EK438" s="7">
        <v>0.80976984293347487</v>
      </c>
      <c r="EL438" s="7">
        <v>4.0038912343256815E-2</v>
      </c>
      <c r="EM438" s="7">
        <v>3.4518895764753234E-2</v>
      </c>
      <c r="EN438" s="7">
        <v>4.6862616023716046E-2</v>
      </c>
      <c r="EO438" s="7">
        <v>0.57048522119995848</v>
      </c>
      <c r="EP438" s="7">
        <v>0.26975614478336912</v>
      </c>
      <c r="EQ438" s="7">
        <v>6.7875720554442798E-2</v>
      </c>
      <c r="ER438" s="7">
        <v>4.5020297438513678E-2</v>
      </c>
      <c r="ES438" s="7">
        <v>7.5958654674003701E-2</v>
      </c>
      <c r="ET438" s="7">
        <v>0.11047755043875701</v>
      </c>
      <c r="EU438" s="6">
        <v>2600</v>
      </c>
      <c r="EV438" s="6">
        <v>0</v>
      </c>
      <c r="EW438" s="6">
        <v>2600</v>
      </c>
      <c r="EX438" s="6">
        <v>0</v>
      </c>
      <c r="EY438" s="6">
        <v>2978.2336223351031</v>
      </c>
      <c r="EZ438" s="6">
        <v>-246</v>
      </c>
      <c r="FA438" s="6">
        <v>0</v>
      </c>
      <c r="FB438" s="6">
        <v>0</v>
      </c>
      <c r="FC438" s="6">
        <v>0</v>
      </c>
      <c r="FD438" s="6">
        <v>0</v>
      </c>
      <c r="FE438" s="6">
        <v>0</v>
      </c>
      <c r="FF438" s="6">
        <v>0</v>
      </c>
      <c r="FG438" s="6">
        <v>0</v>
      </c>
      <c r="FH438" s="6">
        <v>1153.2290675555803</v>
      </c>
      <c r="FI438" s="6">
        <v>1531.4299904380612</v>
      </c>
      <c r="FJ438" s="6">
        <v>2070.7205842538228</v>
      </c>
      <c r="FK438" s="6">
        <v>2218.639369850102</v>
      </c>
      <c r="FL438" s="6">
        <v>893.91433563489329</v>
      </c>
      <c r="FM438" s="6">
        <v>2128.2336223351031</v>
      </c>
      <c r="FN438" s="6">
        <v>0</v>
      </c>
      <c r="FO438" s="6">
        <v>0</v>
      </c>
      <c r="FP438" s="6">
        <v>0</v>
      </c>
      <c r="FQ438" s="6">
        <v>0</v>
      </c>
      <c r="FR438" s="6">
        <v>0</v>
      </c>
      <c r="FS438" s="6">
        <v>0</v>
      </c>
      <c r="FT438" s="7">
        <v>0.88952244956124293</v>
      </c>
      <c r="FU438" s="7">
        <v>3.4518895764753234E-2</v>
      </c>
      <c r="FV438" s="7">
        <v>7.5958654674003701E-2</v>
      </c>
      <c r="FW438" s="6">
        <v>2600</v>
      </c>
      <c r="FX438" s="6">
        <v>2978.2336223351031</v>
      </c>
      <c r="FY438" s="6">
        <v>-246</v>
      </c>
      <c r="FZ438" s="6">
        <v>1695.8504614767719</v>
      </c>
      <c r="GA438" s="6">
        <v>2396.8778757818959</v>
      </c>
      <c r="GB438" s="6">
        <v>17298.122124218105</v>
      </c>
      <c r="GC438" s="7">
        <v>8.1891069685915169E-2</v>
      </c>
      <c r="GD438" s="7">
        <v>8.8835790810743151E-2</v>
      </c>
      <c r="GE438" s="7"/>
      <c r="GF438" s="7"/>
      <c r="GG438" s="7">
        <v>8.4804376734407674E-2</v>
      </c>
      <c r="GH438" s="42">
        <v>2.3825347849480685</v>
      </c>
      <c r="GI438" s="6">
        <v>10663.283942306247</v>
      </c>
      <c r="GJ438" s="14">
        <v>0.51074630601039539</v>
      </c>
      <c r="GK438" s="14">
        <v>0.5082951978616097</v>
      </c>
      <c r="GL438" s="14">
        <v>0.48925369398960422</v>
      </c>
      <c r="GM438" s="14">
        <v>0.49170480213839013</v>
      </c>
      <c r="GO438" s="5">
        <v>338.16872463277008</v>
      </c>
      <c r="GP438" s="5">
        <v>288.56568471597211</v>
      </c>
      <c r="GQ438" s="5">
        <v>527.27910984145694</v>
      </c>
      <c r="GR438" s="5">
        <v>404.20319246551543</v>
      </c>
      <c r="GS438" s="5">
        <v>334.50205195691484</v>
      </c>
      <c r="GT438" s="5">
        <v>289.18266033348181</v>
      </c>
      <c r="GU438" s="5">
        <v>254.29573314828914</v>
      </c>
      <c r="GV438" s="39" t="s">
        <v>392</v>
      </c>
      <c r="GW438" s="5">
        <v>468.76388888888891</v>
      </c>
      <c r="GX438" s="5">
        <v>351.57291666666669</v>
      </c>
      <c r="GY438" s="5">
        <v>281.25833333333333</v>
      </c>
      <c r="GZ438" s="5">
        <v>240.85506989150105</v>
      </c>
      <c r="HA438" s="5">
        <v>229.89195052129477</v>
      </c>
      <c r="HB438" s="39">
        <v>249.03599958571715</v>
      </c>
      <c r="HC438" s="5">
        <v>293.87812499999995</v>
      </c>
      <c r="HD438" s="5">
        <v>243.67143640350872</v>
      </c>
      <c r="HE438" s="5">
        <v>244.28647520242913</v>
      </c>
      <c r="HF438" s="5">
        <v>223.39192434210526</v>
      </c>
      <c r="HG438" s="5">
        <v>212.2899342105263</v>
      </c>
      <c r="HH438" s="39">
        <v>243.40087261186164</v>
      </c>
      <c r="HI438" s="16"/>
      <c r="HJ438" s="19" t="str">
        <f t="shared" si="1405"/>
        <v>On</v>
      </c>
      <c r="HK438" s="1" t="str">
        <f t="shared" si="1405"/>
        <v>On</v>
      </c>
      <c r="HL438" s="16"/>
      <c r="HM438" s="639">
        <f t="shared" si="1278"/>
        <v>6.6115095157691428E-2</v>
      </c>
      <c r="HN438" s="639">
        <f t="shared" si="1279"/>
        <v>2.3720927871164412E-3</v>
      </c>
      <c r="HO438" s="639">
        <f t="shared" si="1280"/>
        <v>7.7231033444443466E-3</v>
      </c>
      <c r="HP438" s="644">
        <f>(FT438*$GD438-HM438)/$JF438*INDEX(Input!$1:$1048576,$JG$93,$C438*2+6)</f>
        <v>314.82463236896064</v>
      </c>
      <c r="HQ438" s="644">
        <f>(FU438*$GD438-HN438)/$JF438*INDEX(Input!$1:$1048576,$JG$93,$C438*2+6)</f>
        <v>16.939023633357824</v>
      </c>
      <c r="HR438" s="644">
        <f>(FV438*$GD438-HO438)/$JF438*INDEX(Input!$1:$1048576,$JG$93,$C438*2+6)</f>
        <v>-23.789454442460681</v>
      </c>
      <c r="HS438" s="644">
        <f t="shared" si="1406"/>
        <v>-73.637472426428175</v>
      </c>
      <c r="HT438" s="644">
        <f t="shared" si="1282"/>
        <v>122.41057860285687</v>
      </c>
      <c r="HU438" s="644">
        <f t="shared" si="1283"/>
        <v>14.095483128451805</v>
      </c>
      <c r="HV438" s="648">
        <f t="shared" si="1284"/>
        <v>0</v>
      </c>
      <c r="HW438" s="648">
        <f t="shared" si="1285"/>
        <v>0</v>
      </c>
      <c r="HX438" s="648">
        <f t="shared" si="1286"/>
        <v>0</v>
      </c>
      <c r="HY438" s="644">
        <f>INDEX(Input!$1:$1048576,HY$93,$C438*2+6)*INDEX(Input!$1:$1048576,$JG$93,$C438*2+6)</f>
        <v>844</v>
      </c>
      <c r="HZ438" s="644">
        <f>INDEX(Input!$1:$1048576,HZ$93,$C438*2+6)*INDEX(Input!$1:$1048576,$JG$93,$C438*2+6)</f>
        <v>865</v>
      </c>
      <c r="IA438" s="644">
        <f>INDEX(Input!$1:$1048576,IA$93,$C438*2+6)*INDEX(Input!$1:$1048576,$JG$93,$C438*2+6)</f>
        <v>150</v>
      </c>
      <c r="IB438" s="644">
        <f t="shared" si="1310"/>
        <v>1085.1871599425324</v>
      </c>
      <c r="IC438" s="644">
        <f t="shared" si="1311"/>
        <v>1004.3496022362147</v>
      </c>
      <c r="ID438" s="644">
        <f>IF(AND(INDEX(Input!$1:$1048576,IA$93,$C438*2+7)="TOS",Y438&lt;=INDEX(Y:Y,MATCH(C438*1000+2,A:A))),0,1)*MAX(IA438+HR438+HU438+HX438,0%)</f>
        <v>140.30602868599112</v>
      </c>
      <c r="IE438" s="128">
        <f t="shared" si="1407"/>
        <v>0.48666532205245477</v>
      </c>
      <c r="IF438" s="128">
        <f t="shared" si="1383"/>
        <v>0.45041274046352192</v>
      </c>
      <c r="IG438" s="128">
        <f t="shared" si="1288"/>
        <v>6.2921937484023319E-2</v>
      </c>
      <c r="IH438" s="21"/>
      <c r="II438" s="19">
        <f t="shared" si="1289"/>
        <v>1199.9999999999998</v>
      </c>
      <c r="IJ438" s="19">
        <f t="shared" si="1290"/>
        <v>2195.4782357510435</v>
      </c>
      <c r="IK438" s="19">
        <f t="shared" si="1291"/>
        <v>-571</v>
      </c>
      <c r="IL438" s="19">
        <f t="shared" si="1313"/>
        <v>1400.0000000000002</v>
      </c>
      <c r="IM438" s="19">
        <f t="shared" si="1292"/>
        <v>782.75538658405958</v>
      </c>
      <c r="IN438" s="19">
        <f t="shared" si="1293"/>
        <v>325</v>
      </c>
      <c r="IO438" s="39">
        <f t="shared" si="1294"/>
        <v>0</v>
      </c>
      <c r="IP438" s="39">
        <f t="shared" si="1295"/>
        <v>0</v>
      </c>
      <c r="IQ438" s="39">
        <f t="shared" si="1296"/>
        <v>0</v>
      </c>
      <c r="IR438" s="39">
        <v>0</v>
      </c>
      <c r="IS438" s="39">
        <v>0</v>
      </c>
      <c r="IT438" s="39">
        <v>0</v>
      </c>
      <c r="IU438" s="39">
        <v>0</v>
      </c>
      <c r="IV438" s="39">
        <v>0</v>
      </c>
      <c r="IW438" s="39">
        <v>0</v>
      </c>
      <c r="IX438" s="39">
        <f>INDEX(Input!$1:$1048576,IX$93,$C438*2+6)+INDEX(Input!$1:$1048576,IX$94,$C438*2+6)</f>
        <v>1600</v>
      </c>
      <c r="IY438" s="39">
        <f>INDEX(Input!$1:$1048576,IY$93,$C438*2+6)+INDEX(Input!$1:$1048576,IY$94,$C438*2+6)</f>
        <v>2503.549291639752</v>
      </c>
      <c r="IZ438" s="39">
        <f>INDEX(Input!$1:$1048576,IZ$93,$C438*2+6)+INDEX(Input!$1:$1048576,IZ$94,$C438*2+6)</f>
        <v>5413.7109265464023</v>
      </c>
      <c r="JA438" s="19">
        <f t="shared" si="1314"/>
        <v>3000</v>
      </c>
      <c r="JB438" s="19">
        <f t="shared" si="1315"/>
        <v>3286.3046782238116</v>
      </c>
      <c r="JC438" s="19">
        <f t="shared" si="1316"/>
        <v>5738.7109265464023</v>
      </c>
      <c r="JD438" s="19">
        <f t="shared" si="1317"/>
        <v>3301.2802724332782</v>
      </c>
      <c r="JE438" s="21"/>
      <c r="JF438" s="1">
        <f t="shared" si="1297"/>
        <v>7.6210291289252219E-2</v>
      </c>
      <c r="JG438" s="15">
        <f>INDEX(Input!$1:$1048576,JG$93,$C438*2+6)/(1+VLOOKUP(C438*1000+INDEX(Input!$1:$1048576,JG$93+1,$C438*2+6),$A:$KK,$JK$92,FALSE))</f>
        <v>1859</v>
      </c>
      <c r="JH438" s="1">
        <f t="shared" si="1318"/>
        <v>0.16566659578260234</v>
      </c>
      <c r="JI438" s="1">
        <f t="shared" si="1319"/>
        <v>3.3818498819193382E-2</v>
      </c>
      <c r="JJ438" s="1">
        <f t="shared" si="1384"/>
        <v>0</v>
      </c>
      <c r="JK438" s="1">
        <f t="shared" si="1385"/>
        <v>0.19948509460179573</v>
      </c>
      <c r="JL438" s="15">
        <f t="shared" si="1322"/>
        <v>370.84279086473828</v>
      </c>
      <c r="JM438" s="15">
        <f t="shared" si="1348"/>
        <v>2229.8427908647382</v>
      </c>
      <c r="JN438" s="21"/>
      <c r="JO438" s="19">
        <f>INDEX(Input!$1:$1048576,JO$93,$C438*2+6)</f>
        <v>5908.5</v>
      </c>
      <c r="JP438" s="19">
        <f>INDEX(Input!$1:$1048576,JP$93,$C438*2+6)</f>
        <v>2328.1478086338602</v>
      </c>
      <c r="JQ438" s="39">
        <f t="shared" si="1334"/>
        <v>2607.2197275667218</v>
      </c>
      <c r="JR438" s="39">
        <f t="shared" si="1351"/>
        <v>973.13246379941802</v>
      </c>
      <c r="JS438" s="39">
        <f t="shared" si="1336"/>
        <v>7.3613360161093242</v>
      </c>
      <c r="JT438" s="39">
        <f t="shared" si="1324"/>
        <v>3.0333092398589776</v>
      </c>
      <c r="JU438" s="385">
        <f>(JQ438*JM438-INDEX(Input!$1:$1048576,Input!A$18,$C438*2+6)*JL438*INDEX(Input!$1:$1048576,Input!A$19,$C438*2+6))/1000000</f>
        <v>5.8136901137149808</v>
      </c>
      <c r="JV438" s="39">
        <f t="shared" si="1358"/>
        <v>-0.84218461003467304</v>
      </c>
      <c r="JW438" s="1">
        <f t="shared" si="1349"/>
        <v>-0.12653252126720016</v>
      </c>
      <c r="JX438" s="19">
        <f t="shared" si="1340"/>
        <v>8179.5017041745632</v>
      </c>
      <c r="JZ438" s="341"/>
      <c r="KA438" s="342"/>
      <c r="KB438" s="469">
        <f t="shared" si="1337"/>
        <v>2.3451977905499271</v>
      </c>
      <c r="KI438" s="473">
        <f t="shared" si="1408"/>
        <v>241.18715994253239</v>
      </c>
      <c r="KJ438" s="473">
        <f t="shared" si="1409"/>
        <v>139.34960223621465</v>
      </c>
      <c r="KK438" s="473">
        <f t="shared" si="1326"/>
        <v>-9.6939713140088486</v>
      </c>
      <c r="KN438" s="544">
        <f t="shared" si="1341"/>
        <v>4002</v>
      </c>
      <c r="KO438" s="541">
        <f t="shared" si="1301"/>
        <v>0.1162386925101484</v>
      </c>
      <c r="KP438" s="546">
        <f t="shared" si="1302"/>
        <v>659.01779346163812</v>
      </c>
      <c r="KQ438" s="546">
        <f t="shared" si="1303"/>
        <v>577.53671083528252</v>
      </c>
      <c r="KR438" s="548">
        <f t="shared" si="1304"/>
        <v>2.9934194163288854</v>
      </c>
      <c r="KS438" s="548">
        <f t="shared" si="1305"/>
        <v>3.415742448304588</v>
      </c>
      <c r="KT438" s="473">
        <f t="shared" si="1339"/>
        <v>1050.27685337919</v>
      </c>
      <c r="KU438" s="663">
        <f t="shared" si="1327"/>
        <v>6.7003035756011764</v>
      </c>
      <c r="KV438" s="117"/>
    </row>
    <row r="439" spans="1:308" s="26" customFormat="1" ht="15">
      <c r="A439" s="561">
        <f t="shared" si="1306"/>
        <v>4039</v>
      </c>
      <c r="B439" s="561">
        <f t="shared" si="1328"/>
        <v>39</v>
      </c>
      <c r="C439" s="561">
        <f t="shared" si="1329"/>
        <v>4</v>
      </c>
      <c r="D439" s="561" t="str">
        <f t="shared" si="1378"/>
        <v xml:space="preserve">250 CC, 360 Lease, </v>
      </c>
      <c r="E439" s="475">
        <f>INDEX(Input!$1:$1048576,E$93,$C439*2+MIN($B439,2)+5)
+INDEX(Scenarios!E$121:E$200,MATCH($B439,Scenarios!$B$121:$B$200,0))</f>
        <v>1500</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1.8999999999999996E-2</v>
      </c>
      <c r="W439" s="863">
        <f>IFERROR(MAX(0,INDEX(Input!$1:$1048576,W$93,$C439*2+MIN($B439,2)+5)-0%,),"Market")</f>
        <v>3.9E-2</v>
      </c>
      <c r="X439" s="476" t="str">
        <f>INDEX(Input!$1:$1048576,X$93,$C439*2+MIN($B439,2)+5)</f>
        <v>Y</v>
      </c>
      <c r="Y439" s="475">
        <f>INDEX(Input!$1:$1048576,Y$93,$C439*2+MIN($B439,2)+5)
++INDEX(Scenarios!Y$121:Y$200,MATCH($B439,Scenarios!$B$121:$B$200,0))</f>
        <v>-1857</v>
      </c>
      <c r="Z439" s="477">
        <f>INDEX(Input!$1:$1048576,Z$93,$C439*2+MIN($B439,2)+5)
+INDEX(Scenarios!Z$121:Z$200,MATCH($B439,Scenarios!$B$121:$B$200,0))</f>
        <v>0</v>
      </c>
      <c r="AA439" s="475">
        <f>INDEX(Input!$1:$1048576,AA$93,$C439*2+MIN($B439,2)+5)</f>
        <v>0</v>
      </c>
      <c r="AB439" s="476">
        <f>INDEX(Input!$1:$1048576,AB$93,$C439*2+MIN($B439,2)+5)</f>
        <v>1</v>
      </c>
      <c r="AC439" s="475">
        <f>INDEX(Input!$1:$1048576,AC$93,$C439*2+MIN($B439,2)+5)
+INDEX(Scenarios!AC$121:AC$200,MATCH($B439,Scenarios!$B$121:$B$200,0))</f>
        <v>0</v>
      </c>
      <c r="AD439" s="476">
        <f>INDEX(Input!$1:$1048576,AD$93,$C439*2+MIN($B439,2)+5)</f>
        <v>0.35</v>
      </c>
      <c r="AE439" s="475">
        <f>INDEX(Input!$1:$1048576,AE$93,$C439*2+MIN($B439,2)+5)
+INDEX(Scenarios!AE$121:AE$200,MATCH($B439,Scenarios!$B$121:$B$200,0))</f>
        <v>0</v>
      </c>
      <c r="AF439" s="476">
        <f>INDEX(Input!$1:$1048576,AF$93,$C439*2+MIN($B439,2)+5)</f>
        <v>1</v>
      </c>
      <c r="AG439" s="475">
        <f>INDEX(Input!$1:$1048576,AG$93,$C439*2+MIN($B439,2)+5)
+INDEX(Scenarios!AG$121:AG$200,MATCH($B439,Scenarios!$B$121:$B$200,0))</f>
        <v>0</v>
      </c>
      <c r="AH439" s="476">
        <f>INDEX(Input!$1:$1048576,AH$93,$C439*2+MIN($B439,2)+5)</f>
        <v>1</v>
      </c>
      <c r="AI439" s="475">
        <f>INDEX(Input!$1:$1048576,AI$93,$C439*2+MIN($B439,2)+5)
+INDEX(Scenarios!AI$121:AI$200,MATCH($B439,Scenarios!$B$121:$B$200,0))</f>
        <v>0</v>
      </c>
      <c r="AJ439" s="476">
        <f>INDEX(Input!$1:$1048576,AJ$93,$C439*2+MIN($B439,2)+5)</f>
        <v>0.35</v>
      </c>
      <c r="AK439" s="150">
        <f>ROUND(INDEX(Input!$1:$1048576,AK$93,$C438*2+MIN($B439,1)+5)+(Y439-VLOOKUP($C439*1000+1,$A:$HH,Y$92,FALSE)),0)</f>
        <v>4952</v>
      </c>
      <c r="AL439" s="150">
        <f>ROUND(INDEX(Input!$1:$1048576,AL$93,$C438*2+MIN($B439,1)+5)-(Y439-VLOOKUP($C439*1000+1,$A:$HH,Y$92,FALSE))/36,0)</f>
        <v>4733</v>
      </c>
      <c r="AM439" s="32" t="str">
        <f t="shared" si="1307"/>
        <v>std/std/std/std</v>
      </c>
      <c r="AN439" s="32" t="str">
        <f t="shared" si="1308"/>
        <v>$0 + 0/0/0/1.9/3.9</v>
      </c>
      <c r="AO439" s="32" t="str">
        <f t="shared" si="1309"/>
        <v>0/0/0/1.9/3.9</v>
      </c>
      <c r="AP439" s="32" t="str">
        <f t="shared" si="1386"/>
        <v>0/0.9/1.9/3.9</v>
      </c>
      <c r="AQ439" s="536">
        <f t="shared" si="1379"/>
        <v>0.4598217844848918</v>
      </c>
      <c r="AR439" s="32"/>
      <c r="AS439" s="302"/>
      <c r="AT439" s="3">
        <f t="shared" si="1330"/>
        <v>39</v>
      </c>
      <c r="AU439" s="41" t="s">
        <v>121</v>
      </c>
      <c r="AV439" s="41" t="s">
        <v>116</v>
      </c>
      <c r="AW439" s="41" t="str">
        <f>INDEX(Input!$1:$1048576,AW$93,$C439*2+6)</f>
        <v>Kia</v>
      </c>
      <c r="AX439" s="41" t="str">
        <f>INDEX(Input!$1:$1048576,AX$93,$C439*2+6)</f>
        <v>Kia-LR - R1</v>
      </c>
      <c r="AY439" s="41" t="str">
        <f>IF(LEN(D439)=0,"",INDEX(Input!$1:$1048576,AY$93,$C439*2+6))</f>
        <v>Compact Conventional/Sporty Car (43)</v>
      </c>
      <c r="AZ439" s="41" t="str">
        <f>INDEX(Input!$1:$1048576,AZ$93,$C439*2+6)</f>
        <v>Kia Forte</v>
      </c>
      <c r="BA439" s="3">
        <f>INDEX(Input!$1:$1048576,BA$93,$C439*2+6)</f>
        <v>2020</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19695</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387"/>
        <v>1810</v>
      </c>
      <c r="CJ439" s="16" t="str">
        <f>INDEX(Input!$1:$1048576,CJ$93,$C439*2+6)</f>
        <v>N</v>
      </c>
      <c r="CK439" s="1" t="str">
        <f t="shared" si="1388"/>
        <v>Market</v>
      </c>
      <c r="CL439" s="1" t="str">
        <f t="shared" si="1389"/>
        <v>Market</v>
      </c>
      <c r="CM439" s="1" t="str">
        <f t="shared" si="1390"/>
        <v>Market</v>
      </c>
      <c r="CN439" s="1" t="str">
        <f t="shared" si="1391"/>
        <v>Market</v>
      </c>
      <c r="CO439" s="1" t="str">
        <f t="shared" si="1392"/>
        <v>Market</v>
      </c>
      <c r="CP439" s="304">
        <f t="shared" si="1393"/>
        <v>0</v>
      </c>
      <c r="CQ439" s="1">
        <f t="shared" si="1394"/>
        <v>0</v>
      </c>
      <c r="CR439" s="1">
        <f t="shared" si="1395"/>
        <v>0</v>
      </c>
      <c r="CS439" s="1">
        <f t="shared" si="1396"/>
        <v>0</v>
      </c>
      <c r="CT439" s="1">
        <f t="shared" si="1397"/>
        <v>1.8999999999999996E-2</v>
      </c>
      <c r="CU439" s="1">
        <f t="shared" si="1398"/>
        <v>3.9E-2</v>
      </c>
      <c r="CV439" s="304">
        <f t="shared" si="1399"/>
        <v>-1857</v>
      </c>
      <c r="CW439" s="20" t="s">
        <v>122</v>
      </c>
      <c r="CX439" s="20" t="s">
        <v>122</v>
      </c>
      <c r="CY439" s="20" t="s">
        <v>122</v>
      </c>
      <c r="CZ439" s="20" t="s">
        <v>122</v>
      </c>
      <c r="DA439" s="20" t="s">
        <v>122</v>
      </c>
      <c r="DB439" s="503">
        <f t="shared" si="1400"/>
        <v>0</v>
      </c>
      <c r="DC439" s="127">
        <v>0</v>
      </c>
      <c r="DD439" s="127">
        <v>0</v>
      </c>
      <c r="DE439" s="127">
        <v>0</v>
      </c>
      <c r="DF439" s="127">
        <v>0</v>
      </c>
      <c r="DG439" s="127">
        <v>0</v>
      </c>
      <c r="DH439" s="127">
        <v>0</v>
      </c>
      <c r="DI439" s="127">
        <v>0</v>
      </c>
      <c r="DJ439" s="127">
        <v>0</v>
      </c>
      <c r="DK439" s="127">
        <v>0</v>
      </c>
      <c r="DL439" s="127">
        <v>0</v>
      </c>
      <c r="DM439" s="304">
        <f>INDEX(Input!$1:$1048576,DM$93,$C439*2+6)</f>
        <v>20731.578947368424</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4.5925930373160444E-2</v>
      </c>
      <c r="DZ439" s="7">
        <v>0</v>
      </c>
      <c r="EA439" s="7">
        <v>0.82540222634601523</v>
      </c>
      <c r="EB439" s="7">
        <v>0</v>
      </c>
      <c r="EC439" s="7">
        <v>0</v>
      </c>
      <c r="ED439" s="7">
        <v>0</v>
      </c>
      <c r="EE439" s="7">
        <v>0</v>
      </c>
      <c r="EF439" s="7">
        <v>0</v>
      </c>
      <c r="EG439" s="7">
        <v>0</v>
      </c>
      <c r="EH439" s="7">
        <v>1.224991315420612E-2</v>
      </c>
      <c r="EI439" s="7">
        <v>1.966042551219721E-2</v>
      </c>
      <c r="EJ439" s="7">
        <v>0.18472064958178133</v>
      </c>
      <c r="EK439" s="7">
        <v>0.72515313678204729</v>
      </c>
      <c r="EL439" s="7">
        <v>5.8215874969767663E-2</v>
      </c>
      <c r="EM439" s="7">
        <v>2.9045999478871633E-2</v>
      </c>
      <c r="EN439" s="7">
        <v>4.7517856898730643E-2</v>
      </c>
      <c r="EO439" s="7">
        <v>0.56993555614142966</v>
      </c>
      <c r="EP439" s="7">
        <v>0.27090478446326405</v>
      </c>
      <c r="EQ439" s="7">
        <v>6.711394623985642E-2</v>
      </c>
      <c r="ER439" s="7">
        <v>4.4527856256719581E-2</v>
      </c>
      <c r="ES439" s="7">
        <v>9.9625843801952788E-2</v>
      </c>
      <c r="ET439" s="7">
        <v>0.1286718432808244</v>
      </c>
      <c r="EU439" s="6">
        <v>1849.9999999999998</v>
      </c>
      <c r="EV439" s="6">
        <v>0</v>
      </c>
      <c r="EW439" s="6">
        <v>1849.9999999999998</v>
      </c>
      <c r="EX439" s="6">
        <v>0</v>
      </c>
      <c r="EY439" s="6">
        <v>2595.6161479915099</v>
      </c>
      <c r="EZ439" s="6">
        <v>114</v>
      </c>
      <c r="FA439" s="6">
        <v>0</v>
      </c>
      <c r="FB439" s="6">
        <v>0</v>
      </c>
      <c r="FC439" s="6">
        <v>0</v>
      </c>
      <c r="FD439" s="6">
        <v>0</v>
      </c>
      <c r="FE439" s="6">
        <v>0</v>
      </c>
      <c r="FF439" s="6">
        <v>0</v>
      </c>
      <c r="FG439" s="6">
        <v>0</v>
      </c>
      <c r="FH439" s="6">
        <v>1153.2483651663224</v>
      </c>
      <c r="FI439" s="6">
        <v>1531.4299904380618</v>
      </c>
      <c r="FJ439" s="6">
        <v>2070.7205842538219</v>
      </c>
      <c r="FK439" s="6">
        <v>1746.9903521590438</v>
      </c>
      <c r="FL439" s="6">
        <v>893.9143356348942</v>
      </c>
      <c r="FM439" s="6">
        <v>1745.6161479915097</v>
      </c>
      <c r="FN439" s="6">
        <v>0</v>
      </c>
      <c r="FO439" s="6">
        <v>0</v>
      </c>
      <c r="FP439" s="6">
        <v>0</v>
      </c>
      <c r="FQ439" s="6">
        <v>0</v>
      </c>
      <c r="FR439" s="6">
        <v>0</v>
      </c>
      <c r="FS439" s="6">
        <v>0</v>
      </c>
      <c r="FT439" s="7">
        <v>0.87132815671917563</v>
      </c>
      <c r="FU439" s="7">
        <v>2.9045999478871633E-2</v>
      </c>
      <c r="FV439" s="7">
        <v>9.9625843801952788E-2</v>
      </c>
      <c r="FW439" s="6">
        <v>1849.9999999999998</v>
      </c>
      <c r="FX439" s="6">
        <v>2595.6161479915099</v>
      </c>
      <c r="FY439" s="6">
        <v>114</v>
      </c>
      <c r="FZ439" s="6">
        <v>1695.8504614767719</v>
      </c>
      <c r="GA439" s="6">
        <v>1698.7067014058096</v>
      </c>
      <c r="GB439" s="6">
        <v>17996.293298594192</v>
      </c>
      <c r="GC439" s="7">
        <v>8.1891069685915169E-2</v>
      </c>
      <c r="GD439" s="7">
        <v>8.212401390338539E-2</v>
      </c>
      <c r="GE439" s="7"/>
      <c r="GF439" s="7"/>
      <c r="GG439" s="7">
        <v>2.8445619084431911E-3</v>
      </c>
      <c r="GH439" s="42">
        <v>19.614475036648802</v>
      </c>
      <c r="GI439" s="6">
        <v>2702.8120859854239</v>
      </c>
      <c r="GJ439" s="14">
        <v>0.5107463060103955</v>
      </c>
      <c r="GK439" s="14">
        <v>0.50829519786160959</v>
      </c>
      <c r="GL439" s="14">
        <v>0.489253693989604</v>
      </c>
      <c r="GM439" s="14">
        <v>0.49170480213839013</v>
      </c>
      <c r="GO439" s="5">
        <v>338.16872463277008</v>
      </c>
      <c r="GP439" s="5">
        <v>302.87425392274076</v>
      </c>
      <c r="GQ439" s="5">
        <v>527.27910984145694</v>
      </c>
      <c r="GR439" s="5">
        <v>404.20319246551543</v>
      </c>
      <c r="GS439" s="5">
        <v>334.50205195691484</v>
      </c>
      <c r="GT439" s="5">
        <v>289.18266033348181</v>
      </c>
      <c r="GU439" s="5">
        <v>254.29573314828914</v>
      </c>
      <c r="GV439" s="39" t="s">
        <v>392</v>
      </c>
      <c r="GW439" s="5">
        <v>468.76388888888891</v>
      </c>
      <c r="GX439" s="5">
        <v>351.57291666666669</v>
      </c>
      <c r="GY439" s="5">
        <v>281.25833333333333</v>
      </c>
      <c r="GZ439" s="5">
        <v>248.1807987949399</v>
      </c>
      <c r="HA439" s="5">
        <v>229.89195052129477</v>
      </c>
      <c r="HB439" s="39">
        <v>257.96105788589875</v>
      </c>
      <c r="HC439" s="5">
        <v>278.12812499999995</v>
      </c>
      <c r="HD439" s="5">
        <v>232.92143640350872</v>
      </c>
      <c r="HE439" s="5">
        <v>234.3057059716599</v>
      </c>
      <c r="HF439" s="5">
        <v>215.06692434210527</v>
      </c>
      <c r="HG439" s="5">
        <v>205.38993421052629</v>
      </c>
      <c r="HH439" s="39">
        <v>233.02036107729285</v>
      </c>
      <c r="HI439" s="16"/>
      <c r="HJ439" s="19" t="str">
        <f t="shared" si="1405"/>
        <v>On</v>
      </c>
      <c r="HK439" s="1" t="str">
        <f t="shared" si="1405"/>
        <v>On</v>
      </c>
      <c r="HL439" s="16"/>
      <c r="HM439" s="639">
        <f t="shared" si="1278"/>
        <v>6.6115095157691428E-2</v>
      </c>
      <c r="HN439" s="639">
        <f t="shared" si="1279"/>
        <v>2.3720927871164412E-3</v>
      </c>
      <c r="HO439" s="639">
        <f t="shared" si="1280"/>
        <v>7.7231033444443466E-3</v>
      </c>
      <c r="HP439" s="644">
        <f>(FT439*$GD439-HM439)/$JF439*INDEX(Input!$1:$1048576,$JG$93,$C439*2+6)</f>
        <v>132.74371593040553</v>
      </c>
      <c r="HQ439" s="644">
        <f>(FU439*$GD439-HN439)/$JF439*INDEX(Input!$1:$1048576,$JG$93,$C439*2+6)</f>
        <v>0.32397062448249542</v>
      </c>
      <c r="HR439" s="644">
        <f>(FV439*$GD439-HO439)/$JF439*INDEX(Input!$1:$1048576,$JG$93,$C439*2+6)</f>
        <v>11.185932657088131</v>
      </c>
      <c r="HS439" s="644">
        <f t="shared" si="1406"/>
        <v>-34.196385241375324</v>
      </c>
      <c r="HT439" s="644">
        <f t="shared" si="1282"/>
        <v>62.906485590719882</v>
      </c>
      <c r="HU439" s="644">
        <f t="shared" si="1283"/>
        <v>17.846364458304837</v>
      </c>
      <c r="HV439" s="648">
        <f t="shared" si="1284"/>
        <v>0</v>
      </c>
      <c r="HW439" s="648">
        <f t="shared" si="1285"/>
        <v>0</v>
      </c>
      <c r="HX439" s="648">
        <f t="shared" si="1286"/>
        <v>0</v>
      </c>
      <c r="HY439" s="644">
        <f>INDEX(Input!$1:$1048576,HY$93,$C439*2+6)*INDEX(Input!$1:$1048576,$JG$93,$C439*2+6)</f>
        <v>844</v>
      </c>
      <c r="HZ439" s="644">
        <f>INDEX(Input!$1:$1048576,HZ$93,$C439*2+6)*INDEX(Input!$1:$1048576,$JG$93,$C439*2+6)</f>
        <v>865</v>
      </c>
      <c r="IA439" s="644">
        <f>INDEX(Input!$1:$1048576,IA$93,$C439*2+6)*INDEX(Input!$1:$1048576,$JG$93,$C439*2+6)</f>
        <v>150</v>
      </c>
      <c r="IB439" s="644">
        <f t="shared" si="1310"/>
        <v>942.54733068903033</v>
      </c>
      <c r="IC439" s="644">
        <f t="shared" si="1311"/>
        <v>928.23045621520237</v>
      </c>
      <c r="ID439" s="644">
        <f>IF(AND(INDEX(Input!$1:$1048576,IA$93,$C439*2+7)="TOS",Y439&lt;=INDEX(Y:Y,MATCH(C439*1000+2,A:A))),0,1)*MAX(IA439+HR439+HU439+HX439,0%)</f>
        <v>179.03229711539296</v>
      </c>
      <c r="IE439" s="128">
        <f t="shared" si="1407"/>
        <v>0.4598217844848918</v>
      </c>
      <c r="IF439" s="128">
        <f t="shared" si="1383"/>
        <v>0.45283729622159236</v>
      </c>
      <c r="IG439" s="128">
        <f t="shared" si="1288"/>
        <v>8.7340919293515798E-2</v>
      </c>
      <c r="IH439" s="21"/>
      <c r="II439" s="19">
        <f t="shared" si="1289"/>
        <v>1199.9999999999998</v>
      </c>
      <c r="IJ439" s="19">
        <f t="shared" si="1290"/>
        <v>2195.4782357510435</v>
      </c>
      <c r="IK439" s="19">
        <f t="shared" si="1291"/>
        <v>-571</v>
      </c>
      <c r="IL439" s="19">
        <f t="shared" si="1313"/>
        <v>650</v>
      </c>
      <c r="IM439" s="19">
        <f t="shared" si="1292"/>
        <v>400.13791224046645</v>
      </c>
      <c r="IN439" s="19">
        <f t="shared" si="1293"/>
        <v>685</v>
      </c>
      <c r="IO439" s="39">
        <f t="shared" si="1294"/>
        <v>0</v>
      </c>
      <c r="IP439" s="39">
        <f t="shared" si="1295"/>
        <v>0</v>
      </c>
      <c r="IQ439" s="39">
        <f t="shared" si="1296"/>
        <v>0</v>
      </c>
      <c r="IR439" s="39">
        <v>0</v>
      </c>
      <c r="IS439" s="39">
        <v>0</v>
      </c>
      <c r="IT439" s="39">
        <v>0</v>
      </c>
      <c r="IU439" s="39">
        <v>0</v>
      </c>
      <c r="IV439" s="39">
        <v>0</v>
      </c>
      <c r="IW439" s="39">
        <v>0</v>
      </c>
      <c r="IX439" s="39">
        <f>INDEX(Input!$1:$1048576,IX$93,$C439*2+6)+INDEX(Input!$1:$1048576,IX$94,$C439*2+6)</f>
        <v>1600</v>
      </c>
      <c r="IY439" s="39">
        <f>INDEX(Input!$1:$1048576,IY$93,$C439*2+6)+INDEX(Input!$1:$1048576,IY$94,$C439*2+6)</f>
        <v>2503.549291639752</v>
      </c>
      <c r="IZ439" s="39">
        <f>INDEX(Input!$1:$1048576,IZ$93,$C439*2+6)+INDEX(Input!$1:$1048576,IZ$94,$C439*2+6)</f>
        <v>5413.7109265464023</v>
      </c>
      <c r="JA439" s="19">
        <f t="shared" si="1314"/>
        <v>2250</v>
      </c>
      <c r="JB439" s="19">
        <f t="shared" si="1315"/>
        <v>2903.6872038802185</v>
      </c>
      <c r="JC439" s="19">
        <f t="shared" si="1316"/>
        <v>6098.7109265464023</v>
      </c>
      <c r="JD439" s="19">
        <f t="shared" si="1317"/>
        <v>2882.1638963993328</v>
      </c>
      <c r="JE439" s="21"/>
      <c r="JF439" s="1">
        <f t="shared" si="1297"/>
        <v>7.6210291289252219E-2</v>
      </c>
      <c r="JG439" s="15">
        <f>INDEX(Input!$1:$1048576,JG$93,$C439*2+6)/(1+VLOOKUP(C439*1000+INDEX(Input!$1:$1048576,JG$93+1,$C439*2+6),$A:$KK,$JK$92,FALSE))</f>
        <v>1859</v>
      </c>
      <c r="JH439" s="1">
        <f t="shared" si="1318"/>
        <v>7.7597428301224389E-2</v>
      </c>
      <c r="JI439" s="1">
        <f t="shared" si="1319"/>
        <v>2.5043821843813551E-2</v>
      </c>
      <c r="JJ439" s="1">
        <f t="shared" si="1384"/>
        <v>0</v>
      </c>
      <c r="JK439" s="1">
        <f t="shared" si="1385"/>
        <v>0.10264125014503794</v>
      </c>
      <c r="JL439" s="15">
        <f t="shared" si="1322"/>
        <v>190.81008401962555</v>
      </c>
      <c r="JM439" s="15">
        <f t="shared" si="1348"/>
        <v>2049.8100840196257</v>
      </c>
      <c r="JN439" s="21"/>
      <c r="JO439" s="19">
        <f>INDEX(Input!$1:$1048576,JO$93,$C439*2+6)</f>
        <v>5908.5</v>
      </c>
      <c r="JP439" s="19">
        <f>INDEX(Input!$1:$1048576,JP$93,$C439*2+6)</f>
        <v>2328.1478086338602</v>
      </c>
      <c r="JQ439" s="39">
        <f t="shared" si="1334"/>
        <v>3026.3361036006672</v>
      </c>
      <c r="JR439" s="39">
        <f t="shared" si="1351"/>
        <v>554.01608776547255</v>
      </c>
      <c r="JS439" s="39">
        <f t="shared" si="1336"/>
        <v>5.9078886186366484</v>
      </c>
      <c r="JT439" s="39">
        <f t="shared" si="1324"/>
        <v>1.5798618423863016</v>
      </c>
      <c r="JU439" s="385">
        <f>(JQ439*JM439-INDEX(Input!$1:$1048576,Input!A$18,$C439*2+6)*JL439*INDEX(Input!$1:$1048576,Input!A$19,$C439*2+6))/1000000</f>
        <v>6.2034142627933102</v>
      </c>
      <c r="JV439" s="39">
        <f t="shared" si="1358"/>
        <v>-0.45246046095634362</v>
      </c>
      <c r="JW439" s="1">
        <f t="shared" si="1349"/>
        <v>-6.7979113149750733E-2</v>
      </c>
      <c r="JX439" s="19">
        <f t="shared" si="1340"/>
        <v>8279.7607396043422</v>
      </c>
      <c r="JZ439" s="341"/>
      <c r="KA439" s="342"/>
      <c r="KB439" s="469">
        <f t="shared" si="1337"/>
        <v>2.3451977905499271</v>
      </c>
      <c r="KI439" s="473">
        <f t="shared" si="1408"/>
        <v>98.547330689030332</v>
      </c>
      <c r="KJ439" s="473">
        <f t="shared" si="1409"/>
        <v>63.230456215202366</v>
      </c>
      <c r="KK439" s="473">
        <f t="shared" si="1326"/>
        <v>29.032297115392964</v>
      </c>
      <c r="KN439" s="544">
        <f t="shared" si="1341"/>
        <v>4002</v>
      </c>
      <c r="KO439" s="541">
        <f t="shared" si="1301"/>
        <v>2.611598335722265E-2</v>
      </c>
      <c r="KP439" s="546">
        <f t="shared" si="1302"/>
        <v>146.41495312918369</v>
      </c>
      <c r="KQ439" s="546">
        <f t="shared" si="1303"/>
        <v>158.42033480133705</v>
      </c>
      <c r="KR439" s="548">
        <f t="shared" si="1304"/>
        <v>3.0271570029148949</v>
      </c>
      <c r="KS439" s="548">
        <f t="shared" si="1305"/>
        <v>2.7977535286254409</v>
      </c>
      <c r="KT439" s="473">
        <f t="shared" si="1339"/>
        <v>1050.27685337919</v>
      </c>
      <c r="KU439" s="663">
        <f t="shared" si="1327"/>
        <v>6.5032935646962455</v>
      </c>
      <c r="KV439" s="117"/>
    </row>
    <row r="440" spans="1:308" s="26" customFormat="1" ht="15">
      <c r="A440" s="561">
        <f t="shared" si="1306"/>
        <v>4040</v>
      </c>
      <c r="B440" s="561">
        <f t="shared" si="1328"/>
        <v>40</v>
      </c>
      <c r="C440" s="561">
        <f t="shared" si="1329"/>
        <v>4</v>
      </c>
      <c r="D440" s="561" t="str">
        <f t="shared" si="1378"/>
        <v xml:space="preserve">500 CC, 360 Lease, </v>
      </c>
      <c r="E440" s="475">
        <f>INDEX(Input!$1:$1048576,E$93,$C440*2+MIN($B440,2)+5)
+INDEX(Scenarios!E$121:E$200,MATCH($B440,Scenarios!$B$121:$B$200,0))</f>
        <v>1750</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1.8999999999999996E-2</v>
      </c>
      <c r="W440" s="863">
        <f>IFERROR(MAX(0,INDEX(Input!$1:$1048576,W$93,$C440*2+MIN($B440,2)+5)-0%,),"Market")</f>
        <v>3.9E-2</v>
      </c>
      <c r="X440" s="476" t="str">
        <f>INDEX(Input!$1:$1048576,X$93,$C440*2+MIN($B440,2)+5)</f>
        <v>Y</v>
      </c>
      <c r="Y440" s="475">
        <f>INDEX(Input!$1:$1048576,Y$93,$C440*2+MIN($B440,2)+5)
++INDEX(Scenarios!Y$121:Y$200,MATCH($B440,Scenarios!$B$121:$B$200,0))</f>
        <v>-1857</v>
      </c>
      <c r="Z440" s="477">
        <f>INDEX(Input!$1:$1048576,Z$93,$C440*2+MIN($B440,2)+5)
+INDEX(Scenarios!Z$121:Z$200,MATCH($B440,Scenarios!$B$121:$B$200,0))</f>
        <v>0</v>
      </c>
      <c r="AA440" s="475">
        <f>INDEX(Input!$1:$1048576,AA$93,$C440*2+MIN($B440,2)+5)</f>
        <v>0</v>
      </c>
      <c r="AB440" s="476">
        <f>INDEX(Input!$1:$1048576,AB$93,$C440*2+MIN($B440,2)+5)</f>
        <v>1</v>
      </c>
      <c r="AC440" s="475">
        <f>INDEX(Input!$1:$1048576,AC$93,$C440*2+MIN($B440,2)+5)
+INDEX(Scenarios!AC$121:AC$200,MATCH($B440,Scenarios!$B$121:$B$200,0))</f>
        <v>0</v>
      </c>
      <c r="AD440" s="476">
        <f>INDEX(Input!$1:$1048576,AD$93,$C440*2+MIN($B440,2)+5)</f>
        <v>0.35</v>
      </c>
      <c r="AE440" s="475">
        <f>INDEX(Input!$1:$1048576,AE$93,$C440*2+MIN($B440,2)+5)
+INDEX(Scenarios!AE$121:AE$200,MATCH($B440,Scenarios!$B$121:$B$200,0))</f>
        <v>0</v>
      </c>
      <c r="AF440" s="476">
        <f>INDEX(Input!$1:$1048576,AF$93,$C440*2+MIN($B440,2)+5)</f>
        <v>1</v>
      </c>
      <c r="AG440" s="475">
        <f>INDEX(Input!$1:$1048576,AG$93,$C440*2+MIN($B440,2)+5)
+INDEX(Scenarios!AG$121:AG$200,MATCH($B440,Scenarios!$B$121:$B$200,0))</f>
        <v>0</v>
      </c>
      <c r="AH440" s="476">
        <f>INDEX(Input!$1:$1048576,AH$93,$C440*2+MIN($B440,2)+5)</f>
        <v>1</v>
      </c>
      <c r="AI440" s="475">
        <f>INDEX(Input!$1:$1048576,AI$93,$C440*2+MIN($B440,2)+5)
+INDEX(Scenarios!AI$121:AI$200,MATCH($B440,Scenarios!$B$121:$B$200,0))</f>
        <v>0</v>
      </c>
      <c r="AJ440" s="476">
        <f>INDEX(Input!$1:$1048576,AJ$93,$C440*2+MIN($B440,2)+5)</f>
        <v>0.35</v>
      </c>
      <c r="AK440" s="150">
        <f>ROUND(INDEX(Input!$1:$1048576,AK$93,$C439*2+MIN($B440,1)+5)+(Y440-VLOOKUP($C440*1000+1,$A:$HH,Y$92,FALSE)),0)</f>
        <v>4952</v>
      </c>
      <c r="AL440" s="150">
        <f>ROUND(INDEX(Input!$1:$1048576,AL$93,$C439*2+MIN($B440,1)+5)-(Y440-VLOOKUP($C440*1000+1,$A:$HH,Y$92,FALSE))/36,0)</f>
        <v>4733</v>
      </c>
      <c r="AM440" s="32" t="str">
        <f t="shared" si="1307"/>
        <v>std/std/std/std</v>
      </c>
      <c r="AN440" s="32" t="str">
        <f t="shared" si="1308"/>
        <v>$0 + 0/0/0/1.9/3.9</v>
      </c>
      <c r="AO440" s="32" t="str">
        <f t="shared" si="1309"/>
        <v>0/0/0/1.9/3.9</v>
      </c>
      <c r="AP440" s="32" t="str">
        <f t="shared" si="1386"/>
        <v>0/0.9/1.9/3.9</v>
      </c>
      <c r="AQ440" s="536">
        <f t="shared" si="1379"/>
        <v>0.47418536873087813</v>
      </c>
      <c r="AR440" s="32"/>
      <c r="AS440" s="302"/>
      <c r="AT440" s="3">
        <f t="shared" si="1330"/>
        <v>40</v>
      </c>
      <c r="AU440" s="41" t="s">
        <v>121</v>
      </c>
      <c r="AV440" s="41" t="s">
        <v>116</v>
      </c>
      <c r="AW440" s="41" t="str">
        <f>INDEX(Input!$1:$1048576,AW$93,$C440*2+6)</f>
        <v>Kia</v>
      </c>
      <c r="AX440" s="41" t="str">
        <f>INDEX(Input!$1:$1048576,AX$93,$C440*2+6)</f>
        <v>Kia-LR - R1</v>
      </c>
      <c r="AY440" s="41" t="str">
        <f>IF(LEN(D440)=0,"",INDEX(Input!$1:$1048576,AY$93,$C440*2+6))</f>
        <v>Compact Conventional/Sporty Car (43)</v>
      </c>
      <c r="AZ440" s="41" t="str">
        <f>INDEX(Input!$1:$1048576,AZ$93,$C440*2+6)</f>
        <v>Kia Forte</v>
      </c>
      <c r="BA440" s="3">
        <f>INDEX(Input!$1:$1048576,BA$93,$C440*2+6)</f>
        <v>2020</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19695</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387"/>
        <v>2060</v>
      </c>
      <c r="CJ440" s="16" t="str">
        <f>INDEX(Input!$1:$1048576,CJ$93,$C440*2+6)</f>
        <v>N</v>
      </c>
      <c r="CK440" s="1" t="str">
        <f t="shared" si="1388"/>
        <v>Market</v>
      </c>
      <c r="CL440" s="1" t="str">
        <f t="shared" si="1389"/>
        <v>Market</v>
      </c>
      <c r="CM440" s="1" t="str">
        <f t="shared" si="1390"/>
        <v>Market</v>
      </c>
      <c r="CN440" s="1" t="str">
        <f t="shared" si="1391"/>
        <v>Market</v>
      </c>
      <c r="CO440" s="1" t="str">
        <f t="shared" si="1392"/>
        <v>Market</v>
      </c>
      <c r="CP440" s="304">
        <f t="shared" si="1393"/>
        <v>0</v>
      </c>
      <c r="CQ440" s="1">
        <f t="shared" si="1394"/>
        <v>0</v>
      </c>
      <c r="CR440" s="1">
        <f t="shared" si="1395"/>
        <v>0</v>
      </c>
      <c r="CS440" s="1">
        <f t="shared" si="1396"/>
        <v>0</v>
      </c>
      <c r="CT440" s="1">
        <f t="shared" si="1397"/>
        <v>1.8999999999999996E-2</v>
      </c>
      <c r="CU440" s="1">
        <f t="shared" si="1398"/>
        <v>3.9E-2</v>
      </c>
      <c r="CV440" s="304">
        <f t="shared" si="1399"/>
        <v>-1857</v>
      </c>
      <c r="CW440" s="20" t="s">
        <v>122</v>
      </c>
      <c r="CX440" s="20" t="s">
        <v>122</v>
      </c>
      <c r="CY440" s="20" t="s">
        <v>122</v>
      </c>
      <c r="CZ440" s="20" t="s">
        <v>122</v>
      </c>
      <c r="DA440" s="20" t="s">
        <v>122</v>
      </c>
      <c r="DB440" s="503">
        <f t="shared" si="1400"/>
        <v>0</v>
      </c>
      <c r="DC440" s="127">
        <v>0</v>
      </c>
      <c r="DD440" s="127">
        <v>0</v>
      </c>
      <c r="DE440" s="127">
        <v>0</v>
      </c>
      <c r="DF440" s="127">
        <v>0</v>
      </c>
      <c r="DG440" s="127">
        <v>0</v>
      </c>
      <c r="DH440" s="127">
        <v>0</v>
      </c>
      <c r="DI440" s="127">
        <v>0</v>
      </c>
      <c r="DJ440" s="127">
        <v>0</v>
      </c>
      <c r="DK440" s="127">
        <v>0</v>
      </c>
      <c r="DL440" s="127">
        <v>0</v>
      </c>
      <c r="DM440" s="304">
        <f>INDEX(Input!$1:$1048576,DM$93,$C440*2+6)</f>
        <v>20731.578947368424</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4.6515197299563001E-2</v>
      </c>
      <c r="DZ440" s="7">
        <v>0</v>
      </c>
      <c r="EA440" s="7">
        <v>0.83245745079797495</v>
      </c>
      <c r="EB440" s="7">
        <v>0</v>
      </c>
      <c r="EC440" s="7">
        <v>0</v>
      </c>
      <c r="ED440" s="7">
        <v>0</v>
      </c>
      <c r="EE440" s="7">
        <v>0</v>
      </c>
      <c r="EF440" s="7">
        <v>0</v>
      </c>
      <c r="EG440" s="7">
        <v>0</v>
      </c>
      <c r="EH440" s="7">
        <v>1.2265451364312932E-2</v>
      </c>
      <c r="EI440" s="7">
        <v>1.9688793406583052E-2</v>
      </c>
      <c r="EJ440" s="7">
        <v>0.18496710967728405</v>
      </c>
      <c r="EK440" s="7">
        <v>0.72491809030454535</v>
      </c>
      <c r="EL440" s="7">
        <v>5.8160555247274856E-2</v>
      </c>
      <c r="EM440" s="7">
        <v>2.7230209844372542E-2</v>
      </c>
      <c r="EN440" s="7">
        <v>4.7492643271104279E-2</v>
      </c>
      <c r="EO440" s="7">
        <v>0.56984665851638971</v>
      </c>
      <c r="EP440" s="7">
        <v>0.27101892963147611</v>
      </c>
      <c r="EQ440" s="7">
        <v>6.7103321523002732E-2</v>
      </c>
      <c r="ER440" s="7">
        <v>4.4538447058026981E-2</v>
      </c>
      <c r="ES440" s="7">
        <v>9.3797142058089492E-2</v>
      </c>
      <c r="ET440" s="7">
        <v>0.12102735190246214</v>
      </c>
      <c r="EU440" s="6">
        <v>2100</v>
      </c>
      <c r="EV440" s="6">
        <v>0</v>
      </c>
      <c r="EW440" s="6">
        <v>2100</v>
      </c>
      <c r="EX440" s="6">
        <v>0</v>
      </c>
      <c r="EY440" s="6">
        <v>2595.7277163374542</v>
      </c>
      <c r="EZ440" s="6">
        <v>114</v>
      </c>
      <c r="FA440" s="6">
        <v>0</v>
      </c>
      <c r="FB440" s="6">
        <v>0</v>
      </c>
      <c r="FC440" s="6">
        <v>0</v>
      </c>
      <c r="FD440" s="6">
        <v>0</v>
      </c>
      <c r="FE440" s="6">
        <v>0</v>
      </c>
      <c r="FF440" s="6">
        <v>0</v>
      </c>
      <c r="FG440" s="6">
        <v>0</v>
      </c>
      <c r="FH440" s="6">
        <v>1153.2427000542466</v>
      </c>
      <c r="FI440" s="6">
        <v>1531.4299904380616</v>
      </c>
      <c r="FJ440" s="6">
        <v>2070.7205842538224</v>
      </c>
      <c r="FK440" s="6">
        <v>1746.9903521590431</v>
      </c>
      <c r="FL440" s="6">
        <v>893.91433563489397</v>
      </c>
      <c r="FM440" s="6">
        <v>1745.7277163374542</v>
      </c>
      <c r="FN440" s="6">
        <v>0</v>
      </c>
      <c r="FO440" s="6">
        <v>0</v>
      </c>
      <c r="FP440" s="6">
        <v>0</v>
      </c>
      <c r="FQ440" s="6">
        <v>0</v>
      </c>
      <c r="FR440" s="6">
        <v>0</v>
      </c>
      <c r="FS440" s="6">
        <v>0</v>
      </c>
      <c r="FT440" s="7">
        <v>0.87897264809753795</v>
      </c>
      <c r="FU440" s="7">
        <v>2.7230209844372542E-2</v>
      </c>
      <c r="FV440" s="7">
        <v>9.3797142058089492E-2</v>
      </c>
      <c r="FW440" s="6">
        <v>2100</v>
      </c>
      <c r="FX440" s="6">
        <v>2595.7277163374542</v>
      </c>
      <c r="FY440" s="6">
        <v>114</v>
      </c>
      <c r="FZ440" s="6">
        <v>1695.8504614767719</v>
      </c>
      <c r="GA440" s="6">
        <v>1927.2176456141744</v>
      </c>
      <c r="GB440" s="6">
        <v>17767.782354385825</v>
      </c>
      <c r="GC440" s="7">
        <v>8.1891069685915169E-2</v>
      </c>
      <c r="GD440" s="7">
        <v>8.4254523991921904E-2</v>
      </c>
      <c r="GE440" s="7"/>
      <c r="GF440" s="7"/>
      <c r="GG440" s="7">
        <v>2.8860952910635094E-2</v>
      </c>
      <c r="GH440" s="42">
        <v>2.4567722068890783</v>
      </c>
      <c r="GI440" s="6">
        <v>9943.8338971221146</v>
      </c>
      <c r="GJ440" s="14">
        <v>0.51074630601039561</v>
      </c>
      <c r="GK440" s="14">
        <v>0.50829519786160959</v>
      </c>
      <c r="GL440" s="14">
        <v>0.48925369398960417</v>
      </c>
      <c r="GM440" s="14">
        <v>0.49170480213839018</v>
      </c>
      <c r="GO440" s="5">
        <v>338.16872463277008</v>
      </c>
      <c r="GP440" s="5">
        <v>298.1047308538179</v>
      </c>
      <c r="GQ440" s="5">
        <v>527.27910984145694</v>
      </c>
      <c r="GR440" s="5">
        <v>404.20319246551543</v>
      </c>
      <c r="GS440" s="5">
        <v>334.50205195691484</v>
      </c>
      <c r="GT440" s="5">
        <v>289.18266033348181</v>
      </c>
      <c r="GU440" s="5">
        <v>254.29573314828914</v>
      </c>
      <c r="GV440" s="39" t="s">
        <v>392</v>
      </c>
      <c r="GW440" s="5">
        <v>468.76388888888891</v>
      </c>
      <c r="GX440" s="5">
        <v>351.57291666666669</v>
      </c>
      <c r="GY440" s="5">
        <v>281.25833333333333</v>
      </c>
      <c r="GZ440" s="5">
        <v>248.1807987949399</v>
      </c>
      <c r="HA440" s="5">
        <v>229.89195052129477</v>
      </c>
      <c r="HB440" s="39">
        <v>257.97658239531148</v>
      </c>
      <c r="HC440" s="5">
        <v>278.12812499999995</v>
      </c>
      <c r="HD440" s="5">
        <v>232.92143640350872</v>
      </c>
      <c r="HE440" s="5">
        <v>234.3057059716599</v>
      </c>
      <c r="HF440" s="5">
        <v>215.06692434210527</v>
      </c>
      <c r="HG440" s="5">
        <v>205.38993421052629</v>
      </c>
      <c r="HH440" s="39">
        <v>233.01927737882869</v>
      </c>
      <c r="HI440" s="16"/>
      <c r="HJ440" s="19" t="str">
        <f t="shared" si="1405"/>
        <v>On</v>
      </c>
      <c r="HK440" s="1" t="str">
        <f t="shared" si="1405"/>
        <v>On</v>
      </c>
      <c r="HL440" s="16"/>
      <c r="HM440" s="639">
        <f t="shared" si="1278"/>
        <v>6.6115095157691428E-2</v>
      </c>
      <c r="HN440" s="639">
        <f t="shared" si="1279"/>
        <v>2.3720927871164412E-3</v>
      </c>
      <c r="HO440" s="639">
        <f t="shared" si="1280"/>
        <v>7.7231033444443466E-3</v>
      </c>
      <c r="HP440" s="644">
        <f>(FT440*$GD440-HM440)/$JF440*INDEX(Input!$1:$1048576,$JG$93,$C440*2+6)</f>
        <v>193.73742673501619</v>
      </c>
      <c r="HQ440" s="644">
        <f>(FU440*$GD440-HN440)/$JF440*INDEX(Input!$1:$1048576,$JG$93,$C440*2+6)</f>
        <v>-1.8983734546134989</v>
      </c>
      <c r="HR440" s="644">
        <f>(FV440*$GD440-HO440)/$JF440*INDEX(Input!$1:$1048576,$JG$93,$C440*2+6)</f>
        <v>4.384164624708724</v>
      </c>
      <c r="HS440" s="644">
        <f t="shared" si="1406"/>
        <v>-47.317180499096857</v>
      </c>
      <c r="HT440" s="644">
        <f t="shared" si="1282"/>
        <v>61.663915240088087</v>
      </c>
      <c r="HU440" s="644">
        <f t="shared" si="1283"/>
        <v>19.107411834175501</v>
      </c>
      <c r="HV440" s="648">
        <f t="shared" si="1284"/>
        <v>0</v>
      </c>
      <c r="HW440" s="648">
        <f t="shared" si="1285"/>
        <v>0</v>
      </c>
      <c r="HX440" s="648">
        <f t="shared" si="1286"/>
        <v>0</v>
      </c>
      <c r="HY440" s="644">
        <f>INDEX(Input!$1:$1048576,HY$93,$C440*2+6)*INDEX(Input!$1:$1048576,$JG$93,$C440*2+6)</f>
        <v>844</v>
      </c>
      <c r="HZ440" s="644">
        <f>INDEX(Input!$1:$1048576,HZ$93,$C440*2+6)*INDEX(Input!$1:$1048576,$JG$93,$C440*2+6)</f>
        <v>865</v>
      </c>
      <c r="IA440" s="644">
        <f>INDEX(Input!$1:$1048576,IA$93,$C440*2+6)*INDEX(Input!$1:$1048576,$JG$93,$C440*2+6)</f>
        <v>150</v>
      </c>
      <c r="IB440" s="644">
        <f t="shared" si="1310"/>
        <v>990.42024623591931</v>
      </c>
      <c r="IC440" s="644">
        <f t="shared" si="1311"/>
        <v>924.76554178547451</v>
      </c>
      <c r="ID440" s="644">
        <f>IF(AND(INDEX(Input!$1:$1048576,IA$93,$C440*2+7)="TOS",Y440&lt;=INDEX(Y:Y,MATCH(C440*1000+2,A:A))),0,1)*MAX(IA440+HR440+HU440+HX440,0%)</f>
        <v>173.49157645888423</v>
      </c>
      <c r="IE440" s="128">
        <f t="shared" si="1407"/>
        <v>0.47418536873087813</v>
      </c>
      <c r="IF440" s="128">
        <f t="shared" si="1383"/>
        <v>0.44275174208898577</v>
      </c>
      <c r="IG440" s="128">
        <f t="shared" si="1288"/>
        <v>8.3062889180136185E-2</v>
      </c>
      <c r="IH440" s="21"/>
      <c r="II440" s="19">
        <f t="shared" si="1289"/>
        <v>1199.9999999999998</v>
      </c>
      <c r="IJ440" s="19">
        <f t="shared" si="1290"/>
        <v>2195.4782357510435</v>
      </c>
      <c r="IK440" s="19">
        <f t="shared" si="1291"/>
        <v>-571</v>
      </c>
      <c r="IL440" s="19">
        <f t="shared" si="1313"/>
        <v>900.00000000000023</v>
      </c>
      <c r="IM440" s="19">
        <f t="shared" si="1292"/>
        <v>400.24948058641075</v>
      </c>
      <c r="IN440" s="19">
        <f t="shared" si="1293"/>
        <v>685</v>
      </c>
      <c r="IO440" s="39">
        <f t="shared" si="1294"/>
        <v>0</v>
      </c>
      <c r="IP440" s="39">
        <f t="shared" si="1295"/>
        <v>0</v>
      </c>
      <c r="IQ440" s="39">
        <f t="shared" si="1296"/>
        <v>0</v>
      </c>
      <c r="IR440" s="39">
        <v>0</v>
      </c>
      <c r="IS440" s="39">
        <v>0</v>
      </c>
      <c r="IT440" s="39">
        <v>0</v>
      </c>
      <c r="IU440" s="39">
        <v>0</v>
      </c>
      <c r="IV440" s="39">
        <v>0</v>
      </c>
      <c r="IW440" s="39">
        <v>0</v>
      </c>
      <c r="IX440" s="39">
        <f>INDEX(Input!$1:$1048576,IX$93,$C440*2+6)+INDEX(Input!$1:$1048576,IX$94,$C440*2+6)</f>
        <v>1600</v>
      </c>
      <c r="IY440" s="39">
        <f>INDEX(Input!$1:$1048576,IY$93,$C440*2+6)+INDEX(Input!$1:$1048576,IY$94,$C440*2+6)</f>
        <v>2503.549291639752</v>
      </c>
      <c r="IZ440" s="39">
        <f>INDEX(Input!$1:$1048576,IZ$93,$C440*2+6)+INDEX(Input!$1:$1048576,IZ$94,$C440*2+6)</f>
        <v>5413.7109265464023</v>
      </c>
      <c r="JA440" s="19">
        <f t="shared" si="1314"/>
        <v>2500</v>
      </c>
      <c r="JB440" s="19">
        <f t="shared" si="1315"/>
        <v>2903.7987722261628</v>
      </c>
      <c r="JC440" s="19">
        <f t="shared" si="1316"/>
        <v>6098.7109265464023</v>
      </c>
      <c r="JD440" s="19">
        <f t="shared" si="1317"/>
        <v>2977.701936739596</v>
      </c>
      <c r="JE440" s="21"/>
      <c r="JF440" s="1">
        <f t="shared" si="1297"/>
        <v>7.6210291289252219E-2</v>
      </c>
      <c r="JG440" s="15">
        <f>INDEX(Input!$1:$1048576,JG$93,$C440*2+6)/(1+VLOOKUP(C440*1000+INDEX(Input!$1:$1048576,JG$93+1,$C440*2+6),$A:$KK,$JK$92,FALSE))</f>
        <v>1859</v>
      </c>
      <c r="JH440" s="1">
        <f t="shared" si="1318"/>
        <v>0.10555310269236762</v>
      </c>
      <c r="JI440" s="1">
        <f t="shared" si="1319"/>
        <v>1.799577545732476E-2</v>
      </c>
      <c r="JJ440" s="1">
        <f t="shared" si="1384"/>
        <v>0</v>
      </c>
      <c r="JK440" s="1">
        <f t="shared" si="1385"/>
        <v>0.12354887814969237</v>
      </c>
      <c r="JL440" s="15">
        <f t="shared" si="1322"/>
        <v>229.67736448027813</v>
      </c>
      <c r="JM440" s="15">
        <f t="shared" si="1348"/>
        <v>2088.6773644802779</v>
      </c>
      <c r="JN440" s="21"/>
      <c r="JO440" s="19">
        <f>INDEX(Input!$1:$1048576,JO$93,$C440*2+6)</f>
        <v>5908.5</v>
      </c>
      <c r="JP440" s="19">
        <f>INDEX(Input!$1:$1048576,JP$93,$C440*2+6)</f>
        <v>2328.1478086338602</v>
      </c>
      <c r="JQ440" s="39">
        <f t="shared" si="1334"/>
        <v>2930.798063260404</v>
      </c>
      <c r="JR440" s="39">
        <f t="shared" si="1351"/>
        <v>649.5541281057358</v>
      </c>
      <c r="JS440" s="39">
        <f t="shared" si="1336"/>
        <v>6.2194586334370783</v>
      </c>
      <c r="JT440" s="39">
        <f t="shared" si="1324"/>
        <v>1.8914318571867319</v>
      </c>
      <c r="JU440" s="385">
        <f>(JQ440*JM440-INDEX(Input!$1:$1048576,Input!A$18,$C440*2+6)*JL440*INDEX(Input!$1:$1048576,Input!A$19,$C440*2+6))/1000000</f>
        <v>6.1214915745946428</v>
      </c>
      <c r="JV440" s="39">
        <f t="shared" si="1358"/>
        <v>-0.53438314915501106</v>
      </c>
      <c r="JW440" s="1">
        <f t="shared" si="1349"/>
        <v>-8.0287440995277765E-2</v>
      </c>
      <c r="JX440" s="19">
        <f t="shared" si="1340"/>
        <v>8235.168761478646</v>
      </c>
      <c r="JZ440" s="341"/>
      <c r="KA440" s="342"/>
      <c r="KB440" s="469">
        <f t="shared" si="1337"/>
        <v>2.3451977905499271</v>
      </c>
      <c r="KI440" s="473">
        <f t="shared" si="1408"/>
        <v>146.42024623591931</v>
      </c>
      <c r="KJ440" s="473">
        <f t="shared" si="1409"/>
        <v>59.765541785474511</v>
      </c>
      <c r="KK440" s="473">
        <f t="shared" si="1326"/>
        <v>23.491576458884225</v>
      </c>
      <c r="KN440" s="544">
        <f t="shared" si="1341"/>
        <v>4002</v>
      </c>
      <c r="KO440" s="541">
        <f t="shared" si="1301"/>
        <v>4.5572584737627153E-2</v>
      </c>
      <c r="KP440" s="546">
        <f t="shared" si="1302"/>
        <v>267.06112397706517</v>
      </c>
      <c r="KQ440" s="546">
        <f t="shared" si="1303"/>
        <v>253.9583751416003</v>
      </c>
      <c r="KR440" s="548">
        <f t="shared" si="1304"/>
        <v>2.8960561935233082</v>
      </c>
      <c r="KS440" s="548">
        <f t="shared" si="1305"/>
        <v>3.0454755497306811</v>
      </c>
      <c r="KT440" s="473">
        <f t="shared" si="1339"/>
        <v>1050.27685337919</v>
      </c>
      <c r="KU440" s="663">
        <f t="shared" si="1327"/>
        <v>6.5394092472317897</v>
      </c>
      <c r="KV440" s="117"/>
    </row>
    <row r="441" spans="1:308" s="26" customFormat="1" ht="15">
      <c r="A441" s="561">
        <f t="shared" si="1306"/>
        <v>4041</v>
      </c>
      <c r="B441" s="561">
        <f t="shared" si="1328"/>
        <v>41</v>
      </c>
      <c r="C441" s="561">
        <f t="shared" si="1329"/>
        <v>4</v>
      </c>
      <c r="D441" s="561" t="str">
        <f t="shared" si="1378"/>
        <v xml:space="preserve">750 CC, 360 Lease, </v>
      </c>
      <c r="E441" s="475">
        <f>INDEX(Input!$1:$1048576,E$93,$C441*2+MIN($B441,2)+5)
+INDEX(Scenarios!E$121:E$200,MATCH($B441,Scenarios!$B$121:$B$200,0))</f>
        <v>2000</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1.8999999999999996E-2</v>
      </c>
      <c r="W441" s="863">
        <f>IFERROR(MAX(0,INDEX(Input!$1:$1048576,W$93,$C441*2+MIN($B441,2)+5)-0%,),"Market")</f>
        <v>3.9E-2</v>
      </c>
      <c r="X441" s="476" t="str">
        <f>INDEX(Input!$1:$1048576,X$93,$C441*2+MIN($B441,2)+5)</f>
        <v>Y</v>
      </c>
      <c r="Y441" s="475">
        <f>INDEX(Input!$1:$1048576,Y$93,$C441*2+MIN($B441,2)+5)
++INDEX(Scenarios!Y$121:Y$200,MATCH($B441,Scenarios!$B$121:$B$200,0))</f>
        <v>-1857</v>
      </c>
      <c r="Z441" s="477">
        <f>INDEX(Input!$1:$1048576,Z$93,$C441*2+MIN($B441,2)+5)
+INDEX(Scenarios!Z$121:Z$200,MATCH($B441,Scenarios!$B$121:$B$200,0))</f>
        <v>0</v>
      </c>
      <c r="AA441" s="475">
        <f>INDEX(Input!$1:$1048576,AA$93,$C441*2+MIN($B441,2)+5)</f>
        <v>0</v>
      </c>
      <c r="AB441" s="476">
        <f>INDEX(Input!$1:$1048576,AB$93,$C441*2+MIN($B441,2)+5)</f>
        <v>1</v>
      </c>
      <c r="AC441" s="475">
        <f>INDEX(Input!$1:$1048576,AC$93,$C441*2+MIN($B441,2)+5)
+INDEX(Scenarios!AC$121:AC$200,MATCH($B441,Scenarios!$B$121:$B$200,0))</f>
        <v>0</v>
      </c>
      <c r="AD441" s="476">
        <f>INDEX(Input!$1:$1048576,AD$93,$C441*2+MIN($B441,2)+5)</f>
        <v>0.35</v>
      </c>
      <c r="AE441" s="475">
        <f>INDEX(Input!$1:$1048576,AE$93,$C441*2+MIN($B441,2)+5)
+INDEX(Scenarios!AE$121:AE$200,MATCH($B441,Scenarios!$B$121:$B$200,0))</f>
        <v>0</v>
      </c>
      <c r="AF441" s="476">
        <f>INDEX(Input!$1:$1048576,AF$93,$C441*2+MIN($B441,2)+5)</f>
        <v>1</v>
      </c>
      <c r="AG441" s="475">
        <f>INDEX(Input!$1:$1048576,AG$93,$C441*2+MIN($B441,2)+5)
+INDEX(Scenarios!AG$121:AG$200,MATCH($B441,Scenarios!$B$121:$B$200,0))</f>
        <v>0</v>
      </c>
      <c r="AH441" s="476">
        <f>INDEX(Input!$1:$1048576,AH$93,$C441*2+MIN($B441,2)+5)</f>
        <v>1</v>
      </c>
      <c r="AI441" s="475">
        <f>INDEX(Input!$1:$1048576,AI$93,$C441*2+MIN($B441,2)+5)
+INDEX(Scenarios!AI$121:AI$200,MATCH($B441,Scenarios!$B$121:$B$200,0))</f>
        <v>0</v>
      </c>
      <c r="AJ441" s="476">
        <f>INDEX(Input!$1:$1048576,AJ$93,$C441*2+MIN($B441,2)+5)</f>
        <v>0.35</v>
      </c>
      <c r="AK441" s="150">
        <f>ROUND(INDEX(Input!$1:$1048576,AK$93,$C440*2+MIN($B441,1)+5)+(Y441-VLOOKUP($C441*1000+1,$A:$HH,Y$92,FALSE)),0)</f>
        <v>4952</v>
      </c>
      <c r="AL441" s="150">
        <f>ROUND(INDEX(Input!$1:$1048576,AL$93,$C440*2+MIN($B441,1)+5)-(Y441-VLOOKUP($C441*1000+1,$A:$HH,Y$92,FALSE))/36,0)</f>
        <v>4733</v>
      </c>
      <c r="AM441" s="32" t="str">
        <f t="shared" si="1307"/>
        <v>std/std/std/std</v>
      </c>
      <c r="AN441" s="32" t="str">
        <f t="shared" si="1308"/>
        <v>$0 + 0/0/0/1.9/3.9</v>
      </c>
      <c r="AO441" s="32" t="str">
        <f t="shared" si="1309"/>
        <v>0/0/0/1.9/3.9</v>
      </c>
      <c r="AP441" s="32" t="str">
        <f t="shared" si="1386"/>
        <v>0/0.9/1.9/3.9</v>
      </c>
      <c r="AQ441" s="536">
        <f t="shared" si="1379"/>
        <v>0.48832573936222062</v>
      </c>
      <c r="AR441" s="32"/>
      <c r="AS441" s="302"/>
      <c r="AT441" s="3">
        <f t="shared" si="1330"/>
        <v>41</v>
      </c>
      <c r="AU441" s="41" t="s">
        <v>121</v>
      </c>
      <c r="AV441" s="41" t="s">
        <v>116</v>
      </c>
      <c r="AW441" s="41" t="str">
        <f>INDEX(Input!$1:$1048576,AW$93,$C441*2+6)</f>
        <v>Kia</v>
      </c>
      <c r="AX441" s="41" t="str">
        <f>INDEX(Input!$1:$1048576,AX$93,$C441*2+6)</f>
        <v>Kia-LR - R1</v>
      </c>
      <c r="AY441" s="41" t="str">
        <f>IF(LEN(D441)=0,"",INDEX(Input!$1:$1048576,AY$93,$C441*2+6))</f>
        <v>Compact Conventional/Sporty Car (43)</v>
      </c>
      <c r="AZ441" s="41" t="str">
        <f>INDEX(Input!$1:$1048576,AZ$93,$C441*2+6)</f>
        <v>Kia Forte</v>
      </c>
      <c r="BA441" s="3">
        <f>INDEX(Input!$1:$1048576,BA$93,$C441*2+6)</f>
        <v>2020</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19695</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387"/>
        <v>2310</v>
      </c>
      <c r="CJ441" s="16" t="str">
        <f>INDEX(Input!$1:$1048576,CJ$93,$C441*2+6)</f>
        <v>N</v>
      </c>
      <c r="CK441" s="1" t="str">
        <f t="shared" si="1388"/>
        <v>Market</v>
      </c>
      <c r="CL441" s="1" t="str">
        <f t="shared" si="1389"/>
        <v>Market</v>
      </c>
      <c r="CM441" s="1" t="str">
        <f t="shared" si="1390"/>
        <v>Market</v>
      </c>
      <c r="CN441" s="1" t="str">
        <f t="shared" si="1391"/>
        <v>Market</v>
      </c>
      <c r="CO441" s="1" t="str">
        <f t="shared" si="1392"/>
        <v>Market</v>
      </c>
      <c r="CP441" s="304">
        <f t="shared" si="1393"/>
        <v>0</v>
      </c>
      <c r="CQ441" s="1">
        <f t="shared" si="1394"/>
        <v>0</v>
      </c>
      <c r="CR441" s="1">
        <f t="shared" si="1395"/>
        <v>0</v>
      </c>
      <c r="CS441" s="1">
        <f t="shared" si="1396"/>
        <v>0</v>
      </c>
      <c r="CT441" s="1">
        <f t="shared" si="1397"/>
        <v>1.8999999999999996E-2</v>
      </c>
      <c r="CU441" s="1">
        <f t="shared" si="1398"/>
        <v>3.9E-2</v>
      </c>
      <c r="CV441" s="304">
        <f t="shared" si="1399"/>
        <v>-1857</v>
      </c>
      <c r="CW441" s="20" t="s">
        <v>122</v>
      </c>
      <c r="CX441" s="20" t="s">
        <v>122</v>
      </c>
      <c r="CY441" s="20" t="s">
        <v>122</v>
      </c>
      <c r="CZ441" s="20" t="s">
        <v>122</v>
      </c>
      <c r="DA441" s="20" t="s">
        <v>122</v>
      </c>
      <c r="DB441" s="503">
        <f t="shared" si="1400"/>
        <v>0</v>
      </c>
      <c r="DC441" s="127">
        <v>0</v>
      </c>
      <c r="DD441" s="127">
        <v>0</v>
      </c>
      <c r="DE441" s="127">
        <v>0</v>
      </c>
      <c r="DF441" s="127">
        <v>0</v>
      </c>
      <c r="DG441" s="127">
        <v>0</v>
      </c>
      <c r="DH441" s="127">
        <v>0</v>
      </c>
      <c r="DI441" s="127">
        <v>0</v>
      </c>
      <c r="DJ441" s="127">
        <v>0</v>
      </c>
      <c r="DK441" s="127">
        <v>0</v>
      </c>
      <c r="DL441" s="127">
        <v>0</v>
      </c>
      <c r="DM441" s="304">
        <f>INDEX(Input!$1:$1048576,DM$93,$C441*2+6)</f>
        <v>20731.578947368424</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4.7088727066971432E-2</v>
      </c>
      <c r="DZ441" s="7">
        <v>0</v>
      </c>
      <c r="EA441" s="7">
        <v>0.83914256405717458</v>
      </c>
      <c r="EB441" s="7">
        <v>0</v>
      </c>
      <c r="EC441" s="7">
        <v>0</v>
      </c>
      <c r="ED441" s="7">
        <v>0</v>
      </c>
      <c r="EE441" s="7">
        <v>0</v>
      </c>
      <c r="EF441" s="7">
        <v>0</v>
      </c>
      <c r="EG441" s="7">
        <v>0</v>
      </c>
      <c r="EH441" s="7">
        <v>1.2280678831494477E-2</v>
      </c>
      <c r="EI441" s="7">
        <v>1.971652407111325E-2</v>
      </c>
      <c r="EJ441" s="7">
        <v>0.18520951651203169</v>
      </c>
      <c r="EK441" s="7">
        <v>0.72468748643082637</v>
      </c>
      <c r="EL441" s="7">
        <v>5.8105794154534596E-2</v>
      </c>
      <c r="EM441" s="7">
        <v>2.5514828402792331E-2</v>
      </c>
      <c r="EN441" s="7">
        <v>4.7468195300201778E-2</v>
      </c>
      <c r="EO441" s="7">
        <v>0.56976050309832038</v>
      </c>
      <c r="EP441" s="7">
        <v>0.2711296601185646</v>
      </c>
      <c r="EQ441" s="7">
        <v>6.7093024438304311E-2</v>
      </c>
      <c r="ER441" s="7">
        <v>4.4548617044608621E-2</v>
      </c>
      <c r="ES441" s="7">
        <v>8.8253880473061708E-2</v>
      </c>
      <c r="ET441" s="7">
        <v>0.11376870887585404</v>
      </c>
      <c r="EU441" s="6">
        <v>2350</v>
      </c>
      <c r="EV441" s="6">
        <v>0</v>
      </c>
      <c r="EW441" s="6">
        <v>2350</v>
      </c>
      <c r="EX441" s="6">
        <v>0</v>
      </c>
      <c r="EY441" s="6">
        <v>2595.8378185612078</v>
      </c>
      <c r="EZ441" s="6">
        <v>114</v>
      </c>
      <c r="FA441" s="6">
        <v>0</v>
      </c>
      <c r="FB441" s="6">
        <v>0</v>
      </c>
      <c r="FC441" s="6">
        <v>0</v>
      </c>
      <c r="FD441" s="6">
        <v>0</v>
      </c>
      <c r="FE441" s="6">
        <v>0</v>
      </c>
      <c r="FF441" s="6">
        <v>0</v>
      </c>
      <c r="FG441" s="6">
        <v>0</v>
      </c>
      <c r="FH441" s="6">
        <v>1153.2371085870266</v>
      </c>
      <c r="FI441" s="6">
        <v>1531.4299904380614</v>
      </c>
      <c r="FJ441" s="6">
        <v>2070.7205842538219</v>
      </c>
      <c r="FK441" s="6">
        <v>1746.9903521590436</v>
      </c>
      <c r="FL441" s="6">
        <v>893.91433563489363</v>
      </c>
      <c r="FM441" s="6">
        <v>1745.8378185612078</v>
      </c>
      <c r="FN441" s="6">
        <v>0</v>
      </c>
      <c r="FO441" s="6">
        <v>0</v>
      </c>
      <c r="FP441" s="6">
        <v>0</v>
      </c>
      <c r="FQ441" s="6">
        <v>0</v>
      </c>
      <c r="FR441" s="6">
        <v>0</v>
      </c>
      <c r="FS441" s="6">
        <v>0</v>
      </c>
      <c r="FT441" s="7">
        <v>0.886231291124146</v>
      </c>
      <c r="FU441" s="7">
        <v>2.5514828402792331E-2</v>
      </c>
      <c r="FV441" s="7">
        <v>8.8253880473061708E-2</v>
      </c>
      <c r="FW441" s="6">
        <v>2350</v>
      </c>
      <c r="FX441" s="6">
        <v>2595.8378185612078</v>
      </c>
      <c r="FY441" s="6">
        <v>114</v>
      </c>
      <c r="FZ441" s="6">
        <v>1695.8504614767719</v>
      </c>
      <c r="GA441" s="6">
        <v>2158.9368330177399</v>
      </c>
      <c r="GB441" s="6">
        <v>17536.063166982261</v>
      </c>
      <c r="GC441" s="7">
        <v>8.1891069685915169E-2</v>
      </c>
      <c r="GD441" s="7">
        <v>8.645303506021243E-2</v>
      </c>
      <c r="GE441" s="7"/>
      <c r="GF441" s="7"/>
      <c r="GG441" s="7">
        <v>5.5707727250287643E-2</v>
      </c>
      <c r="GH441" s="42">
        <v>2.3692420153577158</v>
      </c>
      <c r="GI441" s="6">
        <v>10471.72204969658</v>
      </c>
      <c r="GJ441" s="14">
        <v>0.51074630601039539</v>
      </c>
      <c r="GK441" s="14">
        <v>0.50829519786160959</v>
      </c>
      <c r="GL441" s="14">
        <v>0.48925369398960422</v>
      </c>
      <c r="GM441" s="14">
        <v>0.49170480213839024</v>
      </c>
      <c r="GO441" s="5">
        <v>338.16872463277008</v>
      </c>
      <c r="GP441" s="5">
        <v>293.33520778489498</v>
      </c>
      <c r="GQ441" s="5">
        <v>527.27910984145694</v>
      </c>
      <c r="GR441" s="5">
        <v>404.20319246551543</v>
      </c>
      <c r="GS441" s="5">
        <v>334.50205195691484</v>
      </c>
      <c r="GT441" s="5">
        <v>289.18266033348181</v>
      </c>
      <c r="GU441" s="5">
        <v>254.29573314828914</v>
      </c>
      <c r="GV441" s="39" t="s">
        <v>392</v>
      </c>
      <c r="GW441" s="5">
        <v>468.76388888888891</v>
      </c>
      <c r="GX441" s="5">
        <v>351.57291666666669</v>
      </c>
      <c r="GY441" s="5">
        <v>281.25833333333333</v>
      </c>
      <c r="GZ441" s="5">
        <v>248.1807987949399</v>
      </c>
      <c r="HA441" s="5">
        <v>229.89195052129477</v>
      </c>
      <c r="HB441" s="39">
        <v>257.99182818697761</v>
      </c>
      <c r="HC441" s="5">
        <v>278.12812499999995</v>
      </c>
      <c r="HD441" s="5">
        <v>232.92143640350872</v>
      </c>
      <c r="HE441" s="5">
        <v>234.3057059716599</v>
      </c>
      <c r="HF441" s="5">
        <v>215.06692434210527</v>
      </c>
      <c r="HG441" s="5">
        <v>205.38993421052629</v>
      </c>
      <c r="HH441" s="39">
        <v>233.01822930227991</v>
      </c>
      <c r="HI441" s="16"/>
      <c r="HJ441" s="19" t="str">
        <f t="shared" si="1405"/>
        <v>On</v>
      </c>
      <c r="HK441" s="1" t="str">
        <f t="shared" si="1405"/>
        <v>On</v>
      </c>
      <c r="HL441" s="16"/>
      <c r="HM441" s="639">
        <f t="shared" si="1278"/>
        <v>6.6115095157691428E-2</v>
      </c>
      <c r="HN441" s="639">
        <f t="shared" si="1279"/>
        <v>2.3720927871164412E-3</v>
      </c>
      <c r="HO441" s="639">
        <f t="shared" si="1280"/>
        <v>7.7231033444443466E-3</v>
      </c>
      <c r="HP441" s="644">
        <f>(FT441*$GD441-HM441)/$JF441*INDEX(Input!$1:$1048576,$JG$93,$C441*2+6)</f>
        <v>256.18267912494406</v>
      </c>
      <c r="HQ441" s="644">
        <f>(FU441*$GD441-HN441)/$JF441*INDEX(Input!$1:$1048576,$JG$93,$C441*2+6)</f>
        <v>-4.0555471062523392</v>
      </c>
      <c r="HR441" s="644">
        <f>(FV441*$GD441-HO441)/$JF441*INDEX(Input!$1:$1048576,$JG$93,$C441*2+6)</f>
        <v>-2.2755654114350534</v>
      </c>
      <c r="HS441" s="644">
        <f t="shared" si="1406"/>
        <v>-60.437975454984496</v>
      </c>
      <c r="HT441" s="644">
        <f t="shared" si="1282"/>
        <v>60.421102384278072</v>
      </c>
      <c r="HU441" s="644">
        <f t="shared" si="1283"/>
        <v>20.368458908212293</v>
      </c>
      <c r="HV441" s="648">
        <f t="shared" si="1284"/>
        <v>0</v>
      </c>
      <c r="HW441" s="648">
        <f t="shared" si="1285"/>
        <v>0</v>
      </c>
      <c r="HX441" s="648">
        <f t="shared" si="1286"/>
        <v>0</v>
      </c>
      <c r="HY441" s="644">
        <f>INDEX(Input!$1:$1048576,HY$93,$C441*2+6)*INDEX(Input!$1:$1048576,$JG$93,$C441*2+6)</f>
        <v>844</v>
      </c>
      <c r="HZ441" s="644">
        <f>INDEX(Input!$1:$1048576,HZ$93,$C441*2+6)*INDEX(Input!$1:$1048576,$JG$93,$C441*2+6)</f>
        <v>865</v>
      </c>
      <c r="IA441" s="644">
        <f>INDEX(Input!$1:$1048576,IA$93,$C441*2+6)*INDEX(Input!$1:$1048576,$JG$93,$C441*2+6)</f>
        <v>150</v>
      </c>
      <c r="IB441" s="644">
        <f t="shared" si="1310"/>
        <v>1039.7447036699596</v>
      </c>
      <c r="IC441" s="644">
        <f t="shared" si="1311"/>
        <v>921.36555527802579</v>
      </c>
      <c r="ID441" s="644">
        <f>IF(AND(INDEX(Input!$1:$1048576,IA$93,$C441*2+7)="TOS",Y441&lt;=INDEX(Y:Y,MATCH(C441*1000+2,A:A))),0,1)*MAX(IA441+HR441+HU441+HX441,0%)</f>
        <v>168.09289349677724</v>
      </c>
      <c r="IE441" s="128">
        <f t="shared" ref="IE441:IE442" si="1410">IB441/SUM($IB441:$ID441)</f>
        <v>0.48832573936222062</v>
      </c>
      <c r="IF441" s="128">
        <f t="shared" si="1383"/>
        <v>0.43272787484844222</v>
      </c>
      <c r="IG441" s="128">
        <f t="shared" si="1288"/>
        <v>7.8946385789337228E-2</v>
      </c>
      <c r="IH441" s="21"/>
      <c r="II441" s="19">
        <f t="shared" si="1289"/>
        <v>1199.9999999999998</v>
      </c>
      <c r="IJ441" s="19">
        <f t="shared" si="1290"/>
        <v>2195.4782357510435</v>
      </c>
      <c r="IK441" s="19">
        <f t="shared" si="1291"/>
        <v>-571</v>
      </c>
      <c r="IL441" s="19">
        <f t="shared" si="1313"/>
        <v>1150.0000000000002</v>
      </c>
      <c r="IM441" s="19">
        <f t="shared" si="1292"/>
        <v>400.35958281016428</v>
      </c>
      <c r="IN441" s="19">
        <f t="shared" si="1293"/>
        <v>685</v>
      </c>
      <c r="IO441" s="39">
        <f t="shared" si="1294"/>
        <v>0</v>
      </c>
      <c r="IP441" s="39">
        <f t="shared" si="1295"/>
        <v>0</v>
      </c>
      <c r="IQ441" s="39">
        <f t="shared" si="1296"/>
        <v>0</v>
      </c>
      <c r="IR441" s="39">
        <v>0</v>
      </c>
      <c r="IS441" s="39">
        <v>0</v>
      </c>
      <c r="IT441" s="39">
        <v>0</v>
      </c>
      <c r="IU441" s="39">
        <v>0</v>
      </c>
      <c r="IV441" s="39">
        <v>0</v>
      </c>
      <c r="IW441" s="39">
        <v>0</v>
      </c>
      <c r="IX441" s="39">
        <f>INDEX(Input!$1:$1048576,IX$93,$C441*2+6)+INDEX(Input!$1:$1048576,IX$94,$C441*2+6)</f>
        <v>1600</v>
      </c>
      <c r="IY441" s="39">
        <f>INDEX(Input!$1:$1048576,IY$93,$C441*2+6)+INDEX(Input!$1:$1048576,IY$94,$C441*2+6)</f>
        <v>2503.549291639752</v>
      </c>
      <c r="IZ441" s="39">
        <f>INDEX(Input!$1:$1048576,IZ$93,$C441*2+6)+INDEX(Input!$1:$1048576,IZ$94,$C441*2+6)</f>
        <v>5413.7109265464023</v>
      </c>
      <c r="JA441" s="19">
        <f t="shared" si="1314"/>
        <v>2750</v>
      </c>
      <c r="JB441" s="19">
        <f t="shared" si="1315"/>
        <v>2903.9088744499163</v>
      </c>
      <c r="JC441" s="19">
        <f t="shared" si="1316"/>
        <v>6098.7109265464023</v>
      </c>
      <c r="JD441" s="19">
        <f t="shared" si="1317"/>
        <v>3080.9692848651293</v>
      </c>
      <c r="JE441" s="21"/>
      <c r="JF441" s="1">
        <f t="shared" si="1297"/>
        <v>7.6210291289252219E-2</v>
      </c>
      <c r="JG441" s="15">
        <f>INDEX(Input!$1:$1048576,JG$93,$C441*2+6)/(1+VLOOKUP(C441*1000+INDEX(Input!$1:$1048576,JG$93+1,$C441*2+6),$A:$KK,$JK$92,FALSE))</f>
        <v>1859</v>
      </c>
      <c r="JH441" s="1">
        <f t="shared" si="1318"/>
        <v>0.1344010578844845</v>
      </c>
      <c r="JI441" s="1">
        <f t="shared" si="1319"/>
        <v>1.0947598621573894E-2</v>
      </c>
      <c r="JJ441" s="1">
        <f t="shared" si="1384"/>
        <v>0</v>
      </c>
      <c r="JK441" s="1">
        <f t="shared" si="1385"/>
        <v>0.14534865650605841</v>
      </c>
      <c r="JL441" s="15">
        <f t="shared" si="1322"/>
        <v>270.20315244476257</v>
      </c>
      <c r="JM441" s="15">
        <f t="shared" si="1348"/>
        <v>2129.2031524447625</v>
      </c>
      <c r="JN441" s="21"/>
      <c r="JO441" s="19">
        <f>INDEX(Input!$1:$1048576,JO$93,$C441*2+6)</f>
        <v>5908.5</v>
      </c>
      <c r="JP441" s="19">
        <f>INDEX(Input!$1:$1048576,JP$93,$C441*2+6)</f>
        <v>2328.1478086338602</v>
      </c>
      <c r="JQ441" s="39">
        <f t="shared" si="1334"/>
        <v>2827.5307151348707</v>
      </c>
      <c r="JR441" s="39">
        <f t="shared" si="1351"/>
        <v>752.82147623126912</v>
      </c>
      <c r="JS441" s="39">
        <f t="shared" si="1336"/>
        <v>6.5600095139203196</v>
      </c>
      <c r="JT441" s="39">
        <f t="shared" si="1324"/>
        <v>2.2319827376699726</v>
      </c>
      <c r="JU441" s="385">
        <f>(JQ441*JM441-INDEX(Input!$1:$1048576,Input!A$18,$C441*2+6)*JL441*INDEX(Input!$1:$1048576,Input!A$19,$C441*2+6))/1000000</f>
        <v>6.0203873122995608</v>
      </c>
      <c r="JV441" s="39">
        <f t="shared" si="1358"/>
        <v>-0.63548741145009302</v>
      </c>
      <c r="JW441" s="1">
        <f t="shared" si="1349"/>
        <v>-9.5477670152434121E-2</v>
      </c>
      <c r="JX441" s="19">
        <f t="shared" si="1340"/>
        <v>8260.3874805874275</v>
      </c>
      <c r="JZ441" s="341"/>
      <c r="KA441" s="342"/>
      <c r="KB441" s="469">
        <f t="shared" si="1337"/>
        <v>2.3451977905499271</v>
      </c>
      <c r="KI441" s="473">
        <f t="shared" si="1408"/>
        <v>195.74470366995956</v>
      </c>
      <c r="KJ441" s="473">
        <f t="shared" si="1409"/>
        <v>56.365555278025795</v>
      </c>
      <c r="KK441" s="473">
        <f t="shared" si="1326"/>
        <v>18.092893496777236</v>
      </c>
      <c r="KN441" s="544">
        <f t="shared" si="1341"/>
        <v>4002</v>
      </c>
      <c r="KO441" s="541">
        <f t="shared" si="1301"/>
        <v>6.5859419646233874E-2</v>
      </c>
      <c r="KP441" s="546">
        <f t="shared" si="1302"/>
        <v>394.776957517857</v>
      </c>
      <c r="KQ441" s="546">
        <f t="shared" si="1303"/>
        <v>357.22572326713362</v>
      </c>
      <c r="KR441" s="548">
        <f t="shared" si="1304"/>
        <v>2.8312622568656587</v>
      </c>
      <c r="KS441" s="548">
        <f t="shared" si="1305"/>
        <v>3.1288818998757728</v>
      </c>
      <c r="KT441" s="473">
        <f t="shared" si="1339"/>
        <v>1050.27685337919</v>
      </c>
      <c r="KU441" s="663">
        <f t="shared" si="1327"/>
        <v>6.5668835163706234</v>
      </c>
      <c r="KV441" s="117"/>
    </row>
    <row r="442" spans="1:308" s="26" customFormat="1" ht="15">
      <c r="A442" s="561">
        <f t="shared" si="1306"/>
        <v>4042</v>
      </c>
      <c r="B442" s="561">
        <f t="shared" si="1328"/>
        <v>42</v>
      </c>
      <c r="C442" s="561">
        <f t="shared" si="1329"/>
        <v>4</v>
      </c>
      <c r="D442" s="561" t="str">
        <f t="shared" si="1378"/>
        <v xml:space="preserve">1000 CC, 360 Lease, </v>
      </c>
      <c r="E442" s="475">
        <f>INDEX(Input!$1:$1048576,E$93,$C442*2+MIN($B442,2)+5)
+INDEX(Scenarios!E$121:E$200,MATCH($B442,Scenarios!$B$121:$B$200,0))</f>
        <v>2250</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1.8999999999999996E-2</v>
      </c>
      <c r="W442" s="863">
        <f>IFERROR(MAX(0,INDEX(Input!$1:$1048576,W$93,$C442*2+MIN($B442,2)+5)-0%,),"Market")</f>
        <v>3.9E-2</v>
      </c>
      <c r="X442" s="476" t="str">
        <f>INDEX(Input!$1:$1048576,X$93,$C442*2+MIN($B442,2)+5)</f>
        <v>Y</v>
      </c>
      <c r="Y442" s="475">
        <f>INDEX(Input!$1:$1048576,Y$93,$C442*2+MIN($B442,2)+5)
++INDEX(Scenarios!Y$121:Y$200,MATCH($B442,Scenarios!$B$121:$B$200,0))</f>
        <v>-1857</v>
      </c>
      <c r="Z442" s="477">
        <f>INDEX(Input!$1:$1048576,Z$93,$C442*2+MIN($B442,2)+5)
+INDEX(Scenarios!Z$121:Z$200,MATCH($B442,Scenarios!$B$121:$B$200,0))</f>
        <v>0</v>
      </c>
      <c r="AA442" s="475">
        <f>INDEX(Input!$1:$1048576,AA$93,$C442*2+MIN($B442,2)+5)</f>
        <v>0</v>
      </c>
      <c r="AB442" s="476">
        <f>INDEX(Input!$1:$1048576,AB$93,$C442*2+MIN($B442,2)+5)</f>
        <v>1</v>
      </c>
      <c r="AC442" s="475">
        <f>INDEX(Input!$1:$1048576,AC$93,$C442*2+MIN($B442,2)+5)
+INDEX(Scenarios!AC$121:AC$200,MATCH($B442,Scenarios!$B$121:$B$200,0))</f>
        <v>0</v>
      </c>
      <c r="AD442" s="476">
        <f>INDEX(Input!$1:$1048576,AD$93,$C442*2+MIN($B442,2)+5)</f>
        <v>0.35</v>
      </c>
      <c r="AE442" s="475">
        <f>INDEX(Input!$1:$1048576,AE$93,$C442*2+MIN($B442,2)+5)
+INDEX(Scenarios!AE$121:AE$200,MATCH($B442,Scenarios!$B$121:$B$200,0))</f>
        <v>0</v>
      </c>
      <c r="AF442" s="476">
        <f>INDEX(Input!$1:$1048576,AF$93,$C442*2+MIN($B442,2)+5)</f>
        <v>1</v>
      </c>
      <c r="AG442" s="475">
        <f>INDEX(Input!$1:$1048576,AG$93,$C442*2+MIN($B442,2)+5)
+INDEX(Scenarios!AG$121:AG$200,MATCH($B442,Scenarios!$B$121:$B$200,0))</f>
        <v>0</v>
      </c>
      <c r="AH442" s="476">
        <f>INDEX(Input!$1:$1048576,AH$93,$C442*2+MIN($B442,2)+5)</f>
        <v>1</v>
      </c>
      <c r="AI442" s="475">
        <f>INDEX(Input!$1:$1048576,AI$93,$C442*2+MIN($B442,2)+5)
+INDEX(Scenarios!AI$121:AI$200,MATCH($B442,Scenarios!$B$121:$B$200,0))</f>
        <v>0</v>
      </c>
      <c r="AJ442" s="476">
        <f>INDEX(Input!$1:$1048576,AJ$93,$C442*2+MIN($B442,2)+5)</f>
        <v>0.35</v>
      </c>
      <c r="AK442" s="150">
        <f>ROUND(INDEX(Input!$1:$1048576,AK$93,$C441*2+MIN($B442,1)+5)+(Y442-VLOOKUP($C442*1000+1,$A:$HH,Y$92,FALSE)),0)</f>
        <v>4952</v>
      </c>
      <c r="AL442" s="150">
        <f>ROUND(INDEX(Input!$1:$1048576,AL$93,$C441*2+MIN($B442,1)+5)-(Y442-VLOOKUP($C442*1000+1,$A:$HH,Y$92,FALSE))/36,0)</f>
        <v>4733</v>
      </c>
      <c r="AM442" s="32" t="str">
        <f t="shared" si="1307"/>
        <v>std/std/std/std</v>
      </c>
      <c r="AN442" s="32" t="str">
        <f t="shared" si="1308"/>
        <v>$0 + 0/0/0/1.9/3.9</v>
      </c>
      <c r="AO442" s="32" t="str">
        <f t="shared" si="1309"/>
        <v>0/0/0/1.9/3.9</v>
      </c>
      <c r="AP442" s="32" t="str">
        <f t="shared" si="1386"/>
        <v>0/0.9/1.9/3.9</v>
      </c>
      <c r="AQ442" s="536">
        <f t="shared" si="1379"/>
        <v>0.50222885797651218</v>
      </c>
      <c r="AR442" s="32"/>
      <c r="AS442" s="302"/>
      <c r="AT442" s="3">
        <f t="shared" si="1330"/>
        <v>42</v>
      </c>
      <c r="AU442" s="41" t="s">
        <v>121</v>
      </c>
      <c r="AV442" s="41" t="s">
        <v>116</v>
      </c>
      <c r="AW442" s="41" t="str">
        <f>INDEX(Input!$1:$1048576,AW$93,$C442*2+6)</f>
        <v>Kia</v>
      </c>
      <c r="AX442" s="41" t="str">
        <f>INDEX(Input!$1:$1048576,AX$93,$C442*2+6)</f>
        <v>Kia-LR - R1</v>
      </c>
      <c r="AY442" s="41" t="str">
        <f>IF(LEN(D442)=0,"",INDEX(Input!$1:$1048576,AY$93,$C442*2+6))</f>
        <v>Compact Conventional/Sporty Car (43)</v>
      </c>
      <c r="AZ442" s="41" t="str">
        <f>INDEX(Input!$1:$1048576,AZ$93,$C442*2+6)</f>
        <v>Kia Forte</v>
      </c>
      <c r="BA442" s="3">
        <f>INDEX(Input!$1:$1048576,BA$93,$C442*2+6)</f>
        <v>2020</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19695</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387"/>
        <v>2560</v>
      </c>
      <c r="CJ442" s="16" t="str">
        <f>INDEX(Input!$1:$1048576,CJ$93,$C442*2+6)</f>
        <v>N</v>
      </c>
      <c r="CK442" s="1" t="str">
        <f t="shared" si="1388"/>
        <v>Market</v>
      </c>
      <c r="CL442" s="1" t="str">
        <f t="shared" si="1389"/>
        <v>Market</v>
      </c>
      <c r="CM442" s="1" t="str">
        <f t="shared" si="1390"/>
        <v>Market</v>
      </c>
      <c r="CN442" s="1" t="str">
        <f t="shared" si="1391"/>
        <v>Market</v>
      </c>
      <c r="CO442" s="1" t="str">
        <f t="shared" si="1392"/>
        <v>Market</v>
      </c>
      <c r="CP442" s="304">
        <f t="shared" si="1393"/>
        <v>0</v>
      </c>
      <c r="CQ442" s="1">
        <f t="shared" si="1394"/>
        <v>0</v>
      </c>
      <c r="CR442" s="1">
        <f t="shared" si="1395"/>
        <v>0</v>
      </c>
      <c r="CS442" s="1">
        <f t="shared" si="1396"/>
        <v>0</v>
      </c>
      <c r="CT442" s="1">
        <f t="shared" si="1397"/>
        <v>1.8999999999999996E-2</v>
      </c>
      <c r="CU442" s="1">
        <f t="shared" si="1398"/>
        <v>3.9E-2</v>
      </c>
      <c r="CV442" s="304">
        <f t="shared" si="1399"/>
        <v>-1857</v>
      </c>
      <c r="CW442" s="20" t="s">
        <v>122</v>
      </c>
      <c r="CX442" s="20" t="s">
        <v>122</v>
      </c>
      <c r="CY442" s="20" t="s">
        <v>122</v>
      </c>
      <c r="CZ442" s="20" t="s">
        <v>122</v>
      </c>
      <c r="DA442" s="20" t="s">
        <v>122</v>
      </c>
      <c r="DB442" s="503">
        <f t="shared" si="1400"/>
        <v>0</v>
      </c>
      <c r="DC442" s="127">
        <v>0</v>
      </c>
      <c r="DD442" s="127">
        <v>0</v>
      </c>
      <c r="DE442" s="127">
        <v>0</v>
      </c>
      <c r="DF442" s="127">
        <v>0</v>
      </c>
      <c r="DG442" s="127">
        <v>0</v>
      </c>
      <c r="DH442" s="127">
        <v>0</v>
      </c>
      <c r="DI442" s="127">
        <v>0</v>
      </c>
      <c r="DJ442" s="127">
        <v>0</v>
      </c>
      <c r="DK442" s="127">
        <v>0</v>
      </c>
      <c r="DL442" s="127">
        <v>0</v>
      </c>
      <c r="DM442" s="304">
        <f>INDEX(Input!$1:$1048576,DM$93,$C442*2+6)</f>
        <v>20731.578947368424</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4.7646910262242881E-2</v>
      </c>
      <c r="DZ442" s="7">
        <v>0</v>
      </c>
      <c r="EA442" s="7">
        <v>0.84546961390494513</v>
      </c>
      <c r="EB442" s="7">
        <v>0</v>
      </c>
      <c r="EC442" s="7">
        <v>0</v>
      </c>
      <c r="ED442" s="7">
        <v>0</v>
      </c>
      <c r="EE442" s="7">
        <v>0</v>
      </c>
      <c r="EF442" s="7">
        <v>0</v>
      </c>
      <c r="EG442" s="7">
        <v>0</v>
      </c>
      <c r="EH442" s="7">
        <v>1.2295581071226375E-2</v>
      </c>
      <c r="EI442" s="7">
        <v>1.9743587091606115E-2</v>
      </c>
      <c r="EJ442" s="7">
        <v>0.18544768479529264</v>
      </c>
      <c r="EK442" s="7">
        <v>0.72446152529806607</v>
      </c>
      <c r="EL442" s="7">
        <v>5.8051621743808561E-2</v>
      </c>
      <c r="EM442" s="7">
        <v>2.389580587203699E-2</v>
      </c>
      <c r="EN442" s="7">
        <v>4.7444522646880476E-2</v>
      </c>
      <c r="EO442" s="7">
        <v>0.56967712489522404</v>
      </c>
      <c r="EP442" s="7">
        <v>0.27123693333121446</v>
      </c>
      <c r="EQ442" s="7">
        <v>6.7083059167431389E-2</v>
      </c>
      <c r="ER442" s="7">
        <v>4.4558359959249949E-2</v>
      </c>
      <c r="ES442" s="7">
        <v>8.2987669960774932E-2</v>
      </c>
      <c r="ET442" s="7">
        <v>0.10688347583281201</v>
      </c>
      <c r="EU442" s="6">
        <v>2600</v>
      </c>
      <c r="EV442" s="6">
        <v>0</v>
      </c>
      <c r="EW442" s="6">
        <v>2600</v>
      </c>
      <c r="EX442" s="6">
        <v>0</v>
      </c>
      <c r="EY442" s="6">
        <v>2595.9463842426303</v>
      </c>
      <c r="EZ442" s="6">
        <v>114</v>
      </c>
      <c r="FA442" s="6">
        <v>0</v>
      </c>
      <c r="FB442" s="6">
        <v>0</v>
      </c>
      <c r="FC442" s="6">
        <v>0</v>
      </c>
      <c r="FD442" s="6">
        <v>0</v>
      </c>
      <c r="FE442" s="6">
        <v>0</v>
      </c>
      <c r="FF442" s="6">
        <v>0</v>
      </c>
      <c r="FG442" s="6">
        <v>0</v>
      </c>
      <c r="FH442" s="6">
        <v>1153.2315936888645</v>
      </c>
      <c r="FI442" s="6">
        <v>1531.4299904380616</v>
      </c>
      <c r="FJ442" s="6">
        <v>2070.7205842538233</v>
      </c>
      <c r="FK442" s="6">
        <v>1746.9903521590429</v>
      </c>
      <c r="FL442" s="6">
        <v>893.91433563489386</v>
      </c>
      <c r="FM442" s="6">
        <v>1745.9463842426303</v>
      </c>
      <c r="FN442" s="6">
        <v>0</v>
      </c>
      <c r="FO442" s="6">
        <v>0</v>
      </c>
      <c r="FP442" s="6">
        <v>0</v>
      </c>
      <c r="FQ442" s="6">
        <v>0</v>
      </c>
      <c r="FR442" s="6">
        <v>0</v>
      </c>
      <c r="FS442" s="6">
        <v>0</v>
      </c>
      <c r="FT442" s="7">
        <v>0.89311652416718801</v>
      </c>
      <c r="FU442" s="7">
        <v>2.389580587203699E-2</v>
      </c>
      <c r="FV442" s="7">
        <v>8.2987669960774932E-2</v>
      </c>
      <c r="FW442" s="6">
        <v>2600</v>
      </c>
      <c r="FX442" s="6">
        <v>2595.9463842426303</v>
      </c>
      <c r="FY442" s="6">
        <v>114</v>
      </c>
      <c r="FZ442" s="6">
        <v>1695.8504614767719</v>
      </c>
      <c r="GA442" s="6">
        <v>2393.595788062295</v>
      </c>
      <c r="GB442" s="6">
        <v>17301.404211937705</v>
      </c>
      <c r="GC442" s="7">
        <v>8.1891069685915169E-2</v>
      </c>
      <c r="GD442" s="7">
        <v>8.8720781242330224E-2</v>
      </c>
      <c r="GE442" s="7"/>
      <c r="GF442" s="7"/>
      <c r="GG442" s="7">
        <v>8.3399955362772962E-2</v>
      </c>
      <c r="GH442" s="42">
        <v>2.3540997815174669</v>
      </c>
      <c r="GI442" s="6">
        <v>10759.851184129018</v>
      </c>
      <c r="GJ442" s="14">
        <v>0.51074630601039606</v>
      </c>
      <c r="GK442" s="14">
        <v>0.5082951978616097</v>
      </c>
      <c r="GL442" s="14">
        <v>0.48925369398960455</v>
      </c>
      <c r="GM442" s="14">
        <v>0.49170480213839046</v>
      </c>
      <c r="GO442" s="5">
        <v>338.16872463277008</v>
      </c>
      <c r="GP442" s="5">
        <v>288.56568471597211</v>
      </c>
      <c r="GQ442" s="5">
        <v>527.27910984145694</v>
      </c>
      <c r="GR442" s="5">
        <v>404.20319246551543</v>
      </c>
      <c r="GS442" s="5">
        <v>334.50205195691484</v>
      </c>
      <c r="GT442" s="5">
        <v>289.18266033348181</v>
      </c>
      <c r="GU442" s="5">
        <v>254.29573314828914</v>
      </c>
      <c r="GV442" s="39" t="s">
        <v>392</v>
      </c>
      <c r="GW442" s="5">
        <v>468.76388888888891</v>
      </c>
      <c r="GX442" s="5">
        <v>351.57291666666669</v>
      </c>
      <c r="GY442" s="5">
        <v>281.25833333333333</v>
      </c>
      <c r="GZ442" s="5">
        <v>248.1807987949399</v>
      </c>
      <c r="HA442" s="5">
        <v>229.89195052129477</v>
      </c>
      <c r="HB442" s="39">
        <v>258.00678224268751</v>
      </c>
      <c r="HC442" s="5">
        <v>278.12812499999995</v>
      </c>
      <c r="HD442" s="5">
        <v>232.92143640350872</v>
      </c>
      <c r="HE442" s="5">
        <v>234.3057059716599</v>
      </c>
      <c r="HF442" s="5">
        <v>215.06692434210527</v>
      </c>
      <c r="HG442" s="5">
        <v>205.38993421052629</v>
      </c>
      <c r="HH442" s="39">
        <v>233.01721732303</v>
      </c>
      <c r="HI442" s="16"/>
      <c r="HJ442" s="19" t="str">
        <f t="shared" si="1405"/>
        <v>On</v>
      </c>
      <c r="HK442" s="1" t="str">
        <f t="shared" si="1405"/>
        <v>On</v>
      </c>
      <c r="HL442" s="16"/>
      <c r="HM442" s="639">
        <f t="shared" si="1278"/>
        <v>6.6115095157691428E-2</v>
      </c>
      <c r="HN442" s="639">
        <f t="shared" si="1279"/>
        <v>2.3720927871164412E-3</v>
      </c>
      <c r="HO442" s="639">
        <f t="shared" si="1280"/>
        <v>7.7231033444443466E-3</v>
      </c>
      <c r="HP442" s="644">
        <f>(FT442*$GD442-HM442)/$JF442*INDEX(Input!$1:$1048576,$JG$93,$C442*2+6)</f>
        <v>320.10732166806093</v>
      </c>
      <c r="HQ442" s="644">
        <f>(FU442*$GD442-HN442)/$JF442*INDEX(Input!$1:$1048576,$JG$93,$C442*2+6)</f>
        <v>-6.1479761627687335</v>
      </c>
      <c r="HR442" s="644">
        <f>(FV442*$GD442-HO442)/$JF442*INDEX(Input!$1:$1048576,$JG$93,$C442*2+6)</f>
        <v>-8.79057591613984</v>
      </c>
      <c r="HS442" s="644">
        <f t="shared" si="1406"/>
        <v>-73.558770094540719</v>
      </c>
      <c r="HT442" s="644">
        <f t="shared" si="1282"/>
        <v>59.178035375387111</v>
      </c>
      <c r="HU442" s="644">
        <f t="shared" si="1283"/>
        <v>21.629505665917669</v>
      </c>
      <c r="HV442" s="648">
        <f t="shared" si="1284"/>
        <v>0</v>
      </c>
      <c r="HW442" s="648">
        <f t="shared" si="1285"/>
        <v>0</v>
      </c>
      <c r="HX442" s="648">
        <f t="shared" si="1286"/>
        <v>0</v>
      </c>
      <c r="HY442" s="644">
        <f>INDEX(Input!$1:$1048576,HY$93,$C442*2+6)*INDEX(Input!$1:$1048576,$JG$93,$C442*2+6)</f>
        <v>844</v>
      </c>
      <c r="HZ442" s="644">
        <f>INDEX(Input!$1:$1048576,HZ$93,$C442*2+6)*INDEX(Input!$1:$1048576,$JG$93,$C442*2+6)</f>
        <v>865</v>
      </c>
      <c r="IA442" s="644">
        <f>INDEX(Input!$1:$1048576,IA$93,$C442*2+6)*INDEX(Input!$1:$1048576,$JG$93,$C442*2+6)</f>
        <v>150</v>
      </c>
      <c r="IB442" s="644">
        <f t="shared" si="1310"/>
        <v>1090.5485515735202</v>
      </c>
      <c r="IC442" s="644">
        <f t="shared" si="1311"/>
        <v>918.03005921261843</v>
      </c>
      <c r="ID442" s="644">
        <f>IF(AND(INDEX(Input!$1:$1048576,IA$93,$C442*2+7)="TOS",Y442&lt;=INDEX(Y:Y,MATCH(C442*1000+2,A:A))),0,1)*MAX(IA442+HR442+HU442+HX442,0%)</f>
        <v>162.83892974977783</v>
      </c>
      <c r="IE442" s="128">
        <f t="shared" si="1410"/>
        <v>0.50222885797651218</v>
      </c>
      <c r="IF442" s="128">
        <f t="shared" si="1383"/>
        <v>0.42277914867816907</v>
      </c>
      <c r="IG442" s="128">
        <f t="shared" si="1288"/>
        <v>7.4991993345318739E-2</v>
      </c>
      <c r="IH442" s="21"/>
      <c r="II442" s="19">
        <f t="shared" si="1289"/>
        <v>1199.9999999999998</v>
      </c>
      <c r="IJ442" s="19">
        <f t="shared" si="1290"/>
        <v>2195.4782357510435</v>
      </c>
      <c r="IK442" s="19">
        <f t="shared" si="1291"/>
        <v>-571</v>
      </c>
      <c r="IL442" s="19">
        <f t="shared" si="1313"/>
        <v>1400.0000000000002</v>
      </c>
      <c r="IM442" s="19">
        <f t="shared" si="1292"/>
        <v>400.46814849158682</v>
      </c>
      <c r="IN442" s="19">
        <f t="shared" si="1293"/>
        <v>685</v>
      </c>
      <c r="IO442" s="39">
        <f t="shared" si="1294"/>
        <v>0</v>
      </c>
      <c r="IP442" s="39">
        <f t="shared" si="1295"/>
        <v>0</v>
      </c>
      <c r="IQ442" s="39">
        <f t="shared" si="1296"/>
        <v>0</v>
      </c>
      <c r="IR442" s="39">
        <v>0</v>
      </c>
      <c r="IS442" s="39">
        <v>0</v>
      </c>
      <c r="IT442" s="39">
        <v>0</v>
      </c>
      <c r="IU442" s="39">
        <v>0</v>
      </c>
      <c r="IV442" s="39">
        <v>0</v>
      </c>
      <c r="IW442" s="39">
        <v>0</v>
      </c>
      <c r="IX442" s="39">
        <f>INDEX(Input!$1:$1048576,IX$93,$C442*2+6)+INDEX(Input!$1:$1048576,IX$94,$C442*2+6)</f>
        <v>1600</v>
      </c>
      <c r="IY442" s="39">
        <f>INDEX(Input!$1:$1048576,IY$93,$C442*2+6)+INDEX(Input!$1:$1048576,IY$94,$C442*2+6)</f>
        <v>2503.549291639752</v>
      </c>
      <c r="IZ442" s="39">
        <f>INDEX(Input!$1:$1048576,IZ$93,$C442*2+6)+INDEX(Input!$1:$1048576,IZ$94,$C442*2+6)</f>
        <v>5413.7109265464023</v>
      </c>
      <c r="JA442" s="19">
        <f t="shared" si="1314"/>
        <v>3000</v>
      </c>
      <c r="JB442" s="19">
        <f t="shared" si="1315"/>
        <v>2904.0174401313388</v>
      </c>
      <c r="JC442" s="19">
        <f t="shared" si="1316"/>
        <v>6098.7109265464023</v>
      </c>
      <c r="JD442" s="19">
        <f t="shared" si="1317"/>
        <v>3191.7990842334102</v>
      </c>
      <c r="JE442" s="21"/>
      <c r="JF442" s="1">
        <f t="shared" si="1297"/>
        <v>7.6210291289252219E-2</v>
      </c>
      <c r="JG442" s="15">
        <f>INDEX(Input!$1:$1048576,JG$93,$C442*2+6)/(1+VLOOKUP(C442*1000+INDEX(Input!$1:$1048576,JG$93+1,$C442*2+6),$A:$KK,$JK$92,FALSE))</f>
        <v>1859</v>
      </c>
      <c r="JH442" s="1">
        <f t="shared" si="1318"/>
        <v>0.16415748767571403</v>
      </c>
      <c r="JI442" s="1">
        <f t="shared" si="1319"/>
        <v>3.8992850708790003E-3</v>
      </c>
      <c r="JJ442" s="1">
        <f t="shared" si="1384"/>
        <v>0</v>
      </c>
      <c r="JK442" s="1">
        <f t="shared" si="1385"/>
        <v>0.16805677274659303</v>
      </c>
      <c r="JL442" s="15">
        <f t="shared" si="1322"/>
        <v>312.41754053591643</v>
      </c>
      <c r="JM442" s="15">
        <f t="shared" si="1348"/>
        <v>2171.4175405359165</v>
      </c>
      <c r="JN442" s="21"/>
      <c r="JO442" s="19">
        <f>INDEX(Input!$1:$1048576,JO$93,$C442*2+6)</f>
        <v>5908.5</v>
      </c>
      <c r="JP442" s="19">
        <f>INDEX(Input!$1:$1048576,JP$93,$C442*2+6)</f>
        <v>2328.1478086338602</v>
      </c>
      <c r="JQ442" s="39">
        <f t="shared" si="1334"/>
        <v>2716.7009157665898</v>
      </c>
      <c r="JR442" s="39">
        <f t="shared" si="1351"/>
        <v>863.65127559954999</v>
      </c>
      <c r="JS442" s="39">
        <f t="shared" si="1336"/>
        <v>6.9307285173709019</v>
      </c>
      <c r="JT442" s="39">
        <f t="shared" si="1324"/>
        <v>2.6027017411205553</v>
      </c>
      <c r="JU442" s="385">
        <f>(JQ442*JM442-INDEX(Input!$1:$1048576,Input!A$18,$C442*2+6)*JL442*INDEX(Input!$1:$1048576,Input!A$19,$C442*2+6))/1000000</f>
        <v>5.8990920208855604</v>
      </c>
      <c r="JV442" s="39">
        <f t="shared" si="1358"/>
        <v>-0.75678270286409344</v>
      </c>
      <c r="JW442" s="1">
        <f t="shared" si="1349"/>
        <v>-0.11370146438660016</v>
      </c>
      <c r="JX442" s="19">
        <f t="shared" si="1340"/>
        <v>8330.8438337230345</v>
      </c>
      <c r="JZ442" s="341"/>
      <c r="KA442" s="342"/>
      <c r="KB442" s="469">
        <f t="shared" si="1337"/>
        <v>2.3451977905499271</v>
      </c>
      <c r="KI442" s="473">
        <f t="shared" si="1408"/>
        <v>246.54855157352017</v>
      </c>
      <c r="KJ442" s="473">
        <f t="shared" si="1409"/>
        <v>53.030059212618426</v>
      </c>
      <c r="KK442" s="473">
        <f t="shared" si="1326"/>
        <v>12.838929749777833</v>
      </c>
      <c r="KN442" s="544">
        <f t="shared" si="1341"/>
        <v>4002</v>
      </c>
      <c r="KO442" s="541">
        <f t="shared" si="1301"/>
        <v>8.6991552171913789E-2</v>
      </c>
      <c r="KP442" s="546">
        <f t="shared" si="1302"/>
        <v>529.38125509338442</v>
      </c>
      <c r="KQ442" s="546">
        <f t="shared" si="1303"/>
        <v>468.05552263541449</v>
      </c>
      <c r="KR442" s="548">
        <f t="shared" si="1304"/>
        <v>2.7888330492996811</v>
      </c>
      <c r="KS442" s="548">
        <f t="shared" si="1305"/>
        <v>3.154232496972722</v>
      </c>
      <c r="KT442" s="473">
        <f t="shared" si="1339"/>
        <v>1050.27685337919</v>
      </c>
      <c r="KU442" s="663">
        <f t="shared" si="1327"/>
        <v>6.5868766096688978</v>
      </c>
      <c r="KV442" s="117"/>
    </row>
    <row r="443" spans="1:308" s="26" customFormat="1" ht="15">
      <c r="A443" s="561">
        <f t="shared" si="1306"/>
        <v>4043</v>
      </c>
      <c r="B443" s="561">
        <f t="shared" si="1328"/>
        <v>43</v>
      </c>
      <c r="C443" s="561">
        <f t="shared" si="1329"/>
        <v>4</v>
      </c>
      <c r="D443" s="561" t="str">
        <f t="shared" si="1378"/>
        <v xml:space="preserve">0/0/0.9/3.9, 360 Lease, </v>
      </c>
      <c r="E443" s="475">
        <f>INDEX(Input!$1:$1048576,E$93,$C443*2+MIN($B443,2)+5)
+INDEX(Scenarios!E$121:E$200,MATCH($B443,Scenarios!$B$121:$B$200,0))</f>
        <v>1250</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8.9999999999999959E-3</v>
      </c>
      <c r="W443" s="863">
        <f>IFERROR(MAX(0,INDEX(Input!$1:$1048576,W$93,$C443*2+MIN($B443,2)+5)-0%,),"Market")</f>
        <v>3.9E-2</v>
      </c>
      <c r="X443" s="476" t="str">
        <f>INDEX(Input!$1:$1048576,X$93,$C443*2+MIN($B443,2)+5)</f>
        <v>Y</v>
      </c>
      <c r="Y443" s="475">
        <f>INDEX(Input!$1:$1048576,Y$93,$C443*2+MIN($B443,2)+5)
++INDEX(Scenarios!Y$121:Y$200,MATCH($B443,Scenarios!$B$121:$B$200,0))</f>
        <v>-1857</v>
      </c>
      <c r="Z443" s="477">
        <f>INDEX(Input!$1:$1048576,Z$93,$C443*2+MIN($B443,2)+5)
+INDEX(Scenarios!Z$121:Z$200,MATCH($B443,Scenarios!$B$121:$B$200,0))</f>
        <v>0</v>
      </c>
      <c r="AA443" s="475">
        <f>INDEX(Input!$1:$1048576,AA$93,$C443*2+MIN($B443,2)+5)</f>
        <v>0</v>
      </c>
      <c r="AB443" s="476">
        <f>INDEX(Input!$1:$1048576,AB$93,$C443*2+MIN($B443,2)+5)</f>
        <v>1</v>
      </c>
      <c r="AC443" s="475">
        <f>INDEX(Input!$1:$1048576,AC$93,$C443*2+MIN($B443,2)+5)
+INDEX(Scenarios!AC$121:AC$200,MATCH($B443,Scenarios!$B$121:$B$200,0))</f>
        <v>0</v>
      </c>
      <c r="AD443" s="476">
        <f>INDEX(Input!$1:$1048576,AD$93,$C443*2+MIN($B443,2)+5)</f>
        <v>0.35</v>
      </c>
      <c r="AE443" s="475">
        <f>INDEX(Input!$1:$1048576,AE$93,$C443*2+MIN($B443,2)+5)
+INDEX(Scenarios!AE$121:AE$200,MATCH($B443,Scenarios!$B$121:$B$200,0))</f>
        <v>0</v>
      </c>
      <c r="AF443" s="476">
        <f>INDEX(Input!$1:$1048576,AF$93,$C443*2+MIN($B443,2)+5)</f>
        <v>1</v>
      </c>
      <c r="AG443" s="475">
        <f>INDEX(Input!$1:$1048576,AG$93,$C443*2+MIN($B443,2)+5)
+INDEX(Scenarios!AG$121:AG$200,MATCH($B443,Scenarios!$B$121:$B$200,0))</f>
        <v>0</v>
      </c>
      <c r="AH443" s="476">
        <f>INDEX(Input!$1:$1048576,AH$93,$C443*2+MIN($B443,2)+5)</f>
        <v>1</v>
      </c>
      <c r="AI443" s="475">
        <f>INDEX(Input!$1:$1048576,AI$93,$C443*2+MIN($B443,2)+5)
+INDEX(Scenarios!AI$121:AI$200,MATCH($B443,Scenarios!$B$121:$B$200,0))</f>
        <v>0</v>
      </c>
      <c r="AJ443" s="476">
        <f>INDEX(Input!$1:$1048576,AJ$93,$C443*2+MIN($B443,2)+5)</f>
        <v>0.35</v>
      </c>
      <c r="AK443" s="150">
        <f>ROUND(INDEX(Input!$1:$1048576,AK$93,$C442*2+MIN($B443,1)+5)+(Y443-VLOOKUP($C443*1000+1,$A:$HH,Y$92,FALSE)),0)</f>
        <v>4952</v>
      </c>
      <c r="AL443" s="150">
        <f>ROUND(INDEX(Input!$1:$1048576,AL$93,$C442*2+MIN($B443,1)+5)-(Y443-VLOOKUP($C443*1000+1,$A:$HH,Y$92,FALSE))/36,0)</f>
        <v>4733</v>
      </c>
      <c r="AM443" s="32" t="str">
        <f t="shared" si="1307"/>
        <v>std/std/std/std</v>
      </c>
      <c r="AN443" s="32" t="str">
        <f t="shared" si="1308"/>
        <v>$0 + 0/0/0/0.9/3.9</v>
      </c>
      <c r="AO443" s="32" t="str">
        <f t="shared" si="1309"/>
        <v>0/0/0/0.9/3.9</v>
      </c>
      <c r="AP443" s="32" t="str">
        <f t="shared" si="1386"/>
        <v>0/0/0.9/3.9</v>
      </c>
      <c r="AQ443" s="536">
        <f t="shared" si="1379"/>
        <v>0.42264627321571369</v>
      </c>
      <c r="AR443" s="32"/>
      <c r="AS443" s="302"/>
      <c r="AT443" s="3">
        <f t="shared" si="1330"/>
        <v>43</v>
      </c>
      <c r="AU443" s="41" t="s">
        <v>121</v>
      </c>
      <c r="AV443" s="41" t="s">
        <v>116</v>
      </c>
      <c r="AW443" s="41" t="str">
        <f>INDEX(Input!$1:$1048576,AW$93,$C443*2+6)</f>
        <v>Kia</v>
      </c>
      <c r="AX443" s="41" t="str">
        <f>INDEX(Input!$1:$1048576,AX$93,$C443*2+6)</f>
        <v>Kia-LR - R1</v>
      </c>
      <c r="AY443" s="41" t="str">
        <f>IF(LEN(D443)=0,"",INDEX(Input!$1:$1048576,AY$93,$C443*2+6))</f>
        <v>Compact Conventional/Sporty Car (43)</v>
      </c>
      <c r="AZ443" s="41" t="str">
        <f>INDEX(Input!$1:$1048576,AZ$93,$C443*2+6)</f>
        <v>Kia Forte</v>
      </c>
      <c r="BA443" s="3">
        <f>INDEX(Input!$1:$1048576,BA$93,$C443*2+6)</f>
        <v>2020</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19695</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387"/>
        <v>1560</v>
      </c>
      <c r="CJ443" s="16" t="str">
        <f>INDEX(Input!$1:$1048576,CJ$93,$C443*2+6)</f>
        <v>N</v>
      </c>
      <c r="CK443" s="1" t="str">
        <f t="shared" si="1388"/>
        <v>Market</v>
      </c>
      <c r="CL443" s="1" t="str">
        <f t="shared" si="1389"/>
        <v>Market</v>
      </c>
      <c r="CM443" s="1" t="str">
        <f t="shared" si="1390"/>
        <v>Market</v>
      </c>
      <c r="CN443" s="1" t="str">
        <f t="shared" si="1391"/>
        <v>Market</v>
      </c>
      <c r="CO443" s="1" t="str">
        <f t="shared" si="1392"/>
        <v>Market</v>
      </c>
      <c r="CP443" s="304">
        <f t="shared" si="1393"/>
        <v>0</v>
      </c>
      <c r="CQ443" s="1">
        <f t="shared" si="1394"/>
        <v>0</v>
      </c>
      <c r="CR443" s="1">
        <f t="shared" si="1395"/>
        <v>0</v>
      </c>
      <c r="CS443" s="1">
        <f t="shared" si="1396"/>
        <v>0</v>
      </c>
      <c r="CT443" s="1">
        <f t="shared" si="1397"/>
        <v>8.9999999999999959E-3</v>
      </c>
      <c r="CU443" s="1">
        <f t="shared" si="1398"/>
        <v>3.9E-2</v>
      </c>
      <c r="CV443" s="304">
        <f t="shared" si="1399"/>
        <v>-1857</v>
      </c>
      <c r="CW443" s="20" t="s">
        <v>122</v>
      </c>
      <c r="CX443" s="20" t="s">
        <v>122</v>
      </c>
      <c r="CY443" s="20" t="s">
        <v>122</v>
      </c>
      <c r="CZ443" s="20" t="s">
        <v>122</v>
      </c>
      <c r="DA443" s="20" t="s">
        <v>122</v>
      </c>
      <c r="DB443" s="503">
        <f t="shared" si="1400"/>
        <v>0</v>
      </c>
      <c r="DC443" s="127">
        <v>0</v>
      </c>
      <c r="DD443" s="127">
        <v>0</v>
      </c>
      <c r="DE443" s="127">
        <v>0</v>
      </c>
      <c r="DF443" s="127">
        <v>0</v>
      </c>
      <c r="DG443" s="127">
        <v>0</v>
      </c>
      <c r="DH443" s="127">
        <v>0</v>
      </c>
      <c r="DI443" s="127">
        <v>0</v>
      </c>
      <c r="DJ443" s="127">
        <v>0</v>
      </c>
      <c r="DK443" s="127">
        <v>0</v>
      </c>
      <c r="DL443" s="127">
        <v>0</v>
      </c>
      <c r="DM443" s="304">
        <f>INDEX(Input!$1:$1048576,DM$93,$C443*2+6)</f>
        <v>20731.578947368424</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4.4699491466415615E-2</v>
      </c>
      <c r="DZ443" s="7">
        <v>0</v>
      </c>
      <c r="EA443" s="7">
        <v>0.80667464221059992</v>
      </c>
      <c r="EB443" s="7">
        <v>0</v>
      </c>
      <c r="EC443" s="7">
        <v>0</v>
      </c>
      <c r="ED443" s="7">
        <v>0</v>
      </c>
      <c r="EE443" s="7">
        <v>0</v>
      </c>
      <c r="EF443" s="7">
        <v>0</v>
      </c>
      <c r="EG443" s="7">
        <v>0</v>
      </c>
      <c r="EH443" s="7">
        <v>8.436396129989544E-3</v>
      </c>
      <c r="EI443" s="7">
        <v>1.3539119081627131E-2</v>
      </c>
      <c r="EJ443" s="7">
        <v>0.12719103462688075</v>
      </c>
      <c r="EK443" s="7">
        <v>0.81064622202245629</v>
      </c>
      <c r="EL443" s="7">
        <v>4.0187228139045739E-2</v>
      </c>
      <c r="EM443" s="7">
        <v>4.4286278140552832E-2</v>
      </c>
      <c r="EN443" s="7">
        <v>4.7541062726933307E-2</v>
      </c>
      <c r="EO443" s="7">
        <v>0.57001680677321553</v>
      </c>
      <c r="EP443" s="7">
        <v>0.2707990428790451</v>
      </c>
      <c r="EQ443" s="7">
        <v>6.7123658431363725E-2</v>
      </c>
      <c r="ER443" s="7">
        <v>4.4519429189441656E-2</v>
      </c>
      <c r="ES443" s="7">
        <v>0.10433958818243157</v>
      </c>
      <c r="ET443" s="7">
        <v>0.14862586632298447</v>
      </c>
      <c r="EU443" s="6">
        <v>1599.9999999999998</v>
      </c>
      <c r="EV443" s="6">
        <v>0</v>
      </c>
      <c r="EW443" s="6">
        <v>1599.9999999999998</v>
      </c>
      <c r="EX443" s="6">
        <v>0</v>
      </c>
      <c r="EY443" s="6">
        <v>2978.2961809900489</v>
      </c>
      <c r="EZ443" s="6">
        <v>114</v>
      </c>
      <c r="FA443" s="6">
        <v>0</v>
      </c>
      <c r="FB443" s="6">
        <v>0</v>
      </c>
      <c r="FC443" s="6">
        <v>0</v>
      </c>
      <c r="FD443" s="6">
        <v>0</v>
      </c>
      <c r="FE443" s="6">
        <v>0</v>
      </c>
      <c r="FF443" s="6">
        <v>0</v>
      </c>
      <c r="FG443" s="6">
        <v>0</v>
      </c>
      <c r="FH443" s="6">
        <v>1153.2545126862904</v>
      </c>
      <c r="FI443" s="6">
        <v>1531.4299904380625</v>
      </c>
      <c r="FJ443" s="6">
        <v>2070.720584253821</v>
      </c>
      <c r="FK443" s="6">
        <v>2218.6393698501015</v>
      </c>
      <c r="FL443" s="6">
        <v>893.91433563489352</v>
      </c>
      <c r="FM443" s="6">
        <v>2128.2961809900489</v>
      </c>
      <c r="FN443" s="6">
        <v>0</v>
      </c>
      <c r="FO443" s="6">
        <v>0</v>
      </c>
      <c r="FP443" s="6">
        <v>0</v>
      </c>
      <c r="FQ443" s="6">
        <v>0</v>
      </c>
      <c r="FR443" s="6">
        <v>0</v>
      </c>
      <c r="FS443" s="6">
        <v>0</v>
      </c>
      <c r="FT443" s="7">
        <v>0.85137413367701553</v>
      </c>
      <c r="FU443" s="7">
        <v>4.4286278140552832E-2</v>
      </c>
      <c r="FV443" s="7">
        <v>0.10433958818243157</v>
      </c>
      <c r="FW443" s="6">
        <v>1600</v>
      </c>
      <c r="FX443" s="6">
        <v>2978.2961809900494</v>
      </c>
      <c r="FY443" s="6">
        <v>114</v>
      </c>
      <c r="FZ443" s="6">
        <v>1695.8504614767719</v>
      </c>
      <c r="GA443" s="6">
        <v>1505.9909799922937</v>
      </c>
      <c r="GB443" s="6">
        <v>18189.009020007707</v>
      </c>
      <c r="GC443" s="7">
        <v>8.1891069685915169E-2</v>
      </c>
      <c r="GD443" s="7">
        <v>8.0500959809582009E-2</v>
      </c>
      <c r="GE443" s="7"/>
      <c r="GF443" s="7"/>
      <c r="GG443" s="7">
        <v>-1.6975109516395179E-2</v>
      </c>
      <c r="GH443" s="42">
        <v>1.7609064309634459</v>
      </c>
      <c r="GI443" s="6">
        <v>12690.571633277914</v>
      </c>
      <c r="GJ443" s="14">
        <v>0.5107463060103955</v>
      </c>
      <c r="GK443" s="14">
        <v>0.50829519786160982</v>
      </c>
      <c r="GL443" s="14">
        <v>0.48925369398960455</v>
      </c>
      <c r="GM443" s="14">
        <v>0.49170480213839035</v>
      </c>
      <c r="GO443" s="5">
        <v>338.16872463277008</v>
      </c>
      <c r="GP443" s="5">
        <v>307.64377699166363</v>
      </c>
      <c r="GQ443" s="5">
        <v>527.27910984145694</v>
      </c>
      <c r="GR443" s="5">
        <v>404.20319246551543</v>
      </c>
      <c r="GS443" s="5">
        <v>334.50205195691484</v>
      </c>
      <c r="GT443" s="5">
        <v>289.18266033348181</v>
      </c>
      <c r="GU443" s="5">
        <v>254.29573314828914</v>
      </c>
      <c r="GV443" s="39" t="s">
        <v>392</v>
      </c>
      <c r="GW443" s="5">
        <v>468.76388888888891</v>
      </c>
      <c r="GX443" s="5">
        <v>351.57291666666669</v>
      </c>
      <c r="GY443" s="5">
        <v>281.25833333333333</v>
      </c>
      <c r="GZ443" s="5">
        <v>240.85506989150105</v>
      </c>
      <c r="HA443" s="5">
        <v>229.89195052129477</v>
      </c>
      <c r="HB443" s="39">
        <v>248.97517658225428</v>
      </c>
      <c r="HC443" s="5">
        <v>278.12812499999995</v>
      </c>
      <c r="HD443" s="5">
        <v>232.92143640350872</v>
      </c>
      <c r="HE443" s="5">
        <v>234.3057059716599</v>
      </c>
      <c r="HF443" s="5">
        <v>215.06692434210527</v>
      </c>
      <c r="HG443" s="5">
        <v>205.38993421052629</v>
      </c>
      <c r="HH443" s="39">
        <v>233.02132236446548</v>
      </c>
      <c r="HI443" s="16"/>
      <c r="HJ443" s="19" t="str">
        <f t="shared" si="1405"/>
        <v>On</v>
      </c>
      <c r="HK443" s="1" t="str">
        <f t="shared" si="1405"/>
        <v>On</v>
      </c>
      <c r="HL443" s="16"/>
      <c r="HM443" s="639">
        <f t="shared" si="1278"/>
        <v>6.6115095157691428E-2</v>
      </c>
      <c r="HN443" s="639">
        <f t="shared" si="1279"/>
        <v>2.3720927871164412E-3</v>
      </c>
      <c r="HO443" s="639">
        <f t="shared" si="1280"/>
        <v>7.7231033444443466E-3</v>
      </c>
      <c r="HP443" s="644">
        <f>(FT443*$GD443-HM443)/$JF443*INDEX(Input!$1:$1048576,$JG$93,$C443*2+6)</f>
        <v>59.06381590150788</v>
      </c>
      <c r="HQ443" s="644">
        <f>(FU443*$GD443-HN443)/$JF443*INDEX(Input!$1:$1048576,$JG$93,$C443*2+6)</f>
        <v>29.100766723412562</v>
      </c>
      <c r="HR443" s="644">
        <f>(FV443*$GD443-HO443)/$JF443*INDEX(Input!$1:$1048576,$JG$93,$C443*2+6)</f>
        <v>16.497827718313122</v>
      </c>
      <c r="HS443" s="644">
        <f t="shared" si="1406"/>
        <v>-21.154396149936201</v>
      </c>
      <c r="HT443" s="644">
        <f t="shared" si="1282"/>
        <v>127.46502379815057</v>
      </c>
      <c r="HU443" s="644">
        <f t="shared" si="1283"/>
        <v>16.66412324871655</v>
      </c>
      <c r="HV443" s="648">
        <f t="shared" si="1284"/>
        <v>0</v>
      </c>
      <c r="HW443" s="648">
        <f t="shared" si="1285"/>
        <v>0</v>
      </c>
      <c r="HX443" s="648">
        <f t="shared" si="1286"/>
        <v>0</v>
      </c>
      <c r="HY443" s="644">
        <f>INDEX(Input!$1:$1048576,HY$93,$C443*2+6)*INDEX(Input!$1:$1048576,$JG$93,$C443*2+6)</f>
        <v>844</v>
      </c>
      <c r="HZ443" s="644">
        <f>INDEX(Input!$1:$1048576,HZ$93,$C443*2+6)*INDEX(Input!$1:$1048576,$JG$93,$C443*2+6)</f>
        <v>865</v>
      </c>
      <c r="IA443" s="644">
        <f>INDEX(Input!$1:$1048576,IA$93,$C443*2+6)*INDEX(Input!$1:$1048576,$JG$93,$C443*2+6)</f>
        <v>150</v>
      </c>
      <c r="IB443" s="644">
        <f t="shared" si="1310"/>
        <v>881.9094197515717</v>
      </c>
      <c r="IC443" s="644">
        <f t="shared" si="1311"/>
        <v>1021.5657905215631</v>
      </c>
      <c r="ID443" s="644">
        <f>IF(AND(INDEX(Input!$1:$1048576,IA$93,$C443*2+7)="TOS",Y443&lt;=INDEX(Y:Y,MATCH(C443*1000+2,A:A))),0,1)*MAX(IA443+HR443+HU443+HX443,0%)</f>
        <v>183.16195096702967</v>
      </c>
      <c r="IE443" s="128">
        <f t="shared" ref="IE443:IE461" si="1411">IB443/SUM($IB443:$ID443)</f>
        <v>0.42264627321571369</v>
      </c>
      <c r="IF443" s="128">
        <f t="shared" si="1383"/>
        <v>0.48957519280180434</v>
      </c>
      <c r="IG443" s="128">
        <f t="shared" si="1288"/>
        <v>8.777853398248206E-2</v>
      </c>
      <c r="IH443" s="21"/>
      <c r="II443" s="19">
        <f t="shared" si="1289"/>
        <v>1199.9999999999998</v>
      </c>
      <c r="IJ443" s="19">
        <f t="shared" si="1290"/>
        <v>2195.4782357510435</v>
      </c>
      <c r="IK443" s="19">
        <f t="shared" si="1291"/>
        <v>-571</v>
      </c>
      <c r="IL443" s="19">
        <f t="shared" si="1313"/>
        <v>400.00000000000023</v>
      </c>
      <c r="IM443" s="19">
        <f t="shared" si="1292"/>
        <v>782.81794523900589</v>
      </c>
      <c r="IN443" s="19">
        <f t="shared" si="1293"/>
        <v>685</v>
      </c>
      <c r="IO443" s="39">
        <f t="shared" si="1294"/>
        <v>0</v>
      </c>
      <c r="IP443" s="39">
        <f t="shared" si="1295"/>
        <v>0</v>
      </c>
      <c r="IQ443" s="39">
        <f t="shared" si="1296"/>
        <v>0</v>
      </c>
      <c r="IR443" s="39">
        <v>0</v>
      </c>
      <c r="IS443" s="39">
        <v>0</v>
      </c>
      <c r="IT443" s="39">
        <v>0</v>
      </c>
      <c r="IU443" s="39">
        <v>0</v>
      </c>
      <c r="IV443" s="39">
        <v>0</v>
      </c>
      <c r="IW443" s="39">
        <v>0</v>
      </c>
      <c r="IX443" s="39">
        <f>INDEX(Input!$1:$1048576,IX$93,$C443*2+6)+INDEX(Input!$1:$1048576,IX$94,$C443*2+6)</f>
        <v>1600</v>
      </c>
      <c r="IY443" s="39">
        <f>INDEX(Input!$1:$1048576,IY$93,$C443*2+6)+INDEX(Input!$1:$1048576,IY$94,$C443*2+6)</f>
        <v>2503.549291639752</v>
      </c>
      <c r="IZ443" s="39">
        <f>INDEX(Input!$1:$1048576,IZ$93,$C443*2+6)+INDEX(Input!$1:$1048576,IZ$94,$C443*2+6)</f>
        <v>5413.7109265464023</v>
      </c>
      <c r="JA443" s="19">
        <f t="shared" si="1314"/>
        <v>2000.0000000000002</v>
      </c>
      <c r="JB443" s="19">
        <f t="shared" si="1315"/>
        <v>3286.3672368787579</v>
      </c>
      <c r="JC443" s="19">
        <f t="shared" si="1316"/>
        <v>6098.7109265464023</v>
      </c>
      <c r="JD443" s="19">
        <f t="shared" si="1317"/>
        <v>2989.5523243590665</v>
      </c>
      <c r="JE443" s="21"/>
      <c r="JF443" s="1">
        <f t="shared" si="1297"/>
        <v>7.6210291289252219E-2</v>
      </c>
      <c r="JG443" s="15">
        <f>INDEX(Input!$1:$1048576,JG$93,$C443*2+6)/(1+VLOOKUP(C443*1000+INDEX(Input!$1:$1048576,JG$93+1,$C443*2+6),$A:$KK,$JK$92,FALSE))</f>
        <v>1859</v>
      </c>
      <c r="JH443" s="1">
        <f t="shared" si="1318"/>
        <v>5.6300382110399977E-2</v>
      </c>
      <c r="JI443" s="1">
        <f t="shared" si="1319"/>
        <v>6.6151022537348531E-2</v>
      </c>
      <c r="JJ443" s="1">
        <f t="shared" si="1384"/>
        <v>0</v>
      </c>
      <c r="JK443" s="1">
        <f t="shared" si="1385"/>
        <v>0.12245140464774851</v>
      </c>
      <c r="JL443" s="15">
        <f t="shared" si="1322"/>
        <v>227.63716124016449</v>
      </c>
      <c r="JM443" s="15">
        <f t="shared" si="1348"/>
        <v>2086.6371612401645</v>
      </c>
      <c r="JN443" s="21"/>
      <c r="JO443" s="19">
        <f>INDEX(Input!$1:$1048576,JO$93,$C443*2+6)</f>
        <v>5908.5</v>
      </c>
      <c r="JP443" s="19">
        <f>INDEX(Input!$1:$1048576,JP$93,$C443*2+6)</f>
        <v>2328.1478086338602</v>
      </c>
      <c r="JQ443" s="39">
        <f t="shared" si="1334"/>
        <v>2918.9476756409335</v>
      </c>
      <c r="JR443" s="39">
        <f t="shared" si="1351"/>
        <v>661.40451572520624</v>
      </c>
      <c r="JS443" s="39">
        <f t="shared" si="1336"/>
        <v>6.2381109754795379</v>
      </c>
      <c r="JT443" s="39">
        <f t="shared" si="1324"/>
        <v>1.910084199229191</v>
      </c>
      <c r="JU443" s="385">
        <f>(JQ443*JM443-INDEX(Input!$1:$1048576,Input!A$18,$C443*2+6)*JL443*INDEX(Input!$1:$1048576,Input!A$19,$C443*2+6))/1000000</f>
        <v>6.0907846917079747</v>
      </c>
      <c r="JV443" s="39">
        <f t="shared" si="1358"/>
        <v>-0.56509003204167918</v>
      </c>
      <c r="JW443" s="1">
        <f t="shared" si="1349"/>
        <v>-8.4900941723754383E-2</v>
      </c>
      <c r="JX443" s="19">
        <f t="shared" si="1340"/>
        <v>8390.915564150755</v>
      </c>
      <c r="JZ443" s="341"/>
      <c r="KA443" s="342"/>
      <c r="KB443" s="469">
        <f t="shared" si="1337"/>
        <v>2.3451977905499271</v>
      </c>
      <c r="KI443" s="473">
        <f t="shared" si="1408"/>
        <v>37.909419751571704</v>
      </c>
      <c r="KJ443" s="473">
        <f t="shared" si="1409"/>
        <v>156.56579052156314</v>
      </c>
      <c r="KK443" s="473">
        <f t="shared" si="1326"/>
        <v>33.161950967029668</v>
      </c>
      <c r="KN443" s="544">
        <f t="shared" si="1341"/>
        <v>4002</v>
      </c>
      <c r="KO443" s="541">
        <f t="shared" si="1301"/>
        <v>4.4551277851541116E-2</v>
      </c>
      <c r="KP443" s="546">
        <f t="shared" si="1302"/>
        <v>218.96906024519583</v>
      </c>
      <c r="KQ443" s="546">
        <f t="shared" si="1303"/>
        <v>265.80876276107074</v>
      </c>
      <c r="KR443" s="548">
        <f t="shared" si="1304"/>
        <v>3.4529588802653337</v>
      </c>
      <c r="KS443" s="548">
        <f t="shared" si="1305"/>
        <v>2.8444929851941576</v>
      </c>
      <c r="KT443" s="473">
        <f t="shared" si="1339"/>
        <v>1050.27685337919</v>
      </c>
      <c r="KU443" s="663">
        <f t="shared" si="1327"/>
        <v>6.5006932873743972</v>
      </c>
      <c r="KV443" s="117"/>
    </row>
    <row r="444" spans="1:308" s="26" customFormat="1" ht="15">
      <c r="A444" s="561">
        <f t="shared" si="1306"/>
        <v>4044</v>
      </c>
      <c r="B444" s="561">
        <f t="shared" si="1328"/>
        <v>44</v>
      </c>
      <c r="C444" s="561">
        <f t="shared" si="1329"/>
        <v>4</v>
      </c>
      <c r="D444" s="561" t="str">
        <f t="shared" si="1378"/>
        <v xml:space="preserve">0/0/0/3.9, 360 Lease, </v>
      </c>
      <c r="E444" s="475">
        <f>INDEX(Input!$1:$1048576,E$93,$C444*2+MIN($B444,2)+5)
+INDEX(Scenarios!E$121:E$200,MATCH($B444,Scenarios!$B$121:$B$200,0))</f>
        <v>1250</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63">
        <f>IFERROR(MAX(0,INDEX(Input!$1:$1048576,W$93,$C444*2+MIN($B444,2)+5)-0%,),"Market")</f>
        <v>3.9E-2</v>
      </c>
      <c r="X444" s="476" t="str">
        <f>INDEX(Input!$1:$1048576,X$93,$C444*2+MIN($B444,2)+5)</f>
        <v>Y</v>
      </c>
      <c r="Y444" s="475">
        <f>INDEX(Input!$1:$1048576,Y$93,$C444*2+MIN($B444,2)+5)
++INDEX(Scenarios!Y$121:Y$200,MATCH($B444,Scenarios!$B$121:$B$200,0))</f>
        <v>-1857</v>
      </c>
      <c r="Z444" s="477">
        <f>INDEX(Input!$1:$1048576,Z$93,$C444*2+MIN($B444,2)+5)
+INDEX(Scenarios!Z$121:Z$200,MATCH($B444,Scenarios!$B$121:$B$200,0))</f>
        <v>0</v>
      </c>
      <c r="AA444" s="475">
        <f>INDEX(Input!$1:$1048576,AA$93,$C444*2+MIN($B444,2)+5)</f>
        <v>0</v>
      </c>
      <c r="AB444" s="476">
        <f>INDEX(Input!$1:$1048576,AB$93,$C444*2+MIN($B444,2)+5)</f>
        <v>1</v>
      </c>
      <c r="AC444" s="475">
        <f>INDEX(Input!$1:$1048576,AC$93,$C444*2+MIN($B444,2)+5)
+INDEX(Scenarios!AC$121:AC$200,MATCH($B444,Scenarios!$B$121:$B$200,0))</f>
        <v>0</v>
      </c>
      <c r="AD444" s="476">
        <f>INDEX(Input!$1:$1048576,AD$93,$C444*2+MIN($B444,2)+5)</f>
        <v>0.35</v>
      </c>
      <c r="AE444" s="475">
        <f>INDEX(Input!$1:$1048576,AE$93,$C444*2+MIN($B444,2)+5)
+INDEX(Scenarios!AE$121:AE$200,MATCH($B444,Scenarios!$B$121:$B$200,0))</f>
        <v>0</v>
      </c>
      <c r="AF444" s="476">
        <f>INDEX(Input!$1:$1048576,AF$93,$C444*2+MIN($B444,2)+5)</f>
        <v>1</v>
      </c>
      <c r="AG444" s="475">
        <f>INDEX(Input!$1:$1048576,AG$93,$C444*2+MIN($B444,2)+5)
+INDEX(Scenarios!AG$121:AG$200,MATCH($B444,Scenarios!$B$121:$B$200,0))</f>
        <v>0</v>
      </c>
      <c r="AH444" s="476">
        <f>INDEX(Input!$1:$1048576,AH$93,$C444*2+MIN($B444,2)+5)</f>
        <v>1</v>
      </c>
      <c r="AI444" s="475">
        <f>INDEX(Input!$1:$1048576,AI$93,$C444*2+MIN($B444,2)+5)
+INDEX(Scenarios!AI$121:AI$200,MATCH($B444,Scenarios!$B$121:$B$200,0))</f>
        <v>0</v>
      </c>
      <c r="AJ444" s="476">
        <f>INDEX(Input!$1:$1048576,AJ$93,$C444*2+MIN($B444,2)+5)</f>
        <v>0.35</v>
      </c>
      <c r="AK444" s="150">
        <f>ROUND(INDEX(Input!$1:$1048576,AK$93,$C443*2+MIN($B444,1)+5)+(Y444-VLOOKUP($C444*1000+1,$A:$HH,Y$92,FALSE)),0)</f>
        <v>4952</v>
      </c>
      <c r="AL444" s="150">
        <f>ROUND(INDEX(Input!$1:$1048576,AL$93,$C443*2+MIN($B444,1)+5)-(Y444-VLOOKUP($C444*1000+1,$A:$HH,Y$92,FALSE))/36,0)</f>
        <v>4733</v>
      </c>
      <c r="AM444" s="32" t="str">
        <f t="shared" si="1307"/>
        <v>std/std/std/std</v>
      </c>
      <c r="AN444" s="32" t="str">
        <f t="shared" si="1308"/>
        <v>$0 + 0/0/0/0/3.9</v>
      </c>
      <c r="AO444" s="32" t="str">
        <f t="shared" si="1309"/>
        <v>0/0/0/0/3.9</v>
      </c>
      <c r="AP444" s="32" t="str">
        <f t="shared" si="1386"/>
        <v>0/0/0/3.9</v>
      </c>
      <c r="AQ444" s="536">
        <f t="shared" si="1379"/>
        <v>0.39808968392335436</v>
      </c>
      <c r="AR444" s="32"/>
      <c r="AS444" s="302"/>
      <c r="AT444" s="3">
        <f t="shared" si="1330"/>
        <v>44</v>
      </c>
      <c r="AU444" s="41" t="s">
        <v>121</v>
      </c>
      <c r="AV444" s="41" t="s">
        <v>116</v>
      </c>
      <c r="AW444" s="41" t="str">
        <f>INDEX(Input!$1:$1048576,AW$93,$C444*2+6)</f>
        <v>Kia</v>
      </c>
      <c r="AX444" s="41" t="str">
        <f>INDEX(Input!$1:$1048576,AX$93,$C444*2+6)</f>
        <v>Kia-LR - R1</v>
      </c>
      <c r="AY444" s="41" t="str">
        <f>IF(LEN(D444)=0,"",INDEX(Input!$1:$1048576,AY$93,$C444*2+6))</f>
        <v>Compact Conventional/Sporty Car (43)</v>
      </c>
      <c r="AZ444" s="41" t="str">
        <f>INDEX(Input!$1:$1048576,AZ$93,$C444*2+6)</f>
        <v>Kia Forte</v>
      </c>
      <c r="BA444" s="3">
        <f>INDEX(Input!$1:$1048576,BA$93,$C444*2+6)</f>
        <v>2020</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19695</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387"/>
        <v>1560</v>
      </c>
      <c r="CJ444" s="16" t="str">
        <f>INDEX(Input!$1:$1048576,CJ$93,$C444*2+6)</f>
        <v>N</v>
      </c>
      <c r="CK444" s="1" t="str">
        <f t="shared" si="1388"/>
        <v>Market</v>
      </c>
      <c r="CL444" s="1" t="str">
        <f t="shared" si="1389"/>
        <v>Market</v>
      </c>
      <c r="CM444" s="1" t="str">
        <f t="shared" si="1390"/>
        <v>Market</v>
      </c>
      <c r="CN444" s="1" t="str">
        <f t="shared" si="1391"/>
        <v>Market</v>
      </c>
      <c r="CO444" s="1" t="str">
        <f t="shared" si="1392"/>
        <v>Market</v>
      </c>
      <c r="CP444" s="304">
        <f t="shared" si="1393"/>
        <v>0</v>
      </c>
      <c r="CQ444" s="1">
        <f t="shared" si="1394"/>
        <v>0</v>
      </c>
      <c r="CR444" s="1">
        <f t="shared" si="1395"/>
        <v>0</v>
      </c>
      <c r="CS444" s="1">
        <f t="shared" si="1396"/>
        <v>0</v>
      </c>
      <c r="CT444" s="1">
        <f t="shared" si="1397"/>
        <v>0</v>
      </c>
      <c r="CU444" s="1">
        <f t="shared" si="1398"/>
        <v>3.9E-2</v>
      </c>
      <c r="CV444" s="304">
        <f t="shared" si="1399"/>
        <v>-1857</v>
      </c>
      <c r="CW444" s="20" t="s">
        <v>122</v>
      </c>
      <c r="CX444" s="20" t="s">
        <v>122</v>
      </c>
      <c r="CY444" s="20" t="s">
        <v>122</v>
      </c>
      <c r="CZ444" s="20" t="s">
        <v>122</v>
      </c>
      <c r="DA444" s="20" t="s">
        <v>122</v>
      </c>
      <c r="DB444" s="503">
        <f t="shared" si="1400"/>
        <v>0</v>
      </c>
      <c r="DC444" s="127">
        <v>0</v>
      </c>
      <c r="DD444" s="127">
        <v>0</v>
      </c>
      <c r="DE444" s="127">
        <v>0</v>
      </c>
      <c r="DF444" s="127">
        <v>0</v>
      </c>
      <c r="DG444" s="127">
        <v>0</v>
      </c>
      <c r="DH444" s="127">
        <v>0</v>
      </c>
      <c r="DI444" s="127">
        <v>0</v>
      </c>
      <c r="DJ444" s="127">
        <v>0</v>
      </c>
      <c r="DK444" s="127">
        <v>0</v>
      </c>
      <c r="DL444" s="127">
        <v>0</v>
      </c>
      <c r="DM444" s="304">
        <f>INDEX(Input!$1:$1048576,DM$93,$C444*2+6)</f>
        <v>20731.578947368424</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4.3855937939974395E-2</v>
      </c>
      <c r="DZ444" s="7">
        <v>0</v>
      </c>
      <c r="EA444" s="7">
        <v>0.79120246421100704</v>
      </c>
      <c r="EB444" s="7">
        <v>0</v>
      </c>
      <c r="EC444" s="7">
        <v>0</v>
      </c>
      <c r="ED444" s="7">
        <v>0</v>
      </c>
      <c r="EE444" s="7">
        <v>0</v>
      </c>
      <c r="EF444" s="7">
        <v>0</v>
      </c>
      <c r="EG444" s="7">
        <v>0</v>
      </c>
      <c r="EH444" s="7">
        <v>5.8635047696713443E-3</v>
      </c>
      <c r="EI444" s="7">
        <v>9.4115667770315447E-3</v>
      </c>
      <c r="EJ444" s="7">
        <v>8.8385553750678622E-2</v>
      </c>
      <c r="EK444" s="7">
        <v>0.86840476714579007</v>
      </c>
      <c r="EL444" s="7">
        <v>2.7934607556828223E-2</v>
      </c>
      <c r="EM444" s="7">
        <v>6.2510403442838758E-2</v>
      </c>
      <c r="EN444" s="7">
        <v>4.7537071266644262E-2</v>
      </c>
      <c r="EO444" s="7">
        <v>0.5700018377930719</v>
      </c>
      <c r="EP444" s="7">
        <v>0.27081603052348036</v>
      </c>
      <c r="EQ444" s="7">
        <v>6.7121871626480062E-2</v>
      </c>
      <c r="ER444" s="7">
        <v>4.452318879032327E-2</v>
      </c>
      <c r="ES444" s="7">
        <v>0.10243119440617984</v>
      </c>
      <c r="ET444" s="7">
        <v>0.1649415978490186</v>
      </c>
      <c r="EU444" s="6">
        <v>1599.9999999999998</v>
      </c>
      <c r="EV444" s="6">
        <v>0</v>
      </c>
      <c r="EW444" s="6">
        <v>1599.9999999999998</v>
      </c>
      <c r="EX444" s="6">
        <v>0</v>
      </c>
      <c r="EY444" s="6">
        <v>3367.7583180545594</v>
      </c>
      <c r="EZ444" s="6">
        <v>114</v>
      </c>
      <c r="FA444" s="6">
        <v>0</v>
      </c>
      <c r="FB444" s="6">
        <v>0</v>
      </c>
      <c r="FC444" s="6">
        <v>0</v>
      </c>
      <c r="FD444" s="6">
        <v>0</v>
      </c>
      <c r="FE444" s="6">
        <v>0</v>
      </c>
      <c r="FF444" s="6">
        <v>0</v>
      </c>
      <c r="FG444" s="6">
        <v>0</v>
      </c>
      <c r="FH444" s="6">
        <v>1153.2551129057508</v>
      </c>
      <c r="FI444" s="6">
        <v>1531.4299904380607</v>
      </c>
      <c r="FJ444" s="6">
        <v>2070.7205842538215</v>
      </c>
      <c r="FK444" s="6">
        <v>2635.3956133202933</v>
      </c>
      <c r="FL444" s="6">
        <v>893.9143356348942</v>
      </c>
      <c r="FM444" s="6">
        <v>2517.7583180545594</v>
      </c>
      <c r="FN444" s="6">
        <v>0</v>
      </c>
      <c r="FO444" s="6">
        <v>0</v>
      </c>
      <c r="FP444" s="6">
        <v>0</v>
      </c>
      <c r="FQ444" s="6">
        <v>0</v>
      </c>
      <c r="FR444" s="6">
        <v>0</v>
      </c>
      <c r="FS444" s="6">
        <v>0</v>
      </c>
      <c r="FT444" s="7">
        <v>0.83505840215098148</v>
      </c>
      <c r="FU444" s="7">
        <v>6.2510403442838758E-2</v>
      </c>
      <c r="FV444" s="7">
        <v>0.10243119440617984</v>
      </c>
      <c r="FW444" s="6">
        <v>1599.9999999999998</v>
      </c>
      <c r="FX444" s="6">
        <v>3367.7583180545594</v>
      </c>
      <c r="FY444" s="6">
        <v>114</v>
      </c>
      <c r="FZ444" s="6">
        <v>1695.8504614767719</v>
      </c>
      <c r="GA444" s="6">
        <v>1558.2905307634412</v>
      </c>
      <c r="GB444" s="6">
        <v>18136.709469236557</v>
      </c>
      <c r="GC444" s="7">
        <v>8.1891069685915169E-2</v>
      </c>
      <c r="GD444" s="7">
        <v>8.1112907055834529E-2</v>
      </c>
      <c r="GE444" s="7"/>
      <c r="GF444" s="7"/>
      <c r="GG444" s="7">
        <v>-9.5024113504097903E-3</v>
      </c>
      <c r="GH444" s="42">
        <v>1.3604978613745728</v>
      </c>
      <c r="GI444" s="6">
        <v>16034.608766281441</v>
      </c>
      <c r="GJ444" s="14">
        <v>0.51074630601039561</v>
      </c>
      <c r="GK444" s="14">
        <v>0.50829519786160982</v>
      </c>
      <c r="GL444" s="14">
        <v>0.48925369398960444</v>
      </c>
      <c r="GM444" s="14">
        <v>0.4917048021383903</v>
      </c>
      <c r="GO444" s="5">
        <v>338.16872463277008</v>
      </c>
      <c r="GP444" s="5">
        <v>307.64377699166363</v>
      </c>
      <c r="GQ444" s="5">
        <v>527.27910984145694</v>
      </c>
      <c r="GR444" s="5">
        <v>404.20319246551543</v>
      </c>
      <c r="GS444" s="5">
        <v>334.50205195691484</v>
      </c>
      <c r="GT444" s="5">
        <v>289.18266033348181</v>
      </c>
      <c r="GU444" s="5">
        <v>254.29573314828914</v>
      </c>
      <c r="GV444" s="39" t="s">
        <v>392</v>
      </c>
      <c r="GW444" s="5">
        <v>468.76388888888891</v>
      </c>
      <c r="GX444" s="5">
        <v>351.57291666666669</v>
      </c>
      <c r="GY444" s="5">
        <v>281.25833333333333</v>
      </c>
      <c r="GZ444" s="5">
        <v>234.38194444444446</v>
      </c>
      <c r="HA444" s="5">
        <v>229.89195052129477</v>
      </c>
      <c r="HB444" s="39">
        <v>240.8769641259548</v>
      </c>
      <c r="HC444" s="5">
        <v>278.12812499999995</v>
      </c>
      <c r="HD444" s="5">
        <v>232.92143640350872</v>
      </c>
      <c r="HE444" s="5">
        <v>234.3057059716599</v>
      </c>
      <c r="HF444" s="5">
        <v>215.06692434210527</v>
      </c>
      <c r="HG444" s="5">
        <v>205.38993421052629</v>
      </c>
      <c r="HH444" s="39">
        <v>233.02109383431193</v>
      </c>
      <c r="HI444" s="16"/>
      <c r="HJ444" s="19" t="str">
        <f t="shared" si="1405"/>
        <v>On</v>
      </c>
      <c r="HK444" s="1" t="str">
        <f t="shared" si="1405"/>
        <v>On</v>
      </c>
      <c r="HL444" s="16"/>
      <c r="HM444" s="639">
        <f t="shared" si="1278"/>
        <v>6.6115095157691428E-2</v>
      </c>
      <c r="HN444" s="639">
        <f t="shared" si="1279"/>
        <v>2.3720927871164412E-3</v>
      </c>
      <c r="HO444" s="639">
        <f t="shared" si="1280"/>
        <v>7.7231033444443466E-3</v>
      </c>
      <c r="HP444" s="644">
        <f>(FT444*$GD444-HM444)/$JF444*INDEX(Input!$1:$1048576,$JG$93,$C444*2+6)</f>
        <v>39.49035120755989</v>
      </c>
      <c r="HQ444" s="644">
        <f>(FU444*$GD444-HN444)/$JF444*INDEX(Input!$1:$1048576,$JG$93,$C444*2+6)</f>
        <v>65.819904845967059</v>
      </c>
      <c r="HR444" s="644">
        <f>(FV444*$GD444-HO444)/$JF444*INDEX(Input!$1:$1048576,$JG$93,$C444*2+6)</f>
        <v>14.279402454468642</v>
      </c>
      <c r="HS444" s="644">
        <f t="shared" si="1406"/>
        <v>-21.234575594381656</v>
      </c>
      <c r="HT444" s="644">
        <f t="shared" si="1282"/>
        <v>191.88433724496085</v>
      </c>
      <c r="HU444" s="644">
        <f t="shared" si="1283"/>
        <v>16.744302693162016</v>
      </c>
      <c r="HV444" s="648">
        <f t="shared" si="1284"/>
        <v>0</v>
      </c>
      <c r="HW444" s="648">
        <f t="shared" si="1285"/>
        <v>0</v>
      </c>
      <c r="HX444" s="648">
        <f t="shared" si="1286"/>
        <v>0</v>
      </c>
      <c r="HY444" s="644">
        <f>INDEX(Input!$1:$1048576,HY$93,$C444*2+6)*INDEX(Input!$1:$1048576,$JG$93,$C444*2+6)</f>
        <v>844</v>
      </c>
      <c r="HZ444" s="644">
        <f>INDEX(Input!$1:$1048576,HZ$93,$C444*2+6)*INDEX(Input!$1:$1048576,$JG$93,$C444*2+6)</f>
        <v>865</v>
      </c>
      <c r="IA444" s="644">
        <f>INDEX(Input!$1:$1048576,IA$93,$C444*2+6)*INDEX(Input!$1:$1048576,$JG$93,$C444*2+6)</f>
        <v>150</v>
      </c>
      <c r="IB444" s="644">
        <f t="shared" si="1310"/>
        <v>862.25577561317823</v>
      </c>
      <c r="IC444" s="644">
        <f t="shared" si="1311"/>
        <v>1122.7042420909279</v>
      </c>
      <c r="ID444" s="644">
        <f>IF(AND(INDEX(Input!$1:$1048576,IA$93,$C444*2+7)="TOS",Y444&lt;=INDEX(Y:Y,MATCH(C444*1000+2,A:A))),0,1)*MAX(IA444+HR444+HU444+HX444,0%)</f>
        <v>181.02370514763066</v>
      </c>
      <c r="IE444" s="128">
        <f t="shared" si="1411"/>
        <v>0.39808968392335436</v>
      </c>
      <c r="IF444" s="128">
        <f t="shared" si="1383"/>
        <v>0.51833457022141149</v>
      </c>
      <c r="IG444" s="128">
        <f t="shared" si="1288"/>
        <v>8.3575745855234154E-2</v>
      </c>
      <c r="IH444" s="21"/>
      <c r="II444" s="19">
        <f t="shared" si="1289"/>
        <v>1199.9999999999998</v>
      </c>
      <c r="IJ444" s="19">
        <f t="shared" si="1290"/>
        <v>2195.4782357510435</v>
      </c>
      <c r="IK444" s="19">
        <f t="shared" si="1291"/>
        <v>-571</v>
      </c>
      <c r="IL444" s="19">
        <f t="shared" si="1313"/>
        <v>400</v>
      </c>
      <c r="IM444" s="19">
        <f t="shared" si="1292"/>
        <v>1172.2800823035159</v>
      </c>
      <c r="IN444" s="19">
        <f t="shared" si="1293"/>
        <v>685</v>
      </c>
      <c r="IO444" s="39">
        <f t="shared" si="1294"/>
        <v>0</v>
      </c>
      <c r="IP444" s="39">
        <f t="shared" si="1295"/>
        <v>0</v>
      </c>
      <c r="IQ444" s="39">
        <f t="shared" si="1296"/>
        <v>0</v>
      </c>
      <c r="IR444" s="39">
        <v>0</v>
      </c>
      <c r="IS444" s="39">
        <v>0</v>
      </c>
      <c r="IT444" s="39">
        <v>0</v>
      </c>
      <c r="IU444" s="39">
        <v>0</v>
      </c>
      <c r="IV444" s="39">
        <v>0</v>
      </c>
      <c r="IW444" s="39">
        <v>0</v>
      </c>
      <c r="IX444" s="39">
        <f>INDEX(Input!$1:$1048576,IX$93,$C444*2+6)+INDEX(Input!$1:$1048576,IX$94,$C444*2+6)</f>
        <v>1600</v>
      </c>
      <c r="IY444" s="39">
        <f>INDEX(Input!$1:$1048576,IY$93,$C444*2+6)+INDEX(Input!$1:$1048576,IY$94,$C444*2+6)</f>
        <v>2503.549291639752</v>
      </c>
      <c r="IZ444" s="39">
        <f>INDEX(Input!$1:$1048576,IZ$93,$C444*2+6)+INDEX(Input!$1:$1048576,IZ$94,$C444*2+6)</f>
        <v>5413.7109265464023</v>
      </c>
      <c r="JA444" s="19">
        <f t="shared" si="1314"/>
        <v>2000</v>
      </c>
      <c r="JB444" s="19">
        <f t="shared" si="1315"/>
        <v>3675.8293739432679</v>
      </c>
      <c r="JC444" s="19">
        <f t="shared" si="1316"/>
        <v>6098.7109265464023</v>
      </c>
      <c r="JD444" s="19">
        <f t="shared" si="1317"/>
        <v>3211.1931210384141</v>
      </c>
      <c r="JE444" s="21"/>
      <c r="JF444" s="1">
        <f t="shared" si="1297"/>
        <v>7.6210291289252219E-2</v>
      </c>
      <c r="JG444" s="15">
        <f>INDEX(Input!$1:$1048576,JG$93,$C444*2+6)/(1+VLOOKUP(C444*1000+INDEX(Input!$1:$1048576,JG$93+1,$C444*2+6),$A:$KK,$JK$92,FALSE))</f>
        <v>1859</v>
      </c>
      <c r="JH444" s="1">
        <f t="shared" si="1318"/>
        <v>6.433010140290242E-2</v>
      </c>
      <c r="JI444" s="1">
        <f t="shared" si="1319"/>
        <v>0.10080369249259882</v>
      </c>
      <c r="JJ444" s="1">
        <f t="shared" si="1384"/>
        <v>0</v>
      </c>
      <c r="JK444" s="1">
        <f t="shared" si="1385"/>
        <v>0.16513379389550126</v>
      </c>
      <c r="JL444" s="15">
        <f t="shared" si="1322"/>
        <v>306.98372285173684</v>
      </c>
      <c r="JM444" s="15">
        <f t="shared" si="1348"/>
        <v>2165.9837228517367</v>
      </c>
      <c r="JN444" s="21"/>
      <c r="JO444" s="19">
        <f>INDEX(Input!$1:$1048576,JO$93,$C444*2+6)</f>
        <v>5908.5</v>
      </c>
      <c r="JP444" s="19">
        <f>INDEX(Input!$1:$1048576,JP$93,$C444*2+6)</f>
        <v>2328.1478086338602</v>
      </c>
      <c r="JQ444" s="39">
        <f t="shared" si="1334"/>
        <v>2697.3068789615859</v>
      </c>
      <c r="JR444" s="39">
        <f t="shared" si="1351"/>
        <v>883.0453124045539</v>
      </c>
      <c r="JS444" s="39">
        <f t="shared" si="1336"/>
        <v>6.9553920311026722</v>
      </c>
      <c r="JT444" s="39">
        <f t="shared" si="1324"/>
        <v>2.6273652548523256</v>
      </c>
      <c r="JU444" s="385">
        <f>(JQ444*JM444-INDEX(Input!$1:$1048576,Input!A$18,$C444*2+6)*JL444*INDEX(Input!$1:$1048576,Input!A$19,$C444*2+6))/1000000</f>
        <v>5.8423227953668144</v>
      </c>
      <c r="JV444" s="39">
        <f t="shared" si="1358"/>
        <v>-0.81355192838283941</v>
      </c>
      <c r="JW444" s="1">
        <f t="shared" si="1349"/>
        <v>-0.12223065519546268</v>
      </c>
      <c r="JX444" s="19">
        <f t="shared" si="1340"/>
        <v>8558.6467922315787</v>
      </c>
      <c r="JZ444" s="341"/>
      <c r="KA444" s="342"/>
      <c r="KB444" s="469">
        <f t="shared" si="1337"/>
        <v>2.3451977905499271</v>
      </c>
      <c r="KI444" s="473">
        <f t="shared" si="1408"/>
        <v>18.25577561317823</v>
      </c>
      <c r="KJ444" s="473">
        <f t="shared" si="1409"/>
        <v>257.70424209092789</v>
      </c>
      <c r="KK444" s="473">
        <f t="shared" si="1326"/>
        <v>31.023705147630693</v>
      </c>
      <c r="KN444" s="544">
        <f t="shared" si="1341"/>
        <v>4002</v>
      </c>
      <c r="KO444" s="541">
        <f t="shared" si="1301"/>
        <v>8.4271433259506034E-2</v>
      </c>
      <c r="KP444" s="546">
        <f t="shared" si="1302"/>
        <v>430.33445088807321</v>
      </c>
      <c r="KQ444" s="546">
        <f t="shared" si="1303"/>
        <v>487.4495594404184</v>
      </c>
      <c r="KR444" s="548">
        <f t="shared" si="1304"/>
        <v>3.3234431994168623</v>
      </c>
      <c r="KS444" s="548">
        <f t="shared" si="1305"/>
        <v>2.9340309711646602</v>
      </c>
      <c r="KT444" s="473">
        <f t="shared" si="1339"/>
        <v>1050.27685337919</v>
      </c>
      <c r="KU444" s="663">
        <f t="shared" si="1327"/>
        <v>6.515365831757217</v>
      </c>
      <c r="KV444" s="117"/>
    </row>
    <row r="445" spans="1:308" s="26" customFormat="1" ht="15">
      <c r="A445" s="561">
        <f t="shared" si="1306"/>
        <v>4045</v>
      </c>
      <c r="B445" s="561">
        <f t="shared" si="1328"/>
        <v>45</v>
      </c>
      <c r="C445" s="561">
        <f t="shared" si="1329"/>
        <v>4</v>
      </c>
      <c r="D445" s="561" t="str">
        <f t="shared" si="1378"/>
        <v xml:space="preserve">0/0/0/3.9, 360 Lease, </v>
      </c>
      <c r="E445" s="475">
        <f>INDEX(Input!$1:$1048576,E$93,$C445*2+MIN($B445,2)+5)
+INDEX(Scenarios!E$121:E$200,MATCH($B445,Scenarios!$B$121:$B$200,0))</f>
        <v>1250</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63">
        <f>IFERROR(MAX(0,INDEX(Input!$1:$1048576,W$93,$C445*2+MIN($B445,2)+5)-0%,),"Market")</f>
        <v>3.9E-2</v>
      </c>
      <c r="X445" s="476" t="str">
        <f>INDEX(Input!$1:$1048576,X$93,$C445*2+MIN($B445,2)+5)</f>
        <v>Y</v>
      </c>
      <c r="Y445" s="475">
        <f>INDEX(Input!$1:$1048576,Y$93,$C445*2+MIN($B445,2)+5)
++INDEX(Scenarios!Y$121:Y$200,MATCH($B445,Scenarios!$B$121:$B$200,0))</f>
        <v>-1857</v>
      </c>
      <c r="Z445" s="477">
        <f>INDEX(Input!$1:$1048576,Z$93,$C445*2+MIN($B445,2)+5)
+INDEX(Scenarios!Z$121:Z$200,MATCH($B445,Scenarios!$B$121:$B$200,0))</f>
        <v>0</v>
      </c>
      <c r="AA445" s="475">
        <f>INDEX(Input!$1:$1048576,AA$93,$C445*2+MIN($B445,2)+5)</f>
        <v>0</v>
      </c>
      <c r="AB445" s="476">
        <f>INDEX(Input!$1:$1048576,AB$93,$C445*2+MIN($B445,2)+5)</f>
        <v>1</v>
      </c>
      <c r="AC445" s="475">
        <f>INDEX(Input!$1:$1048576,AC$93,$C445*2+MIN($B445,2)+5)
+INDEX(Scenarios!AC$121:AC$200,MATCH($B445,Scenarios!$B$121:$B$200,0))</f>
        <v>0</v>
      </c>
      <c r="AD445" s="476">
        <f>INDEX(Input!$1:$1048576,AD$93,$C445*2+MIN($B445,2)+5)</f>
        <v>0.35</v>
      </c>
      <c r="AE445" s="475">
        <f>INDEX(Input!$1:$1048576,AE$93,$C445*2+MIN($B445,2)+5)
+INDEX(Scenarios!AE$121:AE$200,MATCH($B445,Scenarios!$B$121:$B$200,0))</f>
        <v>0</v>
      </c>
      <c r="AF445" s="476">
        <f>INDEX(Input!$1:$1048576,AF$93,$C445*2+MIN($B445,2)+5)</f>
        <v>1</v>
      </c>
      <c r="AG445" s="475">
        <f>INDEX(Input!$1:$1048576,AG$93,$C445*2+MIN($B445,2)+5)
+INDEX(Scenarios!AG$121:AG$200,MATCH($B445,Scenarios!$B$121:$B$200,0))</f>
        <v>0</v>
      </c>
      <c r="AH445" s="476">
        <f>INDEX(Input!$1:$1048576,AH$93,$C445*2+MIN($B445,2)+5)</f>
        <v>1</v>
      </c>
      <c r="AI445" s="475">
        <f>INDEX(Input!$1:$1048576,AI$93,$C445*2+MIN($B445,2)+5)
+INDEX(Scenarios!AI$121:AI$200,MATCH($B445,Scenarios!$B$121:$B$200,0))</f>
        <v>0</v>
      </c>
      <c r="AJ445" s="476">
        <f>INDEX(Input!$1:$1048576,AJ$93,$C445*2+MIN($B445,2)+5)</f>
        <v>0.35</v>
      </c>
      <c r="AK445" s="150">
        <f>ROUND(INDEX(Input!$1:$1048576,AK$93,$C444*2+MIN($B445,1)+5)+(Y445-VLOOKUP($C445*1000+1,$A:$HH,Y$92,FALSE)),0)</f>
        <v>4952</v>
      </c>
      <c r="AL445" s="150">
        <f>ROUND(INDEX(Input!$1:$1048576,AL$93,$C444*2+MIN($B445,1)+5)-(Y445-VLOOKUP($C445*1000+1,$A:$HH,Y$92,FALSE))/36,0)</f>
        <v>4733</v>
      </c>
      <c r="AM445" s="32" t="str">
        <f t="shared" si="1307"/>
        <v>std/std/std/std</v>
      </c>
      <c r="AN445" s="32" t="str">
        <f t="shared" si="1308"/>
        <v>$0 + 0/0/0/0/3.9</v>
      </c>
      <c r="AO445" s="32" t="str">
        <f t="shared" si="1309"/>
        <v>0/0/0/0/3.9</v>
      </c>
      <c r="AP445" s="32" t="str">
        <f t="shared" si="1386"/>
        <v>0/0/0/3.9</v>
      </c>
      <c r="AQ445" s="536">
        <f t="shared" si="1379"/>
        <v>0.39808968392335436</v>
      </c>
      <c r="AR445" s="32"/>
      <c r="AS445" s="302"/>
      <c r="AT445" s="3">
        <f t="shared" si="1330"/>
        <v>45</v>
      </c>
      <c r="AU445" s="41" t="s">
        <v>121</v>
      </c>
      <c r="AV445" s="41" t="s">
        <v>116</v>
      </c>
      <c r="AW445" s="41" t="str">
        <f>INDEX(Input!$1:$1048576,AW$93,$C445*2+6)</f>
        <v>Kia</v>
      </c>
      <c r="AX445" s="41" t="str">
        <f>INDEX(Input!$1:$1048576,AX$93,$C445*2+6)</f>
        <v>Kia-LR - R1</v>
      </c>
      <c r="AY445" s="41" t="str">
        <f>IF(LEN(D445)=0,"",INDEX(Input!$1:$1048576,AY$93,$C445*2+6))</f>
        <v>Compact Conventional/Sporty Car (43)</v>
      </c>
      <c r="AZ445" s="41" t="str">
        <f>INDEX(Input!$1:$1048576,AZ$93,$C445*2+6)</f>
        <v>Kia Forte</v>
      </c>
      <c r="BA445" s="3">
        <f>INDEX(Input!$1:$1048576,BA$93,$C445*2+6)</f>
        <v>2020</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19695</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387"/>
        <v>1560</v>
      </c>
      <c r="CJ445" s="16" t="str">
        <f>INDEX(Input!$1:$1048576,CJ$93,$C445*2+6)</f>
        <v>N</v>
      </c>
      <c r="CK445" s="1" t="str">
        <f t="shared" si="1388"/>
        <v>Market</v>
      </c>
      <c r="CL445" s="1" t="str">
        <f t="shared" si="1389"/>
        <v>Market</v>
      </c>
      <c r="CM445" s="1" t="str">
        <f t="shared" si="1390"/>
        <v>Market</v>
      </c>
      <c r="CN445" s="1" t="str">
        <f t="shared" si="1391"/>
        <v>Market</v>
      </c>
      <c r="CO445" s="1" t="str">
        <f t="shared" si="1392"/>
        <v>Market</v>
      </c>
      <c r="CP445" s="304">
        <f t="shared" si="1393"/>
        <v>0</v>
      </c>
      <c r="CQ445" s="1">
        <f t="shared" si="1394"/>
        <v>0</v>
      </c>
      <c r="CR445" s="1">
        <f t="shared" si="1395"/>
        <v>0</v>
      </c>
      <c r="CS445" s="1">
        <f t="shared" si="1396"/>
        <v>0</v>
      </c>
      <c r="CT445" s="1">
        <f t="shared" si="1397"/>
        <v>0</v>
      </c>
      <c r="CU445" s="1">
        <f t="shared" si="1398"/>
        <v>3.9E-2</v>
      </c>
      <c r="CV445" s="304">
        <f t="shared" si="1399"/>
        <v>-1857</v>
      </c>
      <c r="CW445" s="20" t="s">
        <v>122</v>
      </c>
      <c r="CX445" s="20" t="s">
        <v>122</v>
      </c>
      <c r="CY445" s="20" t="s">
        <v>122</v>
      </c>
      <c r="CZ445" s="20" t="s">
        <v>122</v>
      </c>
      <c r="DA445" s="20" t="s">
        <v>122</v>
      </c>
      <c r="DB445" s="503">
        <f t="shared" si="1400"/>
        <v>0</v>
      </c>
      <c r="DC445" s="127">
        <v>0</v>
      </c>
      <c r="DD445" s="127">
        <v>0</v>
      </c>
      <c r="DE445" s="127">
        <v>0</v>
      </c>
      <c r="DF445" s="127">
        <v>0</v>
      </c>
      <c r="DG445" s="127">
        <v>0</v>
      </c>
      <c r="DH445" s="127">
        <v>0</v>
      </c>
      <c r="DI445" s="127">
        <v>0</v>
      </c>
      <c r="DJ445" s="127">
        <v>0</v>
      </c>
      <c r="DK445" s="127">
        <v>0</v>
      </c>
      <c r="DL445" s="127">
        <v>0</v>
      </c>
      <c r="DM445" s="304">
        <f>INDEX(Input!$1:$1048576,DM$93,$C445*2+6)</f>
        <v>20731.578947368424</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4.3855937939974395E-2</v>
      </c>
      <c r="DZ445" s="7">
        <v>0</v>
      </c>
      <c r="EA445" s="7">
        <v>0.79120246421100704</v>
      </c>
      <c r="EB445" s="7">
        <v>0</v>
      </c>
      <c r="EC445" s="7">
        <v>0</v>
      </c>
      <c r="ED445" s="7">
        <v>0</v>
      </c>
      <c r="EE445" s="7">
        <v>0</v>
      </c>
      <c r="EF445" s="7">
        <v>0</v>
      </c>
      <c r="EG445" s="7">
        <v>0</v>
      </c>
      <c r="EH445" s="7">
        <v>5.8635047696713443E-3</v>
      </c>
      <c r="EI445" s="7">
        <v>9.4115667770315447E-3</v>
      </c>
      <c r="EJ445" s="7">
        <v>8.8385553750678622E-2</v>
      </c>
      <c r="EK445" s="7">
        <v>0.86840476714579007</v>
      </c>
      <c r="EL445" s="7">
        <v>2.7934607556828223E-2</v>
      </c>
      <c r="EM445" s="7">
        <v>6.2510403442838758E-2</v>
      </c>
      <c r="EN445" s="7">
        <v>4.7537071266644262E-2</v>
      </c>
      <c r="EO445" s="7">
        <v>0.5700018377930719</v>
      </c>
      <c r="EP445" s="7">
        <v>0.27081603052348036</v>
      </c>
      <c r="EQ445" s="7">
        <v>6.7121871626480062E-2</v>
      </c>
      <c r="ER445" s="7">
        <v>4.452318879032327E-2</v>
      </c>
      <c r="ES445" s="7">
        <v>0.10243119440617984</v>
      </c>
      <c r="ET445" s="7">
        <v>0.1649415978490186</v>
      </c>
      <c r="EU445" s="6">
        <v>1599.9999999999998</v>
      </c>
      <c r="EV445" s="6">
        <v>0</v>
      </c>
      <c r="EW445" s="6">
        <v>1599.9999999999998</v>
      </c>
      <c r="EX445" s="6">
        <v>0</v>
      </c>
      <c r="EY445" s="6">
        <v>3367.7583180545594</v>
      </c>
      <c r="EZ445" s="6">
        <v>114</v>
      </c>
      <c r="FA445" s="6">
        <v>0</v>
      </c>
      <c r="FB445" s="6">
        <v>0</v>
      </c>
      <c r="FC445" s="6">
        <v>0</v>
      </c>
      <c r="FD445" s="6">
        <v>0</v>
      </c>
      <c r="FE445" s="6">
        <v>0</v>
      </c>
      <c r="FF445" s="6">
        <v>0</v>
      </c>
      <c r="FG445" s="6">
        <v>0</v>
      </c>
      <c r="FH445" s="6">
        <v>1153.2551129057508</v>
      </c>
      <c r="FI445" s="6">
        <v>1531.4299904380607</v>
      </c>
      <c r="FJ445" s="6">
        <v>2070.7205842538215</v>
      </c>
      <c r="FK445" s="6">
        <v>2635.3956133202933</v>
      </c>
      <c r="FL445" s="6">
        <v>893.9143356348942</v>
      </c>
      <c r="FM445" s="6">
        <v>2517.7583180545594</v>
      </c>
      <c r="FN445" s="6">
        <v>0</v>
      </c>
      <c r="FO445" s="6">
        <v>0</v>
      </c>
      <c r="FP445" s="6">
        <v>0</v>
      </c>
      <c r="FQ445" s="6">
        <v>0</v>
      </c>
      <c r="FR445" s="6">
        <v>0</v>
      </c>
      <c r="FS445" s="6">
        <v>0</v>
      </c>
      <c r="FT445" s="7">
        <v>0.83505840215098148</v>
      </c>
      <c r="FU445" s="7">
        <v>6.2510403442838758E-2</v>
      </c>
      <c r="FV445" s="7">
        <v>0.10243119440617984</v>
      </c>
      <c r="FW445" s="6">
        <v>1599.9999999999998</v>
      </c>
      <c r="FX445" s="6">
        <v>3367.7583180545594</v>
      </c>
      <c r="FY445" s="6">
        <v>114</v>
      </c>
      <c r="FZ445" s="6">
        <v>1695.8504614767719</v>
      </c>
      <c r="GA445" s="6">
        <v>1558.2905307634412</v>
      </c>
      <c r="GB445" s="6">
        <v>18136.709469236557</v>
      </c>
      <c r="GC445" s="7">
        <v>8.1891069685915169E-2</v>
      </c>
      <c r="GD445" s="7">
        <v>8.1112907055834529E-2</v>
      </c>
      <c r="GE445" s="7"/>
      <c r="GF445" s="7"/>
      <c r="GG445" s="7">
        <v>-9.5024113504097903E-3</v>
      </c>
      <c r="GH445" s="42">
        <v>1.3604978613745728</v>
      </c>
      <c r="GI445" s="6">
        <v>16034.608766281441</v>
      </c>
      <c r="GJ445" s="14">
        <v>0.51074630601039561</v>
      </c>
      <c r="GK445" s="14">
        <v>0.50829519786160982</v>
      </c>
      <c r="GL445" s="14">
        <v>0.48925369398960444</v>
      </c>
      <c r="GM445" s="14">
        <v>0.4917048021383903</v>
      </c>
      <c r="GO445" s="5">
        <v>338.16872463277008</v>
      </c>
      <c r="GP445" s="5">
        <v>307.64377699166363</v>
      </c>
      <c r="GQ445" s="5">
        <v>527.27910984145694</v>
      </c>
      <c r="GR445" s="5">
        <v>404.20319246551543</v>
      </c>
      <c r="GS445" s="5">
        <v>334.50205195691484</v>
      </c>
      <c r="GT445" s="5">
        <v>289.18266033348181</v>
      </c>
      <c r="GU445" s="5">
        <v>254.29573314828914</v>
      </c>
      <c r="GV445" s="39" t="s">
        <v>392</v>
      </c>
      <c r="GW445" s="5">
        <v>468.76388888888891</v>
      </c>
      <c r="GX445" s="5">
        <v>351.57291666666669</v>
      </c>
      <c r="GY445" s="5">
        <v>281.25833333333333</v>
      </c>
      <c r="GZ445" s="5">
        <v>234.38194444444446</v>
      </c>
      <c r="HA445" s="5">
        <v>229.89195052129477</v>
      </c>
      <c r="HB445" s="39">
        <v>240.8769641259548</v>
      </c>
      <c r="HC445" s="5">
        <v>278.12812499999995</v>
      </c>
      <c r="HD445" s="5">
        <v>232.92143640350872</v>
      </c>
      <c r="HE445" s="5">
        <v>234.3057059716599</v>
      </c>
      <c r="HF445" s="5">
        <v>215.06692434210527</v>
      </c>
      <c r="HG445" s="5">
        <v>205.38993421052629</v>
      </c>
      <c r="HH445" s="39">
        <v>233.02109383431193</v>
      </c>
      <c r="HI445" s="16"/>
      <c r="HJ445" s="19" t="str">
        <f t="shared" si="1405"/>
        <v>On</v>
      </c>
      <c r="HK445" s="1" t="str">
        <f t="shared" si="1405"/>
        <v>On</v>
      </c>
      <c r="HL445" s="16"/>
      <c r="HM445" s="639">
        <f t="shared" si="1278"/>
        <v>6.6115095157691428E-2</v>
      </c>
      <c r="HN445" s="639">
        <f t="shared" si="1279"/>
        <v>2.3720927871164412E-3</v>
      </c>
      <c r="HO445" s="639">
        <f t="shared" si="1280"/>
        <v>7.7231033444443466E-3</v>
      </c>
      <c r="HP445" s="644">
        <f>(FT445*$GD445-HM445)/$JF445*INDEX(Input!$1:$1048576,$JG$93,$C445*2+6)</f>
        <v>39.49035120755989</v>
      </c>
      <c r="HQ445" s="644">
        <f>(FU445*$GD445-HN445)/$JF445*INDEX(Input!$1:$1048576,$JG$93,$C445*2+6)</f>
        <v>65.819904845967059</v>
      </c>
      <c r="HR445" s="644">
        <f>(FV445*$GD445-HO445)/$JF445*INDEX(Input!$1:$1048576,$JG$93,$C445*2+6)</f>
        <v>14.279402454468642</v>
      </c>
      <c r="HS445" s="644">
        <f t="shared" si="1406"/>
        <v>-21.234575594381656</v>
      </c>
      <c r="HT445" s="644">
        <f t="shared" si="1282"/>
        <v>191.88433724496085</v>
      </c>
      <c r="HU445" s="644">
        <f t="shared" si="1283"/>
        <v>16.744302693162016</v>
      </c>
      <c r="HV445" s="648">
        <f t="shared" si="1284"/>
        <v>0</v>
      </c>
      <c r="HW445" s="648">
        <f t="shared" si="1285"/>
        <v>0</v>
      </c>
      <c r="HX445" s="648">
        <f t="shared" si="1286"/>
        <v>0</v>
      </c>
      <c r="HY445" s="644">
        <f>INDEX(Input!$1:$1048576,HY$93,$C445*2+6)*INDEX(Input!$1:$1048576,$JG$93,$C445*2+6)</f>
        <v>844</v>
      </c>
      <c r="HZ445" s="644">
        <f>INDEX(Input!$1:$1048576,HZ$93,$C445*2+6)*INDEX(Input!$1:$1048576,$JG$93,$C445*2+6)</f>
        <v>865</v>
      </c>
      <c r="IA445" s="644">
        <f>INDEX(Input!$1:$1048576,IA$93,$C445*2+6)*INDEX(Input!$1:$1048576,$JG$93,$C445*2+6)</f>
        <v>150</v>
      </c>
      <c r="IB445" s="644">
        <f t="shared" si="1310"/>
        <v>862.25577561317823</v>
      </c>
      <c r="IC445" s="644">
        <f t="shared" si="1311"/>
        <v>1122.7042420909279</v>
      </c>
      <c r="ID445" s="644">
        <f>IF(AND(INDEX(Input!$1:$1048576,IA$93,$C445*2+7)="TOS",Y445&lt;=INDEX(Y:Y,MATCH(C445*1000+2,A:A))),0,1)*MAX(IA445+HR445+HU445+HX445,0%)</f>
        <v>181.02370514763066</v>
      </c>
      <c r="IE445" s="128">
        <f t="shared" si="1411"/>
        <v>0.39808968392335436</v>
      </c>
      <c r="IF445" s="128">
        <f t="shared" si="1383"/>
        <v>0.51833457022141149</v>
      </c>
      <c r="IG445" s="128">
        <f t="shared" si="1288"/>
        <v>8.3575745855234154E-2</v>
      </c>
      <c r="IH445" s="21"/>
      <c r="II445" s="19">
        <f t="shared" si="1289"/>
        <v>1199.9999999999998</v>
      </c>
      <c r="IJ445" s="19">
        <f t="shared" si="1290"/>
        <v>2195.4782357510435</v>
      </c>
      <c r="IK445" s="19">
        <f t="shared" si="1291"/>
        <v>-571</v>
      </c>
      <c r="IL445" s="19">
        <f t="shared" si="1313"/>
        <v>400</v>
      </c>
      <c r="IM445" s="19">
        <f t="shared" si="1292"/>
        <v>1172.2800823035159</v>
      </c>
      <c r="IN445" s="19">
        <f t="shared" si="1293"/>
        <v>685</v>
      </c>
      <c r="IO445" s="39">
        <f t="shared" si="1294"/>
        <v>0</v>
      </c>
      <c r="IP445" s="39">
        <f t="shared" si="1295"/>
        <v>0</v>
      </c>
      <c r="IQ445" s="39">
        <f t="shared" si="1296"/>
        <v>0</v>
      </c>
      <c r="IR445" s="39">
        <v>0</v>
      </c>
      <c r="IS445" s="39">
        <v>0</v>
      </c>
      <c r="IT445" s="39">
        <v>0</v>
      </c>
      <c r="IU445" s="39">
        <v>0</v>
      </c>
      <c r="IV445" s="39">
        <v>0</v>
      </c>
      <c r="IW445" s="39">
        <v>0</v>
      </c>
      <c r="IX445" s="39">
        <f>INDEX(Input!$1:$1048576,IX$93,$C445*2+6)+INDEX(Input!$1:$1048576,IX$94,$C445*2+6)</f>
        <v>1600</v>
      </c>
      <c r="IY445" s="39">
        <f>INDEX(Input!$1:$1048576,IY$93,$C445*2+6)+INDEX(Input!$1:$1048576,IY$94,$C445*2+6)</f>
        <v>2503.549291639752</v>
      </c>
      <c r="IZ445" s="39">
        <f>INDEX(Input!$1:$1048576,IZ$93,$C445*2+6)+INDEX(Input!$1:$1048576,IZ$94,$C445*2+6)</f>
        <v>5413.7109265464023</v>
      </c>
      <c r="JA445" s="19">
        <f t="shared" si="1314"/>
        <v>2000</v>
      </c>
      <c r="JB445" s="19">
        <f t="shared" si="1315"/>
        <v>3675.8293739432679</v>
      </c>
      <c r="JC445" s="19">
        <f t="shared" si="1316"/>
        <v>6098.7109265464023</v>
      </c>
      <c r="JD445" s="19">
        <f t="shared" si="1317"/>
        <v>3211.1931210384141</v>
      </c>
      <c r="JE445" s="21"/>
      <c r="JF445" s="1">
        <f t="shared" si="1297"/>
        <v>7.6210291289252219E-2</v>
      </c>
      <c r="JG445" s="15">
        <f>INDEX(Input!$1:$1048576,JG$93,$C445*2+6)/(1+VLOOKUP(C445*1000+INDEX(Input!$1:$1048576,JG$93+1,$C445*2+6),$A:$KK,$JK$92,FALSE))</f>
        <v>1859</v>
      </c>
      <c r="JH445" s="1">
        <f t="shared" si="1318"/>
        <v>6.433010140290242E-2</v>
      </c>
      <c r="JI445" s="1">
        <f t="shared" si="1319"/>
        <v>0.10080369249259882</v>
      </c>
      <c r="JJ445" s="1">
        <f t="shared" si="1384"/>
        <v>0</v>
      </c>
      <c r="JK445" s="1">
        <f t="shared" si="1385"/>
        <v>0.16513379389550126</v>
      </c>
      <c r="JL445" s="15">
        <f t="shared" si="1322"/>
        <v>306.98372285173684</v>
      </c>
      <c r="JM445" s="15">
        <f t="shared" si="1348"/>
        <v>2165.9837228517367</v>
      </c>
      <c r="JN445" s="21"/>
      <c r="JO445" s="19">
        <f>INDEX(Input!$1:$1048576,JO$93,$C445*2+6)</f>
        <v>5908.5</v>
      </c>
      <c r="JP445" s="19">
        <f>INDEX(Input!$1:$1048576,JP$93,$C445*2+6)</f>
        <v>2328.1478086338602</v>
      </c>
      <c r="JQ445" s="39">
        <f t="shared" si="1334"/>
        <v>2697.3068789615859</v>
      </c>
      <c r="JR445" s="39">
        <f t="shared" si="1351"/>
        <v>883.0453124045539</v>
      </c>
      <c r="JS445" s="39">
        <f t="shared" si="1336"/>
        <v>6.9553920311026722</v>
      </c>
      <c r="JT445" s="39">
        <f t="shared" si="1324"/>
        <v>2.6273652548523256</v>
      </c>
      <c r="JU445" s="385">
        <f>(JQ445*JM445-INDEX(Input!$1:$1048576,Input!A$18,$C445*2+6)*JL445*INDEX(Input!$1:$1048576,Input!A$19,$C445*2+6))/1000000</f>
        <v>5.8423227953668144</v>
      </c>
      <c r="JV445" s="39">
        <f t="shared" si="1358"/>
        <v>-0.81355192838283941</v>
      </c>
      <c r="JW445" s="1">
        <f t="shared" si="1349"/>
        <v>-0.12223065519546268</v>
      </c>
      <c r="JX445" s="19">
        <f t="shared" si="1340"/>
        <v>8558.6467922315787</v>
      </c>
      <c r="JZ445" s="341"/>
      <c r="KA445" s="342"/>
      <c r="KB445" s="469">
        <f t="shared" si="1337"/>
        <v>2.3451977905499271</v>
      </c>
      <c r="KI445" s="473">
        <f t="shared" si="1408"/>
        <v>18.25577561317823</v>
      </c>
      <c r="KJ445" s="473">
        <f t="shared" si="1409"/>
        <v>257.70424209092789</v>
      </c>
      <c r="KK445" s="473">
        <f t="shared" si="1326"/>
        <v>31.023705147630693</v>
      </c>
      <c r="KN445" s="544">
        <f t="shared" si="1341"/>
        <v>4002</v>
      </c>
      <c r="KO445" s="541">
        <f t="shared" si="1301"/>
        <v>8.4271433259506034E-2</v>
      </c>
      <c r="KP445" s="546">
        <f t="shared" si="1302"/>
        <v>430.33445088807321</v>
      </c>
      <c r="KQ445" s="546">
        <f t="shared" si="1303"/>
        <v>487.4495594404184</v>
      </c>
      <c r="KR445" s="548">
        <f t="shared" si="1304"/>
        <v>3.3234431994168623</v>
      </c>
      <c r="KS445" s="548">
        <f t="shared" si="1305"/>
        <v>2.9340309711646602</v>
      </c>
      <c r="KT445" s="473">
        <f t="shared" si="1339"/>
        <v>1050.27685337919</v>
      </c>
      <c r="KU445" s="663">
        <f t="shared" si="1327"/>
        <v>6.5153668317572171</v>
      </c>
      <c r="KV445" s="117"/>
    </row>
    <row r="446" spans="1:308" s="26" customFormat="1" ht="15">
      <c r="A446" s="561">
        <f t="shared" si="1306"/>
        <v>4046</v>
      </c>
      <c r="B446" s="561">
        <f t="shared" si="1328"/>
        <v>46</v>
      </c>
      <c r="C446" s="561">
        <f t="shared" si="1329"/>
        <v>4</v>
      </c>
      <c r="D446" s="561" t="str">
        <f t="shared" si="1378"/>
        <v xml:space="preserve">0/0/0/3.9, 360 Lease, </v>
      </c>
      <c r="E446" s="475">
        <f>INDEX(Input!$1:$1048576,E$93,$C446*2+MIN($B446,2)+5)
+INDEX(Scenarios!E$121:E$200,MATCH($B446,Scenarios!$B$121:$B$200,0))</f>
        <v>1250</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63">
        <f>IFERROR(MAX(0,INDEX(Input!$1:$1048576,W$93,$C446*2+MIN($B446,2)+5)-0%,),"Market")</f>
        <v>3.9E-2</v>
      </c>
      <c r="X446" s="476" t="str">
        <f>INDEX(Input!$1:$1048576,X$93,$C446*2+MIN($B446,2)+5)</f>
        <v>Y</v>
      </c>
      <c r="Y446" s="475">
        <f>INDEX(Input!$1:$1048576,Y$93,$C446*2+MIN($B446,2)+5)
++INDEX(Scenarios!Y$121:Y$200,MATCH($B446,Scenarios!$B$121:$B$200,0))</f>
        <v>-1857</v>
      </c>
      <c r="Z446" s="477">
        <f>INDEX(Input!$1:$1048576,Z$93,$C446*2+MIN($B446,2)+5)
+INDEX(Scenarios!Z$121:Z$200,MATCH($B446,Scenarios!$B$121:$B$200,0))</f>
        <v>0</v>
      </c>
      <c r="AA446" s="475">
        <f>INDEX(Input!$1:$1048576,AA$93,$C446*2+MIN($B446,2)+5)</f>
        <v>0</v>
      </c>
      <c r="AB446" s="476">
        <f>INDEX(Input!$1:$1048576,AB$93,$C446*2+MIN($B446,2)+5)</f>
        <v>1</v>
      </c>
      <c r="AC446" s="475">
        <f>INDEX(Input!$1:$1048576,AC$93,$C446*2+MIN($B446,2)+5)
+INDEX(Scenarios!AC$121:AC$200,MATCH($B446,Scenarios!$B$121:$B$200,0))</f>
        <v>0</v>
      </c>
      <c r="AD446" s="476">
        <f>INDEX(Input!$1:$1048576,AD$93,$C446*2+MIN($B446,2)+5)</f>
        <v>0.35</v>
      </c>
      <c r="AE446" s="475">
        <f>INDEX(Input!$1:$1048576,AE$93,$C446*2+MIN($B446,2)+5)
+INDEX(Scenarios!AE$121:AE$200,MATCH($B446,Scenarios!$B$121:$B$200,0))</f>
        <v>0</v>
      </c>
      <c r="AF446" s="476">
        <f>INDEX(Input!$1:$1048576,AF$93,$C446*2+MIN($B446,2)+5)</f>
        <v>1</v>
      </c>
      <c r="AG446" s="475">
        <f>INDEX(Input!$1:$1048576,AG$93,$C446*2+MIN($B446,2)+5)
+INDEX(Scenarios!AG$121:AG$200,MATCH($B446,Scenarios!$B$121:$B$200,0))</f>
        <v>0</v>
      </c>
      <c r="AH446" s="476">
        <f>INDEX(Input!$1:$1048576,AH$93,$C446*2+MIN($B446,2)+5)</f>
        <v>1</v>
      </c>
      <c r="AI446" s="475">
        <f>INDEX(Input!$1:$1048576,AI$93,$C446*2+MIN($B446,2)+5)
+INDEX(Scenarios!AI$121:AI$200,MATCH($B446,Scenarios!$B$121:$B$200,0))</f>
        <v>0</v>
      </c>
      <c r="AJ446" s="476">
        <f>INDEX(Input!$1:$1048576,AJ$93,$C446*2+MIN($B446,2)+5)</f>
        <v>0.35</v>
      </c>
      <c r="AK446" s="150">
        <f>ROUND(INDEX(Input!$1:$1048576,AK$93,$C445*2+MIN($B446,1)+5)+(Y446-VLOOKUP($C446*1000+1,$A:$HH,Y$92,FALSE)),0)</f>
        <v>4952</v>
      </c>
      <c r="AL446" s="150">
        <f>ROUND(INDEX(Input!$1:$1048576,AL$93,$C445*2+MIN($B446,1)+5)-(Y446-VLOOKUP($C446*1000+1,$A:$HH,Y$92,FALSE))/36,0)</f>
        <v>4733</v>
      </c>
      <c r="AM446" s="32" t="str">
        <f t="shared" si="1307"/>
        <v>std/std/std/std</v>
      </c>
      <c r="AN446" s="32" t="str">
        <f t="shared" si="1308"/>
        <v>$0 + 0/0/0/0/3.9</v>
      </c>
      <c r="AO446" s="32" t="str">
        <f t="shared" si="1309"/>
        <v>0/0/0/0/3.9</v>
      </c>
      <c r="AP446" s="32" t="str">
        <f t="shared" si="1386"/>
        <v>0/0/0/3.9</v>
      </c>
      <c r="AQ446" s="536">
        <f t="shared" si="1379"/>
        <v>0.39808968392335436</v>
      </c>
      <c r="AR446" s="32"/>
      <c r="AS446" s="302"/>
      <c r="AT446" s="3">
        <f t="shared" si="1330"/>
        <v>46</v>
      </c>
      <c r="AU446" s="41" t="s">
        <v>121</v>
      </c>
      <c r="AV446" s="41" t="s">
        <v>116</v>
      </c>
      <c r="AW446" s="41" t="str">
        <f>INDEX(Input!$1:$1048576,AW$93,$C446*2+6)</f>
        <v>Kia</v>
      </c>
      <c r="AX446" s="41" t="str">
        <f>INDEX(Input!$1:$1048576,AX$93,$C446*2+6)</f>
        <v>Kia-LR - R1</v>
      </c>
      <c r="AY446" s="41" t="str">
        <f>IF(LEN(D446)=0,"",INDEX(Input!$1:$1048576,AY$93,$C446*2+6))</f>
        <v>Compact Conventional/Sporty Car (43)</v>
      </c>
      <c r="AZ446" s="41" t="str">
        <f>INDEX(Input!$1:$1048576,AZ$93,$C446*2+6)</f>
        <v>Kia Forte</v>
      </c>
      <c r="BA446" s="3">
        <f>INDEX(Input!$1:$1048576,BA$93,$C446*2+6)</f>
        <v>2020</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19695</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387"/>
        <v>1560</v>
      </c>
      <c r="CJ446" s="16" t="str">
        <f>INDEX(Input!$1:$1048576,CJ$93,$C446*2+6)</f>
        <v>N</v>
      </c>
      <c r="CK446" s="1" t="str">
        <f t="shared" si="1388"/>
        <v>Market</v>
      </c>
      <c r="CL446" s="1" t="str">
        <f t="shared" si="1389"/>
        <v>Market</v>
      </c>
      <c r="CM446" s="1" t="str">
        <f t="shared" si="1390"/>
        <v>Market</v>
      </c>
      <c r="CN446" s="1" t="str">
        <f t="shared" si="1391"/>
        <v>Market</v>
      </c>
      <c r="CO446" s="1" t="str">
        <f t="shared" si="1392"/>
        <v>Market</v>
      </c>
      <c r="CP446" s="304">
        <f t="shared" si="1393"/>
        <v>0</v>
      </c>
      <c r="CQ446" s="1">
        <f t="shared" si="1394"/>
        <v>0</v>
      </c>
      <c r="CR446" s="1">
        <f t="shared" si="1395"/>
        <v>0</v>
      </c>
      <c r="CS446" s="1">
        <f t="shared" si="1396"/>
        <v>0</v>
      </c>
      <c r="CT446" s="1">
        <f t="shared" si="1397"/>
        <v>0</v>
      </c>
      <c r="CU446" s="1">
        <f t="shared" si="1398"/>
        <v>3.9E-2</v>
      </c>
      <c r="CV446" s="304">
        <f t="shared" si="1399"/>
        <v>-1857</v>
      </c>
      <c r="CW446" s="20" t="s">
        <v>122</v>
      </c>
      <c r="CX446" s="20" t="s">
        <v>122</v>
      </c>
      <c r="CY446" s="20" t="s">
        <v>122</v>
      </c>
      <c r="CZ446" s="20" t="s">
        <v>122</v>
      </c>
      <c r="DA446" s="20" t="s">
        <v>122</v>
      </c>
      <c r="DB446" s="503">
        <f t="shared" si="1400"/>
        <v>0</v>
      </c>
      <c r="DC446" s="127">
        <v>0</v>
      </c>
      <c r="DD446" s="127">
        <v>0</v>
      </c>
      <c r="DE446" s="127">
        <v>0</v>
      </c>
      <c r="DF446" s="127">
        <v>0</v>
      </c>
      <c r="DG446" s="127">
        <v>0</v>
      </c>
      <c r="DH446" s="127">
        <v>0</v>
      </c>
      <c r="DI446" s="127">
        <v>0</v>
      </c>
      <c r="DJ446" s="127">
        <v>0</v>
      </c>
      <c r="DK446" s="127">
        <v>0</v>
      </c>
      <c r="DL446" s="127">
        <v>0</v>
      </c>
      <c r="DM446" s="304">
        <f>INDEX(Input!$1:$1048576,DM$93,$C446*2+6)</f>
        <v>20731.578947368424</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4.3855937939974395E-2</v>
      </c>
      <c r="DZ446" s="7">
        <v>0</v>
      </c>
      <c r="EA446" s="7">
        <v>0.79120246421100704</v>
      </c>
      <c r="EB446" s="7">
        <v>0</v>
      </c>
      <c r="EC446" s="7">
        <v>0</v>
      </c>
      <c r="ED446" s="7">
        <v>0</v>
      </c>
      <c r="EE446" s="7">
        <v>0</v>
      </c>
      <c r="EF446" s="7">
        <v>0</v>
      </c>
      <c r="EG446" s="7">
        <v>0</v>
      </c>
      <c r="EH446" s="7">
        <v>5.8635047696713443E-3</v>
      </c>
      <c r="EI446" s="7">
        <v>9.4115667770315447E-3</v>
      </c>
      <c r="EJ446" s="7">
        <v>8.8385553750678622E-2</v>
      </c>
      <c r="EK446" s="7">
        <v>0.86840476714579007</v>
      </c>
      <c r="EL446" s="7">
        <v>2.7934607556828223E-2</v>
      </c>
      <c r="EM446" s="7">
        <v>6.2510403442838758E-2</v>
      </c>
      <c r="EN446" s="7">
        <v>4.7537071266644262E-2</v>
      </c>
      <c r="EO446" s="7">
        <v>0.5700018377930719</v>
      </c>
      <c r="EP446" s="7">
        <v>0.27081603052348036</v>
      </c>
      <c r="EQ446" s="7">
        <v>6.7121871626480062E-2</v>
      </c>
      <c r="ER446" s="7">
        <v>4.452318879032327E-2</v>
      </c>
      <c r="ES446" s="7">
        <v>0.10243119440617984</v>
      </c>
      <c r="ET446" s="7">
        <v>0.1649415978490186</v>
      </c>
      <c r="EU446" s="6">
        <v>1599.9999999999998</v>
      </c>
      <c r="EV446" s="6">
        <v>0</v>
      </c>
      <c r="EW446" s="6">
        <v>1599.9999999999998</v>
      </c>
      <c r="EX446" s="6">
        <v>0</v>
      </c>
      <c r="EY446" s="6">
        <v>3367.7583180545594</v>
      </c>
      <c r="EZ446" s="6">
        <v>114</v>
      </c>
      <c r="FA446" s="6">
        <v>0</v>
      </c>
      <c r="FB446" s="6">
        <v>0</v>
      </c>
      <c r="FC446" s="6">
        <v>0</v>
      </c>
      <c r="FD446" s="6">
        <v>0</v>
      </c>
      <c r="FE446" s="6">
        <v>0</v>
      </c>
      <c r="FF446" s="6">
        <v>0</v>
      </c>
      <c r="FG446" s="6">
        <v>0</v>
      </c>
      <c r="FH446" s="6">
        <v>1153.2551129057508</v>
      </c>
      <c r="FI446" s="6">
        <v>1531.4299904380607</v>
      </c>
      <c r="FJ446" s="6">
        <v>2070.7205842538215</v>
      </c>
      <c r="FK446" s="6">
        <v>2635.3956133202933</v>
      </c>
      <c r="FL446" s="6">
        <v>893.9143356348942</v>
      </c>
      <c r="FM446" s="6">
        <v>2517.7583180545594</v>
      </c>
      <c r="FN446" s="6">
        <v>0</v>
      </c>
      <c r="FO446" s="6">
        <v>0</v>
      </c>
      <c r="FP446" s="6">
        <v>0</v>
      </c>
      <c r="FQ446" s="6">
        <v>0</v>
      </c>
      <c r="FR446" s="6">
        <v>0</v>
      </c>
      <c r="FS446" s="6">
        <v>0</v>
      </c>
      <c r="FT446" s="7">
        <v>0.83505840215098148</v>
      </c>
      <c r="FU446" s="7">
        <v>6.2510403442838758E-2</v>
      </c>
      <c r="FV446" s="7">
        <v>0.10243119440617984</v>
      </c>
      <c r="FW446" s="6">
        <v>1599.9999999999998</v>
      </c>
      <c r="FX446" s="6">
        <v>3367.7583180545594</v>
      </c>
      <c r="FY446" s="6">
        <v>114</v>
      </c>
      <c r="FZ446" s="6">
        <v>1695.8504614767719</v>
      </c>
      <c r="GA446" s="6">
        <v>1558.2905307634412</v>
      </c>
      <c r="GB446" s="6">
        <v>18136.709469236557</v>
      </c>
      <c r="GC446" s="7">
        <v>8.1891069685915169E-2</v>
      </c>
      <c r="GD446" s="7">
        <v>8.1112907055834529E-2</v>
      </c>
      <c r="GE446" s="7"/>
      <c r="GF446" s="7"/>
      <c r="GG446" s="7">
        <v>-9.5024113504097903E-3</v>
      </c>
      <c r="GH446" s="42">
        <v>1.3604978613745728</v>
      </c>
      <c r="GI446" s="6">
        <v>16034.608766281441</v>
      </c>
      <c r="GJ446" s="14">
        <v>0.51074630601039561</v>
      </c>
      <c r="GK446" s="14">
        <v>0.50829519786160982</v>
      </c>
      <c r="GL446" s="14">
        <v>0.48925369398960444</v>
      </c>
      <c r="GM446" s="14">
        <v>0.4917048021383903</v>
      </c>
      <c r="GO446" s="5">
        <v>338.16872463277008</v>
      </c>
      <c r="GP446" s="5">
        <v>307.64377699166363</v>
      </c>
      <c r="GQ446" s="5">
        <v>527.27910984145694</v>
      </c>
      <c r="GR446" s="5">
        <v>404.20319246551543</v>
      </c>
      <c r="GS446" s="5">
        <v>334.50205195691484</v>
      </c>
      <c r="GT446" s="5">
        <v>289.18266033348181</v>
      </c>
      <c r="GU446" s="5">
        <v>254.29573314828914</v>
      </c>
      <c r="GV446" s="39" t="s">
        <v>392</v>
      </c>
      <c r="GW446" s="5">
        <v>468.76388888888891</v>
      </c>
      <c r="GX446" s="5">
        <v>351.57291666666669</v>
      </c>
      <c r="GY446" s="5">
        <v>281.25833333333333</v>
      </c>
      <c r="GZ446" s="5">
        <v>234.38194444444446</v>
      </c>
      <c r="HA446" s="5">
        <v>229.89195052129477</v>
      </c>
      <c r="HB446" s="39">
        <v>240.8769641259548</v>
      </c>
      <c r="HC446" s="5">
        <v>278.12812499999995</v>
      </c>
      <c r="HD446" s="5">
        <v>232.92143640350872</v>
      </c>
      <c r="HE446" s="5">
        <v>234.3057059716599</v>
      </c>
      <c r="HF446" s="5">
        <v>215.06692434210527</v>
      </c>
      <c r="HG446" s="5">
        <v>205.38993421052629</v>
      </c>
      <c r="HH446" s="39">
        <v>233.02109383431193</v>
      </c>
      <c r="HI446" s="16"/>
      <c r="HJ446" s="19" t="str">
        <f t="shared" si="1405"/>
        <v>On</v>
      </c>
      <c r="HK446" s="1" t="str">
        <f t="shared" si="1405"/>
        <v>On</v>
      </c>
      <c r="HL446" s="16"/>
      <c r="HM446" s="639">
        <f t="shared" si="1278"/>
        <v>6.6115095157691428E-2</v>
      </c>
      <c r="HN446" s="639">
        <f t="shared" si="1279"/>
        <v>2.3720927871164412E-3</v>
      </c>
      <c r="HO446" s="639">
        <f t="shared" si="1280"/>
        <v>7.7231033444443466E-3</v>
      </c>
      <c r="HP446" s="644">
        <f>(FT446*$GD446-HM446)/$JF446*INDEX(Input!$1:$1048576,$JG$93,$C446*2+6)</f>
        <v>39.49035120755989</v>
      </c>
      <c r="HQ446" s="644">
        <f>(FU446*$GD446-HN446)/$JF446*INDEX(Input!$1:$1048576,$JG$93,$C446*2+6)</f>
        <v>65.819904845967059</v>
      </c>
      <c r="HR446" s="644">
        <f>(FV446*$GD446-HO446)/$JF446*INDEX(Input!$1:$1048576,$JG$93,$C446*2+6)</f>
        <v>14.279402454468642</v>
      </c>
      <c r="HS446" s="644">
        <f t="shared" si="1406"/>
        <v>-21.234575594381656</v>
      </c>
      <c r="HT446" s="644">
        <f t="shared" si="1282"/>
        <v>191.88433724496085</v>
      </c>
      <c r="HU446" s="644">
        <f t="shared" si="1283"/>
        <v>16.744302693162016</v>
      </c>
      <c r="HV446" s="648">
        <f t="shared" si="1284"/>
        <v>0</v>
      </c>
      <c r="HW446" s="648">
        <f t="shared" si="1285"/>
        <v>0</v>
      </c>
      <c r="HX446" s="648">
        <f t="shared" si="1286"/>
        <v>0</v>
      </c>
      <c r="HY446" s="644">
        <f>INDEX(Input!$1:$1048576,HY$93,$C446*2+6)*INDEX(Input!$1:$1048576,$JG$93,$C446*2+6)</f>
        <v>844</v>
      </c>
      <c r="HZ446" s="644">
        <f>INDEX(Input!$1:$1048576,HZ$93,$C446*2+6)*INDEX(Input!$1:$1048576,$JG$93,$C446*2+6)</f>
        <v>865</v>
      </c>
      <c r="IA446" s="644">
        <f>INDEX(Input!$1:$1048576,IA$93,$C446*2+6)*INDEX(Input!$1:$1048576,$JG$93,$C446*2+6)</f>
        <v>150</v>
      </c>
      <c r="IB446" s="644">
        <f t="shared" si="1310"/>
        <v>862.25577561317823</v>
      </c>
      <c r="IC446" s="644">
        <f t="shared" si="1311"/>
        <v>1122.7042420909279</v>
      </c>
      <c r="ID446" s="644">
        <f>IF(AND(INDEX(Input!$1:$1048576,IA$93,$C446*2+7)="TOS",Y446&lt;=INDEX(Y:Y,MATCH(C446*1000+2,A:A))),0,1)*MAX(IA446+HR446+HU446+HX446,0%)</f>
        <v>181.02370514763066</v>
      </c>
      <c r="IE446" s="128">
        <f t="shared" si="1411"/>
        <v>0.39808968392335436</v>
      </c>
      <c r="IF446" s="128">
        <f t="shared" si="1383"/>
        <v>0.51833457022141149</v>
      </c>
      <c r="IG446" s="128">
        <f t="shared" si="1288"/>
        <v>8.3575745855234154E-2</v>
      </c>
      <c r="IH446" s="21"/>
      <c r="II446" s="19">
        <f t="shared" si="1289"/>
        <v>1199.9999999999998</v>
      </c>
      <c r="IJ446" s="19">
        <f t="shared" si="1290"/>
        <v>2195.4782357510435</v>
      </c>
      <c r="IK446" s="19">
        <f t="shared" si="1291"/>
        <v>-571</v>
      </c>
      <c r="IL446" s="19">
        <f t="shared" si="1313"/>
        <v>400</v>
      </c>
      <c r="IM446" s="19">
        <f t="shared" si="1292"/>
        <v>1172.2800823035159</v>
      </c>
      <c r="IN446" s="19">
        <f t="shared" si="1293"/>
        <v>685</v>
      </c>
      <c r="IO446" s="39">
        <f t="shared" si="1294"/>
        <v>0</v>
      </c>
      <c r="IP446" s="39">
        <f t="shared" si="1295"/>
        <v>0</v>
      </c>
      <c r="IQ446" s="39">
        <f t="shared" si="1296"/>
        <v>0</v>
      </c>
      <c r="IR446" s="39">
        <v>0</v>
      </c>
      <c r="IS446" s="39">
        <v>0</v>
      </c>
      <c r="IT446" s="39">
        <v>0</v>
      </c>
      <c r="IU446" s="39">
        <v>0</v>
      </c>
      <c r="IV446" s="39">
        <v>0</v>
      </c>
      <c r="IW446" s="39">
        <v>0</v>
      </c>
      <c r="IX446" s="39">
        <f>INDEX(Input!$1:$1048576,IX$93,$C446*2+6)+INDEX(Input!$1:$1048576,IX$94,$C446*2+6)</f>
        <v>1600</v>
      </c>
      <c r="IY446" s="39">
        <f>INDEX(Input!$1:$1048576,IY$93,$C446*2+6)+INDEX(Input!$1:$1048576,IY$94,$C446*2+6)</f>
        <v>2503.549291639752</v>
      </c>
      <c r="IZ446" s="39">
        <f>INDEX(Input!$1:$1048576,IZ$93,$C446*2+6)+INDEX(Input!$1:$1048576,IZ$94,$C446*2+6)</f>
        <v>5413.7109265464023</v>
      </c>
      <c r="JA446" s="19">
        <f t="shared" si="1314"/>
        <v>2000</v>
      </c>
      <c r="JB446" s="19">
        <f t="shared" si="1315"/>
        <v>3675.8293739432679</v>
      </c>
      <c r="JC446" s="19">
        <f t="shared" si="1316"/>
        <v>6098.7109265464023</v>
      </c>
      <c r="JD446" s="19">
        <f t="shared" si="1317"/>
        <v>3211.1931210384141</v>
      </c>
      <c r="JE446" s="21"/>
      <c r="JF446" s="1">
        <f t="shared" si="1297"/>
        <v>7.6210291289252219E-2</v>
      </c>
      <c r="JG446" s="15">
        <f>INDEX(Input!$1:$1048576,JG$93,$C446*2+6)/(1+VLOOKUP(C446*1000+INDEX(Input!$1:$1048576,JG$93+1,$C446*2+6),$A:$KK,$JK$92,FALSE))</f>
        <v>1859</v>
      </c>
      <c r="JH446" s="1">
        <f t="shared" si="1318"/>
        <v>6.433010140290242E-2</v>
      </c>
      <c r="JI446" s="1">
        <f t="shared" si="1319"/>
        <v>0.10080369249259882</v>
      </c>
      <c r="JJ446" s="1">
        <f t="shared" si="1384"/>
        <v>0</v>
      </c>
      <c r="JK446" s="1">
        <f t="shared" si="1385"/>
        <v>0.16513379389550126</v>
      </c>
      <c r="JL446" s="15">
        <f t="shared" si="1322"/>
        <v>306.98372285173684</v>
      </c>
      <c r="JM446" s="15">
        <f t="shared" si="1348"/>
        <v>2165.9837228517367</v>
      </c>
      <c r="JN446" s="21"/>
      <c r="JO446" s="19">
        <f>INDEX(Input!$1:$1048576,JO$93,$C446*2+6)</f>
        <v>5908.5</v>
      </c>
      <c r="JP446" s="19">
        <f>INDEX(Input!$1:$1048576,JP$93,$C446*2+6)</f>
        <v>2328.1478086338602</v>
      </c>
      <c r="JQ446" s="39">
        <f t="shared" si="1334"/>
        <v>2697.3068789615859</v>
      </c>
      <c r="JR446" s="39">
        <f t="shared" si="1351"/>
        <v>883.0453124045539</v>
      </c>
      <c r="JS446" s="39">
        <f t="shared" si="1336"/>
        <v>6.9553920311026722</v>
      </c>
      <c r="JT446" s="39">
        <f t="shared" si="1324"/>
        <v>2.6273652548523256</v>
      </c>
      <c r="JU446" s="385">
        <f>(JQ446*JM446-INDEX(Input!$1:$1048576,Input!A$18,$C446*2+6)*JL446*INDEX(Input!$1:$1048576,Input!A$19,$C446*2+6))/1000000</f>
        <v>5.8423227953668144</v>
      </c>
      <c r="JV446" s="39">
        <f t="shared" si="1358"/>
        <v>-0.81355192838283941</v>
      </c>
      <c r="JW446" s="1">
        <f t="shared" si="1349"/>
        <v>-0.12223065519546268</v>
      </c>
      <c r="JX446" s="19">
        <f t="shared" si="1340"/>
        <v>8558.6467922315787</v>
      </c>
      <c r="JZ446" s="341"/>
      <c r="KA446" s="342"/>
      <c r="KB446" s="469">
        <f t="shared" si="1337"/>
        <v>2.3451977905499271</v>
      </c>
      <c r="KI446" s="473">
        <f t="shared" si="1408"/>
        <v>18.25577561317823</v>
      </c>
      <c r="KJ446" s="473">
        <f t="shared" si="1409"/>
        <v>257.70424209092789</v>
      </c>
      <c r="KK446" s="473">
        <f t="shared" si="1326"/>
        <v>31.023705147630693</v>
      </c>
      <c r="KN446" s="544">
        <f t="shared" si="1341"/>
        <v>4002</v>
      </c>
      <c r="KO446" s="541">
        <f t="shared" si="1301"/>
        <v>8.4271433259506034E-2</v>
      </c>
      <c r="KP446" s="546">
        <f t="shared" si="1302"/>
        <v>430.33445088807321</v>
      </c>
      <c r="KQ446" s="546">
        <f t="shared" si="1303"/>
        <v>487.4495594404184</v>
      </c>
      <c r="KR446" s="548">
        <f t="shared" si="1304"/>
        <v>3.3234431994168623</v>
      </c>
      <c r="KS446" s="548">
        <f t="shared" si="1305"/>
        <v>2.9340309711646602</v>
      </c>
      <c r="KT446" s="473">
        <f t="shared" si="1339"/>
        <v>1050.27685337919</v>
      </c>
      <c r="KU446" s="663">
        <f t="shared" si="1327"/>
        <v>6.5153678317572172</v>
      </c>
      <c r="KV446" s="117"/>
    </row>
    <row r="447" spans="1:308" s="26" customFormat="1" ht="15">
      <c r="A447" s="561">
        <f t="shared" si="1306"/>
        <v>4047</v>
      </c>
      <c r="B447" s="561">
        <f t="shared" si="1328"/>
        <v>47</v>
      </c>
      <c r="C447" s="561">
        <f t="shared" si="1329"/>
        <v>4</v>
      </c>
      <c r="D447" s="561" t="str">
        <f t="shared" si="1378"/>
        <v xml:space="preserve">250 CC, -360 Lease, </v>
      </c>
      <c r="E447" s="475">
        <f>INDEX(Input!$1:$1048576,E$93,$C447*2+MIN($B447,2)+5)
+INDEX(Scenarios!E$121:E$200,MATCH($B447,Scenarios!$B$121:$B$200,0))</f>
        <v>1500</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1.8999999999999996E-2</v>
      </c>
      <c r="W447" s="863">
        <f>IFERROR(MAX(0,INDEX(Input!$1:$1048576,W$93,$C447*2+MIN($B447,2)+5)-0%,),"Market")</f>
        <v>3.9E-2</v>
      </c>
      <c r="X447" s="476" t="str">
        <f>INDEX(Input!$1:$1048576,X$93,$C447*2+MIN($B447,2)+5)</f>
        <v>Y</v>
      </c>
      <c r="Y447" s="475">
        <f>INDEX(Input!$1:$1048576,Y$93,$C447*2+MIN($B447,2)+5)
++INDEX(Scenarios!Y$121:Y$200,MATCH($B447,Scenarios!$B$121:$B$200,0))</f>
        <v>-2577</v>
      </c>
      <c r="Z447" s="477">
        <f>INDEX(Input!$1:$1048576,Z$93,$C447*2+MIN($B447,2)+5)
+INDEX(Scenarios!Z$121:Z$200,MATCH($B447,Scenarios!$B$121:$B$200,0))</f>
        <v>0</v>
      </c>
      <c r="AA447" s="475">
        <f>INDEX(Input!$1:$1048576,AA$93,$C447*2+MIN($B447,2)+5)</f>
        <v>0</v>
      </c>
      <c r="AB447" s="476">
        <f>INDEX(Input!$1:$1048576,AB$93,$C447*2+MIN($B447,2)+5)</f>
        <v>1</v>
      </c>
      <c r="AC447" s="475">
        <f>INDEX(Input!$1:$1048576,AC$93,$C447*2+MIN($B447,2)+5)
+INDEX(Scenarios!AC$121:AC$200,MATCH($B447,Scenarios!$B$121:$B$200,0))</f>
        <v>0</v>
      </c>
      <c r="AD447" s="476">
        <f>INDEX(Input!$1:$1048576,AD$93,$C447*2+MIN($B447,2)+5)</f>
        <v>0.35</v>
      </c>
      <c r="AE447" s="475">
        <f>INDEX(Input!$1:$1048576,AE$93,$C447*2+MIN($B447,2)+5)
+INDEX(Scenarios!AE$121:AE$200,MATCH($B447,Scenarios!$B$121:$B$200,0))</f>
        <v>0</v>
      </c>
      <c r="AF447" s="476">
        <f>INDEX(Input!$1:$1048576,AF$93,$C447*2+MIN($B447,2)+5)</f>
        <v>1</v>
      </c>
      <c r="AG447" s="475">
        <f>INDEX(Input!$1:$1048576,AG$93,$C447*2+MIN($B447,2)+5)
+INDEX(Scenarios!AG$121:AG$200,MATCH($B447,Scenarios!$B$121:$B$200,0))</f>
        <v>0</v>
      </c>
      <c r="AH447" s="476">
        <f>INDEX(Input!$1:$1048576,AH$93,$C447*2+MIN($B447,2)+5)</f>
        <v>1</v>
      </c>
      <c r="AI447" s="475">
        <f>INDEX(Input!$1:$1048576,AI$93,$C447*2+MIN($B447,2)+5)
+INDEX(Scenarios!AI$121:AI$200,MATCH($B447,Scenarios!$B$121:$B$200,0))</f>
        <v>0</v>
      </c>
      <c r="AJ447" s="476">
        <f>INDEX(Input!$1:$1048576,AJ$93,$C447*2+MIN($B447,2)+5)</f>
        <v>0.35</v>
      </c>
      <c r="AK447" s="150">
        <f>ROUND(INDEX(Input!$1:$1048576,AK$93,$C446*2+MIN($B447,1)+5)+(Y447-VLOOKUP($C447*1000+1,$A:$HH,Y$92,FALSE)),0)</f>
        <v>4232</v>
      </c>
      <c r="AL447" s="150">
        <f>ROUND(INDEX(Input!$1:$1048576,AL$93,$C446*2+MIN($B447,1)+5)-(Y447-VLOOKUP($C447*1000+1,$A:$HH,Y$92,FALSE))/36,0)</f>
        <v>4753</v>
      </c>
      <c r="AM447" s="32" t="str">
        <f t="shared" si="1307"/>
        <v>std/std/std/std</v>
      </c>
      <c r="AN447" s="32" t="str">
        <f t="shared" si="1308"/>
        <v>$0 + 0/0/0/1.9/3.9</v>
      </c>
      <c r="AO447" s="32" t="str">
        <f t="shared" si="1309"/>
        <v>0/0/0/1.9/3.9</v>
      </c>
      <c r="AP447" s="32" t="str">
        <f t="shared" si="1386"/>
        <v>0/0.9/1.9/3.9</v>
      </c>
      <c r="AQ447" s="536">
        <f t="shared" si="1379"/>
        <v>0.47377928900675081</v>
      </c>
      <c r="AR447" s="32"/>
      <c r="AS447" s="302"/>
      <c r="AT447" s="3">
        <f t="shared" si="1330"/>
        <v>47</v>
      </c>
      <c r="AU447" s="41" t="s">
        <v>121</v>
      </c>
      <c r="AV447" s="41" t="s">
        <v>116</v>
      </c>
      <c r="AW447" s="41" t="str">
        <f>INDEX(Input!$1:$1048576,AW$93,$C447*2+6)</f>
        <v>Kia</v>
      </c>
      <c r="AX447" s="41" t="str">
        <f>INDEX(Input!$1:$1048576,AX$93,$C447*2+6)</f>
        <v>Kia-LR - R1</v>
      </c>
      <c r="AY447" s="41" t="str">
        <f>IF(LEN(D447)=0,"",INDEX(Input!$1:$1048576,AY$93,$C447*2+6))</f>
        <v>Compact Conventional/Sporty Car (43)</v>
      </c>
      <c r="AZ447" s="41" t="str">
        <f>INDEX(Input!$1:$1048576,AZ$93,$C447*2+6)</f>
        <v>Kia Forte</v>
      </c>
      <c r="BA447" s="3">
        <f>INDEX(Input!$1:$1048576,BA$93,$C447*2+6)</f>
        <v>2020</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19695</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387"/>
        <v>1810</v>
      </c>
      <c r="CJ447" s="16" t="str">
        <f>INDEX(Input!$1:$1048576,CJ$93,$C447*2+6)</f>
        <v>N</v>
      </c>
      <c r="CK447" s="1" t="str">
        <f t="shared" si="1388"/>
        <v>Market</v>
      </c>
      <c r="CL447" s="1" t="str">
        <f t="shared" si="1389"/>
        <v>Market</v>
      </c>
      <c r="CM447" s="1" t="str">
        <f t="shared" si="1390"/>
        <v>Market</v>
      </c>
      <c r="CN447" s="1" t="str">
        <f t="shared" si="1391"/>
        <v>Market</v>
      </c>
      <c r="CO447" s="1" t="str">
        <f t="shared" si="1392"/>
        <v>Market</v>
      </c>
      <c r="CP447" s="304">
        <f t="shared" si="1393"/>
        <v>0</v>
      </c>
      <c r="CQ447" s="1">
        <f t="shared" si="1394"/>
        <v>0</v>
      </c>
      <c r="CR447" s="1">
        <f t="shared" si="1395"/>
        <v>0</v>
      </c>
      <c r="CS447" s="1">
        <f t="shared" si="1396"/>
        <v>0</v>
      </c>
      <c r="CT447" s="1">
        <f t="shared" si="1397"/>
        <v>1.8999999999999996E-2</v>
      </c>
      <c r="CU447" s="1">
        <f t="shared" si="1398"/>
        <v>3.9E-2</v>
      </c>
      <c r="CV447" s="304">
        <f t="shared" si="1399"/>
        <v>-2577</v>
      </c>
      <c r="CW447" s="20" t="s">
        <v>122</v>
      </c>
      <c r="CX447" s="20" t="s">
        <v>122</v>
      </c>
      <c r="CY447" s="20" t="s">
        <v>122</v>
      </c>
      <c r="CZ447" s="20" t="s">
        <v>122</v>
      </c>
      <c r="DA447" s="20" t="s">
        <v>122</v>
      </c>
      <c r="DB447" s="503">
        <f t="shared" si="1400"/>
        <v>0</v>
      </c>
      <c r="DC447" s="127">
        <v>0</v>
      </c>
      <c r="DD447" s="127">
        <v>0</v>
      </c>
      <c r="DE447" s="127">
        <v>0</v>
      </c>
      <c r="DF447" s="127">
        <v>0</v>
      </c>
      <c r="DG447" s="127">
        <v>0</v>
      </c>
      <c r="DH447" s="127">
        <v>0</v>
      </c>
      <c r="DI447" s="127">
        <v>0</v>
      </c>
      <c r="DJ447" s="127">
        <v>0</v>
      </c>
      <c r="DK447" s="127">
        <v>0</v>
      </c>
      <c r="DL447" s="127">
        <v>0</v>
      </c>
      <c r="DM447" s="304">
        <f>INDEX(Input!$1:$1048576,DM$93,$C447*2+6)</f>
        <v>20731.578947368424</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4.6650327633956976E-2</v>
      </c>
      <c r="DZ447" s="7">
        <v>0</v>
      </c>
      <c r="EA447" s="7">
        <v>0.83812457771428062</v>
      </c>
      <c r="EB447" s="7">
        <v>0</v>
      </c>
      <c r="EC447" s="7">
        <v>0</v>
      </c>
      <c r="ED447" s="7">
        <v>0</v>
      </c>
      <c r="EE447" s="7">
        <v>0</v>
      </c>
      <c r="EF447" s="7">
        <v>0</v>
      </c>
      <c r="EG447" s="7">
        <v>0</v>
      </c>
      <c r="EH447" s="7">
        <v>1.2279426142449971E-2</v>
      </c>
      <c r="EI447" s="7">
        <v>1.9721243032910851E-2</v>
      </c>
      <c r="EJ447" s="7">
        <v>0.18510536388561141</v>
      </c>
      <c r="EK447" s="7">
        <v>0.72473513218628005</v>
      </c>
      <c r="EL447" s="7">
        <v>5.8158834752747919E-2</v>
      </c>
      <c r="EM447" s="7">
        <v>2.9542556936064845E-2</v>
      </c>
      <c r="EN447" s="7">
        <v>4.6386554926411146E-2</v>
      </c>
      <c r="EO447" s="7">
        <v>0.57152344601750305</v>
      </c>
      <c r="EP447" s="7">
        <v>0.26798539756275253</v>
      </c>
      <c r="EQ447" s="7">
        <v>6.8674215870901556E-2</v>
      </c>
      <c r="ER447" s="7">
        <v>4.5430385622430507E-2</v>
      </c>
      <c r="ES447" s="7">
        <v>8.5682537715697629E-2</v>
      </c>
      <c r="ET447" s="7">
        <v>0.11522509465176245</v>
      </c>
      <c r="EU447" s="6">
        <v>1849.9999999999998</v>
      </c>
      <c r="EV447" s="6">
        <v>0</v>
      </c>
      <c r="EW447" s="6">
        <v>1849.9999999999998</v>
      </c>
      <c r="EX447" s="6">
        <v>0</v>
      </c>
      <c r="EY447" s="6">
        <v>2595.7586401997369</v>
      </c>
      <c r="EZ447" s="6">
        <v>-606</v>
      </c>
      <c r="FA447" s="6">
        <v>0</v>
      </c>
      <c r="FB447" s="6">
        <v>0</v>
      </c>
      <c r="FC447" s="6">
        <v>0</v>
      </c>
      <c r="FD447" s="6">
        <v>0</v>
      </c>
      <c r="FE447" s="6">
        <v>0</v>
      </c>
      <c r="FF447" s="6">
        <v>0</v>
      </c>
      <c r="FG447" s="6">
        <v>0</v>
      </c>
      <c r="FH447" s="6">
        <v>1153.2420019443778</v>
      </c>
      <c r="FI447" s="6">
        <v>1531.4299904380618</v>
      </c>
      <c r="FJ447" s="6">
        <v>2070.7205842538233</v>
      </c>
      <c r="FK447" s="6">
        <v>1746.9903521590438</v>
      </c>
      <c r="FL447" s="6">
        <v>893.91433563489329</v>
      </c>
      <c r="FM447" s="6">
        <v>1745.7586401997371</v>
      </c>
      <c r="FN447" s="6">
        <v>0</v>
      </c>
      <c r="FO447" s="6">
        <v>0</v>
      </c>
      <c r="FP447" s="6">
        <v>0</v>
      </c>
      <c r="FQ447" s="6">
        <v>0</v>
      </c>
      <c r="FR447" s="6">
        <v>0</v>
      </c>
      <c r="FS447" s="6">
        <v>0</v>
      </c>
      <c r="FT447" s="7">
        <v>0.88477490534823755</v>
      </c>
      <c r="FU447" s="7">
        <v>2.9542556936064845E-2</v>
      </c>
      <c r="FV447" s="7">
        <v>8.5682537715697629E-2</v>
      </c>
      <c r="FW447" s="6">
        <v>1850</v>
      </c>
      <c r="FX447" s="6">
        <v>2595.7586401997369</v>
      </c>
      <c r="FY447" s="6">
        <v>-606</v>
      </c>
      <c r="FZ447" s="6">
        <v>1695.8504614767719</v>
      </c>
      <c r="GA447" s="6">
        <v>1661.5953044589098</v>
      </c>
      <c r="GB447" s="6">
        <v>18033.404695541089</v>
      </c>
      <c r="GC447" s="7">
        <v>8.1891069685915169E-2</v>
      </c>
      <c r="GD447" s="7">
        <v>8.157248425496999E-2</v>
      </c>
      <c r="GE447" s="7"/>
      <c r="GF447" s="7"/>
      <c r="GG447" s="7">
        <v>-3.8903562032719858E-3</v>
      </c>
      <c r="GH447" s="42">
        <v>2.2367600120323079</v>
      </c>
      <c r="GI447" s="6">
        <v>10466.741987184698</v>
      </c>
      <c r="GJ447" s="14">
        <v>0.51074630601039572</v>
      </c>
      <c r="GK447" s="14">
        <v>0.50829519786160982</v>
      </c>
      <c r="GL447" s="14">
        <v>0.48925369398960439</v>
      </c>
      <c r="GM447" s="14">
        <v>0.49170480213839046</v>
      </c>
      <c r="GO447" s="5">
        <v>338.16872463277008</v>
      </c>
      <c r="GP447" s="5">
        <v>302.87425392274076</v>
      </c>
      <c r="GQ447" s="5">
        <v>527.27910984145694</v>
      </c>
      <c r="GR447" s="5">
        <v>404.20319246551543</v>
      </c>
      <c r="GS447" s="5">
        <v>334.50205195691484</v>
      </c>
      <c r="GT447" s="5">
        <v>289.18266033348181</v>
      </c>
      <c r="GU447" s="5">
        <v>254.29573314828914</v>
      </c>
      <c r="GV447" s="39" t="s">
        <v>392</v>
      </c>
      <c r="GW447" s="5">
        <v>468.76388888888891</v>
      </c>
      <c r="GX447" s="5">
        <v>351.57291666666669</v>
      </c>
      <c r="GY447" s="5">
        <v>281.25833333333333</v>
      </c>
      <c r="GZ447" s="5">
        <v>248.1807987949399</v>
      </c>
      <c r="HA447" s="5">
        <v>229.89195052129477</v>
      </c>
      <c r="HB447" s="39">
        <v>257.98762460486086</v>
      </c>
      <c r="HC447" s="5">
        <v>309.62812499999995</v>
      </c>
      <c r="HD447" s="5">
        <v>254.42143640350872</v>
      </c>
      <c r="HE447" s="5">
        <v>254.26724443319836</v>
      </c>
      <c r="HF447" s="5">
        <v>231.71692434210524</v>
      </c>
      <c r="HG447" s="5">
        <v>219.1899342105263</v>
      </c>
      <c r="HH447" s="39">
        <v>253.78116800669721</v>
      </c>
      <c r="HI447" s="16"/>
      <c r="HJ447" s="19" t="str">
        <f t="shared" si="1405"/>
        <v>On</v>
      </c>
      <c r="HK447" s="1" t="str">
        <f t="shared" si="1405"/>
        <v>On</v>
      </c>
      <c r="HL447" s="16"/>
      <c r="HM447" s="639">
        <f t="shared" si="1278"/>
        <v>6.6115095157691428E-2</v>
      </c>
      <c r="HN447" s="639">
        <f t="shared" si="1279"/>
        <v>2.3720927871164412E-3</v>
      </c>
      <c r="HO447" s="639">
        <f t="shared" si="1280"/>
        <v>7.7231033444443466E-3</v>
      </c>
      <c r="HP447" s="644">
        <f>(FT447*$GD447-HM447)/$JF447*INDEX(Input!$1:$1048576,$JG$93,$C447*2+6)</f>
        <v>147.77766244842994</v>
      </c>
      <c r="HQ447" s="644">
        <f>(FU447*$GD447-HN447)/$JF447*INDEX(Input!$1:$1048576,$JG$93,$C447*2+6)</f>
        <v>0.92125095399953938</v>
      </c>
      <c r="HR447" s="644">
        <f>(FV447*$GD447-HO447)/$JF447*INDEX(Input!$1:$1048576,$JG$93,$C447*2+6)</f>
        <v>-17.898774016593524</v>
      </c>
      <c r="HS447" s="644">
        <f t="shared" si="1406"/>
        <v>-34.196414576566127</v>
      </c>
      <c r="HT447" s="644">
        <f t="shared" si="1282"/>
        <v>62.930054634670306</v>
      </c>
      <c r="HU447" s="644">
        <f t="shared" si="1283"/>
        <v>2.6209440547889904</v>
      </c>
      <c r="HV447" s="648">
        <f t="shared" si="1284"/>
        <v>0</v>
      </c>
      <c r="HW447" s="648">
        <f t="shared" si="1285"/>
        <v>0</v>
      </c>
      <c r="HX447" s="648">
        <f t="shared" si="1286"/>
        <v>0</v>
      </c>
      <c r="HY447" s="644">
        <f>INDEX(Input!$1:$1048576,HY$93,$C447*2+6)*INDEX(Input!$1:$1048576,$JG$93,$C447*2+6)</f>
        <v>844</v>
      </c>
      <c r="HZ447" s="644">
        <f>INDEX(Input!$1:$1048576,HZ$93,$C447*2+6)*INDEX(Input!$1:$1048576,$JG$93,$C447*2+6)</f>
        <v>865</v>
      </c>
      <c r="IA447" s="644">
        <f>INDEX(Input!$1:$1048576,IA$93,$C447*2+6)*INDEX(Input!$1:$1048576,$JG$93,$C447*2+6)</f>
        <v>150</v>
      </c>
      <c r="IB447" s="644">
        <f t="shared" si="1310"/>
        <v>957.58124787186387</v>
      </c>
      <c r="IC447" s="644">
        <f t="shared" si="1311"/>
        <v>928.8513055886699</v>
      </c>
      <c r="ID447" s="644">
        <f>IF(AND(INDEX(Input!$1:$1048576,IA$93,$C447*2+7)="TOS",Y447&lt;=INDEX(Y:Y,MATCH(C447*1000+2,A:A))),0,1)*MAX(IA447+HR447+HU447+HX447,0%)</f>
        <v>134.72217003819546</v>
      </c>
      <c r="IE447" s="128">
        <f t="shared" si="1411"/>
        <v>0.47377928900675081</v>
      </c>
      <c r="IF447" s="128">
        <f t="shared" si="1383"/>
        <v>0.45956467102171061</v>
      </c>
      <c r="IG447" s="128">
        <f t="shared" si="1288"/>
        <v>6.6656039971538669E-2</v>
      </c>
      <c r="IH447" s="21"/>
      <c r="II447" s="19">
        <f t="shared" si="1289"/>
        <v>1199.9999999999998</v>
      </c>
      <c r="IJ447" s="19">
        <f t="shared" si="1290"/>
        <v>2195.4782357510435</v>
      </c>
      <c r="IK447" s="19">
        <f t="shared" si="1291"/>
        <v>-571</v>
      </c>
      <c r="IL447" s="19">
        <f t="shared" si="1313"/>
        <v>650.00000000000023</v>
      </c>
      <c r="IM447" s="19">
        <f t="shared" si="1292"/>
        <v>400.28040444869339</v>
      </c>
      <c r="IN447" s="19">
        <f t="shared" si="1293"/>
        <v>-35</v>
      </c>
      <c r="IO447" s="39">
        <f t="shared" si="1294"/>
        <v>0</v>
      </c>
      <c r="IP447" s="39">
        <f t="shared" si="1295"/>
        <v>0</v>
      </c>
      <c r="IQ447" s="39">
        <f t="shared" si="1296"/>
        <v>0</v>
      </c>
      <c r="IR447" s="39">
        <v>0</v>
      </c>
      <c r="IS447" s="39">
        <v>0</v>
      </c>
      <c r="IT447" s="39">
        <v>0</v>
      </c>
      <c r="IU447" s="39">
        <v>0</v>
      </c>
      <c r="IV447" s="39">
        <v>0</v>
      </c>
      <c r="IW447" s="39">
        <v>0</v>
      </c>
      <c r="IX447" s="39">
        <f>INDEX(Input!$1:$1048576,IX$93,$C447*2+6)+INDEX(Input!$1:$1048576,IX$94,$C447*2+6)</f>
        <v>1600</v>
      </c>
      <c r="IY447" s="39">
        <f>INDEX(Input!$1:$1048576,IY$93,$C447*2+6)+INDEX(Input!$1:$1048576,IY$94,$C447*2+6)</f>
        <v>2503.549291639752</v>
      </c>
      <c r="IZ447" s="39">
        <f>INDEX(Input!$1:$1048576,IZ$93,$C447*2+6)+INDEX(Input!$1:$1048576,IZ$94,$C447*2+6)</f>
        <v>5413.7109265464023</v>
      </c>
      <c r="JA447" s="19">
        <f t="shared" si="1314"/>
        <v>2250</v>
      </c>
      <c r="JB447" s="19">
        <f t="shared" si="1315"/>
        <v>2903.8296960884454</v>
      </c>
      <c r="JC447" s="19">
        <f t="shared" si="1316"/>
        <v>5378.7109265464023</v>
      </c>
      <c r="JD447" s="19">
        <f t="shared" si="1317"/>
        <v>2759.0245097663783</v>
      </c>
      <c r="JE447" s="21"/>
      <c r="JF447" s="1">
        <f t="shared" si="1297"/>
        <v>7.6210291289252219E-2</v>
      </c>
      <c r="JG447" s="15">
        <f>INDEX(Input!$1:$1048576,JG$93,$C447*2+6)/(1+VLOOKUP(C447*1000+INDEX(Input!$1:$1048576,JG$93+1,$C447*2+6),$A:$KK,$JK$92,FALSE))</f>
        <v>1859</v>
      </c>
      <c r="JH447" s="1">
        <f t="shared" si="1318"/>
        <v>7.0360483800880003E-2</v>
      </c>
      <c r="JI447" s="1">
        <f t="shared" si="1319"/>
        <v>1.6866371228022144E-2</v>
      </c>
      <c r="JJ447" s="1">
        <f t="shared" si="1384"/>
        <v>0</v>
      </c>
      <c r="JK447" s="1">
        <f t="shared" si="1385"/>
        <v>8.722685502890215E-2</v>
      </c>
      <c r="JL447" s="15">
        <f t="shared" si="1322"/>
        <v>162.15472349872908</v>
      </c>
      <c r="JM447" s="15">
        <f t="shared" si="1348"/>
        <v>2021.154723498729</v>
      </c>
      <c r="JN447" s="21"/>
      <c r="JO447" s="19">
        <f>INDEX(Input!$1:$1048576,JO$93,$C447*2+6)</f>
        <v>5908.5</v>
      </c>
      <c r="JP447" s="19">
        <f>INDEX(Input!$1:$1048576,JP$93,$C447*2+6)</f>
        <v>2328.1478086338602</v>
      </c>
      <c r="JQ447" s="39">
        <f t="shared" si="1334"/>
        <v>3149.4754902336217</v>
      </c>
      <c r="JR447" s="39">
        <f t="shared" si="1351"/>
        <v>430.87670113251806</v>
      </c>
      <c r="JS447" s="39">
        <f t="shared" si="1336"/>
        <v>5.5764154201630811</v>
      </c>
      <c r="JT447" s="39">
        <f t="shared" si="1324"/>
        <v>1.2483886439127345</v>
      </c>
      <c r="JU447" s="385">
        <f>(JQ447*JM447-INDEX(Input!$1:$1048576,Input!A$18,$C447*2+6)*JL447*INDEX(Input!$1:$1048576,Input!A$19,$C447*2+6))/1000000</f>
        <v>6.3655772636291603</v>
      </c>
      <c r="JV447" s="39">
        <f t="shared" si="1358"/>
        <v>-0.29029746012049351</v>
      </c>
      <c r="JW447" s="1">
        <f t="shared" si="1349"/>
        <v>-4.3615222967560832E-2</v>
      </c>
      <c r="JX447" s="19">
        <f t="shared" si="1340"/>
        <v>7698.7497926480019</v>
      </c>
      <c r="JZ447" s="341"/>
      <c r="KA447" s="342"/>
      <c r="KB447" s="469">
        <f t="shared" si="1337"/>
        <v>2.3451977905499271</v>
      </c>
      <c r="KI447" s="473">
        <f t="shared" si="1408"/>
        <v>113.58124787186387</v>
      </c>
      <c r="KJ447" s="473">
        <f t="shared" si="1409"/>
        <v>63.851305588669902</v>
      </c>
      <c r="KK447" s="473">
        <f t="shared" si="1326"/>
        <v>-15.277829961804542</v>
      </c>
      <c r="KN447" s="544">
        <f t="shared" si="1341"/>
        <v>4002</v>
      </c>
      <c r="KO447" s="541">
        <f t="shared" si="1301"/>
        <v>1.1771374718311245E-2</v>
      </c>
      <c r="KP447" s="546">
        <f t="shared" si="1302"/>
        <v>94.531157535093797</v>
      </c>
      <c r="KQ447" s="546">
        <f t="shared" si="1303"/>
        <v>35.280948168382565</v>
      </c>
      <c r="KR447" s="548">
        <f t="shared" si="1304"/>
        <v>2.1133245819275799</v>
      </c>
      <c r="KS447" s="548">
        <f t="shared" si="1305"/>
        <v>5.6624050471527019</v>
      </c>
      <c r="KT447" s="473">
        <f t="shared" si="1339"/>
        <v>1050.27685337919</v>
      </c>
      <c r="KU447" s="663">
        <f t="shared" si="1327"/>
        <v>6.5987903034323612</v>
      </c>
      <c r="KV447" s="117"/>
    </row>
    <row r="448" spans="1:308" s="26" customFormat="1" ht="15">
      <c r="A448" s="561">
        <f t="shared" si="1306"/>
        <v>4048</v>
      </c>
      <c r="B448" s="561">
        <f t="shared" si="1328"/>
        <v>48</v>
      </c>
      <c r="C448" s="561">
        <f t="shared" si="1329"/>
        <v>4</v>
      </c>
      <c r="D448" s="561" t="str">
        <f t="shared" si="1378"/>
        <v xml:space="preserve">500 CC, -360 Lease, </v>
      </c>
      <c r="E448" s="475">
        <f>INDEX(Input!$1:$1048576,E$93,$C448*2+MIN($B448,2)+5)
+INDEX(Scenarios!E$121:E$200,MATCH($B448,Scenarios!$B$121:$B$200,0))</f>
        <v>1750</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1.8999999999999996E-2</v>
      </c>
      <c r="W448" s="863">
        <f>IFERROR(MAX(0,INDEX(Input!$1:$1048576,W$93,$C448*2+MIN($B448,2)+5)-0%,),"Market")</f>
        <v>3.9E-2</v>
      </c>
      <c r="X448" s="476" t="str">
        <f>INDEX(Input!$1:$1048576,X$93,$C448*2+MIN($B448,2)+5)</f>
        <v>Y</v>
      </c>
      <c r="Y448" s="475">
        <f>INDEX(Input!$1:$1048576,Y$93,$C448*2+MIN($B448,2)+5)
++INDEX(Scenarios!Y$121:Y$200,MATCH($B448,Scenarios!$B$121:$B$200,0))</f>
        <v>-2577</v>
      </c>
      <c r="Z448" s="477">
        <f>INDEX(Input!$1:$1048576,Z$93,$C448*2+MIN($B448,2)+5)
+INDEX(Scenarios!Z$121:Z$200,MATCH($B448,Scenarios!$B$121:$B$200,0))</f>
        <v>0</v>
      </c>
      <c r="AA448" s="475">
        <f>INDEX(Input!$1:$1048576,AA$93,$C448*2+MIN($B448,2)+5)</f>
        <v>0</v>
      </c>
      <c r="AB448" s="476">
        <f>INDEX(Input!$1:$1048576,AB$93,$C448*2+MIN($B448,2)+5)</f>
        <v>1</v>
      </c>
      <c r="AC448" s="475">
        <f>INDEX(Input!$1:$1048576,AC$93,$C448*2+MIN($B448,2)+5)
+INDEX(Scenarios!AC$121:AC$200,MATCH($B448,Scenarios!$B$121:$B$200,0))</f>
        <v>0</v>
      </c>
      <c r="AD448" s="476">
        <f>INDEX(Input!$1:$1048576,AD$93,$C448*2+MIN($B448,2)+5)</f>
        <v>0.35</v>
      </c>
      <c r="AE448" s="475">
        <f>INDEX(Input!$1:$1048576,AE$93,$C448*2+MIN($B448,2)+5)
+INDEX(Scenarios!AE$121:AE$200,MATCH($B448,Scenarios!$B$121:$B$200,0))</f>
        <v>0</v>
      </c>
      <c r="AF448" s="476">
        <f>INDEX(Input!$1:$1048576,AF$93,$C448*2+MIN($B448,2)+5)</f>
        <v>1</v>
      </c>
      <c r="AG448" s="475">
        <f>INDEX(Input!$1:$1048576,AG$93,$C448*2+MIN($B448,2)+5)
+INDEX(Scenarios!AG$121:AG$200,MATCH($B448,Scenarios!$B$121:$B$200,0))</f>
        <v>0</v>
      </c>
      <c r="AH448" s="476">
        <f>INDEX(Input!$1:$1048576,AH$93,$C448*2+MIN($B448,2)+5)</f>
        <v>1</v>
      </c>
      <c r="AI448" s="475">
        <f>INDEX(Input!$1:$1048576,AI$93,$C448*2+MIN($B448,2)+5)
+INDEX(Scenarios!AI$121:AI$200,MATCH($B448,Scenarios!$B$121:$B$200,0))</f>
        <v>0</v>
      </c>
      <c r="AJ448" s="476">
        <f>INDEX(Input!$1:$1048576,AJ$93,$C448*2+MIN($B448,2)+5)</f>
        <v>0.35</v>
      </c>
      <c r="AK448" s="150">
        <f>ROUND(INDEX(Input!$1:$1048576,AK$93,$C447*2+MIN($B448,1)+5)+(Y448-VLOOKUP($C448*1000+1,$A:$HH,Y$92,FALSE)),0)</f>
        <v>4232</v>
      </c>
      <c r="AL448" s="150">
        <f>ROUND(INDEX(Input!$1:$1048576,AL$93,$C447*2+MIN($B448,1)+5)-(Y448-VLOOKUP($C448*1000+1,$A:$HH,Y$92,FALSE))/36,0)</f>
        <v>4753</v>
      </c>
      <c r="AM448" s="32" t="str">
        <f t="shared" si="1307"/>
        <v>std/std/std/std</v>
      </c>
      <c r="AN448" s="32" t="str">
        <f t="shared" si="1308"/>
        <v>$0 + 0/0/0/1.9/3.9</v>
      </c>
      <c r="AO448" s="32" t="str">
        <f t="shared" si="1309"/>
        <v>0/0/0/1.9/3.9</v>
      </c>
      <c r="AP448" s="32" t="str">
        <f t="shared" si="1386"/>
        <v>0/0.9/1.9/3.9</v>
      </c>
      <c r="AQ448" s="536">
        <f t="shared" si="1379"/>
        <v>0.48781495427243399</v>
      </c>
      <c r="AR448" s="32"/>
      <c r="AS448" s="302"/>
      <c r="AT448" s="3">
        <f t="shared" si="1330"/>
        <v>48</v>
      </c>
      <c r="AU448" s="41" t="s">
        <v>121</v>
      </c>
      <c r="AV448" s="41" t="s">
        <v>116</v>
      </c>
      <c r="AW448" s="41" t="str">
        <f>INDEX(Input!$1:$1048576,AW$93,$C448*2+6)</f>
        <v>Kia</v>
      </c>
      <c r="AX448" s="41" t="str">
        <f>INDEX(Input!$1:$1048576,AX$93,$C448*2+6)</f>
        <v>Kia-LR - R1</v>
      </c>
      <c r="AY448" s="41" t="str">
        <f>IF(LEN(D448)=0,"",INDEX(Input!$1:$1048576,AY$93,$C448*2+6))</f>
        <v>Compact Conventional/Sporty Car (43)</v>
      </c>
      <c r="AZ448" s="41" t="str">
        <f>INDEX(Input!$1:$1048576,AZ$93,$C448*2+6)</f>
        <v>Kia Forte</v>
      </c>
      <c r="BA448" s="3">
        <f>INDEX(Input!$1:$1048576,BA$93,$C448*2+6)</f>
        <v>2020</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19695</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387"/>
        <v>2060</v>
      </c>
      <c r="CJ448" s="16" t="str">
        <f>INDEX(Input!$1:$1048576,CJ$93,$C448*2+6)</f>
        <v>N</v>
      </c>
      <c r="CK448" s="1" t="str">
        <f t="shared" si="1388"/>
        <v>Market</v>
      </c>
      <c r="CL448" s="1" t="str">
        <f t="shared" si="1389"/>
        <v>Market</v>
      </c>
      <c r="CM448" s="1" t="str">
        <f t="shared" si="1390"/>
        <v>Market</v>
      </c>
      <c r="CN448" s="1" t="str">
        <f t="shared" si="1391"/>
        <v>Market</v>
      </c>
      <c r="CO448" s="1" t="str">
        <f t="shared" si="1392"/>
        <v>Market</v>
      </c>
      <c r="CP448" s="304">
        <f t="shared" si="1393"/>
        <v>0</v>
      </c>
      <c r="CQ448" s="1">
        <f t="shared" si="1394"/>
        <v>0</v>
      </c>
      <c r="CR448" s="1">
        <f t="shared" si="1395"/>
        <v>0</v>
      </c>
      <c r="CS448" s="1">
        <f t="shared" si="1396"/>
        <v>0</v>
      </c>
      <c r="CT448" s="1">
        <f t="shared" si="1397"/>
        <v>1.8999999999999996E-2</v>
      </c>
      <c r="CU448" s="1">
        <f t="shared" si="1398"/>
        <v>3.9E-2</v>
      </c>
      <c r="CV448" s="304">
        <f t="shared" si="1399"/>
        <v>-2577</v>
      </c>
      <c r="CW448" s="20" t="s">
        <v>122</v>
      </c>
      <c r="CX448" s="20" t="s">
        <v>122</v>
      </c>
      <c r="CY448" s="20" t="s">
        <v>122</v>
      </c>
      <c r="CZ448" s="20" t="s">
        <v>122</v>
      </c>
      <c r="DA448" s="20" t="s">
        <v>122</v>
      </c>
      <c r="DB448" s="503">
        <f t="shared" si="1400"/>
        <v>0</v>
      </c>
      <c r="DC448" s="127">
        <v>0</v>
      </c>
      <c r="DD448" s="127">
        <v>0</v>
      </c>
      <c r="DE448" s="127">
        <v>0</v>
      </c>
      <c r="DF448" s="127">
        <v>0</v>
      </c>
      <c r="DG448" s="127">
        <v>0</v>
      </c>
      <c r="DH448" s="127">
        <v>0</v>
      </c>
      <c r="DI448" s="127">
        <v>0</v>
      </c>
      <c r="DJ448" s="127">
        <v>0</v>
      </c>
      <c r="DK448" s="127">
        <v>0</v>
      </c>
      <c r="DL448" s="127">
        <v>0</v>
      </c>
      <c r="DM448" s="304">
        <f>INDEX(Input!$1:$1048576,DM$93,$C448*2+6)</f>
        <v>20731.578947368424</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4.7207614478798864E-2</v>
      </c>
      <c r="DZ448" s="7">
        <v>0</v>
      </c>
      <c r="EA448" s="7">
        <v>0.84455796133654104</v>
      </c>
      <c r="EB448" s="7">
        <v>0</v>
      </c>
      <c r="EC448" s="7">
        <v>0</v>
      </c>
      <c r="ED448" s="7">
        <v>0</v>
      </c>
      <c r="EE448" s="7">
        <v>0</v>
      </c>
      <c r="EF448" s="7">
        <v>0</v>
      </c>
      <c r="EG448" s="7">
        <v>0</v>
      </c>
      <c r="EH448" s="7">
        <v>1.2294017609910302E-2</v>
      </c>
      <c r="EI448" s="7">
        <v>1.974766945606694E-2</v>
      </c>
      <c r="EJ448" s="7">
        <v>0.18533943031708491</v>
      </c>
      <c r="EK448" s="7">
        <v>0.72451358421032785</v>
      </c>
      <c r="EL448" s="7">
        <v>5.8105298406610204E-2</v>
      </c>
      <c r="EM448" s="7">
        <v>2.7670158919224138E-2</v>
      </c>
      <c r="EN448" s="7">
        <v>4.6363710499371213E-2</v>
      </c>
      <c r="EO448" s="7">
        <v>0.57144169708086545</v>
      </c>
      <c r="EP448" s="7">
        <v>0.26808990387138715</v>
      </c>
      <c r="EQ448" s="7">
        <v>6.8664481449288911E-2</v>
      </c>
      <c r="ER448" s="7">
        <v>4.5440207099088213E-2</v>
      </c>
      <c r="ES448" s="7">
        <v>8.0564265265435878E-2</v>
      </c>
      <c r="ET448" s="7">
        <v>0.10823442418466007</v>
      </c>
      <c r="EU448" s="6">
        <v>2100</v>
      </c>
      <c r="EV448" s="6">
        <v>0</v>
      </c>
      <c r="EW448" s="6">
        <v>2100</v>
      </c>
      <c r="EX448" s="6">
        <v>0</v>
      </c>
      <c r="EY448" s="6">
        <v>2595.8656579887024</v>
      </c>
      <c r="EZ448" s="6">
        <v>-606</v>
      </c>
      <c r="FA448" s="6">
        <v>0</v>
      </c>
      <c r="FB448" s="6">
        <v>0</v>
      </c>
      <c r="FC448" s="6">
        <v>0</v>
      </c>
      <c r="FD448" s="6">
        <v>0</v>
      </c>
      <c r="FE448" s="6">
        <v>0</v>
      </c>
      <c r="FF448" s="6">
        <v>0</v>
      </c>
      <c r="FG448" s="6">
        <v>0</v>
      </c>
      <c r="FH448" s="6">
        <v>1153.236550914565</v>
      </c>
      <c r="FI448" s="6">
        <v>1531.4299904380612</v>
      </c>
      <c r="FJ448" s="6">
        <v>2070.7205842538224</v>
      </c>
      <c r="FK448" s="6">
        <v>1746.9903521590429</v>
      </c>
      <c r="FL448" s="6">
        <v>893.91433563489352</v>
      </c>
      <c r="FM448" s="6">
        <v>1745.8656579887024</v>
      </c>
      <c r="FN448" s="6">
        <v>0</v>
      </c>
      <c r="FO448" s="6">
        <v>0</v>
      </c>
      <c r="FP448" s="6">
        <v>0</v>
      </c>
      <c r="FQ448" s="6">
        <v>0</v>
      </c>
      <c r="FR448" s="6">
        <v>0</v>
      </c>
      <c r="FS448" s="6">
        <v>0</v>
      </c>
      <c r="FT448" s="7">
        <v>0.89176557581533988</v>
      </c>
      <c r="FU448" s="7">
        <v>2.7670158919224138E-2</v>
      </c>
      <c r="FV448" s="7">
        <v>8.0564265265435878E-2</v>
      </c>
      <c r="FW448" s="6">
        <v>2100</v>
      </c>
      <c r="FX448" s="6">
        <v>2595.8656579887024</v>
      </c>
      <c r="FY448" s="6">
        <v>-606</v>
      </c>
      <c r="FZ448" s="6">
        <v>1695.8504614767719</v>
      </c>
      <c r="GA448" s="6">
        <v>1895.7137797508635</v>
      </c>
      <c r="GB448" s="6">
        <v>17799.286220249138</v>
      </c>
      <c r="GC448" s="7">
        <v>8.1891069685915169E-2</v>
      </c>
      <c r="GD448" s="7">
        <v>8.3722680869994265E-2</v>
      </c>
      <c r="GE448" s="7"/>
      <c r="GF448" s="7"/>
      <c r="GG448" s="7">
        <v>2.2366433740627075E-2</v>
      </c>
      <c r="GH448" s="42">
        <v>2.2040408231266384</v>
      </c>
      <c r="GI448" s="6">
        <v>10831.57367551306</v>
      </c>
      <c r="GJ448" s="14">
        <v>0.51074630601039528</v>
      </c>
      <c r="GK448" s="14">
        <v>0.5082951978616097</v>
      </c>
      <c r="GL448" s="14">
        <v>0.48925369398960422</v>
      </c>
      <c r="GM448" s="14">
        <v>0.49170480213839024</v>
      </c>
      <c r="GO448" s="5">
        <v>338.16872463277008</v>
      </c>
      <c r="GP448" s="5">
        <v>298.1047308538179</v>
      </c>
      <c r="GQ448" s="5">
        <v>527.27910984145694</v>
      </c>
      <c r="GR448" s="5">
        <v>404.20319246551543</v>
      </c>
      <c r="GS448" s="5">
        <v>334.50205195691484</v>
      </c>
      <c r="GT448" s="5">
        <v>289.18266033348181</v>
      </c>
      <c r="GU448" s="5">
        <v>254.29573314828914</v>
      </c>
      <c r="GV448" s="39" t="s">
        <v>392</v>
      </c>
      <c r="GW448" s="5">
        <v>468.76388888888891</v>
      </c>
      <c r="GX448" s="5">
        <v>351.57291666666669</v>
      </c>
      <c r="GY448" s="5">
        <v>281.25833333333333</v>
      </c>
      <c r="GZ448" s="5">
        <v>248.1807987949399</v>
      </c>
      <c r="HA448" s="5">
        <v>229.89195052129477</v>
      </c>
      <c r="HB448" s="39">
        <v>258.00229697828314</v>
      </c>
      <c r="HC448" s="5">
        <v>309.62812499999995</v>
      </c>
      <c r="HD448" s="5">
        <v>254.42143640350872</v>
      </c>
      <c r="HE448" s="5">
        <v>254.26724443319836</v>
      </c>
      <c r="HF448" s="5">
        <v>231.71692434210524</v>
      </c>
      <c r="HG448" s="5">
        <v>219.1899342105263</v>
      </c>
      <c r="HH448" s="39">
        <v>253.77976571741087</v>
      </c>
      <c r="HI448" s="16"/>
      <c r="HJ448" s="19" t="str">
        <f t="shared" si="1405"/>
        <v>On</v>
      </c>
      <c r="HK448" s="1" t="str">
        <f t="shared" si="1405"/>
        <v>On</v>
      </c>
      <c r="HL448" s="16"/>
      <c r="HM448" s="639">
        <f t="shared" si="1278"/>
        <v>6.6115095157691428E-2</v>
      </c>
      <c r="HN448" s="639">
        <f t="shared" si="1279"/>
        <v>2.3720927871164412E-3</v>
      </c>
      <c r="HO448" s="639">
        <f t="shared" si="1280"/>
        <v>7.7231033444443466E-3</v>
      </c>
      <c r="HP448" s="644">
        <f>(FT448*$GD448-HM448)/$JF448*INDEX(Input!$1:$1048576,$JG$93,$C448*2+6)</f>
        <v>208.46063698183539</v>
      </c>
      <c r="HQ448" s="644">
        <f>(FU448*$GD448-HN448)/$JF448*INDEX(Input!$1:$1048576,$JG$93,$C448*2+6)</f>
        <v>-1.353152226970163</v>
      </c>
      <c r="HR448" s="644">
        <f>(FV448*$GD448-HO448)/$JF448*INDEX(Input!$1:$1048576,$JG$93,$C448*2+6)</f>
        <v>-23.857532624463367</v>
      </c>
      <c r="HS448" s="644">
        <f t="shared" si="1406"/>
        <v>-47.317208897454258</v>
      </c>
      <c r="HT448" s="644">
        <f t="shared" si="1282"/>
        <v>61.686731595321248</v>
      </c>
      <c r="HU448" s="644">
        <f t="shared" si="1283"/>
        <v>3.881990493826271</v>
      </c>
      <c r="HV448" s="648">
        <f t="shared" si="1284"/>
        <v>0</v>
      </c>
      <c r="HW448" s="648">
        <f t="shared" si="1285"/>
        <v>0</v>
      </c>
      <c r="HX448" s="648">
        <f t="shared" si="1286"/>
        <v>0</v>
      </c>
      <c r="HY448" s="644">
        <f>INDEX(Input!$1:$1048576,HY$93,$C448*2+6)*INDEX(Input!$1:$1048576,$JG$93,$C448*2+6)</f>
        <v>844</v>
      </c>
      <c r="HZ448" s="644">
        <f>INDEX(Input!$1:$1048576,HZ$93,$C448*2+6)*INDEX(Input!$1:$1048576,$JG$93,$C448*2+6)</f>
        <v>865</v>
      </c>
      <c r="IA448" s="644">
        <f>INDEX(Input!$1:$1048576,IA$93,$C448*2+6)*INDEX(Input!$1:$1048576,$JG$93,$C448*2+6)</f>
        <v>150</v>
      </c>
      <c r="IB448" s="644">
        <f t="shared" si="1310"/>
        <v>1005.1434280843811</v>
      </c>
      <c r="IC448" s="644">
        <f t="shared" si="1311"/>
        <v>925.33357936835114</v>
      </c>
      <c r="ID448" s="644">
        <f>IF(AND(INDEX(Input!$1:$1048576,IA$93,$C448*2+7)="TOS",Y448&lt;=INDEX(Y:Y,MATCH(C448*1000+2,A:A))),0,1)*MAX(IA448+HR448+HU448+HX448,0%)</f>
        <v>130.02445786936289</v>
      </c>
      <c r="IE448" s="128">
        <f t="shared" si="1411"/>
        <v>0.48781495427243399</v>
      </c>
      <c r="IF448" s="128">
        <f t="shared" si="1383"/>
        <v>0.44908173808248375</v>
      </c>
      <c r="IG448" s="128">
        <f t="shared" si="1288"/>
        <v>6.3103307645082221E-2</v>
      </c>
      <c r="IH448" s="21"/>
      <c r="II448" s="19">
        <f t="shared" si="1289"/>
        <v>1199.9999999999998</v>
      </c>
      <c r="IJ448" s="19">
        <f t="shared" si="1290"/>
        <v>2195.4782357510435</v>
      </c>
      <c r="IK448" s="19">
        <f t="shared" si="1291"/>
        <v>-571</v>
      </c>
      <c r="IL448" s="19">
        <f t="shared" si="1313"/>
        <v>900.00000000000023</v>
      </c>
      <c r="IM448" s="19">
        <f t="shared" si="1292"/>
        <v>400.38742223765894</v>
      </c>
      <c r="IN448" s="19">
        <f t="shared" si="1293"/>
        <v>-35</v>
      </c>
      <c r="IO448" s="39">
        <f t="shared" si="1294"/>
        <v>0</v>
      </c>
      <c r="IP448" s="39">
        <f t="shared" si="1295"/>
        <v>0</v>
      </c>
      <c r="IQ448" s="39">
        <f t="shared" si="1296"/>
        <v>0</v>
      </c>
      <c r="IR448" s="39">
        <v>0</v>
      </c>
      <c r="IS448" s="39">
        <v>0</v>
      </c>
      <c r="IT448" s="39">
        <v>0</v>
      </c>
      <c r="IU448" s="39">
        <v>0</v>
      </c>
      <c r="IV448" s="39">
        <v>0</v>
      </c>
      <c r="IW448" s="39">
        <v>0</v>
      </c>
      <c r="IX448" s="39">
        <f>INDEX(Input!$1:$1048576,IX$93,$C448*2+6)+INDEX(Input!$1:$1048576,IX$94,$C448*2+6)</f>
        <v>1600</v>
      </c>
      <c r="IY448" s="39">
        <f>INDEX(Input!$1:$1048576,IY$93,$C448*2+6)+INDEX(Input!$1:$1048576,IY$94,$C448*2+6)</f>
        <v>2503.549291639752</v>
      </c>
      <c r="IZ448" s="39">
        <f>INDEX(Input!$1:$1048576,IZ$93,$C448*2+6)+INDEX(Input!$1:$1048576,IZ$94,$C448*2+6)</f>
        <v>5413.7109265464023</v>
      </c>
      <c r="JA448" s="19">
        <f t="shared" si="1314"/>
        <v>2500</v>
      </c>
      <c r="JB448" s="19">
        <f t="shared" si="1315"/>
        <v>2903.936713877411</v>
      </c>
      <c r="JC448" s="19">
        <f t="shared" si="1316"/>
        <v>5378.7109265464023</v>
      </c>
      <c r="JD448" s="19">
        <f t="shared" si="1317"/>
        <v>2863.0567827625118</v>
      </c>
      <c r="JE448" s="21"/>
      <c r="JF448" s="1">
        <f t="shared" si="1297"/>
        <v>7.6210291289252219E-2</v>
      </c>
      <c r="JG448" s="15">
        <f>INDEX(Input!$1:$1048576,JG$93,$C448*2+6)/(1+VLOOKUP(C448*1000+INDEX(Input!$1:$1048576,JG$93+1,$C448*2+6),$A:$KK,$JK$92,FALSE))</f>
        <v>1859</v>
      </c>
      <c r="JH448" s="1">
        <f t="shared" si="1318"/>
        <v>9.8574476670468994E-2</v>
      </c>
      <c r="JI448" s="1">
        <f t="shared" si="1319"/>
        <v>9.8179199524977209E-3</v>
      </c>
      <c r="JJ448" s="1">
        <f t="shared" si="1384"/>
        <v>0</v>
      </c>
      <c r="JK448" s="1">
        <f t="shared" si="1385"/>
        <v>0.10839239662296671</v>
      </c>
      <c r="JL448" s="15">
        <f t="shared" si="1322"/>
        <v>201.5014653220951</v>
      </c>
      <c r="JM448" s="15">
        <f t="shared" si="1348"/>
        <v>2060.5014653220951</v>
      </c>
      <c r="JN448" s="21"/>
      <c r="JO448" s="19">
        <f>INDEX(Input!$1:$1048576,JO$93,$C448*2+6)</f>
        <v>5908.5</v>
      </c>
      <c r="JP448" s="19">
        <f>INDEX(Input!$1:$1048576,JP$93,$C448*2+6)</f>
        <v>2328.1478086338602</v>
      </c>
      <c r="JQ448" s="39">
        <f t="shared" si="1334"/>
        <v>3045.4432172374882</v>
      </c>
      <c r="JR448" s="39">
        <f t="shared" si="1351"/>
        <v>534.90897412865161</v>
      </c>
      <c r="JS448" s="39">
        <f t="shared" si="1336"/>
        <v>5.899332696182519</v>
      </c>
      <c r="JT448" s="39">
        <f t="shared" si="1324"/>
        <v>1.5713059199321726</v>
      </c>
      <c r="JU448" s="385">
        <f>(JQ448*JM448-INDEX(Input!$1:$1048576,Input!A$18,$C448*2+6)*JL448*INDEX(Input!$1:$1048576,Input!A$19,$C448*2+6))/1000000</f>
        <v>6.2751402116730803</v>
      </c>
      <c r="JV448" s="39">
        <f t="shared" si="1358"/>
        <v>-0.38073451207657349</v>
      </c>
      <c r="JW448" s="1">
        <f t="shared" si="1349"/>
        <v>-5.7202776175763546E-2</v>
      </c>
      <c r="JX448" s="19">
        <f t="shared" si="1340"/>
        <v>7797.9875601424492</v>
      </c>
      <c r="JZ448" s="341"/>
      <c r="KA448" s="342"/>
      <c r="KB448" s="469">
        <f t="shared" si="1337"/>
        <v>2.3451977905499271</v>
      </c>
      <c r="KI448" s="473">
        <f t="shared" si="1408"/>
        <v>161.14342808438107</v>
      </c>
      <c r="KJ448" s="473">
        <f t="shared" si="1409"/>
        <v>60.333579368351138</v>
      </c>
      <c r="KK448" s="473">
        <f t="shared" si="1326"/>
        <v>-19.975542130637109</v>
      </c>
      <c r="KN448" s="544">
        <f t="shared" si="1341"/>
        <v>4002</v>
      </c>
      <c r="KO448" s="541">
        <f t="shared" si="1301"/>
        <v>3.1467990025624504E-2</v>
      </c>
      <c r="KP448" s="546">
        <f t="shared" si="1302"/>
        <v>221.31897369899548</v>
      </c>
      <c r="KQ448" s="546">
        <f t="shared" si="1303"/>
        <v>139.31322116451611</v>
      </c>
      <c r="KR448" s="548">
        <f t="shared" si="1304"/>
        <v>2.4130390603215321</v>
      </c>
      <c r="KS448" s="548">
        <f t="shared" si="1305"/>
        <v>3.8334576134398928</v>
      </c>
      <c r="KT448" s="473">
        <f t="shared" si="1339"/>
        <v>1050.27685337919</v>
      </c>
      <c r="KU448" s="663">
        <f t="shared" si="1327"/>
        <v>6.6167286518083426</v>
      </c>
      <c r="KV448" s="117"/>
    </row>
    <row r="449" spans="1:308" s="26" customFormat="1" ht="15">
      <c r="A449" s="561">
        <f t="shared" si="1306"/>
        <v>4049</v>
      </c>
      <c r="B449" s="561">
        <f t="shared" si="1328"/>
        <v>49</v>
      </c>
      <c r="C449" s="561">
        <f t="shared" si="1329"/>
        <v>4</v>
      </c>
      <c r="D449" s="561" t="str">
        <f t="shared" si="1378"/>
        <v xml:space="preserve">750 CC, -360 Lease, </v>
      </c>
      <c r="E449" s="475">
        <f>INDEX(Input!$1:$1048576,E$93,$C449*2+MIN($B449,2)+5)
+INDEX(Scenarios!E$121:E$200,MATCH($B449,Scenarios!$B$121:$B$200,0))</f>
        <v>2000</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1.8999999999999996E-2</v>
      </c>
      <c r="W449" s="863">
        <f>IFERROR(MAX(0,INDEX(Input!$1:$1048576,W$93,$C449*2+MIN($B449,2)+5)-0%,),"Market")</f>
        <v>3.9E-2</v>
      </c>
      <c r="X449" s="476" t="str">
        <f>INDEX(Input!$1:$1048576,X$93,$C449*2+MIN($B449,2)+5)</f>
        <v>Y</v>
      </c>
      <c r="Y449" s="475">
        <f>INDEX(Input!$1:$1048576,Y$93,$C449*2+MIN($B449,2)+5)
++INDEX(Scenarios!Y$121:Y$200,MATCH($B449,Scenarios!$B$121:$B$200,0))</f>
        <v>-2577</v>
      </c>
      <c r="Z449" s="477">
        <f>INDEX(Input!$1:$1048576,Z$93,$C449*2+MIN($B449,2)+5)
+INDEX(Scenarios!Z$121:Z$200,MATCH($B449,Scenarios!$B$121:$B$200,0))</f>
        <v>0</v>
      </c>
      <c r="AA449" s="475">
        <f>INDEX(Input!$1:$1048576,AA$93,$C449*2+MIN($B449,2)+5)</f>
        <v>0</v>
      </c>
      <c r="AB449" s="476">
        <f>INDEX(Input!$1:$1048576,AB$93,$C449*2+MIN($B449,2)+5)</f>
        <v>1</v>
      </c>
      <c r="AC449" s="475">
        <f>INDEX(Input!$1:$1048576,AC$93,$C449*2+MIN($B449,2)+5)
+INDEX(Scenarios!AC$121:AC$200,MATCH($B449,Scenarios!$B$121:$B$200,0))</f>
        <v>0</v>
      </c>
      <c r="AD449" s="476">
        <f>INDEX(Input!$1:$1048576,AD$93,$C449*2+MIN($B449,2)+5)</f>
        <v>0.35</v>
      </c>
      <c r="AE449" s="475">
        <f>INDEX(Input!$1:$1048576,AE$93,$C449*2+MIN($B449,2)+5)
+INDEX(Scenarios!AE$121:AE$200,MATCH($B449,Scenarios!$B$121:$B$200,0))</f>
        <v>0</v>
      </c>
      <c r="AF449" s="476">
        <f>INDEX(Input!$1:$1048576,AF$93,$C449*2+MIN($B449,2)+5)</f>
        <v>1</v>
      </c>
      <c r="AG449" s="475">
        <f>INDEX(Input!$1:$1048576,AG$93,$C449*2+MIN($B449,2)+5)
+INDEX(Scenarios!AG$121:AG$200,MATCH($B449,Scenarios!$B$121:$B$200,0))</f>
        <v>0</v>
      </c>
      <c r="AH449" s="476">
        <f>INDEX(Input!$1:$1048576,AH$93,$C449*2+MIN($B449,2)+5)</f>
        <v>1</v>
      </c>
      <c r="AI449" s="475">
        <f>INDEX(Input!$1:$1048576,AI$93,$C449*2+MIN($B449,2)+5)
+INDEX(Scenarios!AI$121:AI$200,MATCH($B449,Scenarios!$B$121:$B$200,0))</f>
        <v>0</v>
      </c>
      <c r="AJ449" s="476">
        <f>INDEX(Input!$1:$1048576,AJ$93,$C449*2+MIN($B449,2)+5)</f>
        <v>0.35</v>
      </c>
      <c r="AK449" s="150">
        <f>ROUND(INDEX(Input!$1:$1048576,AK$93,$C448*2+MIN($B449,1)+5)+(Y449-VLOOKUP($C449*1000+1,$A:$HH,Y$92,FALSE)),0)</f>
        <v>4232</v>
      </c>
      <c r="AL449" s="150">
        <f>ROUND(INDEX(Input!$1:$1048576,AL$93,$C448*2+MIN($B449,1)+5)-(Y449-VLOOKUP($C449*1000+1,$A:$HH,Y$92,FALSE))/36,0)</f>
        <v>4753</v>
      </c>
      <c r="AM449" s="32" t="str">
        <f t="shared" si="1307"/>
        <v>std/std/std/std</v>
      </c>
      <c r="AN449" s="32" t="str">
        <f t="shared" si="1308"/>
        <v>$0 + 0/0/0/1.9/3.9</v>
      </c>
      <c r="AO449" s="32" t="str">
        <f t="shared" si="1309"/>
        <v>0/0/0/1.9/3.9</v>
      </c>
      <c r="AP449" s="32" t="str">
        <f t="shared" si="1386"/>
        <v>0/0.9/1.9/3.9</v>
      </c>
      <c r="AQ449" s="536">
        <f t="shared" si="1379"/>
        <v>0.50161903494184124</v>
      </c>
      <c r="AR449" s="32"/>
      <c r="AS449" s="302"/>
      <c r="AT449" s="3">
        <f t="shared" si="1330"/>
        <v>49</v>
      </c>
      <c r="AU449" s="41" t="s">
        <v>121</v>
      </c>
      <c r="AV449" s="41" t="s">
        <v>116</v>
      </c>
      <c r="AW449" s="41" t="str">
        <f>INDEX(Input!$1:$1048576,AW$93,$C449*2+6)</f>
        <v>Kia</v>
      </c>
      <c r="AX449" s="41" t="str">
        <f>INDEX(Input!$1:$1048576,AX$93,$C449*2+6)</f>
        <v>Kia-LR - R1</v>
      </c>
      <c r="AY449" s="41" t="str">
        <f>IF(LEN(D449)=0,"",INDEX(Input!$1:$1048576,AY$93,$C449*2+6))</f>
        <v>Compact Conventional/Sporty Car (43)</v>
      </c>
      <c r="AZ449" s="41" t="str">
        <f>INDEX(Input!$1:$1048576,AZ$93,$C449*2+6)</f>
        <v>Kia Forte</v>
      </c>
      <c r="BA449" s="3">
        <f>INDEX(Input!$1:$1048576,BA$93,$C449*2+6)</f>
        <v>2020</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19695</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387"/>
        <v>2310</v>
      </c>
      <c r="CJ449" s="16" t="str">
        <f>INDEX(Input!$1:$1048576,CJ$93,$C449*2+6)</f>
        <v>N</v>
      </c>
      <c r="CK449" s="1" t="str">
        <f t="shared" si="1388"/>
        <v>Market</v>
      </c>
      <c r="CL449" s="1" t="str">
        <f t="shared" si="1389"/>
        <v>Market</v>
      </c>
      <c r="CM449" s="1" t="str">
        <f t="shared" si="1390"/>
        <v>Market</v>
      </c>
      <c r="CN449" s="1" t="str">
        <f t="shared" si="1391"/>
        <v>Market</v>
      </c>
      <c r="CO449" s="1" t="str">
        <f t="shared" si="1392"/>
        <v>Market</v>
      </c>
      <c r="CP449" s="304">
        <f t="shared" si="1393"/>
        <v>0</v>
      </c>
      <c r="CQ449" s="1">
        <f t="shared" si="1394"/>
        <v>0</v>
      </c>
      <c r="CR449" s="1">
        <f t="shared" si="1395"/>
        <v>0</v>
      </c>
      <c r="CS449" s="1">
        <f t="shared" si="1396"/>
        <v>0</v>
      </c>
      <c r="CT449" s="1">
        <f t="shared" si="1397"/>
        <v>1.8999999999999996E-2</v>
      </c>
      <c r="CU449" s="1">
        <f t="shared" si="1398"/>
        <v>3.9E-2</v>
      </c>
      <c r="CV449" s="304">
        <f t="shared" si="1399"/>
        <v>-2577</v>
      </c>
      <c r="CW449" s="20" t="s">
        <v>122</v>
      </c>
      <c r="CX449" s="20" t="s">
        <v>122</v>
      </c>
      <c r="CY449" s="20" t="s">
        <v>122</v>
      </c>
      <c r="CZ449" s="20" t="s">
        <v>122</v>
      </c>
      <c r="DA449" s="20" t="s">
        <v>122</v>
      </c>
      <c r="DB449" s="503">
        <f t="shared" si="1400"/>
        <v>0</v>
      </c>
      <c r="DC449" s="127">
        <v>0</v>
      </c>
      <c r="DD449" s="127">
        <v>0</v>
      </c>
      <c r="DE449" s="127">
        <v>0</v>
      </c>
      <c r="DF449" s="127">
        <v>0</v>
      </c>
      <c r="DG449" s="127">
        <v>0</v>
      </c>
      <c r="DH449" s="127">
        <v>0</v>
      </c>
      <c r="DI449" s="127">
        <v>0</v>
      </c>
      <c r="DJ449" s="127">
        <v>0</v>
      </c>
      <c r="DK449" s="127">
        <v>0</v>
      </c>
      <c r="DL449" s="127">
        <v>0</v>
      </c>
      <c r="DM449" s="304">
        <f>INDEX(Input!$1:$1048576,DM$93,$C449*2+6)</f>
        <v>20731.578947368424</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4.774986161860139E-2</v>
      </c>
      <c r="DZ449" s="7">
        <v>0</v>
      </c>
      <c r="EA449" s="7">
        <v>0.85063912814191978</v>
      </c>
      <c r="EB449" s="7">
        <v>0</v>
      </c>
      <c r="EC449" s="7">
        <v>0</v>
      </c>
      <c r="ED449" s="7">
        <v>0</v>
      </c>
      <c r="EE449" s="7">
        <v>0</v>
      </c>
      <c r="EF449" s="7">
        <v>0</v>
      </c>
      <c r="EG449" s="7">
        <v>0</v>
      </c>
      <c r="EH449" s="7">
        <v>1.2308272729181788E-2</v>
      </c>
      <c r="EI449" s="7">
        <v>1.97734056667918E-2</v>
      </c>
      <c r="EJ449" s="7">
        <v>0.18556910365860677</v>
      </c>
      <c r="EK449" s="7">
        <v>0.72429683349111551</v>
      </c>
      <c r="EL449" s="7">
        <v>5.8052384454304766E-2</v>
      </c>
      <c r="EM449" s="7">
        <v>2.5904157247536724E-2</v>
      </c>
      <c r="EN449" s="7">
        <v>4.6341624363771733E-2</v>
      </c>
      <c r="EO449" s="7">
        <v>0.57136271063338062</v>
      </c>
      <c r="EP449" s="7">
        <v>0.26819099917519751</v>
      </c>
      <c r="EQ449" s="7">
        <v>6.8655076051401337E-2</v>
      </c>
      <c r="ER449" s="7">
        <v>4.5449589776248266E-2</v>
      </c>
      <c r="ES449" s="7">
        <v>7.5706852991942186E-2</v>
      </c>
      <c r="ET449" s="7">
        <v>0.10161101023947887</v>
      </c>
      <c r="EU449" s="6">
        <v>2350</v>
      </c>
      <c r="EV449" s="6">
        <v>0</v>
      </c>
      <c r="EW449" s="6">
        <v>2350</v>
      </c>
      <c r="EX449" s="6">
        <v>0</v>
      </c>
      <c r="EY449" s="6">
        <v>2595.9710719654231</v>
      </c>
      <c r="EZ449" s="6">
        <v>-606</v>
      </c>
      <c r="FA449" s="6">
        <v>0</v>
      </c>
      <c r="FB449" s="6">
        <v>0</v>
      </c>
      <c r="FC449" s="6">
        <v>0</v>
      </c>
      <c r="FD449" s="6">
        <v>0</v>
      </c>
      <c r="FE449" s="6">
        <v>0</v>
      </c>
      <c r="FF449" s="6">
        <v>0</v>
      </c>
      <c r="FG449" s="6">
        <v>0</v>
      </c>
      <c r="FH449" s="6">
        <v>1153.2311794915252</v>
      </c>
      <c r="FI449" s="6">
        <v>1531.4299904380609</v>
      </c>
      <c r="FJ449" s="6">
        <v>2070.720584253821</v>
      </c>
      <c r="FK449" s="6">
        <v>1746.9903521590429</v>
      </c>
      <c r="FL449" s="6">
        <v>893.91433563489318</v>
      </c>
      <c r="FM449" s="6">
        <v>1745.9710719654233</v>
      </c>
      <c r="FN449" s="6">
        <v>0</v>
      </c>
      <c r="FO449" s="6">
        <v>0</v>
      </c>
      <c r="FP449" s="6">
        <v>0</v>
      </c>
      <c r="FQ449" s="6">
        <v>0</v>
      </c>
      <c r="FR449" s="6">
        <v>0</v>
      </c>
      <c r="FS449" s="6">
        <v>0</v>
      </c>
      <c r="FT449" s="7">
        <v>0.89838898976052117</v>
      </c>
      <c r="FU449" s="7">
        <v>2.5904157247536724E-2</v>
      </c>
      <c r="FV449" s="7">
        <v>7.5706852991942186E-2</v>
      </c>
      <c r="FW449" s="6">
        <v>2350</v>
      </c>
      <c r="FX449" s="6">
        <v>2595.9710719654231</v>
      </c>
      <c r="FY449" s="6">
        <v>-606</v>
      </c>
      <c r="FZ449" s="6">
        <v>1695.8504614767719</v>
      </c>
      <c r="GA449" s="6">
        <v>2132.5822158823566</v>
      </c>
      <c r="GB449" s="6">
        <v>17562.417784117642</v>
      </c>
      <c r="GC449" s="7">
        <v>8.1891069685915169E-2</v>
      </c>
      <c r="GD449" s="7">
        <v>8.5940456987606079E-2</v>
      </c>
      <c r="GE449" s="7"/>
      <c r="GF449" s="7"/>
      <c r="GG449" s="7">
        <v>4.9448460219434442E-2</v>
      </c>
      <c r="GH449" s="42">
        <v>2.2299441572488226</v>
      </c>
      <c r="GI449" s="6">
        <v>10964.64194974519</v>
      </c>
      <c r="GJ449" s="14">
        <v>0.51074630601039561</v>
      </c>
      <c r="GK449" s="14">
        <v>0.5082951978616097</v>
      </c>
      <c r="GL449" s="14">
        <v>0.48925369398960428</v>
      </c>
      <c r="GM449" s="14">
        <v>0.49170480213839024</v>
      </c>
      <c r="GO449" s="5">
        <v>338.16872463277008</v>
      </c>
      <c r="GP449" s="5">
        <v>293.33520778489498</v>
      </c>
      <c r="GQ449" s="5">
        <v>527.27910984145694</v>
      </c>
      <c r="GR449" s="5">
        <v>404.20319246551543</v>
      </c>
      <c r="GS449" s="5">
        <v>334.50205195691484</v>
      </c>
      <c r="GT449" s="5">
        <v>289.18266033348181</v>
      </c>
      <c r="GU449" s="5">
        <v>254.29573314828914</v>
      </c>
      <c r="GV449" s="39" t="s">
        <v>392</v>
      </c>
      <c r="GW449" s="5">
        <v>468.76388888888891</v>
      </c>
      <c r="GX449" s="5">
        <v>351.57291666666669</v>
      </c>
      <c r="GY449" s="5">
        <v>281.25833333333333</v>
      </c>
      <c r="GZ449" s="5">
        <v>248.1807987949399</v>
      </c>
      <c r="HA449" s="5">
        <v>229.89195052129477</v>
      </c>
      <c r="HB449" s="39">
        <v>258.01666710100665</v>
      </c>
      <c r="HC449" s="5">
        <v>309.62812499999995</v>
      </c>
      <c r="HD449" s="5">
        <v>254.42143640350872</v>
      </c>
      <c r="HE449" s="5">
        <v>254.26724443319836</v>
      </c>
      <c r="HF449" s="5">
        <v>231.71692434210524</v>
      </c>
      <c r="HG449" s="5">
        <v>219.1899342105263</v>
      </c>
      <c r="HH449" s="39">
        <v>253.77841380607492</v>
      </c>
      <c r="HI449" s="16"/>
      <c r="HJ449" s="19" t="str">
        <f t="shared" si="1405"/>
        <v>On</v>
      </c>
      <c r="HK449" s="1" t="str">
        <f t="shared" si="1405"/>
        <v>On</v>
      </c>
      <c r="HL449" s="16"/>
      <c r="HM449" s="639">
        <f t="shared" si="1278"/>
        <v>6.6115095157691428E-2</v>
      </c>
      <c r="HN449" s="639">
        <f t="shared" si="1279"/>
        <v>2.3720927871164412E-3</v>
      </c>
      <c r="HO449" s="639">
        <f t="shared" si="1280"/>
        <v>7.7231033444443466E-3</v>
      </c>
      <c r="HP449" s="644">
        <f>(FT449*$GD449-HM449)/$JF449*INDEX(Input!$1:$1048576,$JG$93,$C449*2+6)</f>
        <v>270.58860439182843</v>
      </c>
      <c r="HQ449" s="644">
        <f>(FU449*$GD449-HN449)/$JF449*INDEX(Input!$1:$1048576,$JG$93,$C449*2+6)</f>
        <v>-3.5583986618052568</v>
      </c>
      <c r="HR449" s="644">
        <f>(FV449*$GD449-HO449)/$JF449*INDEX(Input!$1:$1048576,$JG$93,$C449*2+6)</f>
        <v>-29.681971951643394</v>
      </c>
      <c r="HS449" s="644">
        <f t="shared" si="1406"/>
        <v>-60.438002888161961</v>
      </c>
      <c r="HT449" s="644">
        <f t="shared" si="1282"/>
        <v>60.443143276054386</v>
      </c>
      <c r="HU449" s="644">
        <f t="shared" si="1283"/>
        <v>5.1430366026831242</v>
      </c>
      <c r="HV449" s="648">
        <f t="shared" si="1284"/>
        <v>0</v>
      </c>
      <c r="HW449" s="648">
        <f t="shared" si="1285"/>
        <v>0</v>
      </c>
      <c r="HX449" s="648">
        <f t="shared" si="1286"/>
        <v>0</v>
      </c>
      <c r="HY449" s="644">
        <f>INDEX(Input!$1:$1048576,HY$93,$C449*2+6)*INDEX(Input!$1:$1048576,$JG$93,$C449*2+6)</f>
        <v>844</v>
      </c>
      <c r="HZ449" s="644">
        <f>INDEX(Input!$1:$1048576,HZ$93,$C449*2+6)*INDEX(Input!$1:$1048576,$JG$93,$C449*2+6)</f>
        <v>865</v>
      </c>
      <c r="IA449" s="644">
        <f>INDEX(Input!$1:$1048576,IA$93,$C449*2+6)*INDEX(Input!$1:$1048576,$JG$93,$C449*2+6)</f>
        <v>150</v>
      </c>
      <c r="IB449" s="644">
        <f t="shared" si="1310"/>
        <v>1054.1506015036664</v>
      </c>
      <c r="IC449" s="644">
        <f t="shared" si="1311"/>
        <v>921.88474461424903</v>
      </c>
      <c r="ID449" s="644">
        <f>IF(AND(INDEX(Input!$1:$1048576,IA$93,$C449*2+7)="TOS",Y449&lt;=INDEX(Y:Y,MATCH(C449*1000+2,A:A))),0,1)*MAX(IA449+HR449+HU449+HX449,0%)</f>
        <v>125.46106465103973</v>
      </c>
      <c r="IE449" s="128">
        <f t="shared" si="1411"/>
        <v>0.50161903494184124</v>
      </c>
      <c r="IF449" s="128">
        <f t="shared" si="1383"/>
        <v>0.43868014234529368</v>
      </c>
      <c r="IG449" s="128">
        <f t="shared" si="1288"/>
        <v>5.9700822712865101E-2</v>
      </c>
      <c r="IH449" s="21"/>
      <c r="II449" s="19">
        <f t="shared" si="1289"/>
        <v>1199.9999999999998</v>
      </c>
      <c r="IJ449" s="19">
        <f t="shared" si="1290"/>
        <v>2195.4782357510435</v>
      </c>
      <c r="IK449" s="19">
        <f t="shared" si="1291"/>
        <v>-571</v>
      </c>
      <c r="IL449" s="19">
        <f t="shared" si="1313"/>
        <v>1150.0000000000002</v>
      </c>
      <c r="IM449" s="19">
        <f t="shared" si="1292"/>
        <v>400.49283621437962</v>
      </c>
      <c r="IN449" s="19">
        <f t="shared" si="1293"/>
        <v>-35</v>
      </c>
      <c r="IO449" s="39">
        <f t="shared" si="1294"/>
        <v>0</v>
      </c>
      <c r="IP449" s="39">
        <f t="shared" si="1295"/>
        <v>0</v>
      </c>
      <c r="IQ449" s="39">
        <f t="shared" si="1296"/>
        <v>0</v>
      </c>
      <c r="IR449" s="39">
        <v>0</v>
      </c>
      <c r="IS449" s="39">
        <v>0</v>
      </c>
      <c r="IT449" s="39">
        <v>0</v>
      </c>
      <c r="IU449" s="39">
        <v>0</v>
      </c>
      <c r="IV449" s="39">
        <v>0</v>
      </c>
      <c r="IW449" s="39">
        <v>0</v>
      </c>
      <c r="IX449" s="39">
        <f>INDEX(Input!$1:$1048576,IX$93,$C449*2+6)+INDEX(Input!$1:$1048576,IX$94,$C449*2+6)</f>
        <v>1600</v>
      </c>
      <c r="IY449" s="39">
        <f>INDEX(Input!$1:$1048576,IY$93,$C449*2+6)+INDEX(Input!$1:$1048576,IY$94,$C449*2+6)</f>
        <v>2503.549291639752</v>
      </c>
      <c r="IZ449" s="39">
        <f>INDEX(Input!$1:$1048576,IZ$93,$C449*2+6)+INDEX(Input!$1:$1048576,IZ$94,$C449*2+6)</f>
        <v>5413.7109265464023</v>
      </c>
      <c r="JA449" s="19">
        <f t="shared" si="1314"/>
        <v>2750</v>
      </c>
      <c r="JB449" s="19">
        <f t="shared" si="1315"/>
        <v>2904.0421278541316</v>
      </c>
      <c r="JC449" s="19">
        <f t="shared" si="1316"/>
        <v>5378.7109265464023</v>
      </c>
      <c r="JD449" s="19">
        <f t="shared" si="1317"/>
        <v>2974.5114275633405</v>
      </c>
      <c r="JE449" s="21"/>
      <c r="JF449" s="1">
        <f t="shared" si="1297"/>
        <v>7.6210291289252219E-2</v>
      </c>
      <c r="JG449" s="15">
        <f>INDEX(Input!$1:$1048576,JG$93,$C449*2+6)/(1+VLOOKUP(C449*1000+INDEX(Input!$1:$1048576,JG$93+1,$C449*2+6),$A:$KK,$JK$92,FALSE))</f>
        <v>1859</v>
      </c>
      <c r="JH449" s="1">
        <f t="shared" si="1318"/>
        <v>0.12767521989154373</v>
      </c>
      <c r="JI449" s="1">
        <f t="shared" si="1319"/>
        <v>2.7693259766409625E-3</v>
      </c>
      <c r="JJ449" s="1">
        <f t="shared" si="1384"/>
        <v>0</v>
      </c>
      <c r="JK449" s="1">
        <f t="shared" si="1385"/>
        <v>0.13044454586818469</v>
      </c>
      <c r="JL449" s="15">
        <f t="shared" si="1322"/>
        <v>242.49641076895534</v>
      </c>
      <c r="JM449" s="15">
        <f t="shared" si="1348"/>
        <v>2101.4964107689552</v>
      </c>
      <c r="JN449" s="21"/>
      <c r="JO449" s="19">
        <f>INDEX(Input!$1:$1048576,JO$93,$C449*2+6)</f>
        <v>5908.5</v>
      </c>
      <c r="JP449" s="19">
        <f>INDEX(Input!$1:$1048576,JP$93,$C449*2+6)</f>
        <v>2328.1478086338602</v>
      </c>
      <c r="JQ449" s="39">
        <f t="shared" si="1334"/>
        <v>2933.9885724366595</v>
      </c>
      <c r="JR449" s="39">
        <f t="shared" si="1351"/>
        <v>646.36361892948025</v>
      </c>
      <c r="JS449" s="39">
        <f t="shared" si="1336"/>
        <v>6.2509250888156016</v>
      </c>
      <c r="JT449" s="39">
        <f t="shared" si="1324"/>
        <v>1.922898312565255</v>
      </c>
      <c r="JU449" s="385">
        <f>(JQ449*JM449-INDEX(Input!$1:$1048576,Input!A$18,$C449*2+6)*JL449*INDEX(Input!$1:$1048576,Input!A$19,$C449*2+6))/1000000</f>
        <v>6.165766454212771</v>
      </c>
      <c r="JV449" s="39">
        <f t="shared" si="1358"/>
        <v>-0.4901082695368828</v>
      </c>
      <c r="JW449" s="1">
        <f t="shared" si="1349"/>
        <v>-7.3635440851683484E-2</v>
      </c>
      <c r="JX449" s="19">
        <f t="shared" si="1340"/>
        <v>7929.5949431488525</v>
      </c>
      <c r="JZ449" s="341"/>
      <c r="KA449" s="342"/>
      <c r="KB449" s="469">
        <f t="shared" si="1337"/>
        <v>2.3451977905499271</v>
      </c>
      <c r="KI449" s="473">
        <f t="shared" si="1408"/>
        <v>210.15060150366639</v>
      </c>
      <c r="KJ449" s="473">
        <f t="shared" si="1409"/>
        <v>56.88474461424903</v>
      </c>
      <c r="KK449" s="473">
        <f t="shared" si="1326"/>
        <v>-24.538935348960266</v>
      </c>
      <c r="KN449" s="544">
        <f t="shared" si="1341"/>
        <v>4002</v>
      </c>
      <c r="KO449" s="541">
        <f t="shared" si="1301"/>
        <v>5.1989680833872898E-2</v>
      </c>
      <c r="KP449" s="546">
        <f t="shared" si="1302"/>
        <v>354.89392971764744</v>
      </c>
      <c r="KQ449" s="546">
        <f t="shared" si="1303"/>
        <v>250.76786596534475</v>
      </c>
      <c r="KR449" s="548">
        <f t="shared" si="1304"/>
        <v>2.4861800433845405</v>
      </c>
      <c r="KS449" s="548">
        <f t="shared" si="1305"/>
        <v>3.5185138342416873</v>
      </c>
      <c r="KT449" s="473">
        <f t="shared" si="1339"/>
        <v>1050.27685337919</v>
      </c>
      <c r="KU449" s="663">
        <f t="shared" si="1327"/>
        <v>6.6272475341976955</v>
      </c>
      <c r="KV449" s="117"/>
    </row>
    <row r="450" spans="1:308" s="26" customFormat="1" ht="15">
      <c r="A450" s="561">
        <f t="shared" si="1306"/>
        <v>4050</v>
      </c>
      <c r="B450" s="561">
        <f t="shared" si="1328"/>
        <v>50</v>
      </c>
      <c r="C450" s="561">
        <f t="shared" si="1329"/>
        <v>4</v>
      </c>
      <c r="D450" s="561" t="str">
        <f t="shared" si="1378"/>
        <v xml:space="preserve">1000 CC, -360 Lease, </v>
      </c>
      <c r="E450" s="475">
        <f>INDEX(Input!$1:$1048576,E$93,$C450*2+MIN($B450,2)+5)
+INDEX(Scenarios!E$121:E$200,MATCH($B450,Scenarios!$B$121:$B$200,0))</f>
        <v>2250</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1.8999999999999996E-2</v>
      </c>
      <c r="W450" s="863">
        <f>IFERROR(MAX(0,INDEX(Input!$1:$1048576,W$93,$C450*2+MIN($B450,2)+5)-0%,),"Market")</f>
        <v>3.9E-2</v>
      </c>
      <c r="X450" s="476" t="str">
        <f>INDEX(Input!$1:$1048576,X$93,$C450*2+MIN($B450,2)+5)</f>
        <v>Y</v>
      </c>
      <c r="Y450" s="475">
        <f>INDEX(Input!$1:$1048576,Y$93,$C450*2+MIN($B450,2)+5)
++INDEX(Scenarios!Y$121:Y$200,MATCH($B450,Scenarios!$B$121:$B$200,0))</f>
        <v>-2577</v>
      </c>
      <c r="Z450" s="477">
        <f>INDEX(Input!$1:$1048576,Z$93,$C450*2+MIN($B450,2)+5)
+INDEX(Scenarios!Z$121:Z$200,MATCH($B450,Scenarios!$B$121:$B$200,0))</f>
        <v>0</v>
      </c>
      <c r="AA450" s="475">
        <f>INDEX(Input!$1:$1048576,AA$93,$C450*2+MIN($B450,2)+5)</f>
        <v>0</v>
      </c>
      <c r="AB450" s="476">
        <f>INDEX(Input!$1:$1048576,AB$93,$C450*2+MIN($B450,2)+5)</f>
        <v>1</v>
      </c>
      <c r="AC450" s="475">
        <f>INDEX(Input!$1:$1048576,AC$93,$C450*2+MIN($B450,2)+5)
+INDEX(Scenarios!AC$121:AC$200,MATCH($B450,Scenarios!$B$121:$B$200,0))</f>
        <v>0</v>
      </c>
      <c r="AD450" s="476">
        <f>INDEX(Input!$1:$1048576,AD$93,$C450*2+MIN($B450,2)+5)</f>
        <v>0.35</v>
      </c>
      <c r="AE450" s="475">
        <f>INDEX(Input!$1:$1048576,AE$93,$C450*2+MIN($B450,2)+5)
+INDEX(Scenarios!AE$121:AE$200,MATCH($B450,Scenarios!$B$121:$B$200,0))</f>
        <v>0</v>
      </c>
      <c r="AF450" s="476">
        <f>INDEX(Input!$1:$1048576,AF$93,$C450*2+MIN($B450,2)+5)</f>
        <v>1</v>
      </c>
      <c r="AG450" s="475">
        <f>INDEX(Input!$1:$1048576,AG$93,$C450*2+MIN($B450,2)+5)
+INDEX(Scenarios!AG$121:AG$200,MATCH($B450,Scenarios!$B$121:$B$200,0))</f>
        <v>0</v>
      </c>
      <c r="AH450" s="476">
        <f>INDEX(Input!$1:$1048576,AH$93,$C450*2+MIN($B450,2)+5)</f>
        <v>1</v>
      </c>
      <c r="AI450" s="475">
        <f>INDEX(Input!$1:$1048576,AI$93,$C450*2+MIN($B450,2)+5)
+INDEX(Scenarios!AI$121:AI$200,MATCH($B450,Scenarios!$B$121:$B$200,0))</f>
        <v>0</v>
      </c>
      <c r="AJ450" s="476">
        <f>INDEX(Input!$1:$1048576,AJ$93,$C450*2+MIN($B450,2)+5)</f>
        <v>0.35</v>
      </c>
      <c r="AK450" s="150">
        <f>ROUND(INDEX(Input!$1:$1048576,AK$93,$C449*2+MIN($B450,1)+5)+(Y450-VLOOKUP($C450*1000+1,$A:$HH,Y$92,FALSE)),0)</f>
        <v>4232</v>
      </c>
      <c r="AL450" s="150">
        <f>ROUND(INDEX(Input!$1:$1048576,AL$93,$C449*2+MIN($B450,1)+5)-(Y450-VLOOKUP($C450*1000+1,$A:$HH,Y$92,FALSE))/36,0)</f>
        <v>4753</v>
      </c>
      <c r="AM450" s="32" t="str">
        <f t="shared" si="1307"/>
        <v>std/std/std/std</v>
      </c>
      <c r="AN450" s="32" t="str">
        <f t="shared" si="1308"/>
        <v>$0 + 0/0/0/1.9/3.9</v>
      </c>
      <c r="AO450" s="32" t="str">
        <f t="shared" si="1309"/>
        <v>0/0/0/1.9/3.9</v>
      </c>
      <c r="AP450" s="32" t="str">
        <f t="shared" si="1386"/>
        <v>0/0.9/1.9/3.9</v>
      </c>
      <c r="AQ450" s="536">
        <f t="shared" si="1379"/>
        <v>0.51517917177184991</v>
      </c>
      <c r="AR450" s="32"/>
      <c r="AS450" s="302"/>
      <c r="AT450" s="3">
        <f t="shared" si="1330"/>
        <v>50</v>
      </c>
      <c r="AU450" s="41" t="s">
        <v>121</v>
      </c>
      <c r="AV450" s="41" t="s">
        <v>116</v>
      </c>
      <c r="AW450" s="41" t="str">
        <f>INDEX(Input!$1:$1048576,AW$93,$C450*2+6)</f>
        <v>Kia</v>
      </c>
      <c r="AX450" s="41" t="str">
        <f>INDEX(Input!$1:$1048576,AX$93,$C450*2+6)</f>
        <v>Kia-LR - R1</v>
      </c>
      <c r="AY450" s="41" t="str">
        <f>IF(LEN(D450)=0,"",INDEX(Input!$1:$1048576,AY$93,$C450*2+6))</f>
        <v>Compact Conventional/Sporty Car (43)</v>
      </c>
      <c r="AZ450" s="41" t="str">
        <f>INDEX(Input!$1:$1048576,AZ$93,$C450*2+6)</f>
        <v>Kia Forte</v>
      </c>
      <c r="BA450" s="3">
        <f>INDEX(Input!$1:$1048576,BA$93,$C450*2+6)</f>
        <v>2020</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19695</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387"/>
        <v>2560</v>
      </c>
      <c r="CJ450" s="16" t="str">
        <f>INDEX(Input!$1:$1048576,CJ$93,$C450*2+6)</f>
        <v>N</v>
      </c>
      <c r="CK450" s="1" t="str">
        <f t="shared" si="1388"/>
        <v>Market</v>
      </c>
      <c r="CL450" s="1" t="str">
        <f t="shared" si="1389"/>
        <v>Market</v>
      </c>
      <c r="CM450" s="1" t="str">
        <f t="shared" si="1390"/>
        <v>Market</v>
      </c>
      <c r="CN450" s="1" t="str">
        <f t="shared" si="1391"/>
        <v>Market</v>
      </c>
      <c r="CO450" s="1" t="str">
        <f t="shared" si="1392"/>
        <v>Market</v>
      </c>
      <c r="CP450" s="304">
        <f t="shared" si="1393"/>
        <v>0</v>
      </c>
      <c r="CQ450" s="1">
        <f t="shared" si="1394"/>
        <v>0</v>
      </c>
      <c r="CR450" s="1">
        <f t="shared" si="1395"/>
        <v>0</v>
      </c>
      <c r="CS450" s="1">
        <f t="shared" si="1396"/>
        <v>0</v>
      </c>
      <c r="CT450" s="1">
        <f t="shared" si="1397"/>
        <v>1.8999999999999996E-2</v>
      </c>
      <c r="CU450" s="1">
        <f t="shared" si="1398"/>
        <v>3.9E-2</v>
      </c>
      <c r="CV450" s="304">
        <f t="shared" si="1399"/>
        <v>-2577</v>
      </c>
      <c r="CW450" s="20" t="s">
        <v>122</v>
      </c>
      <c r="CX450" s="20" t="s">
        <v>122</v>
      </c>
      <c r="CY450" s="20" t="s">
        <v>122</v>
      </c>
      <c r="CZ450" s="20" t="s">
        <v>122</v>
      </c>
      <c r="DA450" s="20" t="s">
        <v>122</v>
      </c>
      <c r="DB450" s="503">
        <f t="shared" si="1400"/>
        <v>0</v>
      </c>
      <c r="DC450" s="127">
        <v>0</v>
      </c>
      <c r="DD450" s="127">
        <v>0</v>
      </c>
      <c r="DE450" s="127">
        <v>0</v>
      </c>
      <c r="DF450" s="127">
        <v>0</v>
      </c>
      <c r="DG450" s="127">
        <v>0</v>
      </c>
      <c r="DH450" s="127">
        <v>0</v>
      </c>
      <c r="DI450" s="127">
        <v>0</v>
      </c>
      <c r="DJ450" s="127">
        <v>0</v>
      </c>
      <c r="DK450" s="127">
        <v>0</v>
      </c>
      <c r="DL450" s="127">
        <v>0</v>
      </c>
      <c r="DM450" s="304">
        <f>INDEX(Input!$1:$1048576,DM$93,$C450*2+6)</f>
        <v>20731.578947368424</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4.8277512588191053E-2</v>
      </c>
      <c r="DZ450" s="7">
        <v>0</v>
      </c>
      <c r="EA450" s="7">
        <v>0.85638086379778233</v>
      </c>
      <c r="EB450" s="7">
        <v>0</v>
      </c>
      <c r="EC450" s="7">
        <v>0</v>
      </c>
      <c r="ED450" s="7">
        <v>0</v>
      </c>
      <c r="EE450" s="7">
        <v>0</v>
      </c>
      <c r="EF450" s="7">
        <v>0</v>
      </c>
      <c r="EG450" s="7">
        <v>0</v>
      </c>
      <c r="EH450" s="7">
        <v>1.2322183146411102E-2</v>
      </c>
      <c r="EI450" s="7">
        <v>1.9798433685383907E-2</v>
      </c>
      <c r="EJ450" s="7">
        <v>0.18579428136092527</v>
      </c>
      <c r="EK450" s="7">
        <v>0.72408499287325034</v>
      </c>
      <c r="EL450" s="7">
        <v>5.8000108934029737E-2</v>
      </c>
      <c r="EM450" s="7">
        <v>2.4239937095306096E-2</v>
      </c>
      <c r="EN450" s="7">
        <v>4.6320296281711408E-2</v>
      </c>
      <c r="EO450" s="7">
        <v>0.57128648629852541</v>
      </c>
      <c r="EP450" s="7">
        <v>0.26828868512473192</v>
      </c>
      <c r="EQ450" s="7">
        <v>6.8645999633128035E-2</v>
      </c>
      <c r="ER450" s="7">
        <v>4.5458532661903521E-2</v>
      </c>
      <c r="ES450" s="7">
        <v>7.1101686518720342E-2</v>
      </c>
      <c r="ET450" s="7">
        <v>9.534162361402658E-2</v>
      </c>
      <c r="EU450" s="6">
        <v>2600</v>
      </c>
      <c r="EV450" s="6">
        <v>0</v>
      </c>
      <c r="EW450" s="6">
        <v>2600</v>
      </c>
      <c r="EX450" s="6">
        <v>0</v>
      </c>
      <c r="EY450" s="6">
        <v>2596.0748441111214</v>
      </c>
      <c r="EZ450" s="6">
        <v>-606</v>
      </c>
      <c r="FA450" s="6">
        <v>0</v>
      </c>
      <c r="FB450" s="6">
        <v>0</v>
      </c>
      <c r="FC450" s="6">
        <v>0</v>
      </c>
      <c r="FD450" s="6">
        <v>0</v>
      </c>
      <c r="FE450" s="6">
        <v>0</v>
      </c>
      <c r="FF450" s="6">
        <v>0</v>
      </c>
      <c r="FG450" s="6">
        <v>0</v>
      </c>
      <c r="FH450" s="6">
        <v>1153.225889019302</v>
      </c>
      <c r="FI450" s="6">
        <v>1531.4299904380621</v>
      </c>
      <c r="FJ450" s="6">
        <v>2070.7205842538228</v>
      </c>
      <c r="FK450" s="6">
        <v>1746.9903521590429</v>
      </c>
      <c r="FL450" s="6">
        <v>893.9143356348942</v>
      </c>
      <c r="FM450" s="6">
        <v>1746.0748441111214</v>
      </c>
      <c r="FN450" s="6">
        <v>0</v>
      </c>
      <c r="FO450" s="6">
        <v>0</v>
      </c>
      <c r="FP450" s="6">
        <v>0</v>
      </c>
      <c r="FQ450" s="6">
        <v>0</v>
      </c>
      <c r="FR450" s="6">
        <v>0</v>
      </c>
      <c r="FS450" s="6">
        <v>0</v>
      </c>
      <c r="FT450" s="7">
        <v>0.90465837638597335</v>
      </c>
      <c r="FU450" s="7">
        <v>2.4239937095306096E-2</v>
      </c>
      <c r="FV450" s="7">
        <v>7.1101686518720342E-2</v>
      </c>
      <c r="FW450" s="6">
        <v>2600</v>
      </c>
      <c r="FX450" s="6">
        <v>2596.0748441111214</v>
      </c>
      <c r="FY450" s="6">
        <v>-606</v>
      </c>
      <c r="FZ450" s="6">
        <v>1695.8504614767719</v>
      </c>
      <c r="GA450" s="6">
        <v>2371.9528474891463</v>
      </c>
      <c r="GB450" s="6">
        <v>17323.047152510855</v>
      </c>
      <c r="GC450" s="7">
        <v>8.1891069685915169E-2</v>
      </c>
      <c r="GD450" s="7">
        <v>8.8227038753039916E-2</v>
      </c>
      <c r="GE450" s="7"/>
      <c r="GF450" s="7"/>
      <c r="GG450" s="7">
        <v>7.7370696114066023E-2</v>
      </c>
      <c r="GH450" s="42">
        <v>2.2538241122826634</v>
      </c>
      <c r="GI450" s="6">
        <v>11110.434210195393</v>
      </c>
      <c r="GJ450" s="14">
        <v>0.51074630601039539</v>
      </c>
      <c r="GK450" s="14">
        <v>0.50829519786160959</v>
      </c>
      <c r="GL450" s="14">
        <v>0.48925369398960444</v>
      </c>
      <c r="GM450" s="14">
        <v>0.49170480213839046</v>
      </c>
      <c r="GO450" s="5">
        <v>338.16872463277008</v>
      </c>
      <c r="GP450" s="5">
        <v>288.56568471597211</v>
      </c>
      <c r="GQ450" s="5">
        <v>527.27910984145694</v>
      </c>
      <c r="GR450" s="5">
        <v>404.20319246551543</v>
      </c>
      <c r="GS450" s="5">
        <v>334.50205195691484</v>
      </c>
      <c r="GT450" s="5">
        <v>289.18266033348181</v>
      </c>
      <c r="GU450" s="5">
        <v>254.29573314828914</v>
      </c>
      <c r="GV450" s="39" t="s">
        <v>392</v>
      </c>
      <c r="GW450" s="5">
        <v>468.76388888888891</v>
      </c>
      <c r="GX450" s="5">
        <v>351.57291666666669</v>
      </c>
      <c r="GY450" s="5">
        <v>281.25833333333333</v>
      </c>
      <c r="GZ450" s="5">
        <v>248.1807987949399</v>
      </c>
      <c r="HA450" s="5">
        <v>229.89195052129477</v>
      </c>
      <c r="HB450" s="39">
        <v>258.03072758595636</v>
      </c>
      <c r="HC450" s="5">
        <v>309.62812499999995</v>
      </c>
      <c r="HD450" s="5">
        <v>254.42143640350872</v>
      </c>
      <c r="HE450" s="5">
        <v>254.26724443319836</v>
      </c>
      <c r="HF450" s="5">
        <v>231.71692434210524</v>
      </c>
      <c r="HG450" s="5">
        <v>219.1899342105263</v>
      </c>
      <c r="HH450" s="39">
        <v>253.77711229525403</v>
      </c>
      <c r="HI450" s="16"/>
      <c r="HJ450" s="19" t="str">
        <f t="shared" si="1405"/>
        <v>On</v>
      </c>
      <c r="HK450" s="1" t="str">
        <f t="shared" si="1405"/>
        <v>On</v>
      </c>
      <c r="HL450" s="16"/>
      <c r="HM450" s="639">
        <f t="shared" si="1278"/>
        <v>6.6115095157691428E-2</v>
      </c>
      <c r="HN450" s="639">
        <f t="shared" si="1279"/>
        <v>2.3720927871164412E-3</v>
      </c>
      <c r="HO450" s="639">
        <f t="shared" si="1280"/>
        <v>7.7231033444443466E-3</v>
      </c>
      <c r="HP450" s="644">
        <f>(FT450*$GD450-HM450)/$JF450*INDEX(Input!$1:$1048576,$JG$93,$C450*2+6)</f>
        <v>334.19024460169226</v>
      </c>
      <c r="HQ450" s="644">
        <f>(FU450*$GD450-HN450)/$JF450*INDEX(Input!$1:$1048576,$JG$93,$C450*2+6)</f>
        <v>-5.6951609099747227</v>
      </c>
      <c r="HR450" s="644">
        <f>(FV450*$GD450-HO450)/$JF450*INDEX(Input!$1:$1048576,$JG$93,$C450*2+6)</f>
        <v>-35.370189963201518</v>
      </c>
      <c r="HS450" s="644">
        <f t="shared" si="1406"/>
        <v>-73.558796540862232</v>
      </c>
      <c r="HT450" s="644">
        <f t="shared" si="1282"/>
        <v>59.199283388341684</v>
      </c>
      <c r="HU450" s="644">
        <f t="shared" si="1283"/>
        <v>6.404082373532539</v>
      </c>
      <c r="HV450" s="648">
        <f t="shared" si="1284"/>
        <v>0</v>
      </c>
      <c r="HW450" s="648">
        <f t="shared" si="1285"/>
        <v>0</v>
      </c>
      <c r="HX450" s="648">
        <f t="shared" si="1286"/>
        <v>0</v>
      </c>
      <c r="HY450" s="644">
        <f>INDEX(Input!$1:$1048576,HY$93,$C450*2+6)*INDEX(Input!$1:$1048576,$JG$93,$C450*2+6)</f>
        <v>844</v>
      </c>
      <c r="HZ450" s="644">
        <f>INDEX(Input!$1:$1048576,HZ$93,$C450*2+6)*INDEX(Input!$1:$1048576,$JG$93,$C450*2+6)</f>
        <v>865</v>
      </c>
      <c r="IA450" s="644">
        <f>INDEX(Input!$1:$1048576,IA$93,$C450*2+6)*INDEX(Input!$1:$1048576,$JG$93,$C450*2+6)</f>
        <v>150</v>
      </c>
      <c r="IB450" s="644">
        <f t="shared" si="1310"/>
        <v>1104.6314480608298</v>
      </c>
      <c r="IC450" s="644">
        <f t="shared" si="1311"/>
        <v>918.50412247836698</v>
      </c>
      <c r="ID450" s="644">
        <f>IF(AND(INDEX(Input!$1:$1048576,IA$93,$C450*2+7)="TOS",Y450&lt;=INDEX(Y:Y,MATCH(C450*1000+2,A:A))),0,1)*MAX(IA450+HR450+HU450+HX450,0%)</f>
        <v>121.03389241033102</v>
      </c>
      <c r="IE450" s="128">
        <f t="shared" si="1411"/>
        <v>0.51517917177184991</v>
      </c>
      <c r="IF450" s="128">
        <f t="shared" si="1383"/>
        <v>0.42837291471116706</v>
      </c>
      <c r="IG450" s="128">
        <f t="shared" si="1288"/>
        <v>5.6447913516983091E-2</v>
      </c>
      <c r="IH450" s="21"/>
      <c r="II450" s="19">
        <f t="shared" si="1289"/>
        <v>1199.9999999999998</v>
      </c>
      <c r="IJ450" s="19">
        <f t="shared" si="1290"/>
        <v>2195.4782357510435</v>
      </c>
      <c r="IK450" s="19">
        <f t="shared" si="1291"/>
        <v>-571</v>
      </c>
      <c r="IL450" s="19">
        <f t="shared" si="1313"/>
        <v>1400.0000000000002</v>
      </c>
      <c r="IM450" s="19">
        <f t="shared" si="1292"/>
        <v>400.59660836007788</v>
      </c>
      <c r="IN450" s="19">
        <f t="shared" si="1293"/>
        <v>-35</v>
      </c>
      <c r="IO450" s="39">
        <f t="shared" si="1294"/>
        <v>0</v>
      </c>
      <c r="IP450" s="39">
        <f t="shared" si="1295"/>
        <v>0</v>
      </c>
      <c r="IQ450" s="39">
        <f t="shared" si="1296"/>
        <v>0</v>
      </c>
      <c r="IR450" s="39">
        <v>0</v>
      </c>
      <c r="IS450" s="39">
        <v>0</v>
      </c>
      <c r="IT450" s="39">
        <v>0</v>
      </c>
      <c r="IU450" s="39">
        <v>0</v>
      </c>
      <c r="IV450" s="39">
        <v>0</v>
      </c>
      <c r="IW450" s="39">
        <v>0</v>
      </c>
      <c r="IX450" s="39">
        <f>INDEX(Input!$1:$1048576,IX$93,$C450*2+6)+INDEX(Input!$1:$1048576,IX$94,$C450*2+6)</f>
        <v>1600</v>
      </c>
      <c r="IY450" s="39">
        <f>INDEX(Input!$1:$1048576,IY$93,$C450*2+6)+INDEX(Input!$1:$1048576,IY$94,$C450*2+6)</f>
        <v>2503.549291639752</v>
      </c>
      <c r="IZ450" s="39">
        <f>INDEX(Input!$1:$1048576,IZ$93,$C450*2+6)+INDEX(Input!$1:$1048576,IZ$94,$C450*2+6)</f>
        <v>5413.7109265464023</v>
      </c>
      <c r="JA450" s="19">
        <f t="shared" si="1314"/>
        <v>3000</v>
      </c>
      <c r="JB450" s="19">
        <f t="shared" si="1315"/>
        <v>2904.1458999998299</v>
      </c>
      <c r="JC450" s="19">
        <f t="shared" si="1316"/>
        <v>5378.7109265464023</v>
      </c>
      <c r="JD450" s="19">
        <f t="shared" si="1317"/>
        <v>3093.2119684595059</v>
      </c>
      <c r="JE450" s="21"/>
      <c r="JF450" s="1">
        <f t="shared" si="1297"/>
        <v>7.6210291289252219E-2</v>
      </c>
      <c r="JG450" s="15">
        <f>INDEX(Input!$1:$1048576,JG$93,$C450*2+6)/(1+VLOOKUP(C450*1000+INDEX(Input!$1:$1048576,JG$93+1,$C450*2+6),$A:$KK,$JK$92,FALSE))</f>
        <v>1859</v>
      </c>
      <c r="JH450" s="1">
        <f t="shared" si="1318"/>
        <v>0.15767880243599569</v>
      </c>
      <c r="JI450" s="1">
        <f t="shared" si="1319"/>
        <v>-4.2794140822958633E-3</v>
      </c>
      <c r="JJ450" s="1">
        <f t="shared" si="1384"/>
        <v>0</v>
      </c>
      <c r="JK450" s="1">
        <f t="shared" si="1385"/>
        <v>0.15339938835369982</v>
      </c>
      <c r="JL450" s="15">
        <f t="shared" si="1322"/>
        <v>285.16946294952794</v>
      </c>
      <c r="JM450" s="15">
        <f t="shared" si="1348"/>
        <v>2144.1694629495278</v>
      </c>
      <c r="JN450" s="21"/>
      <c r="JO450" s="19">
        <f>INDEX(Input!$1:$1048576,JO$93,$C450*2+6)</f>
        <v>5908.5</v>
      </c>
      <c r="JP450" s="19">
        <f>INDEX(Input!$1:$1048576,JP$93,$C450*2+6)</f>
        <v>2328.1478086338602</v>
      </c>
      <c r="JQ450" s="39">
        <f t="shared" si="1334"/>
        <v>2815.2880315404941</v>
      </c>
      <c r="JR450" s="39">
        <f t="shared" si="1351"/>
        <v>765.06415982564567</v>
      </c>
      <c r="JS450" s="39">
        <f t="shared" si="1336"/>
        <v>6.6323706452008704</v>
      </c>
      <c r="JT450" s="39">
        <f t="shared" si="1324"/>
        <v>2.3043438689505233</v>
      </c>
      <c r="JU450" s="385">
        <f>(JQ450*JM450-INDEX(Input!$1:$1048576,Input!A$18,$C450*2+6)*JL450*INDEX(Input!$1:$1048576,Input!A$19,$C450*2+6))/1000000</f>
        <v>6.0364546266364147</v>
      </c>
      <c r="JV450" s="39">
        <f t="shared" si="1358"/>
        <v>-0.61942009711323909</v>
      </c>
      <c r="JW450" s="1">
        <f t="shared" si="1349"/>
        <v>-9.3063665231409673E-2</v>
      </c>
      <c r="JX450" s="19">
        <f t="shared" si="1340"/>
        <v>8080.6122966902967</v>
      </c>
      <c r="JZ450" s="341"/>
      <c r="KA450" s="342"/>
      <c r="KB450" s="469">
        <f t="shared" si="1337"/>
        <v>2.3451977905499271</v>
      </c>
      <c r="KI450" s="473">
        <f t="shared" si="1408"/>
        <v>260.63144806082983</v>
      </c>
      <c r="KJ450" s="473">
        <f t="shared" si="1409"/>
        <v>53.50412247836698</v>
      </c>
      <c r="KK450" s="473">
        <f t="shared" si="1326"/>
        <v>-28.966107589668979</v>
      </c>
      <c r="KN450" s="544">
        <f t="shared" si="1341"/>
        <v>4002</v>
      </c>
      <c r="KO450" s="541">
        <f t="shared" si="1301"/>
        <v>7.3351416363662159E-2</v>
      </c>
      <c r="KP450" s="546">
        <f t="shared" si="1302"/>
        <v>495.070285640674</v>
      </c>
      <c r="KQ450" s="546">
        <f t="shared" si="1303"/>
        <v>369.46840686151018</v>
      </c>
      <c r="KR450" s="548">
        <f t="shared" si="1304"/>
        <v>2.5145231562761192</v>
      </c>
      <c r="KS450" s="548">
        <f t="shared" si="1305"/>
        <v>3.3693427478748599</v>
      </c>
      <c r="KT450" s="473">
        <f t="shared" si="1339"/>
        <v>1050.27685337919</v>
      </c>
      <c r="KU450" s="663">
        <f t="shared" si="1327"/>
        <v>6.6316328095693988</v>
      </c>
      <c r="KV450" s="117"/>
    </row>
    <row r="451" spans="1:308" s="26" customFormat="1" ht="15" outlineLevel="1">
      <c r="A451" s="561">
        <f t="shared" si="1306"/>
        <v>4051</v>
      </c>
      <c r="B451" s="561">
        <f t="shared" si="1328"/>
        <v>51</v>
      </c>
      <c r="C451" s="561">
        <f t="shared" si="1329"/>
        <v>4</v>
      </c>
      <c r="D451" s="561" t="str">
        <f t="shared" si="1378"/>
        <v xml:space="preserve">0/0/0.9/3.9, -360 Lease, </v>
      </c>
      <c r="E451" s="475">
        <f>INDEX(Input!$1:$1048576,E$93,$C451*2+MIN($B451,2)+5)
+INDEX(Scenarios!E$121:E$200,MATCH($B451,Scenarios!$B$121:$B$200,0))</f>
        <v>1250</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8.9999999999999959E-3</v>
      </c>
      <c r="W451" s="863">
        <f>IFERROR(MAX(0,INDEX(Input!$1:$1048576,W$93,$C451*2+MIN($B451,2)+5)-0%,),"Market")</f>
        <v>3.9E-2</v>
      </c>
      <c r="X451" s="476" t="str">
        <f>INDEX(Input!$1:$1048576,X$93,$C451*2+MIN($B451,2)+5)</f>
        <v>Y</v>
      </c>
      <c r="Y451" s="475">
        <f>INDEX(Input!$1:$1048576,Y$93,$C451*2+MIN($B451,2)+5)
++INDEX(Scenarios!Y$121:Y$200,MATCH($B451,Scenarios!$B$121:$B$200,0))</f>
        <v>-2577</v>
      </c>
      <c r="Z451" s="477">
        <f>INDEX(Input!$1:$1048576,Z$93,$C451*2+MIN($B451,2)+5)
+INDEX(Scenarios!Z$121:Z$200,MATCH($B451,Scenarios!$B$121:$B$200,0))</f>
        <v>0</v>
      </c>
      <c r="AA451" s="475">
        <f>INDEX(Input!$1:$1048576,AA$93,$C451*2+MIN($B451,2)+5)</f>
        <v>0</v>
      </c>
      <c r="AB451" s="476">
        <f>INDEX(Input!$1:$1048576,AB$93,$C451*2+MIN($B451,2)+5)</f>
        <v>1</v>
      </c>
      <c r="AC451" s="475">
        <f>INDEX(Input!$1:$1048576,AC$93,$C451*2+MIN($B451,2)+5)
+INDEX(Scenarios!AC$121:AC$200,MATCH($B451,Scenarios!$B$121:$B$200,0))</f>
        <v>0</v>
      </c>
      <c r="AD451" s="476">
        <f>INDEX(Input!$1:$1048576,AD$93,$C451*2+MIN($B451,2)+5)</f>
        <v>0.35</v>
      </c>
      <c r="AE451" s="475">
        <f>INDEX(Input!$1:$1048576,AE$93,$C451*2+MIN($B451,2)+5)
+INDEX(Scenarios!AE$121:AE$200,MATCH($B451,Scenarios!$B$121:$B$200,0))</f>
        <v>0</v>
      </c>
      <c r="AF451" s="476">
        <f>INDEX(Input!$1:$1048576,AF$93,$C451*2+MIN($B451,2)+5)</f>
        <v>1</v>
      </c>
      <c r="AG451" s="475">
        <f>INDEX(Input!$1:$1048576,AG$93,$C451*2+MIN($B451,2)+5)
+INDEX(Scenarios!AG$121:AG$200,MATCH($B451,Scenarios!$B$121:$B$200,0))</f>
        <v>0</v>
      </c>
      <c r="AH451" s="476">
        <f>INDEX(Input!$1:$1048576,AH$93,$C451*2+MIN($B451,2)+5)</f>
        <v>1</v>
      </c>
      <c r="AI451" s="475">
        <f>INDEX(Input!$1:$1048576,AI$93,$C451*2+MIN($B451,2)+5)
+INDEX(Scenarios!AI$121:AI$200,MATCH($B451,Scenarios!$B$121:$B$200,0))</f>
        <v>0</v>
      </c>
      <c r="AJ451" s="476">
        <f>INDEX(Input!$1:$1048576,AJ$93,$C451*2+MIN($B451,2)+5)</f>
        <v>0.35</v>
      </c>
      <c r="AK451" s="150">
        <f>ROUND(INDEX(Input!$1:$1048576,AK$93,$C450*2+MIN($B451,1)+5)+(Y451-VLOOKUP($C451*1000+1,$A:$HH,Y$92,FALSE)),0)</f>
        <v>4232</v>
      </c>
      <c r="AL451" s="150">
        <f>ROUND(INDEX(Input!$1:$1048576,AL$93,$C450*2+MIN($B451,1)+5)-(Y451-VLOOKUP($C451*1000+1,$A:$HH,Y$92,FALSE))/36,0)</f>
        <v>4753</v>
      </c>
      <c r="AM451" s="32" t="str">
        <f t="shared" si="1307"/>
        <v>std/std/std/std</v>
      </c>
      <c r="AN451" s="32" t="str">
        <f t="shared" si="1308"/>
        <v>$0 + 0/0/0/0.9/3.9</v>
      </c>
      <c r="AO451" s="32" t="str">
        <f t="shared" si="1309"/>
        <v>0/0/0/0.9/3.9</v>
      </c>
      <c r="AP451" s="32" t="str">
        <f t="shared" si="1386"/>
        <v>0/0/0.9/3.9</v>
      </c>
      <c r="AQ451" s="536">
        <f t="shared" si="1379"/>
        <v>0.43591053314489786</v>
      </c>
      <c r="AR451" s="32"/>
      <c r="AS451" s="302"/>
      <c r="AT451" s="3">
        <f t="shared" si="1330"/>
        <v>51</v>
      </c>
      <c r="AU451" s="41" t="s">
        <v>121</v>
      </c>
      <c r="AV451" s="41" t="s">
        <v>116</v>
      </c>
      <c r="AW451" s="41" t="str">
        <f>INDEX(Input!$1:$1048576,AW$93,$C451*2+6)</f>
        <v>Kia</v>
      </c>
      <c r="AX451" s="41" t="str">
        <f>INDEX(Input!$1:$1048576,AX$93,$C451*2+6)</f>
        <v>Kia-LR - R1</v>
      </c>
      <c r="AY451" s="41" t="str">
        <f>IF(LEN(D451)=0,"",INDEX(Input!$1:$1048576,AY$93,$C451*2+6))</f>
        <v>Compact Conventional/Sporty Car (43)</v>
      </c>
      <c r="AZ451" s="41" t="str">
        <f>INDEX(Input!$1:$1048576,AZ$93,$C451*2+6)</f>
        <v>Kia Forte</v>
      </c>
      <c r="BA451" s="3">
        <f>INDEX(Input!$1:$1048576,BA$93,$C451*2+6)</f>
        <v>2020</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19695</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387"/>
        <v>1560</v>
      </c>
      <c r="CJ451" s="16" t="str">
        <f>INDEX(Input!$1:$1048576,CJ$93,$C451*2+6)</f>
        <v>N</v>
      </c>
      <c r="CK451" s="1" t="str">
        <f t="shared" si="1388"/>
        <v>Market</v>
      </c>
      <c r="CL451" s="1" t="str">
        <f t="shared" si="1389"/>
        <v>Market</v>
      </c>
      <c r="CM451" s="1" t="str">
        <f t="shared" si="1390"/>
        <v>Market</v>
      </c>
      <c r="CN451" s="1" t="str">
        <f t="shared" si="1391"/>
        <v>Market</v>
      </c>
      <c r="CO451" s="1" t="str">
        <f t="shared" si="1392"/>
        <v>Market</v>
      </c>
      <c r="CP451" s="304">
        <f t="shared" si="1393"/>
        <v>0</v>
      </c>
      <c r="CQ451" s="1">
        <f t="shared" si="1394"/>
        <v>0</v>
      </c>
      <c r="CR451" s="1">
        <f t="shared" si="1395"/>
        <v>0</v>
      </c>
      <c r="CS451" s="1">
        <f t="shared" si="1396"/>
        <v>0</v>
      </c>
      <c r="CT451" s="1">
        <f t="shared" si="1397"/>
        <v>8.9999999999999959E-3</v>
      </c>
      <c r="CU451" s="1">
        <f t="shared" si="1398"/>
        <v>3.9E-2</v>
      </c>
      <c r="CV451" s="304">
        <f t="shared" si="1399"/>
        <v>-2577</v>
      </c>
      <c r="CW451" s="20" t="s">
        <v>122</v>
      </c>
      <c r="CX451" s="20" t="s">
        <v>122</v>
      </c>
      <c r="CY451" s="20" t="s">
        <v>122</v>
      </c>
      <c r="CZ451" s="20" t="s">
        <v>122</v>
      </c>
      <c r="DA451" s="20" t="s">
        <v>122</v>
      </c>
      <c r="DB451" s="503">
        <f t="shared" si="1400"/>
        <v>0</v>
      </c>
      <c r="DC451" s="127">
        <v>0</v>
      </c>
      <c r="DD451" s="127">
        <v>0</v>
      </c>
      <c r="DE451" s="127">
        <v>0</v>
      </c>
      <c r="DF451" s="127">
        <v>0</v>
      </c>
      <c r="DG451" s="127">
        <v>0</v>
      </c>
      <c r="DH451" s="127">
        <v>0</v>
      </c>
      <c r="DI451" s="127">
        <v>0</v>
      </c>
      <c r="DJ451" s="127">
        <v>0</v>
      </c>
      <c r="DK451" s="127">
        <v>0</v>
      </c>
      <c r="DL451" s="127">
        <v>0</v>
      </c>
      <c r="DM451" s="304">
        <f>INDEX(Input!$1:$1048576,DM$93,$C451*2+6)</f>
        <v>20731.578947368424</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4.543604764248977E-2</v>
      </c>
      <c r="DZ451" s="7">
        <v>0</v>
      </c>
      <c r="EA451" s="7">
        <v>0.81967305461233919</v>
      </c>
      <c r="EB451" s="7">
        <v>0</v>
      </c>
      <c r="EC451" s="7">
        <v>0</v>
      </c>
      <c r="ED451" s="7">
        <v>0</v>
      </c>
      <c r="EE451" s="7">
        <v>0</v>
      </c>
      <c r="EF451" s="7">
        <v>0</v>
      </c>
      <c r="EG451" s="7">
        <v>0</v>
      </c>
      <c r="EH451" s="7">
        <v>8.4589812323468561E-3</v>
      </c>
      <c r="EI451" s="7">
        <v>1.358485509885065E-2</v>
      </c>
      <c r="EJ451" s="7">
        <v>0.12748882442723145</v>
      </c>
      <c r="EK451" s="7">
        <v>0.81031122265067312</v>
      </c>
      <c r="EL451" s="7">
        <v>4.015611659089751E-2</v>
      </c>
      <c r="EM451" s="7">
        <v>4.5065963756540074E-2</v>
      </c>
      <c r="EN451" s="7">
        <v>4.6408071375196716E-2</v>
      </c>
      <c r="EO451" s="7">
        <v>0.5715998964764335</v>
      </c>
      <c r="EP451" s="7">
        <v>0.26788631947465175</v>
      </c>
      <c r="EQ451" s="7">
        <v>6.8683318531729945E-2</v>
      </c>
      <c r="ER451" s="7">
        <v>4.5422394141988676E-2</v>
      </c>
      <c r="ES451" s="7">
        <v>8.9824933988631075E-2</v>
      </c>
      <c r="ET451" s="7">
        <v>0.13489089774517102</v>
      </c>
      <c r="EU451" s="6">
        <v>1599.9999999999998</v>
      </c>
      <c r="EV451" s="6">
        <v>0</v>
      </c>
      <c r="EW451" s="6">
        <v>1599.9999999999998</v>
      </c>
      <c r="EX451" s="6">
        <v>0</v>
      </c>
      <c r="EY451" s="6">
        <v>2978.2377995278534</v>
      </c>
      <c r="EZ451" s="6">
        <v>-606</v>
      </c>
      <c r="FA451" s="6">
        <v>0</v>
      </c>
      <c r="FB451" s="6">
        <v>0</v>
      </c>
      <c r="FC451" s="6">
        <v>0</v>
      </c>
      <c r="FD451" s="6">
        <v>0</v>
      </c>
      <c r="FE451" s="6">
        <v>0</v>
      </c>
      <c r="FF451" s="6">
        <v>0</v>
      </c>
      <c r="FG451" s="6">
        <v>0</v>
      </c>
      <c r="FH451" s="6">
        <v>1153.2480157821865</v>
      </c>
      <c r="FI451" s="6">
        <v>1531.4299904380623</v>
      </c>
      <c r="FJ451" s="6">
        <v>2070.7205842538233</v>
      </c>
      <c r="FK451" s="6">
        <v>2218.6393698501033</v>
      </c>
      <c r="FL451" s="6">
        <v>893.9143356348934</v>
      </c>
      <c r="FM451" s="6">
        <v>2128.2377995278534</v>
      </c>
      <c r="FN451" s="6">
        <v>0</v>
      </c>
      <c r="FO451" s="6">
        <v>0</v>
      </c>
      <c r="FP451" s="6">
        <v>0</v>
      </c>
      <c r="FQ451" s="6">
        <v>0</v>
      </c>
      <c r="FR451" s="6">
        <v>0</v>
      </c>
      <c r="FS451" s="6">
        <v>0</v>
      </c>
      <c r="FT451" s="7">
        <v>0.86510910225482895</v>
      </c>
      <c r="FU451" s="7">
        <v>4.5065963756540074E-2</v>
      </c>
      <c r="FV451" s="7">
        <v>8.9824933988631075E-2</v>
      </c>
      <c r="FW451" s="6">
        <v>1599.9999999999998</v>
      </c>
      <c r="FX451" s="6">
        <v>2978.2377995278534</v>
      </c>
      <c r="FY451" s="6">
        <v>-606</v>
      </c>
      <c r="FZ451" s="6">
        <v>1695.8504614767719</v>
      </c>
      <c r="GA451" s="6">
        <v>1463.9578103424956</v>
      </c>
      <c r="GB451" s="6">
        <v>18231.042189657506</v>
      </c>
      <c r="GC451" s="7">
        <v>8.1891069685915169E-2</v>
      </c>
      <c r="GD451" s="7">
        <v>7.993413949855914E-2</v>
      </c>
      <c r="GE451" s="7"/>
      <c r="GF451" s="7"/>
      <c r="GG451" s="7">
        <v>-2.3896747165003888E-2</v>
      </c>
      <c r="GH451" s="42">
        <v>2.0295875402374266</v>
      </c>
      <c r="GI451" s="6">
        <v>11167.899921504657</v>
      </c>
      <c r="GJ451" s="14">
        <v>0.51074630601039561</v>
      </c>
      <c r="GK451" s="14">
        <v>0.5082951978616097</v>
      </c>
      <c r="GL451" s="14">
        <v>0.48925369398960428</v>
      </c>
      <c r="GM451" s="14">
        <v>0.49170480213839063</v>
      </c>
      <c r="GO451" s="5">
        <v>338.16872463277008</v>
      </c>
      <c r="GP451" s="5">
        <v>307.64377699166363</v>
      </c>
      <c r="GQ451" s="5">
        <v>527.27910984145694</v>
      </c>
      <c r="GR451" s="5">
        <v>404.20319246551543</v>
      </c>
      <c r="GS451" s="5">
        <v>334.50205195691484</v>
      </c>
      <c r="GT451" s="5">
        <v>289.18266033348181</v>
      </c>
      <c r="GU451" s="5">
        <v>254.29573314828914</v>
      </c>
      <c r="GV451" s="39" t="s">
        <v>392</v>
      </c>
      <c r="GW451" s="5">
        <v>468.76388888888891</v>
      </c>
      <c r="GX451" s="5">
        <v>351.57291666666669</v>
      </c>
      <c r="GY451" s="5">
        <v>281.25833333333333</v>
      </c>
      <c r="GZ451" s="5">
        <v>240.85506989150105</v>
      </c>
      <c r="HA451" s="5">
        <v>229.89195052129477</v>
      </c>
      <c r="HB451" s="39">
        <v>248.99776047897657</v>
      </c>
      <c r="HC451" s="5">
        <v>309.62812499999995</v>
      </c>
      <c r="HD451" s="5">
        <v>254.42143640350872</v>
      </c>
      <c r="HE451" s="5">
        <v>254.26724443319836</v>
      </c>
      <c r="HF451" s="5">
        <v>231.71692434210524</v>
      </c>
      <c r="HG451" s="5">
        <v>219.1899342105263</v>
      </c>
      <c r="HH451" s="39">
        <v>253.78244601601924</v>
      </c>
      <c r="HI451" s="16"/>
      <c r="HJ451" s="19" t="str">
        <f t="shared" ref="HJ451:HK461" si="1412">HJ450</f>
        <v>On</v>
      </c>
      <c r="HK451" s="1" t="str">
        <f t="shared" si="1412"/>
        <v>On</v>
      </c>
      <c r="HL451" s="16"/>
      <c r="HM451" s="639">
        <f t="shared" si="1278"/>
        <v>6.6115095157691428E-2</v>
      </c>
      <c r="HN451" s="639">
        <f t="shared" si="1279"/>
        <v>2.3720927871164412E-3</v>
      </c>
      <c r="HO451" s="639">
        <f t="shared" si="1280"/>
        <v>7.7231033444443466E-3</v>
      </c>
      <c r="HP451" s="644">
        <f>(FT451*$GD451-HM451)/$JF451*INDEX(Input!$1:$1048576,$JG$93,$C451*2+6)</f>
        <v>74.07325630643092</v>
      </c>
      <c r="HQ451" s="644">
        <f>(FU451*$GD451-HN451)/$JF451*INDEX(Input!$1:$1048576,$JG$93,$C451*2+6)</f>
        <v>30.008703069302655</v>
      </c>
      <c r="HR451" s="644">
        <f>(FV451*$GD451-HO451)/$JF451*INDEX(Input!$1:$1048576,$JG$93,$C451*2+6)</f>
        <v>-13.246014466048242</v>
      </c>
      <c r="HS451" s="644">
        <f t="shared" si="1406"/>
        <v>-21.154384130813504</v>
      </c>
      <c r="HT451" s="644">
        <f t="shared" si="1282"/>
        <v>127.45536716312816</v>
      </c>
      <c r="HU451" s="644">
        <f t="shared" si="1283"/>
        <v>1.4386614908872346</v>
      </c>
      <c r="HV451" s="648">
        <f t="shared" si="1284"/>
        <v>0</v>
      </c>
      <c r="HW451" s="648">
        <f t="shared" si="1285"/>
        <v>0</v>
      </c>
      <c r="HX451" s="648">
        <f t="shared" si="1286"/>
        <v>0</v>
      </c>
      <c r="HY451" s="644">
        <f>INDEX(Input!$1:$1048576,HY$93,$C451*2+6)*INDEX(Input!$1:$1048576,$JG$93,$C451*2+6)</f>
        <v>844</v>
      </c>
      <c r="HZ451" s="644">
        <f>INDEX(Input!$1:$1048576,HZ$93,$C451*2+6)*INDEX(Input!$1:$1048576,$JG$93,$C451*2+6)</f>
        <v>865</v>
      </c>
      <c r="IA451" s="644">
        <f>INDEX(Input!$1:$1048576,IA$93,$C451*2+6)*INDEX(Input!$1:$1048576,$JG$93,$C451*2+6)</f>
        <v>150</v>
      </c>
      <c r="IB451" s="644">
        <f t="shared" si="1310"/>
        <v>896.91887217561737</v>
      </c>
      <c r="IC451" s="644">
        <f t="shared" si="1311"/>
        <v>1022.4640702324308</v>
      </c>
      <c r="ID451" s="644">
        <f>IF(AND(INDEX(Input!$1:$1048576,IA$93,$C451*2+7)="TOS",Y451&lt;=INDEX(Y:Y,MATCH(C451*1000+2,A:A))),0,1)*MAX(IA451+HR451+HU451+HX451,0%)</f>
        <v>138.19264702483898</v>
      </c>
      <c r="IE451" s="128">
        <f t="shared" si="1411"/>
        <v>0.43591053314489786</v>
      </c>
      <c r="IF451" s="128">
        <f t="shared" si="1383"/>
        <v>0.49692661376987091</v>
      </c>
      <c r="IG451" s="128">
        <f t="shared" si="1288"/>
        <v>6.7162853085231192E-2</v>
      </c>
      <c r="IH451" s="21"/>
      <c r="II451" s="19">
        <f t="shared" si="1289"/>
        <v>1199.9999999999998</v>
      </c>
      <c r="IJ451" s="19">
        <f t="shared" si="1290"/>
        <v>2195.4782357510435</v>
      </c>
      <c r="IK451" s="19">
        <f t="shared" si="1291"/>
        <v>-571</v>
      </c>
      <c r="IL451" s="19">
        <f t="shared" si="1313"/>
        <v>400</v>
      </c>
      <c r="IM451" s="19">
        <f t="shared" si="1292"/>
        <v>782.75956377680996</v>
      </c>
      <c r="IN451" s="19">
        <f t="shared" si="1293"/>
        <v>-35</v>
      </c>
      <c r="IO451" s="39">
        <f t="shared" si="1294"/>
        <v>0</v>
      </c>
      <c r="IP451" s="39">
        <f t="shared" si="1295"/>
        <v>0</v>
      </c>
      <c r="IQ451" s="39">
        <f t="shared" si="1296"/>
        <v>0</v>
      </c>
      <c r="IR451" s="39">
        <v>0</v>
      </c>
      <c r="IS451" s="39">
        <v>0</v>
      </c>
      <c r="IT451" s="39">
        <v>0</v>
      </c>
      <c r="IU451" s="39">
        <v>0</v>
      </c>
      <c r="IV451" s="39">
        <v>0</v>
      </c>
      <c r="IW451" s="39">
        <v>0</v>
      </c>
      <c r="IX451" s="39">
        <f>INDEX(Input!$1:$1048576,IX$93,$C451*2+6)+INDEX(Input!$1:$1048576,IX$94,$C451*2+6)</f>
        <v>1600</v>
      </c>
      <c r="IY451" s="39">
        <f>INDEX(Input!$1:$1048576,IY$93,$C451*2+6)+INDEX(Input!$1:$1048576,IY$94,$C451*2+6)</f>
        <v>2503.549291639752</v>
      </c>
      <c r="IZ451" s="39">
        <f>INDEX(Input!$1:$1048576,IZ$93,$C451*2+6)+INDEX(Input!$1:$1048576,IZ$94,$C451*2+6)</f>
        <v>5413.7109265464023</v>
      </c>
      <c r="JA451" s="19">
        <f t="shared" si="1314"/>
        <v>2000</v>
      </c>
      <c r="JB451" s="19">
        <f t="shared" si="1315"/>
        <v>3286.308855416562</v>
      </c>
      <c r="JC451" s="19">
        <f t="shared" si="1316"/>
        <v>5378.7109265464023</v>
      </c>
      <c r="JD451" s="19">
        <f t="shared" si="1317"/>
        <v>2866.1249693614518</v>
      </c>
      <c r="JE451" s="21"/>
      <c r="JF451" s="1">
        <f t="shared" si="1297"/>
        <v>7.6210291289252219E-2</v>
      </c>
      <c r="JG451" s="15">
        <f>INDEX(Input!$1:$1048576,JG$93,$C451*2+6)/(1+VLOOKUP(C451*1000+INDEX(Input!$1:$1048576,JG$93+1,$C451*2+6),$A:$KK,$JK$92,FALSE))</f>
        <v>1859</v>
      </c>
      <c r="JH451" s="1">
        <f t="shared" si="1318"/>
        <v>4.8862799843832891E-2</v>
      </c>
      <c r="JI451" s="1">
        <f t="shared" si="1319"/>
        <v>5.7955699044218337E-2</v>
      </c>
      <c r="JJ451" s="1">
        <f t="shared" si="1384"/>
        <v>0</v>
      </c>
      <c r="JK451" s="1">
        <f t="shared" si="1385"/>
        <v>0.10681849888805123</v>
      </c>
      <c r="JL451" s="15">
        <f t="shared" si="1322"/>
        <v>198.57558943288723</v>
      </c>
      <c r="JM451" s="15">
        <f t="shared" si="1348"/>
        <v>2057.5755894328872</v>
      </c>
      <c r="JN451" s="21"/>
      <c r="JO451" s="19">
        <f>INDEX(Input!$1:$1048576,JO$93,$C451*2+6)</f>
        <v>5908.5</v>
      </c>
      <c r="JP451" s="19">
        <f>INDEX(Input!$1:$1048576,JP$93,$C451*2+6)</f>
        <v>2328.1478086338602</v>
      </c>
      <c r="JQ451" s="39">
        <f t="shared" si="1334"/>
        <v>3042.3750306385482</v>
      </c>
      <c r="JR451" s="39">
        <f t="shared" si="1351"/>
        <v>537.97716072759158</v>
      </c>
      <c r="JS451" s="39">
        <f t="shared" si="1336"/>
        <v>5.8972687732222049</v>
      </c>
      <c r="JT451" s="39">
        <f t="shared" si="1324"/>
        <v>1.5692419969718587</v>
      </c>
      <c r="JU451" s="385">
        <f>(JQ451*JM451-INDEX(Input!$1:$1048576,Input!A$18,$C451*2+6)*JL451*INDEX(Input!$1:$1048576,Input!A$19,$C451*2+6))/1000000</f>
        <v>6.2599165969420092</v>
      </c>
      <c r="JV451" s="39">
        <f t="shared" si="1358"/>
        <v>-0.39595812680764464</v>
      </c>
      <c r="JW451" s="1">
        <f t="shared" si="1349"/>
        <v>-5.9490020957692791E-2</v>
      </c>
      <c r="JX451" s="19">
        <f t="shared" si="1340"/>
        <v>7902.4919500602418</v>
      </c>
      <c r="JZ451" s="341"/>
      <c r="KA451" s="342"/>
      <c r="KB451" s="469">
        <f t="shared" si="1337"/>
        <v>2.3451977905499271</v>
      </c>
      <c r="KI451" s="473">
        <f t="shared" si="1408"/>
        <v>52.918872175617366</v>
      </c>
      <c r="KJ451" s="473">
        <f t="shared" si="1409"/>
        <v>157.4640702324308</v>
      </c>
      <c r="KK451" s="473">
        <f t="shared" si="1326"/>
        <v>-11.807352975161024</v>
      </c>
      <c r="KN451" s="544">
        <f t="shared" si="1341"/>
        <v>4002</v>
      </c>
      <c r="KO451" s="541">
        <f t="shared" si="1301"/>
        <v>3.0003323596943243E-2</v>
      </c>
      <c r="KP451" s="546">
        <f t="shared" si="1302"/>
        <v>165.97466396197808</v>
      </c>
      <c r="KQ451" s="546">
        <f t="shared" si="1303"/>
        <v>142.38140776345608</v>
      </c>
      <c r="KR451" s="548">
        <f t="shared" si="1304"/>
        <v>3.0679025738815735</v>
      </c>
      <c r="KS451" s="548">
        <f t="shared" si="1305"/>
        <v>3.5762681853379776</v>
      </c>
      <c r="KT451" s="473">
        <f t="shared" si="1339"/>
        <v>1050.27685337919</v>
      </c>
      <c r="KU451" s="663">
        <f t="shared" si="1327"/>
        <v>6.5905053647226435</v>
      </c>
      <c r="KV451" s="117"/>
    </row>
    <row r="452" spans="1:308" s="26" customFormat="1" ht="15" outlineLevel="1">
      <c r="A452" s="561">
        <f t="shared" si="1306"/>
        <v>4052</v>
      </c>
      <c r="B452" s="561">
        <f t="shared" si="1328"/>
        <v>52</v>
      </c>
      <c r="C452" s="561">
        <f t="shared" si="1329"/>
        <v>4</v>
      </c>
      <c r="D452" s="561" t="str">
        <f t="shared" si="1378"/>
        <v xml:space="preserve">0/0/0/3.9, -360 Lease, </v>
      </c>
      <c r="E452" s="475">
        <f>INDEX(Input!$1:$1048576,E$93,$C452*2+MIN($B452,2)+5)
+INDEX(Scenarios!E$121:E$200,MATCH($B452,Scenarios!$B$121:$B$200,0))</f>
        <v>1250</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63">
        <f>IFERROR(MAX(0,INDEX(Input!$1:$1048576,W$93,$C452*2+MIN($B452,2)+5)-0%,),"Market")</f>
        <v>3.9E-2</v>
      </c>
      <c r="X452" s="476" t="str">
        <f>INDEX(Input!$1:$1048576,X$93,$C452*2+MIN($B452,2)+5)</f>
        <v>Y</v>
      </c>
      <c r="Y452" s="475">
        <f>INDEX(Input!$1:$1048576,Y$93,$C452*2+MIN($B452,2)+5)
++INDEX(Scenarios!Y$121:Y$200,MATCH($B452,Scenarios!$B$121:$B$200,0))</f>
        <v>-2577</v>
      </c>
      <c r="Z452" s="477">
        <f>INDEX(Input!$1:$1048576,Z$93,$C452*2+MIN($B452,2)+5)
+INDEX(Scenarios!Z$121:Z$200,MATCH($B452,Scenarios!$B$121:$B$200,0))</f>
        <v>0</v>
      </c>
      <c r="AA452" s="475">
        <f>INDEX(Input!$1:$1048576,AA$93,$C452*2+MIN($B452,2)+5)</f>
        <v>0</v>
      </c>
      <c r="AB452" s="476">
        <f>INDEX(Input!$1:$1048576,AB$93,$C452*2+MIN($B452,2)+5)</f>
        <v>1</v>
      </c>
      <c r="AC452" s="475">
        <f>INDEX(Input!$1:$1048576,AC$93,$C452*2+MIN($B452,2)+5)
+INDEX(Scenarios!AC$121:AC$200,MATCH($B452,Scenarios!$B$121:$B$200,0))</f>
        <v>0</v>
      </c>
      <c r="AD452" s="476">
        <f>INDEX(Input!$1:$1048576,AD$93,$C452*2+MIN($B452,2)+5)</f>
        <v>0.35</v>
      </c>
      <c r="AE452" s="475">
        <f>INDEX(Input!$1:$1048576,AE$93,$C452*2+MIN($B452,2)+5)
+INDEX(Scenarios!AE$121:AE$200,MATCH($B452,Scenarios!$B$121:$B$200,0))</f>
        <v>0</v>
      </c>
      <c r="AF452" s="476">
        <f>INDEX(Input!$1:$1048576,AF$93,$C452*2+MIN($B452,2)+5)</f>
        <v>1</v>
      </c>
      <c r="AG452" s="475">
        <f>INDEX(Input!$1:$1048576,AG$93,$C452*2+MIN($B452,2)+5)
+INDEX(Scenarios!AG$121:AG$200,MATCH($B452,Scenarios!$B$121:$B$200,0))</f>
        <v>0</v>
      </c>
      <c r="AH452" s="476">
        <f>INDEX(Input!$1:$1048576,AH$93,$C452*2+MIN($B452,2)+5)</f>
        <v>1</v>
      </c>
      <c r="AI452" s="475">
        <f>INDEX(Input!$1:$1048576,AI$93,$C452*2+MIN($B452,2)+5)
+INDEX(Scenarios!AI$121:AI$200,MATCH($B452,Scenarios!$B$121:$B$200,0))</f>
        <v>0</v>
      </c>
      <c r="AJ452" s="476">
        <f>INDEX(Input!$1:$1048576,AJ$93,$C452*2+MIN($B452,2)+5)</f>
        <v>0.35</v>
      </c>
      <c r="AK452" s="150">
        <f>ROUND(INDEX(Input!$1:$1048576,AK$93,$C451*2+MIN($B452,1)+5)+(Y452-VLOOKUP($C452*1000+1,$A:$HH,Y$92,FALSE)),0)</f>
        <v>4232</v>
      </c>
      <c r="AL452" s="150">
        <f>ROUND(INDEX(Input!$1:$1048576,AL$93,$C451*2+MIN($B452,1)+5)-(Y452-VLOOKUP($C452*1000+1,$A:$HH,Y$92,FALSE))/36,0)</f>
        <v>4753</v>
      </c>
      <c r="AM452" s="32" t="str">
        <f t="shared" si="1307"/>
        <v>std/std/std/std</v>
      </c>
      <c r="AN452" s="32" t="str">
        <f t="shared" si="1308"/>
        <v>$0 + 0/0/0/0/3.9</v>
      </c>
      <c r="AO452" s="32" t="str">
        <f t="shared" si="1309"/>
        <v>0/0/0/0/3.9</v>
      </c>
      <c r="AP452" s="32" t="str">
        <f t="shared" si="1386"/>
        <v>0/0/0/3.9</v>
      </c>
      <c r="AQ452" s="536">
        <f t="shared" si="1379"/>
        <v>0.41029295466959648</v>
      </c>
      <c r="AR452" s="32"/>
      <c r="AS452" s="302"/>
      <c r="AT452" s="3">
        <f t="shared" si="1330"/>
        <v>52</v>
      </c>
      <c r="AU452" s="41" t="s">
        <v>121</v>
      </c>
      <c r="AV452" s="41" t="s">
        <v>116</v>
      </c>
      <c r="AW452" s="41" t="str">
        <f>INDEX(Input!$1:$1048576,AW$93,$C452*2+6)</f>
        <v>Kia</v>
      </c>
      <c r="AX452" s="41" t="str">
        <f>INDEX(Input!$1:$1048576,AX$93,$C452*2+6)</f>
        <v>Kia-LR - R1</v>
      </c>
      <c r="AY452" s="41" t="str">
        <f>IF(LEN(D452)=0,"",INDEX(Input!$1:$1048576,AY$93,$C452*2+6))</f>
        <v>Compact Conventional/Sporty Car (43)</v>
      </c>
      <c r="AZ452" s="41" t="str">
        <f>INDEX(Input!$1:$1048576,AZ$93,$C452*2+6)</f>
        <v>Kia Forte</v>
      </c>
      <c r="BA452" s="3">
        <f>INDEX(Input!$1:$1048576,BA$93,$C452*2+6)</f>
        <v>2020</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19695</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387"/>
        <v>1560</v>
      </c>
      <c r="CJ452" s="16" t="str">
        <f>INDEX(Input!$1:$1048576,CJ$93,$C452*2+6)</f>
        <v>N</v>
      </c>
      <c r="CK452" s="1" t="str">
        <f t="shared" si="1388"/>
        <v>Market</v>
      </c>
      <c r="CL452" s="1" t="str">
        <f t="shared" si="1389"/>
        <v>Market</v>
      </c>
      <c r="CM452" s="1" t="str">
        <f t="shared" si="1390"/>
        <v>Market</v>
      </c>
      <c r="CN452" s="1" t="str">
        <f t="shared" si="1391"/>
        <v>Market</v>
      </c>
      <c r="CO452" s="1" t="str">
        <f t="shared" si="1392"/>
        <v>Market</v>
      </c>
      <c r="CP452" s="304">
        <f t="shared" si="1393"/>
        <v>0</v>
      </c>
      <c r="CQ452" s="1">
        <f t="shared" si="1394"/>
        <v>0</v>
      </c>
      <c r="CR452" s="1">
        <f t="shared" si="1395"/>
        <v>0</v>
      </c>
      <c r="CS452" s="1">
        <f t="shared" si="1396"/>
        <v>0</v>
      </c>
      <c r="CT452" s="1">
        <f t="shared" si="1397"/>
        <v>0</v>
      </c>
      <c r="CU452" s="1">
        <f t="shared" si="1398"/>
        <v>3.9E-2</v>
      </c>
      <c r="CV452" s="304">
        <f t="shared" si="1399"/>
        <v>-2577</v>
      </c>
      <c r="CW452" s="20" t="s">
        <v>122</v>
      </c>
      <c r="CX452" s="20" t="s">
        <v>122</v>
      </c>
      <c r="CY452" s="20" t="s">
        <v>122</v>
      </c>
      <c r="CZ452" s="20" t="s">
        <v>122</v>
      </c>
      <c r="DA452" s="20" t="s">
        <v>122</v>
      </c>
      <c r="DB452" s="503">
        <f t="shared" si="1400"/>
        <v>0</v>
      </c>
      <c r="DC452" s="127">
        <v>0</v>
      </c>
      <c r="DD452" s="127">
        <v>0</v>
      </c>
      <c r="DE452" s="127">
        <v>0</v>
      </c>
      <c r="DF452" s="127">
        <v>0</v>
      </c>
      <c r="DG452" s="127">
        <v>0</v>
      </c>
      <c r="DH452" s="127">
        <v>0</v>
      </c>
      <c r="DI452" s="127">
        <v>0</v>
      </c>
      <c r="DJ452" s="127">
        <v>0</v>
      </c>
      <c r="DK452" s="127">
        <v>0</v>
      </c>
      <c r="DL452" s="127">
        <v>0</v>
      </c>
      <c r="DM452" s="304">
        <f>INDEX(Input!$1:$1048576,DM$93,$C452*2+6)</f>
        <v>20731.578947368424</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4.4565231241169977E-2</v>
      </c>
      <c r="DZ452" s="7">
        <v>0</v>
      </c>
      <c r="EA452" s="7">
        <v>0.80371503586540405</v>
      </c>
      <c r="EB452" s="7">
        <v>0</v>
      </c>
      <c r="EC452" s="7">
        <v>0</v>
      </c>
      <c r="ED452" s="7">
        <v>0</v>
      </c>
      <c r="EE452" s="7">
        <v>0</v>
      </c>
      <c r="EF452" s="7">
        <v>0</v>
      </c>
      <c r="EG452" s="7">
        <v>0</v>
      </c>
      <c r="EH452" s="7">
        <v>5.8798815244296993E-3</v>
      </c>
      <c r="EI452" s="7">
        <v>9.4443788005894903E-3</v>
      </c>
      <c r="EJ452" s="7">
        <v>8.8602871300862043E-2</v>
      </c>
      <c r="EK452" s="7">
        <v>0.86815500716851035</v>
      </c>
      <c r="EL452" s="7">
        <v>2.7917861205608085E-2</v>
      </c>
      <c r="EM452" s="7">
        <v>6.358021010357609E-2</v>
      </c>
      <c r="EN452" s="7">
        <v>4.6404991124038564E-2</v>
      </c>
      <c r="EO452" s="7">
        <v>0.57158799236512092</v>
      </c>
      <c r="EP452" s="7">
        <v>0.26789936700095335</v>
      </c>
      <c r="EQ452" s="7">
        <v>6.8681899680201303E-2</v>
      </c>
      <c r="ER452" s="7">
        <v>4.542574982968544E-2</v>
      </c>
      <c r="ES452" s="7">
        <v>8.8139522789849878E-2</v>
      </c>
      <c r="ET452" s="7">
        <v>0.15171973289342591</v>
      </c>
      <c r="EU452" s="6">
        <v>1599.9999999999998</v>
      </c>
      <c r="EV452" s="6">
        <v>0</v>
      </c>
      <c r="EW452" s="6">
        <v>1599.9999999999998</v>
      </c>
      <c r="EX452" s="6">
        <v>0</v>
      </c>
      <c r="EY452" s="6">
        <v>3367.6042340965732</v>
      </c>
      <c r="EZ452" s="6">
        <v>-606</v>
      </c>
      <c r="FA452" s="6">
        <v>0</v>
      </c>
      <c r="FB452" s="6">
        <v>0</v>
      </c>
      <c r="FC452" s="6">
        <v>0</v>
      </c>
      <c r="FD452" s="6">
        <v>0</v>
      </c>
      <c r="FE452" s="6">
        <v>0</v>
      </c>
      <c r="FF452" s="6">
        <v>0</v>
      </c>
      <c r="FG452" s="6">
        <v>0</v>
      </c>
      <c r="FH452" s="6">
        <v>1153.2487142019663</v>
      </c>
      <c r="FI452" s="6">
        <v>1531.4299904380614</v>
      </c>
      <c r="FJ452" s="6">
        <v>2070.7205842538192</v>
      </c>
      <c r="FK452" s="6">
        <v>2635.3956133202923</v>
      </c>
      <c r="FL452" s="6">
        <v>893.91433563489386</v>
      </c>
      <c r="FM452" s="6">
        <v>2517.6042340965732</v>
      </c>
      <c r="FN452" s="6">
        <v>0</v>
      </c>
      <c r="FO452" s="6">
        <v>0</v>
      </c>
      <c r="FP452" s="6">
        <v>0</v>
      </c>
      <c r="FQ452" s="6">
        <v>0</v>
      </c>
      <c r="FR452" s="6">
        <v>0</v>
      </c>
      <c r="FS452" s="6">
        <v>0</v>
      </c>
      <c r="FT452" s="7">
        <v>0.848280267106574</v>
      </c>
      <c r="FU452" s="7">
        <v>6.358021010357609E-2</v>
      </c>
      <c r="FV452" s="7">
        <v>8.8139522789849878E-2</v>
      </c>
      <c r="FW452" s="6">
        <v>1600</v>
      </c>
      <c r="FX452" s="6">
        <v>3367.6042340965732</v>
      </c>
      <c r="FY452" s="6">
        <v>-606</v>
      </c>
      <c r="FZ452" s="6">
        <v>1695.8504614767719</v>
      </c>
      <c r="GA452" s="6">
        <v>1517.948861309422</v>
      </c>
      <c r="GB452" s="6">
        <v>18177.051138690578</v>
      </c>
      <c r="GC452" s="7">
        <v>8.1891069685915169E-2</v>
      </c>
      <c r="GD452" s="7">
        <v>8.0552626866771629E-2</v>
      </c>
      <c r="GE452" s="7"/>
      <c r="GF452" s="7"/>
      <c r="GG452" s="7">
        <v>-1.6344185321757312E-2</v>
      </c>
      <c r="GH452" s="42">
        <v>1.8094200929570281</v>
      </c>
      <c r="GI452" s="6">
        <v>12402.651687734662</v>
      </c>
      <c r="GJ452" s="14">
        <v>0.51074630601039539</v>
      </c>
      <c r="GK452" s="14">
        <v>0.50829519786160959</v>
      </c>
      <c r="GL452" s="14">
        <v>0.48925369398960422</v>
      </c>
      <c r="GM452" s="14">
        <v>0.49170480213839024</v>
      </c>
      <c r="GO452" s="5">
        <v>338.16872463277008</v>
      </c>
      <c r="GP452" s="5">
        <v>307.64377699166363</v>
      </c>
      <c r="GQ452" s="5">
        <v>527.27910984145694</v>
      </c>
      <c r="GR452" s="5">
        <v>404.20319246551543</v>
      </c>
      <c r="GS452" s="5">
        <v>334.50205195691484</v>
      </c>
      <c r="GT452" s="5">
        <v>289.18266033348181</v>
      </c>
      <c r="GU452" s="5">
        <v>254.29573314828914</v>
      </c>
      <c r="GV452" s="39" t="s">
        <v>392</v>
      </c>
      <c r="GW452" s="5">
        <v>468.76388888888891</v>
      </c>
      <c r="GX452" s="5">
        <v>351.57291666666669</v>
      </c>
      <c r="GY452" s="5">
        <v>281.25833333333333</v>
      </c>
      <c r="GZ452" s="5">
        <v>234.38194444444446</v>
      </c>
      <c r="HA452" s="5">
        <v>229.89195052129477</v>
      </c>
      <c r="HB452" s="39">
        <v>240.89491006753005</v>
      </c>
      <c r="HC452" s="5">
        <v>309.62812499999995</v>
      </c>
      <c r="HD452" s="5">
        <v>254.42143640350872</v>
      </c>
      <c r="HE452" s="5">
        <v>254.26724443319836</v>
      </c>
      <c r="HF452" s="5">
        <v>231.71692434210524</v>
      </c>
      <c r="HG452" s="5">
        <v>219.1899342105263</v>
      </c>
      <c r="HH452" s="39">
        <v>253.78218794214186</v>
      </c>
      <c r="HI452" s="16"/>
      <c r="HJ452" s="19" t="str">
        <f t="shared" si="1412"/>
        <v>On</v>
      </c>
      <c r="HK452" s="1" t="str">
        <f t="shared" si="1412"/>
        <v>On</v>
      </c>
      <c r="HL452" s="16"/>
      <c r="HM452" s="639">
        <f t="shared" si="1278"/>
        <v>6.6115095157691428E-2</v>
      </c>
      <c r="HN452" s="639">
        <f t="shared" si="1279"/>
        <v>2.3720927871164412E-3</v>
      </c>
      <c r="HO452" s="639">
        <f t="shared" si="1280"/>
        <v>7.7231033444443466E-3</v>
      </c>
      <c r="HP452" s="644">
        <f>(FT452*$GD452-HM452)/$JF452*INDEX(Input!$1:$1048576,$JG$93,$C452*2+6)</f>
        <v>54.057607717148599</v>
      </c>
      <c r="HQ452" s="644">
        <f>(FU452*$GD452-HN452)/$JF452*INDEX(Input!$1:$1048576,$JG$93,$C452*2+6)</f>
        <v>67.067666831206466</v>
      </c>
      <c r="HR452" s="644">
        <f>(FV452*$GD452-HO452)/$JF452*INDEX(Input!$1:$1048576,$JG$93,$C452*2+6)</f>
        <v>-15.202548076018315</v>
      </c>
      <c r="HS452" s="644">
        <f t="shared" si="1406"/>
        <v>-21.234543872771344</v>
      </c>
      <c r="HT452" s="644">
        <f t="shared" si="1282"/>
        <v>191.85885085785921</v>
      </c>
      <c r="HU452" s="644">
        <f t="shared" si="1283"/>
        <v>1.5188212328450581</v>
      </c>
      <c r="HV452" s="648">
        <f t="shared" si="1284"/>
        <v>0</v>
      </c>
      <c r="HW452" s="648">
        <f t="shared" si="1285"/>
        <v>0</v>
      </c>
      <c r="HX452" s="648">
        <f t="shared" si="1286"/>
        <v>0</v>
      </c>
      <c r="HY452" s="644">
        <f>INDEX(Input!$1:$1048576,HY$93,$C452*2+6)*INDEX(Input!$1:$1048576,$JG$93,$C452*2+6)</f>
        <v>844</v>
      </c>
      <c r="HZ452" s="644">
        <f>INDEX(Input!$1:$1048576,HZ$93,$C452*2+6)*INDEX(Input!$1:$1048576,$JG$93,$C452*2+6)</f>
        <v>865</v>
      </c>
      <c r="IA452" s="644">
        <f>INDEX(Input!$1:$1048576,IA$93,$C452*2+6)*INDEX(Input!$1:$1048576,$JG$93,$C452*2+6)</f>
        <v>150</v>
      </c>
      <c r="IB452" s="644">
        <f t="shared" si="1310"/>
        <v>876.8230638443772</v>
      </c>
      <c r="IC452" s="644">
        <f t="shared" si="1311"/>
        <v>1123.9265176890656</v>
      </c>
      <c r="ID452" s="644">
        <f>IF(AND(INDEX(Input!$1:$1048576,IA$93,$C452*2+7)="TOS",Y452&lt;=INDEX(Y:Y,MATCH(C452*1000+2,A:A))),0,1)*MAX(IA452+HR452+HU452+HX452,0%)</f>
        <v>136.31627315682675</v>
      </c>
      <c r="IE452" s="128">
        <f t="shared" si="1411"/>
        <v>0.41029295466959648</v>
      </c>
      <c r="IF452" s="128">
        <f t="shared" si="1383"/>
        <v>0.52592039464874574</v>
      </c>
      <c r="IG452" s="128">
        <f t="shared" si="1288"/>
        <v>6.3786650681657828E-2</v>
      </c>
      <c r="IH452" s="21"/>
      <c r="II452" s="19">
        <f t="shared" si="1289"/>
        <v>1199.9999999999998</v>
      </c>
      <c r="IJ452" s="19">
        <f t="shared" si="1290"/>
        <v>2195.4782357510435</v>
      </c>
      <c r="IK452" s="19">
        <f t="shared" si="1291"/>
        <v>-571</v>
      </c>
      <c r="IL452" s="19">
        <f t="shared" si="1313"/>
        <v>400.00000000000023</v>
      </c>
      <c r="IM452" s="19">
        <f t="shared" si="1292"/>
        <v>1172.1259983455298</v>
      </c>
      <c r="IN452" s="19">
        <f t="shared" si="1293"/>
        <v>-35</v>
      </c>
      <c r="IO452" s="39">
        <f t="shared" si="1294"/>
        <v>0</v>
      </c>
      <c r="IP452" s="39">
        <f t="shared" si="1295"/>
        <v>0</v>
      </c>
      <c r="IQ452" s="39">
        <f t="shared" si="1296"/>
        <v>0</v>
      </c>
      <c r="IR452" s="39">
        <v>0</v>
      </c>
      <c r="IS452" s="39">
        <v>0</v>
      </c>
      <c r="IT452" s="39">
        <v>0</v>
      </c>
      <c r="IU452" s="39">
        <v>0</v>
      </c>
      <c r="IV452" s="39">
        <v>0</v>
      </c>
      <c r="IW452" s="39">
        <v>0</v>
      </c>
      <c r="IX452" s="39">
        <f>INDEX(Input!$1:$1048576,IX$93,$C452*2+6)+INDEX(Input!$1:$1048576,IX$94,$C452*2+6)</f>
        <v>1600</v>
      </c>
      <c r="IY452" s="39">
        <f>INDEX(Input!$1:$1048576,IY$93,$C452*2+6)+INDEX(Input!$1:$1048576,IY$94,$C452*2+6)</f>
        <v>2503.549291639752</v>
      </c>
      <c r="IZ452" s="39">
        <f>INDEX(Input!$1:$1048576,IZ$93,$C452*2+6)+INDEX(Input!$1:$1048576,IZ$94,$C452*2+6)</f>
        <v>5413.7109265464023</v>
      </c>
      <c r="JA452" s="19">
        <f t="shared" si="1314"/>
        <v>2000.0000000000002</v>
      </c>
      <c r="JB452" s="19">
        <f t="shared" si="1315"/>
        <v>3675.6752899852818</v>
      </c>
      <c r="JC452" s="19">
        <f t="shared" si="1316"/>
        <v>5378.7109265464023</v>
      </c>
      <c r="JD452" s="19">
        <f t="shared" si="1317"/>
        <v>3096.7884634381267</v>
      </c>
      <c r="JE452" s="21"/>
      <c r="JF452" s="1">
        <f t="shared" si="1297"/>
        <v>7.6210291289252219E-2</v>
      </c>
      <c r="JG452" s="15">
        <f>INDEX(Input!$1:$1048576,JG$93,$C452*2+6)/(1+VLOOKUP(C452*1000+INDEX(Input!$1:$1048576,JG$93+1,$C452*2+6),$A:$KK,$JK$92,FALSE))</f>
        <v>1859</v>
      </c>
      <c r="JH452" s="1">
        <f t="shared" si="1318"/>
        <v>5.6978335918416757E-2</v>
      </c>
      <c r="JI452" s="1">
        <f t="shared" si="1319"/>
        <v>9.2599853802008025E-2</v>
      </c>
      <c r="JJ452" s="1">
        <f t="shared" si="1384"/>
        <v>0</v>
      </c>
      <c r="JK452" s="1">
        <f t="shared" si="1385"/>
        <v>0.14957818972042478</v>
      </c>
      <c r="JL452" s="15">
        <f t="shared" si="1322"/>
        <v>278.06585469026965</v>
      </c>
      <c r="JM452" s="15">
        <f t="shared" si="1348"/>
        <v>2137.0658546902696</v>
      </c>
      <c r="JN452" s="21"/>
      <c r="JO452" s="19">
        <f>INDEX(Input!$1:$1048576,JO$93,$C452*2+6)</f>
        <v>5908.5</v>
      </c>
      <c r="JP452" s="19">
        <f>INDEX(Input!$1:$1048576,JP$93,$C452*2+6)</f>
        <v>2328.1478086338602</v>
      </c>
      <c r="JQ452" s="39">
        <f t="shared" si="1334"/>
        <v>2811.7115365618733</v>
      </c>
      <c r="JR452" s="39">
        <f t="shared" si="1351"/>
        <v>768.64065480426643</v>
      </c>
      <c r="JS452" s="39">
        <f t="shared" si="1336"/>
        <v>6.618040884412367</v>
      </c>
      <c r="JT452" s="39">
        <f t="shared" si="1324"/>
        <v>2.2900141081620204</v>
      </c>
      <c r="JU452" s="385">
        <f>(JQ452*JM452-INDEX(Input!$1:$1048576,Input!A$18,$C452*2+6)*JL452*INDEX(Input!$1:$1048576,Input!A$19,$C452*2+6))/1000000</f>
        <v>6.0088127180250908</v>
      </c>
      <c r="JV452" s="39">
        <f t="shared" si="1358"/>
        <v>-0.64706200572456307</v>
      </c>
      <c r="JW452" s="1">
        <f t="shared" si="1349"/>
        <v>-9.7216674378756071E-2</v>
      </c>
      <c r="JX452" s="19">
        <f t="shared" si="1340"/>
        <v>8235.5099323964387</v>
      </c>
      <c r="JZ452" s="341"/>
      <c r="KA452" s="342"/>
      <c r="KB452" s="469">
        <f t="shared" si="1337"/>
        <v>2.3451977905499271</v>
      </c>
      <c r="KI452" s="473">
        <f t="shared" si="1408"/>
        <v>32.823063844377202</v>
      </c>
      <c r="KJ452" s="473">
        <f t="shared" si="1409"/>
        <v>258.9265176890658</v>
      </c>
      <c r="KK452" s="473">
        <f t="shared" si="1326"/>
        <v>-13.683726843173247</v>
      </c>
      <c r="KN452" s="544">
        <f t="shared" si="1341"/>
        <v>4002</v>
      </c>
      <c r="KO452" s="541">
        <f t="shared" si="1301"/>
        <v>6.9795415721866538E-2</v>
      </c>
      <c r="KP452" s="546">
        <f t="shared" si="1302"/>
        <v>383.06056820250831</v>
      </c>
      <c r="KQ452" s="546">
        <f t="shared" si="1303"/>
        <v>373.04490184013093</v>
      </c>
      <c r="KR452" s="548">
        <f t="shared" si="1304"/>
        <v>3.0922417935078803</v>
      </c>
      <c r="KS452" s="548">
        <f t="shared" si="1305"/>
        <v>3.1752636012388087</v>
      </c>
      <c r="KT452" s="473">
        <f t="shared" si="1339"/>
        <v>1050.27685337919</v>
      </c>
      <c r="KU452" s="663">
        <f t="shared" si="1327"/>
        <v>6.5809609917152505</v>
      </c>
      <c r="KV452" s="117"/>
    </row>
    <row r="453" spans="1:308" s="26" customFormat="1" ht="15" outlineLevel="1">
      <c r="A453" s="561">
        <f t="shared" si="1306"/>
        <v>4053</v>
      </c>
      <c r="B453" s="561">
        <f t="shared" si="1328"/>
        <v>53</v>
      </c>
      <c r="C453" s="561">
        <f t="shared" si="1329"/>
        <v>4</v>
      </c>
      <c r="D453" s="561" t="str">
        <f t="shared" ref="D453:D484" si="1413">IF(E453=INDEX(E:E,MATCH(C453*1000+2,A:A,0)),"",E453-INDEX(E:E,MATCH(C453*1000+2,A:A,0))&amp;E$100&amp;", ")
&amp;IF(F453=INDEX(F:F,MATCH(C453*1000+2,A:A,0)),"",F453-INDEX(F:F,MATCH(C453*1000+2,A:A,0))&amp;F$100&amp;", ")
&amp;IF(AM453=INDEX(AM:AM,MATCH(C453*1000+2,A:A,0)),"",AM453&amp;AM$100&amp;", ")
&amp;IF(AP453=INDEX(AP:AP,MATCH(C453*1000+2,A:A,0)),"",AP453&amp;AP$100&amp;", ")
&amp;IF(Q453=INDEX(Q:Q,MATCH(C453*1000+2,A:A,0)),"",Q453-INDEX(Q:Q,MATCH(C453*1000+2,A:A,0))&amp;Q$100&amp;", ")
&amp;IF(Y453=INDEX(Y:Y,MATCH(C453*1000+2,A:A,0)),"",Y453-INDEX(Y:Y,MATCH(C453*1000+2,A:A,0))&amp;Y$100&amp;", ")
&amp;IF(Z453=INDEX(Z:Z,MATCH(C453*1000+2,A:A,0)),"",Z453-INDEX(Z:Z,MATCH(C453*1000+2,A:A,0))&amp;Z$100&amp;", ")
&amp;IF(AA453=INDEX(AA:AA,MATCH(C453*1000+2,A:A,0)),"",AA453-INDEX(AA:AA,MATCH(C453*1000+2,A:A,0))&amp;AA$100&amp;", ")
&amp;IF(AC453=INDEX(AC:AC,MATCH(C453*1000+2,A:A,0)),"",AC453-INDEX(AC:AC,MATCH(C453*1000+2,A:A,0))&amp;AC$100&amp;", ")
&amp;IF(AE453=INDEX(AE:AE,MATCH(C453*1000+2,A:A,0)),"",AE453-INDEX(AE:AE,MATCH(C453*1000+2,A:A,0))&amp;AE$100&amp;", ")
&amp;IF(AG453=INDEX(AG:AG,MATCH(C453*1000+2,A:A,0)),"",AG453-INDEX(AG:AG,MATCH(C453*1000+2,A:A,0))&amp;AG$100&amp;", ")
&amp;IF(AI453=INDEX(AI:AI,MATCH(C453*1000+2,A:A,0)),"",AI453-INDEX(AI:AI,MATCH(C453*1000+2,A:A,0))&amp;AI$100&amp;", ")</f>
        <v xml:space="preserve">0/0/0/3.9, -360 Lease, </v>
      </c>
      <c r="E453" s="475">
        <f>INDEX(Input!$1:$1048576,E$93,$C453*2+MIN($B453,2)+5)
+INDEX(Scenarios!E$121:E$200,MATCH($B453,Scenarios!$B$121:$B$200,0))</f>
        <v>1250</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63">
        <f>IFERROR(MAX(0,INDEX(Input!$1:$1048576,W$93,$C453*2+MIN($B453,2)+5)-0%,),"Market")</f>
        <v>3.9E-2</v>
      </c>
      <c r="X453" s="476" t="str">
        <f>INDEX(Input!$1:$1048576,X$93,$C453*2+MIN($B453,2)+5)</f>
        <v>Y</v>
      </c>
      <c r="Y453" s="475">
        <f>INDEX(Input!$1:$1048576,Y$93,$C453*2+MIN($B453,2)+5)
++INDEX(Scenarios!Y$121:Y$200,MATCH($B453,Scenarios!$B$121:$B$200,0))</f>
        <v>-2577</v>
      </c>
      <c r="Z453" s="477">
        <f>INDEX(Input!$1:$1048576,Z$93,$C453*2+MIN($B453,2)+5)
+INDEX(Scenarios!Z$121:Z$200,MATCH($B453,Scenarios!$B$121:$B$200,0))</f>
        <v>0</v>
      </c>
      <c r="AA453" s="475">
        <f>INDEX(Input!$1:$1048576,AA$93,$C453*2+MIN($B453,2)+5)</f>
        <v>0</v>
      </c>
      <c r="AB453" s="476">
        <f>INDEX(Input!$1:$1048576,AB$93,$C453*2+MIN($B453,2)+5)</f>
        <v>1</v>
      </c>
      <c r="AC453" s="475">
        <f>INDEX(Input!$1:$1048576,AC$93,$C453*2+MIN($B453,2)+5)
+INDEX(Scenarios!AC$121:AC$200,MATCH($B453,Scenarios!$B$121:$B$200,0))</f>
        <v>0</v>
      </c>
      <c r="AD453" s="476">
        <f>INDEX(Input!$1:$1048576,AD$93,$C453*2+MIN($B453,2)+5)</f>
        <v>0.35</v>
      </c>
      <c r="AE453" s="475">
        <f>INDEX(Input!$1:$1048576,AE$93,$C453*2+MIN($B453,2)+5)
+INDEX(Scenarios!AE$121:AE$200,MATCH($B453,Scenarios!$B$121:$B$200,0))</f>
        <v>0</v>
      </c>
      <c r="AF453" s="476">
        <f>INDEX(Input!$1:$1048576,AF$93,$C453*2+MIN($B453,2)+5)</f>
        <v>1</v>
      </c>
      <c r="AG453" s="475">
        <f>INDEX(Input!$1:$1048576,AG$93,$C453*2+MIN($B453,2)+5)
+INDEX(Scenarios!AG$121:AG$200,MATCH($B453,Scenarios!$B$121:$B$200,0))</f>
        <v>0</v>
      </c>
      <c r="AH453" s="476">
        <f>INDEX(Input!$1:$1048576,AH$93,$C453*2+MIN($B453,2)+5)</f>
        <v>1</v>
      </c>
      <c r="AI453" s="475">
        <f>INDEX(Input!$1:$1048576,AI$93,$C453*2+MIN($B453,2)+5)
+INDEX(Scenarios!AI$121:AI$200,MATCH($B453,Scenarios!$B$121:$B$200,0))</f>
        <v>0</v>
      </c>
      <c r="AJ453" s="476">
        <f>INDEX(Input!$1:$1048576,AJ$93,$C453*2+MIN($B453,2)+5)</f>
        <v>0.35</v>
      </c>
      <c r="AK453" s="150">
        <f>ROUND(INDEX(Input!$1:$1048576,AK$93,$C452*2+MIN($B453,1)+5)+(Y453-VLOOKUP($C453*1000+1,$A:$HH,Y$92,FALSE)),0)</f>
        <v>4232</v>
      </c>
      <c r="AL453" s="150">
        <f>ROUND(INDEX(Input!$1:$1048576,AL$93,$C452*2+MIN($B453,1)+5)-(Y453-VLOOKUP($C453*1000+1,$A:$HH,Y$92,FALSE))/36,0)</f>
        <v>4753</v>
      </c>
      <c r="AM453" s="32" t="str">
        <f t="shared" si="1307"/>
        <v>std/std/std/std</v>
      </c>
      <c r="AN453" s="32" t="str">
        <f t="shared" si="1308"/>
        <v>$0 + 0/0/0/0/3.9</v>
      </c>
      <c r="AO453" s="32" t="str">
        <f t="shared" si="1309"/>
        <v>0/0/0/0/3.9</v>
      </c>
      <c r="AP453" s="32" t="str">
        <f t="shared" si="1386"/>
        <v>0/0/0/3.9</v>
      </c>
      <c r="AQ453" s="536">
        <f t="shared" si="1379"/>
        <v>0.41029295466959648</v>
      </c>
      <c r="AR453" s="32"/>
      <c r="AS453" s="302"/>
      <c r="AT453" s="3">
        <f t="shared" si="1330"/>
        <v>53</v>
      </c>
      <c r="AU453" s="41" t="s">
        <v>121</v>
      </c>
      <c r="AV453" s="41" t="s">
        <v>116</v>
      </c>
      <c r="AW453" s="41" t="str">
        <f>INDEX(Input!$1:$1048576,AW$93,$C453*2+6)</f>
        <v>Kia</v>
      </c>
      <c r="AX453" s="41" t="str">
        <f>INDEX(Input!$1:$1048576,AX$93,$C453*2+6)</f>
        <v>Kia-LR - R1</v>
      </c>
      <c r="AY453" s="41" t="str">
        <f>IF(LEN(D453)=0,"",INDEX(Input!$1:$1048576,AY$93,$C453*2+6))</f>
        <v>Compact Conventional/Sporty Car (43)</v>
      </c>
      <c r="AZ453" s="41" t="str">
        <f>INDEX(Input!$1:$1048576,AZ$93,$C453*2+6)</f>
        <v>Kia Forte</v>
      </c>
      <c r="BA453" s="3">
        <f>INDEX(Input!$1:$1048576,BA$93,$C453*2+6)</f>
        <v>2020</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19695</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387"/>
        <v>1560</v>
      </c>
      <c r="CJ453" s="16" t="str">
        <f>INDEX(Input!$1:$1048576,CJ$93,$C453*2+6)</f>
        <v>N</v>
      </c>
      <c r="CK453" s="1" t="str">
        <f t="shared" si="1388"/>
        <v>Market</v>
      </c>
      <c r="CL453" s="1" t="str">
        <f t="shared" si="1389"/>
        <v>Market</v>
      </c>
      <c r="CM453" s="1" t="str">
        <f t="shared" si="1390"/>
        <v>Market</v>
      </c>
      <c r="CN453" s="1" t="str">
        <f t="shared" si="1391"/>
        <v>Market</v>
      </c>
      <c r="CO453" s="1" t="str">
        <f t="shared" si="1392"/>
        <v>Market</v>
      </c>
      <c r="CP453" s="304">
        <f t="shared" si="1393"/>
        <v>0</v>
      </c>
      <c r="CQ453" s="1">
        <f t="shared" si="1394"/>
        <v>0</v>
      </c>
      <c r="CR453" s="1">
        <f t="shared" si="1395"/>
        <v>0</v>
      </c>
      <c r="CS453" s="1">
        <f t="shared" si="1396"/>
        <v>0</v>
      </c>
      <c r="CT453" s="1">
        <f t="shared" si="1397"/>
        <v>0</v>
      </c>
      <c r="CU453" s="1">
        <f t="shared" si="1398"/>
        <v>3.9E-2</v>
      </c>
      <c r="CV453" s="304">
        <f t="shared" si="1399"/>
        <v>-2577</v>
      </c>
      <c r="CW453" s="20" t="s">
        <v>122</v>
      </c>
      <c r="CX453" s="20" t="s">
        <v>122</v>
      </c>
      <c r="CY453" s="20" t="s">
        <v>122</v>
      </c>
      <c r="CZ453" s="20" t="s">
        <v>122</v>
      </c>
      <c r="DA453" s="20" t="s">
        <v>122</v>
      </c>
      <c r="DB453" s="503">
        <f t="shared" si="1400"/>
        <v>0</v>
      </c>
      <c r="DC453" s="127">
        <v>0</v>
      </c>
      <c r="DD453" s="127">
        <v>0</v>
      </c>
      <c r="DE453" s="127">
        <v>0</v>
      </c>
      <c r="DF453" s="127">
        <v>0</v>
      </c>
      <c r="DG453" s="127">
        <v>0</v>
      </c>
      <c r="DH453" s="127">
        <v>0</v>
      </c>
      <c r="DI453" s="127">
        <v>0</v>
      </c>
      <c r="DJ453" s="127">
        <v>0</v>
      </c>
      <c r="DK453" s="127">
        <v>0</v>
      </c>
      <c r="DL453" s="127">
        <v>0</v>
      </c>
      <c r="DM453" s="304">
        <f>INDEX(Input!$1:$1048576,DM$93,$C453*2+6)</f>
        <v>20731.578947368424</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4.4565231241169977E-2</v>
      </c>
      <c r="DZ453" s="7">
        <v>0</v>
      </c>
      <c r="EA453" s="7">
        <v>0.80371503586540405</v>
      </c>
      <c r="EB453" s="7">
        <v>0</v>
      </c>
      <c r="EC453" s="7">
        <v>0</v>
      </c>
      <c r="ED453" s="7">
        <v>0</v>
      </c>
      <c r="EE453" s="7">
        <v>0</v>
      </c>
      <c r="EF453" s="7">
        <v>0</v>
      </c>
      <c r="EG453" s="7">
        <v>0</v>
      </c>
      <c r="EH453" s="7">
        <v>5.8798815244296993E-3</v>
      </c>
      <c r="EI453" s="7">
        <v>9.4443788005894903E-3</v>
      </c>
      <c r="EJ453" s="7">
        <v>8.8602871300862043E-2</v>
      </c>
      <c r="EK453" s="7">
        <v>0.86815500716851035</v>
      </c>
      <c r="EL453" s="7">
        <v>2.7917861205608085E-2</v>
      </c>
      <c r="EM453" s="7">
        <v>6.358021010357609E-2</v>
      </c>
      <c r="EN453" s="7">
        <v>4.6404991124038564E-2</v>
      </c>
      <c r="EO453" s="7">
        <v>0.57158799236512092</v>
      </c>
      <c r="EP453" s="7">
        <v>0.26789936700095335</v>
      </c>
      <c r="EQ453" s="7">
        <v>6.8681899680201303E-2</v>
      </c>
      <c r="ER453" s="7">
        <v>4.542574982968544E-2</v>
      </c>
      <c r="ES453" s="7">
        <v>8.8139522789849878E-2</v>
      </c>
      <c r="ET453" s="7">
        <v>0.15171973289342591</v>
      </c>
      <c r="EU453" s="6">
        <v>1599.9999999999998</v>
      </c>
      <c r="EV453" s="6">
        <v>0</v>
      </c>
      <c r="EW453" s="6">
        <v>1599.9999999999998</v>
      </c>
      <c r="EX453" s="6">
        <v>0</v>
      </c>
      <c r="EY453" s="6">
        <v>3367.6042340965732</v>
      </c>
      <c r="EZ453" s="6">
        <v>-606</v>
      </c>
      <c r="FA453" s="6">
        <v>0</v>
      </c>
      <c r="FB453" s="6">
        <v>0</v>
      </c>
      <c r="FC453" s="6">
        <v>0</v>
      </c>
      <c r="FD453" s="6">
        <v>0</v>
      </c>
      <c r="FE453" s="6">
        <v>0</v>
      </c>
      <c r="FF453" s="6">
        <v>0</v>
      </c>
      <c r="FG453" s="6">
        <v>0</v>
      </c>
      <c r="FH453" s="6">
        <v>1153.2487142019663</v>
      </c>
      <c r="FI453" s="6">
        <v>1531.4299904380614</v>
      </c>
      <c r="FJ453" s="6">
        <v>2070.7205842538192</v>
      </c>
      <c r="FK453" s="6">
        <v>2635.3956133202923</v>
      </c>
      <c r="FL453" s="6">
        <v>893.91433563489386</v>
      </c>
      <c r="FM453" s="6">
        <v>2517.6042340965732</v>
      </c>
      <c r="FN453" s="6">
        <v>0</v>
      </c>
      <c r="FO453" s="6">
        <v>0</v>
      </c>
      <c r="FP453" s="6">
        <v>0</v>
      </c>
      <c r="FQ453" s="6">
        <v>0</v>
      </c>
      <c r="FR453" s="6">
        <v>0</v>
      </c>
      <c r="FS453" s="6">
        <v>0</v>
      </c>
      <c r="FT453" s="7">
        <v>0.848280267106574</v>
      </c>
      <c r="FU453" s="7">
        <v>6.358021010357609E-2</v>
      </c>
      <c r="FV453" s="7">
        <v>8.8139522789849878E-2</v>
      </c>
      <c r="FW453" s="6">
        <v>1600</v>
      </c>
      <c r="FX453" s="6">
        <v>3367.6042340965732</v>
      </c>
      <c r="FY453" s="6">
        <v>-606</v>
      </c>
      <c r="FZ453" s="6">
        <v>1695.8504614767719</v>
      </c>
      <c r="GA453" s="6">
        <v>1517.948861309422</v>
      </c>
      <c r="GB453" s="6">
        <v>18177.051138690578</v>
      </c>
      <c r="GC453" s="7">
        <v>8.1891069685915169E-2</v>
      </c>
      <c r="GD453" s="7">
        <v>8.0552626866771629E-2</v>
      </c>
      <c r="GE453" s="7"/>
      <c r="GF453" s="7"/>
      <c r="GG453" s="7">
        <v>-1.6344185321757312E-2</v>
      </c>
      <c r="GH453" s="42">
        <v>1.8094200929570281</v>
      </c>
      <c r="GI453" s="6">
        <v>12402.651687734662</v>
      </c>
      <c r="GJ453" s="14">
        <v>0.51074630601039539</v>
      </c>
      <c r="GK453" s="14">
        <v>0.50829519786160959</v>
      </c>
      <c r="GL453" s="14">
        <v>0.48925369398960422</v>
      </c>
      <c r="GM453" s="14">
        <v>0.49170480213839024</v>
      </c>
      <c r="GO453" s="5">
        <v>338.16872463277008</v>
      </c>
      <c r="GP453" s="5">
        <v>307.64377699166363</v>
      </c>
      <c r="GQ453" s="5">
        <v>527.27910984145694</v>
      </c>
      <c r="GR453" s="5">
        <v>404.20319246551543</v>
      </c>
      <c r="GS453" s="5">
        <v>334.50205195691484</v>
      </c>
      <c r="GT453" s="5">
        <v>289.18266033348181</v>
      </c>
      <c r="GU453" s="5">
        <v>254.29573314828914</v>
      </c>
      <c r="GV453" s="39" t="s">
        <v>392</v>
      </c>
      <c r="GW453" s="5">
        <v>468.76388888888891</v>
      </c>
      <c r="GX453" s="5">
        <v>351.57291666666669</v>
      </c>
      <c r="GY453" s="5">
        <v>281.25833333333333</v>
      </c>
      <c r="GZ453" s="5">
        <v>234.38194444444446</v>
      </c>
      <c r="HA453" s="5">
        <v>229.89195052129477</v>
      </c>
      <c r="HB453" s="39">
        <v>240.89491006753005</v>
      </c>
      <c r="HC453" s="5">
        <v>309.62812499999995</v>
      </c>
      <c r="HD453" s="5">
        <v>254.42143640350872</v>
      </c>
      <c r="HE453" s="5">
        <v>254.26724443319836</v>
      </c>
      <c r="HF453" s="5">
        <v>231.71692434210524</v>
      </c>
      <c r="HG453" s="5">
        <v>219.1899342105263</v>
      </c>
      <c r="HH453" s="39">
        <v>253.78218794214186</v>
      </c>
      <c r="HI453" s="16"/>
      <c r="HJ453" s="19" t="str">
        <f t="shared" si="1412"/>
        <v>On</v>
      </c>
      <c r="HK453" s="1" t="str">
        <f t="shared" si="1412"/>
        <v>On</v>
      </c>
      <c r="HL453" s="16"/>
      <c r="HM453" s="639">
        <f t="shared" si="1278"/>
        <v>6.6115095157691428E-2</v>
      </c>
      <c r="HN453" s="639">
        <f t="shared" si="1279"/>
        <v>2.3720927871164412E-3</v>
      </c>
      <c r="HO453" s="639">
        <f t="shared" si="1280"/>
        <v>7.7231033444443466E-3</v>
      </c>
      <c r="HP453" s="644">
        <f>(FT453*$GD453-HM453)/$JF453*INDEX(Input!$1:$1048576,$JG$93,$C453*2+6)</f>
        <v>54.057607717148599</v>
      </c>
      <c r="HQ453" s="644">
        <f>(FU453*$GD453-HN453)/$JF453*INDEX(Input!$1:$1048576,$JG$93,$C453*2+6)</f>
        <v>67.067666831206466</v>
      </c>
      <c r="HR453" s="644">
        <f>(FV453*$GD453-HO453)/$JF453*INDEX(Input!$1:$1048576,$JG$93,$C453*2+6)</f>
        <v>-15.202548076018315</v>
      </c>
      <c r="HS453" s="644">
        <f t="shared" si="1406"/>
        <v>-21.234543872771344</v>
      </c>
      <c r="HT453" s="644">
        <f t="shared" si="1282"/>
        <v>191.85885085785921</v>
      </c>
      <c r="HU453" s="644">
        <f t="shared" si="1283"/>
        <v>1.5188212328450581</v>
      </c>
      <c r="HV453" s="648">
        <f t="shared" si="1284"/>
        <v>0</v>
      </c>
      <c r="HW453" s="648">
        <f t="shared" si="1285"/>
        <v>0</v>
      </c>
      <c r="HX453" s="648">
        <f t="shared" si="1286"/>
        <v>0</v>
      </c>
      <c r="HY453" s="644">
        <f>INDEX(Input!$1:$1048576,HY$93,$C453*2+6)*INDEX(Input!$1:$1048576,$JG$93,$C453*2+6)</f>
        <v>844</v>
      </c>
      <c r="HZ453" s="644">
        <f>INDEX(Input!$1:$1048576,HZ$93,$C453*2+6)*INDEX(Input!$1:$1048576,$JG$93,$C453*2+6)</f>
        <v>865</v>
      </c>
      <c r="IA453" s="644">
        <f>INDEX(Input!$1:$1048576,IA$93,$C453*2+6)*INDEX(Input!$1:$1048576,$JG$93,$C453*2+6)</f>
        <v>150</v>
      </c>
      <c r="IB453" s="644">
        <f t="shared" si="1310"/>
        <v>876.8230638443772</v>
      </c>
      <c r="IC453" s="644">
        <f t="shared" si="1311"/>
        <v>1123.9265176890656</v>
      </c>
      <c r="ID453" s="644">
        <f>IF(AND(INDEX(Input!$1:$1048576,IA$93,$C453*2+7)="TOS",Y453&lt;=INDEX(Y:Y,MATCH(C453*1000+2,A:A))),0,1)*MAX(IA453+HR453+HU453+HX453,0%)</f>
        <v>136.31627315682675</v>
      </c>
      <c r="IE453" s="128">
        <f t="shared" si="1411"/>
        <v>0.41029295466959648</v>
      </c>
      <c r="IF453" s="128">
        <f t="shared" si="1383"/>
        <v>0.52592039464874574</v>
      </c>
      <c r="IG453" s="128">
        <f t="shared" si="1288"/>
        <v>6.3786650681657828E-2</v>
      </c>
      <c r="IH453" s="21"/>
      <c r="II453" s="19">
        <f t="shared" si="1289"/>
        <v>1199.9999999999998</v>
      </c>
      <c r="IJ453" s="19">
        <f t="shared" si="1290"/>
        <v>2195.4782357510435</v>
      </c>
      <c r="IK453" s="19">
        <f t="shared" si="1291"/>
        <v>-571</v>
      </c>
      <c r="IL453" s="19">
        <f t="shared" si="1313"/>
        <v>400.00000000000023</v>
      </c>
      <c r="IM453" s="19">
        <f t="shared" si="1292"/>
        <v>1172.1259983455298</v>
      </c>
      <c r="IN453" s="19">
        <f t="shared" si="1293"/>
        <v>-35</v>
      </c>
      <c r="IO453" s="39">
        <f t="shared" si="1294"/>
        <v>0</v>
      </c>
      <c r="IP453" s="39">
        <f t="shared" si="1295"/>
        <v>0</v>
      </c>
      <c r="IQ453" s="39">
        <f t="shared" si="1296"/>
        <v>0</v>
      </c>
      <c r="IR453" s="39">
        <v>0</v>
      </c>
      <c r="IS453" s="39">
        <v>0</v>
      </c>
      <c r="IT453" s="39">
        <v>0</v>
      </c>
      <c r="IU453" s="39">
        <v>0</v>
      </c>
      <c r="IV453" s="39">
        <v>0</v>
      </c>
      <c r="IW453" s="39">
        <v>0</v>
      </c>
      <c r="IX453" s="39">
        <f>INDEX(Input!$1:$1048576,IX$93,$C453*2+6)+INDEX(Input!$1:$1048576,IX$94,$C453*2+6)</f>
        <v>1600</v>
      </c>
      <c r="IY453" s="39">
        <f>INDEX(Input!$1:$1048576,IY$93,$C453*2+6)+INDEX(Input!$1:$1048576,IY$94,$C453*2+6)</f>
        <v>2503.549291639752</v>
      </c>
      <c r="IZ453" s="39">
        <f>INDEX(Input!$1:$1048576,IZ$93,$C453*2+6)+INDEX(Input!$1:$1048576,IZ$94,$C453*2+6)</f>
        <v>5413.7109265464023</v>
      </c>
      <c r="JA453" s="19">
        <f t="shared" si="1314"/>
        <v>2000.0000000000002</v>
      </c>
      <c r="JB453" s="19">
        <f t="shared" si="1315"/>
        <v>3675.6752899852818</v>
      </c>
      <c r="JC453" s="19">
        <f t="shared" si="1316"/>
        <v>5378.7109265464023</v>
      </c>
      <c r="JD453" s="19">
        <f t="shared" si="1317"/>
        <v>3096.7884634381267</v>
      </c>
      <c r="JE453" s="21"/>
      <c r="JF453" s="1">
        <f t="shared" si="1297"/>
        <v>7.6210291289252219E-2</v>
      </c>
      <c r="JG453" s="15">
        <f>INDEX(Input!$1:$1048576,JG$93,$C453*2+6)/(1+VLOOKUP(C453*1000+INDEX(Input!$1:$1048576,JG$93+1,$C453*2+6),$A:$KK,$JK$92,FALSE))</f>
        <v>1859</v>
      </c>
      <c r="JH453" s="1">
        <f t="shared" si="1318"/>
        <v>5.6978335918416757E-2</v>
      </c>
      <c r="JI453" s="1">
        <f t="shared" si="1319"/>
        <v>9.2599853802008025E-2</v>
      </c>
      <c r="JJ453" s="1">
        <f t="shared" si="1384"/>
        <v>0</v>
      </c>
      <c r="JK453" s="1">
        <f t="shared" si="1385"/>
        <v>0.14957818972042478</v>
      </c>
      <c r="JL453" s="15">
        <f t="shared" si="1322"/>
        <v>278.06585469026965</v>
      </c>
      <c r="JM453" s="15">
        <f t="shared" si="1348"/>
        <v>2137.0658546902696</v>
      </c>
      <c r="JN453" s="21"/>
      <c r="JO453" s="19">
        <f>INDEX(Input!$1:$1048576,JO$93,$C453*2+6)</f>
        <v>5908.5</v>
      </c>
      <c r="JP453" s="19">
        <f>INDEX(Input!$1:$1048576,JP$93,$C453*2+6)</f>
        <v>2328.1478086338602</v>
      </c>
      <c r="JQ453" s="39">
        <f t="shared" si="1334"/>
        <v>2811.7115365618733</v>
      </c>
      <c r="JR453" s="39">
        <f t="shared" si="1351"/>
        <v>768.64065480426643</v>
      </c>
      <c r="JS453" s="39">
        <f t="shared" si="1336"/>
        <v>6.618040884412367</v>
      </c>
      <c r="JT453" s="39">
        <f t="shared" si="1324"/>
        <v>2.2900141081620204</v>
      </c>
      <c r="JU453" s="385">
        <f>(JQ453*JM453-INDEX(Input!$1:$1048576,Input!A$18,$C453*2+6)*JL453*INDEX(Input!$1:$1048576,Input!A$19,$C453*2+6))/1000000</f>
        <v>6.0088127180250908</v>
      </c>
      <c r="JV453" s="39">
        <f t="shared" si="1358"/>
        <v>-0.64706200572456307</v>
      </c>
      <c r="JW453" s="1">
        <f t="shared" si="1349"/>
        <v>-9.7216674378756071E-2</v>
      </c>
      <c r="JX453" s="19">
        <f t="shared" si="1340"/>
        <v>8235.5099323964387</v>
      </c>
      <c r="JZ453" s="341"/>
      <c r="KA453" s="342"/>
      <c r="KB453" s="469">
        <f t="shared" si="1337"/>
        <v>2.3451977905499271</v>
      </c>
      <c r="KI453" s="473">
        <f t="shared" si="1408"/>
        <v>32.823063844377202</v>
      </c>
      <c r="KJ453" s="473">
        <f t="shared" si="1409"/>
        <v>258.9265176890658</v>
      </c>
      <c r="KK453" s="473">
        <f t="shared" si="1326"/>
        <v>-13.683726843173247</v>
      </c>
      <c r="KN453" s="544">
        <f t="shared" si="1341"/>
        <v>4002</v>
      </c>
      <c r="KO453" s="541">
        <f t="shared" si="1301"/>
        <v>6.9795415721866538E-2</v>
      </c>
      <c r="KP453" s="546">
        <f t="shared" si="1302"/>
        <v>383.06056820250831</v>
      </c>
      <c r="KQ453" s="546">
        <f t="shared" si="1303"/>
        <v>373.04490184013093</v>
      </c>
      <c r="KR453" s="548">
        <f t="shared" si="1304"/>
        <v>3.0922417935078803</v>
      </c>
      <c r="KS453" s="548">
        <f t="shared" si="1305"/>
        <v>3.1752636012388087</v>
      </c>
      <c r="KT453" s="473">
        <f t="shared" si="1339"/>
        <v>1050.27685337919</v>
      </c>
      <c r="KU453" s="663">
        <f t="shared" si="1327"/>
        <v>6.5809619917152506</v>
      </c>
      <c r="KV453" s="117"/>
    </row>
    <row r="454" spans="1:308" s="26" customFormat="1" ht="15" outlineLevel="1">
      <c r="A454" s="561">
        <f t="shared" si="1306"/>
        <v>4054</v>
      </c>
      <c r="B454" s="561">
        <f t="shared" si="1328"/>
        <v>54</v>
      </c>
      <c r="C454" s="561">
        <f t="shared" si="1329"/>
        <v>4</v>
      </c>
      <c r="D454" s="561" t="str">
        <f t="shared" si="1413"/>
        <v xml:space="preserve">0/0/0/3.9, -360 Lease, </v>
      </c>
      <c r="E454" s="475">
        <f>INDEX(Input!$1:$1048576,E$93,$C454*2+MIN($B454,2)+5)
+INDEX(Scenarios!E$121:E$200,MATCH($B454,Scenarios!$B$121:$B$200,0))</f>
        <v>1250</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63">
        <f>IFERROR(MAX(0,INDEX(Input!$1:$1048576,W$93,$C454*2+MIN($B454,2)+5)-0%,),"Market")</f>
        <v>3.9E-2</v>
      </c>
      <c r="X454" s="476" t="str">
        <f>INDEX(Input!$1:$1048576,X$93,$C454*2+MIN($B454,2)+5)</f>
        <v>Y</v>
      </c>
      <c r="Y454" s="475">
        <f>INDEX(Input!$1:$1048576,Y$93,$C454*2+MIN($B454,2)+5)
++INDEX(Scenarios!Y$121:Y$200,MATCH($B454,Scenarios!$B$121:$B$200,0))</f>
        <v>-2577</v>
      </c>
      <c r="Z454" s="477">
        <f>INDEX(Input!$1:$1048576,Z$93,$C454*2+MIN($B454,2)+5)
+INDEX(Scenarios!Z$121:Z$200,MATCH($B454,Scenarios!$B$121:$B$200,0))</f>
        <v>0</v>
      </c>
      <c r="AA454" s="475">
        <f>INDEX(Input!$1:$1048576,AA$93,$C454*2+MIN($B454,2)+5)</f>
        <v>0</v>
      </c>
      <c r="AB454" s="476">
        <f>INDEX(Input!$1:$1048576,AB$93,$C454*2+MIN($B454,2)+5)</f>
        <v>1</v>
      </c>
      <c r="AC454" s="475">
        <f>INDEX(Input!$1:$1048576,AC$93,$C454*2+MIN($B454,2)+5)
+INDEX(Scenarios!AC$121:AC$200,MATCH($B454,Scenarios!$B$121:$B$200,0))</f>
        <v>0</v>
      </c>
      <c r="AD454" s="476">
        <f>INDEX(Input!$1:$1048576,AD$93,$C454*2+MIN($B454,2)+5)</f>
        <v>0.35</v>
      </c>
      <c r="AE454" s="475">
        <f>INDEX(Input!$1:$1048576,AE$93,$C454*2+MIN($B454,2)+5)
+INDEX(Scenarios!AE$121:AE$200,MATCH($B454,Scenarios!$B$121:$B$200,0))</f>
        <v>0</v>
      </c>
      <c r="AF454" s="476">
        <f>INDEX(Input!$1:$1048576,AF$93,$C454*2+MIN($B454,2)+5)</f>
        <v>1</v>
      </c>
      <c r="AG454" s="475">
        <f>INDEX(Input!$1:$1048576,AG$93,$C454*2+MIN($B454,2)+5)
+INDEX(Scenarios!AG$121:AG$200,MATCH($B454,Scenarios!$B$121:$B$200,0))</f>
        <v>0</v>
      </c>
      <c r="AH454" s="476">
        <f>INDEX(Input!$1:$1048576,AH$93,$C454*2+MIN($B454,2)+5)</f>
        <v>1</v>
      </c>
      <c r="AI454" s="475">
        <f>INDEX(Input!$1:$1048576,AI$93,$C454*2+MIN($B454,2)+5)
+INDEX(Scenarios!AI$121:AI$200,MATCH($B454,Scenarios!$B$121:$B$200,0))</f>
        <v>0</v>
      </c>
      <c r="AJ454" s="476">
        <f>INDEX(Input!$1:$1048576,AJ$93,$C454*2+MIN($B454,2)+5)</f>
        <v>0.35</v>
      </c>
      <c r="AK454" s="150">
        <f>ROUND(INDEX(Input!$1:$1048576,AK$93,$C453*2+MIN($B454,1)+5)+(Y454-VLOOKUP($C454*1000+1,$A:$HH,Y$92,FALSE)),0)</f>
        <v>4232</v>
      </c>
      <c r="AL454" s="150">
        <f>ROUND(INDEX(Input!$1:$1048576,AL$93,$C453*2+MIN($B454,1)+5)-(Y454-VLOOKUP($C454*1000+1,$A:$HH,Y$92,FALSE))/36,0)</f>
        <v>4753</v>
      </c>
      <c r="AM454" s="32" t="str">
        <f t="shared" si="1307"/>
        <v>std/std/std/std</v>
      </c>
      <c r="AN454" s="32" t="str">
        <f t="shared" si="1308"/>
        <v>$0 + 0/0/0/0/3.9</v>
      </c>
      <c r="AO454" s="32" t="str">
        <f t="shared" si="1309"/>
        <v>0/0/0/0/3.9</v>
      </c>
      <c r="AP454" s="32" t="str">
        <f t="shared" si="1386"/>
        <v>0/0/0/3.9</v>
      </c>
      <c r="AQ454" s="536">
        <f t="shared" si="1379"/>
        <v>0.41029295466959648</v>
      </c>
      <c r="AR454" s="32"/>
      <c r="AS454" s="302"/>
      <c r="AT454" s="3">
        <f t="shared" si="1330"/>
        <v>54</v>
      </c>
      <c r="AU454" s="41" t="s">
        <v>121</v>
      </c>
      <c r="AV454" s="41" t="s">
        <v>116</v>
      </c>
      <c r="AW454" s="41" t="str">
        <f>INDEX(Input!$1:$1048576,AW$93,$C454*2+6)</f>
        <v>Kia</v>
      </c>
      <c r="AX454" s="41" t="str">
        <f>INDEX(Input!$1:$1048576,AX$93,$C454*2+6)</f>
        <v>Kia-LR - R1</v>
      </c>
      <c r="AY454" s="41" t="str">
        <f>IF(LEN(D454)=0,"",INDEX(Input!$1:$1048576,AY$93,$C454*2+6))</f>
        <v>Compact Conventional/Sporty Car (43)</v>
      </c>
      <c r="AZ454" s="41" t="str">
        <f>INDEX(Input!$1:$1048576,AZ$93,$C454*2+6)</f>
        <v>Kia Forte</v>
      </c>
      <c r="BA454" s="3">
        <f>INDEX(Input!$1:$1048576,BA$93,$C454*2+6)</f>
        <v>2020</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19695</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387"/>
        <v>1560</v>
      </c>
      <c r="CJ454" s="16" t="str">
        <f>INDEX(Input!$1:$1048576,CJ$93,$C454*2+6)</f>
        <v>N</v>
      </c>
      <c r="CK454" s="1" t="str">
        <f t="shared" si="1388"/>
        <v>Market</v>
      </c>
      <c r="CL454" s="1" t="str">
        <f t="shared" si="1389"/>
        <v>Market</v>
      </c>
      <c r="CM454" s="1" t="str">
        <f t="shared" si="1390"/>
        <v>Market</v>
      </c>
      <c r="CN454" s="1" t="str">
        <f t="shared" si="1391"/>
        <v>Market</v>
      </c>
      <c r="CO454" s="1" t="str">
        <f t="shared" si="1392"/>
        <v>Market</v>
      </c>
      <c r="CP454" s="304">
        <f t="shared" si="1393"/>
        <v>0</v>
      </c>
      <c r="CQ454" s="1">
        <f t="shared" si="1394"/>
        <v>0</v>
      </c>
      <c r="CR454" s="1">
        <f t="shared" si="1395"/>
        <v>0</v>
      </c>
      <c r="CS454" s="1">
        <f t="shared" si="1396"/>
        <v>0</v>
      </c>
      <c r="CT454" s="1">
        <f t="shared" si="1397"/>
        <v>0</v>
      </c>
      <c r="CU454" s="1">
        <f t="shared" si="1398"/>
        <v>3.9E-2</v>
      </c>
      <c r="CV454" s="304">
        <f t="shared" si="1399"/>
        <v>-2577</v>
      </c>
      <c r="CW454" s="20" t="s">
        <v>122</v>
      </c>
      <c r="CX454" s="20" t="s">
        <v>122</v>
      </c>
      <c r="CY454" s="20" t="s">
        <v>122</v>
      </c>
      <c r="CZ454" s="20" t="s">
        <v>122</v>
      </c>
      <c r="DA454" s="20" t="s">
        <v>122</v>
      </c>
      <c r="DB454" s="503">
        <f t="shared" si="1400"/>
        <v>0</v>
      </c>
      <c r="DC454" s="127">
        <v>0</v>
      </c>
      <c r="DD454" s="127">
        <v>0</v>
      </c>
      <c r="DE454" s="127">
        <v>0</v>
      </c>
      <c r="DF454" s="127">
        <v>0</v>
      </c>
      <c r="DG454" s="127">
        <v>0</v>
      </c>
      <c r="DH454" s="127">
        <v>0</v>
      </c>
      <c r="DI454" s="127">
        <v>0</v>
      </c>
      <c r="DJ454" s="127">
        <v>0</v>
      </c>
      <c r="DK454" s="127">
        <v>0</v>
      </c>
      <c r="DL454" s="127">
        <v>0</v>
      </c>
      <c r="DM454" s="304">
        <f>INDEX(Input!$1:$1048576,DM$93,$C454*2+6)</f>
        <v>20731.578947368424</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4.4565231241169977E-2</v>
      </c>
      <c r="DZ454" s="7">
        <v>0</v>
      </c>
      <c r="EA454" s="7">
        <v>0.80371503586540405</v>
      </c>
      <c r="EB454" s="7">
        <v>0</v>
      </c>
      <c r="EC454" s="7">
        <v>0</v>
      </c>
      <c r="ED454" s="7">
        <v>0</v>
      </c>
      <c r="EE454" s="7">
        <v>0</v>
      </c>
      <c r="EF454" s="7">
        <v>0</v>
      </c>
      <c r="EG454" s="7">
        <v>0</v>
      </c>
      <c r="EH454" s="7">
        <v>5.8798815244296993E-3</v>
      </c>
      <c r="EI454" s="7">
        <v>9.4443788005894903E-3</v>
      </c>
      <c r="EJ454" s="7">
        <v>8.8602871300862043E-2</v>
      </c>
      <c r="EK454" s="7">
        <v>0.86815500716851035</v>
      </c>
      <c r="EL454" s="7">
        <v>2.7917861205608085E-2</v>
      </c>
      <c r="EM454" s="7">
        <v>6.358021010357609E-2</v>
      </c>
      <c r="EN454" s="7">
        <v>4.6404991124038564E-2</v>
      </c>
      <c r="EO454" s="7">
        <v>0.57158799236512092</v>
      </c>
      <c r="EP454" s="7">
        <v>0.26789936700095335</v>
      </c>
      <c r="EQ454" s="7">
        <v>6.8681899680201303E-2</v>
      </c>
      <c r="ER454" s="7">
        <v>4.542574982968544E-2</v>
      </c>
      <c r="ES454" s="7">
        <v>8.8139522789849878E-2</v>
      </c>
      <c r="ET454" s="7">
        <v>0.15171973289342591</v>
      </c>
      <c r="EU454" s="6">
        <v>1599.9999999999998</v>
      </c>
      <c r="EV454" s="6">
        <v>0</v>
      </c>
      <c r="EW454" s="6">
        <v>1599.9999999999998</v>
      </c>
      <c r="EX454" s="6">
        <v>0</v>
      </c>
      <c r="EY454" s="6">
        <v>3367.6042340965732</v>
      </c>
      <c r="EZ454" s="6">
        <v>-606</v>
      </c>
      <c r="FA454" s="6">
        <v>0</v>
      </c>
      <c r="FB454" s="6">
        <v>0</v>
      </c>
      <c r="FC454" s="6">
        <v>0</v>
      </c>
      <c r="FD454" s="6">
        <v>0</v>
      </c>
      <c r="FE454" s="6">
        <v>0</v>
      </c>
      <c r="FF454" s="6">
        <v>0</v>
      </c>
      <c r="FG454" s="6">
        <v>0</v>
      </c>
      <c r="FH454" s="6">
        <v>1153.2487142019663</v>
      </c>
      <c r="FI454" s="6">
        <v>1531.4299904380614</v>
      </c>
      <c r="FJ454" s="6">
        <v>2070.7205842538192</v>
      </c>
      <c r="FK454" s="6">
        <v>2635.3956133202923</v>
      </c>
      <c r="FL454" s="6">
        <v>893.91433563489386</v>
      </c>
      <c r="FM454" s="6">
        <v>2517.6042340965732</v>
      </c>
      <c r="FN454" s="6">
        <v>0</v>
      </c>
      <c r="FO454" s="6">
        <v>0</v>
      </c>
      <c r="FP454" s="6">
        <v>0</v>
      </c>
      <c r="FQ454" s="6">
        <v>0</v>
      </c>
      <c r="FR454" s="6">
        <v>0</v>
      </c>
      <c r="FS454" s="6">
        <v>0</v>
      </c>
      <c r="FT454" s="7">
        <v>0.848280267106574</v>
      </c>
      <c r="FU454" s="7">
        <v>6.358021010357609E-2</v>
      </c>
      <c r="FV454" s="7">
        <v>8.8139522789849878E-2</v>
      </c>
      <c r="FW454" s="6">
        <v>1600</v>
      </c>
      <c r="FX454" s="6">
        <v>3367.6042340965732</v>
      </c>
      <c r="FY454" s="6">
        <v>-606</v>
      </c>
      <c r="FZ454" s="6">
        <v>1695.8504614767719</v>
      </c>
      <c r="GA454" s="6">
        <v>1517.948861309422</v>
      </c>
      <c r="GB454" s="6">
        <v>18177.051138690578</v>
      </c>
      <c r="GC454" s="7">
        <v>8.1891069685915169E-2</v>
      </c>
      <c r="GD454" s="7">
        <v>8.0552626866771629E-2</v>
      </c>
      <c r="GE454" s="7"/>
      <c r="GF454" s="7"/>
      <c r="GG454" s="7">
        <v>-1.6344185321757312E-2</v>
      </c>
      <c r="GH454" s="42">
        <v>1.8094200929570281</v>
      </c>
      <c r="GI454" s="6">
        <v>12402.651687734662</v>
      </c>
      <c r="GJ454" s="14">
        <v>0.51074630601039539</v>
      </c>
      <c r="GK454" s="14">
        <v>0.50829519786160959</v>
      </c>
      <c r="GL454" s="14">
        <v>0.48925369398960422</v>
      </c>
      <c r="GM454" s="14">
        <v>0.49170480213839024</v>
      </c>
      <c r="GO454" s="5">
        <v>338.16872463277008</v>
      </c>
      <c r="GP454" s="5">
        <v>307.64377699166363</v>
      </c>
      <c r="GQ454" s="5">
        <v>527.27910984145694</v>
      </c>
      <c r="GR454" s="5">
        <v>404.20319246551543</v>
      </c>
      <c r="GS454" s="5">
        <v>334.50205195691484</v>
      </c>
      <c r="GT454" s="5">
        <v>289.18266033348181</v>
      </c>
      <c r="GU454" s="5">
        <v>254.29573314828914</v>
      </c>
      <c r="GV454" s="39" t="s">
        <v>392</v>
      </c>
      <c r="GW454" s="5">
        <v>468.76388888888891</v>
      </c>
      <c r="GX454" s="5">
        <v>351.57291666666669</v>
      </c>
      <c r="GY454" s="5">
        <v>281.25833333333333</v>
      </c>
      <c r="GZ454" s="5">
        <v>234.38194444444446</v>
      </c>
      <c r="HA454" s="5">
        <v>229.89195052129477</v>
      </c>
      <c r="HB454" s="39">
        <v>240.89491006753005</v>
      </c>
      <c r="HC454" s="5">
        <v>309.62812499999995</v>
      </c>
      <c r="HD454" s="5">
        <v>254.42143640350872</v>
      </c>
      <c r="HE454" s="5">
        <v>254.26724443319836</v>
      </c>
      <c r="HF454" s="5">
        <v>231.71692434210524</v>
      </c>
      <c r="HG454" s="5">
        <v>219.1899342105263</v>
      </c>
      <c r="HH454" s="39">
        <v>253.78218794214186</v>
      </c>
      <c r="HI454" s="16"/>
      <c r="HJ454" s="19" t="str">
        <f t="shared" si="1412"/>
        <v>On</v>
      </c>
      <c r="HK454" s="1" t="str">
        <f t="shared" si="1412"/>
        <v>On</v>
      </c>
      <c r="HL454" s="16"/>
      <c r="HM454" s="639">
        <f t="shared" si="1278"/>
        <v>6.6115095157691428E-2</v>
      </c>
      <c r="HN454" s="639">
        <f t="shared" si="1279"/>
        <v>2.3720927871164412E-3</v>
      </c>
      <c r="HO454" s="639">
        <f t="shared" si="1280"/>
        <v>7.7231033444443466E-3</v>
      </c>
      <c r="HP454" s="644">
        <f>(FT454*$GD454-HM454)/$JF454*INDEX(Input!$1:$1048576,$JG$93,$C454*2+6)</f>
        <v>54.057607717148599</v>
      </c>
      <c r="HQ454" s="644">
        <f>(FU454*$GD454-HN454)/$JF454*INDEX(Input!$1:$1048576,$JG$93,$C454*2+6)</f>
        <v>67.067666831206466</v>
      </c>
      <c r="HR454" s="644">
        <f>(FV454*$GD454-HO454)/$JF454*INDEX(Input!$1:$1048576,$JG$93,$C454*2+6)</f>
        <v>-15.202548076018315</v>
      </c>
      <c r="HS454" s="644">
        <f t="shared" si="1406"/>
        <v>-21.234543872771344</v>
      </c>
      <c r="HT454" s="644">
        <f t="shared" si="1282"/>
        <v>191.85885085785921</v>
      </c>
      <c r="HU454" s="644">
        <f t="shared" si="1283"/>
        <v>1.5188212328450581</v>
      </c>
      <c r="HV454" s="648">
        <f t="shared" si="1284"/>
        <v>0</v>
      </c>
      <c r="HW454" s="648">
        <f t="shared" si="1285"/>
        <v>0</v>
      </c>
      <c r="HX454" s="648">
        <f t="shared" si="1286"/>
        <v>0</v>
      </c>
      <c r="HY454" s="644">
        <f>INDEX(Input!$1:$1048576,HY$93,$C454*2+6)*INDEX(Input!$1:$1048576,$JG$93,$C454*2+6)</f>
        <v>844</v>
      </c>
      <c r="HZ454" s="644">
        <f>INDEX(Input!$1:$1048576,HZ$93,$C454*2+6)*INDEX(Input!$1:$1048576,$JG$93,$C454*2+6)</f>
        <v>865</v>
      </c>
      <c r="IA454" s="644">
        <f>INDEX(Input!$1:$1048576,IA$93,$C454*2+6)*INDEX(Input!$1:$1048576,$JG$93,$C454*2+6)</f>
        <v>150</v>
      </c>
      <c r="IB454" s="644">
        <f t="shared" si="1310"/>
        <v>876.8230638443772</v>
      </c>
      <c r="IC454" s="644">
        <f t="shared" si="1311"/>
        <v>1123.9265176890656</v>
      </c>
      <c r="ID454" s="644">
        <f>IF(AND(INDEX(Input!$1:$1048576,IA$93,$C454*2+7)="TOS",Y454&lt;=INDEX(Y:Y,MATCH(C454*1000+2,A:A))),0,1)*MAX(IA454+HR454+HU454+HX454,0%)</f>
        <v>136.31627315682675</v>
      </c>
      <c r="IE454" s="128">
        <f t="shared" si="1411"/>
        <v>0.41029295466959648</v>
      </c>
      <c r="IF454" s="128">
        <f t="shared" si="1383"/>
        <v>0.52592039464874574</v>
      </c>
      <c r="IG454" s="128">
        <f t="shared" si="1288"/>
        <v>6.3786650681657828E-2</v>
      </c>
      <c r="IH454" s="21"/>
      <c r="II454" s="19">
        <f t="shared" si="1289"/>
        <v>1199.9999999999998</v>
      </c>
      <c r="IJ454" s="19">
        <f t="shared" si="1290"/>
        <v>2195.4782357510435</v>
      </c>
      <c r="IK454" s="19">
        <f t="shared" si="1291"/>
        <v>-571</v>
      </c>
      <c r="IL454" s="19">
        <f t="shared" si="1313"/>
        <v>400.00000000000023</v>
      </c>
      <c r="IM454" s="19">
        <f t="shared" si="1292"/>
        <v>1172.1259983455298</v>
      </c>
      <c r="IN454" s="19">
        <f t="shared" si="1293"/>
        <v>-35</v>
      </c>
      <c r="IO454" s="39">
        <f t="shared" si="1294"/>
        <v>0</v>
      </c>
      <c r="IP454" s="39">
        <f t="shared" si="1295"/>
        <v>0</v>
      </c>
      <c r="IQ454" s="39">
        <f t="shared" si="1296"/>
        <v>0</v>
      </c>
      <c r="IR454" s="39">
        <v>0</v>
      </c>
      <c r="IS454" s="39">
        <v>0</v>
      </c>
      <c r="IT454" s="39">
        <v>0</v>
      </c>
      <c r="IU454" s="39">
        <v>0</v>
      </c>
      <c r="IV454" s="39">
        <v>0</v>
      </c>
      <c r="IW454" s="39">
        <v>0</v>
      </c>
      <c r="IX454" s="39">
        <f>INDEX(Input!$1:$1048576,IX$93,$C454*2+6)+INDEX(Input!$1:$1048576,IX$94,$C454*2+6)</f>
        <v>1600</v>
      </c>
      <c r="IY454" s="39">
        <f>INDEX(Input!$1:$1048576,IY$93,$C454*2+6)+INDEX(Input!$1:$1048576,IY$94,$C454*2+6)</f>
        <v>2503.549291639752</v>
      </c>
      <c r="IZ454" s="39">
        <f>INDEX(Input!$1:$1048576,IZ$93,$C454*2+6)+INDEX(Input!$1:$1048576,IZ$94,$C454*2+6)</f>
        <v>5413.7109265464023</v>
      </c>
      <c r="JA454" s="19">
        <f t="shared" si="1314"/>
        <v>2000.0000000000002</v>
      </c>
      <c r="JB454" s="19">
        <f t="shared" si="1315"/>
        <v>3675.6752899852818</v>
      </c>
      <c r="JC454" s="19">
        <f t="shared" si="1316"/>
        <v>5378.7109265464023</v>
      </c>
      <c r="JD454" s="19">
        <f t="shared" si="1317"/>
        <v>3096.7884634381267</v>
      </c>
      <c r="JE454" s="21"/>
      <c r="JF454" s="1">
        <f t="shared" si="1297"/>
        <v>7.6210291289252219E-2</v>
      </c>
      <c r="JG454" s="15">
        <f>INDEX(Input!$1:$1048576,JG$93,$C454*2+6)/(1+VLOOKUP(C454*1000+INDEX(Input!$1:$1048576,JG$93+1,$C454*2+6),$A:$KK,$JK$92,FALSE))</f>
        <v>1859</v>
      </c>
      <c r="JH454" s="1">
        <f t="shared" si="1318"/>
        <v>5.6978335918416757E-2</v>
      </c>
      <c r="JI454" s="1">
        <f t="shared" si="1319"/>
        <v>9.2599853802008025E-2</v>
      </c>
      <c r="JJ454" s="1">
        <f t="shared" si="1384"/>
        <v>0</v>
      </c>
      <c r="JK454" s="1">
        <f t="shared" si="1385"/>
        <v>0.14957818972042478</v>
      </c>
      <c r="JL454" s="15">
        <f t="shared" si="1322"/>
        <v>278.06585469026965</v>
      </c>
      <c r="JM454" s="15">
        <f t="shared" si="1348"/>
        <v>2137.0658546902696</v>
      </c>
      <c r="JN454" s="21"/>
      <c r="JO454" s="19">
        <f>INDEX(Input!$1:$1048576,JO$93,$C454*2+6)</f>
        <v>5908.5</v>
      </c>
      <c r="JP454" s="19">
        <f>INDEX(Input!$1:$1048576,JP$93,$C454*2+6)</f>
        <v>2328.1478086338602</v>
      </c>
      <c r="JQ454" s="39">
        <f t="shared" si="1334"/>
        <v>2811.7115365618733</v>
      </c>
      <c r="JR454" s="39">
        <f t="shared" si="1351"/>
        <v>768.64065480426643</v>
      </c>
      <c r="JS454" s="39">
        <f t="shared" si="1336"/>
        <v>6.618040884412367</v>
      </c>
      <c r="JT454" s="39">
        <f t="shared" si="1324"/>
        <v>2.2900141081620204</v>
      </c>
      <c r="JU454" s="385">
        <f>(JQ454*JM454-INDEX(Input!$1:$1048576,Input!A$18,$C454*2+6)*JL454*INDEX(Input!$1:$1048576,Input!A$19,$C454*2+6))/1000000</f>
        <v>6.0088127180250908</v>
      </c>
      <c r="JV454" s="39">
        <f t="shared" si="1358"/>
        <v>-0.64706200572456307</v>
      </c>
      <c r="JW454" s="1">
        <f t="shared" si="1349"/>
        <v>-9.7216674378756071E-2</v>
      </c>
      <c r="JX454" s="19">
        <f t="shared" si="1340"/>
        <v>8235.5099323964387</v>
      </c>
      <c r="JZ454" s="341"/>
      <c r="KA454" s="342"/>
      <c r="KB454" s="469">
        <f t="shared" si="1337"/>
        <v>2.3451977905499271</v>
      </c>
      <c r="KI454" s="473">
        <f t="shared" si="1408"/>
        <v>32.823063844377202</v>
      </c>
      <c r="KJ454" s="473">
        <f t="shared" si="1409"/>
        <v>258.9265176890658</v>
      </c>
      <c r="KK454" s="473">
        <f t="shared" si="1326"/>
        <v>-13.683726843173247</v>
      </c>
      <c r="KN454" s="544">
        <f t="shared" si="1341"/>
        <v>4002</v>
      </c>
      <c r="KO454" s="541">
        <f t="shared" si="1301"/>
        <v>6.9795415721866538E-2</v>
      </c>
      <c r="KP454" s="546">
        <f t="shared" si="1302"/>
        <v>383.06056820250831</v>
      </c>
      <c r="KQ454" s="546">
        <f t="shared" si="1303"/>
        <v>373.04490184013093</v>
      </c>
      <c r="KR454" s="548">
        <f t="shared" si="1304"/>
        <v>3.0922417935078803</v>
      </c>
      <c r="KS454" s="548">
        <f t="shared" si="1305"/>
        <v>3.1752636012388087</v>
      </c>
      <c r="KT454" s="473">
        <f t="shared" si="1339"/>
        <v>1050.27685337919</v>
      </c>
      <c r="KU454" s="663">
        <f t="shared" si="1327"/>
        <v>6.5809629917152508</v>
      </c>
      <c r="KV454" s="117"/>
    </row>
    <row r="455" spans="1:308" s="26" customFormat="1" ht="15" outlineLevel="1">
      <c r="A455" s="561">
        <f t="shared" si="1306"/>
        <v>4055</v>
      </c>
      <c r="B455" s="561">
        <f t="shared" si="1328"/>
        <v>55</v>
      </c>
      <c r="C455" s="561">
        <f t="shared" si="1329"/>
        <v>4</v>
      </c>
      <c r="D455" s="561" t="str">
        <f t="shared" si="1413"/>
        <v xml:space="preserve">500 CC, 500 Combo, 360 Lease, </v>
      </c>
      <c r="E455" s="475">
        <f>INDEX(Input!$1:$1048576,E$93,$C455*2+MIN($B455,2)+5)
+INDEX(Scenarios!E$121:E$200,MATCH($B455,Scenarios!$B$121:$B$200,0))</f>
        <v>1750</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1.8999999999999996E-2</v>
      </c>
      <c r="W455" s="863">
        <f>IFERROR(MAX(0,INDEX(Input!$1:$1048576,W$93,$C455*2+MIN($B455,2)+5)-0%,),"Market")</f>
        <v>3.9E-2</v>
      </c>
      <c r="X455" s="476" t="str">
        <f>INDEX(Input!$1:$1048576,X$93,$C455*2+MIN($B455,2)+5)</f>
        <v>Y</v>
      </c>
      <c r="Y455" s="475">
        <f>INDEX(Input!$1:$1048576,Y$93,$C455*2+MIN($B455,2)+5)
++INDEX(Scenarios!Y$121:Y$200,MATCH($B455,Scenarios!$B$121:$B$200,0))</f>
        <v>-1857</v>
      </c>
      <c r="Z455" s="477">
        <f>INDEX(Input!$1:$1048576,Z$93,$C455*2+MIN($B455,2)+5)
+INDEX(Scenarios!Z$121:Z$200,MATCH($B455,Scenarios!$B$121:$B$200,0))</f>
        <v>0</v>
      </c>
      <c r="AA455" s="475">
        <f>INDEX(Input!$1:$1048576,AA$93,$C455*2+MIN($B455,2)+5)</f>
        <v>0</v>
      </c>
      <c r="AB455" s="476">
        <f>INDEX(Input!$1:$1048576,AB$93,$C455*2+MIN($B455,2)+5)</f>
        <v>1</v>
      </c>
      <c r="AC455" s="475">
        <f>INDEX(Input!$1:$1048576,AC$93,$C455*2+MIN($B455,2)+5)
+INDEX(Scenarios!AC$121:AC$200,MATCH($B455,Scenarios!$B$121:$B$200,0))</f>
        <v>0</v>
      </c>
      <c r="AD455" s="476">
        <f>INDEX(Input!$1:$1048576,AD$93,$C455*2+MIN($B455,2)+5)</f>
        <v>0.35</v>
      </c>
      <c r="AE455" s="475">
        <f>INDEX(Input!$1:$1048576,AE$93,$C455*2+MIN($B455,2)+5)
+INDEX(Scenarios!AE$121:AE$200,MATCH($B455,Scenarios!$B$121:$B$200,0))</f>
        <v>0</v>
      </c>
      <c r="AF455" s="476">
        <f>INDEX(Input!$1:$1048576,AF$93,$C455*2+MIN($B455,2)+5)</f>
        <v>1</v>
      </c>
      <c r="AG455" s="475">
        <f>INDEX(Input!$1:$1048576,AG$93,$C455*2+MIN($B455,2)+5)
+INDEX(Scenarios!AG$121:AG$200,MATCH($B455,Scenarios!$B$121:$B$200,0))</f>
        <v>0</v>
      </c>
      <c r="AH455" s="476">
        <f>INDEX(Input!$1:$1048576,AH$93,$C455*2+MIN($B455,2)+5)</f>
        <v>1</v>
      </c>
      <c r="AI455" s="475">
        <f>INDEX(Input!$1:$1048576,AI$93,$C455*2+MIN($B455,2)+5)
+INDEX(Scenarios!AI$121:AI$200,MATCH($B455,Scenarios!$B$121:$B$200,0))</f>
        <v>0</v>
      </c>
      <c r="AJ455" s="476">
        <f>INDEX(Input!$1:$1048576,AJ$93,$C455*2+MIN($B455,2)+5)</f>
        <v>0.35</v>
      </c>
      <c r="AK455" s="150">
        <f>ROUND(INDEX(Input!$1:$1048576,AK$93,$C454*2+MIN($B455,1)+5)+(Y455-VLOOKUP($C455*1000+1,$A:$HH,Y$92,FALSE)),0)</f>
        <v>4952</v>
      </c>
      <c r="AL455" s="150">
        <f>ROUND(INDEX(Input!$1:$1048576,AL$93,$C454*2+MIN($B455,1)+5)-(Y455-VLOOKUP($C455*1000+1,$A:$HH,Y$92,FALSE))/36,0)</f>
        <v>4733</v>
      </c>
      <c r="AM455" s="32" t="str">
        <f t="shared" si="1307"/>
        <v>std/std/std/std</v>
      </c>
      <c r="AN455" s="32" t="str">
        <f t="shared" si="1308"/>
        <v>$500 + 0/0/0/1.9/3.9</v>
      </c>
      <c r="AO455" s="32" t="str">
        <f t="shared" si="1309"/>
        <v>0/0/0/1.9/3.9</v>
      </c>
      <c r="AP455" s="32" t="str">
        <f t="shared" si="1386"/>
        <v>0/0.9/1.9/3.9</v>
      </c>
      <c r="AQ455" s="536">
        <f t="shared" si="1379"/>
        <v>0.45304745019963044</v>
      </c>
      <c r="AR455" s="32"/>
      <c r="AS455" s="302"/>
      <c r="AT455" s="3">
        <f t="shared" si="1330"/>
        <v>55</v>
      </c>
      <c r="AU455" s="41" t="s">
        <v>121</v>
      </c>
      <c r="AV455" s="41" t="s">
        <v>116</v>
      </c>
      <c r="AW455" s="41" t="str">
        <f>INDEX(Input!$1:$1048576,AW$93,$C455*2+6)</f>
        <v>Kia</v>
      </c>
      <c r="AX455" s="41" t="str">
        <f>INDEX(Input!$1:$1048576,AX$93,$C455*2+6)</f>
        <v>Kia-LR - R1</v>
      </c>
      <c r="AY455" s="41" t="str">
        <f>IF(LEN(D455)=0,"",INDEX(Input!$1:$1048576,AY$93,$C455*2+6))</f>
        <v>Compact Conventional/Sporty Car (43)</v>
      </c>
      <c r="AZ455" s="41" t="str">
        <f>INDEX(Input!$1:$1048576,AZ$93,$C455*2+6)</f>
        <v>Kia Forte</v>
      </c>
      <c r="BA455" s="3">
        <f>INDEX(Input!$1:$1048576,BA$93,$C455*2+6)</f>
        <v>2020</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19695</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387"/>
        <v>2060</v>
      </c>
      <c r="CJ455" s="16" t="str">
        <f>INDEX(Input!$1:$1048576,CJ$93,$C455*2+6)</f>
        <v>N</v>
      </c>
      <c r="CK455" s="1" t="str">
        <f t="shared" si="1388"/>
        <v>Market</v>
      </c>
      <c r="CL455" s="1" t="str">
        <f t="shared" si="1389"/>
        <v>Market</v>
      </c>
      <c r="CM455" s="1" t="str">
        <f t="shared" si="1390"/>
        <v>Market</v>
      </c>
      <c r="CN455" s="1" t="str">
        <f t="shared" si="1391"/>
        <v>Market</v>
      </c>
      <c r="CO455" s="1" t="str">
        <f t="shared" si="1392"/>
        <v>Market</v>
      </c>
      <c r="CP455" s="304">
        <f t="shared" si="1393"/>
        <v>500</v>
      </c>
      <c r="CQ455" s="1">
        <f t="shared" si="1394"/>
        <v>0</v>
      </c>
      <c r="CR455" s="1">
        <f t="shared" si="1395"/>
        <v>0</v>
      </c>
      <c r="CS455" s="1">
        <f t="shared" si="1396"/>
        <v>0</v>
      </c>
      <c r="CT455" s="1">
        <f t="shared" si="1397"/>
        <v>1.8999999999999996E-2</v>
      </c>
      <c r="CU455" s="1">
        <f t="shared" si="1398"/>
        <v>3.9E-2</v>
      </c>
      <c r="CV455" s="304">
        <f t="shared" si="1399"/>
        <v>-1857</v>
      </c>
      <c r="CW455" s="20" t="s">
        <v>122</v>
      </c>
      <c r="CX455" s="20" t="s">
        <v>122</v>
      </c>
      <c r="CY455" s="20" t="s">
        <v>122</v>
      </c>
      <c r="CZ455" s="20" t="s">
        <v>122</v>
      </c>
      <c r="DA455" s="20" t="s">
        <v>122</v>
      </c>
      <c r="DB455" s="503">
        <f t="shared" si="1400"/>
        <v>0</v>
      </c>
      <c r="DC455" s="127">
        <v>0</v>
      </c>
      <c r="DD455" s="127">
        <v>0</v>
      </c>
      <c r="DE455" s="127">
        <v>0</v>
      </c>
      <c r="DF455" s="127">
        <v>0</v>
      </c>
      <c r="DG455" s="127">
        <v>0</v>
      </c>
      <c r="DH455" s="127">
        <v>0</v>
      </c>
      <c r="DI455" s="127">
        <v>0</v>
      </c>
      <c r="DJ455" s="127">
        <v>0</v>
      </c>
      <c r="DK455" s="127">
        <v>0</v>
      </c>
      <c r="DL455" s="127">
        <v>0</v>
      </c>
      <c r="DM455" s="304">
        <f>INDEX(Input!$1:$1048576,DM$93,$C455*2+6)</f>
        <v>20731.578947368424</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4.6337800979786757E-2</v>
      </c>
      <c r="DZ455" s="7">
        <v>0</v>
      </c>
      <c r="EA455" s="7">
        <v>0.82878842999658708</v>
      </c>
      <c r="EB455" s="7">
        <v>0</v>
      </c>
      <c r="EC455" s="7">
        <v>0</v>
      </c>
      <c r="ED455" s="7">
        <v>0</v>
      </c>
      <c r="EE455" s="7">
        <v>0</v>
      </c>
      <c r="EF455" s="7">
        <v>0</v>
      </c>
      <c r="EG455" s="7">
        <v>0</v>
      </c>
      <c r="EH455" s="7">
        <v>1.2269588795205172E-2</v>
      </c>
      <c r="EI455" s="7">
        <v>1.9700712764451938E-2</v>
      </c>
      <c r="EJ455" s="7">
        <v>0.18498028742514791</v>
      </c>
      <c r="EK455" s="7">
        <v>0.7248734441533875</v>
      </c>
      <c r="EL455" s="7">
        <v>5.817596686180778E-2</v>
      </c>
      <c r="EM455" s="7">
        <v>3.1446956499145397E-2</v>
      </c>
      <c r="EN455" s="7">
        <v>4.749301345718699E-2</v>
      </c>
      <c r="EO455" s="7">
        <v>0.56984788219935245</v>
      </c>
      <c r="EP455" s="7">
        <v>0.27101715530396425</v>
      </c>
      <c r="EQ455" s="7">
        <v>6.7103467976184633E-2</v>
      </c>
      <c r="ER455" s="7">
        <v>4.4538481063311312E-2</v>
      </c>
      <c r="ES455" s="7">
        <v>9.3426812524480735E-2</v>
      </c>
      <c r="ET455" s="7">
        <v>0.12487376902362608</v>
      </c>
      <c r="EU455" s="6">
        <v>2100</v>
      </c>
      <c r="EV455" s="6">
        <v>0</v>
      </c>
      <c r="EW455" s="6">
        <v>2100</v>
      </c>
      <c r="EX455" s="6">
        <v>0</v>
      </c>
      <c r="EY455" s="6">
        <v>3095.713824408771</v>
      </c>
      <c r="EZ455" s="6">
        <v>114</v>
      </c>
      <c r="FA455" s="6">
        <v>0</v>
      </c>
      <c r="FB455" s="6">
        <v>0</v>
      </c>
      <c r="FC455" s="6">
        <v>0</v>
      </c>
      <c r="FD455" s="6">
        <v>0</v>
      </c>
      <c r="FE455" s="6">
        <v>0</v>
      </c>
      <c r="FF455" s="6">
        <v>0</v>
      </c>
      <c r="FG455" s="6">
        <v>0</v>
      </c>
      <c r="FH455" s="6">
        <v>1153.2439426100229</v>
      </c>
      <c r="FI455" s="6">
        <v>1531.4299904380609</v>
      </c>
      <c r="FJ455" s="6">
        <v>2070.7205842538215</v>
      </c>
      <c r="FK455" s="6">
        <v>1746.9903521590429</v>
      </c>
      <c r="FL455" s="6">
        <v>893.91433563489397</v>
      </c>
      <c r="FM455" s="6">
        <v>1745.7138244087712</v>
      </c>
      <c r="FN455" s="6">
        <v>0</v>
      </c>
      <c r="FO455" s="6">
        <v>0</v>
      </c>
      <c r="FP455" s="6">
        <v>0</v>
      </c>
      <c r="FQ455" s="6">
        <v>0</v>
      </c>
      <c r="FR455" s="6">
        <v>0</v>
      </c>
      <c r="FS455" s="6">
        <v>0</v>
      </c>
      <c r="FT455" s="7">
        <v>0.87512623097637388</v>
      </c>
      <c r="FU455" s="7">
        <v>3.1446956499145397E-2</v>
      </c>
      <c r="FV455" s="7">
        <v>9.3426812524480735E-2</v>
      </c>
      <c r="FW455" s="6">
        <v>2100</v>
      </c>
      <c r="FX455" s="6">
        <v>3095.713824408771</v>
      </c>
      <c r="FY455" s="6">
        <v>114</v>
      </c>
      <c r="FZ455" s="6">
        <v>1695.8504614767719</v>
      </c>
      <c r="GA455" s="6">
        <v>1945.7665196481616</v>
      </c>
      <c r="GB455" s="6">
        <v>17749.233480351839</v>
      </c>
      <c r="GC455" s="7">
        <v>8.1891069685915169E-2</v>
      </c>
      <c r="GD455" s="7">
        <v>8.4383236324765867E-2</v>
      </c>
      <c r="GE455" s="7"/>
      <c r="GF455" s="7"/>
      <c r="GG455" s="7">
        <v>3.0432703448729503E-2</v>
      </c>
      <c r="GH455" s="42">
        <v>2.398293646307772</v>
      </c>
      <c r="GI455" s="6">
        <v>10157.855156217302</v>
      </c>
      <c r="GJ455" s="14">
        <v>0.51074630601039561</v>
      </c>
      <c r="GK455" s="14">
        <v>0.50829519786160948</v>
      </c>
      <c r="GL455" s="14">
        <v>0.48925369398960439</v>
      </c>
      <c r="GM455" s="14">
        <v>0.49170480213839046</v>
      </c>
      <c r="GO455" s="5">
        <v>338.16872463277008</v>
      </c>
      <c r="GP455" s="5">
        <v>298.1047308538179</v>
      </c>
      <c r="GQ455" s="5">
        <v>527.27910984145694</v>
      </c>
      <c r="GR455" s="5">
        <v>404.20319246551543</v>
      </c>
      <c r="GS455" s="5">
        <v>334.50205195691484</v>
      </c>
      <c r="GT455" s="5">
        <v>289.18266033348181</v>
      </c>
      <c r="GU455" s="5">
        <v>254.29573314828914</v>
      </c>
      <c r="GV455" s="39" t="s">
        <v>392</v>
      </c>
      <c r="GW455" s="5">
        <v>454.875</v>
      </c>
      <c r="GX455" s="5">
        <v>341.15625</v>
      </c>
      <c r="GY455" s="5">
        <v>272.92500000000001</v>
      </c>
      <c r="GZ455" s="5">
        <v>240.82751152063872</v>
      </c>
      <c r="HA455" s="5">
        <v>223.08053899211652</v>
      </c>
      <c r="HB455" s="39">
        <v>250.33528920454958</v>
      </c>
      <c r="HC455" s="5">
        <v>278.12812499999995</v>
      </c>
      <c r="HD455" s="5">
        <v>232.92143640350872</v>
      </c>
      <c r="HE455" s="5">
        <v>234.3057059716599</v>
      </c>
      <c r="HF455" s="5">
        <v>215.06692434210527</v>
      </c>
      <c r="HG455" s="5">
        <v>205.38993421052629</v>
      </c>
      <c r="HH455" s="39">
        <v>233.01928810650142</v>
      </c>
      <c r="HI455" s="16"/>
      <c r="HJ455" s="19" t="str">
        <f t="shared" si="1412"/>
        <v>On</v>
      </c>
      <c r="HK455" s="1" t="str">
        <f t="shared" si="1412"/>
        <v>On</v>
      </c>
      <c r="HL455" s="16"/>
      <c r="HM455" s="639">
        <f t="shared" si="1278"/>
        <v>6.6115095157691428E-2</v>
      </c>
      <c r="HN455" s="639">
        <f t="shared" si="1279"/>
        <v>2.3720927871164412E-3</v>
      </c>
      <c r="HO455" s="639">
        <f t="shared" si="1280"/>
        <v>7.7231033444443466E-3</v>
      </c>
      <c r="HP455" s="644">
        <f>(FT455*$GD455-HM455)/$JF455*INDEX(Input!$1:$1048576,$JG$93,$C455*2+6)</f>
        <v>188.57980072476934</v>
      </c>
      <c r="HQ455" s="644">
        <f>(FU455*$GD455-HN455)/$JF455*INDEX(Input!$1:$1048576,$JG$93,$C455*2+6)</f>
        <v>6.8667156782240104</v>
      </c>
      <c r="HR455" s="644">
        <f>(FV455*$GD455-HO455)/$JF455*INDEX(Input!$1:$1048576,$JG$93,$C455*2+6)</f>
        <v>3.9163854307461237</v>
      </c>
      <c r="HS455" s="644">
        <f t="shared" si="1406"/>
        <v>-47.420113761564345</v>
      </c>
      <c r="HT455" s="644">
        <f t="shared" si="1282"/>
        <v>144.36453938204895</v>
      </c>
      <c r="HU455" s="644">
        <f t="shared" si="1283"/>
        <v>19.210345096642989</v>
      </c>
      <c r="HV455" s="648">
        <f t="shared" si="1284"/>
        <v>0</v>
      </c>
      <c r="HW455" s="648">
        <f t="shared" si="1285"/>
        <v>0</v>
      </c>
      <c r="HX455" s="648">
        <f t="shared" si="1286"/>
        <v>0</v>
      </c>
      <c r="HY455" s="644">
        <f>INDEX(Input!$1:$1048576,HY$93,$C455*2+6)*INDEX(Input!$1:$1048576,$JG$93,$C455*2+6)</f>
        <v>844</v>
      </c>
      <c r="HZ455" s="644">
        <f>INDEX(Input!$1:$1048576,HZ$93,$C455*2+6)*INDEX(Input!$1:$1048576,$JG$93,$C455*2+6)</f>
        <v>865</v>
      </c>
      <c r="IA455" s="644">
        <f>INDEX(Input!$1:$1048576,IA$93,$C455*2+6)*INDEX(Input!$1:$1048576,$JG$93,$C455*2+6)</f>
        <v>150</v>
      </c>
      <c r="IB455" s="644">
        <f t="shared" si="1310"/>
        <v>985.15968696320533</v>
      </c>
      <c r="IC455" s="644">
        <f t="shared" si="1311"/>
        <v>1016.2312550602729</v>
      </c>
      <c r="ID455" s="644">
        <f>IF(AND(INDEX(Input!$1:$1048576,IA$93,$C455*2+7)="TOS",Y455&lt;=INDEX(Y:Y,MATCH(C455*1000+2,A:A))),0,1)*MAX(IA455+HR455+HU455+HX455,0%)</f>
        <v>173.1267305273891</v>
      </c>
      <c r="IE455" s="128">
        <f t="shared" si="1411"/>
        <v>0.45304745019963044</v>
      </c>
      <c r="IF455" s="128">
        <f t="shared" si="1383"/>
        <v>0.46733639734836452</v>
      </c>
      <c r="IG455" s="128">
        <f t="shared" si="1288"/>
        <v>7.9616152452005082E-2</v>
      </c>
      <c r="IH455" s="21"/>
      <c r="II455" s="19">
        <f t="shared" si="1289"/>
        <v>1199.9999999999998</v>
      </c>
      <c r="IJ455" s="19">
        <f t="shared" si="1290"/>
        <v>2195.4782357510435</v>
      </c>
      <c r="IK455" s="19">
        <f t="shared" si="1291"/>
        <v>-571</v>
      </c>
      <c r="IL455" s="19">
        <f t="shared" si="1313"/>
        <v>900.00000000000023</v>
      </c>
      <c r="IM455" s="19">
        <f t="shared" si="1292"/>
        <v>900.23558865772748</v>
      </c>
      <c r="IN455" s="19">
        <f t="shared" si="1293"/>
        <v>685</v>
      </c>
      <c r="IO455" s="39">
        <f t="shared" si="1294"/>
        <v>0</v>
      </c>
      <c r="IP455" s="39">
        <f t="shared" si="1295"/>
        <v>0</v>
      </c>
      <c r="IQ455" s="39">
        <f t="shared" si="1296"/>
        <v>0</v>
      </c>
      <c r="IR455" s="39">
        <v>0</v>
      </c>
      <c r="IS455" s="39">
        <v>0</v>
      </c>
      <c r="IT455" s="39">
        <v>0</v>
      </c>
      <c r="IU455" s="39">
        <v>0</v>
      </c>
      <c r="IV455" s="39">
        <v>0</v>
      </c>
      <c r="IW455" s="39">
        <v>0</v>
      </c>
      <c r="IX455" s="39">
        <f>INDEX(Input!$1:$1048576,IX$93,$C455*2+6)+INDEX(Input!$1:$1048576,IX$94,$C455*2+6)</f>
        <v>1600</v>
      </c>
      <c r="IY455" s="39">
        <f>INDEX(Input!$1:$1048576,IY$93,$C455*2+6)+INDEX(Input!$1:$1048576,IY$94,$C455*2+6)</f>
        <v>2503.549291639752</v>
      </c>
      <c r="IZ455" s="39">
        <f>INDEX(Input!$1:$1048576,IZ$93,$C455*2+6)+INDEX(Input!$1:$1048576,IZ$94,$C455*2+6)</f>
        <v>5413.7109265464023</v>
      </c>
      <c r="JA455" s="19">
        <f t="shared" si="1314"/>
        <v>2500</v>
      </c>
      <c r="JB455" s="19">
        <f t="shared" si="1315"/>
        <v>3403.7848802974795</v>
      </c>
      <c r="JC455" s="19">
        <f t="shared" si="1316"/>
        <v>6098.7109265464023</v>
      </c>
      <c r="JD455" s="19">
        <f t="shared" si="1317"/>
        <v>3208.8870876947622</v>
      </c>
      <c r="JE455" s="21"/>
      <c r="JF455" s="1">
        <f t="shared" si="1297"/>
        <v>7.6210291289252219E-2</v>
      </c>
      <c r="JG455" s="15">
        <f>INDEX(Input!$1:$1048576,JG$93,$C455*2+6)/(1+VLOOKUP(C455*1000+INDEX(Input!$1:$1048576,JG$93+1,$C455*2+6),$A:$KK,$JK$92,FALSE))</f>
        <v>1859</v>
      </c>
      <c r="JH455" s="1">
        <f t="shared" si="1318"/>
        <v>0.10724201282073129</v>
      </c>
      <c r="JI455" s="1">
        <f t="shared" si="1319"/>
        <v>6.2482394145845929E-2</v>
      </c>
      <c r="JJ455" s="1">
        <f t="shared" si="1384"/>
        <v>0</v>
      </c>
      <c r="JK455" s="1">
        <f t="shared" si="1385"/>
        <v>0.1697244069665772</v>
      </c>
      <c r="JL455" s="15">
        <f t="shared" si="1322"/>
        <v>315.51767255086702</v>
      </c>
      <c r="JM455" s="15">
        <f t="shared" si="1348"/>
        <v>2174.5176725508672</v>
      </c>
      <c r="JN455" s="21"/>
      <c r="JO455" s="19">
        <f>INDEX(Input!$1:$1048576,JO$93,$C455*2+6)</f>
        <v>5908.5</v>
      </c>
      <c r="JP455" s="19">
        <f>INDEX(Input!$1:$1048576,JP$93,$C455*2+6)</f>
        <v>2328.1478086338602</v>
      </c>
      <c r="JQ455" s="39">
        <f t="shared" si="1334"/>
        <v>2699.6129123052378</v>
      </c>
      <c r="JR455" s="39">
        <f t="shared" si="1351"/>
        <v>880.73927906090194</v>
      </c>
      <c r="JS455" s="39">
        <f t="shared" si="1336"/>
        <v>6.9777816814125453</v>
      </c>
      <c r="JT455" s="39">
        <f t="shared" si="1324"/>
        <v>2.6497549051621982</v>
      </c>
      <c r="JU455" s="385">
        <f>(JQ455*JM455-INDEX(Input!$1:$1048576,Input!A$18,$C455*2+6)*JL455*INDEX(Input!$1:$1048576,Input!A$19,$C455*2+6))/1000000</f>
        <v>5.8703559868542543</v>
      </c>
      <c r="JV455" s="39">
        <f t="shared" si="1358"/>
        <v>-0.78551873689539953</v>
      </c>
      <c r="JW455" s="1">
        <f t="shared" si="1349"/>
        <v>-0.11801885845184142</v>
      </c>
      <c r="JX455" s="19">
        <f t="shared" si="1340"/>
        <v>8398.1188240256524</v>
      </c>
      <c r="JZ455" s="341"/>
      <c r="KA455" s="342"/>
      <c r="KB455" s="469">
        <f t="shared" si="1337"/>
        <v>2.3451977905499271</v>
      </c>
      <c r="KI455" s="473">
        <f t="shared" si="1408"/>
        <v>141.15968696320533</v>
      </c>
      <c r="KJ455" s="473">
        <f t="shared" si="1409"/>
        <v>151.23125506027293</v>
      </c>
      <c r="KK455" s="473">
        <f t="shared" si="1326"/>
        <v>23.1267305273891</v>
      </c>
      <c r="KN455" s="544">
        <f t="shared" si="1341"/>
        <v>4002</v>
      </c>
      <c r="KO455" s="541">
        <f t="shared" si="1301"/>
        <v>8.8543449606636182E-2</v>
      </c>
      <c r="KP455" s="546">
        <f t="shared" si="1302"/>
        <v>488.91669960572631</v>
      </c>
      <c r="KQ455" s="546">
        <f t="shared" si="1303"/>
        <v>485.14352609676644</v>
      </c>
      <c r="KR455" s="548">
        <f t="shared" si="1304"/>
        <v>3.0735165937812194</v>
      </c>
      <c r="KS455" s="548">
        <f t="shared" si="1305"/>
        <v>3.0974206773506885</v>
      </c>
      <c r="KT455" s="473">
        <f t="shared" si="1339"/>
        <v>1050.27685337919</v>
      </c>
      <c r="KU455" s="663">
        <f t="shared" si="1327"/>
        <v>6.569929972167345</v>
      </c>
      <c r="KV455" s="117"/>
    </row>
    <row r="456" spans="1:308" s="26" customFormat="1" ht="15" outlineLevel="1">
      <c r="A456" s="561">
        <f t="shared" si="1306"/>
        <v>4056</v>
      </c>
      <c r="B456" s="561">
        <f t="shared" si="1328"/>
        <v>56</v>
      </c>
      <c r="C456" s="561">
        <f t="shared" si="1329"/>
        <v>4</v>
      </c>
      <c r="D456" s="561" t="str">
        <f t="shared" si="1413"/>
        <v xml:space="preserve">1000 CC, 1000 Combo, 720 Lease, </v>
      </c>
      <c r="E456" s="475">
        <f>INDEX(Input!$1:$1048576,E$93,$C456*2+MIN($B456,2)+5)
+INDEX(Scenarios!E$121:E$200,MATCH($B456,Scenarios!$B$121:$B$200,0))</f>
        <v>2250</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1.8999999999999996E-2</v>
      </c>
      <c r="W456" s="863">
        <f>IFERROR(MAX(0,INDEX(Input!$1:$1048576,W$93,$C456*2+MIN($B456,2)+5)-0%,),"Market")</f>
        <v>3.9E-2</v>
      </c>
      <c r="X456" s="476" t="str">
        <f>INDEX(Input!$1:$1048576,X$93,$C456*2+MIN($B456,2)+5)</f>
        <v>Y</v>
      </c>
      <c r="Y456" s="475">
        <f>INDEX(Input!$1:$1048576,Y$93,$C456*2+MIN($B456,2)+5)
++INDEX(Scenarios!Y$121:Y$200,MATCH($B456,Scenarios!$B$121:$B$200,0))</f>
        <v>-1497</v>
      </c>
      <c r="Z456" s="477">
        <f>INDEX(Input!$1:$1048576,Z$93,$C456*2+MIN($B456,2)+5)
+INDEX(Scenarios!Z$121:Z$200,MATCH($B456,Scenarios!$B$121:$B$200,0))</f>
        <v>0</v>
      </c>
      <c r="AA456" s="475">
        <f>INDEX(Input!$1:$1048576,AA$93,$C456*2+MIN($B456,2)+5)</f>
        <v>0</v>
      </c>
      <c r="AB456" s="476">
        <f>INDEX(Input!$1:$1048576,AB$93,$C456*2+MIN($B456,2)+5)</f>
        <v>1</v>
      </c>
      <c r="AC456" s="475">
        <f>INDEX(Input!$1:$1048576,AC$93,$C456*2+MIN($B456,2)+5)
+INDEX(Scenarios!AC$121:AC$200,MATCH($B456,Scenarios!$B$121:$B$200,0))</f>
        <v>0</v>
      </c>
      <c r="AD456" s="476">
        <f>INDEX(Input!$1:$1048576,AD$93,$C456*2+MIN($B456,2)+5)</f>
        <v>0.35</v>
      </c>
      <c r="AE456" s="475">
        <f>INDEX(Input!$1:$1048576,AE$93,$C456*2+MIN($B456,2)+5)
+INDEX(Scenarios!AE$121:AE$200,MATCH($B456,Scenarios!$B$121:$B$200,0))</f>
        <v>0</v>
      </c>
      <c r="AF456" s="476">
        <f>INDEX(Input!$1:$1048576,AF$93,$C456*2+MIN($B456,2)+5)</f>
        <v>1</v>
      </c>
      <c r="AG456" s="475">
        <f>INDEX(Input!$1:$1048576,AG$93,$C456*2+MIN($B456,2)+5)
+INDEX(Scenarios!AG$121:AG$200,MATCH($B456,Scenarios!$B$121:$B$200,0))</f>
        <v>0</v>
      </c>
      <c r="AH456" s="476">
        <f>INDEX(Input!$1:$1048576,AH$93,$C456*2+MIN($B456,2)+5)</f>
        <v>1</v>
      </c>
      <c r="AI456" s="475">
        <f>INDEX(Input!$1:$1048576,AI$93,$C456*2+MIN($B456,2)+5)
+INDEX(Scenarios!AI$121:AI$200,MATCH($B456,Scenarios!$B$121:$B$200,0))</f>
        <v>0</v>
      </c>
      <c r="AJ456" s="476">
        <f>INDEX(Input!$1:$1048576,AJ$93,$C456*2+MIN($B456,2)+5)</f>
        <v>0.35</v>
      </c>
      <c r="AK456" s="150">
        <f>ROUND(INDEX(Input!$1:$1048576,AK$93,$C455*2+MIN($B456,1)+5)+(Y456-VLOOKUP($C456*1000+1,$A:$HH,Y$92,FALSE)),0)</f>
        <v>5312</v>
      </c>
      <c r="AL456" s="150">
        <f>ROUND(INDEX(Input!$1:$1048576,AL$93,$C455*2+MIN($B456,1)+5)-(Y456-VLOOKUP($C456*1000+1,$A:$HH,Y$92,FALSE))/36,0)</f>
        <v>4723</v>
      </c>
      <c r="AM456" s="32" t="str">
        <f t="shared" si="1307"/>
        <v>std/std/std/std</v>
      </c>
      <c r="AN456" s="32" t="str">
        <f t="shared" si="1308"/>
        <v>$1000 + 0/0/0/1.9/3.9</v>
      </c>
      <c r="AO456" s="32" t="str">
        <f t="shared" si="1309"/>
        <v>0/0/0/1.9/3.9</v>
      </c>
      <c r="AP456" s="32" t="str">
        <f t="shared" si="1386"/>
        <v>0/0.9/1.9/3.9</v>
      </c>
      <c r="AQ456" s="536">
        <f t="shared" si="1379"/>
        <v>0.45465439503783678</v>
      </c>
      <c r="AR456" s="32"/>
      <c r="AS456" s="302"/>
      <c r="AT456" s="3">
        <f t="shared" si="1330"/>
        <v>56</v>
      </c>
      <c r="AU456" s="41" t="s">
        <v>121</v>
      </c>
      <c r="AV456" s="41" t="s">
        <v>116</v>
      </c>
      <c r="AW456" s="41" t="str">
        <f>INDEX(Input!$1:$1048576,AW$93,$C456*2+6)</f>
        <v>Kia</v>
      </c>
      <c r="AX456" s="41" t="str">
        <f>INDEX(Input!$1:$1048576,AX$93,$C456*2+6)</f>
        <v>Kia-LR - R1</v>
      </c>
      <c r="AY456" s="41" t="str">
        <f>IF(LEN(D456)=0,"",INDEX(Input!$1:$1048576,AY$93,$C456*2+6))</f>
        <v>Compact Conventional/Sporty Car (43)</v>
      </c>
      <c r="AZ456" s="41" t="str">
        <f>INDEX(Input!$1:$1048576,AZ$93,$C456*2+6)</f>
        <v>Kia Forte</v>
      </c>
      <c r="BA456" s="3">
        <f>INDEX(Input!$1:$1048576,BA$93,$C456*2+6)</f>
        <v>2020</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19695</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387"/>
        <v>2560</v>
      </c>
      <c r="CJ456" s="16" t="str">
        <f>INDEX(Input!$1:$1048576,CJ$93,$C456*2+6)</f>
        <v>N</v>
      </c>
      <c r="CK456" s="1" t="str">
        <f t="shared" si="1388"/>
        <v>Market</v>
      </c>
      <c r="CL456" s="1" t="str">
        <f t="shared" si="1389"/>
        <v>Market</v>
      </c>
      <c r="CM456" s="1" t="str">
        <f t="shared" si="1390"/>
        <v>Market</v>
      </c>
      <c r="CN456" s="1" t="str">
        <f t="shared" si="1391"/>
        <v>Market</v>
      </c>
      <c r="CO456" s="1" t="str">
        <f t="shared" si="1392"/>
        <v>Market</v>
      </c>
      <c r="CP456" s="304">
        <f t="shared" si="1393"/>
        <v>1000</v>
      </c>
      <c r="CQ456" s="1">
        <f t="shared" si="1394"/>
        <v>0</v>
      </c>
      <c r="CR456" s="1">
        <f t="shared" si="1395"/>
        <v>0</v>
      </c>
      <c r="CS456" s="1">
        <f t="shared" si="1396"/>
        <v>0</v>
      </c>
      <c r="CT456" s="1">
        <f t="shared" si="1397"/>
        <v>1.8999999999999996E-2</v>
      </c>
      <c r="CU456" s="1">
        <f t="shared" si="1398"/>
        <v>3.9E-2</v>
      </c>
      <c r="CV456" s="304">
        <f t="shared" si="1399"/>
        <v>-1497</v>
      </c>
      <c r="CW456" s="20" t="s">
        <v>122</v>
      </c>
      <c r="CX456" s="20" t="s">
        <v>122</v>
      </c>
      <c r="CY456" s="20" t="s">
        <v>122</v>
      </c>
      <c r="CZ456" s="20" t="s">
        <v>122</v>
      </c>
      <c r="DA456" s="20" t="s">
        <v>122</v>
      </c>
      <c r="DB456" s="503">
        <f t="shared" si="1400"/>
        <v>0</v>
      </c>
      <c r="DC456" s="127">
        <v>0</v>
      </c>
      <c r="DD456" s="127">
        <v>0</v>
      </c>
      <c r="DE456" s="127">
        <v>0</v>
      </c>
      <c r="DF456" s="127">
        <v>0</v>
      </c>
      <c r="DG456" s="127">
        <v>0</v>
      </c>
      <c r="DH456" s="127">
        <v>0</v>
      </c>
      <c r="DI456" s="127">
        <v>0</v>
      </c>
      <c r="DJ456" s="127">
        <v>0</v>
      </c>
      <c r="DK456" s="127">
        <v>0</v>
      </c>
      <c r="DL456" s="127">
        <v>0</v>
      </c>
      <c r="DM456" s="304">
        <f>INDEX(Input!$1:$1048576,DM$93,$C456*2+6)</f>
        <v>20731.578947368424</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4.694699719173407E-2</v>
      </c>
      <c r="DZ456" s="7">
        <v>0</v>
      </c>
      <c r="EA456" s="7">
        <v>0.83227616419281802</v>
      </c>
      <c r="EB456" s="7">
        <v>0</v>
      </c>
      <c r="EC456" s="7">
        <v>0</v>
      </c>
      <c r="ED456" s="7">
        <v>0</v>
      </c>
      <c r="EE456" s="7">
        <v>0</v>
      </c>
      <c r="EF456" s="7">
        <v>0</v>
      </c>
      <c r="EG456" s="7">
        <v>0</v>
      </c>
      <c r="EH456" s="7">
        <v>1.228909723096492E-2</v>
      </c>
      <c r="EI456" s="7">
        <v>1.9736963034297093E-2</v>
      </c>
      <c r="EJ456" s="7">
        <v>0.18528221776814685</v>
      </c>
      <c r="EK456" s="7">
        <v>0.72458103802090446</v>
      </c>
      <c r="EL456" s="7">
        <v>5.8110683945686796E-2</v>
      </c>
      <c r="EM456" s="7">
        <v>3.1622431237901268E-2</v>
      </c>
      <c r="EN456" s="7">
        <v>4.8067062409273095E-2</v>
      </c>
      <c r="EO456" s="7">
        <v>0.56884972478035534</v>
      </c>
      <c r="EP456" s="7">
        <v>0.27274192479787862</v>
      </c>
      <c r="EQ456" s="7">
        <v>6.6265364219570674E-2</v>
      </c>
      <c r="ER456" s="7">
        <v>4.4075923792922272E-2</v>
      </c>
      <c r="ES456" s="7">
        <v>8.9154407377546652E-2</v>
      </c>
      <c r="ET456" s="7">
        <v>0.12077683861544794</v>
      </c>
      <c r="EU456" s="6">
        <v>2600</v>
      </c>
      <c r="EV456" s="6">
        <v>0</v>
      </c>
      <c r="EW456" s="6">
        <v>2600</v>
      </c>
      <c r="EX456" s="6">
        <v>0</v>
      </c>
      <c r="EY456" s="6">
        <v>3595.8477798660956</v>
      </c>
      <c r="EZ456" s="6">
        <v>474</v>
      </c>
      <c r="FA456" s="6">
        <v>0</v>
      </c>
      <c r="FB456" s="6">
        <v>0</v>
      </c>
      <c r="FC456" s="6">
        <v>0</v>
      </c>
      <c r="FD456" s="6">
        <v>0</v>
      </c>
      <c r="FE456" s="6">
        <v>0</v>
      </c>
      <c r="FF456" s="6">
        <v>0</v>
      </c>
      <c r="FG456" s="6">
        <v>0</v>
      </c>
      <c r="FH456" s="6">
        <v>1153.2372189466244</v>
      </c>
      <c r="FI456" s="6">
        <v>1531.4299904380618</v>
      </c>
      <c r="FJ456" s="6">
        <v>2070.7205842538215</v>
      </c>
      <c r="FK456" s="6">
        <v>1746.9903521590425</v>
      </c>
      <c r="FL456" s="6">
        <v>893.91433563489363</v>
      </c>
      <c r="FM456" s="6">
        <v>1745.8477798660956</v>
      </c>
      <c r="FN456" s="6">
        <v>0</v>
      </c>
      <c r="FO456" s="6">
        <v>0</v>
      </c>
      <c r="FP456" s="6">
        <v>0</v>
      </c>
      <c r="FQ456" s="6">
        <v>0</v>
      </c>
      <c r="FR456" s="6">
        <v>0</v>
      </c>
      <c r="FS456" s="6">
        <v>0</v>
      </c>
      <c r="FT456" s="7">
        <v>0.87922316138455214</v>
      </c>
      <c r="FU456" s="7">
        <v>3.1622431237901268E-2</v>
      </c>
      <c r="FV456" s="7">
        <v>8.9154407377546652E-2</v>
      </c>
      <c r="FW456" s="6">
        <v>2600</v>
      </c>
      <c r="FX456" s="6">
        <v>3595.8477798660956</v>
      </c>
      <c r="FY456" s="6">
        <v>474</v>
      </c>
      <c r="FZ456" s="6">
        <v>1695.8504614767719</v>
      </c>
      <c r="GA456" s="6">
        <v>2441.9488578575679</v>
      </c>
      <c r="GB456" s="6">
        <v>17253.051142142431</v>
      </c>
      <c r="GC456" s="7">
        <v>8.1891069685915169E-2</v>
      </c>
      <c r="GD456" s="7">
        <v>8.9263979960481091E-2</v>
      </c>
      <c r="GE456" s="7"/>
      <c r="GF456" s="7"/>
      <c r="GG456" s="7">
        <v>9.0033141621473092E-2</v>
      </c>
      <c r="GH456" s="42">
        <v>2.3766338767600033</v>
      </c>
      <c r="GI456" s="6">
        <v>10728.879458564832</v>
      </c>
      <c r="GJ456" s="14">
        <v>0.51074630601039539</v>
      </c>
      <c r="GK456" s="14">
        <v>0.50829519786160982</v>
      </c>
      <c r="GL456" s="14">
        <v>0.48925369398960444</v>
      </c>
      <c r="GM456" s="14">
        <v>0.49170480213839041</v>
      </c>
      <c r="GO456" s="5">
        <v>338.16872463277008</v>
      </c>
      <c r="GP456" s="5">
        <v>288.56568471597211</v>
      </c>
      <c r="GQ456" s="5">
        <v>527.27910984145694</v>
      </c>
      <c r="GR456" s="5">
        <v>404.20319246551543</v>
      </c>
      <c r="GS456" s="5">
        <v>334.50205195691484</v>
      </c>
      <c r="GT456" s="5">
        <v>289.18266033348181</v>
      </c>
      <c r="GU456" s="5">
        <v>254.29573314828914</v>
      </c>
      <c r="GV456" s="39" t="s">
        <v>392</v>
      </c>
      <c r="GW456" s="5">
        <v>440.98611111111109</v>
      </c>
      <c r="GX456" s="5">
        <v>330.73958333333331</v>
      </c>
      <c r="GY456" s="5">
        <v>264.59166666666664</v>
      </c>
      <c r="GZ456" s="5">
        <v>233.47422424633751</v>
      </c>
      <c r="HA456" s="5">
        <v>216.26912746293829</v>
      </c>
      <c r="HB456" s="39">
        <v>242.70978959889354</v>
      </c>
      <c r="HC456" s="5">
        <v>262.37812499999995</v>
      </c>
      <c r="HD456" s="5">
        <v>222.17143640350872</v>
      </c>
      <c r="HE456" s="5">
        <v>224.32493674089068</v>
      </c>
      <c r="HF456" s="5">
        <v>206.74192434210525</v>
      </c>
      <c r="HG456" s="5">
        <v>198.48993421052631</v>
      </c>
      <c r="HH456" s="39">
        <v>222.62517731817798</v>
      </c>
      <c r="HI456" s="16"/>
      <c r="HJ456" s="19" t="str">
        <f t="shared" si="1412"/>
        <v>On</v>
      </c>
      <c r="HK456" s="1" t="str">
        <f t="shared" si="1412"/>
        <v>On</v>
      </c>
      <c r="HL456" s="16"/>
      <c r="HM456" s="639">
        <f t="shared" si="1278"/>
        <v>6.6115095157691428E-2</v>
      </c>
      <c r="HN456" s="639">
        <f t="shared" si="1279"/>
        <v>2.3720927871164412E-3</v>
      </c>
      <c r="HO456" s="639">
        <f t="shared" si="1280"/>
        <v>7.7231033444443466E-3</v>
      </c>
      <c r="HP456" s="644">
        <f>(FT456*$GD456-HM456)/$JF456*INDEX(Input!$1:$1048576,$JG$93,$C456*2+6)</f>
        <v>301.6896781166285</v>
      </c>
      <c r="HQ456" s="644">
        <f>(FU456*$GD456-HN456)/$JF456*INDEX(Input!$1:$1048576,$JG$93,$C456*2+6)</f>
        <v>10.99275068482441</v>
      </c>
      <c r="HR456" s="644">
        <f>(FV456*$GD456-HO456)/$JF456*INDEX(Input!$1:$1048576,$JG$93,$C456*2+6)</f>
        <v>5.736603973413188</v>
      </c>
      <c r="HS456" s="644">
        <f t="shared" si="1406"/>
        <v>-73.764622039496444</v>
      </c>
      <c r="HT456" s="644">
        <f t="shared" si="1282"/>
        <v>224.56756953157065</v>
      </c>
      <c r="HU456" s="644">
        <f t="shared" si="1283"/>
        <v>29.448082480226699</v>
      </c>
      <c r="HV456" s="648">
        <f t="shared" si="1284"/>
        <v>0</v>
      </c>
      <c r="HW456" s="648">
        <f t="shared" si="1285"/>
        <v>0</v>
      </c>
      <c r="HX456" s="648">
        <f t="shared" si="1286"/>
        <v>0</v>
      </c>
      <c r="HY456" s="644">
        <f>INDEX(Input!$1:$1048576,HY$93,$C456*2+6)*INDEX(Input!$1:$1048576,$JG$93,$C456*2+6)</f>
        <v>844</v>
      </c>
      <c r="HZ456" s="644">
        <f>INDEX(Input!$1:$1048576,HZ$93,$C456*2+6)*INDEX(Input!$1:$1048576,$JG$93,$C456*2+6)</f>
        <v>865</v>
      </c>
      <c r="IA456" s="644">
        <f>INDEX(Input!$1:$1048576,IA$93,$C456*2+6)*INDEX(Input!$1:$1048576,$JG$93,$C456*2+6)</f>
        <v>150</v>
      </c>
      <c r="IB456" s="644">
        <f t="shared" si="1310"/>
        <v>1071.925056077132</v>
      </c>
      <c r="IC456" s="644">
        <f t="shared" si="1311"/>
        <v>1100.560320216395</v>
      </c>
      <c r="ID456" s="644">
        <f>IF(AND(INDEX(Input!$1:$1048576,IA$93,$C456*2+7)="TOS",Y456&lt;=INDEX(Y:Y,MATCH(C456*1000+2,A:A))),0,1)*MAX(IA456+HR456+HU456+HX456,0%)</f>
        <v>185.1846864536399</v>
      </c>
      <c r="IE456" s="128">
        <f t="shared" si="1411"/>
        <v>0.45465439503783678</v>
      </c>
      <c r="IF456" s="128">
        <f t="shared" si="1383"/>
        <v>0.46679997239902915</v>
      </c>
      <c r="IG456" s="128">
        <f t="shared" si="1288"/>
        <v>7.8545632563133919E-2</v>
      </c>
      <c r="IH456" s="21"/>
      <c r="II456" s="19">
        <f t="shared" si="1289"/>
        <v>1199.9999999999998</v>
      </c>
      <c r="IJ456" s="19">
        <f t="shared" si="1290"/>
        <v>2195.4782357510435</v>
      </c>
      <c r="IK456" s="19">
        <f t="shared" si="1291"/>
        <v>-571</v>
      </c>
      <c r="IL456" s="19">
        <f t="shared" si="1313"/>
        <v>1400.0000000000002</v>
      </c>
      <c r="IM456" s="19">
        <f t="shared" si="1292"/>
        <v>1400.3695441150521</v>
      </c>
      <c r="IN456" s="19">
        <f t="shared" si="1293"/>
        <v>1045</v>
      </c>
      <c r="IO456" s="39">
        <f t="shared" si="1294"/>
        <v>0</v>
      </c>
      <c r="IP456" s="39">
        <f t="shared" si="1295"/>
        <v>0</v>
      </c>
      <c r="IQ456" s="39">
        <f t="shared" si="1296"/>
        <v>0</v>
      </c>
      <c r="IR456" s="39">
        <v>0</v>
      </c>
      <c r="IS456" s="39">
        <v>0</v>
      </c>
      <c r="IT456" s="39">
        <v>0</v>
      </c>
      <c r="IU456" s="39">
        <v>0</v>
      </c>
      <c r="IV456" s="39">
        <v>0</v>
      </c>
      <c r="IW456" s="39">
        <v>0</v>
      </c>
      <c r="IX456" s="39">
        <f>INDEX(Input!$1:$1048576,IX$93,$C456*2+6)+INDEX(Input!$1:$1048576,IX$94,$C456*2+6)</f>
        <v>1600</v>
      </c>
      <c r="IY456" s="39">
        <f>INDEX(Input!$1:$1048576,IY$93,$C456*2+6)+INDEX(Input!$1:$1048576,IY$94,$C456*2+6)</f>
        <v>2503.549291639752</v>
      </c>
      <c r="IZ456" s="39">
        <f>INDEX(Input!$1:$1048576,IZ$93,$C456*2+6)+INDEX(Input!$1:$1048576,IZ$94,$C456*2+6)</f>
        <v>5413.7109265464023</v>
      </c>
      <c r="JA456" s="19">
        <f t="shared" si="1314"/>
        <v>3000</v>
      </c>
      <c r="JB456" s="19">
        <f t="shared" si="1315"/>
        <v>3903.9188357548041</v>
      </c>
      <c r="JC456" s="19">
        <f t="shared" si="1316"/>
        <v>6458.7109265464023</v>
      </c>
      <c r="JD456" s="19">
        <f t="shared" si="1317"/>
        <v>3693.6159251599147</v>
      </c>
      <c r="JE456" s="21"/>
      <c r="JF456" s="1">
        <f t="shared" si="1297"/>
        <v>7.6210291289252219E-2</v>
      </c>
      <c r="JG456" s="15">
        <f>INDEX(Input!$1:$1048576,JG$93,$C456*2+6)/(1+VLOOKUP(C456*1000+INDEX(Input!$1:$1048576,JG$93+1,$C456*2+6),$A:$KK,$JK$92,FALSE))</f>
        <v>1859</v>
      </c>
      <c r="JH456" s="1">
        <f t="shared" si="1318"/>
        <v>0.1712851171462432</v>
      </c>
      <c r="JI456" s="1">
        <f t="shared" si="1319"/>
        <v>9.69612856225395E-2</v>
      </c>
      <c r="JJ456" s="1">
        <f t="shared" si="1384"/>
        <v>0</v>
      </c>
      <c r="JK456" s="1">
        <f t="shared" si="1385"/>
        <v>0.2682464027687827</v>
      </c>
      <c r="JL456" s="15">
        <f t="shared" si="1322"/>
        <v>498.67006274716704</v>
      </c>
      <c r="JM456" s="15">
        <f t="shared" si="1348"/>
        <v>2357.6700627471669</v>
      </c>
      <c r="JN456" s="21"/>
      <c r="JO456" s="19">
        <f>INDEX(Input!$1:$1048576,JO$93,$C456*2+6)</f>
        <v>5908.5</v>
      </c>
      <c r="JP456" s="19">
        <f>INDEX(Input!$1:$1048576,JP$93,$C456*2+6)</f>
        <v>2328.1478086338602</v>
      </c>
      <c r="JQ456" s="39">
        <f t="shared" si="1334"/>
        <v>2214.8840748400853</v>
      </c>
      <c r="JR456" s="39">
        <f t="shared" si="1351"/>
        <v>1365.4681165260545</v>
      </c>
      <c r="JS456" s="39">
        <f t="shared" si="1336"/>
        <v>8.7083276900357109</v>
      </c>
      <c r="JT456" s="39">
        <f t="shared" si="1324"/>
        <v>4.3803009137853639</v>
      </c>
      <c r="JU456" s="385">
        <f>(JQ456*JM456-INDEX(Input!$1:$1048576,Input!A$18,$C456*2+6)*JL456*INDEX(Input!$1:$1048576,Input!A$19,$C456*2+6))/1000000</f>
        <v>5.2219658757059246</v>
      </c>
      <c r="JV456" s="39">
        <f t="shared" si="1358"/>
        <v>-1.4339088480437292</v>
      </c>
      <c r="JW456" s="1">
        <f t="shared" si="1349"/>
        <v>-0.21543507165590434</v>
      </c>
      <c r="JX456" s="19">
        <f t="shared" si="1340"/>
        <v>8783.9660749922332</v>
      </c>
      <c r="JZ456" s="341"/>
      <c r="KA456" s="342"/>
      <c r="KB456" s="469">
        <f t="shared" si="1337"/>
        <v>2.3451977905499271</v>
      </c>
      <c r="KI456" s="473">
        <f t="shared" si="1408"/>
        <v>227.92505607713179</v>
      </c>
      <c r="KJ456" s="473">
        <f t="shared" si="1409"/>
        <v>235.56032021639476</v>
      </c>
      <c r="KK456" s="473">
        <f t="shared" si="1326"/>
        <v>35.18468645363987</v>
      </c>
      <c r="KN456" s="544">
        <f t="shared" si="1341"/>
        <v>4002</v>
      </c>
      <c r="KO456" s="541">
        <f t="shared" si="1301"/>
        <v>0.18022784341250775</v>
      </c>
      <c r="KP456" s="546">
        <f t="shared" si="1302"/>
        <v>978.13264196634702</v>
      </c>
      <c r="KQ456" s="546">
        <f t="shared" si="1303"/>
        <v>969.87236356191897</v>
      </c>
      <c r="KR456" s="548">
        <f t="shared" si="1304"/>
        <v>3.1270737900586965</v>
      </c>
      <c r="KS456" s="548">
        <f t="shared" si="1305"/>
        <v>3.1537066760625931</v>
      </c>
      <c r="KT456" s="473">
        <f t="shared" si="1339"/>
        <v>1050.27685337919</v>
      </c>
      <c r="KU456" s="663">
        <f t="shared" si="1327"/>
        <v>6.6375888224159354</v>
      </c>
      <c r="KV456" s="117"/>
    </row>
    <row r="457" spans="1:308" s="26" customFormat="1" ht="15" outlineLevel="1">
      <c r="A457" s="561">
        <f t="shared" si="1306"/>
        <v>4057</v>
      </c>
      <c r="B457" s="561">
        <f t="shared" si="1328"/>
        <v>57</v>
      </c>
      <c r="C457" s="561">
        <f t="shared" si="1329"/>
        <v>4</v>
      </c>
      <c r="D457" s="561" t="str">
        <f t="shared" si="1413"/>
        <v xml:space="preserve">500 CC, 0/0/0.9/3.9, 360 Lease, </v>
      </c>
      <c r="E457" s="475">
        <f>INDEX(Input!$1:$1048576,E$93,$C457*2+MIN($B457,2)+5)
+INDEX(Scenarios!E$121:E$200,MATCH($B457,Scenarios!$B$121:$B$200,0))</f>
        <v>1750</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8.9999999999999959E-3</v>
      </c>
      <c r="W457" s="863">
        <f>IFERROR(MAX(0,INDEX(Input!$1:$1048576,W$93,$C457*2+MIN($B457,2)+5)-0%,),"Market")</f>
        <v>3.9E-2</v>
      </c>
      <c r="X457" s="476" t="str">
        <f>INDEX(Input!$1:$1048576,X$93,$C457*2+MIN($B457,2)+5)</f>
        <v>Y</v>
      </c>
      <c r="Y457" s="475">
        <f>INDEX(Input!$1:$1048576,Y$93,$C457*2+MIN($B457,2)+5)
++INDEX(Scenarios!Y$121:Y$200,MATCH($B457,Scenarios!$B$121:$B$200,0))</f>
        <v>-1857</v>
      </c>
      <c r="Z457" s="477">
        <f>INDEX(Input!$1:$1048576,Z$93,$C457*2+MIN($B457,2)+5)
+INDEX(Scenarios!Z$121:Z$200,MATCH($B457,Scenarios!$B$121:$B$200,0))</f>
        <v>0</v>
      </c>
      <c r="AA457" s="475">
        <f>INDEX(Input!$1:$1048576,AA$93,$C457*2+MIN($B457,2)+5)</f>
        <v>0</v>
      </c>
      <c r="AB457" s="476">
        <f>INDEX(Input!$1:$1048576,AB$93,$C457*2+MIN($B457,2)+5)</f>
        <v>1</v>
      </c>
      <c r="AC457" s="475">
        <f>INDEX(Input!$1:$1048576,AC$93,$C457*2+MIN($B457,2)+5)
+INDEX(Scenarios!AC$121:AC$200,MATCH($B457,Scenarios!$B$121:$B$200,0))</f>
        <v>0</v>
      </c>
      <c r="AD457" s="476">
        <f>INDEX(Input!$1:$1048576,AD$93,$C457*2+MIN($B457,2)+5)</f>
        <v>0.35</v>
      </c>
      <c r="AE457" s="475">
        <f>INDEX(Input!$1:$1048576,AE$93,$C457*2+MIN($B457,2)+5)
+INDEX(Scenarios!AE$121:AE$200,MATCH($B457,Scenarios!$B$121:$B$200,0))</f>
        <v>0</v>
      </c>
      <c r="AF457" s="476">
        <f>INDEX(Input!$1:$1048576,AF$93,$C457*2+MIN($B457,2)+5)</f>
        <v>1</v>
      </c>
      <c r="AG457" s="475">
        <f>INDEX(Input!$1:$1048576,AG$93,$C457*2+MIN($B457,2)+5)
+INDEX(Scenarios!AG$121:AG$200,MATCH($B457,Scenarios!$B$121:$B$200,0))</f>
        <v>0</v>
      </c>
      <c r="AH457" s="476">
        <f>INDEX(Input!$1:$1048576,AH$93,$C457*2+MIN($B457,2)+5)</f>
        <v>1</v>
      </c>
      <c r="AI457" s="475">
        <f>INDEX(Input!$1:$1048576,AI$93,$C457*2+MIN($B457,2)+5)
+INDEX(Scenarios!AI$121:AI$200,MATCH($B457,Scenarios!$B$121:$B$200,0))</f>
        <v>0</v>
      </c>
      <c r="AJ457" s="476">
        <f>INDEX(Input!$1:$1048576,AJ$93,$C457*2+MIN($B457,2)+5)</f>
        <v>0.35</v>
      </c>
      <c r="AK457" s="150">
        <f>ROUND(INDEX(Input!$1:$1048576,AK$93,$C456*2+MIN($B457,1)+5)+(Y457-VLOOKUP($C457*1000+1,$A:$HH,Y$92,FALSE)),0)</f>
        <v>4952</v>
      </c>
      <c r="AL457" s="150">
        <f>ROUND(INDEX(Input!$1:$1048576,AL$93,$C456*2+MIN($B457,1)+5)-(Y457-VLOOKUP($C457*1000+1,$A:$HH,Y$92,FALSE))/36,0)</f>
        <v>4733</v>
      </c>
      <c r="AM457" s="32" t="str">
        <f t="shared" si="1307"/>
        <v>std/std/std/std</v>
      </c>
      <c r="AN457" s="32" t="str">
        <f t="shared" si="1308"/>
        <v>$0 + 0/0/0/0.9/3.9</v>
      </c>
      <c r="AO457" s="32" t="str">
        <f t="shared" si="1309"/>
        <v>0/0/0/0.9/3.9</v>
      </c>
      <c r="AP457" s="32" t="str">
        <f t="shared" si="1386"/>
        <v>0/0/0.9/3.9</v>
      </c>
      <c r="AQ457" s="536">
        <f t="shared" si="1379"/>
        <v>0.4519380147429003</v>
      </c>
      <c r="AR457" s="32"/>
      <c r="AS457" s="302"/>
      <c r="AT457" s="3">
        <f t="shared" si="1330"/>
        <v>57</v>
      </c>
      <c r="AU457" s="41" t="s">
        <v>121</v>
      </c>
      <c r="AV457" s="41" t="s">
        <v>116</v>
      </c>
      <c r="AW457" s="41" t="str">
        <f>INDEX(Input!$1:$1048576,AW$93,$C457*2+6)</f>
        <v>Kia</v>
      </c>
      <c r="AX457" s="41" t="str">
        <f>INDEX(Input!$1:$1048576,AX$93,$C457*2+6)</f>
        <v>Kia-LR - R1</v>
      </c>
      <c r="AY457" s="41" t="str">
        <f>IF(LEN(D457)=0,"",INDEX(Input!$1:$1048576,AY$93,$C457*2+6))</f>
        <v>Compact Conventional/Sporty Car (43)</v>
      </c>
      <c r="AZ457" s="41" t="str">
        <f>INDEX(Input!$1:$1048576,AZ$93,$C457*2+6)</f>
        <v>Kia Forte</v>
      </c>
      <c r="BA457" s="3">
        <f>INDEX(Input!$1:$1048576,BA$93,$C457*2+6)</f>
        <v>2020</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19695</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387"/>
        <v>2060</v>
      </c>
      <c r="CJ457" s="16" t="str">
        <f>INDEX(Input!$1:$1048576,CJ$93,$C457*2+6)</f>
        <v>N</v>
      </c>
      <c r="CK457" s="1" t="str">
        <f t="shared" si="1388"/>
        <v>Market</v>
      </c>
      <c r="CL457" s="1" t="str">
        <f t="shared" si="1389"/>
        <v>Market</v>
      </c>
      <c r="CM457" s="1" t="str">
        <f t="shared" si="1390"/>
        <v>Market</v>
      </c>
      <c r="CN457" s="1" t="str">
        <f t="shared" si="1391"/>
        <v>Market</v>
      </c>
      <c r="CO457" s="1" t="str">
        <f t="shared" si="1392"/>
        <v>Market</v>
      </c>
      <c r="CP457" s="304">
        <f t="shared" si="1393"/>
        <v>0</v>
      </c>
      <c r="CQ457" s="1">
        <f t="shared" si="1394"/>
        <v>0</v>
      </c>
      <c r="CR457" s="1">
        <f t="shared" si="1395"/>
        <v>0</v>
      </c>
      <c r="CS457" s="1">
        <f t="shared" si="1396"/>
        <v>0</v>
      </c>
      <c r="CT457" s="1">
        <f t="shared" si="1397"/>
        <v>8.9999999999999959E-3</v>
      </c>
      <c r="CU457" s="1">
        <f t="shared" si="1398"/>
        <v>3.9E-2</v>
      </c>
      <c r="CV457" s="304">
        <f t="shared" si="1399"/>
        <v>-1857</v>
      </c>
      <c r="CW457" s="20" t="s">
        <v>122</v>
      </c>
      <c r="CX457" s="20" t="s">
        <v>122</v>
      </c>
      <c r="CY457" s="20" t="s">
        <v>122</v>
      </c>
      <c r="CZ457" s="20" t="s">
        <v>122</v>
      </c>
      <c r="DA457" s="20" t="s">
        <v>122</v>
      </c>
      <c r="DB457" s="503">
        <f t="shared" si="1400"/>
        <v>0</v>
      </c>
      <c r="DC457" s="127">
        <v>0</v>
      </c>
      <c r="DD457" s="127">
        <v>0</v>
      </c>
      <c r="DE457" s="127">
        <v>0</v>
      </c>
      <c r="DF457" s="127">
        <v>0</v>
      </c>
      <c r="DG457" s="127">
        <v>0</v>
      </c>
      <c r="DH457" s="127">
        <v>0</v>
      </c>
      <c r="DI457" s="127">
        <v>0</v>
      </c>
      <c r="DJ457" s="127">
        <v>0</v>
      </c>
      <c r="DK457" s="127">
        <v>0</v>
      </c>
      <c r="DL457" s="127">
        <v>0</v>
      </c>
      <c r="DM457" s="304">
        <f>INDEX(Input!$1:$1048576,DM$93,$C457*2+6)</f>
        <v>20731.578947368424</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4.5954621567121615E-2</v>
      </c>
      <c r="DZ457" s="7">
        <v>0</v>
      </c>
      <c r="EA457" s="7">
        <v>0.82235538192998381</v>
      </c>
      <c r="EB457" s="7">
        <v>0</v>
      </c>
      <c r="EC457" s="7">
        <v>0</v>
      </c>
      <c r="ED457" s="7">
        <v>0</v>
      </c>
      <c r="EE457" s="7">
        <v>0</v>
      </c>
      <c r="EF457" s="7">
        <v>0</v>
      </c>
      <c r="EG457" s="7">
        <v>0</v>
      </c>
      <c r="EH457" s="7">
        <v>8.4597739222404076E-3</v>
      </c>
      <c r="EI457" s="7">
        <v>1.3581247108650661E-2</v>
      </c>
      <c r="EJ457" s="7">
        <v>0.12756163600227294</v>
      </c>
      <c r="EK457" s="7">
        <v>0.81027770910773034</v>
      </c>
      <c r="EL457" s="7">
        <v>4.0119633859105518E-2</v>
      </c>
      <c r="EM457" s="7">
        <v>3.8999360821738896E-2</v>
      </c>
      <c r="EN457" s="7">
        <v>4.7490619818998651E-2</v>
      </c>
      <c r="EO457" s="7">
        <v>0.56983901441754148</v>
      </c>
      <c r="EP457" s="7">
        <v>0.27102747422990103</v>
      </c>
      <c r="EQ457" s="7">
        <v>6.710240919886197E-2</v>
      </c>
      <c r="ER457" s="7">
        <v>4.4540482334697276E-2</v>
      </c>
      <c r="ES457" s="7">
        <v>9.2690635681155556E-2</v>
      </c>
      <c r="ET457" s="7">
        <v>0.13168999650289454</v>
      </c>
      <c r="EU457" s="6">
        <v>2100</v>
      </c>
      <c r="EV457" s="6">
        <v>0</v>
      </c>
      <c r="EW457" s="6">
        <v>2100</v>
      </c>
      <c r="EX457" s="6">
        <v>0</v>
      </c>
      <c r="EY457" s="6">
        <v>2978.2769523737838</v>
      </c>
      <c r="EZ457" s="6">
        <v>114</v>
      </c>
      <c r="FA457" s="6">
        <v>0</v>
      </c>
      <c r="FB457" s="6">
        <v>0</v>
      </c>
      <c r="FC457" s="6">
        <v>0</v>
      </c>
      <c r="FD457" s="6">
        <v>0</v>
      </c>
      <c r="FE457" s="6">
        <v>0</v>
      </c>
      <c r="FF457" s="6">
        <v>0</v>
      </c>
      <c r="FG457" s="6">
        <v>0</v>
      </c>
      <c r="FH457" s="6">
        <v>1153.2431146841818</v>
      </c>
      <c r="FI457" s="6">
        <v>1531.4299904380618</v>
      </c>
      <c r="FJ457" s="6">
        <v>2070.7205842538224</v>
      </c>
      <c r="FK457" s="6">
        <v>2218.6393698501029</v>
      </c>
      <c r="FL457" s="6">
        <v>893.91433563489329</v>
      </c>
      <c r="FM457" s="6">
        <v>2128.2769523737838</v>
      </c>
      <c r="FN457" s="6">
        <v>0</v>
      </c>
      <c r="FO457" s="6">
        <v>0</v>
      </c>
      <c r="FP457" s="6">
        <v>0</v>
      </c>
      <c r="FQ457" s="6">
        <v>0</v>
      </c>
      <c r="FR457" s="6">
        <v>0</v>
      </c>
      <c r="FS457" s="6">
        <v>0</v>
      </c>
      <c r="FT457" s="7">
        <v>0.86831000349710541</v>
      </c>
      <c r="FU457" s="7">
        <v>3.8999360821738896E-2</v>
      </c>
      <c r="FV457" s="7">
        <v>9.2690635681155556E-2</v>
      </c>
      <c r="FW457" s="6">
        <v>2100</v>
      </c>
      <c r="FX457" s="6">
        <v>2978.2769523737838</v>
      </c>
      <c r="FY457" s="6">
        <v>114</v>
      </c>
      <c r="FZ457" s="6">
        <v>1695.8504614767719</v>
      </c>
      <c r="GA457" s="6">
        <v>1950.1686373042673</v>
      </c>
      <c r="GB457" s="6">
        <v>17744.831362695732</v>
      </c>
      <c r="GC457" s="7">
        <v>8.1891069685915169E-2</v>
      </c>
      <c r="GD457" s="7">
        <v>8.4660379472007719E-2</v>
      </c>
      <c r="GE457" s="7"/>
      <c r="GF457" s="7"/>
      <c r="GG457" s="7">
        <v>3.3816993680922162E-2</v>
      </c>
      <c r="GH457" s="42">
        <v>2.6188678350600023</v>
      </c>
      <c r="GI457" s="6">
        <v>9470.5939662704295</v>
      </c>
      <c r="GJ457" s="14">
        <v>0.5107463060103955</v>
      </c>
      <c r="GK457" s="14">
        <v>0.5082951978616097</v>
      </c>
      <c r="GL457" s="14">
        <v>0.4892536939896045</v>
      </c>
      <c r="GM457" s="14">
        <v>0.49170480213839052</v>
      </c>
      <c r="GO457" s="5">
        <v>338.16872463277008</v>
      </c>
      <c r="GP457" s="5">
        <v>298.1047308538179</v>
      </c>
      <c r="GQ457" s="5">
        <v>527.27910984145694</v>
      </c>
      <c r="GR457" s="5">
        <v>404.20319246551543</v>
      </c>
      <c r="GS457" s="5">
        <v>334.50205195691484</v>
      </c>
      <c r="GT457" s="5">
        <v>289.18266033348181</v>
      </c>
      <c r="GU457" s="5">
        <v>254.29573314828914</v>
      </c>
      <c r="GV457" s="39" t="s">
        <v>392</v>
      </c>
      <c r="GW457" s="5">
        <v>468.76388888888891</v>
      </c>
      <c r="GX457" s="5">
        <v>351.57291666666669</v>
      </c>
      <c r="GY457" s="5">
        <v>281.25833333333333</v>
      </c>
      <c r="GZ457" s="5">
        <v>240.85506989150105</v>
      </c>
      <c r="HA457" s="5">
        <v>229.89195052129477</v>
      </c>
      <c r="HB457" s="39">
        <v>249.00088346087958</v>
      </c>
      <c r="HC457" s="5">
        <v>278.12812499999995</v>
      </c>
      <c r="HD457" s="5">
        <v>232.92143640350872</v>
      </c>
      <c r="HE457" s="5">
        <v>234.3057059716599</v>
      </c>
      <c r="HF457" s="5">
        <v>215.06692434210527</v>
      </c>
      <c r="HG457" s="5">
        <v>205.38993421052629</v>
      </c>
      <c r="HH457" s="39">
        <v>233.01915798816546</v>
      </c>
      <c r="HI457" s="16"/>
      <c r="HJ457" s="19" t="str">
        <f t="shared" si="1412"/>
        <v>On</v>
      </c>
      <c r="HK457" s="1" t="str">
        <f t="shared" si="1412"/>
        <v>On</v>
      </c>
      <c r="HL457" s="16"/>
      <c r="HM457" s="639">
        <f t="shared" si="1278"/>
        <v>6.6115095157691428E-2</v>
      </c>
      <c r="HN457" s="639">
        <f t="shared" si="1279"/>
        <v>2.3720927871164412E-3</v>
      </c>
      <c r="HO457" s="639">
        <f t="shared" si="1280"/>
        <v>7.7231033444443466E-3</v>
      </c>
      <c r="HP457" s="644">
        <f>(FT457*$GD457-HM457)/$JF457*INDEX(Input!$1:$1048576,$JG$93,$C457*2+6)</f>
        <v>180.41962037283525</v>
      </c>
      <c r="HQ457" s="644">
        <f>(FU457*$GD457-HN457)/$JF457*INDEX(Input!$1:$1048576,$JG$93,$C457*2+6)</f>
        <v>22.675954328617898</v>
      </c>
      <c r="HR457" s="644">
        <f>(FV457*$GD457-HO457)/$JF457*INDEX(Input!$1:$1048576,$JG$93,$C457*2+6)</f>
        <v>3.0276885218935514</v>
      </c>
      <c r="HS457" s="644">
        <f t="shared" si="1406"/>
        <v>-47.395936769089161</v>
      </c>
      <c r="HT457" s="644">
        <f t="shared" si="1282"/>
        <v>124.93979445856058</v>
      </c>
      <c r="HU457" s="644">
        <f t="shared" si="1283"/>
        <v>19.186168104167802</v>
      </c>
      <c r="HV457" s="648">
        <f t="shared" si="1284"/>
        <v>0</v>
      </c>
      <c r="HW457" s="648">
        <f t="shared" si="1285"/>
        <v>0</v>
      </c>
      <c r="HX457" s="648">
        <f t="shared" si="1286"/>
        <v>0</v>
      </c>
      <c r="HY457" s="644">
        <f>INDEX(Input!$1:$1048576,HY$93,$C457*2+6)*INDEX(Input!$1:$1048576,$JG$93,$C457*2+6)</f>
        <v>844</v>
      </c>
      <c r="HZ457" s="644">
        <f>INDEX(Input!$1:$1048576,HZ$93,$C457*2+6)*INDEX(Input!$1:$1048576,$JG$93,$C457*2+6)</f>
        <v>865</v>
      </c>
      <c r="IA457" s="644">
        <f>INDEX(Input!$1:$1048576,IA$93,$C457*2+6)*INDEX(Input!$1:$1048576,$JG$93,$C457*2+6)</f>
        <v>150</v>
      </c>
      <c r="IB457" s="644">
        <f t="shared" si="1310"/>
        <v>977.02368360374601</v>
      </c>
      <c r="IC457" s="644">
        <f t="shared" si="1311"/>
        <v>1012.6157487871785</v>
      </c>
      <c r="ID457" s="644">
        <f>IF(AND(INDEX(Input!$1:$1048576,IA$93,$C457*2+7)="TOS",Y457&lt;=INDEX(Y:Y,MATCH(C457*1000+2,A:A))),0,1)*MAX(IA457+HR457+HU457+HX457,0%)</f>
        <v>172.21385662606133</v>
      </c>
      <c r="IE457" s="128">
        <f t="shared" si="1411"/>
        <v>0.4519380147429003</v>
      </c>
      <c r="IF457" s="128">
        <f t="shared" si="1383"/>
        <v>0.46840169679026833</v>
      </c>
      <c r="IG457" s="128">
        <f t="shared" si="1288"/>
        <v>7.9660288466831403E-2</v>
      </c>
      <c r="IH457" s="21"/>
      <c r="II457" s="19">
        <f t="shared" si="1289"/>
        <v>1199.9999999999998</v>
      </c>
      <c r="IJ457" s="19">
        <f t="shared" si="1290"/>
        <v>2195.4782357510435</v>
      </c>
      <c r="IK457" s="19">
        <f t="shared" si="1291"/>
        <v>-571</v>
      </c>
      <c r="IL457" s="19">
        <f t="shared" si="1313"/>
        <v>900.00000000000023</v>
      </c>
      <c r="IM457" s="19">
        <f t="shared" si="1292"/>
        <v>782.79871662274036</v>
      </c>
      <c r="IN457" s="19">
        <f t="shared" si="1293"/>
        <v>685</v>
      </c>
      <c r="IO457" s="39">
        <f t="shared" si="1294"/>
        <v>0</v>
      </c>
      <c r="IP457" s="39">
        <f t="shared" si="1295"/>
        <v>0</v>
      </c>
      <c r="IQ457" s="39">
        <f t="shared" si="1296"/>
        <v>0</v>
      </c>
      <c r="IR457" s="39">
        <v>0</v>
      </c>
      <c r="IS457" s="39">
        <v>0</v>
      </c>
      <c r="IT457" s="39">
        <v>0</v>
      </c>
      <c r="IU457" s="39">
        <v>0</v>
      </c>
      <c r="IV457" s="39">
        <v>0</v>
      </c>
      <c r="IW457" s="39">
        <v>0</v>
      </c>
      <c r="IX457" s="39">
        <f>INDEX(Input!$1:$1048576,IX$93,$C457*2+6)+INDEX(Input!$1:$1048576,IX$94,$C457*2+6)</f>
        <v>1600</v>
      </c>
      <c r="IY457" s="39">
        <f>INDEX(Input!$1:$1048576,IY$93,$C457*2+6)+INDEX(Input!$1:$1048576,IY$94,$C457*2+6)</f>
        <v>2503.549291639752</v>
      </c>
      <c r="IZ457" s="39">
        <f>INDEX(Input!$1:$1048576,IZ$93,$C457*2+6)+INDEX(Input!$1:$1048576,IZ$94,$C457*2+6)</f>
        <v>5413.7109265464023</v>
      </c>
      <c r="JA457" s="19">
        <f t="shared" si="1314"/>
        <v>2500</v>
      </c>
      <c r="JB457" s="19">
        <f t="shared" si="1315"/>
        <v>3286.3480082624924</v>
      </c>
      <c r="JC457" s="19">
        <f t="shared" si="1316"/>
        <v>6098.7109265464023</v>
      </c>
      <c r="JD457" s="19">
        <f t="shared" si="1317"/>
        <v>3155.0010918552243</v>
      </c>
      <c r="JE457" s="21"/>
      <c r="JF457" s="1">
        <f t="shared" si="1297"/>
        <v>7.6210291289252219E-2</v>
      </c>
      <c r="JG457" s="15">
        <f>INDEX(Input!$1:$1048576,JG$93,$C457*2+6)/(1+VLOOKUP(C457*1000+INDEX(Input!$1:$1048576,JG$93+1,$C457*2+6),$A:$KK,$JK$92,FALSE))</f>
        <v>1859</v>
      </c>
      <c r="JH457" s="1">
        <f t="shared" si="1318"/>
        <v>0.11087857085709882</v>
      </c>
      <c r="JI457" s="1">
        <f t="shared" si="1319"/>
        <v>5.2033365139128152E-2</v>
      </c>
      <c r="JJ457" s="1">
        <f t="shared" si="1384"/>
        <v>0</v>
      </c>
      <c r="JK457" s="1">
        <f t="shared" si="1385"/>
        <v>0.16291193599622697</v>
      </c>
      <c r="JL457" s="15">
        <f t="shared" si="1322"/>
        <v>302.85328901698591</v>
      </c>
      <c r="JM457" s="15">
        <f t="shared" si="1348"/>
        <v>2161.8532890169859</v>
      </c>
      <c r="JN457" s="21"/>
      <c r="JO457" s="19">
        <f>INDEX(Input!$1:$1048576,JO$93,$C457*2+6)</f>
        <v>5908.5</v>
      </c>
      <c r="JP457" s="19">
        <f>INDEX(Input!$1:$1048576,JP$93,$C457*2+6)</f>
        <v>2328.1478086338602</v>
      </c>
      <c r="JQ457" s="39">
        <f t="shared" si="1334"/>
        <v>2753.4989081447757</v>
      </c>
      <c r="JR457" s="39">
        <f t="shared" si="1351"/>
        <v>826.85328322136411</v>
      </c>
      <c r="JS457" s="39">
        <f t="shared" si="1336"/>
        <v>6.8206494872793986</v>
      </c>
      <c r="JT457" s="39">
        <f t="shared" si="1324"/>
        <v>2.492622711029052</v>
      </c>
      <c r="JU457" s="385">
        <f>(JQ457*JM457-INDEX(Input!$1:$1048576,Input!A$18,$C457*2+6)*JL457*INDEX(Input!$1:$1048576,Input!A$19,$C457*2+6))/1000000</f>
        <v>5.9526606708774619</v>
      </c>
      <c r="JV457" s="39">
        <f t="shared" si="1358"/>
        <v>-0.70321405287219196</v>
      </c>
      <c r="JW457" s="1">
        <f t="shared" si="1349"/>
        <v>-0.10565313832650222</v>
      </c>
      <c r="JX457" s="19">
        <f t="shared" si="1340"/>
        <v>8230.4627402915539</v>
      </c>
      <c r="JZ457" s="341"/>
      <c r="KA457" s="342"/>
      <c r="KB457" s="469">
        <f t="shared" si="1337"/>
        <v>2.3451977905499271</v>
      </c>
      <c r="KI457" s="473">
        <f t="shared" si="1408"/>
        <v>133.02368360374601</v>
      </c>
      <c r="KJ457" s="473">
        <f t="shared" si="1409"/>
        <v>147.61574878717852</v>
      </c>
      <c r="KK457" s="473">
        <f t="shared" si="1326"/>
        <v>22.213856626061329</v>
      </c>
      <c r="KN457" s="544">
        <f t="shared" si="1341"/>
        <v>4002</v>
      </c>
      <c r="KO457" s="541">
        <f t="shared" si="1301"/>
        <v>8.2203776256021044E-2</v>
      </c>
      <c r="KP457" s="546">
        <f t="shared" si="1302"/>
        <v>433.90303395702938</v>
      </c>
      <c r="KQ457" s="546">
        <f t="shared" si="1303"/>
        <v>431.25753025722861</v>
      </c>
      <c r="KR457" s="548">
        <f t="shared" si="1304"/>
        <v>3.2152376403620995</v>
      </c>
      <c r="KS457" s="548">
        <f t="shared" si="1305"/>
        <v>3.2349611755505592</v>
      </c>
      <c r="KT457" s="473">
        <f t="shared" si="1339"/>
        <v>1050.27685337919</v>
      </c>
      <c r="KU457" s="663">
        <f t="shared" si="1327"/>
        <v>6.6068699061116911</v>
      </c>
      <c r="KV457" s="117"/>
    </row>
    <row r="458" spans="1:308" s="26" customFormat="1" ht="15" outlineLevel="1">
      <c r="A458" s="561">
        <f t="shared" si="1306"/>
        <v>4058</v>
      </c>
      <c r="B458" s="561">
        <f t="shared" si="1328"/>
        <v>58</v>
      </c>
      <c r="C458" s="561">
        <f t="shared" si="1329"/>
        <v>4</v>
      </c>
      <c r="D458" s="561" t="str">
        <f t="shared" si="1413"/>
        <v xml:space="preserve">1000 CC, 0/0/0.9/3.9, 360 Lease, </v>
      </c>
      <c r="E458" s="475">
        <f>INDEX(Input!$1:$1048576,E$93,$C458*2+MIN($B458,2)+5)
+INDEX(Scenarios!E$121:E$200,MATCH($B458,Scenarios!$B$121:$B$200,0))</f>
        <v>2250</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8.9999999999999959E-3</v>
      </c>
      <c r="W458" s="863">
        <f>IFERROR(MAX(0,INDEX(Input!$1:$1048576,W$93,$C458*2+MIN($B458,2)+5)-0%,),"Market")</f>
        <v>3.9E-2</v>
      </c>
      <c r="X458" s="476" t="str">
        <f>INDEX(Input!$1:$1048576,X$93,$C458*2+MIN($B458,2)+5)</f>
        <v>Y</v>
      </c>
      <c r="Y458" s="475">
        <f>INDEX(Input!$1:$1048576,Y$93,$C458*2+MIN($B458,2)+5)
++INDEX(Scenarios!Y$121:Y$200,MATCH($B458,Scenarios!$B$121:$B$200,0))</f>
        <v>-1857</v>
      </c>
      <c r="Z458" s="477">
        <f>INDEX(Input!$1:$1048576,Z$93,$C458*2+MIN($B458,2)+5)
+INDEX(Scenarios!Z$121:Z$200,MATCH($B458,Scenarios!$B$121:$B$200,0))</f>
        <v>0</v>
      </c>
      <c r="AA458" s="475">
        <f>INDEX(Input!$1:$1048576,AA$93,$C458*2+MIN($B458,2)+5)</f>
        <v>0</v>
      </c>
      <c r="AB458" s="476">
        <f>INDEX(Input!$1:$1048576,AB$93,$C458*2+MIN($B458,2)+5)</f>
        <v>1</v>
      </c>
      <c r="AC458" s="475">
        <f>INDEX(Input!$1:$1048576,AC$93,$C458*2+MIN($B458,2)+5)
+INDEX(Scenarios!AC$121:AC$200,MATCH($B458,Scenarios!$B$121:$B$200,0))</f>
        <v>0</v>
      </c>
      <c r="AD458" s="476">
        <f>INDEX(Input!$1:$1048576,AD$93,$C458*2+MIN($B458,2)+5)</f>
        <v>0.35</v>
      </c>
      <c r="AE458" s="475">
        <f>INDEX(Input!$1:$1048576,AE$93,$C458*2+MIN($B458,2)+5)
+INDEX(Scenarios!AE$121:AE$200,MATCH($B458,Scenarios!$B$121:$B$200,0))</f>
        <v>0</v>
      </c>
      <c r="AF458" s="476">
        <f>INDEX(Input!$1:$1048576,AF$93,$C458*2+MIN($B458,2)+5)</f>
        <v>1</v>
      </c>
      <c r="AG458" s="475">
        <f>INDEX(Input!$1:$1048576,AG$93,$C458*2+MIN($B458,2)+5)
+INDEX(Scenarios!AG$121:AG$200,MATCH($B458,Scenarios!$B$121:$B$200,0))</f>
        <v>0</v>
      </c>
      <c r="AH458" s="476">
        <f>INDEX(Input!$1:$1048576,AH$93,$C458*2+MIN($B458,2)+5)</f>
        <v>1</v>
      </c>
      <c r="AI458" s="475">
        <f>INDEX(Input!$1:$1048576,AI$93,$C458*2+MIN($B458,2)+5)
+INDEX(Scenarios!AI$121:AI$200,MATCH($B458,Scenarios!$B$121:$B$200,0))</f>
        <v>0</v>
      </c>
      <c r="AJ458" s="476">
        <f>INDEX(Input!$1:$1048576,AJ$93,$C458*2+MIN($B458,2)+5)</f>
        <v>0.35</v>
      </c>
      <c r="AK458" s="150">
        <f>ROUND(INDEX(Input!$1:$1048576,AK$93,$C457*2+MIN($B458,1)+5)+(Y458-VLOOKUP($C458*1000+1,$A:$HH,Y$92,FALSE)),0)</f>
        <v>4952</v>
      </c>
      <c r="AL458" s="150">
        <f>ROUND(INDEX(Input!$1:$1048576,AL$93,$C457*2+MIN($B458,1)+5)-(Y458-VLOOKUP($C458*1000+1,$A:$HH,Y$92,FALSE))/36,0)</f>
        <v>4733</v>
      </c>
      <c r="AM458" s="32" t="str">
        <f t="shared" si="1307"/>
        <v>std/std/std/std</v>
      </c>
      <c r="AN458" s="32" t="str">
        <f t="shared" si="1308"/>
        <v>$0 + 0/0/0/0.9/3.9</v>
      </c>
      <c r="AO458" s="32" t="str">
        <f t="shared" si="1309"/>
        <v>0/0/0/0.9/3.9</v>
      </c>
      <c r="AP458" s="32" t="str">
        <f t="shared" si="1386"/>
        <v>0/0/0.9/3.9</v>
      </c>
      <c r="AQ458" s="536">
        <f t="shared" si="1379"/>
        <v>0.48041712113371282</v>
      </c>
      <c r="AR458" s="32"/>
      <c r="AS458" s="302"/>
      <c r="AT458" s="3">
        <f t="shared" si="1330"/>
        <v>58</v>
      </c>
      <c r="AU458" s="41" t="s">
        <v>121</v>
      </c>
      <c r="AV458" s="41" t="s">
        <v>116</v>
      </c>
      <c r="AW458" s="41" t="str">
        <f>INDEX(Input!$1:$1048576,AW$93,$C458*2+6)</f>
        <v>Kia</v>
      </c>
      <c r="AX458" s="41" t="str">
        <f>INDEX(Input!$1:$1048576,AX$93,$C458*2+6)</f>
        <v>Kia-LR - R1</v>
      </c>
      <c r="AY458" s="41" t="str">
        <f>IF(LEN(D458)=0,"",INDEX(Input!$1:$1048576,AY$93,$C458*2+6))</f>
        <v>Compact Conventional/Sporty Car (43)</v>
      </c>
      <c r="AZ458" s="41" t="str">
        <f>INDEX(Input!$1:$1048576,AZ$93,$C458*2+6)</f>
        <v>Kia Forte</v>
      </c>
      <c r="BA458" s="3">
        <f>INDEX(Input!$1:$1048576,BA$93,$C458*2+6)</f>
        <v>2020</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19695</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387"/>
        <v>2560</v>
      </c>
      <c r="CJ458" s="16" t="str">
        <f>INDEX(Input!$1:$1048576,CJ$93,$C458*2+6)</f>
        <v>N</v>
      </c>
      <c r="CK458" s="1" t="str">
        <f t="shared" si="1388"/>
        <v>Market</v>
      </c>
      <c r="CL458" s="1" t="str">
        <f t="shared" si="1389"/>
        <v>Market</v>
      </c>
      <c r="CM458" s="1" t="str">
        <f t="shared" si="1390"/>
        <v>Market</v>
      </c>
      <c r="CN458" s="1" t="str">
        <f t="shared" si="1391"/>
        <v>Market</v>
      </c>
      <c r="CO458" s="1" t="str">
        <f t="shared" si="1392"/>
        <v>Market</v>
      </c>
      <c r="CP458" s="304">
        <f t="shared" si="1393"/>
        <v>0</v>
      </c>
      <c r="CQ458" s="1">
        <f t="shared" si="1394"/>
        <v>0</v>
      </c>
      <c r="CR458" s="1">
        <f t="shared" si="1395"/>
        <v>0</v>
      </c>
      <c r="CS458" s="1">
        <f t="shared" si="1396"/>
        <v>0</v>
      </c>
      <c r="CT458" s="1">
        <f t="shared" si="1397"/>
        <v>8.9999999999999959E-3</v>
      </c>
      <c r="CU458" s="1">
        <f t="shared" si="1398"/>
        <v>3.9E-2</v>
      </c>
      <c r="CV458" s="304">
        <f t="shared" si="1399"/>
        <v>-1857</v>
      </c>
      <c r="CW458" s="20" t="s">
        <v>122</v>
      </c>
      <c r="CX458" s="20" t="s">
        <v>122</v>
      </c>
      <c r="CY458" s="20" t="s">
        <v>122</v>
      </c>
      <c r="CZ458" s="20" t="s">
        <v>122</v>
      </c>
      <c r="DA458" s="20" t="s">
        <v>122</v>
      </c>
      <c r="DB458" s="503">
        <f t="shared" si="1400"/>
        <v>0</v>
      </c>
      <c r="DC458" s="127">
        <v>0</v>
      </c>
      <c r="DD458" s="127">
        <v>0</v>
      </c>
      <c r="DE458" s="127">
        <v>0</v>
      </c>
      <c r="DF458" s="127">
        <v>0</v>
      </c>
      <c r="DG458" s="127">
        <v>0</v>
      </c>
      <c r="DH458" s="127">
        <v>0</v>
      </c>
      <c r="DI458" s="127">
        <v>0</v>
      </c>
      <c r="DJ458" s="127">
        <v>0</v>
      </c>
      <c r="DK458" s="127">
        <v>0</v>
      </c>
      <c r="DL458" s="127">
        <v>0</v>
      </c>
      <c r="DM458" s="304">
        <f>INDEX(Input!$1:$1048576,DM$93,$C458*2+6)</f>
        <v>20731.578947368424</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4.7142945922863173E-2</v>
      </c>
      <c r="DZ458" s="7">
        <v>0</v>
      </c>
      <c r="EA458" s="7">
        <v>0.83646729558726696</v>
      </c>
      <c r="EB458" s="7">
        <v>0</v>
      </c>
      <c r="EC458" s="7">
        <v>0</v>
      </c>
      <c r="ED458" s="7">
        <v>0</v>
      </c>
      <c r="EE458" s="7">
        <v>0</v>
      </c>
      <c r="EF458" s="7">
        <v>0</v>
      </c>
      <c r="EG458" s="7">
        <v>0</v>
      </c>
      <c r="EH458" s="7">
        <v>8.4822813078681905E-3</v>
      </c>
      <c r="EI458" s="7">
        <v>1.3621623835265047E-2</v>
      </c>
      <c r="EJ458" s="7">
        <v>0.12792071838596877</v>
      </c>
      <c r="EK458" s="7">
        <v>0.80992223448579337</v>
      </c>
      <c r="EL458" s="7">
        <v>4.0053141985104457E-2</v>
      </c>
      <c r="EM458" s="7">
        <v>3.4267256638707048E-2</v>
      </c>
      <c r="EN458" s="7">
        <v>4.7443081053511076E-2</v>
      </c>
      <c r="EO458" s="7">
        <v>0.56967161661138788</v>
      </c>
      <c r="EP458" s="7">
        <v>0.27124294561645579</v>
      </c>
      <c r="EQ458" s="7">
        <v>6.7082401897960497E-2</v>
      </c>
      <c r="ER458" s="7">
        <v>4.4559954820685199E-2</v>
      </c>
      <c r="ES458" s="7">
        <v>8.2122501851162696E-2</v>
      </c>
      <c r="ET458" s="7">
        <v>0.11638975848986984</v>
      </c>
      <c r="EU458" s="6">
        <v>2600</v>
      </c>
      <c r="EV458" s="6">
        <v>0</v>
      </c>
      <c r="EW458" s="6">
        <v>2600</v>
      </c>
      <c r="EX458" s="6">
        <v>0</v>
      </c>
      <c r="EY458" s="6">
        <v>2978.2600999800261</v>
      </c>
      <c r="EZ458" s="6">
        <v>114</v>
      </c>
      <c r="FA458" s="6">
        <v>0</v>
      </c>
      <c r="FB458" s="6">
        <v>0</v>
      </c>
      <c r="FC458" s="6">
        <v>0</v>
      </c>
      <c r="FD458" s="6">
        <v>0</v>
      </c>
      <c r="FE458" s="6">
        <v>0</v>
      </c>
      <c r="FF458" s="6">
        <v>0</v>
      </c>
      <c r="FG458" s="6">
        <v>0</v>
      </c>
      <c r="FH458" s="6">
        <v>1153.2320016254032</v>
      </c>
      <c r="FI458" s="6">
        <v>1531.4299904380621</v>
      </c>
      <c r="FJ458" s="6">
        <v>2070.7205842538233</v>
      </c>
      <c r="FK458" s="6">
        <v>2218.6393698501006</v>
      </c>
      <c r="FL458" s="6">
        <v>893.91433563489386</v>
      </c>
      <c r="FM458" s="6">
        <v>2128.2600999800261</v>
      </c>
      <c r="FN458" s="6">
        <v>0</v>
      </c>
      <c r="FO458" s="6">
        <v>0</v>
      </c>
      <c r="FP458" s="6">
        <v>0</v>
      </c>
      <c r="FQ458" s="6">
        <v>0</v>
      </c>
      <c r="FR458" s="6">
        <v>0</v>
      </c>
      <c r="FS458" s="6">
        <v>0</v>
      </c>
      <c r="FT458" s="7">
        <v>0.88361024151013012</v>
      </c>
      <c r="FU458" s="7">
        <v>3.4267256638707048E-2</v>
      </c>
      <c r="FV458" s="7">
        <v>8.2122501851162696E-2</v>
      </c>
      <c r="FW458" s="6">
        <v>2600</v>
      </c>
      <c r="FX458" s="6">
        <v>2978.2600999800261</v>
      </c>
      <c r="FY458" s="6">
        <v>114</v>
      </c>
      <c r="FZ458" s="6">
        <v>1695.8504614767719</v>
      </c>
      <c r="GA458" s="6">
        <v>2408.8053963202078</v>
      </c>
      <c r="GB458" s="6">
        <v>17286.194603679793</v>
      </c>
      <c r="GC458" s="7">
        <v>8.1891069685915169E-2</v>
      </c>
      <c r="GD458" s="7">
        <v>8.9093895841201962E-2</v>
      </c>
      <c r="GE458" s="7"/>
      <c r="GF458" s="7"/>
      <c r="GG458" s="7">
        <v>8.7956185978672607E-2</v>
      </c>
      <c r="GH458" s="42">
        <v>2.4297427483693168</v>
      </c>
      <c r="GI458" s="6">
        <v>10514.601786994896</v>
      </c>
      <c r="GJ458" s="14">
        <v>0.51074630601039561</v>
      </c>
      <c r="GK458" s="14">
        <v>0.5082951978616097</v>
      </c>
      <c r="GL458" s="14">
        <v>0.48925369398960461</v>
      </c>
      <c r="GM458" s="14">
        <v>0.49170480213839035</v>
      </c>
      <c r="GO458" s="5">
        <v>338.16872463277008</v>
      </c>
      <c r="GP458" s="5">
        <v>288.56568471597211</v>
      </c>
      <c r="GQ458" s="5">
        <v>527.27910984145694</v>
      </c>
      <c r="GR458" s="5">
        <v>404.20319246551543</v>
      </c>
      <c r="GS458" s="5">
        <v>334.50205195691484</v>
      </c>
      <c r="GT458" s="5">
        <v>289.18266033348181</v>
      </c>
      <c r="GU458" s="5">
        <v>254.29573314828914</v>
      </c>
      <c r="GV458" s="39" t="s">
        <v>392</v>
      </c>
      <c r="GW458" s="5">
        <v>468.76388888888891</v>
      </c>
      <c r="GX458" s="5">
        <v>351.57291666666669</v>
      </c>
      <c r="GY458" s="5">
        <v>281.25833333333333</v>
      </c>
      <c r="GZ458" s="5">
        <v>240.85506989150105</v>
      </c>
      <c r="HA458" s="5">
        <v>229.89195052129477</v>
      </c>
      <c r="HB458" s="39">
        <v>249.02572057528488</v>
      </c>
      <c r="HC458" s="5">
        <v>278.12812499999995</v>
      </c>
      <c r="HD458" s="5">
        <v>232.92143640350872</v>
      </c>
      <c r="HE458" s="5">
        <v>234.3057059716599</v>
      </c>
      <c r="HF458" s="5">
        <v>215.06692434210527</v>
      </c>
      <c r="HG458" s="5">
        <v>205.38993421052629</v>
      </c>
      <c r="HH458" s="39">
        <v>233.01712830228558</v>
      </c>
      <c r="HI458" s="16"/>
      <c r="HJ458" s="19" t="str">
        <f t="shared" si="1412"/>
        <v>On</v>
      </c>
      <c r="HK458" s="1" t="str">
        <f t="shared" si="1412"/>
        <v>On</v>
      </c>
      <c r="HL458" s="16"/>
      <c r="HM458" s="639">
        <f t="shared" si="1278"/>
        <v>6.6115095157691428E-2</v>
      </c>
      <c r="HN458" s="639">
        <f t="shared" si="1279"/>
        <v>2.3720927871164412E-3</v>
      </c>
      <c r="HO458" s="639">
        <f t="shared" si="1280"/>
        <v>7.7231033444443466E-3</v>
      </c>
      <c r="HP458" s="644">
        <f>(FT458*$GD458-HM458)/$JF458*INDEX(Input!$1:$1048576,$JG$93,$C458*2+6)</f>
        <v>307.57620833285745</v>
      </c>
      <c r="HQ458" s="644">
        <f>(FU458*$GD458-HN458)/$JF458*INDEX(Input!$1:$1048576,$JG$93,$C458*2+6)</f>
        <v>16.609473553844612</v>
      </c>
      <c r="HR458" s="644">
        <f>(FV458*$GD458-HO458)/$JF458*INDEX(Input!$1:$1048576,$JG$93,$C458*2+6)</f>
        <v>-9.9155163106225324</v>
      </c>
      <c r="HS458" s="644">
        <f t="shared" si="1406"/>
        <v>-73.637477877440375</v>
      </c>
      <c r="HT458" s="644">
        <f t="shared" si="1282"/>
        <v>122.41495816005974</v>
      </c>
      <c r="HU458" s="644">
        <f t="shared" si="1283"/>
        <v>21.708213448817318</v>
      </c>
      <c r="HV458" s="648">
        <f t="shared" si="1284"/>
        <v>0</v>
      </c>
      <c r="HW458" s="648">
        <f t="shared" si="1285"/>
        <v>0</v>
      </c>
      <c r="HX458" s="648">
        <f t="shared" si="1286"/>
        <v>0</v>
      </c>
      <c r="HY458" s="644">
        <f>INDEX(Input!$1:$1048576,HY$93,$C458*2+6)*INDEX(Input!$1:$1048576,$JG$93,$C458*2+6)</f>
        <v>844</v>
      </c>
      <c r="HZ458" s="644">
        <f>INDEX(Input!$1:$1048576,HZ$93,$C458*2+6)*INDEX(Input!$1:$1048576,$JG$93,$C458*2+6)</f>
        <v>865</v>
      </c>
      <c r="IA458" s="644">
        <f>INDEX(Input!$1:$1048576,IA$93,$C458*2+6)*INDEX(Input!$1:$1048576,$JG$93,$C458*2+6)</f>
        <v>150</v>
      </c>
      <c r="IB458" s="644">
        <f t="shared" si="1310"/>
        <v>1077.938730455417</v>
      </c>
      <c r="IC458" s="644">
        <f t="shared" si="1311"/>
        <v>1004.0244317139044</v>
      </c>
      <c r="ID458" s="644">
        <f>IF(AND(INDEX(Input!$1:$1048576,IA$93,$C458*2+7)="TOS",Y458&lt;=INDEX(Y:Y,MATCH(C458*1000+2,A:A))),0,1)*MAX(IA458+HR458+HU458+HX458,0%)</f>
        <v>161.7926971381948</v>
      </c>
      <c r="IE458" s="128">
        <f t="shared" si="1411"/>
        <v>0.48041712113371282</v>
      </c>
      <c r="IF458" s="128">
        <f t="shared" si="1383"/>
        <v>0.4474749013129144</v>
      </c>
      <c r="IG458" s="128">
        <f t="shared" si="1288"/>
        <v>7.2107977553372671E-2</v>
      </c>
      <c r="IH458" s="21"/>
      <c r="II458" s="19">
        <f t="shared" si="1289"/>
        <v>1199.9999999999998</v>
      </c>
      <c r="IJ458" s="19">
        <f t="shared" si="1290"/>
        <v>2195.4782357510435</v>
      </c>
      <c r="IK458" s="19">
        <f t="shared" si="1291"/>
        <v>-571</v>
      </c>
      <c r="IL458" s="19">
        <f t="shared" si="1313"/>
        <v>1400.0000000000002</v>
      </c>
      <c r="IM458" s="19">
        <f t="shared" si="1292"/>
        <v>782.78186422898261</v>
      </c>
      <c r="IN458" s="19">
        <f t="shared" si="1293"/>
        <v>685</v>
      </c>
      <c r="IO458" s="39">
        <f t="shared" si="1294"/>
        <v>0</v>
      </c>
      <c r="IP458" s="39">
        <f t="shared" si="1295"/>
        <v>0</v>
      </c>
      <c r="IQ458" s="39">
        <f t="shared" si="1296"/>
        <v>0</v>
      </c>
      <c r="IR458" s="39">
        <v>0</v>
      </c>
      <c r="IS458" s="39">
        <v>0</v>
      </c>
      <c r="IT458" s="39">
        <v>0</v>
      </c>
      <c r="IU458" s="39">
        <v>0</v>
      </c>
      <c r="IV458" s="39">
        <v>0</v>
      </c>
      <c r="IW458" s="39">
        <v>0</v>
      </c>
      <c r="IX458" s="39">
        <f>INDEX(Input!$1:$1048576,IX$93,$C458*2+6)+INDEX(Input!$1:$1048576,IX$94,$C458*2+6)</f>
        <v>1600</v>
      </c>
      <c r="IY458" s="39">
        <f>INDEX(Input!$1:$1048576,IY$93,$C458*2+6)+INDEX(Input!$1:$1048576,IY$94,$C458*2+6)</f>
        <v>2503.549291639752</v>
      </c>
      <c r="IZ458" s="39">
        <f>INDEX(Input!$1:$1048576,IZ$93,$C458*2+6)+INDEX(Input!$1:$1048576,IZ$94,$C458*2+6)</f>
        <v>5413.7109265464023</v>
      </c>
      <c r="JA458" s="19">
        <f t="shared" si="1314"/>
        <v>3000</v>
      </c>
      <c r="JB458" s="19">
        <f t="shared" si="1315"/>
        <v>3286.3311558687346</v>
      </c>
      <c r="JC458" s="19">
        <f t="shared" si="1316"/>
        <v>6098.7109265464023</v>
      </c>
      <c r="JD458" s="19">
        <f t="shared" si="1317"/>
        <v>3351.5677836509726</v>
      </c>
      <c r="JE458" s="21"/>
      <c r="JF458" s="1">
        <f t="shared" si="1297"/>
        <v>7.6210291289252219E-2</v>
      </c>
      <c r="JG458" s="15">
        <f>INDEX(Input!$1:$1048576,JG$93,$C458*2+6)/(1+VLOOKUP(C458*1000+INDEX(Input!$1:$1048576,JG$93+1,$C458*2+6),$A:$KK,$JK$92,FALSE))</f>
        <v>1859</v>
      </c>
      <c r="JH458" s="1">
        <f t="shared" si="1318"/>
        <v>0.16905334350515305</v>
      </c>
      <c r="JI458" s="1">
        <f t="shared" si="1319"/>
        <v>3.7915919166991226E-2</v>
      </c>
      <c r="JJ458" s="1">
        <f t="shared" si="1384"/>
        <v>0</v>
      </c>
      <c r="JK458" s="1">
        <f t="shared" si="1385"/>
        <v>0.20696926267214427</v>
      </c>
      <c r="JL458" s="15">
        <f t="shared" si="1322"/>
        <v>384.75585930751618</v>
      </c>
      <c r="JM458" s="15">
        <f t="shared" si="1348"/>
        <v>2243.7558593075164</v>
      </c>
      <c r="JN458" s="21"/>
      <c r="JO458" s="19">
        <f>INDEX(Input!$1:$1048576,JO$93,$C458*2+6)</f>
        <v>5908.5</v>
      </c>
      <c r="JP458" s="19">
        <f>INDEX(Input!$1:$1048576,JP$93,$C458*2+6)</f>
        <v>2328.1478086338602</v>
      </c>
      <c r="JQ458" s="39">
        <f t="shared" si="1334"/>
        <v>2556.9322163490274</v>
      </c>
      <c r="JR458" s="39">
        <f t="shared" si="1351"/>
        <v>1023.4199750171124</v>
      </c>
      <c r="JS458" s="39">
        <f t="shared" si="1336"/>
        <v>7.5200998524331766</v>
      </c>
      <c r="JT458" s="39">
        <f t="shared" si="1324"/>
        <v>3.19207307618283</v>
      </c>
      <c r="JU458" s="385">
        <f>(JQ458*JM458-INDEX(Input!$1:$1048576,Input!A$18,$C458*2+6)*JL458*INDEX(Input!$1:$1048576,Input!A$19,$C458*2+6))/1000000</f>
        <v>5.7371316422852843</v>
      </c>
      <c r="JV458" s="39">
        <f t="shared" si="1358"/>
        <v>-0.91874308146436956</v>
      </c>
      <c r="JW458" s="1">
        <f t="shared" si="1349"/>
        <v>-0.13803491195320852</v>
      </c>
      <c r="JX458" s="19">
        <f t="shared" si="1340"/>
        <v>8296.359883714118</v>
      </c>
      <c r="JZ458" s="341"/>
      <c r="KA458" s="342"/>
      <c r="KB458" s="469">
        <f t="shared" si="1337"/>
        <v>2.3451977905499271</v>
      </c>
      <c r="KI458" s="473">
        <f t="shared" si="1408"/>
        <v>233.93873045541704</v>
      </c>
      <c r="KJ458" s="473">
        <f t="shared" si="1409"/>
        <v>139.02443171390439</v>
      </c>
      <c r="KK458" s="473">
        <f t="shared" si="1326"/>
        <v>11.792697138194796</v>
      </c>
      <c r="KN458" s="544">
        <f t="shared" si="1341"/>
        <v>4002</v>
      </c>
      <c r="KO458" s="541">
        <f t="shared" si="1301"/>
        <v>0.1232034459855933</v>
      </c>
      <c r="KP458" s="546">
        <f t="shared" si="1302"/>
        <v>677.61613511100325</v>
      </c>
      <c r="KQ458" s="546">
        <f t="shared" si="1303"/>
        <v>627.82422205297689</v>
      </c>
      <c r="KR458" s="548">
        <f t="shared" si="1304"/>
        <v>3.0856958203537928</v>
      </c>
      <c r="KS458" s="548">
        <f t="shared" si="1305"/>
        <v>3.3304182961897233</v>
      </c>
      <c r="KT458" s="473">
        <f t="shared" si="1339"/>
        <v>1050.27685337919</v>
      </c>
      <c r="KU458" s="663">
        <f t="shared" si="1327"/>
        <v>6.6776359665545257</v>
      </c>
      <c r="KV458" s="117"/>
    </row>
    <row r="459" spans="1:308" s="26" customFormat="1" ht="15" outlineLevel="1">
      <c r="A459" s="561">
        <f t="shared" si="1306"/>
        <v>4059</v>
      </c>
      <c r="B459" s="561">
        <f t="shared" si="1328"/>
        <v>59</v>
      </c>
      <c r="C459" s="561">
        <f t="shared" si="1329"/>
        <v>4</v>
      </c>
      <c r="D459" s="561" t="str">
        <f t="shared" si="1413"/>
        <v xml:space="preserve">250 CC, 0/0/0.9/3.9, -360 Lease, </v>
      </c>
      <c r="E459" s="475">
        <f>INDEX(Input!$1:$1048576,E$93,$C459*2+MIN($B459,2)+5)
+INDEX(Scenarios!E$121:E$200,MATCH($B459,Scenarios!$B$121:$B$200,0))</f>
        <v>1500</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8.9999999999999959E-3</v>
      </c>
      <c r="W459" s="863">
        <f>IFERROR(MAX(0,INDEX(Input!$1:$1048576,W$93,$C459*2+MIN($B459,2)+5)-0%,),"Market")</f>
        <v>3.9E-2</v>
      </c>
      <c r="X459" s="476" t="str">
        <f>INDEX(Input!$1:$1048576,X$93,$C459*2+MIN($B459,2)+5)</f>
        <v>Y</v>
      </c>
      <c r="Y459" s="475">
        <f>INDEX(Input!$1:$1048576,Y$93,$C459*2+MIN($B459,2)+5)
++INDEX(Scenarios!Y$121:Y$200,MATCH($B459,Scenarios!$B$121:$B$200,0))</f>
        <v>-2577</v>
      </c>
      <c r="Z459" s="477">
        <f>INDEX(Input!$1:$1048576,Z$93,$C459*2+MIN($B459,2)+5)
+INDEX(Scenarios!Z$121:Z$200,MATCH($B459,Scenarios!$B$121:$B$200,0))</f>
        <v>0</v>
      </c>
      <c r="AA459" s="475">
        <f>INDEX(Input!$1:$1048576,AA$93,$C459*2+MIN($B459,2)+5)</f>
        <v>0</v>
      </c>
      <c r="AB459" s="476">
        <f>INDEX(Input!$1:$1048576,AB$93,$C459*2+MIN($B459,2)+5)</f>
        <v>1</v>
      </c>
      <c r="AC459" s="475">
        <f>INDEX(Input!$1:$1048576,AC$93,$C459*2+MIN($B459,2)+5)
+INDEX(Scenarios!AC$121:AC$200,MATCH($B459,Scenarios!$B$121:$B$200,0))</f>
        <v>0</v>
      </c>
      <c r="AD459" s="476">
        <f>INDEX(Input!$1:$1048576,AD$93,$C459*2+MIN($B459,2)+5)</f>
        <v>0.35</v>
      </c>
      <c r="AE459" s="475">
        <f>INDEX(Input!$1:$1048576,AE$93,$C459*2+MIN($B459,2)+5)
+INDEX(Scenarios!AE$121:AE$200,MATCH($B459,Scenarios!$B$121:$B$200,0))</f>
        <v>0</v>
      </c>
      <c r="AF459" s="476">
        <f>INDEX(Input!$1:$1048576,AF$93,$C459*2+MIN($B459,2)+5)</f>
        <v>1</v>
      </c>
      <c r="AG459" s="475">
        <f>INDEX(Input!$1:$1048576,AG$93,$C459*2+MIN($B459,2)+5)
+INDEX(Scenarios!AG$121:AG$200,MATCH($B459,Scenarios!$B$121:$B$200,0))</f>
        <v>0</v>
      </c>
      <c r="AH459" s="476">
        <f>INDEX(Input!$1:$1048576,AH$93,$C459*2+MIN($B459,2)+5)</f>
        <v>1</v>
      </c>
      <c r="AI459" s="475">
        <f>INDEX(Input!$1:$1048576,AI$93,$C459*2+MIN($B459,2)+5)
+INDEX(Scenarios!AI$121:AI$200,MATCH($B459,Scenarios!$B$121:$B$200,0))</f>
        <v>0</v>
      </c>
      <c r="AJ459" s="476">
        <f>INDEX(Input!$1:$1048576,AJ$93,$C459*2+MIN($B459,2)+5)</f>
        <v>0.35</v>
      </c>
      <c r="AK459" s="150">
        <f>ROUND(INDEX(Input!$1:$1048576,AK$93,$C458*2+MIN($B459,1)+5)+(Y459-VLOOKUP($C459*1000+1,$A:$HH,Y$92,FALSE)),0)</f>
        <v>4232</v>
      </c>
      <c r="AL459" s="150">
        <f>ROUND(INDEX(Input!$1:$1048576,AL$93,$C458*2+MIN($B459,1)+5)-(Y459-VLOOKUP($C459*1000+1,$A:$HH,Y$92,FALSE))/36,0)</f>
        <v>4753</v>
      </c>
      <c r="AM459" s="32" t="str">
        <f t="shared" si="1307"/>
        <v>std/std/std/std</v>
      </c>
      <c r="AN459" s="32" t="str">
        <f t="shared" si="1308"/>
        <v>$0 + 0/0/0/0.9/3.9</v>
      </c>
      <c r="AO459" s="32" t="str">
        <f t="shared" si="1309"/>
        <v>0/0/0/0.9/3.9</v>
      </c>
      <c r="AP459" s="32" t="str">
        <f t="shared" si="1386"/>
        <v>0/0/0.9/3.9</v>
      </c>
      <c r="AQ459" s="536">
        <f t="shared" si="1379"/>
        <v>0.45038497181843895</v>
      </c>
      <c r="AR459" s="32"/>
      <c r="AS459" s="302"/>
      <c r="AT459" s="3">
        <f t="shared" si="1330"/>
        <v>59</v>
      </c>
      <c r="AU459" s="41" t="s">
        <v>121</v>
      </c>
      <c r="AV459" s="41" t="s">
        <v>116</v>
      </c>
      <c r="AW459" s="41" t="str">
        <f>INDEX(Input!$1:$1048576,AW$93,$C459*2+6)</f>
        <v>Kia</v>
      </c>
      <c r="AX459" s="41" t="str">
        <f>INDEX(Input!$1:$1048576,AX$93,$C459*2+6)</f>
        <v>Kia-LR - R1</v>
      </c>
      <c r="AY459" s="41" t="str">
        <f>IF(LEN(D459)=0,"",INDEX(Input!$1:$1048576,AY$93,$C459*2+6))</f>
        <v>Compact Conventional/Sporty Car (43)</v>
      </c>
      <c r="AZ459" s="41" t="str">
        <f>INDEX(Input!$1:$1048576,AZ$93,$C459*2+6)</f>
        <v>Kia Forte</v>
      </c>
      <c r="BA459" s="3">
        <f>INDEX(Input!$1:$1048576,BA$93,$C459*2+6)</f>
        <v>2020</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19695</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387"/>
        <v>1810</v>
      </c>
      <c r="CJ459" s="16" t="str">
        <f>INDEX(Input!$1:$1048576,CJ$93,$C459*2+6)</f>
        <v>N</v>
      </c>
      <c r="CK459" s="1" t="str">
        <f t="shared" si="1388"/>
        <v>Market</v>
      </c>
      <c r="CL459" s="1" t="str">
        <f t="shared" si="1389"/>
        <v>Market</v>
      </c>
      <c r="CM459" s="1" t="str">
        <f t="shared" si="1390"/>
        <v>Market</v>
      </c>
      <c r="CN459" s="1" t="str">
        <f t="shared" si="1391"/>
        <v>Market</v>
      </c>
      <c r="CO459" s="1" t="str">
        <f t="shared" si="1392"/>
        <v>Market</v>
      </c>
      <c r="CP459" s="304">
        <f t="shared" si="1393"/>
        <v>0</v>
      </c>
      <c r="CQ459" s="1">
        <f t="shared" si="1394"/>
        <v>0</v>
      </c>
      <c r="CR459" s="1">
        <f t="shared" si="1395"/>
        <v>0</v>
      </c>
      <c r="CS459" s="1">
        <f t="shared" si="1396"/>
        <v>0</v>
      </c>
      <c r="CT459" s="1">
        <f t="shared" si="1397"/>
        <v>8.9999999999999959E-3</v>
      </c>
      <c r="CU459" s="1">
        <f t="shared" si="1398"/>
        <v>3.9E-2</v>
      </c>
      <c r="CV459" s="304">
        <f t="shared" si="1399"/>
        <v>-2577</v>
      </c>
      <c r="CW459" s="20" t="s">
        <v>122</v>
      </c>
      <c r="CX459" s="20" t="s">
        <v>122</v>
      </c>
      <c r="CY459" s="20" t="s">
        <v>122</v>
      </c>
      <c r="CZ459" s="20" t="s">
        <v>122</v>
      </c>
      <c r="DA459" s="20" t="s">
        <v>122</v>
      </c>
      <c r="DB459" s="503">
        <f t="shared" si="1400"/>
        <v>0</v>
      </c>
      <c r="DC459" s="127">
        <v>0</v>
      </c>
      <c r="DD459" s="127">
        <v>0</v>
      </c>
      <c r="DE459" s="127">
        <v>0</v>
      </c>
      <c r="DF459" s="127">
        <v>0</v>
      </c>
      <c r="DG459" s="127">
        <v>0</v>
      </c>
      <c r="DH459" s="127">
        <v>0</v>
      </c>
      <c r="DI459" s="127">
        <v>0</v>
      </c>
      <c r="DJ459" s="127">
        <v>0</v>
      </c>
      <c r="DK459" s="127">
        <v>0</v>
      </c>
      <c r="DL459" s="127">
        <v>0</v>
      </c>
      <c r="DM459" s="304">
        <f>INDEX(Input!$1:$1048576,DM$93,$C459*2+6)</f>
        <v>20731.578947368424</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4.6041552126741034E-2</v>
      </c>
      <c r="DZ459" s="7">
        <v>0</v>
      </c>
      <c r="EA459" s="7">
        <v>0.82711424080163465</v>
      </c>
      <c r="EB459" s="7">
        <v>0</v>
      </c>
      <c r="EC459" s="7">
        <v>0</v>
      </c>
      <c r="ED459" s="7">
        <v>0</v>
      </c>
      <c r="EE459" s="7">
        <v>0</v>
      </c>
      <c r="EF459" s="7">
        <v>0</v>
      </c>
      <c r="EG459" s="7">
        <v>0</v>
      </c>
      <c r="EH459" s="7">
        <v>8.4701061714395655E-3</v>
      </c>
      <c r="EI459" s="7">
        <v>1.3604778488075932E-2</v>
      </c>
      <c r="EJ459" s="7">
        <v>0.12766670045931933</v>
      </c>
      <c r="EK459" s="7">
        <v>0.81013536160314048</v>
      </c>
      <c r="EL459" s="7">
        <v>4.0123053278025407E-2</v>
      </c>
      <c r="EM459" s="7">
        <v>4.2263420914228599E-2</v>
      </c>
      <c r="EN459" s="7">
        <v>4.6384808859370151E-2</v>
      </c>
      <c r="EO459" s="7">
        <v>0.57151665535510687</v>
      </c>
      <c r="EP459" s="7">
        <v>0.26799274308825616</v>
      </c>
      <c r="EQ459" s="7">
        <v>6.8673406431203982E-2</v>
      </c>
      <c r="ER459" s="7">
        <v>4.5432386266062878E-2</v>
      </c>
      <c r="ES459" s="7">
        <v>8.458078615739574E-2</v>
      </c>
      <c r="ET459" s="7">
        <v>0.12684420707162433</v>
      </c>
      <c r="EU459" s="6">
        <v>1849.9999999999998</v>
      </c>
      <c r="EV459" s="6">
        <v>0</v>
      </c>
      <c r="EW459" s="6">
        <v>1849.9999999999998</v>
      </c>
      <c r="EX459" s="6">
        <v>0</v>
      </c>
      <c r="EY459" s="6">
        <v>2978.2296973175976</v>
      </c>
      <c r="EZ459" s="6">
        <v>-606</v>
      </c>
      <c r="FA459" s="6">
        <v>0</v>
      </c>
      <c r="FB459" s="6">
        <v>0</v>
      </c>
      <c r="FC459" s="6">
        <v>0</v>
      </c>
      <c r="FD459" s="6">
        <v>0</v>
      </c>
      <c r="FE459" s="6">
        <v>0</v>
      </c>
      <c r="FF459" s="6">
        <v>0</v>
      </c>
      <c r="FG459" s="6">
        <v>0</v>
      </c>
      <c r="FH459" s="6">
        <v>1153.2424847996965</v>
      </c>
      <c r="FI459" s="6">
        <v>1531.4299904380609</v>
      </c>
      <c r="FJ459" s="6">
        <v>2070.7205842538219</v>
      </c>
      <c r="FK459" s="6">
        <v>2218.6393698501001</v>
      </c>
      <c r="FL459" s="6">
        <v>893.91433563489363</v>
      </c>
      <c r="FM459" s="6">
        <v>2128.2296973175976</v>
      </c>
      <c r="FN459" s="6">
        <v>0</v>
      </c>
      <c r="FO459" s="6">
        <v>0</v>
      </c>
      <c r="FP459" s="6">
        <v>0</v>
      </c>
      <c r="FQ459" s="6">
        <v>0</v>
      </c>
      <c r="FR459" s="6">
        <v>0</v>
      </c>
      <c r="FS459" s="6">
        <v>0</v>
      </c>
      <c r="FT459" s="7">
        <v>0.87315579292837564</v>
      </c>
      <c r="FU459" s="7">
        <v>4.2263420914228599E-2</v>
      </c>
      <c r="FV459" s="7">
        <v>8.458078615739574E-2</v>
      </c>
      <c r="FW459" s="6">
        <v>1850</v>
      </c>
      <c r="FX459" s="6">
        <v>2978.2296973175976</v>
      </c>
      <c r="FY459" s="6">
        <v>-606</v>
      </c>
      <c r="FZ459" s="6">
        <v>1695.8504614767719</v>
      </c>
      <c r="GA459" s="6">
        <v>1689.9524357831024</v>
      </c>
      <c r="GB459" s="6">
        <v>18005.047564216897</v>
      </c>
      <c r="GC459" s="7">
        <v>8.1891069685915169E-2</v>
      </c>
      <c r="GD459" s="7">
        <v>8.1999880997097013E-2</v>
      </c>
      <c r="GE459" s="7"/>
      <c r="GF459" s="7"/>
      <c r="GG459" s="7">
        <v>1.3287323220856581E-3</v>
      </c>
      <c r="GH459" s="42">
        <v>-4.4369733945996863</v>
      </c>
      <c r="GI459" s="6">
        <v>-2748.8841873912543</v>
      </c>
      <c r="GJ459" s="14">
        <v>0.5107463060103955</v>
      </c>
      <c r="GK459" s="14">
        <v>0.50829519786160926</v>
      </c>
      <c r="GL459" s="14">
        <v>0.48925369398960405</v>
      </c>
      <c r="GM459" s="14">
        <v>0.49170480213839018</v>
      </c>
      <c r="GO459" s="5">
        <v>338.16872463277008</v>
      </c>
      <c r="GP459" s="5">
        <v>302.87425392274076</v>
      </c>
      <c r="GQ459" s="5">
        <v>527.27910984145694</v>
      </c>
      <c r="GR459" s="5">
        <v>404.20319246551543</v>
      </c>
      <c r="GS459" s="5">
        <v>334.50205195691484</v>
      </c>
      <c r="GT459" s="5">
        <v>289.18266033348181</v>
      </c>
      <c r="GU459" s="5">
        <v>254.29573314828914</v>
      </c>
      <c r="GV459" s="39" t="s">
        <v>392</v>
      </c>
      <c r="GW459" s="5">
        <v>468.76388888888891</v>
      </c>
      <c r="GX459" s="5">
        <v>351.57291666666669</v>
      </c>
      <c r="GY459" s="5">
        <v>281.25833333333333</v>
      </c>
      <c r="GZ459" s="5">
        <v>240.85506989150105</v>
      </c>
      <c r="HA459" s="5">
        <v>229.89195052129477</v>
      </c>
      <c r="HB459" s="39">
        <v>249.01005107469263</v>
      </c>
      <c r="HC459" s="5">
        <v>309.62812499999995</v>
      </c>
      <c r="HD459" s="5">
        <v>254.42143640350872</v>
      </c>
      <c r="HE459" s="5">
        <v>254.26724443319836</v>
      </c>
      <c r="HF459" s="5">
        <v>231.71692434210524</v>
      </c>
      <c r="HG459" s="5">
        <v>219.1899342105263</v>
      </c>
      <c r="HH459" s="39">
        <v>253.78101837174995</v>
      </c>
      <c r="HI459" s="16"/>
      <c r="HJ459" s="19" t="str">
        <f t="shared" si="1412"/>
        <v>On</v>
      </c>
      <c r="HK459" s="1" t="str">
        <f t="shared" si="1412"/>
        <v>On</v>
      </c>
      <c r="HL459" s="16"/>
      <c r="HM459" s="639">
        <f t="shared" si="1278"/>
        <v>6.6115095157691428E-2</v>
      </c>
      <c r="HN459" s="639">
        <f t="shared" si="1279"/>
        <v>2.3720927871164412E-3</v>
      </c>
      <c r="HO459" s="639">
        <f t="shared" si="1280"/>
        <v>7.7231033444443466E-3</v>
      </c>
      <c r="HP459" s="644">
        <f>(FT459*$GD459-HM459)/$JF459*INDEX(Input!$1:$1048576,$JG$93,$C459*2+6)</f>
        <v>133.76103839397368</v>
      </c>
      <c r="HQ459" s="644">
        <f>(FU459*$GD459-HN459)/$JF459*INDEX(Input!$1:$1048576,$JG$93,$C459*2+6)</f>
        <v>26.673845249769837</v>
      </c>
      <c r="HR459" s="644">
        <f>(FV459*$GD459-HO459)/$JF459*INDEX(Input!$1:$1048576,$JG$93,$C459*2+6)</f>
        <v>-19.209242266338808</v>
      </c>
      <c r="HS459" s="644">
        <f t="shared" si="1406"/>
        <v>-34.27515475168898</v>
      </c>
      <c r="HT459" s="644">
        <f t="shared" si="1282"/>
        <v>126.19300260315853</v>
      </c>
      <c r="HU459" s="644">
        <f t="shared" si="1283"/>
        <v>2.6996842299118473</v>
      </c>
      <c r="HV459" s="648">
        <f t="shared" si="1284"/>
        <v>0</v>
      </c>
      <c r="HW459" s="648">
        <f t="shared" si="1285"/>
        <v>0</v>
      </c>
      <c r="HX459" s="648">
        <f t="shared" si="1286"/>
        <v>0</v>
      </c>
      <c r="HY459" s="644">
        <f>INDEX(Input!$1:$1048576,HY$93,$C459*2+6)*INDEX(Input!$1:$1048576,$JG$93,$C459*2+6)</f>
        <v>844</v>
      </c>
      <c r="HZ459" s="644">
        <f>INDEX(Input!$1:$1048576,HZ$93,$C459*2+6)*INDEX(Input!$1:$1048576,$JG$93,$C459*2+6)</f>
        <v>865</v>
      </c>
      <c r="IA459" s="644">
        <f>INDEX(Input!$1:$1048576,IA$93,$C459*2+6)*INDEX(Input!$1:$1048576,$JG$93,$C459*2+6)</f>
        <v>150</v>
      </c>
      <c r="IB459" s="644">
        <f t="shared" si="1310"/>
        <v>943.48588364228465</v>
      </c>
      <c r="IC459" s="644">
        <f t="shared" si="1311"/>
        <v>1017.8668478529283</v>
      </c>
      <c r="ID459" s="644">
        <f>IF(AND(INDEX(Input!$1:$1048576,IA$93,$C459*2+7)="TOS",Y459&lt;=INDEX(Y:Y,MATCH(C459*1000+2,A:A))),0,1)*MAX(IA459+HR459+HU459+HX459,0%)</f>
        <v>133.49044196357303</v>
      </c>
      <c r="IE459" s="128">
        <f t="shared" si="1411"/>
        <v>0.45038497181843895</v>
      </c>
      <c r="IF459" s="128">
        <f t="shared" si="1383"/>
        <v>0.48589166995844035</v>
      </c>
      <c r="IG459" s="128">
        <f t="shared" si="1288"/>
        <v>6.3723358223120613E-2</v>
      </c>
      <c r="IH459" s="21"/>
      <c r="II459" s="19">
        <f t="shared" si="1289"/>
        <v>1199.9999999999998</v>
      </c>
      <c r="IJ459" s="19">
        <f t="shared" si="1290"/>
        <v>2195.4782357510435</v>
      </c>
      <c r="IK459" s="19">
        <f t="shared" si="1291"/>
        <v>-571</v>
      </c>
      <c r="IL459" s="19">
        <f t="shared" si="1313"/>
        <v>650.00000000000023</v>
      </c>
      <c r="IM459" s="19">
        <f t="shared" si="1292"/>
        <v>782.7514615665541</v>
      </c>
      <c r="IN459" s="19">
        <f t="shared" si="1293"/>
        <v>-35</v>
      </c>
      <c r="IO459" s="39">
        <f t="shared" si="1294"/>
        <v>0</v>
      </c>
      <c r="IP459" s="39">
        <f t="shared" si="1295"/>
        <v>0</v>
      </c>
      <c r="IQ459" s="39">
        <f t="shared" si="1296"/>
        <v>0</v>
      </c>
      <c r="IR459" s="39">
        <v>0</v>
      </c>
      <c r="IS459" s="39">
        <v>0</v>
      </c>
      <c r="IT459" s="39">
        <v>0</v>
      </c>
      <c r="IU459" s="39">
        <v>0</v>
      </c>
      <c r="IV459" s="39">
        <v>0</v>
      </c>
      <c r="IW459" s="39">
        <v>0</v>
      </c>
      <c r="IX459" s="39">
        <f>INDEX(Input!$1:$1048576,IX$93,$C459*2+6)+INDEX(Input!$1:$1048576,IX$94,$C459*2+6)</f>
        <v>1600</v>
      </c>
      <c r="IY459" s="39">
        <f>INDEX(Input!$1:$1048576,IY$93,$C459*2+6)+INDEX(Input!$1:$1048576,IY$94,$C459*2+6)</f>
        <v>2503.549291639752</v>
      </c>
      <c r="IZ459" s="39">
        <f>INDEX(Input!$1:$1048576,IZ$93,$C459*2+6)+INDEX(Input!$1:$1048576,IZ$94,$C459*2+6)</f>
        <v>5413.7109265464023</v>
      </c>
      <c r="JA459" s="19">
        <f t="shared" si="1314"/>
        <v>2250</v>
      </c>
      <c r="JB459" s="19">
        <f t="shared" si="1315"/>
        <v>3286.3007532063061</v>
      </c>
      <c r="JC459" s="19">
        <f t="shared" si="1316"/>
        <v>5378.7109265464023</v>
      </c>
      <c r="JD459" s="19">
        <f t="shared" si="1317"/>
        <v>2952.9018707035093</v>
      </c>
      <c r="JE459" s="21"/>
      <c r="JF459" s="1">
        <f t="shared" si="1297"/>
        <v>7.6210291289252219E-2</v>
      </c>
      <c r="JG459" s="15">
        <f>INDEX(Input!$1:$1048576,JG$93,$C459*2+6)/(1+VLOOKUP(C459*1000+INDEX(Input!$1:$1048576,JG$93+1,$C459*2+6),$A:$KK,$JK$92,FALSE))</f>
        <v>1859</v>
      </c>
      <c r="JH459" s="1">
        <f t="shared" si="1318"/>
        <v>7.5968607518776071E-2</v>
      </c>
      <c r="JI459" s="1">
        <f t="shared" si="1319"/>
        <v>5.0897004885089518E-2</v>
      </c>
      <c r="JJ459" s="1">
        <f t="shared" si="1384"/>
        <v>0</v>
      </c>
      <c r="JK459" s="1">
        <f t="shared" si="1385"/>
        <v>0.1268656124038656</v>
      </c>
      <c r="JL459" s="15">
        <f t="shared" si="1322"/>
        <v>235.84317345878614</v>
      </c>
      <c r="JM459" s="15">
        <f t="shared" si="1348"/>
        <v>2094.8431734587862</v>
      </c>
      <c r="JN459" s="21"/>
      <c r="JO459" s="19">
        <f>INDEX(Input!$1:$1048576,JO$93,$C459*2+6)</f>
        <v>5908.5</v>
      </c>
      <c r="JP459" s="19">
        <f>INDEX(Input!$1:$1048576,JP$93,$C459*2+6)</f>
        <v>2328.1478086338602</v>
      </c>
      <c r="JQ459" s="39">
        <f t="shared" si="1334"/>
        <v>2955.5981292964907</v>
      </c>
      <c r="JR459" s="39">
        <f t="shared" si="1351"/>
        <v>624.75406206964908</v>
      </c>
      <c r="JS459" s="39">
        <f t="shared" si="1336"/>
        <v>6.1858663257369262</v>
      </c>
      <c r="JT459" s="39">
        <f t="shared" si="1324"/>
        <v>1.8578395494865794</v>
      </c>
      <c r="JU459" s="385">
        <f>(JQ459*JM459-INDEX(Input!$1:$1048576,Input!A$18,$C459*2+6)*JL459*INDEX(Input!$1:$1048576,Input!A$19,$C459*2+6))/1000000</f>
        <v>6.1915145646443124</v>
      </c>
      <c r="JV459" s="39">
        <f t="shared" si="1358"/>
        <v>-0.46436015910534145</v>
      </c>
      <c r="JW459" s="1">
        <f t="shared" si="1349"/>
        <v>-6.9766962026553817E-2</v>
      </c>
      <c r="JX459" s="19">
        <f t="shared" si="1340"/>
        <v>7877.4361888038229</v>
      </c>
      <c r="JZ459" s="341"/>
      <c r="KA459" s="342"/>
      <c r="KB459" s="469">
        <f t="shared" si="1337"/>
        <v>2.3451977905499271</v>
      </c>
      <c r="KI459" s="473">
        <f t="shared" si="1408"/>
        <v>99.485883642284648</v>
      </c>
      <c r="KJ459" s="473">
        <f t="shared" si="1409"/>
        <v>152.86684785292834</v>
      </c>
      <c r="KK459" s="473">
        <f t="shared" si="1326"/>
        <v>-16.509558036426967</v>
      </c>
      <c r="KN459" s="544">
        <f t="shared" si="1341"/>
        <v>4002</v>
      </c>
      <c r="KO459" s="541">
        <f t="shared" si="1301"/>
        <v>4.8659131726784155E-2</v>
      </c>
      <c r="KP459" s="546">
        <f t="shared" si="1302"/>
        <v>275.58257103807102</v>
      </c>
      <c r="KQ459" s="546">
        <f t="shared" si="1303"/>
        <v>229.15830910551358</v>
      </c>
      <c r="KR459" s="548">
        <f t="shared" si="1304"/>
        <v>2.9965850144099053</v>
      </c>
      <c r="KS459" s="548">
        <f t="shared" si="1305"/>
        <v>3.6036511433019984</v>
      </c>
      <c r="KT459" s="473">
        <f t="shared" si="1339"/>
        <v>1050.27685337919</v>
      </c>
      <c r="KU459" s="663">
        <f t="shared" si="1327"/>
        <v>6.6335049470358785</v>
      </c>
      <c r="KV459" s="117"/>
    </row>
    <row r="460" spans="1:308" s="26" customFormat="1" ht="15" outlineLevel="1">
      <c r="A460" s="561">
        <f t="shared" si="1306"/>
        <v>4060</v>
      </c>
      <c r="B460" s="561">
        <f t="shared" si="1328"/>
        <v>60</v>
      </c>
      <c r="C460" s="561">
        <f t="shared" si="1329"/>
        <v>4</v>
      </c>
      <c r="D460" s="561" t="str">
        <f t="shared" si="1413"/>
        <v xml:space="preserve">500 CC, 0/0/0.9/3.9, -360 Lease, </v>
      </c>
      <c r="E460" s="475">
        <f>INDEX(Input!$1:$1048576,E$93,$C460*2+MIN($B460,2)+5)
+INDEX(Scenarios!E$121:E$200,MATCH($B460,Scenarios!$B$121:$B$200,0))</f>
        <v>1750</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8.9999999999999959E-3</v>
      </c>
      <c r="W460" s="863">
        <f>IFERROR(MAX(0,INDEX(Input!$1:$1048576,W$93,$C460*2+MIN($B460,2)+5)-0%,),"Market")</f>
        <v>3.9E-2</v>
      </c>
      <c r="X460" s="476" t="str">
        <f>INDEX(Input!$1:$1048576,X$93,$C460*2+MIN($B460,2)+5)</f>
        <v>Y</v>
      </c>
      <c r="Y460" s="475">
        <f>INDEX(Input!$1:$1048576,Y$93,$C460*2+MIN($B460,2)+5)
++INDEX(Scenarios!Y$121:Y$200,MATCH($B460,Scenarios!$B$121:$B$200,0))</f>
        <v>-2577</v>
      </c>
      <c r="Z460" s="477">
        <f>INDEX(Input!$1:$1048576,Z$93,$C460*2+MIN($B460,2)+5)
+INDEX(Scenarios!Z$121:Z$200,MATCH($B460,Scenarios!$B$121:$B$200,0))</f>
        <v>0</v>
      </c>
      <c r="AA460" s="475">
        <f>INDEX(Input!$1:$1048576,AA$93,$C460*2+MIN($B460,2)+5)</f>
        <v>0</v>
      </c>
      <c r="AB460" s="476">
        <f>INDEX(Input!$1:$1048576,AB$93,$C460*2+MIN($B460,2)+5)</f>
        <v>1</v>
      </c>
      <c r="AC460" s="475">
        <f>INDEX(Input!$1:$1048576,AC$93,$C460*2+MIN($B460,2)+5)
+INDEX(Scenarios!AC$121:AC$200,MATCH($B460,Scenarios!$B$121:$B$200,0))</f>
        <v>0</v>
      </c>
      <c r="AD460" s="476">
        <f>INDEX(Input!$1:$1048576,AD$93,$C460*2+MIN($B460,2)+5)</f>
        <v>0.35</v>
      </c>
      <c r="AE460" s="475">
        <f>INDEX(Input!$1:$1048576,AE$93,$C460*2+MIN($B460,2)+5)
+INDEX(Scenarios!AE$121:AE$200,MATCH($B460,Scenarios!$B$121:$B$200,0))</f>
        <v>0</v>
      </c>
      <c r="AF460" s="476">
        <f>INDEX(Input!$1:$1048576,AF$93,$C460*2+MIN($B460,2)+5)</f>
        <v>1</v>
      </c>
      <c r="AG460" s="475">
        <f>INDEX(Input!$1:$1048576,AG$93,$C460*2+MIN($B460,2)+5)
+INDEX(Scenarios!AG$121:AG$200,MATCH($B460,Scenarios!$B$121:$B$200,0))</f>
        <v>0</v>
      </c>
      <c r="AH460" s="476">
        <f>INDEX(Input!$1:$1048576,AH$93,$C460*2+MIN($B460,2)+5)</f>
        <v>1</v>
      </c>
      <c r="AI460" s="475">
        <f>INDEX(Input!$1:$1048576,AI$93,$C460*2+MIN($B460,2)+5)
+INDEX(Scenarios!AI$121:AI$200,MATCH($B460,Scenarios!$B$121:$B$200,0))</f>
        <v>0</v>
      </c>
      <c r="AJ460" s="476">
        <f>INDEX(Input!$1:$1048576,AJ$93,$C460*2+MIN($B460,2)+5)</f>
        <v>0.35</v>
      </c>
      <c r="AK460" s="150">
        <f>ROUND(INDEX(Input!$1:$1048576,AK$93,$C459*2+MIN($B460,1)+5)+(Y460-VLOOKUP($C460*1000+1,$A:$HH,Y$92,FALSE)),0)</f>
        <v>4232</v>
      </c>
      <c r="AL460" s="150">
        <f>ROUND(INDEX(Input!$1:$1048576,AL$93,$C459*2+MIN($B460,1)+5)-(Y460-VLOOKUP($C460*1000+1,$A:$HH,Y$92,FALSE))/36,0)</f>
        <v>4753</v>
      </c>
      <c r="AM460" s="32" t="str">
        <f t="shared" si="1307"/>
        <v>std/std/std/std</v>
      </c>
      <c r="AN460" s="32" t="str">
        <f t="shared" si="1308"/>
        <v>$0 + 0/0/0/0.9/3.9</v>
      </c>
      <c r="AO460" s="32" t="str">
        <f t="shared" si="1309"/>
        <v>0/0/0/0.9/3.9</v>
      </c>
      <c r="AP460" s="32" t="str">
        <f t="shared" si="1386"/>
        <v>0/0/0.9/3.9</v>
      </c>
      <c r="AQ460" s="536">
        <f t="shared" si="1379"/>
        <v>0.46466125239924033</v>
      </c>
      <c r="AR460" s="32"/>
      <c r="AS460" s="302"/>
      <c r="AT460" s="3">
        <f t="shared" si="1330"/>
        <v>60</v>
      </c>
      <c r="AU460" s="41" t="s">
        <v>121</v>
      </c>
      <c r="AV460" s="41" t="s">
        <v>116</v>
      </c>
      <c r="AW460" s="41" t="str">
        <f>INDEX(Input!$1:$1048576,AW$93,$C460*2+6)</f>
        <v>Kia</v>
      </c>
      <c r="AX460" s="41" t="str">
        <f>INDEX(Input!$1:$1048576,AX$93,$C460*2+6)</f>
        <v>Kia-LR - R1</v>
      </c>
      <c r="AY460" s="41" t="str">
        <f>IF(LEN(D460)=0,"",INDEX(Input!$1:$1048576,AY$93,$C460*2+6))</f>
        <v>Compact Conventional/Sporty Car (43)</v>
      </c>
      <c r="AZ460" s="41" t="str">
        <f>INDEX(Input!$1:$1048576,AZ$93,$C460*2+6)</f>
        <v>Kia Forte</v>
      </c>
      <c r="BA460" s="3">
        <f>INDEX(Input!$1:$1048576,BA$93,$C460*2+6)</f>
        <v>2020</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19695</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387"/>
        <v>2060</v>
      </c>
      <c r="CJ460" s="16" t="str">
        <f>INDEX(Input!$1:$1048576,CJ$93,$C460*2+6)</f>
        <v>N</v>
      </c>
      <c r="CK460" s="1" t="str">
        <f t="shared" si="1388"/>
        <v>Market</v>
      </c>
      <c r="CL460" s="1" t="str">
        <f t="shared" si="1389"/>
        <v>Market</v>
      </c>
      <c r="CM460" s="1" t="str">
        <f t="shared" si="1390"/>
        <v>Market</v>
      </c>
      <c r="CN460" s="1" t="str">
        <f t="shared" si="1391"/>
        <v>Market</v>
      </c>
      <c r="CO460" s="1" t="str">
        <f t="shared" si="1392"/>
        <v>Market</v>
      </c>
      <c r="CP460" s="304">
        <f t="shared" si="1393"/>
        <v>0</v>
      </c>
      <c r="CQ460" s="1">
        <f t="shared" si="1394"/>
        <v>0</v>
      </c>
      <c r="CR460" s="1">
        <f t="shared" si="1395"/>
        <v>0</v>
      </c>
      <c r="CS460" s="1">
        <f t="shared" si="1396"/>
        <v>0</v>
      </c>
      <c r="CT460" s="1">
        <f t="shared" si="1397"/>
        <v>8.9999999999999959E-3</v>
      </c>
      <c r="CU460" s="1">
        <f t="shared" si="1398"/>
        <v>3.9E-2</v>
      </c>
      <c r="CV460" s="304">
        <f t="shared" si="1399"/>
        <v>-2577</v>
      </c>
      <c r="CW460" s="20" t="s">
        <v>122</v>
      </c>
      <c r="CX460" s="20" t="s">
        <v>122</v>
      </c>
      <c r="CY460" s="20" t="s">
        <v>122</v>
      </c>
      <c r="CZ460" s="20" t="s">
        <v>122</v>
      </c>
      <c r="DA460" s="20" t="s">
        <v>122</v>
      </c>
      <c r="DB460" s="503">
        <f t="shared" si="1400"/>
        <v>0</v>
      </c>
      <c r="DC460" s="127">
        <v>0</v>
      </c>
      <c r="DD460" s="127">
        <v>0</v>
      </c>
      <c r="DE460" s="127">
        <v>0</v>
      </c>
      <c r="DF460" s="127">
        <v>0</v>
      </c>
      <c r="DG460" s="127">
        <v>0</v>
      </c>
      <c r="DH460" s="127">
        <v>0</v>
      </c>
      <c r="DI460" s="127">
        <v>0</v>
      </c>
      <c r="DJ460" s="127">
        <v>0</v>
      </c>
      <c r="DK460" s="127">
        <v>0</v>
      </c>
      <c r="DL460" s="127">
        <v>0</v>
      </c>
      <c r="DM460" s="304">
        <f>INDEX(Input!$1:$1048576,DM$93,$C460*2+6)</f>
        <v>20731.578947368424</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4.6630484253191599E-2</v>
      </c>
      <c r="DZ460" s="7">
        <v>0</v>
      </c>
      <c r="EA460" s="7">
        <v>0.83416540934645333</v>
      </c>
      <c r="EB460" s="7">
        <v>0</v>
      </c>
      <c r="EC460" s="7">
        <v>0</v>
      </c>
      <c r="ED460" s="7">
        <v>0</v>
      </c>
      <c r="EE460" s="7">
        <v>0</v>
      </c>
      <c r="EF460" s="7">
        <v>0</v>
      </c>
      <c r="EG460" s="7">
        <v>0</v>
      </c>
      <c r="EH460" s="7">
        <v>8.481002782498373E-3</v>
      </c>
      <c r="EI460" s="7">
        <v>1.3624242808055527E-2</v>
      </c>
      <c r="EJ460" s="7">
        <v>0.12784154575982273</v>
      </c>
      <c r="EK460" s="7">
        <v>0.80996291789097363</v>
      </c>
      <c r="EL460" s="7">
        <v>4.0090290758649373E-2</v>
      </c>
      <c r="EM460" s="7">
        <v>3.9613590528955536E-2</v>
      </c>
      <c r="EN460" s="7">
        <v>4.6362260934514073E-2</v>
      </c>
      <c r="EO460" s="7">
        <v>0.57143601527537591</v>
      </c>
      <c r="EP460" s="7">
        <v>0.26809594961574129</v>
      </c>
      <c r="EQ460" s="7">
        <v>6.8663804121975286E-2</v>
      </c>
      <c r="ER460" s="7">
        <v>4.5441970052393268E-2</v>
      </c>
      <c r="ES460" s="7">
        <v>7.9590515871399425E-2</v>
      </c>
      <c r="ET460" s="7">
        <v>0.11920410640035509</v>
      </c>
      <c r="EU460" s="6">
        <v>2100</v>
      </c>
      <c r="EV460" s="6">
        <v>0</v>
      </c>
      <c r="EW460" s="6">
        <v>2100</v>
      </c>
      <c r="EX460" s="6">
        <v>0</v>
      </c>
      <c r="EY460" s="6">
        <v>2978.2222041928267</v>
      </c>
      <c r="EZ460" s="6">
        <v>-606</v>
      </c>
      <c r="FA460" s="6">
        <v>0</v>
      </c>
      <c r="FB460" s="6">
        <v>0</v>
      </c>
      <c r="FC460" s="6">
        <v>0</v>
      </c>
      <c r="FD460" s="6">
        <v>0</v>
      </c>
      <c r="FE460" s="6">
        <v>0</v>
      </c>
      <c r="FF460" s="6">
        <v>0</v>
      </c>
      <c r="FG460" s="6">
        <v>0</v>
      </c>
      <c r="FH460" s="6">
        <v>1153.2370289448834</v>
      </c>
      <c r="FI460" s="6">
        <v>1531.4299904380621</v>
      </c>
      <c r="FJ460" s="6">
        <v>2070.7205842538224</v>
      </c>
      <c r="FK460" s="6">
        <v>2218.639369850101</v>
      </c>
      <c r="FL460" s="6">
        <v>893.9143356348934</v>
      </c>
      <c r="FM460" s="6">
        <v>2128.2222041928267</v>
      </c>
      <c r="FN460" s="6">
        <v>0</v>
      </c>
      <c r="FO460" s="6">
        <v>0</v>
      </c>
      <c r="FP460" s="6">
        <v>0</v>
      </c>
      <c r="FQ460" s="6">
        <v>0</v>
      </c>
      <c r="FR460" s="6">
        <v>0</v>
      </c>
      <c r="FS460" s="6">
        <v>0</v>
      </c>
      <c r="FT460" s="7">
        <v>0.88079589359964494</v>
      </c>
      <c r="FU460" s="7">
        <v>3.9613590528955536E-2</v>
      </c>
      <c r="FV460" s="7">
        <v>7.9590515871399425E-2</v>
      </c>
      <c r="FW460" s="6">
        <v>2100</v>
      </c>
      <c r="FX460" s="6">
        <v>2978.2222041928267</v>
      </c>
      <c r="FY460" s="6">
        <v>-606</v>
      </c>
      <c r="FZ460" s="6">
        <v>1695.8504614767719</v>
      </c>
      <c r="GA460" s="6">
        <v>1919.4175988423244</v>
      </c>
      <c r="GB460" s="6">
        <v>17775.582401157677</v>
      </c>
      <c r="GC460" s="7">
        <v>8.1891069685915169E-2</v>
      </c>
      <c r="GD460" s="7">
        <v>8.4132536112207404E-2</v>
      </c>
      <c r="GE460" s="7"/>
      <c r="GF460" s="7"/>
      <c r="GG460" s="7">
        <v>2.7371316981071935E-2</v>
      </c>
      <c r="GH460" s="42">
        <v>2.4112581763784462</v>
      </c>
      <c r="GI460" s="6">
        <v>10087.352576912834</v>
      </c>
      <c r="GJ460" s="14">
        <v>0.5107463060103955</v>
      </c>
      <c r="GK460" s="14">
        <v>0.50829519786160993</v>
      </c>
      <c r="GL460" s="14">
        <v>0.48925369398960417</v>
      </c>
      <c r="GM460" s="14">
        <v>0.49170480213839002</v>
      </c>
      <c r="GO460" s="5">
        <v>338.16872463277008</v>
      </c>
      <c r="GP460" s="5">
        <v>298.1047308538179</v>
      </c>
      <c r="GQ460" s="5">
        <v>527.27910984145694</v>
      </c>
      <c r="GR460" s="5">
        <v>404.20319246551543</v>
      </c>
      <c r="GS460" s="5">
        <v>334.50205195691484</v>
      </c>
      <c r="GT460" s="5">
        <v>289.18266033348181</v>
      </c>
      <c r="GU460" s="5">
        <v>254.29573314828914</v>
      </c>
      <c r="GV460" s="39" t="s">
        <v>392</v>
      </c>
      <c r="GW460" s="5">
        <v>468.76388888888891</v>
      </c>
      <c r="GX460" s="5">
        <v>351.57291666666669</v>
      </c>
      <c r="GY460" s="5">
        <v>281.25833333333333</v>
      </c>
      <c r="GZ460" s="5">
        <v>240.85506989150105</v>
      </c>
      <c r="HA460" s="5">
        <v>229.89195052129477</v>
      </c>
      <c r="HB460" s="39">
        <v>249.02211305619548</v>
      </c>
      <c r="HC460" s="5">
        <v>309.62812499999995</v>
      </c>
      <c r="HD460" s="5">
        <v>254.42143640350872</v>
      </c>
      <c r="HE460" s="5">
        <v>254.26724443319836</v>
      </c>
      <c r="HF460" s="5">
        <v>231.71692434210524</v>
      </c>
      <c r="HG460" s="5">
        <v>219.1899342105263</v>
      </c>
      <c r="HH460" s="39">
        <v>253.77963802642262</v>
      </c>
      <c r="HI460" s="16"/>
      <c r="HJ460" s="19" t="str">
        <f t="shared" si="1412"/>
        <v>On</v>
      </c>
      <c r="HK460" s="1" t="str">
        <f t="shared" si="1412"/>
        <v>On</v>
      </c>
      <c r="HL460" s="16"/>
      <c r="HM460" s="639">
        <f t="shared" si="1278"/>
        <v>6.6115095157691428E-2</v>
      </c>
      <c r="HN460" s="639">
        <f t="shared" si="1279"/>
        <v>2.3720927871164412E-3</v>
      </c>
      <c r="HO460" s="639">
        <f t="shared" si="1280"/>
        <v>7.7231033444443466E-3</v>
      </c>
      <c r="HP460" s="644">
        <f>(FT460*$GD460-HM460)/$JF460*INDEX(Input!$1:$1048576,$JG$93,$C460*2+6)</f>
        <v>194.86365928018176</v>
      </c>
      <c r="HQ460" s="644">
        <f>(FU460*$GD460-HN460)/$JF460*INDEX(Input!$1:$1048576,$JG$93,$C460*2+6)</f>
        <v>23.434361700047361</v>
      </c>
      <c r="HR460" s="644">
        <f>(FV460*$GD460-HO460)/$JF460*INDEX(Input!$1:$1048576,$JG$93,$C460*2+6)</f>
        <v>-25.050457209919131</v>
      </c>
      <c r="HS460" s="644">
        <f t="shared" si="1406"/>
        <v>-47.395925497958245</v>
      </c>
      <c r="HT460" s="644">
        <f t="shared" si="1282"/>
        <v>124.93073878948758</v>
      </c>
      <c r="HU460" s="644">
        <f t="shared" si="1283"/>
        <v>3.9607070943302563</v>
      </c>
      <c r="HV460" s="648">
        <f t="shared" si="1284"/>
        <v>0</v>
      </c>
      <c r="HW460" s="648">
        <f t="shared" si="1285"/>
        <v>0</v>
      </c>
      <c r="HX460" s="648">
        <f t="shared" si="1286"/>
        <v>0</v>
      </c>
      <c r="HY460" s="644">
        <f>INDEX(Input!$1:$1048576,HY$93,$C460*2+6)*INDEX(Input!$1:$1048576,$JG$93,$C460*2+6)</f>
        <v>844</v>
      </c>
      <c r="HZ460" s="644">
        <f>INDEX(Input!$1:$1048576,HZ$93,$C460*2+6)*INDEX(Input!$1:$1048576,$JG$93,$C460*2+6)</f>
        <v>865</v>
      </c>
      <c r="IA460" s="644">
        <f>INDEX(Input!$1:$1048576,IA$93,$C460*2+6)*INDEX(Input!$1:$1048576,$JG$93,$C460*2+6)</f>
        <v>150</v>
      </c>
      <c r="IB460" s="644">
        <f t="shared" si="1310"/>
        <v>991.46773378222338</v>
      </c>
      <c r="IC460" s="644">
        <f t="shared" si="1311"/>
        <v>1013.3651004895349</v>
      </c>
      <c r="ID460" s="644">
        <f>IF(AND(INDEX(Input!$1:$1048576,IA$93,$C460*2+7)="TOS",Y460&lt;=INDEX(Y:Y,MATCH(C460*1000+2,A:A))),0,1)*MAX(IA460+HR460+HU460+HX460,0%)</f>
        <v>128.91024988441112</v>
      </c>
      <c r="IE460" s="128">
        <f t="shared" si="1411"/>
        <v>0.46466125239924033</v>
      </c>
      <c r="IF460" s="128">
        <f t="shared" si="1383"/>
        <v>0.47492367193320745</v>
      </c>
      <c r="IG460" s="128">
        <f t="shared" si="1288"/>
        <v>6.0415075667552165E-2</v>
      </c>
      <c r="IH460" s="21"/>
      <c r="II460" s="19">
        <f t="shared" si="1289"/>
        <v>1199.9999999999998</v>
      </c>
      <c r="IJ460" s="19">
        <f t="shared" si="1290"/>
        <v>2195.4782357510435</v>
      </c>
      <c r="IK460" s="19">
        <f t="shared" si="1291"/>
        <v>-571</v>
      </c>
      <c r="IL460" s="19">
        <f t="shared" si="1313"/>
        <v>900.00000000000023</v>
      </c>
      <c r="IM460" s="19">
        <f t="shared" si="1292"/>
        <v>782.74396844178318</v>
      </c>
      <c r="IN460" s="19">
        <f t="shared" si="1293"/>
        <v>-35</v>
      </c>
      <c r="IO460" s="39">
        <f t="shared" si="1294"/>
        <v>0</v>
      </c>
      <c r="IP460" s="39">
        <f t="shared" si="1295"/>
        <v>0</v>
      </c>
      <c r="IQ460" s="39">
        <f t="shared" si="1296"/>
        <v>0</v>
      </c>
      <c r="IR460" s="39">
        <v>0</v>
      </c>
      <c r="IS460" s="39">
        <v>0</v>
      </c>
      <c r="IT460" s="39">
        <v>0</v>
      </c>
      <c r="IU460" s="39">
        <v>0</v>
      </c>
      <c r="IV460" s="39">
        <v>0</v>
      </c>
      <c r="IW460" s="39">
        <v>0</v>
      </c>
      <c r="IX460" s="39">
        <f>INDEX(Input!$1:$1048576,IX$93,$C460*2+6)+INDEX(Input!$1:$1048576,IX$94,$C460*2+6)</f>
        <v>1600</v>
      </c>
      <c r="IY460" s="39">
        <f>INDEX(Input!$1:$1048576,IY$93,$C460*2+6)+INDEX(Input!$1:$1048576,IY$94,$C460*2+6)</f>
        <v>2503.549291639752</v>
      </c>
      <c r="IZ460" s="39">
        <f>INDEX(Input!$1:$1048576,IZ$93,$C460*2+6)+INDEX(Input!$1:$1048576,IZ$94,$C460*2+6)</f>
        <v>5413.7109265464023</v>
      </c>
      <c r="JA460" s="19">
        <f t="shared" si="1314"/>
        <v>2500</v>
      </c>
      <c r="JB460" s="19">
        <f t="shared" si="1315"/>
        <v>3286.2932600815352</v>
      </c>
      <c r="JC460" s="19">
        <f t="shared" si="1316"/>
        <v>5378.7109265464023</v>
      </c>
      <c r="JD460" s="19">
        <f t="shared" si="1317"/>
        <v>3047.3468207465648</v>
      </c>
      <c r="JE460" s="21"/>
      <c r="JF460" s="1">
        <f t="shared" si="1297"/>
        <v>7.6210291289252219E-2</v>
      </c>
      <c r="JG460" s="15">
        <f>INDEX(Input!$1:$1048576,JG$93,$C460*2+6)/(1+VLOOKUP(C460*1000+INDEX(Input!$1:$1048576,JG$93+1,$C460*2+6),$A:$KK,$JK$92,FALSE))</f>
        <v>1859</v>
      </c>
      <c r="JH460" s="1">
        <f t="shared" si="1318"/>
        <v>0.10395242806364174</v>
      </c>
      <c r="JI460" s="1">
        <f t="shared" si="1319"/>
        <v>4.3838364919773852E-2</v>
      </c>
      <c r="JJ460" s="1">
        <f t="shared" si="1384"/>
        <v>0</v>
      </c>
      <c r="JK460" s="1">
        <f t="shared" si="1385"/>
        <v>0.1477907929834156</v>
      </c>
      <c r="JL460" s="15">
        <f t="shared" si="1322"/>
        <v>274.74308415616963</v>
      </c>
      <c r="JM460" s="15">
        <f t="shared" si="1348"/>
        <v>2133.7430841561695</v>
      </c>
      <c r="JN460" s="21"/>
      <c r="JO460" s="19">
        <f>INDEX(Input!$1:$1048576,JO$93,$C460*2+6)</f>
        <v>5908.5</v>
      </c>
      <c r="JP460" s="19">
        <f>INDEX(Input!$1:$1048576,JP$93,$C460*2+6)</f>
        <v>2328.1478086338602</v>
      </c>
      <c r="JQ460" s="39">
        <f t="shared" si="1334"/>
        <v>2861.1531792534352</v>
      </c>
      <c r="JR460" s="39">
        <f t="shared" si="1351"/>
        <v>719.19901211270462</v>
      </c>
      <c r="JS460" s="39">
        <f t="shared" si="1336"/>
        <v>6.5022552037932737</v>
      </c>
      <c r="JT460" s="39">
        <f t="shared" si="1324"/>
        <v>2.1742284275429267</v>
      </c>
      <c r="JU460" s="385">
        <f>(JQ460*JM460-INDEX(Input!$1:$1048576,Input!A$18,$C460*2+6)*JL460*INDEX(Input!$1:$1048576,Input!A$19,$C460*2+6))/1000000</f>
        <v>6.1049658089434544</v>
      </c>
      <c r="JV460" s="39">
        <f t="shared" si="1358"/>
        <v>-0.55090891480619941</v>
      </c>
      <c r="JW460" s="1">
        <f t="shared" si="1349"/>
        <v>-8.2770325114508672E-2</v>
      </c>
      <c r="JX460" s="19">
        <f t="shared" si="1340"/>
        <v>7913.6784615369979</v>
      </c>
      <c r="JZ460" s="341"/>
      <c r="KA460" s="342"/>
      <c r="KB460" s="469">
        <f t="shared" si="1337"/>
        <v>2.3451977905499271</v>
      </c>
      <c r="KI460" s="473">
        <f t="shared" si="1408"/>
        <v>147.46773378222338</v>
      </c>
      <c r="KJ460" s="473">
        <f t="shared" si="1409"/>
        <v>148.36510048953494</v>
      </c>
      <c r="KK460" s="473">
        <f t="shared" si="1326"/>
        <v>-21.089750115588885</v>
      </c>
      <c r="KN460" s="544">
        <f t="shared" si="1341"/>
        <v>4002</v>
      </c>
      <c r="KO460" s="541">
        <f t="shared" si="1301"/>
        <v>6.8132067502121973E-2</v>
      </c>
      <c r="KP460" s="546">
        <f t="shared" si="1302"/>
        <v>392.30746636076566</v>
      </c>
      <c r="KQ460" s="546">
        <f t="shared" si="1303"/>
        <v>323.60325914856912</v>
      </c>
      <c r="KR460" s="548">
        <f t="shared" si="1304"/>
        <v>2.9473993956406299</v>
      </c>
      <c r="KS460" s="548">
        <f t="shared" si="1305"/>
        <v>3.5731617546106547</v>
      </c>
      <c r="KT460" s="473">
        <f t="shared" si="1339"/>
        <v>1050.27685337919</v>
      </c>
      <c r="KU460" s="663">
        <f t="shared" si="1327"/>
        <v>6.6672938224325664</v>
      </c>
      <c r="KV460" s="117"/>
    </row>
    <row r="461" spans="1:308" s="26" customFormat="1" ht="15" outlineLevel="1">
      <c r="A461" s="561">
        <f t="shared" si="1306"/>
        <v>4061</v>
      </c>
      <c r="B461" s="561">
        <f t="shared" si="1328"/>
        <v>61</v>
      </c>
      <c r="C461" s="561">
        <f t="shared" si="1329"/>
        <v>4</v>
      </c>
      <c r="D461" s="561" t="str">
        <f t="shared" si="1413"/>
        <v xml:space="preserve">750 CC, 0/0/0.9/3.9, -360 Lease, </v>
      </c>
      <c r="E461" s="475">
        <f>INDEX(Input!$1:$1048576,E$93,$C461*2+MIN($B461,2)+5)
+INDEX(Scenarios!E$121:E$200,MATCH($B461,Scenarios!$B$121:$B$200,0))</f>
        <v>2000</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8.9999999999999959E-3</v>
      </c>
      <c r="W461" s="863">
        <f>IFERROR(MAX(0,INDEX(Input!$1:$1048576,W$93,$C461*2+MIN($B461,2)+5)-0%,),"Market")</f>
        <v>3.9E-2</v>
      </c>
      <c r="X461" s="476" t="str">
        <f>INDEX(Input!$1:$1048576,X$93,$C461*2+MIN($B461,2)+5)</f>
        <v>Y</v>
      </c>
      <c r="Y461" s="475">
        <f>INDEX(Input!$1:$1048576,Y$93,$C461*2+MIN($B461,2)+5)
++INDEX(Scenarios!Y$121:Y$200,MATCH($B461,Scenarios!$B$121:$B$200,0))</f>
        <v>-2577</v>
      </c>
      <c r="Z461" s="477">
        <f>INDEX(Input!$1:$1048576,Z$93,$C461*2+MIN($B461,2)+5)
+INDEX(Scenarios!Z$121:Z$200,MATCH($B461,Scenarios!$B$121:$B$200,0))</f>
        <v>0</v>
      </c>
      <c r="AA461" s="475">
        <f>INDEX(Input!$1:$1048576,AA$93,$C461*2+MIN($B461,2)+5)</f>
        <v>0</v>
      </c>
      <c r="AB461" s="476">
        <f>INDEX(Input!$1:$1048576,AB$93,$C461*2+MIN($B461,2)+5)</f>
        <v>1</v>
      </c>
      <c r="AC461" s="475">
        <f>INDEX(Input!$1:$1048576,AC$93,$C461*2+MIN($B461,2)+5)
+INDEX(Scenarios!AC$121:AC$200,MATCH($B461,Scenarios!$B$121:$B$200,0))</f>
        <v>0</v>
      </c>
      <c r="AD461" s="476">
        <f>INDEX(Input!$1:$1048576,AD$93,$C461*2+MIN($B461,2)+5)</f>
        <v>0.35</v>
      </c>
      <c r="AE461" s="475">
        <f>INDEX(Input!$1:$1048576,AE$93,$C461*2+MIN($B461,2)+5)
+INDEX(Scenarios!AE$121:AE$200,MATCH($B461,Scenarios!$B$121:$B$200,0))</f>
        <v>0</v>
      </c>
      <c r="AF461" s="476">
        <f>INDEX(Input!$1:$1048576,AF$93,$C461*2+MIN($B461,2)+5)</f>
        <v>1</v>
      </c>
      <c r="AG461" s="475">
        <f>INDEX(Input!$1:$1048576,AG$93,$C461*2+MIN($B461,2)+5)
+INDEX(Scenarios!AG$121:AG$200,MATCH($B461,Scenarios!$B$121:$B$200,0))</f>
        <v>0</v>
      </c>
      <c r="AH461" s="476">
        <f>INDEX(Input!$1:$1048576,AH$93,$C461*2+MIN($B461,2)+5)</f>
        <v>1</v>
      </c>
      <c r="AI461" s="475">
        <f>INDEX(Input!$1:$1048576,AI$93,$C461*2+MIN($B461,2)+5)
+INDEX(Scenarios!AI$121:AI$200,MATCH($B461,Scenarios!$B$121:$B$200,0))</f>
        <v>0</v>
      </c>
      <c r="AJ461" s="476">
        <f>INDEX(Input!$1:$1048576,AJ$93,$C461*2+MIN($B461,2)+5)</f>
        <v>0.35</v>
      </c>
      <c r="AK461" s="150">
        <f>ROUND(INDEX(Input!$1:$1048576,AK$93,$C460*2+MIN($B461,1)+5)+(Y461-VLOOKUP($C461*1000+1,$A:$HH,Y$92,FALSE)),0)</f>
        <v>4232</v>
      </c>
      <c r="AL461" s="150">
        <f>ROUND(INDEX(Input!$1:$1048576,AL$93,$C460*2+MIN($B461,1)+5)-(Y461-VLOOKUP($C461*1000+1,$A:$HH,Y$92,FALSE))/36,0)</f>
        <v>4753</v>
      </c>
      <c r="AM461" s="32" t="str">
        <f t="shared" si="1307"/>
        <v>std/std/std/std</v>
      </c>
      <c r="AN461" s="32" t="str">
        <f t="shared" si="1308"/>
        <v>$0 + 0/0/0/0.9/3.9</v>
      </c>
      <c r="AO461" s="32" t="str">
        <f t="shared" si="1309"/>
        <v>0/0/0/0.9/3.9</v>
      </c>
      <c r="AP461" s="32" t="str">
        <f t="shared" si="1386"/>
        <v>0/0/0.9/3.9</v>
      </c>
      <c r="AQ461" s="536">
        <f t="shared" si="1379"/>
        <v>0.47872379372457852</v>
      </c>
      <c r="AR461" s="32"/>
      <c r="AS461" s="302"/>
      <c r="AT461" s="3">
        <f t="shared" si="1330"/>
        <v>61</v>
      </c>
      <c r="AU461" s="41" t="s">
        <v>121</v>
      </c>
      <c r="AV461" s="41" t="s">
        <v>116</v>
      </c>
      <c r="AW461" s="41" t="str">
        <f>INDEX(Input!$1:$1048576,AW$93,$C461*2+6)</f>
        <v>Kia</v>
      </c>
      <c r="AX461" s="41" t="str">
        <f>INDEX(Input!$1:$1048576,AX$93,$C461*2+6)</f>
        <v>Kia-LR - R1</v>
      </c>
      <c r="AY461" s="41" t="str">
        <f>IF(LEN(D461)=0,"",INDEX(Input!$1:$1048576,AY$93,$C461*2+6))</f>
        <v>Compact Conventional/Sporty Car (43)</v>
      </c>
      <c r="AZ461" s="41" t="str">
        <f>INDEX(Input!$1:$1048576,AZ$93,$C461*2+6)</f>
        <v>Kia Forte</v>
      </c>
      <c r="BA461" s="3">
        <f>INDEX(Input!$1:$1048576,BA$93,$C461*2+6)</f>
        <v>2020</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19695</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387"/>
        <v>2310</v>
      </c>
      <c r="CJ461" s="16" t="str">
        <f>INDEX(Input!$1:$1048576,CJ$93,$C461*2+6)</f>
        <v>N</v>
      </c>
      <c r="CK461" s="1" t="str">
        <f t="shared" si="1388"/>
        <v>Market</v>
      </c>
      <c r="CL461" s="1" t="str">
        <f t="shared" si="1389"/>
        <v>Market</v>
      </c>
      <c r="CM461" s="1" t="str">
        <f t="shared" si="1390"/>
        <v>Market</v>
      </c>
      <c r="CN461" s="1" t="str">
        <f t="shared" si="1391"/>
        <v>Market</v>
      </c>
      <c r="CO461" s="1" t="str">
        <f t="shared" si="1392"/>
        <v>Market</v>
      </c>
      <c r="CP461" s="304">
        <f t="shared" si="1393"/>
        <v>0</v>
      </c>
      <c r="CQ461" s="1">
        <f t="shared" si="1394"/>
        <v>0</v>
      </c>
      <c r="CR461" s="1">
        <f t="shared" si="1395"/>
        <v>0</v>
      </c>
      <c r="CS461" s="1">
        <f t="shared" si="1396"/>
        <v>0</v>
      </c>
      <c r="CT461" s="1">
        <f t="shared" si="1397"/>
        <v>8.9999999999999959E-3</v>
      </c>
      <c r="CU461" s="1">
        <f t="shared" si="1398"/>
        <v>3.9E-2</v>
      </c>
      <c r="CV461" s="304">
        <f t="shared" si="1399"/>
        <v>-2577</v>
      </c>
      <c r="CW461" s="20" t="s">
        <v>122</v>
      </c>
      <c r="CX461" s="20" t="s">
        <v>122</v>
      </c>
      <c r="CY461" s="20" t="s">
        <v>122</v>
      </c>
      <c r="CZ461" s="20" t="s">
        <v>122</v>
      </c>
      <c r="DA461" s="20" t="s">
        <v>122</v>
      </c>
      <c r="DB461" s="503">
        <f t="shared" si="1400"/>
        <v>0</v>
      </c>
      <c r="DC461" s="127">
        <v>0</v>
      </c>
      <c r="DD461" s="127">
        <v>0</v>
      </c>
      <c r="DE461" s="127">
        <v>0</v>
      </c>
      <c r="DF461" s="127">
        <v>0</v>
      </c>
      <c r="DG461" s="127">
        <v>0</v>
      </c>
      <c r="DH461" s="127">
        <v>0</v>
      </c>
      <c r="DI461" s="127">
        <v>0</v>
      </c>
      <c r="DJ461" s="127">
        <v>0</v>
      </c>
      <c r="DK461" s="127">
        <v>0</v>
      </c>
      <c r="DL461" s="127">
        <v>0</v>
      </c>
      <c r="DM461" s="304">
        <f>INDEX(Input!$1:$1048576,DM$93,$C461*2+6)</f>
        <v>20731.578947368424</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4.7203236756138564E-2</v>
      </c>
      <c r="DZ461" s="7">
        <v>0</v>
      </c>
      <c r="EA461" s="7">
        <v>0.84083888297121878</v>
      </c>
      <c r="EB461" s="7">
        <v>0</v>
      </c>
      <c r="EC461" s="7">
        <v>0</v>
      </c>
      <c r="ED461" s="7">
        <v>0</v>
      </c>
      <c r="EE461" s="7">
        <v>0</v>
      </c>
      <c r="EF461" s="7">
        <v>0</v>
      </c>
      <c r="EG461" s="7">
        <v>0</v>
      </c>
      <c r="EH461" s="7">
        <v>8.4916616028659041E-3</v>
      </c>
      <c r="EI461" s="7">
        <v>1.3643228689354202E-2</v>
      </c>
      <c r="EJ461" s="7">
        <v>0.12801323665341788</v>
      </c>
      <c r="EK461" s="7">
        <v>0.80979402980722426</v>
      </c>
      <c r="EL461" s="7">
        <v>4.0057843247137667E-2</v>
      </c>
      <c r="EM461" s="7">
        <v>3.7110650627654541E-2</v>
      </c>
      <c r="EN461" s="7">
        <v>4.6340435000525849E-2</v>
      </c>
      <c r="EO461" s="7">
        <v>0.57135800372346235</v>
      </c>
      <c r="EP461" s="7">
        <v>0.26819590639561125</v>
      </c>
      <c r="EQ461" s="7">
        <v>6.8654514878556755E-2</v>
      </c>
      <c r="ER461" s="7">
        <v>4.5451140001842964E-2</v>
      </c>
      <c r="ES461" s="7">
        <v>7.4847229644988161E-2</v>
      </c>
      <c r="ET461" s="7">
        <v>0.1119578802726427</v>
      </c>
      <c r="EU461" s="6">
        <v>2350</v>
      </c>
      <c r="EV461" s="6">
        <v>0</v>
      </c>
      <c r="EW461" s="6">
        <v>2350</v>
      </c>
      <c r="EX461" s="6">
        <v>0</v>
      </c>
      <c r="EY461" s="6">
        <v>2978.2153430354729</v>
      </c>
      <c r="EZ461" s="6">
        <v>-606</v>
      </c>
      <c r="FA461" s="6">
        <v>0</v>
      </c>
      <c r="FB461" s="6">
        <v>0</v>
      </c>
      <c r="FC461" s="6">
        <v>0</v>
      </c>
      <c r="FD461" s="6">
        <v>0</v>
      </c>
      <c r="FE461" s="6">
        <v>0</v>
      </c>
      <c r="FF461" s="6">
        <v>0</v>
      </c>
      <c r="FG461" s="6">
        <v>0</v>
      </c>
      <c r="FH461" s="6">
        <v>1153.2316505160529</v>
      </c>
      <c r="FI461" s="6">
        <v>1531.4299904380609</v>
      </c>
      <c r="FJ461" s="6">
        <v>2070.7205842538224</v>
      </c>
      <c r="FK461" s="6">
        <v>2218.639369850101</v>
      </c>
      <c r="FL461" s="6">
        <v>893.91433563489352</v>
      </c>
      <c r="FM461" s="6">
        <v>2128.2153430354729</v>
      </c>
      <c r="FN461" s="6">
        <v>0</v>
      </c>
      <c r="FO461" s="6">
        <v>0</v>
      </c>
      <c r="FP461" s="6">
        <v>0</v>
      </c>
      <c r="FQ461" s="6">
        <v>0</v>
      </c>
      <c r="FR461" s="6">
        <v>0</v>
      </c>
      <c r="FS461" s="6">
        <v>0</v>
      </c>
      <c r="FT461" s="7">
        <v>0.88804211972735736</v>
      </c>
      <c r="FU461" s="7">
        <v>3.7110650627654541E-2</v>
      </c>
      <c r="FV461" s="7">
        <v>7.4847229644988161E-2</v>
      </c>
      <c r="FW461" s="6">
        <v>2350</v>
      </c>
      <c r="FX461" s="6">
        <v>2978.2153430354729</v>
      </c>
      <c r="FY461" s="6">
        <v>-606</v>
      </c>
      <c r="FZ461" s="6">
        <v>1695.8504614767719</v>
      </c>
      <c r="GA461" s="6">
        <v>2152.0650692837366</v>
      </c>
      <c r="GB461" s="6">
        <v>17542.934930716263</v>
      </c>
      <c r="GC461" s="7">
        <v>8.1891069685915169E-2</v>
      </c>
      <c r="GD461" s="7">
        <v>8.6333324322952223E-2</v>
      </c>
      <c r="GE461" s="7"/>
      <c r="GF461" s="7"/>
      <c r="GG461" s="7">
        <v>5.4245898289946248E-2</v>
      </c>
      <c r="GH461" s="42">
        <v>2.341821038910147</v>
      </c>
      <c r="GI461" s="6">
        <v>10562.186796247897</v>
      </c>
      <c r="GJ461" s="14">
        <v>0.51074630601039561</v>
      </c>
      <c r="GK461" s="14">
        <v>0.5082951978616097</v>
      </c>
      <c r="GL461" s="14">
        <v>0.48925369398960461</v>
      </c>
      <c r="GM461" s="14">
        <v>0.4917048021383903</v>
      </c>
      <c r="GO461" s="5">
        <v>338.16872463277008</v>
      </c>
      <c r="GP461" s="5">
        <v>293.33520778489498</v>
      </c>
      <c r="GQ461" s="5">
        <v>527.27910984145694</v>
      </c>
      <c r="GR461" s="5">
        <v>404.20319246551543</v>
      </c>
      <c r="GS461" s="5">
        <v>334.50205195691484</v>
      </c>
      <c r="GT461" s="5">
        <v>289.18266033348181</v>
      </c>
      <c r="GU461" s="5">
        <v>254.29573314828914</v>
      </c>
      <c r="GV461" s="39" t="s">
        <v>392</v>
      </c>
      <c r="GW461" s="5">
        <v>468.76388888888891</v>
      </c>
      <c r="GX461" s="5">
        <v>351.57291666666669</v>
      </c>
      <c r="GY461" s="5">
        <v>281.25833333333333</v>
      </c>
      <c r="GZ461" s="5">
        <v>240.85506989150105</v>
      </c>
      <c r="HA461" s="5">
        <v>229.89195052129477</v>
      </c>
      <c r="HB461" s="39">
        <v>249.0339369696004</v>
      </c>
      <c r="HC461" s="5">
        <v>309.62812499999995</v>
      </c>
      <c r="HD461" s="5">
        <v>254.42143640350872</v>
      </c>
      <c r="HE461" s="5">
        <v>254.26724443319836</v>
      </c>
      <c r="HF461" s="5">
        <v>231.71692434210524</v>
      </c>
      <c r="HG461" s="5">
        <v>219.1899342105263</v>
      </c>
      <c r="HH461" s="39">
        <v>253.77830551299371</v>
      </c>
      <c r="HI461" s="16"/>
      <c r="HJ461" s="19" t="str">
        <f t="shared" si="1412"/>
        <v>On</v>
      </c>
      <c r="HK461" s="1" t="str">
        <f t="shared" si="1412"/>
        <v>On</v>
      </c>
      <c r="HL461" s="16"/>
      <c r="HM461" s="639">
        <f t="shared" si="1278"/>
        <v>6.6115095157691428E-2</v>
      </c>
      <c r="HN461" s="639">
        <f t="shared" si="1279"/>
        <v>2.3720927871164412E-3</v>
      </c>
      <c r="HO461" s="639">
        <f t="shared" si="1280"/>
        <v>7.7231033444443466E-3</v>
      </c>
      <c r="HP461" s="644">
        <f>(FT461*$GD461-HM461)/$JF461*INDEX(Input!$1:$1048576,$JG$93,$C461*2+6)</f>
        <v>257.40826920484722</v>
      </c>
      <c r="HQ461" s="644">
        <f>(FU461*$GD461-HN461)/$JF461*INDEX(Input!$1:$1048576,$JG$93,$C461*2+6)</f>
        <v>20.289953661048994</v>
      </c>
      <c r="HR461" s="644">
        <f>(FV461*$GD461-HO461)/$JF461*INDEX(Input!$1:$1048576,$JG$93,$C461*2+6)</f>
        <v>-30.766763986899626</v>
      </c>
      <c r="HS461" s="644">
        <f t="shared" si="1406"/>
        <v>-60.516696374332049</v>
      </c>
      <c r="HT461" s="644">
        <f t="shared" si="1282"/>
        <v>123.66857950692051</v>
      </c>
      <c r="HU461" s="644">
        <f t="shared" si="1283"/>
        <v>5.2217300888532154</v>
      </c>
      <c r="HV461" s="648">
        <f t="shared" si="1284"/>
        <v>0</v>
      </c>
      <c r="HW461" s="648">
        <f t="shared" si="1285"/>
        <v>0</v>
      </c>
      <c r="HX461" s="648">
        <f t="shared" si="1286"/>
        <v>0</v>
      </c>
      <c r="HY461" s="644">
        <f>INDEX(Input!$1:$1048576,HY$93,$C461*2+6)*INDEX(Input!$1:$1048576,$JG$93,$C461*2+6)</f>
        <v>844</v>
      </c>
      <c r="HZ461" s="644">
        <f>INDEX(Input!$1:$1048576,HZ$93,$C461*2+6)*INDEX(Input!$1:$1048576,$JG$93,$C461*2+6)</f>
        <v>865</v>
      </c>
      <c r="IA461" s="644">
        <f>INDEX(Input!$1:$1048576,IA$93,$C461*2+6)*INDEX(Input!$1:$1048576,$JG$93,$C461*2+6)</f>
        <v>150</v>
      </c>
      <c r="IB461" s="644">
        <f t="shared" si="1310"/>
        <v>1040.8915728305151</v>
      </c>
      <c r="IC461" s="644">
        <f t="shared" si="1311"/>
        <v>1008.9585331679696</v>
      </c>
      <c r="ID461" s="644">
        <f>IF(AND(INDEX(Input!$1:$1048576,IA$93,$C461*2+7)="TOS",Y461&lt;=INDEX(Y:Y,MATCH(C461*1000+2,A:A))),0,1)*MAX(IA461+HR461+HU461+HX461,0%)</f>
        <v>124.45496610195359</v>
      </c>
      <c r="IE461" s="128">
        <f t="shared" si="1411"/>
        <v>0.47872379372457852</v>
      </c>
      <c r="IF461" s="128">
        <f t="shared" si="1383"/>
        <v>0.46403724395182866</v>
      </c>
      <c r="IG461" s="128">
        <f t="shared" si="1288"/>
        <v>5.723896232359274E-2</v>
      </c>
      <c r="IH461" s="21"/>
      <c r="II461" s="19">
        <f t="shared" si="1289"/>
        <v>1199.9999999999998</v>
      </c>
      <c r="IJ461" s="19">
        <f t="shared" si="1290"/>
        <v>2195.4782357510435</v>
      </c>
      <c r="IK461" s="19">
        <f t="shared" si="1291"/>
        <v>-571</v>
      </c>
      <c r="IL461" s="19">
        <f t="shared" si="1313"/>
        <v>1150.0000000000002</v>
      </c>
      <c r="IM461" s="19">
        <f t="shared" si="1292"/>
        <v>782.73710728442938</v>
      </c>
      <c r="IN461" s="19">
        <f t="shared" si="1293"/>
        <v>-35</v>
      </c>
      <c r="IO461" s="39">
        <f t="shared" si="1294"/>
        <v>0</v>
      </c>
      <c r="IP461" s="39">
        <f t="shared" si="1295"/>
        <v>0</v>
      </c>
      <c r="IQ461" s="39">
        <f t="shared" si="1296"/>
        <v>0</v>
      </c>
      <c r="IR461" s="39">
        <v>0</v>
      </c>
      <c r="IS461" s="39">
        <v>0</v>
      </c>
      <c r="IT461" s="39">
        <v>0</v>
      </c>
      <c r="IU461" s="39">
        <v>0</v>
      </c>
      <c r="IV461" s="39">
        <v>0</v>
      </c>
      <c r="IW461" s="39">
        <v>0</v>
      </c>
      <c r="IX461" s="39">
        <f>INDEX(Input!$1:$1048576,IX$93,$C461*2+6)+INDEX(Input!$1:$1048576,IX$94,$C461*2+6)</f>
        <v>1600</v>
      </c>
      <c r="IY461" s="39">
        <f>INDEX(Input!$1:$1048576,IY$93,$C461*2+6)+INDEX(Input!$1:$1048576,IY$94,$C461*2+6)</f>
        <v>2503.549291639752</v>
      </c>
      <c r="IZ461" s="39">
        <f>INDEX(Input!$1:$1048576,IZ$93,$C461*2+6)+INDEX(Input!$1:$1048576,IZ$94,$C461*2+6)</f>
        <v>5413.7109265464023</v>
      </c>
      <c r="JA461" s="19">
        <f t="shared" si="1314"/>
        <v>2750</v>
      </c>
      <c r="JB461" s="19">
        <f t="shared" si="1315"/>
        <v>3286.2863989241814</v>
      </c>
      <c r="JC461" s="19">
        <f t="shared" si="1316"/>
        <v>5378.7109265464023</v>
      </c>
      <c r="JD461" s="19">
        <f t="shared" si="1317"/>
        <v>3149.321548209834</v>
      </c>
      <c r="JE461" s="21"/>
      <c r="JF461" s="1">
        <f t="shared" si="1297"/>
        <v>7.6210291289252219E-2</v>
      </c>
      <c r="JG461" s="15">
        <f>INDEX(Input!$1:$1048576,JG$93,$C461*2+6)/(1+VLOOKUP(C461*1000+INDEX(Input!$1:$1048576,JG$93+1,$C461*2+6),$A:$KK,$JK$92,FALSE))</f>
        <v>1859</v>
      </c>
      <c r="JH461" s="1">
        <f t="shared" si="1318"/>
        <v>0.13283026297955705</v>
      </c>
      <c r="JI461" s="1">
        <f t="shared" si="1319"/>
        <v>3.6779781184207459E-2</v>
      </c>
      <c r="JJ461" s="1">
        <f t="shared" si="1384"/>
        <v>0</v>
      </c>
      <c r="JK461" s="1">
        <f t="shared" si="1385"/>
        <v>0.16961004416376452</v>
      </c>
      <c r="JL461" s="15">
        <f t="shared" si="1322"/>
        <v>315.30507210043822</v>
      </c>
      <c r="JM461" s="15">
        <f t="shared" si="1348"/>
        <v>2174.3050721004383</v>
      </c>
      <c r="JN461" s="21"/>
      <c r="JO461" s="19">
        <f>INDEX(Input!$1:$1048576,JO$93,$C461*2+6)</f>
        <v>5908.5</v>
      </c>
      <c r="JP461" s="19">
        <f>INDEX(Input!$1:$1048576,JP$93,$C461*2+6)</f>
        <v>2328.1478086338602</v>
      </c>
      <c r="JQ461" s="39">
        <f t="shared" si="1334"/>
        <v>2759.178451790166</v>
      </c>
      <c r="JR461" s="39">
        <f t="shared" si="1351"/>
        <v>821.17373957597374</v>
      </c>
      <c r="JS461" s="39">
        <f t="shared" si="1336"/>
        <v>6.8475858159478475</v>
      </c>
      <c r="JT461" s="39">
        <f t="shared" si="1324"/>
        <v>2.5195590396975009</v>
      </c>
      <c r="JU461" s="385">
        <f>(JQ461*JM461-INDEX(Input!$1:$1048576,Input!A$18,$C461*2+6)*JL461*INDEX(Input!$1:$1048576,Input!A$19,$C461*2+6))/1000000</f>
        <v>5.9992957025575926</v>
      </c>
      <c r="JV461" s="39">
        <f t="shared" si="1358"/>
        <v>-0.65657902119206124</v>
      </c>
      <c r="JW461" s="1">
        <f t="shared" si="1349"/>
        <v>-9.8646541355299253E-2</v>
      </c>
      <c r="JX461" s="19">
        <f t="shared" si="1340"/>
        <v>7990.8611140099683</v>
      </c>
      <c r="JZ461" s="341"/>
      <c r="KA461" s="342"/>
      <c r="KB461" s="469">
        <f t="shared" si="1337"/>
        <v>2.3451977905499271</v>
      </c>
      <c r="KI461" s="473">
        <f t="shared" si="1408"/>
        <v>196.89157283051509</v>
      </c>
      <c r="KJ461" s="473">
        <f t="shared" si="1409"/>
        <v>143.95853316796956</v>
      </c>
      <c r="KK461" s="473">
        <f t="shared" si="1326"/>
        <v>-25.545033898046412</v>
      </c>
      <c r="KN461" s="544">
        <f t="shared" si="1341"/>
        <v>4002</v>
      </c>
      <c r="KO461" s="541">
        <f t="shared" si="1301"/>
        <v>8.8437023786042124E-2</v>
      </c>
      <c r="KP461" s="546">
        <f t="shared" si="1302"/>
        <v>515.99428584511622</v>
      </c>
      <c r="KQ461" s="546">
        <f t="shared" si="1303"/>
        <v>425.57798661183824</v>
      </c>
      <c r="KR461" s="548">
        <f t="shared" si="1304"/>
        <v>2.9087287407917022</v>
      </c>
      <c r="KS461" s="548">
        <f t="shared" si="1305"/>
        <v>3.5267035808666249</v>
      </c>
      <c r="KT461" s="473">
        <f t="shared" si="1339"/>
        <v>1050.27685337919</v>
      </c>
      <c r="KU461" s="663">
        <f t="shared" si="1327"/>
        <v>6.6929311682105084</v>
      </c>
      <c r="KV461" s="117"/>
    </row>
    <row r="462" spans="1:308" s="26" customFormat="1" ht="15" outlineLevel="1">
      <c r="A462" s="561">
        <f t="shared" ref="A462:A466" si="1414">C462*1000+B462</f>
        <v>4062</v>
      </c>
      <c r="B462" s="561">
        <f t="shared" si="1328"/>
        <v>62</v>
      </c>
      <c r="C462" s="561">
        <f t="shared" si="1329"/>
        <v>4</v>
      </c>
      <c r="D462" s="561" t="str">
        <f t="shared" ref="D462:D466" si="1415">IF(E462=INDEX(E:E,MATCH(C462*1000+2,A:A,0)),"",E462-INDEX(E:E,MATCH(C462*1000+2,A:A,0))&amp;E$100&amp;", ")
&amp;IF(F462=INDEX(F:F,MATCH(C462*1000+2,A:A,0)),"",F462-INDEX(F:F,MATCH(C462*1000+2,A:A,0))&amp;F$100&amp;", ")
&amp;IF(AM462=INDEX(AM:AM,MATCH(C462*1000+2,A:A,0)),"",AM462&amp;AM$100&amp;", ")
&amp;IF(AP462=INDEX(AP:AP,MATCH(C462*1000+2,A:A,0)),"",AP462&amp;AP$100&amp;", ")
&amp;IF(Q462=INDEX(Q:Q,MATCH(C462*1000+2,A:A,0)),"",Q462-INDEX(Q:Q,MATCH(C462*1000+2,A:A,0))&amp;Q$100&amp;", ")
&amp;IF(Y462=INDEX(Y:Y,MATCH(C462*1000+2,A:A,0)),"",Y462-INDEX(Y:Y,MATCH(C462*1000+2,A:A,0))&amp;Y$100&amp;", ")
&amp;IF(Z462=INDEX(Z:Z,MATCH(C462*1000+2,A:A,0)),"",Z462-INDEX(Z:Z,MATCH(C462*1000+2,A:A,0))&amp;Z$100&amp;", ")
&amp;IF(AA462=INDEX(AA:AA,MATCH(C462*1000+2,A:A,0)),"",AA462-INDEX(AA:AA,MATCH(C462*1000+2,A:A,0))&amp;AA$100&amp;", ")
&amp;IF(AC462=INDEX(AC:AC,MATCH(C462*1000+2,A:A,0)),"",AC462-INDEX(AC:AC,MATCH(C462*1000+2,A:A,0))&amp;AC$100&amp;", ")
&amp;IF(AE462=INDEX(AE:AE,MATCH(C462*1000+2,A:A,0)),"",AE462-INDEX(AE:AE,MATCH(C462*1000+2,A:A,0))&amp;AE$100&amp;", ")
&amp;IF(AG462=INDEX(AG:AG,MATCH(C462*1000+2,A:A,0)),"",AG462-INDEX(AG:AG,MATCH(C462*1000+2,A:A,0))&amp;AG$100&amp;", ")
&amp;IF(AI462=INDEX(AI:AI,MATCH(C462*1000+2,A:A,0)),"",AI462-INDEX(AI:AI,MATCH(C462*1000+2,A:A,0))&amp;AI$100&amp;", ")</f>
        <v xml:space="preserve">1000 CC, 0/0/0.9/3.9, -360 Lease, </v>
      </c>
      <c r="E462" s="475">
        <f>INDEX(Input!$1:$1048576,E$93,$C462*2+MIN($B462,2)+5)
+INDEX(Scenarios!E$121:E$200,MATCH($B462,Scenarios!$B$121:$B$200,0))</f>
        <v>2250</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8.9999999999999959E-3</v>
      </c>
      <c r="W462" s="863">
        <f>IFERROR(MAX(0,INDEX(Input!$1:$1048576,W$93,$C462*2+MIN($B462,2)+5)-0%,),"Market")</f>
        <v>3.9E-2</v>
      </c>
      <c r="X462" s="476" t="str">
        <f>INDEX(Input!$1:$1048576,X$93,$C462*2+MIN($B462,2)+5)</f>
        <v>Y</v>
      </c>
      <c r="Y462" s="475">
        <f>INDEX(Input!$1:$1048576,Y$93,$C462*2+MIN($B462,2)+5)
++INDEX(Scenarios!Y$121:Y$200,MATCH($B462,Scenarios!$B$121:$B$200,0))</f>
        <v>-2577</v>
      </c>
      <c r="Z462" s="477">
        <f>INDEX(Input!$1:$1048576,Z$93,$C462*2+MIN($B462,2)+5)
+INDEX(Scenarios!Z$121:Z$200,MATCH($B462,Scenarios!$B$121:$B$200,0))</f>
        <v>0</v>
      </c>
      <c r="AA462" s="475">
        <f>INDEX(Input!$1:$1048576,AA$93,$C462*2+MIN($B462,2)+5)</f>
        <v>0</v>
      </c>
      <c r="AB462" s="476">
        <f>INDEX(Input!$1:$1048576,AB$93,$C462*2+MIN($B462,2)+5)</f>
        <v>1</v>
      </c>
      <c r="AC462" s="475">
        <f>INDEX(Input!$1:$1048576,AC$93,$C462*2+MIN($B462,2)+5)
+INDEX(Scenarios!AC$121:AC$200,MATCH($B462,Scenarios!$B$121:$B$200,0))</f>
        <v>0</v>
      </c>
      <c r="AD462" s="476">
        <f>INDEX(Input!$1:$1048576,AD$93,$C462*2+MIN($B462,2)+5)</f>
        <v>0.35</v>
      </c>
      <c r="AE462" s="475">
        <f>INDEX(Input!$1:$1048576,AE$93,$C462*2+MIN($B462,2)+5)
+INDEX(Scenarios!AE$121:AE$200,MATCH($B462,Scenarios!$B$121:$B$200,0))</f>
        <v>0</v>
      </c>
      <c r="AF462" s="476">
        <f>INDEX(Input!$1:$1048576,AF$93,$C462*2+MIN($B462,2)+5)</f>
        <v>1</v>
      </c>
      <c r="AG462" s="475">
        <f>INDEX(Input!$1:$1048576,AG$93,$C462*2+MIN($B462,2)+5)
+INDEX(Scenarios!AG$121:AG$200,MATCH($B462,Scenarios!$B$121:$B$200,0))</f>
        <v>0</v>
      </c>
      <c r="AH462" s="476">
        <f>INDEX(Input!$1:$1048576,AH$93,$C462*2+MIN($B462,2)+5)</f>
        <v>1</v>
      </c>
      <c r="AI462" s="475">
        <f>INDEX(Input!$1:$1048576,AI$93,$C462*2+MIN($B462,2)+5)
+INDEX(Scenarios!AI$121:AI$200,MATCH($B462,Scenarios!$B$121:$B$200,0))</f>
        <v>0</v>
      </c>
      <c r="AJ462" s="476">
        <f>INDEX(Input!$1:$1048576,AJ$93,$C462*2+MIN($B462,2)+5)</f>
        <v>0.35</v>
      </c>
      <c r="AK462" s="150">
        <f>ROUND(INDEX(Input!$1:$1048576,AK$93,$C461*2+MIN($B462,1)+5)+(Y462-VLOOKUP($C462*1000+1,$A:$HH,Y$92,FALSE)),0)</f>
        <v>4232</v>
      </c>
      <c r="AL462" s="150">
        <f>ROUND(INDEX(Input!$1:$1048576,AL$93,$C461*2+MIN($B462,1)+5)-(Y462-VLOOKUP($C462*1000+1,$A:$HH,Y$92,FALSE))/36,0)</f>
        <v>4753</v>
      </c>
      <c r="AM462" s="32" t="str">
        <f t="shared" ref="AM462:AM466" si="1416">IF(K462="market","std",ROUND(K462*1000,0)/10)&amp;"/"&amp;IF(L462="market","std",ROUND(L462*1000,0)/10)&amp;"/"&amp;IF(M462="market","std",ROUND(M462*1000,0)/10)&amp;"/"&amp;IF(N462="market","std",ROUND(N462*1000,0)/10)&amp;IF(P462="N","","/"&amp;IF(O462="market","std",ROUND(O462*1000,0)/10))</f>
        <v>std/std/std/std</v>
      </c>
      <c r="AN462" s="32" t="str">
        <f t="shared" ref="AN462:AN466" si="1417">"$"&amp;ROUND(Q462,0)&amp;" + "&amp;IF(S462="market","std",ROUND(S462*1000,0)/10)&amp;"/"&amp;IF(T462="market","std",ROUND(T462*1000,0)/10)&amp;"/"&amp;IF(U462="market","std",ROUND(U462*1000,0)/10)&amp;"/"&amp;IF(V462="market","std",ROUND(V462*1000,0)/10)&amp;IF(X462="N","","/"&amp;IF(W462="market","std",ROUND(W462*1000,0)/10))</f>
        <v>$0 + 0/0/0/0.9/3.9</v>
      </c>
      <c r="AO462" s="32" t="str">
        <f t="shared" ref="AO462:AO466" si="1418">IF(S462="market","std",ROUND(S462*1000,0)/10)&amp;"/"&amp;IF(T462="market","std",ROUND(T462*1000,0)/10)&amp;"/"&amp;IF(U462="market","std",ROUND(U462*1000,0)/10)&amp;"/"&amp;IF(V462="market","std",ROUND(V462*1000,0)/10)&amp;IF(X462="N","","/"&amp;IF(W462="market","std",ROUND(W462*1000,0)/10))</f>
        <v>0/0/0/0.9/3.9</v>
      </c>
      <c r="AP462" s="32" t="str">
        <f t="shared" si="1386"/>
        <v>0/0/0.9/3.9</v>
      </c>
      <c r="AQ462" s="536">
        <f t="shared" ref="AQ462:AQ466" si="1419">SUM(IE462,G462*IF462,H462*IG462,AC462*AD462,AE462*AF462,AI462)</f>
        <v>0.49255860985155142</v>
      </c>
      <c r="AR462" s="32"/>
      <c r="AS462" s="302"/>
      <c r="AT462" s="3">
        <f t="shared" si="1330"/>
        <v>62</v>
      </c>
      <c r="AU462" s="41" t="s">
        <v>121</v>
      </c>
      <c r="AV462" s="41" t="s">
        <v>116</v>
      </c>
      <c r="AW462" s="41" t="str">
        <f>INDEX(Input!$1:$1048576,AW$93,$C462*2+6)</f>
        <v>Kia</v>
      </c>
      <c r="AX462" s="41" t="str">
        <f>INDEX(Input!$1:$1048576,AX$93,$C462*2+6)</f>
        <v>Kia-LR - R1</v>
      </c>
      <c r="AY462" s="41" t="str">
        <f>IF(LEN(D462)=0,"",INDEX(Input!$1:$1048576,AY$93,$C462*2+6))</f>
        <v>Compact Conventional/Sporty Car (43)</v>
      </c>
      <c r="AZ462" s="41" t="str">
        <f>INDEX(Input!$1:$1048576,AZ$93,$C462*2+6)</f>
        <v>Kia Forte</v>
      </c>
      <c r="BA462" s="3">
        <f>INDEX(Input!$1:$1048576,BA$93,$C462*2+6)</f>
        <v>2020</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19695</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387"/>
        <v>2560</v>
      </c>
      <c r="CJ462" s="16" t="str">
        <f>INDEX(Input!$1:$1048576,CJ$93,$C462*2+6)</f>
        <v>N</v>
      </c>
      <c r="CK462" s="1" t="str">
        <f t="shared" si="1388"/>
        <v>Market</v>
      </c>
      <c r="CL462" s="1" t="str">
        <f t="shared" si="1389"/>
        <v>Market</v>
      </c>
      <c r="CM462" s="1" t="str">
        <f t="shared" si="1390"/>
        <v>Market</v>
      </c>
      <c r="CN462" s="1" t="str">
        <f t="shared" si="1391"/>
        <v>Market</v>
      </c>
      <c r="CO462" s="1" t="str">
        <f t="shared" si="1392"/>
        <v>Market</v>
      </c>
      <c r="CP462" s="304">
        <f t="shared" si="1393"/>
        <v>0</v>
      </c>
      <c r="CQ462" s="1">
        <f t="shared" ref="CQ462:CQ466" si="1420">S462</f>
        <v>0</v>
      </c>
      <c r="CR462" s="1">
        <f t="shared" ref="CR462:CR466" si="1421">T462</f>
        <v>0</v>
      </c>
      <c r="CS462" s="1">
        <f t="shared" ref="CS462:CS466" si="1422">U462</f>
        <v>0</v>
      </c>
      <c r="CT462" s="1">
        <f t="shared" ref="CT462:CT466" si="1423">V462</f>
        <v>8.9999999999999959E-3</v>
      </c>
      <c r="CU462" s="1">
        <f t="shared" ref="CU462:CU466" si="1424">W462</f>
        <v>3.9E-2</v>
      </c>
      <c r="CV462" s="304">
        <f t="shared" si="1399"/>
        <v>-2577</v>
      </c>
      <c r="CW462" s="20" t="s">
        <v>122</v>
      </c>
      <c r="CX462" s="20" t="s">
        <v>122</v>
      </c>
      <c r="CY462" s="20" t="s">
        <v>122</v>
      </c>
      <c r="CZ462" s="20" t="s">
        <v>122</v>
      </c>
      <c r="DA462" s="20" t="s">
        <v>122</v>
      </c>
      <c r="DB462" s="503">
        <f t="shared" si="1400"/>
        <v>0</v>
      </c>
      <c r="DC462" s="127">
        <v>0</v>
      </c>
      <c r="DD462" s="127">
        <v>0</v>
      </c>
      <c r="DE462" s="127">
        <v>0</v>
      </c>
      <c r="DF462" s="127">
        <v>0</v>
      </c>
      <c r="DG462" s="127">
        <v>0</v>
      </c>
      <c r="DH462" s="127">
        <v>0</v>
      </c>
      <c r="DI462" s="127">
        <v>0</v>
      </c>
      <c r="DJ462" s="127">
        <v>0</v>
      </c>
      <c r="DK462" s="127">
        <v>0</v>
      </c>
      <c r="DL462" s="127">
        <v>0</v>
      </c>
      <c r="DM462" s="304">
        <f>INDEX(Input!$1:$1048576,DM$93,$C462*2+6)</f>
        <v>20731.578947368424</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4.776023556357354E-2</v>
      </c>
      <c r="DZ462" s="7">
        <v>0</v>
      </c>
      <c r="EA462" s="7">
        <v>0.84714739372708858</v>
      </c>
      <c r="EB462" s="7">
        <v>0</v>
      </c>
      <c r="EC462" s="7">
        <v>0</v>
      </c>
      <c r="ED462" s="7">
        <v>0</v>
      </c>
      <c r="EE462" s="7">
        <v>0</v>
      </c>
      <c r="EF462" s="7">
        <v>0</v>
      </c>
      <c r="EG462" s="7">
        <v>0</v>
      </c>
      <c r="EH462" s="7">
        <v>8.5020751784010209E-3</v>
      </c>
      <c r="EI462" s="7">
        <v>1.3661720709276643E-2</v>
      </c>
      <c r="EJ462" s="7">
        <v>0.12818167735794525</v>
      </c>
      <c r="EK462" s="7">
        <v>0.80962880532176495</v>
      </c>
      <c r="EL462" s="7">
        <v>4.0025721432612599E-2</v>
      </c>
      <c r="EM462" s="7">
        <v>3.474870485962904E-2</v>
      </c>
      <c r="EN462" s="7">
        <v>4.6319333939631051E-2</v>
      </c>
      <c r="EO462" s="7">
        <v>0.5712826317540185</v>
      </c>
      <c r="EP462" s="7">
        <v>0.26829260111949665</v>
      </c>
      <c r="EQ462" s="7">
        <v>6.8645540018433746E-2</v>
      </c>
      <c r="ER462" s="7">
        <v>4.5459893168420251E-2</v>
      </c>
      <c r="ES462" s="7">
        <v>7.0343665849708858E-2</v>
      </c>
      <c r="ET462" s="7">
        <v>0.10509237070933791</v>
      </c>
      <c r="EU462" s="6">
        <v>2600</v>
      </c>
      <c r="EV462" s="6">
        <v>0</v>
      </c>
      <c r="EW462" s="6">
        <v>2600</v>
      </c>
      <c r="EX462" s="6">
        <v>0</v>
      </c>
      <c r="EY462" s="6">
        <v>2978.2091324137459</v>
      </c>
      <c r="EZ462" s="6">
        <v>-606</v>
      </c>
      <c r="FA462" s="6">
        <v>0</v>
      </c>
      <c r="FB462" s="6">
        <v>0</v>
      </c>
      <c r="FC462" s="6">
        <v>0</v>
      </c>
      <c r="FD462" s="6">
        <v>0</v>
      </c>
      <c r="FE462" s="6">
        <v>0</v>
      </c>
      <c r="FF462" s="6">
        <v>0</v>
      </c>
      <c r="FG462" s="6">
        <v>0</v>
      </c>
      <c r="FH462" s="6">
        <v>1153.2263511252268</v>
      </c>
      <c r="FI462" s="6">
        <v>1531.4299904380625</v>
      </c>
      <c r="FJ462" s="6">
        <v>2070.7205842538215</v>
      </c>
      <c r="FK462" s="6">
        <v>2218.6393698501006</v>
      </c>
      <c r="FL462" s="6">
        <v>893.9143356348934</v>
      </c>
      <c r="FM462" s="6">
        <v>2128.2091324137459</v>
      </c>
      <c r="FN462" s="6">
        <v>0</v>
      </c>
      <c r="FO462" s="6">
        <v>0</v>
      </c>
      <c r="FP462" s="6">
        <v>0</v>
      </c>
      <c r="FQ462" s="6">
        <v>0</v>
      </c>
      <c r="FR462" s="6">
        <v>0</v>
      </c>
      <c r="FS462" s="6">
        <v>0</v>
      </c>
      <c r="FT462" s="7">
        <v>0.89490762929066214</v>
      </c>
      <c r="FU462" s="7">
        <v>3.474870485962904E-2</v>
      </c>
      <c r="FV462" s="7">
        <v>7.0343665849708858E-2</v>
      </c>
      <c r="FW462" s="6">
        <v>2600</v>
      </c>
      <c r="FX462" s="6">
        <v>2978.2091324137459</v>
      </c>
      <c r="FY462" s="6">
        <v>-606</v>
      </c>
      <c r="FZ462" s="6">
        <v>1695.8504614767719</v>
      </c>
      <c r="GA462" s="6">
        <v>2387.6204848032953</v>
      </c>
      <c r="GB462" s="6">
        <v>17307.379515196706</v>
      </c>
      <c r="GC462" s="7">
        <v>8.1891069685915169E-2</v>
      </c>
      <c r="GD462" s="7">
        <v>8.8603466099163794E-2</v>
      </c>
      <c r="GE462" s="7"/>
      <c r="GF462" s="7"/>
      <c r="GG462" s="7">
        <v>8.196737982533793E-2</v>
      </c>
      <c r="GH462" s="42">
        <v>2.3336477315063417</v>
      </c>
      <c r="GI462" s="6">
        <v>10827.197604391571</v>
      </c>
      <c r="GJ462" s="14">
        <v>0.51074630601039506</v>
      </c>
      <c r="GK462" s="14">
        <v>0.50829519786160959</v>
      </c>
      <c r="GL462" s="14">
        <v>0.48925369398960417</v>
      </c>
      <c r="GM462" s="14">
        <v>0.49170480213839035</v>
      </c>
      <c r="GO462" s="5">
        <v>338.16872463277008</v>
      </c>
      <c r="GP462" s="5">
        <v>288.56568471597211</v>
      </c>
      <c r="GQ462" s="5">
        <v>527.27910984145694</v>
      </c>
      <c r="GR462" s="5">
        <v>404.20319246551543</v>
      </c>
      <c r="GS462" s="5">
        <v>334.50205195691484</v>
      </c>
      <c r="GT462" s="5">
        <v>289.18266033348181</v>
      </c>
      <c r="GU462" s="5">
        <v>254.29573314828914</v>
      </c>
      <c r="GV462" s="39" t="s">
        <v>392</v>
      </c>
      <c r="GW462" s="5">
        <v>468.76388888888891</v>
      </c>
      <c r="GX462" s="5">
        <v>351.57291666666669</v>
      </c>
      <c r="GY462" s="5">
        <v>281.25833333333333</v>
      </c>
      <c r="GZ462" s="5">
        <v>240.85506989150105</v>
      </c>
      <c r="HA462" s="5">
        <v>229.89195052129477</v>
      </c>
      <c r="HB462" s="39">
        <v>249.04551542137696</v>
      </c>
      <c r="HC462" s="5">
        <v>309.62812499999995</v>
      </c>
      <c r="HD462" s="5">
        <v>254.42143640350872</v>
      </c>
      <c r="HE462" s="5">
        <v>254.26724443319836</v>
      </c>
      <c r="HF462" s="5">
        <v>231.71692434210524</v>
      </c>
      <c r="HG462" s="5">
        <v>219.1899342105263</v>
      </c>
      <c r="HH462" s="39">
        <v>253.77702106635851</v>
      </c>
      <c r="HI462" s="16"/>
      <c r="HJ462" s="19" t="str">
        <f t="shared" ref="HJ462:HK462" si="1425">HJ461</f>
        <v>On</v>
      </c>
      <c r="HK462" s="1" t="str">
        <f t="shared" si="1425"/>
        <v>On</v>
      </c>
      <c r="HL462" s="16"/>
      <c r="HM462" s="639">
        <f t="shared" ref="HM462:HM466" si="1426">VLOOKUP($C462*1000+1,$A:$HH,FT$92,FALSE)*$JF462</f>
        <v>6.6115095157691428E-2</v>
      </c>
      <c r="HN462" s="639">
        <f t="shared" ref="HN462:HN466" si="1427">VLOOKUP($C462*1000+1,$A:$HH,FU$92,FALSE)*$JF462</f>
        <v>2.3720927871164412E-3</v>
      </c>
      <c r="HO462" s="639">
        <f t="shared" ref="HO462:HO466" si="1428">VLOOKUP($C462*1000+1,$A:$HH,FV$92,FALSE)*$JF462</f>
        <v>7.7231033444443466E-3</v>
      </c>
      <c r="HP462" s="644">
        <f>(FT462*$GD462-HM462)/$JF462*INDEX(Input!$1:$1048576,$JG$93,$C462*2+6)</f>
        <v>321.4226433991542</v>
      </c>
      <c r="HQ462" s="644">
        <f>(FU462*$GD462-HN462)/$JF462*INDEX(Input!$1:$1048576,$JG$93,$C462*2+6)</f>
        <v>17.240089492480251</v>
      </c>
      <c r="HR462" s="644">
        <f>(FV462*$GD462-HO462)/$JF462*INDEX(Input!$1:$1048576,$JG$93,$C462*2+6)</f>
        <v>-36.355635229684545</v>
      </c>
      <c r="HS462" s="644">
        <f t="shared" ref="HS462:HS466" si="1429">IF(AND(HJ462="On",HK462="On"),IL462/1000*INDEX(KG:KG,MATCH(C462*1000+3,$KF:$KF,0))*SUM(HY462:IA462)*1.1
+INDEX(HR:HR,MATCH(C462*1000+4,$KF:$KF,0))/INDEX(IM:IM,MATCH(C462*1000+4,$KF:$KF,0))*IM462*20%,0)</f>
        <v>-73.637467384633098</v>
      </c>
      <c r="HT462" s="644">
        <f t="shared" ref="HT462:HT466" si="1430">IF(AND(HJ462="On",HK462="On"),IM462/1000*INDEX(KG:KG,MATCH(C462*1000+4,$KF:$KF,0))*SUM(HY462:IA462)*1.1
+INDEX(HR:HR,MATCH(C462*1000+3,$KF:$KF,0))/INDEX(IL:IL,MATCH(C462*1000+3,$KF:$KF,0))*IL462*20%,0)</f>
        <v>122.40652782674783</v>
      </c>
      <c r="HU462" s="644">
        <f t="shared" ref="HU462:HU466" si="1431">IF(HJ462="On",IN462/1000*INDEX(KG:KG,MATCH(C462*1000+5,$KF:$KF,0))*SUM(HY462:IA462)*1.1
-INDEX(HR:HR,MATCH(C462*1000+3,$KF:$KF,0))/INDEX(IL:IL,MATCH(C462*1000+3,$KF:$KF,0))*IL462*20%
-INDEX(HR:HR,MATCH(C462*1000+4,$KF:$KF,0))/INDEX(IM:IM,MATCH(C462*1000+4,$KF:$KF,0))*IM462*20%,0)</f>
        <v>6.4827532173034044</v>
      </c>
      <c r="HV462" s="648">
        <f t="shared" ref="HV462:HV466" si="1432">IL462/1000*0+IM462/1000*0+IN462/1000*0
+(CP462-INDEX(CP:CP,MATCH(C462*1000+1,A:A,0)))/1000*0+IF(FU462&gt;0,0,0)</f>
        <v>0</v>
      </c>
      <c r="HW462" s="648">
        <f t="shared" ref="HW462:HW466" si="1433">IL462/1000*0+IM462/1000*0+IN462/1000*0
+(CP462-INDEX(CP:CP,MATCH(C462*1000+1,A:A,0)))/1000*0+IF(FU462&gt;0,0,0)</f>
        <v>0</v>
      </c>
      <c r="HX462" s="648">
        <f t="shared" ref="HX462:HX466" si="1434">IL462/1000*0+IM462/1000*0+IN462/1000*0
+(CP462-INDEX(CP:CP,MATCH(C462*1000+1,A:A,0)))/1000*0+IF(FU462&gt;0,0,0)</f>
        <v>0</v>
      </c>
      <c r="HY462" s="644">
        <f>INDEX(Input!$1:$1048576,HY$93,$C462*2+6)*INDEX(Input!$1:$1048576,$JG$93,$C462*2+6)</f>
        <v>844</v>
      </c>
      <c r="HZ462" s="644">
        <f>INDEX(Input!$1:$1048576,HZ$93,$C462*2+6)*INDEX(Input!$1:$1048576,$JG$93,$C462*2+6)</f>
        <v>865</v>
      </c>
      <c r="IA462" s="644">
        <f>INDEX(Input!$1:$1048576,IA$93,$C462*2+6)*INDEX(Input!$1:$1048576,$JG$93,$C462*2+6)</f>
        <v>150</v>
      </c>
      <c r="IB462" s="644">
        <f t="shared" ref="IB462:IB466" si="1435">SUM(HP462:IA462)-IC462-ID462</f>
        <v>1091.7851760145213</v>
      </c>
      <c r="IC462" s="644">
        <f t="shared" ref="IC462:IC466" si="1436">MAX(HZ462+HQ462+HT462+HW462,0%)</f>
        <v>1004.6466173192281</v>
      </c>
      <c r="ID462" s="644">
        <f>IF(AND(INDEX(Input!$1:$1048576,IA$93,$C462*2+7)="TOS",Y462&lt;=INDEX(Y:Y,MATCH(C462*1000+2,A:A))),0,1)*MAX(IA462+HR462+HU462+HX462,0%)</f>
        <v>120.12711798761887</v>
      </c>
      <c r="IE462" s="128">
        <f t="shared" ref="IE462:IE466" si="1437">IB462/SUM($IB462:$ID462)</f>
        <v>0.49255860985155142</v>
      </c>
      <c r="IF462" s="128">
        <f t="shared" ref="IF462:IF466" si="1438">IC462/SUM($IB462:$ID462)</f>
        <v>0.45324607082981755</v>
      </c>
      <c r="IG462" s="128">
        <f t="shared" ref="IG462:IG466" si="1439">ID462/SUM($IB462:$ID462)</f>
        <v>5.4195319318631106E-2</v>
      </c>
      <c r="IH462" s="21"/>
      <c r="II462" s="19">
        <f t="shared" ref="II462:II466" si="1440">VLOOKUP($C462*1000+1,$A:$HH,FW$92,FALSE)-VLOOKUP($C462*1000+1,$A:$HH,FA$92,FALSE)*VLOOKUP($C462*1000+1,$A:$HH,DZ$92,FALSE)/VLOOKUP($C462*1000+1,$A:$HH,FT$92,FALSE)</f>
        <v>1199.9999999999998</v>
      </c>
      <c r="IJ462" s="19">
        <f t="shared" ref="IJ462:IJ466" si="1441">VLOOKUP($C462*1000+1,$A:$HH,FX$92,FALSE)</f>
        <v>2195.4782357510435</v>
      </c>
      <c r="IK462" s="19">
        <f t="shared" ref="IK462:IK466" si="1442">VLOOKUP($C462*1000+1,$A:$HH,FY$92,FALSE)</f>
        <v>-571</v>
      </c>
      <c r="IL462" s="19">
        <f t="shared" ref="IL462:IL466" si="1443">(FW462-FA462*DZ462/FT462)-II462</f>
        <v>1400.0000000000002</v>
      </c>
      <c r="IM462" s="19">
        <f t="shared" ref="IM462:IM466" si="1444">FX462-IJ462</f>
        <v>782.73089666270243</v>
      </c>
      <c r="IN462" s="19">
        <f t="shared" ref="IN462:IN466" si="1445">FY462-IK462</f>
        <v>-35</v>
      </c>
      <c r="IO462" s="39">
        <f t="shared" ref="IO462:IO466" si="1446">(F462-VLOOKUP($C462*1000+1,$A:$HH,F$92,FALSE))*(1-$I462)</f>
        <v>0</v>
      </c>
      <c r="IP462" s="39">
        <f t="shared" ref="IP462:IP466" si="1447">(G462-VLOOKUP($C462*1000+1,$A:$HH,G$92,FALSE))*(1-$I462)</f>
        <v>0</v>
      </c>
      <c r="IQ462" s="39">
        <f t="shared" ref="IQ462:IQ466" si="1448">(H462-VLOOKUP($C462*1000+1,$A:$HH,H$92,FALSE))*(1-$I462)</f>
        <v>0</v>
      </c>
      <c r="IR462" s="39">
        <v>0</v>
      </c>
      <c r="IS462" s="39">
        <v>0</v>
      </c>
      <c r="IT462" s="39">
        <v>0</v>
      </c>
      <c r="IU462" s="39">
        <v>0</v>
      </c>
      <c r="IV462" s="39">
        <v>0</v>
      </c>
      <c r="IW462" s="39">
        <v>0</v>
      </c>
      <c r="IX462" s="39">
        <f>INDEX(Input!$1:$1048576,IX$93,$C462*2+6)+INDEX(Input!$1:$1048576,IX$94,$C462*2+6)</f>
        <v>1600</v>
      </c>
      <c r="IY462" s="39">
        <f>INDEX(Input!$1:$1048576,IY$93,$C462*2+6)+INDEX(Input!$1:$1048576,IY$94,$C462*2+6)</f>
        <v>2503.549291639752</v>
      </c>
      <c r="IZ462" s="39">
        <f>INDEX(Input!$1:$1048576,IZ$93,$C462*2+6)+INDEX(Input!$1:$1048576,IZ$94,$C462*2+6)</f>
        <v>5413.7109265464023</v>
      </c>
      <c r="JA462" s="19">
        <f t="shared" ref="JA462:JA466" si="1449">(IL462+IO462+IR462+IU462+IX462)</f>
        <v>3000</v>
      </c>
      <c r="JB462" s="19">
        <f t="shared" ref="JB462:JB466" si="1450">(IM462+IP462+IS462+IV462+IY462)</f>
        <v>3286.2801883024545</v>
      </c>
      <c r="JC462" s="19">
        <f t="shared" ref="JC462:JC466" si="1451">(IN462+IQ462+IT462+IW462+IZ462)</f>
        <v>5378.7109265464023</v>
      </c>
      <c r="JD462" s="19">
        <f t="shared" ref="JD462:JD466" si="1452">SUMPRODUCT(IE462:IG462,JA462:JC462)</f>
        <v>3258.670368735407</v>
      </c>
      <c r="JE462" s="21"/>
      <c r="JF462" s="1">
        <f t="shared" ref="JF462:JF466" si="1453">VLOOKUP($C462*1000+1,$A:$HH,GD$92,FALSE)</f>
        <v>7.6210291289252219E-2</v>
      </c>
      <c r="JG462" s="15">
        <f>INDEX(Input!$1:$1048576,JG$93,$C462*2+6)/(1+VLOOKUP(C462*1000+INDEX(Input!$1:$1048576,JG$93+1,$C462*2+6),$A:$KK,$JK$92,FALSE))</f>
        <v>1859</v>
      </c>
      <c r="JH462" s="1">
        <f t="shared" ref="JH462:JH466" si="1454">SUM(HP462:HR462)/SUM(HY462:IA462)</f>
        <v>0.16261812676812798</v>
      </c>
      <c r="JI462" s="1">
        <f t="shared" ref="JI462:JI466" si="1455">SUM(HS462:HU462)/SUM(HY462:IA462)</f>
        <v>2.9721255330510028E-2</v>
      </c>
      <c r="JJ462" s="1">
        <f t="shared" ref="JJ462:JJ466" si="1456">SUM(HV462:HX462)/SUM(HY462:IA462)</f>
        <v>0</v>
      </c>
      <c r="JK462" s="1">
        <f t="shared" ref="JK462:JK466" si="1457">SUM(JH462:JJ462)</f>
        <v>0.19233938209863802</v>
      </c>
      <c r="JL462" s="15">
        <f t="shared" ref="JL462:JL466" si="1458">JG462*JK462</f>
        <v>357.5589113213681</v>
      </c>
      <c r="JM462" s="15">
        <f t="shared" ref="JM462:JM466" si="1459">JG462+JL462</f>
        <v>2216.5589113213682</v>
      </c>
      <c r="JN462" s="21"/>
      <c r="JO462" s="19">
        <f>INDEX(Input!$1:$1048576,JO$93,$C462*2+6)</f>
        <v>5908.5</v>
      </c>
      <c r="JP462" s="19">
        <f>INDEX(Input!$1:$1048576,JP$93,$C462*2+6)</f>
        <v>2328.1478086338602</v>
      </c>
      <c r="JQ462" s="39">
        <f t="shared" ref="JQ462:JQ466" si="1460">JO462-JD462</f>
        <v>2649.829631264593</v>
      </c>
      <c r="JR462" s="39">
        <f t="shared" ref="JR462:JR466" si="1461">JD462-JP462</f>
        <v>930.52256010154679</v>
      </c>
      <c r="JS462" s="39">
        <f t="shared" ref="JS462:JS466" si="1462">JM462*JD462/1000000</f>
        <v>7.2230348448793551</v>
      </c>
      <c r="JT462" s="39">
        <f t="shared" ref="JT462:JT466" si="1463">(JD462*JM462-JP462*JG462)/1000000</f>
        <v>2.8950080686290085</v>
      </c>
      <c r="JU462" s="385">
        <f>(JQ462*JM462-INDEX(Input!$1:$1048576,Input!A$18,$C462*2+6)*JL462*INDEX(Input!$1:$1048576,Input!A$19,$C462*2+6))/1000000</f>
        <v>5.8735034826629491</v>
      </c>
      <c r="JV462" s="39">
        <f t="shared" ref="JV462:JV466" si="1464">JU462-(JO462-JP462)*JG462/1000000</f>
        <v>-0.78237124108670475</v>
      </c>
      <c r="JW462" s="1">
        <f t="shared" ref="JW462:JW466" si="1465">JV462/(JU462-JV462)</f>
        <v>-0.1175459685704463</v>
      </c>
      <c r="JX462" s="19">
        <f t="shared" ref="JX462:JX466" si="1466">IF(JL462=0,0,JT462/JL462)*1000000</f>
        <v>8096.5904553474338</v>
      </c>
      <c r="JZ462" s="341"/>
      <c r="KA462" s="342"/>
      <c r="KB462" s="469">
        <f t="shared" si="1337"/>
        <v>2.3451977905499271</v>
      </c>
      <c r="KI462" s="473">
        <f t="shared" ref="KI462:KI466" si="1467">$JM462*IE462-$JG462*HY462/SUM($HY462:$IA462)</f>
        <v>247.78517601452131</v>
      </c>
      <c r="KJ462" s="473">
        <f t="shared" ref="KJ462:KJ466" si="1468">$JM462*IF462-$JG462*HZ462/SUM($HY462:$IA462)</f>
        <v>139.64661731922808</v>
      </c>
      <c r="KK462" s="473">
        <f t="shared" ref="KK462:KK466" si="1469">$JM462*IG462-$JG462*IA462/SUM($HY462:$IA462)</f>
        <v>-29.872882012381126</v>
      </c>
      <c r="KN462" s="544">
        <f t="shared" ref="KN462:KN466" si="1470">KM462+(KN461-KM461)</f>
        <v>4002</v>
      </c>
      <c r="KO462" s="541">
        <f t="shared" ref="KO462:KO466" si="1471">JM462/INDEX(JM:JM,MATCH(KN462,A:A,0))-1</f>
        <v>0.1095889051826735</v>
      </c>
      <c r="KP462" s="546">
        <f t="shared" ref="KP462:KP466" si="1472">(IL462-INDEX(IL:IL,MATCH(KN462,A:A,0)))*IE462
+(IM462-IF(HN462=0,INDEX(IX:IX,MATCH(KN462,A:A,0)),INDEX(IM:IM,MATCH(KN462,A:A,0))))*IF462
+(IN462-INDEX(IN:IN,MATCH(KN462,A:A,0)))*IG462</f>
        <v>646.47385301926295</v>
      </c>
      <c r="KQ462" s="546">
        <f t="shared" ref="KQ462:KQ466" si="1473">JD462-INDEX(JD:JD,MATCH(KN462,A:A,0))</f>
        <v>534.92680713741129</v>
      </c>
      <c r="KR462" s="548">
        <f t="shared" ref="KR462:KR466" si="1474">KO462/(KP462/(BX462-INDEX(JD:JD,MATCH(KN462,A:A,0))))</f>
        <v>2.8769321511963089</v>
      </c>
      <c r="KS462" s="548">
        <f t="shared" ref="KS462:KS466" si="1475">KO462/(KQ462/(BX462-INDEX(JD:JD,MATCH(KN462,A:A,0))))</f>
        <v>3.47685213723289</v>
      </c>
      <c r="KT462" s="473">
        <f t="shared" si="1339"/>
        <v>1050.27685337919</v>
      </c>
      <c r="KU462" s="663">
        <f t="shared" ref="KU462:KU466" si="1476">IF(D462="",0,IFERROR((JM462/KT462-1)/(JD462/BX462)+B462*10^-6,0))</f>
        <v>6.7114964638891701</v>
      </c>
      <c r="KV462" s="117"/>
    </row>
    <row r="463" spans="1:308" s="26" customFormat="1" ht="15" outlineLevel="1">
      <c r="A463" s="561">
        <f t="shared" si="1414"/>
        <v>4063</v>
      </c>
      <c r="B463" s="561">
        <f t="shared" si="1328"/>
        <v>63</v>
      </c>
      <c r="C463" s="561">
        <f t="shared" si="1329"/>
        <v>4</v>
      </c>
      <c r="D463" s="561" t="str">
        <f t="shared" si="1415"/>
        <v xml:space="preserve">-250 CC, 0/0/0.9/3.9, </v>
      </c>
      <c r="E463" s="475">
        <f>INDEX(Input!$1:$1048576,E$93,$C463*2+MIN($B463,2)+5)
+INDEX(Scenarios!E$121:E$200,MATCH($B463,Scenarios!$B$121:$B$200,0))</f>
        <v>1000</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8.9999999999999959E-3</v>
      </c>
      <c r="W463" s="863">
        <f>IFERROR(MAX(0,INDEX(Input!$1:$1048576,W$93,$C463*2+MIN($B463,2)+5)-0%,),"Market")</f>
        <v>3.9E-2</v>
      </c>
      <c r="X463" s="476" t="str">
        <f>INDEX(Input!$1:$1048576,X$93,$C463*2+MIN($B463,2)+5)</f>
        <v>Y</v>
      </c>
      <c r="Y463" s="475">
        <f>INDEX(Input!$1:$1048576,Y$93,$C463*2+MIN($B463,2)+5)
++INDEX(Scenarios!Y$121:Y$200,MATCH($B463,Scenarios!$B$121:$B$200,0))</f>
        <v>-2217</v>
      </c>
      <c r="Z463" s="477">
        <f>INDEX(Input!$1:$1048576,Z$93,$C463*2+MIN($B463,2)+5)
+INDEX(Scenarios!Z$121:Z$200,MATCH($B463,Scenarios!$B$121:$B$200,0))</f>
        <v>0</v>
      </c>
      <c r="AA463" s="475">
        <f>INDEX(Input!$1:$1048576,AA$93,$C463*2+MIN($B463,2)+5)</f>
        <v>0</v>
      </c>
      <c r="AB463" s="476">
        <f>INDEX(Input!$1:$1048576,AB$93,$C463*2+MIN($B463,2)+5)</f>
        <v>1</v>
      </c>
      <c r="AC463" s="475">
        <f>INDEX(Input!$1:$1048576,AC$93,$C463*2+MIN($B463,2)+5)
+INDEX(Scenarios!AC$121:AC$200,MATCH($B463,Scenarios!$B$121:$B$200,0))</f>
        <v>0</v>
      </c>
      <c r="AD463" s="476">
        <f>INDEX(Input!$1:$1048576,AD$93,$C463*2+MIN($B463,2)+5)</f>
        <v>0.35</v>
      </c>
      <c r="AE463" s="475">
        <f>INDEX(Input!$1:$1048576,AE$93,$C463*2+MIN($B463,2)+5)
+INDEX(Scenarios!AE$121:AE$200,MATCH($B463,Scenarios!$B$121:$B$200,0))</f>
        <v>0</v>
      </c>
      <c r="AF463" s="476">
        <f>INDEX(Input!$1:$1048576,AF$93,$C463*2+MIN($B463,2)+5)</f>
        <v>1</v>
      </c>
      <c r="AG463" s="475">
        <f>INDEX(Input!$1:$1048576,AG$93,$C463*2+MIN($B463,2)+5)
+INDEX(Scenarios!AG$121:AG$200,MATCH($B463,Scenarios!$B$121:$B$200,0))</f>
        <v>0</v>
      </c>
      <c r="AH463" s="476">
        <f>INDEX(Input!$1:$1048576,AH$93,$C463*2+MIN($B463,2)+5)</f>
        <v>1</v>
      </c>
      <c r="AI463" s="475">
        <f>INDEX(Input!$1:$1048576,AI$93,$C463*2+MIN($B463,2)+5)
+INDEX(Scenarios!AI$121:AI$200,MATCH($B463,Scenarios!$B$121:$B$200,0))</f>
        <v>0</v>
      </c>
      <c r="AJ463" s="476">
        <f>INDEX(Input!$1:$1048576,AJ$93,$C463*2+MIN($B463,2)+5)</f>
        <v>0.35</v>
      </c>
      <c r="AK463" s="150">
        <f>ROUND(INDEX(Input!$1:$1048576,AK$93,$C462*2+MIN($B463,1)+5)+(Y463-VLOOKUP($C463*1000+1,$A:$HH,Y$92,FALSE)),0)</f>
        <v>4592</v>
      </c>
      <c r="AL463" s="150">
        <f>ROUND(INDEX(Input!$1:$1048576,AL$93,$C462*2+MIN($B463,1)+5)-(Y463-VLOOKUP($C463*1000+1,$A:$HH,Y$92,FALSE))/36,0)</f>
        <v>4743</v>
      </c>
      <c r="AM463" s="32" t="str">
        <f t="shared" si="1416"/>
        <v>std/std/std/std</v>
      </c>
      <c r="AN463" s="32" t="str">
        <f t="shared" si="1417"/>
        <v>$0 + 0/0/0/0.9/3.9</v>
      </c>
      <c r="AO463" s="32" t="str">
        <f t="shared" si="1418"/>
        <v>0/0/0/0.9/3.9</v>
      </c>
      <c r="AP463" s="32" t="str">
        <f t="shared" si="1386"/>
        <v>0/0/0.9/3.9</v>
      </c>
      <c r="AQ463" s="536">
        <f t="shared" si="1419"/>
        <v>0.41469169300294456</v>
      </c>
      <c r="AR463" s="32"/>
      <c r="AS463" s="302"/>
      <c r="AT463" s="3">
        <f t="shared" si="1330"/>
        <v>63</v>
      </c>
      <c r="AU463" s="41" t="s">
        <v>121</v>
      </c>
      <c r="AV463" s="41" t="s">
        <v>116</v>
      </c>
      <c r="AW463" s="41" t="str">
        <f>INDEX(Input!$1:$1048576,AW$93,$C463*2+6)</f>
        <v>Kia</v>
      </c>
      <c r="AX463" s="41" t="str">
        <f>INDEX(Input!$1:$1048576,AX$93,$C463*2+6)</f>
        <v>Kia-LR - R1</v>
      </c>
      <c r="AY463" s="41" t="str">
        <f>IF(LEN(D463)=0,"",INDEX(Input!$1:$1048576,AY$93,$C463*2+6))</f>
        <v>Compact Conventional/Sporty Car (43)</v>
      </c>
      <c r="AZ463" s="41" t="str">
        <f>INDEX(Input!$1:$1048576,AZ$93,$C463*2+6)</f>
        <v>Kia Forte</v>
      </c>
      <c r="BA463" s="3">
        <f>INDEX(Input!$1:$1048576,BA$93,$C463*2+6)</f>
        <v>2020</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19695</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387"/>
        <v>1310</v>
      </c>
      <c r="CJ463" s="16" t="str">
        <f>INDEX(Input!$1:$1048576,CJ$93,$C463*2+6)</f>
        <v>N</v>
      </c>
      <c r="CK463" s="1" t="str">
        <f t="shared" si="1388"/>
        <v>Market</v>
      </c>
      <c r="CL463" s="1" t="str">
        <f t="shared" si="1389"/>
        <v>Market</v>
      </c>
      <c r="CM463" s="1" t="str">
        <f t="shared" si="1390"/>
        <v>Market</v>
      </c>
      <c r="CN463" s="1" t="str">
        <f t="shared" si="1391"/>
        <v>Market</v>
      </c>
      <c r="CO463" s="1" t="str">
        <f t="shared" si="1392"/>
        <v>Market</v>
      </c>
      <c r="CP463" s="304">
        <f t="shared" si="1393"/>
        <v>0</v>
      </c>
      <c r="CQ463" s="1">
        <f t="shared" si="1420"/>
        <v>0</v>
      </c>
      <c r="CR463" s="1">
        <f t="shared" si="1421"/>
        <v>0</v>
      </c>
      <c r="CS463" s="1">
        <f t="shared" si="1422"/>
        <v>0</v>
      </c>
      <c r="CT463" s="1">
        <f t="shared" si="1423"/>
        <v>8.9999999999999959E-3</v>
      </c>
      <c r="CU463" s="1">
        <f t="shared" si="1424"/>
        <v>3.9E-2</v>
      </c>
      <c r="CV463" s="304">
        <f t="shared" si="1399"/>
        <v>-2217</v>
      </c>
      <c r="CW463" s="20" t="s">
        <v>122</v>
      </c>
      <c r="CX463" s="20" t="s">
        <v>122</v>
      </c>
      <c r="CY463" s="20" t="s">
        <v>122</v>
      </c>
      <c r="CZ463" s="20" t="s">
        <v>122</v>
      </c>
      <c r="DA463" s="20" t="s">
        <v>122</v>
      </c>
      <c r="DB463" s="503">
        <f t="shared" si="1400"/>
        <v>0</v>
      </c>
      <c r="DC463" s="127">
        <v>0</v>
      </c>
      <c r="DD463" s="127">
        <v>0</v>
      </c>
      <c r="DE463" s="127">
        <v>0</v>
      </c>
      <c r="DF463" s="127">
        <v>0</v>
      </c>
      <c r="DG463" s="127">
        <v>0</v>
      </c>
      <c r="DH463" s="127">
        <v>0</v>
      </c>
      <c r="DI463" s="127">
        <v>0</v>
      </c>
      <c r="DJ463" s="127">
        <v>0</v>
      </c>
      <c r="DK463" s="127">
        <v>0</v>
      </c>
      <c r="DL463" s="127">
        <v>0</v>
      </c>
      <c r="DM463" s="304">
        <f>INDEX(Input!$1:$1048576,DM$93,$C463*2+6)</f>
        <v>20731.578947368424</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4.4446595362625088E-2</v>
      </c>
      <c r="DZ463" s="7">
        <v>0</v>
      </c>
      <c r="EA463" s="7">
        <v>0.8053240773197512</v>
      </c>
      <c r="EB463" s="7">
        <v>0</v>
      </c>
      <c r="EC463" s="7">
        <v>0</v>
      </c>
      <c r="ED463" s="7">
        <v>0</v>
      </c>
      <c r="EE463" s="7">
        <v>0</v>
      </c>
      <c r="EF463" s="7">
        <v>0</v>
      </c>
      <c r="EG463" s="7">
        <v>0</v>
      </c>
      <c r="EH463" s="7">
        <v>8.4364073442773808E-3</v>
      </c>
      <c r="EI463" s="7">
        <v>1.3541747124220464E-2</v>
      </c>
      <c r="EJ463" s="7">
        <v>0.12716000664490784</v>
      </c>
      <c r="EK463" s="7">
        <v>0.81065691843883503</v>
      </c>
      <c r="EL463" s="7">
        <v>4.0204920447759175E-2</v>
      </c>
      <c r="EM463" s="7">
        <v>4.760714660119892E-2</v>
      </c>
      <c r="EN463" s="7">
        <v>4.6980970272235502E-2</v>
      </c>
      <c r="EO463" s="7">
        <v>0.57090547616772935</v>
      </c>
      <c r="EP463" s="7">
        <v>0.26921719057883631</v>
      </c>
      <c r="EQ463" s="7">
        <v>6.7925852416650612E-2</v>
      </c>
      <c r="ER463" s="7">
        <v>4.4970510564548247E-2</v>
      </c>
      <c r="ES463" s="7">
        <v>0.10262218071642472</v>
      </c>
      <c r="ET463" s="7">
        <v>0.15022932731762367</v>
      </c>
      <c r="EU463" s="6">
        <v>1349.9999999999998</v>
      </c>
      <c r="EV463" s="6">
        <v>0</v>
      </c>
      <c r="EW463" s="6">
        <v>1349.9999999999998</v>
      </c>
      <c r="EX463" s="6">
        <v>0</v>
      </c>
      <c r="EY463" s="6">
        <v>2978.2755349727918</v>
      </c>
      <c r="EZ463" s="6">
        <v>-246</v>
      </c>
      <c r="FA463" s="6">
        <v>0</v>
      </c>
      <c r="FB463" s="6">
        <v>0</v>
      </c>
      <c r="FC463" s="6">
        <v>0</v>
      </c>
      <c r="FD463" s="6">
        <v>0</v>
      </c>
      <c r="FE463" s="6">
        <v>0</v>
      </c>
      <c r="FF463" s="6">
        <v>0</v>
      </c>
      <c r="FG463" s="6">
        <v>0</v>
      </c>
      <c r="FH463" s="6">
        <v>1153.2568559405063</v>
      </c>
      <c r="FI463" s="6">
        <v>1531.4299904380607</v>
      </c>
      <c r="FJ463" s="6">
        <v>2070.720584253821</v>
      </c>
      <c r="FK463" s="6">
        <v>2218.6393698501015</v>
      </c>
      <c r="FL463" s="6">
        <v>893.91433563489363</v>
      </c>
      <c r="FM463" s="6">
        <v>2128.2755349727918</v>
      </c>
      <c r="FN463" s="6">
        <v>0</v>
      </c>
      <c r="FO463" s="6">
        <v>0</v>
      </c>
      <c r="FP463" s="6">
        <v>0</v>
      </c>
      <c r="FQ463" s="6">
        <v>0</v>
      </c>
      <c r="FR463" s="6">
        <v>0</v>
      </c>
      <c r="FS463" s="6">
        <v>0</v>
      </c>
      <c r="FT463" s="7">
        <v>0.84977067268237627</v>
      </c>
      <c r="FU463" s="7">
        <v>4.760714660119892E-2</v>
      </c>
      <c r="FV463" s="7">
        <v>0.10262218071642472</v>
      </c>
      <c r="FW463" s="6">
        <v>1349.9999999999998</v>
      </c>
      <c r="FX463" s="6">
        <v>2978.2755349727918</v>
      </c>
      <c r="FY463" s="6">
        <v>-246</v>
      </c>
      <c r="FZ463" s="6">
        <v>1695.8504614767719</v>
      </c>
      <c r="GA463" s="6">
        <v>1263.7325516771812</v>
      </c>
      <c r="GB463" s="6">
        <v>18431.267448322818</v>
      </c>
      <c r="GC463" s="7">
        <v>8.1891069685915169E-2</v>
      </c>
      <c r="GD463" s="7">
        <v>7.821244968421015E-2</v>
      </c>
      <c r="GE463" s="7"/>
      <c r="GF463" s="7"/>
      <c r="GG463" s="7">
        <v>-4.4920893277056825E-2</v>
      </c>
      <c r="GH463" s="42">
        <v>2.0473971872675945</v>
      </c>
      <c r="GI463" s="6">
        <v>10883.263203804554</v>
      </c>
      <c r="GJ463" s="14">
        <v>0.5107463060103955</v>
      </c>
      <c r="GK463" s="14">
        <v>0.50829519786160948</v>
      </c>
      <c r="GL463" s="14">
        <v>0.48925369398960428</v>
      </c>
      <c r="GM463" s="14">
        <v>0.49170480213839002</v>
      </c>
      <c r="GO463" s="5">
        <v>338.16872463277008</v>
      </c>
      <c r="GP463" s="5">
        <v>312.41330006058649</v>
      </c>
      <c r="GQ463" s="5">
        <v>527.27910984145694</v>
      </c>
      <c r="GR463" s="5">
        <v>404.20319246551543</v>
      </c>
      <c r="GS463" s="5">
        <v>334.50205195691484</v>
      </c>
      <c r="GT463" s="5">
        <v>289.18266033348181</v>
      </c>
      <c r="GU463" s="5">
        <v>254.29573314828914</v>
      </c>
      <c r="GV463" s="39" t="s">
        <v>392</v>
      </c>
      <c r="GW463" s="5">
        <v>468.76388888888891</v>
      </c>
      <c r="GX463" s="5">
        <v>351.57291666666669</v>
      </c>
      <c r="GY463" s="5">
        <v>281.25833333333333</v>
      </c>
      <c r="GZ463" s="5">
        <v>240.85506989150105</v>
      </c>
      <c r="HA463" s="5">
        <v>229.89195052129477</v>
      </c>
      <c r="HB463" s="39">
        <v>248.97402251468461</v>
      </c>
      <c r="HC463" s="5">
        <v>293.87812499999995</v>
      </c>
      <c r="HD463" s="5">
        <v>243.67143640350872</v>
      </c>
      <c r="HE463" s="5">
        <v>244.28647520242913</v>
      </c>
      <c r="HF463" s="5">
        <v>223.39192434210526</v>
      </c>
      <c r="HG463" s="5">
        <v>212.2899342105263</v>
      </c>
      <c r="HH463" s="39">
        <v>243.40702904620471</v>
      </c>
      <c r="HI463" s="16"/>
      <c r="HJ463" s="19" t="str">
        <f t="shared" ref="HJ463:HK463" si="1477">HJ462</f>
        <v>On</v>
      </c>
      <c r="HK463" s="1" t="str">
        <f t="shared" si="1477"/>
        <v>On</v>
      </c>
      <c r="HL463" s="16"/>
      <c r="HM463" s="639">
        <f t="shared" si="1426"/>
        <v>6.6115095157691428E-2</v>
      </c>
      <c r="HN463" s="639">
        <f t="shared" si="1427"/>
        <v>2.3720927871164412E-3</v>
      </c>
      <c r="HO463" s="639">
        <f t="shared" si="1428"/>
        <v>7.7231033444443466E-3</v>
      </c>
      <c r="HP463" s="644">
        <f>(FT463*$GD463-HM463)/$JF463*INDEX(Input!$1:$1048576,$JG$93,$C463*2+6)</f>
        <v>8.4778179990727089</v>
      </c>
      <c r="HQ463" s="644">
        <f>(FU463*$GD463-HN463)/$JF463*INDEX(Input!$1:$1048576,$JG$93,$C463*2+6)</f>
        <v>32.964224291255718</v>
      </c>
      <c r="HR463" s="644">
        <f>(FV463*$GD463-HO463)/$JF463*INDEX(Input!$1:$1048576,$JG$93,$C463*2+6)</f>
        <v>7.3966695589687195</v>
      </c>
      <c r="HS463" s="644">
        <f t="shared" si="1429"/>
        <v>-8.0336196105985849</v>
      </c>
      <c r="HT463" s="644">
        <f t="shared" si="1430"/>
        <v>128.72263323328784</v>
      </c>
      <c r="HU463" s="644">
        <f t="shared" si="1431"/>
        <v>7.7903697218764849</v>
      </c>
      <c r="HV463" s="648">
        <f t="shared" si="1432"/>
        <v>0</v>
      </c>
      <c r="HW463" s="648">
        <f t="shared" si="1433"/>
        <v>0</v>
      </c>
      <c r="HX463" s="648">
        <f t="shared" si="1434"/>
        <v>0</v>
      </c>
      <c r="HY463" s="644">
        <f>INDEX(Input!$1:$1048576,HY$93,$C463*2+6)*INDEX(Input!$1:$1048576,$JG$93,$C463*2+6)</f>
        <v>844</v>
      </c>
      <c r="HZ463" s="644">
        <f>INDEX(Input!$1:$1048576,HZ$93,$C463*2+6)*INDEX(Input!$1:$1048576,$JG$93,$C463*2+6)</f>
        <v>865</v>
      </c>
      <c r="IA463" s="644">
        <f>INDEX(Input!$1:$1048576,IA$93,$C463*2+6)*INDEX(Input!$1:$1048576,$JG$93,$C463*2+6)</f>
        <v>150</v>
      </c>
      <c r="IB463" s="644">
        <f t="shared" si="1435"/>
        <v>844.44419838847432</v>
      </c>
      <c r="IC463" s="644">
        <f t="shared" si="1436"/>
        <v>1026.6868575245435</v>
      </c>
      <c r="ID463" s="644">
        <f>IF(AND(INDEX(Input!$1:$1048576,IA$93,$C463*2+7)="TOS",Y463&lt;=INDEX(Y:Y,MATCH(C463*1000+2,A:A))),0,1)*MAX(IA463+HR463+HU463+HX463,0%)</f>
        <v>165.1870392808452</v>
      </c>
      <c r="IE463" s="128">
        <f t="shared" si="1437"/>
        <v>0.41469169300294456</v>
      </c>
      <c r="IF463" s="128">
        <f t="shared" si="1438"/>
        <v>0.50418785746084527</v>
      </c>
      <c r="IG463" s="128">
        <f t="shared" si="1439"/>
        <v>8.1120449536210074E-2</v>
      </c>
      <c r="IH463" s="21"/>
      <c r="II463" s="19">
        <f t="shared" si="1440"/>
        <v>1199.9999999999998</v>
      </c>
      <c r="IJ463" s="19">
        <f t="shared" si="1441"/>
        <v>2195.4782357510435</v>
      </c>
      <c r="IK463" s="19">
        <f t="shared" si="1442"/>
        <v>-571</v>
      </c>
      <c r="IL463" s="19">
        <f t="shared" si="1443"/>
        <v>150</v>
      </c>
      <c r="IM463" s="19">
        <f t="shared" si="1444"/>
        <v>782.79729922174829</v>
      </c>
      <c r="IN463" s="19">
        <f t="shared" si="1445"/>
        <v>325</v>
      </c>
      <c r="IO463" s="39">
        <f t="shared" si="1446"/>
        <v>0</v>
      </c>
      <c r="IP463" s="39">
        <f t="shared" si="1447"/>
        <v>0</v>
      </c>
      <c r="IQ463" s="39">
        <f t="shared" si="1448"/>
        <v>0</v>
      </c>
      <c r="IR463" s="39">
        <v>0</v>
      </c>
      <c r="IS463" s="39">
        <v>0</v>
      </c>
      <c r="IT463" s="39">
        <v>0</v>
      </c>
      <c r="IU463" s="39">
        <v>0</v>
      </c>
      <c r="IV463" s="39">
        <v>0</v>
      </c>
      <c r="IW463" s="39">
        <v>0</v>
      </c>
      <c r="IX463" s="39">
        <f>INDEX(Input!$1:$1048576,IX$93,$C463*2+6)+INDEX(Input!$1:$1048576,IX$94,$C463*2+6)</f>
        <v>1600</v>
      </c>
      <c r="IY463" s="39">
        <f>INDEX(Input!$1:$1048576,IY$93,$C463*2+6)+INDEX(Input!$1:$1048576,IY$94,$C463*2+6)</f>
        <v>2503.549291639752</v>
      </c>
      <c r="IZ463" s="39">
        <f>INDEX(Input!$1:$1048576,IZ$93,$C463*2+6)+INDEX(Input!$1:$1048576,IZ$94,$C463*2+6)</f>
        <v>5413.7109265464023</v>
      </c>
      <c r="JA463" s="19">
        <f t="shared" si="1449"/>
        <v>1750</v>
      </c>
      <c r="JB463" s="19">
        <f t="shared" si="1450"/>
        <v>3286.3465908615003</v>
      </c>
      <c r="JC463" s="19">
        <f t="shared" si="1451"/>
        <v>5738.7109265464023</v>
      </c>
      <c r="JD463" s="19">
        <f t="shared" si="1452"/>
        <v>2848.1733193951709</v>
      </c>
      <c r="JE463" s="21"/>
      <c r="JF463" s="1">
        <f t="shared" si="1453"/>
        <v>7.6210291289252219E-2</v>
      </c>
      <c r="JG463" s="15">
        <f>INDEX(Input!$1:$1048576,JG$93,$C463*2+6)/(1+VLOOKUP(C463*1000+INDEX(Input!$1:$1048576,JG$93+1,$C463*2+6),$A:$KK,$JK$92,FALSE))</f>
        <v>1859</v>
      </c>
      <c r="JH463" s="1">
        <f t="shared" si="1454"/>
        <v>2.6271496422429881E-2</v>
      </c>
      <c r="JI463" s="1">
        <f t="shared" si="1455"/>
        <v>6.9112094321982648E-2</v>
      </c>
      <c r="JJ463" s="1">
        <f t="shared" si="1456"/>
        <v>0</v>
      </c>
      <c r="JK463" s="1">
        <f t="shared" si="1457"/>
        <v>9.5383590744412522E-2</v>
      </c>
      <c r="JL463" s="15">
        <f t="shared" si="1458"/>
        <v>177.31809519386289</v>
      </c>
      <c r="JM463" s="15">
        <f t="shared" si="1459"/>
        <v>2036.318095193863</v>
      </c>
      <c r="JN463" s="21"/>
      <c r="JO463" s="19">
        <f>INDEX(Input!$1:$1048576,JO$93,$C463*2+6)</f>
        <v>5908.5</v>
      </c>
      <c r="JP463" s="19">
        <f>INDEX(Input!$1:$1048576,JP$93,$C463*2+6)</f>
        <v>2328.1478086338602</v>
      </c>
      <c r="JQ463" s="39">
        <f t="shared" si="1460"/>
        <v>3060.3266806048291</v>
      </c>
      <c r="JR463" s="39">
        <f t="shared" si="1461"/>
        <v>520.02551076131067</v>
      </c>
      <c r="JS463" s="39">
        <f t="shared" si="1462"/>
        <v>5.799786868532756</v>
      </c>
      <c r="JT463" s="39">
        <f t="shared" si="1463"/>
        <v>1.4717600922824097</v>
      </c>
      <c r="JU463" s="385">
        <f>(JQ463*JM463-INDEX(Input!$1:$1048576,Input!A$18,$C463*2+6)*JL463*INDEX(Input!$1:$1048576,Input!A$19,$C463*2+6))/1000000</f>
        <v>6.231798596920183</v>
      </c>
      <c r="JV463" s="39">
        <f t="shared" si="1464"/>
        <v>-0.42407612682947082</v>
      </c>
      <c r="JW463" s="1">
        <f t="shared" si="1465"/>
        <v>-6.371455960796138E-2</v>
      </c>
      <c r="JX463" s="19">
        <f t="shared" si="1466"/>
        <v>8300.1122399455398</v>
      </c>
      <c r="JZ463" s="341"/>
      <c r="KA463" s="342"/>
      <c r="KB463" s="469">
        <f t="shared" si="1337"/>
        <v>2.3451977905499271</v>
      </c>
      <c r="KI463" s="473">
        <f t="shared" si="1467"/>
        <v>0.44419838847431947</v>
      </c>
      <c r="KJ463" s="473">
        <f t="shared" si="1468"/>
        <v>161.68685752454326</v>
      </c>
      <c r="KK463" s="473">
        <f t="shared" si="1469"/>
        <v>15.18703928084517</v>
      </c>
      <c r="KN463" s="544">
        <f t="shared" si="1470"/>
        <v>4002</v>
      </c>
      <c r="KO463" s="541">
        <f t="shared" si="1471"/>
        <v>1.9362018446364315E-2</v>
      </c>
      <c r="KP463" s="546">
        <f t="shared" si="1472"/>
        <v>89.277971632379135</v>
      </c>
      <c r="KQ463" s="546">
        <f t="shared" si="1473"/>
        <v>124.42975779717517</v>
      </c>
      <c r="KR463" s="548">
        <f t="shared" si="1474"/>
        <v>3.6806143129168456</v>
      </c>
      <c r="KS463" s="548">
        <f t="shared" si="1475"/>
        <v>2.6408295413862701</v>
      </c>
      <c r="KT463" s="473">
        <f t="shared" si="1339"/>
        <v>1050.27685337919</v>
      </c>
      <c r="KU463" s="663">
        <f t="shared" si="1476"/>
        <v>6.4920980659036571</v>
      </c>
      <c r="KV463" s="117"/>
    </row>
    <row r="464" spans="1:308" s="26" customFormat="1" ht="15" outlineLevel="1">
      <c r="A464" s="561">
        <f t="shared" si="1414"/>
        <v>4064</v>
      </c>
      <c r="B464" s="561">
        <f t="shared" si="1328"/>
        <v>64</v>
      </c>
      <c r="C464" s="561">
        <f t="shared" si="1329"/>
        <v>4</v>
      </c>
      <c r="D464" s="561" t="str">
        <f t="shared" si="1415"/>
        <v xml:space="preserve">-500 CC, 0/0/0.9/3.9, </v>
      </c>
      <c r="E464" s="475">
        <f>INDEX(Input!$1:$1048576,E$93,$C464*2+MIN($B464,2)+5)
+INDEX(Scenarios!E$121:E$200,MATCH($B464,Scenarios!$B$121:$B$200,0))</f>
        <v>750</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8.9999999999999959E-3</v>
      </c>
      <c r="W464" s="863">
        <f>IFERROR(MAX(0,INDEX(Input!$1:$1048576,W$93,$C464*2+MIN($B464,2)+5)-0%,),"Market")</f>
        <v>3.9E-2</v>
      </c>
      <c r="X464" s="476" t="str">
        <f>INDEX(Input!$1:$1048576,X$93,$C464*2+MIN($B464,2)+5)</f>
        <v>Y</v>
      </c>
      <c r="Y464" s="475">
        <f>INDEX(Input!$1:$1048576,Y$93,$C464*2+MIN($B464,2)+5)
++INDEX(Scenarios!Y$121:Y$200,MATCH($B464,Scenarios!$B$121:$B$200,0))</f>
        <v>-2217</v>
      </c>
      <c r="Z464" s="477">
        <f>INDEX(Input!$1:$1048576,Z$93,$C464*2+MIN($B464,2)+5)
+INDEX(Scenarios!Z$121:Z$200,MATCH($B464,Scenarios!$B$121:$B$200,0))</f>
        <v>0</v>
      </c>
      <c r="AA464" s="475">
        <f>INDEX(Input!$1:$1048576,AA$93,$C464*2+MIN($B464,2)+5)</f>
        <v>0</v>
      </c>
      <c r="AB464" s="476">
        <f>INDEX(Input!$1:$1048576,AB$93,$C464*2+MIN($B464,2)+5)</f>
        <v>1</v>
      </c>
      <c r="AC464" s="475">
        <f>INDEX(Input!$1:$1048576,AC$93,$C464*2+MIN($B464,2)+5)
+INDEX(Scenarios!AC$121:AC$200,MATCH($B464,Scenarios!$B$121:$B$200,0))</f>
        <v>0</v>
      </c>
      <c r="AD464" s="476">
        <f>INDEX(Input!$1:$1048576,AD$93,$C464*2+MIN($B464,2)+5)</f>
        <v>0.35</v>
      </c>
      <c r="AE464" s="475">
        <f>INDEX(Input!$1:$1048576,AE$93,$C464*2+MIN($B464,2)+5)
+INDEX(Scenarios!AE$121:AE$200,MATCH($B464,Scenarios!$B$121:$B$200,0))</f>
        <v>0</v>
      </c>
      <c r="AF464" s="476">
        <f>INDEX(Input!$1:$1048576,AF$93,$C464*2+MIN($B464,2)+5)</f>
        <v>1</v>
      </c>
      <c r="AG464" s="475">
        <f>INDEX(Input!$1:$1048576,AG$93,$C464*2+MIN($B464,2)+5)
+INDEX(Scenarios!AG$121:AG$200,MATCH($B464,Scenarios!$B$121:$B$200,0))</f>
        <v>0</v>
      </c>
      <c r="AH464" s="476">
        <f>INDEX(Input!$1:$1048576,AH$93,$C464*2+MIN($B464,2)+5)</f>
        <v>1</v>
      </c>
      <c r="AI464" s="475">
        <f>INDEX(Input!$1:$1048576,AI$93,$C464*2+MIN($B464,2)+5)
+INDEX(Scenarios!AI$121:AI$200,MATCH($B464,Scenarios!$B$121:$B$200,0))</f>
        <v>0</v>
      </c>
      <c r="AJ464" s="476">
        <f>INDEX(Input!$1:$1048576,AJ$93,$C464*2+MIN($B464,2)+5)</f>
        <v>0.35</v>
      </c>
      <c r="AK464" s="150">
        <f>ROUND(INDEX(Input!$1:$1048576,AK$93,$C463*2+MIN($B464,1)+5)+(Y464-VLOOKUP($C464*1000+1,$A:$HH,Y$92,FALSE)),0)</f>
        <v>4592</v>
      </c>
      <c r="AL464" s="150">
        <f>ROUND(INDEX(Input!$1:$1048576,AL$93,$C463*2+MIN($B464,1)+5)-(Y464-VLOOKUP($C464*1000+1,$A:$HH,Y$92,FALSE))/36,0)</f>
        <v>4743</v>
      </c>
      <c r="AM464" s="32" t="str">
        <f t="shared" si="1416"/>
        <v>std/std/std/std</v>
      </c>
      <c r="AN464" s="32" t="str">
        <f t="shared" si="1417"/>
        <v>$0 + 0/0/0/0.9/3.9</v>
      </c>
      <c r="AO464" s="32" t="str">
        <f t="shared" si="1418"/>
        <v>0/0/0/0.9/3.9</v>
      </c>
      <c r="AP464" s="32" t="str">
        <f t="shared" si="1386"/>
        <v>0/0/0.9/3.9</v>
      </c>
      <c r="AQ464" s="536">
        <f t="shared" si="1419"/>
        <v>0.39975841848110427</v>
      </c>
      <c r="AR464" s="32"/>
      <c r="AS464" s="302"/>
      <c r="AT464" s="3">
        <f t="shared" si="1330"/>
        <v>64</v>
      </c>
      <c r="AU464" s="41" t="s">
        <v>121</v>
      </c>
      <c r="AV464" s="41" t="s">
        <v>116</v>
      </c>
      <c r="AW464" s="41" t="str">
        <f>INDEX(Input!$1:$1048576,AW$93,$C464*2+6)</f>
        <v>Kia</v>
      </c>
      <c r="AX464" s="41" t="str">
        <f>INDEX(Input!$1:$1048576,AX$93,$C464*2+6)</f>
        <v>Kia-LR - R1</v>
      </c>
      <c r="AY464" s="41" t="str">
        <f>IF(LEN(D464)=0,"",INDEX(Input!$1:$1048576,AY$93,$C464*2+6))</f>
        <v>Compact Conventional/Sporty Car (43)</v>
      </c>
      <c r="AZ464" s="41" t="str">
        <f>INDEX(Input!$1:$1048576,AZ$93,$C464*2+6)</f>
        <v>Kia Forte</v>
      </c>
      <c r="BA464" s="3">
        <f>INDEX(Input!$1:$1048576,BA$93,$C464*2+6)</f>
        <v>2020</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19695</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si="1387"/>
        <v>1060</v>
      </c>
      <c r="CJ464" s="16" t="str">
        <f>INDEX(Input!$1:$1048576,CJ$93,$C464*2+6)</f>
        <v>N</v>
      </c>
      <c r="CK464" s="1" t="str">
        <f t="shared" si="1388"/>
        <v>Market</v>
      </c>
      <c r="CL464" s="1" t="str">
        <f t="shared" si="1389"/>
        <v>Market</v>
      </c>
      <c r="CM464" s="1" t="str">
        <f t="shared" si="1390"/>
        <v>Market</v>
      </c>
      <c r="CN464" s="1" t="str">
        <f t="shared" si="1391"/>
        <v>Market</v>
      </c>
      <c r="CO464" s="1" t="str">
        <f t="shared" si="1392"/>
        <v>Market</v>
      </c>
      <c r="CP464" s="304">
        <f t="shared" si="1393"/>
        <v>0</v>
      </c>
      <c r="CQ464" s="1">
        <f t="shared" si="1420"/>
        <v>0</v>
      </c>
      <c r="CR464" s="1">
        <f t="shared" si="1421"/>
        <v>0</v>
      </c>
      <c r="CS464" s="1">
        <f t="shared" si="1422"/>
        <v>0</v>
      </c>
      <c r="CT464" s="1">
        <f t="shared" si="1423"/>
        <v>8.9999999999999959E-3</v>
      </c>
      <c r="CU464" s="1">
        <f t="shared" si="1424"/>
        <v>3.9E-2</v>
      </c>
      <c r="CV464" s="304">
        <f t="shared" si="1399"/>
        <v>-2217</v>
      </c>
      <c r="CW464" s="20" t="s">
        <v>122</v>
      </c>
      <c r="CX464" s="20" t="s">
        <v>122</v>
      </c>
      <c r="CY464" s="20" t="s">
        <v>122</v>
      </c>
      <c r="CZ464" s="20" t="s">
        <v>122</v>
      </c>
      <c r="DA464" s="20" t="s">
        <v>122</v>
      </c>
      <c r="DB464" s="503">
        <f t="shared" si="1400"/>
        <v>0</v>
      </c>
      <c r="DC464" s="127">
        <v>0</v>
      </c>
      <c r="DD464" s="127">
        <v>0</v>
      </c>
      <c r="DE464" s="127">
        <v>0</v>
      </c>
      <c r="DF464" s="127">
        <v>0</v>
      </c>
      <c r="DG464" s="127">
        <v>0</v>
      </c>
      <c r="DH464" s="127">
        <v>0</v>
      </c>
      <c r="DI464" s="127">
        <v>0</v>
      </c>
      <c r="DJ464" s="127">
        <v>0</v>
      </c>
      <c r="DK464" s="127">
        <v>0</v>
      </c>
      <c r="DL464" s="127">
        <v>0</v>
      </c>
      <c r="DM464" s="304">
        <f>INDEX(Input!$1:$1048576,DM$93,$C464*2+6)</f>
        <v>20731.578947368424</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4.3791760982858703E-2</v>
      </c>
      <c r="DZ464" s="7">
        <v>0</v>
      </c>
      <c r="EA464" s="7">
        <v>0.79676603740487839</v>
      </c>
      <c r="EB464" s="7">
        <v>0</v>
      </c>
      <c r="EC464" s="7">
        <v>0</v>
      </c>
      <c r="ED464" s="7">
        <v>0</v>
      </c>
      <c r="EE464" s="7">
        <v>0</v>
      </c>
      <c r="EF464" s="7">
        <v>0</v>
      </c>
      <c r="EG464" s="7">
        <v>0</v>
      </c>
      <c r="EH464" s="7">
        <v>8.4245549928178148E-3</v>
      </c>
      <c r="EI464" s="7">
        <v>1.3520357829043546E-2</v>
      </c>
      <c r="EJ464" s="7">
        <v>0.12697251961185038</v>
      </c>
      <c r="EK464" s="7">
        <v>0.81084365562173422</v>
      </c>
      <c r="EL464" s="7">
        <v>4.0238911944553819E-2</v>
      </c>
      <c r="EM464" s="7">
        <v>5.0680130043139787E-2</v>
      </c>
      <c r="EN464" s="7">
        <v>4.7006741663652055E-2</v>
      </c>
      <c r="EO464" s="7">
        <v>0.57099710886225863</v>
      </c>
      <c r="EP464" s="7">
        <v>0.26909998154993747</v>
      </c>
      <c r="EQ464" s="7">
        <v>6.7936783149941241E-2</v>
      </c>
      <c r="ER464" s="7">
        <v>4.4959384774210492E-2</v>
      </c>
      <c r="ES464" s="7">
        <v>0.10876207156912307</v>
      </c>
      <c r="ET464" s="7">
        <v>0.15944220161226288</v>
      </c>
      <c r="EU464" s="6">
        <v>1099.9999999999998</v>
      </c>
      <c r="EV464" s="6">
        <v>0</v>
      </c>
      <c r="EW464" s="6">
        <v>1099.9999999999998</v>
      </c>
      <c r="EX464" s="6">
        <v>0</v>
      </c>
      <c r="EY464" s="6">
        <v>2978.2856132132511</v>
      </c>
      <c r="EZ464" s="6">
        <v>-246</v>
      </c>
      <c r="FA464" s="6">
        <v>0</v>
      </c>
      <c r="FB464" s="6">
        <v>0</v>
      </c>
      <c r="FC464" s="6">
        <v>0</v>
      </c>
      <c r="FD464" s="6">
        <v>0</v>
      </c>
      <c r="FE464" s="6">
        <v>0</v>
      </c>
      <c r="FF464" s="6">
        <v>0</v>
      </c>
      <c r="FG464" s="6">
        <v>0</v>
      </c>
      <c r="FH464" s="6">
        <v>1153.2626201273551</v>
      </c>
      <c r="FI464" s="6">
        <v>1531.4299904380614</v>
      </c>
      <c r="FJ464" s="6">
        <v>2070.7205842538219</v>
      </c>
      <c r="FK464" s="6">
        <v>2218.6393698501033</v>
      </c>
      <c r="FL464" s="6">
        <v>893.91433563489375</v>
      </c>
      <c r="FM464" s="6">
        <v>2128.2856132132511</v>
      </c>
      <c r="FN464" s="6">
        <v>0</v>
      </c>
      <c r="FO464" s="6">
        <v>0</v>
      </c>
      <c r="FP464" s="6">
        <v>0</v>
      </c>
      <c r="FQ464" s="6">
        <v>0</v>
      </c>
      <c r="FR464" s="6">
        <v>0</v>
      </c>
      <c r="FS464" s="6">
        <v>0</v>
      </c>
      <c r="FT464" s="7">
        <v>0.84055779838773714</v>
      </c>
      <c r="FU464" s="7">
        <v>5.0680130043139787E-2</v>
      </c>
      <c r="FV464" s="7">
        <v>0.10876207156912307</v>
      </c>
      <c r="FW464" s="6">
        <v>1099.9999999999995</v>
      </c>
      <c r="FX464" s="6">
        <v>2978.2856132132506</v>
      </c>
      <c r="FY464" s="6">
        <v>-246</v>
      </c>
      <c r="FZ464" s="6">
        <v>1695.8504614767719</v>
      </c>
      <c r="GA464" s="6">
        <v>1048.7980108037661</v>
      </c>
      <c r="GB464" s="6">
        <v>18646.201989196234</v>
      </c>
      <c r="GC464" s="7">
        <v>8.1891069685915169E-2</v>
      </c>
      <c r="GD464" s="7">
        <v>7.6286635904688122E-2</v>
      </c>
      <c r="GE464" s="7"/>
      <c r="GF464" s="7"/>
      <c r="GG464" s="7">
        <v>-6.8437667290490653E-2</v>
      </c>
      <c r="GH464" s="42">
        <v>2.0831075686125136</v>
      </c>
      <c r="GI464" s="6">
        <v>10503.422580728477</v>
      </c>
      <c r="GJ464" s="14">
        <v>0.51074630601039595</v>
      </c>
      <c r="GK464" s="14">
        <v>0.50829519786160982</v>
      </c>
      <c r="GL464" s="14">
        <v>0.48925369398960444</v>
      </c>
      <c r="GM464" s="14">
        <v>0.49170480213839046</v>
      </c>
      <c r="GO464" s="5">
        <v>338.16872463277008</v>
      </c>
      <c r="GP464" s="5">
        <v>317.18282312950942</v>
      </c>
      <c r="GQ464" s="5">
        <v>527.27910984145694</v>
      </c>
      <c r="GR464" s="5">
        <v>404.20319246551543</v>
      </c>
      <c r="GS464" s="5">
        <v>334.50205195691484</v>
      </c>
      <c r="GT464" s="5">
        <v>289.18266033348181</v>
      </c>
      <c r="GU464" s="5">
        <v>254.29573314828914</v>
      </c>
      <c r="GV464" s="39" t="s">
        <v>392</v>
      </c>
      <c r="GW464" s="5">
        <v>468.76388888888891</v>
      </c>
      <c r="GX464" s="5">
        <v>351.57291666666669</v>
      </c>
      <c r="GY464" s="5">
        <v>281.25833333333333</v>
      </c>
      <c r="GZ464" s="5">
        <v>240.85506989150105</v>
      </c>
      <c r="HA464" s="5">
        <v>229.89195052129477</v>
      </c>
      <c r="HB464" s="39">
        <v>248.96100534172956</v>
      </c>
      <c r="HC464" s="5">
        <v>293.87812499999995</v>
      </c>
      <c r="HD464" s="5">
        <v>243.67143640350872</v>
      </c>
      <c r="HE464" s="5">
        <v>244.28647520242913</v>
      </c>
      <c r="HF464" s="5">
        <v>223.39192434210526</v>
      </c>
      <c r="HG464" s="5">
        <v>212.2899342105263</v>
      </c>
      <c r="HH464" s="39">
        <v>243.40837832840413</v>
      </c>
      <c r="HI464" s="16"/>
      <c r="HJ464" s="19" t="str">
        <f t="shared" ref="HJ464:HK464" si="1478">HJ463</f>
        <v>On</v>
      </c>
      <c r="HK464" s="1" t="str">
        <f t="shared" si="1478"/>
        <v>On</v>
      </c>
      <c r="HL464" s="16"/>
      <c r="HM464" s="639">
        <f t="shared" si="1426"/>
        <v>6.6115095157691428E-2</v>
      </c>
      <c r="HN464" s="639">
        <f t="shared" si="1427"/>
        <v>2.3720927871164412E-3</v>
      </c>
      <c r="HO464" s="639">
        <f t="shared" si="1428"/>
        <v>7.7231033444443466E-3</v>
      </c>
      <c r="HP464" s="644">
        <f>(FT464*$GD464-HM464)/$JF464*INDEX(Input!$1:$1048576,$JG$93,$C464*2+6)</f>
        <v>-48.585269239524806</v>
      </c>
      <c r="HQ464" s="644">
        <f>(FU464*$GD464-HN464)/$JF464*INDEX(Input!$1:$1048576,$JG$93,$C464*2+6)</f>
        <v>36.446209213900417</v>
      </c>
      <c r="HR464" s="644">
        <f>(FV464*$GD464-HO464)/$JF464*INDEX(Input!$1:$1048576,$JG$93,$C464*2+6)</f>
        <v>14.001336598701482</v>
      </c>
      <c r="HS464" s="644">
        <f t="shared" si="1429"/>
        <v>5.0871506034671174</v>
      </c>
      <c r="HT464" s="644">
        <f t="shared" si="1430"/>
        <v>129.98532464020073</v>
      </c>
      <c r="HU464" s="644">
        <f t="shared" si="1431"/>
        <v>6.5293473896616456</v>
      </c>
      <c r="HV464" s="648">
        <f t="shared" si="1432"/>
        <v>0</v>
      </c>
      <c r="HW464" s="648">
        <f t="shared" si="1433"/>
        <v>0</v>
      </c>
      <c r="HX464" s="648">
        <f t="shared" si="1434"/>
        <v>0</v>
      </c>
      <c r="HY464" s="644">
        <f>INDEX(Input!$1:$1048576,HY$93,$C464*2+6)*INDEX(Input!$1:$1048576,$JG$93,$C464*2+6)</f>
        <v>844</v>
      </c>
      <c r="HZ464" s="644">
        <f>INDEX(Input!$1:$1048576,HZ$93,$C464*2+6)*INDEX(Input!$1:$1048576,$JG$93,$C464*2+6)</f>
        <v>865</v>
      </c>
      <c r="IA464" s="644">
        <f>INDEX(Input!$1:$1048576,IA$93,$C464*2+6)*INDEX(Input!$1:$1048576,$JG$93,$C464*2+6)</f>
        <v>150</v>
      </c>
      <c r="IB464" s="644">
        <f t="shared" si="1435"/>
        <v>800.50188136394218</v>
      </c>
      <c r="IC464" s="644">
        <f t="shared" si="1436"/>
        <v>1031.4315338541012</v>
      </c>
      <c r="ID464" s="644">
        <f>IF(AND(INDEX(Input!$1:$1048576,IA$93,$C464*2+7)="TOS",Y464&lt;=INDEX(Y:Y,MATCH(C464*1000+2,A:A))),0,1)*MAX(IA464+HR464+HU464+HX464,0%)</f>
        <v>170.53068398836311</v>
      </c>
      <c r="IE464" s="128">
        <f t="shared" si="1437"/>
        <v>0.39975841848110427</v>
      </c>
      <c r="IF464" s="128">
        <f t="shared" si="1438"/>
        <v>0.5150811613865468</v>
      </c>
      <c r="IG464" s="128">
        <f t="shared" si="1439"/>
        <v>8.5160420132348869E-2</v>
      </c>
      <c r="IH464" s="21"/>
      <c r="II464" s="19">
        <f t="shared" si="1440"/>
        <v>1199.9999999999998</v>
      </c>
      <c r="IJ464" s="19">
        <f t="shared" si="1441"/>
        <v>2195.4782357510435</v>
      </c>
      <c r="IK464" s="19">
        <f t="shared" si="1442"/>
        <v>-571</v>
      </c>
      <c r="IL464" s="19">
        <f t="shared" si="1443"/>
        <v>-100.00000000000023</v>
      </c>
      <c r="IM464" s="19">
        <f t="shared" si="1444"/>
        <v>782.80737746220711</v>
      </c>
      <c r="IN464" s="19">
        <f t="shared" si="1445"/>
        <v>325</v>
      </c>
      <c r="IO464" s="39">
        <f t="shared" si="1446"/>
        <v>0</v>
      </c>
      <c r="IP464" s="39">
        <f t="shared" si="1447"/>
        <v>0</v>
      </c>
      <c r="IQ464" s="39">
        <f t="shared" si="1448"/>
        <v>0</v>
      </c>
      <c r="IR464" s="39">
        <v>0</v>
      </c>
      <c r="IS464" s="39">
        <v>0</v>
      </c>
      <c r="IT464" s="39">
        <v>0</v>
      </c>
      <c r="IU464" s="39">
        <v>0</v>
      </c>
      <c r="IV464" s="39">
        <v>0</v>
      </c>
      <c r="IW464" s="39">
        <v>0</v>
      </c>
      <c r="IX464" s="39">
        <f>INDEX(Input!$1:$1048576,IX$93,$C464*2+6)+INDEX(Input!$1:$1048576,IX$94,$C464*2+6)</f>
        <v>1600</v>
      </c>
      <c r="IY464" s="39">
        <f>INDEX(Input!$1:$1048576,IY$93,$C464*2+6)+INDEX(Input!$1:$1048576,IY$94,$C464*2+6)</f>
        <v>2503.549291639752</v>
      </c>
      <c r="IZ464" s="39">
        <f>INDEX(Input!$1:$1048576,IZ$93,$C464*2+6)+INDEX(Input!$1:$1048576,IZ$94,$C464*2+6)</f>
        <v>5413.7109265464023</v>
      </c>
      <c r="JA464" s="19">
        <f t="shared" si="1449"/>
        <v>1499.9999999999998</v>
      </c>
      <c r="JB464" s="19">
        <f t="shared" si="1450"/>
        <v>3286.3566691019591</v>
      </c>
      <c r="JC464" s="19">
        <f t="shared" si="1451"/>
        <v>5738.7109265464023</v>
      </c>
      <c r="JD464" s="19">
        <f t="shared" si="1452"/>
        <v>2781.0890710959093</v>
      </c>
      <c r="JE464" s="21"/>
      <c r="JF464" s="1">
        <f t="shared" si="1453"/>
        <v>7.6210291289252219E-2</v>
      </c>
      <c r="JG464" s="15">
        <f>INDEX(Input!$1:$1048576,JG$93,$C464*2+6)/(1+VLOOKUP(C464*1000+INDEX(Input!$1:$1048576,JG$93+1,$C464*2+6),$A:$KK,$JK$92,FALSE))</f>
        <v>1859</v>
      </c>
      <c r="JH464" s="1">
        <f t="shared" si="1454"/>
        <v>1.0017625460339392E-3</v>
      </c>
      <c r="JI464" s="1">
        <f t="shared" si="1455"/>
        <v>7.6170964299800692E-2</v>
      </c>
      <c r="JJ464" s="1">
        <f t="shared" si="1456"/>
        <v>0</v>
      </c>
      <c r="JK464" s="1">
        <f t="shared" si="1457"/>
        <v>7.7172726845834635E-2</v>
      </c>
      <c r="JL464" s="15">
        <f t="shared" si="1458"/>
        <v>143.46409920640659</v>
      </c>
      <c r="JM464" s="15">
        <f t="shared" si="1459"/>
        <v>2002.4640992064067</v>
      </c>
      <c r="JN464" s="21"/>
      <c r="JO464" s="19">
        <f>INDEX(Input!$1:$1048576,JO$93,$C464*2+6)</f>
        <v>5908.5</v>
      </c>
      <c r="JP464" s="19">
        <f>INDEX(Input!$1:$1048576,JP$93,$C464*2+6)</f>
        <v>2328.1478086338602</v>
      </c>
      <c r="JQ464" s="39">
        <f t="shared" si="1460"/>
        <v>3127.4109289040907</v>
      </c>
      <c r="JR464" s="39">
        <f t="shared" si="1461"/>
        <v>452.94126246204905</v>
      </c>
      <c r="JS464" s="39">
        <f t="shared" si="1462"/>
        <v>5.5690310215648529</v>
      </c>
      <c r="JT464" s="39">
        <f t="shared" si="1463"/>
        <v>1.2410042453145058</v>
      </c>
      <c r="JU464" s="385">
        <f>(JQ464*JM464-INDEX(Input!$1:$1048576,Input!A$18,$C464*2+6)*JL464*INDEX(Input!$1:$1048576,Input!A$19,$C464*2+6))/1000000</f>
        <v>6.2625281085962019</v>
      </c>
      <c r="JV464" s="39">
        <f t="shared" si="1464"/>
        <v>-0.39334661515345193</v>
      </c>
      <c r="JW464" s="1">
        <f t="shared" si="1465"/>
        <v>-5.90976590574794E-2</v>
      </c>
      <c r="JX464" s="19">
        <f t="shared" si="1466"/>
        <v>8650.2773319548851</v>
      </c>
      <c r="JZ464" s="341"/>
      <c r="KA464" s="342"/>
      <c r="KB464" s="469">
        <f t="shared" si="1337"/>
        <v>2.3451977905499271</v>
      </c>
      <c r="KI464" s="473">
        <f t="shared" si="1467"/>
        <v>-43.498118636057825</v>
      </c>
      <c r="KJ464" s="473">
        <f t="shared" si="1468"/>
        <v>166.43153385410119</v>
      </c>
      <c r="KK464" s="473">
        <f t="shared" si="1469"/>
        <v>20.530683988363108</v>
      </c>
      <c r="KN464" s="544">
        <f t="shared" si="1470"/>
        <v>4002</v>
      </c>
      <c r="KO464" s="541">
        <f t="shared" si="1471"/>
        <v>2.415020939590562E-3</v>
      </c>
      <c r="KP464" s="546">
        <f t="shared" si="1472"/>
        <v>-2.754294683832029</v>
      </c>
      <c r="KQ464" s="546">
        <f t="shared" si="1473"/>
        <v>57.345509497913554</v>
      </c>
      <c r="KR464" s="548">
        <f t="shared" si="1474"/>
        <v>-14.880738764262713</v>
      </c>
      <c r="KS464" s="548">
        <f t="shared" si="1475"/>
        <v>0.71471925227891131</v>
      </c>
      <c r="KT464" s="473">
        <f t="shared" si="1339"/>
        <v>1050.27685337919</v>
      </c>
      <c r="KU464" s="663">
        <f t="shared" si="1476"/>
        <v>6.4204280211301494</v>
      </c>
      <c r="KV464" s="117"/>
    </row>
    <row r="465" spans="1:308" s="26" customFormat="1" ht="15" outlineLevel="1">
      <c r="A465" s="561">
        <f t="shared" si="1414"/>
        <v>4065</v>
      </c>
      <c r="B465" s="561">
        <f t="shared" si="1328"/>
        <v>65</v>
      </c>
      <c r="C465" s="561">
        <f t="shared" si="1329"/>
        <v>4</v>
      </c>
      <c r="D465" s="561" t="str">
        <f t="shared" si="1415"/>
        <v xml:space="preserve">250 CC, 0.9/1.9/2.9/3.9, </v>
      </c>
      <c r="E465" s="475">
        <f>INDEX(Input!$1:$1048576,E$93,$C465*2+MIN($B465,2)+5)
+INDEX(Scenarios!E$121:E$200,MATCH($B465,Scenarios!$B$121:$B$200,0))</f>
        <v>1500</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0</v>
      </c>
      <c r="R465" s="478">
        <f>IFERROR(MAX(0,INDEX(Input!$1:$1048576,R$93,$C465*2+MIN($B465,2)+5)
+INDEX(Scenarios!R$121:R$200,MATCH($B465,Scenarios!$B$121:$B$200,0)),),"Market")</f>
        <v>9.0000000000000011E-3</v>
      </c>
      <c r="S465" s="478">
        <f>IFERROR(MAX(0,INDEX(Input!$1:$1048576,S$93,$C465*2+MIN($B465,2)+5)
+INDEX(Scenarios!S$121:S$200,MATCH($B465,Scenarios!$B$121:$B$200,0)),),"Market")</f>
        <v>9.0000000000000011E-3</v>
      </c>
      <c r="T465" s="478">
        <f>IFERROR(MAX(0,INDEX(Input!$1:$1048576,T$93,$C465*2+MIN($B465,2)+5)
+INDEX(Scenarios!T$121:T$200,MATCH($B465,Scenarios!$B$121:$B$200,0)),),"Market")</f>
        <v>9.0000000000000011E-3</v>
      </c>
      <c r="U465" s="478">
        <f>IFERROR(MAX(0,INDEX(Input!$1:$1048576,U$93,$C465*2+MIN($B465,2)+5)
+INDEX(Scenarios!U$121:U$200,MATCH($B465,Scenarios!$B$121:$B$200,0)),),"Market")</f>
        <v>9.0000000000000011E-3</v>
      </c>
      <c r="V465" s="478">
        <f>IFERROR(MAX(0,INDEX(Input!$1:$1048576,V$93,$C465*2+MIN($B465,2)+5)
+INDEX(Scenarios!V$121:V$200,MATCH($B465,Scenarios!$B$121:$B$200,0)),),"Market")</f>
        <v>2.8999999999999998E-2</v>
      </c>
      <c r="W465" s="863">
        <f>IFERROR(MAX(0,INDEX(Input!$1:$1048576,W$93,$C465*2+MIN($B465,2)+5)-0%,),"Market")</f>
        <v>3.9E-2</v>
      </c>
      <c r="X465" s="476" t="str">
        <f>INDEX(Input!$1:$1048576,X$93,$C465*2+MIN($B465,2)+5)</f>
        <v>Y</v>
      </c>
      <c r="Y465" s="475">
        <f>INDEX(Input!$1:$1048576,Y$93,$C465*2+MIN($B465,2)+5)
++INDEX(Scenarios!Y$121:Y$200,MATCH($B465,Scenarios!$B$121:$B$200,0))</f>
        <v>-2217</v>
      </c>
      <c r="Z465" s="477">
        <f>INDEX(Input!$1:$1048576,Z$93,$C465*2+MIN($B465,2)+5)
+INDEX(Scenarios!Z$121:Z$200,MATCH($B465,Scenarios!$B$121:$B$200,0))</f>
        <v>0</v>
      </c>
      <c r="AA465" s="475">
        <f>INDEX(Input!$1:$1048576,AA$93,$C465*2+MIN($B465,2)+5)</f>
        <v>0</v>
      </c>
      <c r="AB465" s="476">
        <f>INDEX(Input!$1:$1048576,AB$93,$C465*2+MIN($B465,2)+5)</f>
        <v>1</v>
      </c>
      <c r="AC465" s="475">
        <f>INDEX(Input!$1:$1048576,AC$93,$C465*2+MIN($B465,2)+5)
+INDEX(Scenarios!AC$121:AC$200,MATCH($B465,Scenarios!$B$121:$B$200,0))</f>
        <v>0</v>
      </c>
      <c r="AD465" s="476">
        <f>INDEX(Input!$1:$1048576,AD$93,$C465*2+MIN($B465,2)+5)</f>
        <v>0.35</v>
      </c>
      <c r="AE465" s="475">
        <f>INDEX(Input!$1:$1048576,AE$93,$C465*2+MIN($B465,2)+5)
+INDEX(Scenarios!AE$121:AE$200,MATCH($B465,Scenarios!$B$121:$B$200,0))</f>
        <v>0</v>
      </c>
      <c r="AF465" s="476">
        <f>INDEX(Input!$1:$1048576,AF$93,$C465*2+MIN($B465,2)+5)</f>
        <v>1</v>
      </c>
      <c r="AG465" s="475">
        <f>INDEX(Input!$1:$1048576,AG$93,$C465*2+MIN($B465,2)+5)
+INDEX(Scenarios!AG$121:AG$200,MATCH($B465,Scenarios!$B$121:$B$200,0))</f>
        <v>0</v>
      </c>
      <c r="AH465" s="476">
        <f>INDEX(Input!$1:$1048576,AH$93,$C465*2+MIN($B465,2)+5)</f>
        <v>1</v>
      </c>
      <c r="AI465" s="475">
        <f>INDEX(Input!$1:$1048576,AI$93,$C465*2+MIN($B465,2)+5)
+INDEX(Scenarios!AI$121:AI$200,MATCH($B465,Scenarios!$B$121:$B$200,0))</f>
        <v>0</v>
      </c>
      <c r="AJ465" s="476">
        <f>INDEX(Input!$1:$1048576,AJ$93,$C465*2+MIN($B465,2)+5)</f>
        <v>0.35</v>
      </c>
      <c r="AK465" s="150">
        <f>ROUND(INDEX(Input!$1:$1048576,AK$93,$C464*2+MIN($B465,1)+5)+(Y465-VLOOKUP($C465*1000+1,$A:$HH,Y$92,FALSE)),0)</f>
        <v>4592</v>
      </c>
      <c r="AL465" s="150">
        <f>ROUND(INDEX(Input!$1:$1048576,AL$93,$C464*2+MIN($B465,1)+5)-(Y465-VLOOKUP($C465*1000+1,$A:$HH,Y$92,FALSE))/36,0)</f>
        <v>4743</v>
      </c>
      <c r="AM465" s="32" t="str">
        <f t="shared" si="1416"/>
        <v>std/std/std/std</v>
      </c>
      <c r="AN465" s="32" t="str">
        <f t="shared" si="1417"/>
        <v>$0 + 0.9/0.9/0.9/2.9/3.9</v>
      </c>
      <c r="AO465" s="32" t="str">
        <f t="shared" si="1418"/>
        <v>0.9/0.9/0.9/2.9/3.9</v>
      </c>
      <c r="AP465" s="32" t="str">
        <f t="shared" si="1386"/>
        <v>0.9/1.9/2.9/3.9</v>
      </c>
      <c r="AQ465" s="536">
        <f t="shared" si="1419"/>
        <v>0.49124701335786786</v>
      </c>
      <c r="AR465" s="32"/>
      <c r="AS465" s="302"/>
      <c r="AT465" s="3">
        <f t="shared" si="1330"/>
        <v>65</v>
      </c>
      <c r="AU465" s="41" t="s">
        <v>121</v>
      </c>
      <c r="AV465" s="41" t="s">
        <v>116</v>
      </c>
      <c r="AW465" s="41" t="str">
        <f>INDEX(Input!$1:$1048576,AW$93,$C465*2+6)</f>
        <v>Kia</v>
      </c>
      <c r="AX465" s="41" t="str">
        <f>INDEX(Input!$1:$1048576,AX$93,$C465*2+6)</f>
        <v>Kia-LR - R1</v>
      </c>
      <c r="AY465" s="41" t="str">
        <f>IF(LEN(D465)=0,"",INDEX(Input!$1:$1048576,AY$93,$C465*2+6))</f>
        <v>Compact Conventional/Sporty Car (43)</v>
      </c>
      <c r="AZ465" s="41" t="str">
        <f>INDEX(Input!$1:$1048576,AZ$93,$C465*2+6)</f>
        <v>Kia Forte</v>
      </c>
      <c r="BA465" s="3">
        <f>INDEX(Input!$1:$1048576,BA$93,$C465*2+6)</f>
        <v>2020</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19695</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387"/>
        <v>1810</v>
      </c>
      <c r="CJ465" s="16" t="str">
        <f>INDEX(Input!$1:$1048576,CJ$93,$C465*2+6)</f>
        <v>N</v>
      </c>
      <c r="CK465" s="1" t="str">
        <f t="shared" si="1388"/>
        <v>Market</v>
      </c>
      <c r="CL465" s="1" t="str">
        <f t="shared" si="1389"/>
        <v>Market</v>
      </c>
      <c r="CM465" s="1" t="str">
        <f t="shared" si="1390"/>
        <v>Market</v>
      </c>
      <c r="CN465" s="1" t="str">
        <f t="shared" si="1391"/>
        <v>Market</v>
      </c>
      <c r="CO465" s="1" t="str">
        <f t="shared" si="1392"/>
        <v>Market</v>
      </c>
      <c r="CP465" s="304">
        <f t="shared" si="1393"/>
        <v>0</v>
      </c>
      <c r="CQ465" s="1">
        <f t="shared" si="1420"/>
        <v>9.0000000000000011E-3</v>
      </c>
      <c r="CR465" s="1">
        <f t="shared" si="1421"/>
        <v>9.0000000000000011E-3</v>
      </c>
      <c r="CS465" s="1">
        <f t="shared" si="1422"/>
        <v>9.0000000000000011E-3</v>
      </c>
      <c r="CT465" s="1">
        <f t="shared" si="1423"/>
        <v>2.8999999999999998E-2</v>
      </c>
      <c r="CU465" s="1">
        <f t="shared" si="1424"/>
        <v>3.9E-2</v>
      </c>
      <c r="CV465" s="304">
        <f t="shared" si="1399"/>
        <v>-2217</v>
      </c>
      <c r="CW465" s="20" t="s">
        <v>122</v>
      </c>
      <c r="CX465" s="20" t="s">
        <v>122</v>
      </c>
      <c r="CY465" s="20" t="s">
        <v>122</v>
      </c>
      <c r="CZ465" s="20" t="s">
        <v>122</v>
      </c>
      <c r="DA465" s="20" t="s">
        <v>122</v>
      </c>
      <c r="DB465" s="503">
        <f t="shared" si="1400"/>
        <v>0</v>
      </c>
      <c r="DC465" s="127">
        <v>0</v>
      </c>
      <c r="DD465" s="127">
        <v>0</v>
      </c>
      <c r="DE465" s="127">
        <v>0</v>
      </c>
      <c r="DF465" s="127">
        <v>0</v>
      </c>
      <c r="DG465" s="127">
        <v>0</v>
      </c>
      <c r="DH465" s="127">
        <v>0</v>
      </c>
      <c r="DI465" s="127">
        <v>0</v>
      </c>
      <c r="DJ465" s="127">
        <v>0</v>
      </c>
      <c r="DK465" s="127">
        <v>0</v>
      </c>
      <c r="DL465" s="127">
        <v>0</v>
      </c>
      <c r="DM465" s="304">
        <f>INDEX(Input!$1:$1048576,DM$93,$C465*2+6)</f>
        <v>20731.578947368424</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4.6781827976639635E-2</v>
      </c>
      <c r="DZ465" s="7">
        <v>0</v>
      </c>
      <c r="EA465" s="7">
        <v>0.84043610538299796</v>
      </c>
      <c r="EB465" s="7">
        <v>0</v>
      </c>
      <c r="EC465" s="7">
        <v>0</v>
      </c>
      <c r="ED465" s="7">
        <v>0</v>
      </c>
      <c r="EE465" s="7">
        <v>0</v>
      </c>
      <c r="EF465" s="7">
        <v>0</v>
      </c>
      <c r="EG465" s="7">
        <v>0</v>
      </c>
      <c r="EH465" s="7">
        <v>1.5334548080095408E-2</v>
      </c>
      <c r="EI465" s="7">
        <v>2.3016409587979875E-2</v>
      </c>
      <c r="EJ465" s="7">
        <v>0.20295555301843457</v>
      </c>
      <c r="EK465" s="7">
        <v>0.67023296998670445</v>
      </c>
      <c r="EL465" s="7">
        <v>8.8460519326785086E-2</v>
      </c>
      <c r="EM465" s="7">
        <v>1.9474833400049827E-2</v>
      </c>
      <c r="EN465" s="7">
        <v>4.6933579759757524E-2</v>
      </c>
      <c r="EO465" s="7">
        <v>0.57073804851072518</v>
      </c>
      <c r="EP465" s="7">
        <v>0.26943400806995538</v>
      </c>
      <c r="EQ465" s="7">
        <v>6.7905879740779412E-2</v>
      </c>
      <c r="ER465" s="7">
        <v>4.4988483918782678E-2</v>
      </c>
      <c r="ES465" s="7">
        <v>9.3307233240312551E-2</v>
      </c>
      <c r="ET465" s="7">
        <v>0.11278206664036242</v>
      </c>
      <c r="EU465" s="6">
        <v>1849.9999999999998</v>
      </c>
      <c r="EV465" s="6">
        <v>0</v>
      </c>
      <c r="EW465" s="6">
        <v>1849.9999999999998</v>
      </c>
      <c r="EX465" s="6">
        <v>0</v>
      </c>
      <c r="EY465" s="6">
        <v>2167.4065508704225</v>
      </c>
      <c r="EZ465" s="6">
        <v>-246</v>
      </c>
      <c r="FA465" s="6">
        <v>0</v>
      </c>
      <c r="FB465" s="6">
        <v>0</v>
      </c>
      <c r="FC465" s="6">
        <v>0</v>
      </c>
      <c r="FD465" s="6">
        <v>0</v>
      </c>
      <c r="FE465" s="6">
        <v>0</v>
      </c>
      <c r="FF465" s="6">
        <v>0</v>
      </c>
      <c r="FG465" s="6">
        <v>0</v>
      </c>
      <c r="FH465" s="6">
        <v>925.41682886294325</v>
      </c>
      <c r="FI465" s="6">
        <v>1232.1164465304237</v>
      </c>
      <c r="FJ465" s="6">
        <v>1709.9775738488456</v>
      </c>
      <c r="FK465" s="6">
        <v>1266.3227157028184</v>
      </c>
      <c r="FL465" s="6">
        <v>893.91433563489409</v>
      </c>
      <c r="FM465" s="6">
        <v>1317.4065508704223</v>
      </c>
      <c r="FN465" s="6">
        <v>0</v>
      </c>
      <c r="FO465" s="6">
        <v>0</v>
      </c>
      <c r="FP465" s="6">
        <v>0</v>
      </c>
      <c r="FQ465" s="6">
        <v>0</v>
      </c>
      <c r="FR465" s="6">
        <v>0</v>
      </c>
      <c r="FS465" s="6">
        <v>0</v>
      </c>
      <c r="FT465" s="7">
        <v>0.88721793335963761</v>
      </c>
      <c r="FU465" s="7">
        <v>1.9474833400049827E-2</v>
      </c>
      <c r="FV465" s="7">
        <v>9.3307233240312551E-2</v>
      </c>
      <c r="FW465" s="6">
        <v>1850</v>
      </c>
      <c r="FX465" s="6">
        <v>2167.4065508704225</v>
      </c>
      <c r="FY465" s="6">
        <v>-246</v>
      </c>
      <c r="FZ465" s="6">
        <v>1695.8504614767719</v>
      </c>
      <c r="GA465" s="6">
        <v>1660.6094788265907</v>
      </c>
      <c r="GB465" s="6">
        <v>18034.390521173409</v>
      </c>
      <c r="GC465" s="7">
        <v>8.1891069685915169E-2</v>
      </c>
      <c r="GD465" s="7">
        <v>8.1498933187271347E-2</v>
      </c>
      <c r="GE465" s="7"/>
      <c r="GF465" s="7"/>
      <c r="GG465" s="7">
        <v>-4.7885135723323849E-3</v>
      </c>
      <c r="GH465" s="42">
        <v>2.6761391912152432</v>
      </c>
      <c r="GI465" s="6">
        <v>9020.0921487307223</v>
      </c>
      <c r="GJ465" s="14">
        <v>0.5107463060103955</v>
      </c>
      <c r="GK465" s="14">
        <v>0.50829519786161004</v>
      </c>
      <c r="GL465" s="14">
        <v>0.48925369398960467</v>
      </c>
      <c r="GM465" s="14">
        <v>0.49170480213839046</v>
      </c>
      <c r="GO465" s="5">
        <v>338.16872463277008</v>
      </c>
      <c r="GP465" s="5">
        <v>302.87425392274076</v>
      </c>
      <c r="GQ465" s="5">
        <v>527.27910984145694</v>
      </c>
      <c r="GR465" s="5">
        <v>404.20319246551543</v>
      </c>
      <c r="GS465" s="5">
        <v>334.50205195691484</v>
      </c>
      <c r="GT465" s="5">
        <v>289.18266033348181</v>
      </c>
      <c r="GU465" s="5">
        <v>254.29573314828914</v>
      </c>
      <c r="GV465" s="39" t="s">
        <v>392</v>
      </c>
      <c r="GW465" s="5">
        <v>475.29643226912253</v>
      </c>
      <c r="GX465" s="5">
        <v>358.07100736083845</v>
      </c>
      <c r="GY465" s="5">
        <v>287.73954748358943</v>
      </c>
      <c r="GZ465" s="5">
        <v>255.64660634518972</v>
      </c>
      <c r="HA465" s="5">
        <v>229.89195052129477</v>
      </c>
      <c r="HB465" s="39">
        <v>265.60744951465199</v>
      </c>
      <c r="HC465" s="5">
        <v>293.87812499999995</v>
      </c>
      <c r="HD465" s="5">
        <v>243.67143640350872</v>
      </c>
      <c r="HE465" s="5">
        <v>244.28647520242913</v>
      </c>
      <c r="HF465" s="5">
        <v>223.39192434210526</v>
      </c>
      <c r="HG465" s="5">
        <v>212.2899342105263</v>
      </c>
      <c r="HH465" s="39">
        <v>243.40462408193756</v>
      </c>
      <c r="HI465" s="16"/>
      <c r="HJ465" s="19" t="str">
        <f t="shared" ref="HJ465:HK465" si="1479">HJ464</f>
        <v>On</v>
      </c>
      <c r="HK465" s="1" t="str">
        <f t="shared" si="1479"/>
        <v>On</v>
      </c>
      <c r="HL465" s="16"/>
      <c r="HM465" s="639">
        <f t="shared" si="1426"/>
        <v>6.6115095157691428E-2</v>
      </c>
      <c r="HN465" s="639">
        <f t="shared" si="1427"/>
        <v>2.3720927871164412E-3</v>
      </c>
      <c r="HO465" s="639">
        <f t="shared" si="1428"/>
        <v>7.7231033444443466E-3</v>
      </c>
      <c r="HP465" s="644">
        <f>(FT465*$GD465-HM465)/$JF465*INDEX(Input!$1:$1048576,$JG$93,$C465*2+6)</f>
        <v>151.04701253089311</v>
      </c>
      <c r="HQ465" s="644">
        <f>(FU465*$GD465-HN465)/$JF465*INDEX(Input!$1:$1048576,$JG$93,$C465*2+6)</f>
        <v>-19.146447191812442</v>
      </c>
      <c r="HR465" s="644">
        <f>(FV465*$GD465-HO465)/$JF465*INDEX(Input!$1:$1048576,$JG$93,$C465*2+6)</f>
        <v>-2.8945594296912356</v>
      </c>
      <c r="HS465" s="644">
        <f t="shared" si="1429"/>
        <v>-34.108228770345399</v>
      </c>
      <c r="HT465" s="644">
        <f t="shared" si="1430"/>
        <v>-7.9218841855865572</v>
      </c>
      <c r="HU465" s="644">
        <f t="shared" si="1431"/>
        <v>10.145483117921581</v>
      </c>
      <c r="HV465" s="648">
        <f t="shared" si="1432"/>
        <v>0</v>
      </c>
      <c r="HW465" s="648">
        <f t="shared" si="1433"/>
        <v>0</v>
      </c>
      <c r="HX465" s="648">
        <f t="shared" si="1434"/>
        <v>0</v>
      </c>
      <c r="HY465" s="644">
        <f>INDEX(Input!$1:$1048576,HY$93,$C465*2+6)*INDEX(Input!$1:$1048576,$JG$93,$C465*2+6)</f>
        <v>844</v>
      </c>
      <c r="HZ465" s="644">
        <f>INDEX(Input!$1:$1048576,HZ$93,$C465*2+6)*INDEX(Input!$1:$1048576,$JG$93,$C465*2+6)</f>
        <v>865</v>
      </c>
      <c r="IA465" s="644">
        <f>INDEX(Input!$1:$1048576,IA$93,$C465*2+6)*INDEX(Input!$1:$1048576,$JG$93,$C465*2+6)</f>
        <v>150</v>
      </c>
      <c r="IB465" s="644">
        <f t="shared" si="1435"/>
        <v>960.93878376054749</v>
      </c>
      <c r="IC465" s="644">
        <f t="shared" si="1436"/>
        <v>837.93166862260102</v>
      </c>
      <c r="ID465" s="644">
        <f>IF(AND(INDEX(Input!$1:$1048576,IA$93,$C465*2+7)="TOS",Y465&lt;=INDEX(Y:Y,MATCH(C465*1000+2,A:A))),0,1)*MAX(IA465+HR465+HU465+HX465,0%)</f>
        <v>157.25092368823033</v>
      </c>
      <c r="IE465" s="128">
        <f t="shared" si="1437"/>
        <v>0.49124701335786786</v>
      </c>
      <c r="IF465" s="128">
        <f t="shared" si="1438"/>
        <v>0.42836384228134161</v>
      </c>
      <c r="IG465" s="128">
        <f t="shared" si="1439"/>
        <v>8.0389144360790546E-2</v>
      </c>
      <c r="IH465" s="21"/>
      <c r="II465" s="19">
        <f t="shared" si="1440"/>
        <v>1199.9999999999998</v>
      </c>
      <c r="IJ465" s="19">
        <f t="shared" si="1441"/>
        <v>2195.4782357510435</v>
      </c>
      <c r="IK465" s="19">
        <f t="shared" si="1442"/>
        <v>-571</v>
      </c>
      <c r="IL465" s="19">
        <f t="shared" si="1443"/>
        <v>650.00000000000023</v>
      </c>
      <c r="IM465" s="19">
        <f t="shared" si="1444"/>
        <v>-28.071684880620978</v>
      </c>
      <c r="IN465" s="19">
        <f t="shared" si="1445"/>
        <v>325</v>
      </c>
      <c r="IO465" s="39">
        <f t="shared" si="1446"/>
        <v>0</v>
      </c>
      <c r="IP465" s="39">
        <f t="shared" si="1447"/>
        <v>0</v>
      </c>
      <c r="IQ465" s="39">
        <f t="shared" si="1448"/>
        <v>0</v>
      </c>
      <c r="IR465" s="39">
        <v>0</v>
      </c>
      <c r="IS465" s="39">
        <v>0</v>
      </c>
      <c r="IT465" s="39">
        <v>0</v>
      </c>
      <c r="IU465" s="39">
        <v>0</v>
      </c>
      <c r="IV465" s="39">
        <v>0</v>
      </c>
      <c r="IW465" s="39">
        <v>0</v>
      </c>
      <c r="IX465" s="39">
        <f>INDEX(Input!$1:$1048576,IX$93,$C465*2+6)+INDEX(Input!$1:$1048576,IX$94,$C465*2+6)</f>
        <v>1600</v>
      </c>
      <c r="IY465" s="39">
        <f>INDEX(Input!$1:$1048576,IY$93,$C465*2+6)+INDEX(Input!$1:$1048576,IY$94,$C465*2+6)</f>
        <v>2503.549291639752</v>
      </c>
      <c r="IZ465" s="39">
        <f>INDEX(Input!$1:$1048576,IZ$93,$C465*2+6)+INDEX(Input!$1:$1048576,IZ$94,$C465*2+6)</f>
        <v>5413.7109265464023</v>
      </c>
      <c r="JA465" s="19">
        <f t="shared" si="1449"/>
        <v>2250</v>
      </c>
      <c r="JB465" s="19">
        <f t="shared" si="1450"/>
        <v>2475.477606759131</v>
      </c>
      <c r="JC465" s="19">
        <f t="shared" si="1451"/>
        <v>5738.7109265464023</v>
      </c>
      <c r="JD465" s="19">
        <f t="shared" si="1452"/>
        <v>2627.0409402869486</v>
      </c>
      <c r="JE465" s="21"/>
      <c r="JF465" s="1">
        <f t="shared" si="1453"/>
        <v>7.6210291289252219E-2</v>
      </c>
      <c r="JG465" s="15">
        <f>INDEX(Input!$1:$1048576,JG$93,$C465*2+6)/(1+VLOOKUP(C465*1000+INDEX(Input!$1:$1048576,JG$93+1,$C465*2+6),$A:$KK,$JK$92,FALSE))</f>
        <v>1859</v>
      </c>
      <c r="JH465" s="1">
        <f t="shared" si="1454"/>
        <v>6.9395377035712455E-2</v>
      </c>
      <c r="JI465" s="1">
        <f t="shared" si="1455"/>
        <v>-1.715149534051123E-2</v>
      </c>
      <c r="JJ465" s="1">
        <f t="shared" si="1456"/>
        <v>0</v>
      </c>
      <c r="JK465" s="1">
        <f t="shared" si="1457"/>
        <v>5.2243881695201222E-2</v>
      </c>
      <c r="JL465" s="15">
        <f t="shared" si="1458"/>
        <v>97.121376071379075</v>
      </c>
      <c r="JM465" s="15">
        <f t="shared" si="1459"/>
        <v>1956.121376071379</v>
      </c>
      <c r="JN465" s="21"/>
      <c r="JO465" s="19">
        <f>INDEX(Input!$1:$1048576,JO$93,$C465*2+6)</f>
        <v>5908.5</v>
      </c>
      <c r="JP465" s="19">
        <f>INDEX(Input!$1:$1048576,JP$93,$C465*2+6)</f>
        <v>2328.1478086338602</v>
      </c>
      <c r="JQ465" s="39">
        <f t="shared" si="1460"/>
        <v>3281.4590597130514</v>
      </c>
      <c r="JR465" s="39">
        <f t="shared" si="1461"/>
        <v>298.8931316530884</v>
      </c>
      <c r="JS465" s="39">
        <f t="shared" si="1462"/>
        <v>5.1388109391099546</v>
      </c>
      <c r="JT465" s="39">
        <f t="shared" si="1463"/>
        <v>0.81078416285960841</v>
      </c>
      <c r="JU465" s="385">
        <f>(JQ465*JM465-INDEX(Input!$1:$1048576,Input!A$18,$C465*2+6)*JL465*INDEX(Input!$1:$1048576,Input!A$19,$C465*2+6))/1000000</f>
        <v>6.4189322114077871</v>
      </c>
      <c r="JV465" s="39">
        <f t="shared" si="1464"/>
        <v>-0.2369425123418667</v>
      </c>
      <c r="JW465" s="1">
        <f t="shared" si="1465"/>
        <v>-3.5599004214487792E-2</v>
      </c>
      <c r="JX465" s="19">
        <f t="shared" si="1466"/>
        <v>8348.1535750041785</v>
      </c>
      <c r="JZ465" s="341"/>
      <c r="KA465" s="342"/>
      <c r="KB465" s="469">
        <f t="shared" si="1337"/>
        <v>2.3451977905499271</v>
      </c>
      <c r="KI465" s="473">
        <f t="shared" si="1467"/>
        <v>116.93878376054761</v>
      </c>
      <c r="KJ465" s="473">
        <f t="shared" si="1468"/>
        <v>-27.068331377398863</v>
      </c>
      <c r="KK465" s="473">
        <f t="shared" si="1469"/>
        <v>7.2509236882303298</v>
      </c>
      <c r="KN465" s="544">
        <f t="shared" si="1470"/>
        <v>4002</v>
      </c>
      <c r="KO465" s="541">
        <f t="shared" si="1471"/>
        <v>-2.0783717954258596E-2</v>
      </c>
      <c r="KP465" s="546">
        <f t="shared" si="1472"/>
        <v>-60.601885579956374</v>
      </c>
      <c r="KQ465" s="546">
        <f t="shared" si="1473"/>
        <v>-96.702621311047096</v>
      </c>
      <c r="KR465" s="548">
        <f t="shared" si="1474"/>
        <v>5.8203767716066572</v>
      </c>
      <c r="KS465" s="548">
        <f t="shared" si="1475"/>
        <v>3.6475309806813674</v>
      </c>
      <c r="KT465" s="473">
        <f t="shared" si="1339"/>
        <v>1050.27685337919</v>
      </c>
      <c r="KU465" s="663">
        <f t="shared" si="1476"/>
        <v>6.4661143140360782</v>
      </c>
      <c r="KV465" s="117"/>
    </row>
    <row r="466" spans="1:308" s="26" customFormat="1" ht="15" outlineLevel="1">
      <c r="A466" s="561">
        <f t="shared" si="1414"/>
        <v>4066</v>
      </c>
      <c r="B466" s="561">
        <f t="shared" si="1328"/>
        <v>66</v>
      </c>
      <c r="C466" s="561">
        <f t="shared" si="1329"/>
        <v>4</v>
      </c>
      <c r="D466" s="561" t="str">
        <f t="shared" si="1415"/>
        <v xml:space="preserve">500 CC, 0.9/1.9/2.9/3.9, </v>
      </c>
      <c r="E466" s="475">
        <f>INDEX(Input!$1:$1048576,E$93,$C466*2+MIN($B466,2)+5)
+INDEX(Scenarios!E$121:E$200,MATCH($B466,Scenarios!$B$121:$B$200,0))</f>
        <v>1750</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0</v>
      </c>
      <c r="R466" s="478">
        <f>IFERROR(MAX(0,INDEX(Input!$1:$1048576,R$93,$C466*2+MIN($B466,2)+5)
+INDEX(Scenarios!R$121:R$200,MATCH($B466,Scenarios!$B$121:$B$200,0)),),"Market")</f>
        <v>9.0000000000000011E-3</v>
      </c>
      <c r="S466" s="478">
        <f>IFERROR(MAX(0,INDEX(Input!$1:$1048576,S$93,$C466*2+MIN($B466,2)+5)
+INDEX(Scenarios!S$121:S$200,MATCH($B466,Scenarios!$B$121:$B$200,0)),),"Market")</f>
        <v>9.0000000000000011E-3</v>
      </c>
      <c r="T466" s="478">
        <f>IFERROR(MAX(0,INDEX(Input!$1:$1048576,T$93,$C466*2+MIN($B466,2)+5)
+INDEX(Scenarios!T$121:T$200,MATCH($B466,Scenarios!$B$121:$B$200,0)),),"Market")</f>
        <v>9.0000000000000011E-3</v>
      </c>
      <c r="U466" s="478">
        <f>IFERROR(MAX(0,INDEX(Input!$1:$1048576,U$93,$C466*2+MIN($B466,2)+5)
+INDEX(Scenarios!U$121:U$200,MATCH($B466,Scenarios!$B$121:$B$200,0)),),"Market")</f>
        <v>9.0000000000000011E-3</v>
      </c>
      <c r="V466" s="478">
        <f>IFERROR(MAX(0,INDEX(Input!$1:$1048576,V$93,$C466*2+MIN($B466,2)+5)
+INDEX(Scenarios!V$121:V$200,MATCH($B466,Scenarios!$B$121:$B$200,0)),),"Market")</f>
        <v>2.8999999999999998E-2</v>
      </c>
      <c r="W466" s="863">
        <f>IFERROR(MAX(0,INDEX(Input!$1:$1048576,W$93,$C466*2+MIN($B466,2)+5)-0%,),"Market")</f>
        <v>3.9E-2</v>
      </c>
      <c r="X466" s="476" t="str">
        <f>INDEX(Input!$1:$1048576,X$93,$C466*2+MIN($B466,2)+5)</f>
        <v>Y</v>
      </c>
      <c r="Y466" s="475">
        <f>INDEX(Input!$1:$1048576,Y$93,$C466*2+MIN($B466,2)+5)
++INDEX(Scenarios!Y$121:Y$200,MATCH($B466,Scenarios!$B$121:$B$200,0))</f>
        <v>-2217</v>
      </c>
      <c r="Z466" s="477">
        <f>INDEX(Input!$1:$1048576,Z$93,$C466*2+MIN($B466,2)+5)
+INDEX(Scenarios!Z$121:Z$200,MATCH($B466,Scenarios!$B$121:$B$200,0))</f>
        <v>0</v>
      </c>
      <c r="AA466" s="475">
        <f>INDEX(Input!$1:$1048576,AA$93,$C466*2+MIN($B466,2)+5)</f>
        <v>0</v>
      </c>
      <c r="AB466" s="476">
        <f>INDEX(Input!$1:$1048576,AB$93,$C466*2+MIN($B466,2)+5)</f>
        <v>1</v>
      </c>
      <c r="AC466" s="475">
        <f>INDEX(Input!$1:$1048576,AC$93,$C466*2+MIN($B466,2)+5)
+INDEX(Scenarios!AC$121:AC$200,MATCH($B466,Scenarios!$B$121:$B$200,0))</f>
        <v>0</v>
      </c>
      <c r="AD466" s="476">
        <f>INDEX(Input!$1:$1048576,AD$93,$C466*2+MIN($B466,2)+5)</f>
        <v>0.35</v>
      </c>
      <c r="AE466" s="475">
        <f>INDEX(Input!$1:$1048576,AE$93,$C466*2+MIN($B466,2)+5)
+INDEX(Scenarios!AE$121:AE$200,MATCH($B466,Scenarios!$B$121:$B$200,0))</f>
        <v>0</v>
      </c>
      <c r="AF466" s="476">
        <f>INDEX(Input!$1:$1048576,AF$93,$C466*2+MIN($B466,2)+5)</f>
        <v>1</v>
      </c>
      <c r="AG466" s="475">
        <f>INDEX(Input!$1:$1048576,AG$93,$C466*2+MIN($B466,2)+5)
+INDEX(Scenarios!AG$121:AG$200,MATCH($B466,Scenarios!$B$121:$B$200,0))</f>
        <v>0</v>
      </c>
      <c r="AH466" s="476">
        <f>INDEX(Input!$1:$1048576,AH$93,$C466*2+MIN($B466,2)+5)</f>
        <v>1</v>
      </c>
      <c r="AI466" s="475">
        <f>INDEX(Input!$1:$1048576,AI$93,$C466*2+MIN($B466,2)+5)
+INDEX(Scenarios!AI$121:AI$200,MATCH($B466,Scenarios!$B$121:$B$200,0))</f>
        <v>0</v>
      </c>
      <c r="AJ466" s="476">
        <f>INDEX(Input!$1:$1048576,AJ$93,$C466*2+MIN($B466,2)+5)</f>
        <v>0.35</v>
      </c>
      <c r="AK466" s="150">
        <f>ROUND(INDEX(Input!$1:$1048576,AK$93,$C465*2+MIN($B466,1)+5)+(Y466-VLOOKUP($C466*1000+1,$A:$HH,Y$92,FALSE)),0)</f>
        <v>4592</v>
      </c>
      <c r="AL466" s="150">
        <f>ROUND(INDEX(Input!$1:$1048576,AL$93,$C465*2+MIN($B466,1)+5)-(Y466-VLOOKUP($C466*1000+1,$A:$HH,Y$92,FALSE))/36,0)</f>
        <v>4743</v>
      </c>
      <c r="AM466" s="32" t="str">
        <f t="shared" si="1416"/>
        <v>std/std/std/std</v>
      </c>
      <c r="AN466" s="32" t="str">
        <f t="shared" si="1417"/>
        <v>$0 + 0.9/0.9/0.9/2.9/3.9</v>
      </c>
      <c r="AO466" s="32" t="str">
        <f t="shared" si="1418"/>
        <v>0.9/0.9/0.9/2.9/3.9</v>
      </c>
      <c r="AP466" s="32" t="str">
        <f t="shared" si="1386"/>
        <v>0.9/1.9/2.9/3.9</v>
      </c>
      <c r="AQ466" s="536">
        <f t="shared" si="1419"/>
        <v>0.50528825963406965</v>
      </c>
      <c r="AR466" s="32"/>
      <c r="AS466" s="302"/>
      <c r="AT466" s="3">
        <f t="shared" si="1330"/>
        <v>66</v>
      </c>
      <c r="AU466" s="41" t="s">
        <v>121</v>
      </c>
      <c r="AV466" s="41" t="s">
        <v>116</v>
      </c>
      <c r="AW466" s="41" t="str">
        <f>INDEX(Input!$1:$1048576,AW$93,$C466*2+6)</f>
        <v>Kia</v>
      </c>
      <c r="AX466" s="41" t="str">
        <f>INDEX(Input!$1:$1048576,AX$93,$C466*2+6)</f>
        <v>Kia-LR - R1</v>
      </c>
      <c r="AY466" s="41" t="str">
        <f>IF(LEN(D466)=0,"",INDEX(Input!$1:$1048576,AY$93,$C466*2+6))</f>
        <v>Compact Conventional/Sporty Car (43)</v>
      </c>
      <c r="AZ466" s="41" t="str">
        <f>INDEX(Input!$1:$1048576,AZ$93,$C466*2+6)</f>
        <v>Kia Forte</v>
      </c>
      <c r="BA466" s="3">
        <f>INDEX(Input!$1:$1048576,BA$93,$C466*2+6)</f>
        <v>2020</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19695</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387"/>
        <v>2060</v>
      </c>
      <c r="CJ466" s="16" t="str">
        <f>INDEX(Input!$1:$1048576,CJ$93,$C466*2+6)</f>
        <v>N</v>
      </c>
      <c r="CK466" s="1" t="str">
        <f t="shared" si="1388"/>
        <v>Market</v>
      </c>
      <c r="CL466" s="1" t="str">
        <f t="shared" si="1389"/>
        <v>Market</v>
      </c>
      <c r="CM466" s="1" t="str">
        <f t="shared" si="1390"/>
        <v>Market</v>
      </c>
      <c r="CN466" s="1" t="str">
        <f t="shared" si="1391"/>
        <v>Market</v>
      </c>
      <c r="CO466" s="1" t="str">
        <f t="shared" si="1392"/>
        <v>Market</v>
      </c>
      <c r="CP466" s="304">
        <f t="shared" si="1393"/>
        <v>0</v>
      </c>
      <c r="CQ466" s="1">
        <f t="shared" si="1420"/>
        <v>9.0000000000000011E-3</v>
      </c>
      <c r="CR466" s="1">
        <f t="shared" si="1421"/>
        <v>9.0000000000000011E-3</v>
      </c>
      <c r="CS466" s="1">
        <f t="shared" si="1422"/>
        <v>9.0000000000000011E-3</v>
      </c>
      <c r="CT466" s="1">
        <f t="shared" si="1423"/>
        <v>2.8999999999999998E-2</v>
      </c>
      <c r="CU466" s="1">
        <f t="shared" si="1424"/>
        <v>3.9E-2</v>
      </c>
      <c r="CV466" s="304">
        <f t="shared" si="1399"/>
        <v>-2217</v>
      </c>
      <c r="CW466" s="20" t="s">
        <v>122</v>
      </c>
      <c r="CX466" s="20" t="s">
        <v>122</v>
      </c>
      <c r="CY466" s="20" t="s">
        <v>122</v>
      </c>
      <c r="CZ466" s="20" t="s">
        <v>122</v>
      </c>
      <c r="DA466" s="20" t="s">
        <v>122</v>
      </c>
      <c r="DB466" s="503">
        <f t="shared" si="1400"/>
        <v>0</v>
      </c>
      <c r="DC466" s="127">
        <v>0</v>
      </c>
      <c r="DD466" s="127">
        <v>0</v>
      </c>
      <c r="DE466" s="127">
        <v>0</v>
      </c>
      <c r="DF466" s="127">
        <v>0</v>
      </c>
      <c r="DG466" s="127">
        <v>0</v>
      </c>
      <c r="DH466" s="127">
        <v>0</v>
      </c>
      <c r="DI466" s="127">
        <v>0</v>
      </c>
      <c r="DJ466" s="127">
        <v>0</v>
      </c>
      <c r="DK466" s="127">
        <v>0</v>
      </c>
      <c r="DL466" s="127">
        <v>0</v>
      </c>
      <c r="DM466" s="304">
        <f>INDEX(Input!$1:$1048576,DM$93,$C466*2+6)</f>
        <v>20731.578947368424</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4.7329649593654856E-2</v>
      </c>
      <c r="DZ466" s="7">
        <v>0</v>
      </c>
      <c r="EA466" s="7">
        <v>0.84669855248256631</v>
      </c>
      <c r="EB466" s="7">
        <v>0</v>
      </c>
      <c r="EC466" s="7">
        <v>0</v>
      </c>
      <c r="ED466" s="7">
        <v>0</v>
      </c>
      <c r="EE466" s="7">
        <v>0</v>
      </c>
      <c r="EF466" s="7">
        <v>0</v>
      </c>
      <c r="EG466" s="7">
        <v>0</v>
      </c>
      <c r="EH466" s="7">
        <v>1.5352988195814366E-2</v>
      </c>
      <c r="EI466" s="7">
        <v>2.3047791240332391E-2</v>
      </c>
      <c r="EJ466" s="7">
        <v>0.20321320045991803</v>
      </c>
      <c r="EK466" s="7">
        <v>0.67001068770379413</v>
      </c>
      <c r="EL466" s="7">
        <v>8.8375332400140852E-2</v>
      </c>
      <c r="EM466" s="7">
        <v>1.823727226184382E-2</v>
      </c>
      <c r="EN466" s="7">
        <v>4.6909390761718767E-2</v>
      </c>
      <c r="EO466" s="7">
        <v>0.57065206607689711</v>
      </c>
      <c r="EP466" s="7">
        <v>0.26954404891319045</v>
      </c>
      <c r="EQ466" s="7">
        <v>6.7895623008563263E-2</v>
      </c>
      <c r="ER466" s="7">
        <v>4.4998871239629569E-2</v>
      </c>
      <c r="ES466" s="7">
        <v>8.773452566193507E-2</v>
      </c>
      <c r="ET466" s="7">
        <v>0.10597179792377888</v>
      </c>
      <c r="EU466" s="6">
        <v>2100</v>
      </c>
      <c r="EV466" s="6">
        <v>0</v>
      </c>
      <c r="EW466" s="6">
        <v>2100</v>
      </c>
      <c r="EX466" s="6">
        <v>0</v>
      </c>
      <c r="EY466" s="6">
        <v>2167.5451495365583</v>
      </c>
      <c r="EZ466" s="6">
        <v>-246</v>
      </c>
      <c r="FA466" s="6">
        <v>0</v>
      </c>
      <c r="FB466" s="6">
        <v>0</v>
      </c>
      <c r="FC466" s="6">
        <v>0</v>
      </c>
      <c r="FD466" s="6">
        <v>0</v>
      </c>
      <c r="FE466" s="6">
        <v>0</v>
      </c>
      <c r="FF466" s="6">
        <v>0</v>
      </c>
      <c r="FG466" s="6">
        <v>0</v>
      </c>
      <c r="FH466" s="6">
        <v>925.41211283818245</v>
      </c>
      <c r="FI466" s="6">
        <v>1232.1164465304234</v>
      </c>
      <c r="FJ466" s="6">
        <v>1709.9775738488454</v>
      </c>
      <c r="FK466" s="6">
        <v>1266.3227157028196</v>
      </c>
      <c r="FL466" s="6">
        <v>893.91433563489318</v>
      </c>
      <c r="FM466" s="6">
        <v>1317.5451495365583</v>
      </c>
      <c r="FN466" s="6">
        <v>0</v>
      </c>
      <c r="FO466" s="6">
        <v>0</v>
      </c>
      <c r="FP466" s="6">
        <v>0</v>
      </c>
      <c r="FQ466" s="6">
        <v>0</v>
      </c>
      <c r="FR466" s="6">
        <v>0</v>
      </c>
      <c r="FS466" s="6">
        <v>0</v>
      </c>
      <c r="FT466" s="7">
        <v>0.89402820207622113</v>
      </c>
      <c r="FU466" s="7">
        <v>1.823727226184382E-2</v>
      </c>
      <c r="FV466" s="7">
        <v>8.773452566193507E-2</v>
      </c>
      <c r="FW466" s="6">
        <v>2100</v>
      </c>
      <c r="FX466" s="6">
        <v>2167.5451495365583</v>
      </c>
      <c r="FY466" s="6">
        <v>-246</v>
      </c>
      <c r="FZ466" s="6">
        <v>1695.8504614767719</v>
      </c>
      <c r="GA466" s="6">
        <v>1895.4066420791655</v>
      </c>
      <c r="GB466" s="6">
        <v>17799.593357920836</v>
      </c>
      <c r="GC466" s="7">
        <v>8.1891069685915169E-2</v>
      </c>
      <c r="GD466" s="7">
        <v>8.3653432662280508E-2</v>
      </c>
      <c r="GE466" s="7"/>
      <c r="GF466" s="7"/>
      <c r="GG466" s="7">
        <v>2.1520820073845686E-2</v>
      </c>
      <c r="GH466" s="42">
        <v>2.1239760656619158</v>
      </c>
      <c r="GI466" s="6">
        <v>11168.110001785926</v>
      </c>
      <c r="GJ466" s="14">
        <v>0.51074630601039539</v>
      </c>
      <c r="GK466" s="14">
        <v>0.50829519786160926</v>
      </c>
      <c r="GL466" s="14">
        <v>0.489253693989604</v>
      </c>
      <c r="GM466" s="14">
        <v>0.49170480213839024</v>
      </c>
      <c r="GO466" s="5">
        <v>338.16872463277008</v>
      </c>
      <c r="GP466" s="5">
        <v>298.1047308538179</v>
      </c>
      <c r="GQ466" s="5">
        <v>527.27910984145694</v>
      </c>
      <c r="GR466" s="5">
        <v>404.20319246551543</v>
      </c>
      <c r="GS466" s="5">
        <v>334.50205195691484</v>
      </c>
      <c r="GT466" s="5">
        <v>289.18266033348181</v>
      </c>
      <c r="GU466" s="5">
        <v>254.29573314828914</v>
      </c>
      <c r="GV466" s="39" t="s">
        <v>392</v>
      </c>
      <c r="GW466" s="5">
        <v>475.29643226912253</v>
      </c>
      <c r="GX466" s="5">
        <v>358.07100736083845</v>
      </c>
      <c r="GY466" s="5">
        <v>287.73954748358943</v>
      </c>
      <c r="GZ466" s="5">
        <v>255.64660634518972</v>
      </c>
      <c r="HA466" s="5">
        <v>229.89195052129477</v>
      </c>
      <c r="HB466" s="39">
        <v>265.62517675395526</v>
      </c>
      <c r="HC466" s="5">
        <v>293.87812499999995</v>
      </c>
      <c r="HD466" s="5">
        <v>243.67143640350872</v>
      </c>
      <c r="HE466" s="5">
        <v>244.28647520242913</v>
      </c>
      <c r="HF466" s="5">
        <v>223.39192434210526</v>
      </c>
      <c r="HG466" s="5">
        <v>212.2899342105263</v>
      </c>
      <c r="HH466" s="39">
        <v>243.40335934362614</v>
      </c>
      <c r="HI466" s="16"/>
      <c r="HJ466" s="19" t="str">
        <f t="shared" ref="HJ466:HK466" si="1480">HJ465</f>
        <v>On</v>
      </c>
      <c r="HK466" s="1" t="str">
        <f t="shared" si="1480"/>
        <v>On</v>
      </c>
      <c r="HL466" s="16"/>
      <c r="HM466" s="639">
        <f t="shared" si="1426"/>
        <v>6.6115095157691428E-2</v>
      </c>
      <c r="HN466" s="639">
        <f t="shared" si="1427"/>
        <v>2.3720927871164412E-3</v>
      </c>
      <c r="HO466" s="639">
        <f t="shared" si="1428"/>
        <v>7.7231033444443466E-3</v>
      </c>
      <c r="HP466" s="644">
        <f>(FT466*$GD466-HM466)/$JF466*INDEX(Input!$1:$1048576,$JG$93,$C466*2+6)</f>
        <v>211.57131644728332</v>
      </c>
      <c r="HQ466" s="644">
        <f>(FU466*$GD466-HN466)/$JF466*INDEX(Input!$1:$1048576,$JG$93,$C466*2+6)</f>
        <v>-20.648270471744109</v>
      </c>
      <c r="HR466" s="644">
        <f>(FV466*$GD466-HO466)/$JF466*INDEX(Input!$1:$1048576,$JG$93,$C466*2+6)</f>
        <v>-9.3622675244670184</v>
      </c>
      <c r="HS466" s="644">
        <f t="shared" si="1429"/>
        <v>-47.229029592859611</v>
      </c>
      <c r="HT466" s="644">
        <f t="shared" si="1430"/>
        <v>-9.1599835632962989</v>
      </c>
      <c r="HU466" s="644">
        <f t="shared" si="1431"/>
        <v>11.40653605858494</v>
      </c>
      <c r="HV466" s="648">
        <f t="shared" si="1432"/>
        <v>0</v>
      </c>
      <c r="HW466" s="648">
        <f t="shared" si="1433"/>
        <v>0</v>
      </c>
      <c r="HX466" s="648">
        <f t="shared" si="1434"/>
        <v>0</v>
      </c>
      <c r="HY466" s="644">
        <f>INDEX(Input!$1:$1048576,HY$93,$C466*2+6)*INDEX(Input!$1:$1048576,$JG$93,$C466*2+6)</f>
        <v>844</v>
      </c>
      <c r="HZ466" s="644">
        <f>INDEX(Input!$1:$1048576,HZ$93,$C466*2+6)*INDEX(Input!$1:$1048576,$JG$93,$C466*2+6)</f>
        <v>865</v>
      </c>
      <c r="IA466" s="644">
        <f>INDEX(Input!$1:$1048576,IA$93,$C466*2+6)*INDEX(Input!$1:$1048576,$JG$93,$C466*2+6)</f>
        <v>150</v>
      </c>
      <c r="IB466" s="644">
        <f t="shared" si="1435"/>
        <v>1008.3422868544237</v>
      </c>
      <c r="IC466" s="644">
        <f t="shared" si="1436"/>
        <v>835.19174596495952</v>
      </c>
      <c r="ID466" s="644">
        <f>IF(AND(INDEX(Input!$1:$1048576,IA$93,$C466*2+7)="TOS",Y466&lt;=INDEX(Y:Y,MATCH(C466*1000+2,A:A))),0,1)*MAX(IA466+HR466+HU466+HX466,0%)</f>
        <v>152.04426853411792</v>
      </c>
      <c r="IE466" s="128">
        <f t="shared" si="1437"/>
        <v>0.50528825963406965</v>
      </c>
      <c r="IF466" s="128">
        <f t="shared" si="1438"/>
        <v>0.41852116020628738</v>
      </c>
      <c r="IG466" s="128">
        <f t="shared" si="1439"/>
        <v>7.6190580159642876E-2</v>
      </c>
      <c r="IH466" s="21"/>
      <c r="II466" s="19">
        <f t="shared" si="1440"/>
        <v>1199.9999999999998</v>
      </c>
      <c r="IJ466" s="19">
        <f t="shared" si="1441"/>
        <v>2195.4782357510435</v>
      </c>
      <c r="IK466" s="19">
        <f t="shared" si="1442"/>
        <v>-571</v>
      </c>
      <c r="IL466" s="19">
        <f t="shared" si="1443"/>
        <v>900.00000000000023</v>
      </c>
      <c r="IM466" s="19">
        <f t="shared" si="1444"/>
        <v>-27.933086214485229</v>
      </c>
      <c r="IN466" s="19">
        <f t="shared" si="1445"/>
        <v>325</v>
      </c>
      <c r="IO466" s="39">
        <f t="shared" si="1446"/>
        <v>0</v>
      </c>
      <c r="IP466" s="39">
        <f t="shared" si="1447"/>
        <v>0</v>
      </c>
      <c r="IQ466" s="39">
        <f t="shared" si="1448"/>
        <v>0</v>
      </c>
      <c r="IR466" s="39">
        <v>0</v>
      </c>
      <c r="IS466" s="39">
        <v>0</v>
      </c>
      <c r="IT466" s="39">
        <v>0</v>
      </c>
      <c r="IU466" s="39">
        <v>0</v>
      </c>
      <c r="IV466" s="39">
        <v>0</v>
      </c>
      <c r="IW466" s="39">
        <v>0</v>
      </c>
      <c r="IX466" s="39">
        <f>INDEX(Input!$1:$1048576,IX$93,$C466*2+6)+INDEX(Input!$1:$1048576,IX$94,$C466*2+6)</f>
        <v>1600</v>
      </c>
      <c r="IY466" s="39">
        <f>INDEX(Input!$1:$1048576,IY$93,$C466*2+6)+INDEX(Input!$1:$1048576,IY$94,$C466*2+6)</f>
        <v>2503.549291639752</v>
      </c>
      <c r="IZ466" s="39">
        <f>INDEX(Input!$1:$1048576,IZ$93,$C466*2+6)+INDEX(Input!$1:$1048576,IZ$94,$C466*2+6)</f>
        <v>5413.7109265464023</v>
      </c>
      <c r="JA466" s="19">
        <f t="shared" si="1449"/>
        <v>2500</v>
      </c>
      <c r="JB466" s="19">
        <f t="shared" si="1450"/>
        <v>2475.6162054252668</v>
      </c>
      <c r="JC466" s="19">
        <f t="shared" si="1451"/>
        <v>5738.7109265464023</v>
      </c>
      <c r="JD466" s="19">
        <f t="shared" si="1452"/>
        <v>2736.5541304672956</v>
      </c>
      <c r="JE466" s="21"/>
      <c r="JF466" s="1">
        <f t="shared" si="1453"/>
        <v>7.6210291289252219E-2</v>
      </c>
      <c r="JG466" s="15">
        <f>INDEX(Input!$1:$1048576,JG$93,$C466*2+6)/(1+VLOOKUP(C466*1000+INDEX(Input!$1:$1048576,JG$93+1,$C466*2+6),$A:$KK,$JK$92,FALSE))</f>
        <v>1859</v>
      </c>
      <c r="JH466" s="1">
        <f t="shared" si="1454"/>
        <v>9.766583025878009E-2</v>
      </c>
      <c r="JI466" s="1">
        <f t="shared" si="1455"/>
        <v>-2.41971366850839E-2</v>
      </c>
      <c r="JJ466" s="1">
        <f t="shared" si="1456"/>
        <v>0</v>
      </c>
      <c r="JK466" s="1">
        <f t="shared" si="1457"/>
        <v>7.3468693573696189E-2</v>
      </c>
      <c r="JL466" s="15">
        <f t="shared" si="1458"/>
        <v>136.57830135350122</v>
      </c>
      <c r="JM466" s="15">
        <f t="shared" si="1459"/>
        <v>1995.5783013535013</v>
      </c>
      <c r="JN466" s="21"/>
      <c r="JO466" s="19">
        <f>INDEX(Input!$1:$1048576,JO$93,$C466*2+6)</f>
        <v>5908.5</v>
      </c>
      <c r="JP466" s="19">
        <f>INDEX(Input!$1:$1048576,JP$93,$C466*2+6)</f>
        <v>2328.1478086338602</v>
      </c>
      <c r="JQ466" s="39">
        <f t="shared" si="1460"/>
        <v>3171.9458695327044</v>
      </c>
      <c r="JR466" s="39">
        <f t="shared" si="1461"/>
        <v>408.40632183343541</v>
      </c>
      <c r="JS466" s="39">
        <f t="shared" si="1462"/>
        <v>5.4610080432398336</v>
      </c>
      <c r="JT466" s="39">
        <f t="shared" si="1463"/>
        <v>1.1329812669894872</v>
      </c>
      <c r="JU466" s="385">
        <f>(JQ466*JM466-INDEX(Input!$1:$1048576,Input!A$18,$C466*2+6)*JL466*INDEX(Input!$1:$1048576,Input!A$19,$C466*2+6))/1000000</f>
        <v>6.3298663503073289</v>
      </c>
      <c r="JV466" s="39">
        <f t="shared" si="1464"/>
        <v>-0.32600837344232492</v>
      </c>
      <c r="JW466" s="1">
        <f t="shared" si="1465"/>
        <v>-4.8980545303692981E-2</v>
      </c>
      <c r="JX466" s="19">
        <f t="shared" si="1466"/>
        <v>8295.4704792895936</v>
      </c>
      <c r="JZ466" s="341"/>
      <c r="KA466" s="342"/>
      <c r="KB466" s="469">
        <f t="shared" si="1337"/>
        <v>2.3451977905499271</v>
      </c>
      <c r="KI466" s="473">
        <f t="shared" si="1467"/>
        <v>164.34228685442361</v>
      </c>
      <c r="KJ466" s="473">
        <f t="shared" si="1468"/>
        <v>-29.808254035040477</v>
      </c>
      <c r="KK466" s="473">
        <f t="shared" si="1469"/>
        <v>2.0442685341179185</v>
      </c>
      <c r="KN466" s="544">
        <f t="shared" si="1470"/>
        <v>4002</v>
      </c>
      <c r="KO466" s="541">
        <f t="shared" si="1471"/>
        <v>-1.0319458258267744E-3</v>
      </c>
      <c r="KP466" s="546">
        <f t="shared" si="1472"/>
        <v>73.502863660642021</v>
      </c>
      <c r="KQ466" s="546">
        <f t="shared" si="1473"/>
        <v>12.810568869299914</v>
      </c>
      <c r="KR466" s="548">
        <f t="shared" si="1474"/>
        <v>-0.23826850231989646</v>
      </c>
      <c r="KS466" s="548">
        <f t="shared" si="1475"/>
        <v>-1.3671069114358394</v>
      </c>
      <c r="KT466" s="473">
        <f t="shared" si="1339"/>
        <v>1050.27685337919</v>
      </c>
      <c r="KU466" s="663">
        <f t="shared" si="1476"/>
        <v>6.4777307998017992</v>
      </c>
      <c r="KV466" s="117"/>
    </row>
    <row r="467" spans="1:308" s="26" customFormat="1" ht="15" outlineLevel="1">
      <c r="A467" s="561">
        <f t="shared" ref="A467:A468" si="1481">C467*1000+B467</f>
        <v>4067</v>
      </c>
      <c r="B467" s="561">
        <f t="shared" si="1328"/>
        <v>67</v>
      </c>
      <c r="C467" s="561">
        <f t="shared" si="1329"/>
        <v>4</v>
      </c>
      <c r="D467" s="561" t="str">
        <f t="shared" ref="D467:D468" si="1482">IF(E467=INDEX(E:E,MATCH(C467*1000+2,A:A,0)),"",E467-INDEX(E:E,MATCH(C467*1000+2,A:A,0))&amp;E$100&amp;", ")
&amp;IF(F467=INDEX(F:F,MATCH(C467*1000+2,A:A,0)),"",F467-INDEX(F:F,MATCH(C467*1000+2,A:A,0))&amp;F$100&amp;", ")
&amp;IF(AM467=INDEX(AM:AM,MATCH(C467*1000+2,A:A,0)),"",AM467&amp;AM$100&amp;", ")
&amp;IF(AP467=INDEX(AP:AP,MATCH(C467*1000+2,A:A,0)),"",AP467&amp;AP$100&amp;", ")
&amp;IF(Q467=INDEX(Q:Q,MATCH(C467*1000+2,A:A,0)),"",Q467-INDEX(Q:Q,MATCH(C467*1000+2,A:A,0))&amp;Q$100&amp;", ")
&amp;IF(Y467=INDEX(Y:Y,MATCH(C467*1000+2,A:A,0)),"",Y467-INDEX(Y:Y,MATCH(C467*1000+2,A:A,0))&amp;Y$100&amp;", ")
&amp;IF(Z467=INDEX(Z:Z,MATCH(C467*1000+2,A:A,0)),"",Z467-INDEX(Z:Z,MATCH(C467*1000+2,A:A,0))&amp;Z$100&amp;", ")
&amp;IF(AA467=INDEX(AA:AA,MATCH(C467*1000+2,A:A,0)),"",AA467-INDEX(AA:AA,MATCH(C467*1000+2,A:A,0))&amp;AA$100&amp;", ")
&amp;IF(AC467=INDEX(AC:AC,MATCH(C467*1000+2,A:A,0)),"",AC467-INDEX(AC:AC,MATCH(C467*1000+2,A:A,0))&amp;AC$100&amp;", ")
&amp;IF(AE467=INDEX(AE:AE,MATCH(C467*1000+2,A:A,0)),"",AE467-INDEX(AE:AE,MATCH(C467*1000+2,A:A,0))&amp;AE$100&amp;", ")
&amp;IF(AG467=INDEX(AG:AG,MATCH(C467*1000+2,A:A,0)),"",AG467-INDEX(AG:AG,MATCH(C467*1000+2,A:A,0))&amp;AG$100&amp;", ")
&amp;IF(AI467=INDEX(AI:AI,MATCH(C467*1000+2,A:A,0)),"",AI467-INDEX(AI:AI,MATCH(C467*1000+2,A:A,0))&amp;AI$100&amp;", ")</f>
        <v xml:space="preserve">250 CC, 0.9/1.9/2.9/3.9, -360 Lease, </v>
      </c>
      <c r="E467" s="475">
        <f>INDEX(Input!$1:$1048576,E$93,$C467*2+MIN($B467,2)+5)
+INDEX(Scenarios!E$121:E$200,MATCH($B467,Scenarios!$B$121:$B$200,0))</f>
        <v>1500</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0</v>
      </c>
      <c r="R467" s="478">
        <f>IFERROR(MAX(0,INDEX(Input!$1:$1048576,R$93,$C467*2+MIN($B467,2)+5)
+INDEX(Scenarios!R$121:R$200,MATCH($B467,Scenarios!$B$121:$B$200,0)),),"Market")</f>
        <v>9.0000000000000011E-3</v>
      </c>
      <c r="S467" s="478">
        <f>IFERROR(MAX(0,INDEX(Input!$1:$1048576,S$93,$C467*2+MIN($B467,2)+5)
+INDEX(Scenarios!S$121:S$200,MATCH($B467,Scenarios!$B$121:$B$200,0)),),"Market")</f>
        <v>9.0000000000000011E-3</v>
      </c>
      <c r="T467" s="478">
        <f>IFERROR(MAX(0,INDEX(Input!$1:$1048576,T$93,$C467*2+MIN($B467,2)+5)
+INDEX(Scenarios!T$121:T$200,MATCH($B467,Scenarios!$B$121:$B$200,0)),),"Market")</f>
        <v>9.0000000000000011E-3</v>
      </c>
      <c r="U467" s="478">
        <f>IFERROR(MAX(0,INDEX(Input!$1:$1048576,U$93,$C467*2+MIN($B467,2)+5)
+INDEX(Scenarios!U$121:U$200,MATCH($B467,Scenarios!$B$121:$B$200,0)),),"Market")</f>
        <v>9.0000000000000011E-3</v>
      </c>
      <c r="V467" s="478">
        <f>IFERROR(MAX(0,INDEX(Input!$1:$1048576,V$93,$C467*2+MIN($B467,2)+5)
+INDEX(Scenarios!V$121:V$200,MATCH($B467,Scenarios!$B$121:$B$200,0)),),"Market")</f>
        <v>2.8999999999999998E-2</v>
      </c>
      <c r="W467" s="863">
        <f>IFERROR(MAX(0,INDEX(Input!$1:$1048576,W$93,$C467*2+MIN($B467,2)+5)-0%,),"Market")</f>
        <v>3.9E-2</v>
      </c>
      <c r="X467" s="476" t="str">
        <f>INDEX(Input!$1:$1048576,X$93,$C467*2+MIN($B467,2)+5)</f>
        <v>Y</v>
      </c>
      <c r="Y467" s="475">
        <f>INDEX(Input!$1:$1048576,Y$93,$C467*2+MIN($B467,2)+5)
++INDEX(Scenarios!Y$121:Y$200,MATCH($B467,Scenarios!$B$121:$B$200,0))</f>
        <v>-2577</v>
      </c>
      <c r="Z467" s="477">
        <f>INDEX(Input!$1:$1048576,Z$93,$C467*2+MIN($B467,2)+5)
+INDEX(Scenarios!Z$121:Z$200,MATCH($B467,Scenarios!$B$121:$B$200,0))</f>
        <v>0</v>
      </c>
      <c r="AA467" s="475">
        <f>INDEX(Input!$1:$1048576,AA$93,$C467*2+MIN($B467,2)+5)</f>
        <v>0</v>
      </c>
      <c r="AB467" s="476">
        <f>INDEX(Input!$1:$1048576,AB$93,$C467*2+MIN($B467,2)+5)</f>
        <v>1</v>
      </c>
      <c r="AC467" s="475">
        <f>INDEX(Input!$1:$1048576,AC$93,$C467*2+MIN($B467,2)+5)
+INDEX(Scenarios!AC$121:AC$200,MATCH($B467,Scenarios!$B$121:$B$200,0))</f>
        <v>0</v>
      </c>
      <c r="AD467" s="476">
        <f>INDEX(Input!$1:$1048576,AD$93,$C467*2+MIN($B467,2)+5)</f>
        <v>0.35</v>
      </c>
      <c r="AE467" s="475">
        <f>INDEX(Input!$1:$1048576,AE$93,$C467*2+MIN($B467,2)+5)
+INDEX(Scenarios!AE$121:AE$200,MATCH($B467,Scenarios!$B$121:$B$200,0))</f>
        <v>0</v>
      </c>
      <c r="AF467" s="476">
        <f>INDEX(Input!$1:$1048576,AF$93,$C467*2+MIN($B467,2)+5)</f>
        <v>1</v>
      </c>
      <c r="AG467" s="475">
        <f>INDEX(Input!$1:$1048576,AG$93,$C467*2+MIN($B467,2)+5)
+INDEX(Scenarios!AG$121:AG$200,MATCH($B467,Scenarios!$B$121:$B$200,0))</f>
        <v>0</v>
      </c>
      <c r="AH467" s="476">
        <f>INDEX(Input!$1:$1048576,AH$93,$C467*2+MIN($B467,2)+5)</f>
        <v>1</v>
      </c>
      <c r="AI467" s="475">
        <f>INDEX(Input!$1:$1048576,AI$93,$C467*2+MIN($B467,2)+5)
+INDEX(Scenarios!AI$121:AI$200,MATCH($B467,Scenarios!$B$121:$B$200,0))</f>
        <v>0</v>
      </c>
      <c r="AJ467" s="476">
        <f>INDEX(Input!$1:$1048576,AJ$93,$C467*2+MIN($B467,2)+5)</f>
        <v>0.35</v>
      </c>
      <c r="AK467" s="150">
        <f>ROUND(INDEX(Input!$1:$1048576,AK$93,$C466*2+MIN($B467,1)+5)+(Y467-VLOOKUP($C467*1000+1,$A:$HH,Y$92,FALSE)),0)</f>
        <v>4232</v>
      </c>
      <c r="AL467" s="150">
        <f>ROUND(INDEX(Input!$1:$1048576,AL$93,$C466*2+MIN($B467,1)+5)-(Y467-VLOOKUP($C467*1000+1,$A:$HH,Y$92,FALSE))/36,0)</f>
        <v>4753</v>
      </c>
      <c r="AM467" s="32" t="str">
        <f t="shared" ref="AM467:AM468" si="1483">IF(K467="market","std",ROUND(K467*1000,0)/10)&amp;"/"&amp;IF(L467="market","std",ROUND(L467*1000,0)/10)&amp;"/"&amp;IF(M467="market","std",ROUND(M467*1000,0)/10)&amp;"/"&amp;IF(N467="market","std",ROUND(N467*1000,0)/10)&amp;IF(P467="N","","/"&amp;IF(O467="market","std",ROUND(O467*1000,0)/10))</f>
        <v>std/std/std/std</v>
      </c>
      <c r="AN467" s="32" t="str">
        <f t="shared" ref="AN467:AN468" si="1484">"$"&amp;ROUND(Q467,0)&amp;" + "&amp;IF(S467="market","std",ROUND(S467*1000,0)/10)&amp;"/"&amp;IF(T467="market","std",ROUND(T467*1000,0)/10)&amp;"/"&amp;IF(U467="market","std",ROUND(U467*1000,0)/10)&amp;"/"&amp;IF(V467="market","std",ROUND(V467*1000,0)/10)&amp;IF(X467="N","","/"&amp;IF(W467="market","std",ROUND(W467*1000,0)/10))</f>
        <v>$0 + 0.9/0.9/0.9/2.9/3.9</v>
      </c>
      <c r="AO467" s="32" t="str">
        <f t="shared" ref="AO467:AO468" si="1485">IF(S467="market","std",ROUND(S467*1000,0)/10)&amp;"/"&amp;IF(T467="market","std",ROUND(T467*1000,0)/10)&amp;"/"&amp;IF(U467="market","std",ROUND(U467*1000,0)/10)&amp;"/"&amp;IF(V467="market","std",ROUND(V467*1000,0)/10)&amp;IF(X467="N","","/"&amp;IF(W467="market","std",ROUND(W467*1000,0)/10))</f>
        <v>0.9/0.9/0.9/2.9/3.9</v>
      </c>
      <c r="AP467" s="32" t="str">
        <f t="shared" si="1386"/>
        <v>0.9/1.9/2.9/3.9</v>
      </c>
      <c r="AQ467" s="536">
        <f t="shared" ref="AQ467:AQ468" si="1486">SUM(IE467,G467*IF467,H467*IG467,AC467*AD467,AE467*AF467,AI467)</f>
        <v>0.49854813632892242</v>
      </c>
      <c r="AR467" s="32"/>
      <c r="AS467" s="302"/>
      <c r="AT467" s="3">
        <f t="shared" si="1330"/>
        <v>67</v>
      </c>
      <c r="AU467" s="41" t="s">
        <v>121</v>
      </c>
      <c r="AV467" s="41" t="s">
        <v>116</v>
      </c>
      <c r="AW467" s="41" t="str">
        <f>INDEX(Input!$1:$1048576,AW$93,$C467*2+6)</f>
        <v>Kia</v>
      </c>
      <c r="AX467" s="41" t="str">
        <f>INDEX(Input!$1:$1048576,AX$93,$C467*2+6)</f>
        <v>Kia-LR - R1</v>
      </c>
      <c r="AY467" s="41" t="str">
        <f>IF(LEN(D467)=0,"",INDEX(Input!$1:$1048576,AY$93,$C467*2+6))</f>
        <v>Compact Conventional/Sporty Car (43)</v>
      </c>
      <c r="AZ467" s="41" t="str">
        <f>INDEX(Input!$1:$1048576,AZ$93,$C467*2+6)</f>
        <v>Kia Forte</v>
      </c>
      <c r="BA467" s="3">
        <f>INDEX(Input!$1:$1048576,BA$93,$C467*2+6)</f>
        <v>2020</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19695</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387"/>
        <v>1810</v>
      </c>
      <c r="CJ467" s="16" t="str">
        <f>INDEX(Input!$1:$1048576,CJ$93,$C467*2+6)</f>
        <v>N</v>
      </c>
      <c r="CK467" s="1" t="str">
        <f t="shared" si="1388"/>
        <v>Market</v>
      </c>
      <c r="CL467" s="1" t="str">
        <f t="shared" si="1389"/>
        <v>Market</v>
      </c>
      <c r="CM467" s="1" t="str">
        <f t="shared" si="1390"/>
        <v>Market</v>
      </c>
      <c r="CN467" s="1" t="str">
        <f t="shared" si="1391"/>
        <v>Market</v>
      </c>
      <c r="CO467" s="1" t="str">
        <f t="shared" si="1392"/>
        <v>Market</v>
      </c>
      <c r="CP467" s="304">
        <f t="shared" si="1393"/>
        <v>0</v>
      </c>
      <c r="CQ467" s="1">
        <f t="shared" ref="CQ467:CQ468" si="1487">S467</f>
        <v>9.0000000000000011E-3</v>
      </c>
      <c r="CR467" s="1">
        <f t="shared" ref="CR467:CR468" si="1488">T467</f>
        <v>9.0000000000000011E-3</v>
      </c>
      <c r="CS467" s="1">
        <f t="shared" ref="CS467:CS468" si="1489">U467</f>
        <v>9.0000000000000011E-3</v>
      </c>
      <c r="CT467" s="1">
        <f t="shared" ref="CT467:CT468" si="1490">V467</f>
        <v>2.8999999999999998E-2</v>
      </c>
      <c r="CU467" s="1">
        <f t="shared" ref="CU467:CU468" si="1491">W467</f>
        <v>3.9E-2</v>
      </c>
      <c r="CV467" s="304">
        <f t="shared" si="1399"/>
        <v>-2577</v>
      </c>
      <c r="CW467" s="20" t="s">
        <v>122</v>
      </c>
      <c r="CX467" s="20" t="s">
        <v>122</v>
      </c>
      <c r="CY467" s="20" t="s">
        <v>122</v>
      </c>
      <c r="CZ467" s="20" t="s">
        <v>122</v>
      </c>
      <c r="DA467" s="20" t="s">
        <v>122</v>
      </c>
      <c r="DB467" s="503">
        <f t="shared" si="1400"/>
        <v>0</v>
      </c>
      <c r="DC467" s="127">
        <v>0</v>
      </c>
      <c r="DD467" s="127">
        <v>0</v>
      </c>
      <c r="DE467" s="127">
        <v>0</v>
      </c>
      <c r="DF467" s="127">
        <v>0</v>
      </c>
      <c r="DG467" s="127">
        <v>0</v>
      </c>
      <c r="DH467" s="127">
        <v>0</v>
      </c>
      <c r="DI467" s="127">
        <v>0</v>
      </c>
      <c r="DJ467" s="127">
        <v>0</v>
      </c>
      <c r="DK467" s="127">
        <v>0</v>
      </c>
      <c r="DL467" s="127">
        <v>0</v>
      </c>
      <c r="DM467" s="304">
        <f>INDEX(Input!$1:$1048576,DM$93,$C467*2+6)</f>
        <v>20731.578947368424</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4.7135237975874135E-2</v>
      </c>
      <c r="DZ467" s="7">
        <v>0</v>
      </c>
      <c r="EA467" s="7">
        <v>0.84663832624410063</v>
      </c>
      <c r="EB467" s="7">
        <v>0</v>
      </c>
      <c r="EC467" s="7">
        <v>0</v>
      </c>
      <c r="ED467" s="7">
        <v>0</v>
      </c>
      <c r="EE467" s="7">
        <v>0</v>
      </c>
      <c r="EF467" s="7">
        <v>0</v>
      </c>
      <c r="EG467" s="7">
        <v>0</v>
      </c>
      <c r="EH467" s="7">
        <v>1.535198809620532E-2</v>
      </c>
      <c r="EI467" s="7">
        <v>2.3050105603401025E-2</v>
      </c>
      <c r="EJ467" s="7">
        <v>0.20315543885528969</v>
      </c>
      <c r="EK467" s="7">
        <v>0.67002845307753911</v>
      </c>
      <c r="EL467" s="7">
        <v>8.8414014367564658E-2</v>
      </c>
      <c r="EM467" s="7">
        <v>1.9635359856476627E-2</v>
      </c>
      <c r="EN467" s="7">
        <v>4.6386322612076897E-2</v>
      </c>
      <c r="EO467" s="7">
        <v>0.57152301859010979</v>
      </c>
      <c r="EP467" s="7">
        <v>0.26798693860431239</v>
      </c>
      <c r="EQ467" s="7">
        <v>6.8674165590536754E-2</v>
      </c>
      <c r="ER467" s="7">
        <v>4.5429554602963891E-2</v>
      </c>
      <c r="ES467" s="7">
        <v>8.6591075923548616E-2</v>
      </c>
      <c r="ET467" s="7">
        <v>0.10622643578002529</v>
      </c>
      <c r="EU467" s="6">
        <v>1849.9999999999998</v>
      </c>
      <c r="EV467" s="6">
        <v>0</v>
      </c>
      <c r="EW467" s="6">
        <v>1849.9999999999998</v>
      </c>
      <c r="EX467" s="6">
        <v>0</v>
      </c>
      <c r="EY467" s="6">
        <v>2167.5054125104007</v>
      </c>
      <c r="EZ467" s="6">
        <v>-606</v>
      </c>
      <c r="FA467" s="6">
        <v>0</v>
      </c>
      <c r="FB467" s="6">
        <v>0</v>
      </c>
      <c r="FC467" s="6">
        <v>0</v>
      </c>
      <c r="FD467" s="6">
        <v>0</v>
      </c>
      <c r="FE467" s="6">
        <v>0</v>
      </c>
      <c r="FF467" s="6">
        <v>0</v>
      </c>
      <c r="FG467" s="6">
        <v>0</v>
      </c>
      <c r="FH467" s="6">
        <v>925.41425590538017</v>
      </c>
      <c r="FI467" s="6">
        <v>1232.116446530423</v>
      </c>
      <c r="FJ467" s="6">
        <v>1709.977573848847</v>
      </c>
      <c r="FK467" s="6">
        <v>1266.3227157028186</v>
      </c>
      <c r="FL467" s="6">
        <v>893.91433563489352</v>
      </c>
      <c r="FM467" s="6">
        <v>1317.5054125104009</v>
      </c>
      <c r="FN467" s="6">
        <v>0</v>
      </c>
      <c r="FO467" s="6">
        <v>0</v>
      </c>
      <c r="FP467" s="6">
        <v>0</v>
      </c>
      <c r="FQ467" s="6">
        <v>0</v>
      </c>
      <c r="FR467" s="6">
        <v>0</v>
      </c>
      <c r="FS467" s="6">
        <v>0</v>
      </c>
      <c r="FT467" s="7">
        <v>0.89377356421997478</v>
      </c>
      <c r="FU467" s="7">
        <v>1.9635359856476627E-2</v>
      </c>
      <c r="FV467" s="7">
        <v>8.6591075923548616E-2</v>
      </c>
      <c r="FW467" s="6">
        <v>1849.9999999999995</v>
      </c>
      <c r="FX467" s="6">
        <v>2167.5054125104007</v>
      </c>
      <c r="FY467" s="6">
        <v>-606</v>
      </c>
      <c r="FZ467" s="6">
        <v>1695.8504614767719</v>
      </c>
      <c r="GA467" s="6">
        <v>1643.5666505627848</v>
      </c>
      <c r="GB467" s="6">
        <v>18051.433349437215</v>
      </c>
      <c r="GC467" s="7">
        <v>8.1891069685915169E-2</v>
      </c>
      <c r="GD467" s="7">
        <v>8.123568718796359E-2</v>
      </c>
      <c r="GE467" s="7"/>
      <c r="GF467" s="7"/>
      <c r="GG467" s="7">
        <v>-8.0031009542949113E-3</v>
      </c>
      <c r="GH467" s="42">
        <v>3.0147204371567953</v>
      </c>
      <c r="GI467" s="6">
        <v>8176.5107196899498</v>
      </c>
      <c r="GJ467" s="14">
        <v>0.51074630601039539</v>
      </c>
      <c r="GK467" s="14">
        <v>0.50829519786160959</v>
      </c>
      <c r="GL467" s="14">
        <v>0.48925369398960411</v>
      </c>
      <c r="GM467" s="14">
        <v>0.49170480213839007</v>
      </c>
      <c r="GO467" s="5">
        <v>338.16872463277008</v>
      </c>
      <c r="GP467" s="5">
        <v>302.87425392274076</v>
      </c>
      <c r="GQ467" s="5">
        <v>527.27910984145694</v>
      </c>
      <c r="GR467" s="5">
        <v>404.20319246551543</v>
      </c>
      <c r="GS467" s="5">
        <v>334.50205195691484</v>
      </c>
      <c r="GT467" s="5">
        <v>289.18266033348181</v>
      </c>
      <c r="GU467" s="5">
        <v>254.29573314828914</v>
      </c>
      <c r="GV467" s="39" t="s">
        <v>392</v>
      </c>
      <c r="GW467" s="5">
        <v>475.29643226912253</v>
      </c>
      <c r="GX467" s="5">
        <v>358.07100736083845</v>
      </c>
      <c r="GY467" s="5">
        <v>287.73954748358943</v>
      </c>
      <c r="GZ467" s="5">
        <v>255.64660634518972</v>
      </c>
      <c r="HA467" s="5">
        <v>229.89195052129477</v>
      </c>
      <c r="HB467" s="39">
        <v>265.62234414896631</v>
      </c>
      <c r="HC467" s="5">
        <v>309.62812499999995</v>
      </c>
      <c r="HD467" s="5">
        <v>254.42143640350872</v>
      </c>
      <c r="HE467" s="5">
        <v>254.26724443319836</v>
      </c>
      <c r="HF467" s="5">
        <v>231.71692434210524</v>
      </c>
      <c r="HG467" s="5">
        <v>219.1899342105263</v>
      </c>
      <c r="HH467" s="39">
        <v>253.78118536343143</v>
      </c>
      <c r="HI467" s="16"/>
      <c r="HJ467" s="19" t="str">
        <f t="shared" ref="HJ467:HK467" si="1492">HJ466</f>
        <v>On</v>
      </c>
      <c r="HK467" s="1" t="str">
        <f t="shared" si="1492"/>
        <v>On</v>
      </c>
      <c r="HL467" s="16"/>
      <c r="HM467" s="639">
        <f t="shared" ref="HM467:HM481" si="1493">VLOOKUP($C467*1000+1,$A:$HH,FT$92,FALSE)*$JF467</f>
        <v>6.6115095157691428E-2</v>
      </c>
      <c r="HN467" s="639">
        <f t="shared" ref="HN467:HN481" si="1494">VLOOKUP($C467*1000+1,$A:$HH,FU$92,FALSE)*$JF467</f>
        <v>2.3720927871164412E-3</v>
      </c>
      <c r="HO467" s="639">
        <f t="shared" ref="HO467:HO481" si="1495">VLOOKUP($C467*1000+1,$A:$HH,FV$92,FALSE)*$JF467</f>
        <v>7.7231033444443466E-3</v>
      </c>
      <c r="HP467" s="644">
        <f>(FT467*$GD467-HM467)/$JF467*INDEX(Input!$1:$1048576,$JG$93,$C467*2+6)</f>
        <v>158.34039724219761</v>
      </c>
      <c r="HQ467" s="644">
        <f>(FU467*$GD467-HN467)/$JF467*INDEX(Input!$1:$1048576,$JG$93,$C467*2+6)</f>
        <v>-18.953405500419152</v>
      </c>
      <c r="HR467" s="644">
        <f>(FV467*$GD467-HO467)/$JF467*INDEX(Input!$1:$1048576,$JG$93,$C467*2+6)</f>
        <v>-16.802353661252376</v>
      </c>
      <c r="HS467" s="644">
        <f t="shared" ref="HS467:HS468" si="1496">IF(AND(HJ467="On",HK467="On"),IL467/1000*INDEX(KG:KG,MATCH(C467*1000+3,$KF:$KF,0))*SUM(HY467:IA467)*1.1
+INDEX(HR:HR,MATCH(C467*1000+4,$KF:$KF,0))/INDEX(IM:IM,MATCH(C467*1000+4,$KF:$KF,0))*IM467*20%,0)</f>
        <v>-34.10824912321312</v>
      </c>
      <c r="HT467" s="644">
        <f t="shared" ref="HT467:HT481" si="1497">IF(AND(HJ467="On",HK467="On"),IM467/1000*INDEX(KG:KG,MATCH(C467*1000+4,$KF:$KF,0))*SUM(HY467:IA467)*1.1
+INDEX(HR:HR,MATCH(C467*1000+3,$KF:$KF,0))/INDEX(IL:IL,MATCH(C467*1000+3,$KF:$KF,0))*IL467*20%,0)</f>
        <v>-7.9055318925969953</v>
      </c>
      <c r="HU467" s="644">
        <f t="shared" ref="HU467:HU481" si="1498">IF(HJ467="On",IN467/1000*INDEX(KG:KG,MATCH(C467*1000+5,$KF:$KF,0))*SUM(HY467:IA467)*1.1
-INDEX(HR:HR,MATCH(C467*1000+3,$KF:$KF,0))/INDEX(IL:IL,MATCH(C467*1000+3,$KF:$KF,0))*IL467*20%
-INDEX(HR:HR,MATCH(C467*1000+4,$KF:$KF,0))/INDEX(IM:IM,MATCH(C467*1000+4,$KF:$KF,0))*IM467*20%,0)</f>
        <v>2.5327786014360152</v>
      </c>
      <c r="HV467" s="648">
        <f t="shared" ref="HV467:HV481" si="1499">IL467/1000*0+IM467/1000*0+IN467/1000*0
+(CP467-INDEX(CP:CP,MATCH(C467*1000+1,A:A,0)))/1000*0+IF(FU467&gt;0,0,0)</f>
        <v>0</v>
      </c>
      <c r="HW467" s="648">
        <f t="shared" ref="HW467:HW481" si="1500">IL467/1000*0+IM467/1000*0+IN467/1000*0
+(CP467-INDEX(CP:CP,MATCH(C467*1000+1,A:A,0)))/1000*0+IF(FU467&gt;0,0,0)</f>
        <v>0</v>
      </c>
      <c r="HX467" s="648">
        <f t="shared" ref="HX467:HX481" si="1501">IL467/1000*0+IM467/1000*0+IN467/1000*0
+(CP467-INDEX(CP:CP,MATCH(C467*1000+1,A:A,0)))/1000*0+IF(FU467&gt;0,0,0)</f>
        <v>0</v>
      </c>
      <c r="HY467" s="644">
        <f>INDEX(Input!$1:$1048576,HY$93,$C467*2+6)*INDEX(Input!$1:$1048576,$JG$93,$C467*2+6)</f>
        <v>844</v>
      </c>
      <c r="HZ467" s="644">
        <f>INDEX(Input!$1:$1048576,HZ$93,$C467*2+6)*INDEX(Input!$1:$1048576,$JG$93,$C467*2+6)</f>
        <v>865</v>
      </c>
      <c r="IA467" s="644">
        <f>INDEX(Input!$1:$1048576,IA$93,$C467*2+6)*INDEX(Input!$1:$1048576,$JG$93,$C467*2+6)</f>
        <v>150</v>
      </c>
      <c r="IB467" s="644">
        <f t="shared" ref="IB467:IB481" si="1502">SUM(HP467:IA467)-IC467-ID467</f>
        <v>968.2321481189847</v>
      </c>
      <c r="IC467" s="644">
        <f t="shared" ref="IC467:IC481" si="1503">MAX(HZ467+HQ467+HT467+HW467,0%)</f>
        <v>838.14106260698384</v>
      </c>
      <c r="ID467" s="644">
        <f>IF(AND(INDEX(Input!$1:$1048576,IA$93,$C467*2+7)="TOS",Y467&lt;=INDEX(Y:Y,MATCH(C467*1000+2,A:A))),0,1)*MAX(IA467+HR467+HU467+HX467,0%)</f>
        <v>135.73042494018364</v>
      </c>
      <c r="IE467" s="128">
        <f t="shared" ref="IE467:IE468" si="1504">IB467/SUM($IB467:$ID467)</f>
        <v>0.49854813632892242</v>
      </c>
      <c r="IF467" s="128">
        <f t="shared" ref="IF467:IF468" si="1505">IC467/SUM($IB467:$ID467)</f>
        <v>0.43156351041971913</v>
      </c>
      <c r="IG467" s="128">
        <f t="shared" ref="IG467:IG481" si="1506">ID467/SUM($IB467:$ID467)</f>
        <v>6.9888353251358476E-2</v>
      </c>
      <c r="IH467" s="21"/>
      <c r="II467" s="19">
        <f t="shared" ref="II467:II481" si="1507">VLOOKUP($C467*1000+1,$A:$HH,FW$92,FALSE)-VLOOKUP($C467*1000+1,$A:$HH,FA$92,FALSE)*VLOOKUP($C467*1000+1,$A:$HH,DZ$92,FALSE)/VLOOKUP($C467*1000+1,$A:$HH,FT$92,FALSE)</f>
        <v>1199.9999999999998</v>
      </c>
      <c r="IJ467" s="19">
        <f t="shared" ref="IJ467:IJ481" si="1508">VLOOKUP($C467*1000+1,$A:$HH,FX$92,FALSE)</f>
        <v>2195.4782357510435</v>
      </c>
      <c r="IK467" s="19">
        <f t="shared" ref="IK467:IK481" si="1509">VLOOKUP($C467*1000+1,$A:$HH,FY$92,FALSE)</f>
        <v>-571</v>
      </c>
      <c r="IL467" s="19">
        <f t="shared" ref="IL467:IL481" si="1510">(FW467-FA467*DZ467/FT467)-II467</f>
        <v>649.99999999999977</v>
      </c>
      <c r="IM467" s="19">
        <f t="shared" ref="IM467:IM481" si="1511">FX467-IJ467</f>
        <v>-27.972823240642811</v>
      </c>
      <c r="IN467" s="19">
        <f t="shared" ref="IN467:IN481" si="1512">FY467-IK467</f>
        <v>-35</v>
      </c>
      <c r="IO467" s="39">
        <f t="shared" ref="IO467:IO481" si="1513">(F467-VLOOKUP($C467*1000+1,$A:$HH,F$92,FALSE))*(1-$I467)</f>
        <v>0</v>
      </c>
      <c r="IP467" s="39">
        <f t="shared" ref="IP467:IP481" si="1514">(G467-VLOOKUP($C467*1000+1,$A:$HH,G$92,FALSE))*(1-$I467)</f>
        <v>0</v>
      </c>
      <c r="IQ467" s="39">
        <f t="shared" ref="IQ467:IQ481" si="1515">(H467-VLOOKUP($C467*1000+1,$A:$HH,H$92,FALSE))*(1-$I467)</f>
        <v>0</v>
      </c>
      <c r="IR467" s="39">
        <v>0</v>
      </c>
      <c r="IS467" s="39">
        <v>0</v>
      </c>
      <c r="IT467" s="39">
        <v>0</v>
      </c>
      <c r="IU467" s="39">
        <v>0</v>
      </c>
      <c r="IV467" s="39">
        <v>0</v>
      </c>
      <c r="IW467" s="39">
        <v>0</v>
      </c>
      <c r="IX467" s="39">
        <f>INDEX(Input!$1:$1048576,IX$93,$C467*2+6)+INDEX(Input!$1:$1048576,IX$94,$C467*2+6)</f>
        <v>1600</v>
      </c>
      <c r="IY467" s="39">
        <f>INDEX(Input!$1:$1048576,IY$93,$C467*2+6)+INDEX(Input!$1:$1048576,IY$94,$C467*2+6)</f>
        <v>2503.549291639752</v>
      </c>
      <c r="IZ467" s="39">
        <f>INDEX(Input!$1:$1048576,IZ$93,$C467*2+6)+INDEX(Input!$1:$1048576,IZ$94,$C467*2+6)</f>
        <v>5413.7109265464023</v>
      </c>
      <c r="JA467" s="19">
        <f t="shared" ref="JA467:JA481" si="1516">(IL467+IO467+IR467+IU467+IX467)</f>
        <v>2250</v>
      </c>
      <c r="JB467" s="19">
        <f t="shared" ref="JB467:JB481" si="1517">(IM467+IP467+IS467+IV467+IY467)</f>
        <v>2475.5764683991092</v>
      </c>
      <c r="JC467" s="19">
        <f t="shared" ref="JC467:JC481" si="1518">(IN467+IQ467+IT467+IW467+IZ467)</f>
        <v>5378.7109265464023</v>
      </c>
      <c r="JD467" s="19">
        <f t="shared" ref="JD467:JD481" si="1519">SUMPRODUCT(IE467:IG467,JA467:JC467)</f>
        <v>2566.0110270262626</v>
      </c>
      <c r="JE467" s="21"/>
      <c r="JF467" s="1">
        <f t="shared" ref="JF467:JF481" si="1520">VLOOKUP($C467*1000+1,$A:$HH,GD$92,FALSE)</f>
        <v>7.6210291289252219E-2</v>
      </c>
      <c r="JG467" s="15">
        <f>INDEX(Input!$1:$1048576,JG$93,$C467*2+6)/(1+VLOOKUP(C467*1000+INDEX(Input!$1:$1048576,JG$93+1,$C467*2+6),$A:$KK,$JK$92,FALSE))</f>
        <v>1859</v>
      </c>
      <c r="JH467" s="1">
        <f t="shared" ref="JH467:JH481" si="1521">SUM(HP467:HR467)/SUM(HY467:IA467)</f>
        <v>6.5941171640950008E-2</v>
      </c>
      <c r="JI467" s="1">
        <f t="shared" ref="JI467:JI481" si="1522">SUM(HS467:HU467)/SUM(HY467:IA467)</f>
        <v>-2.1237763536511082E-2</v>
      </c>
      <c r="JJ467" s="1">
        <f t="shared" ref="JJ467:JJ481" si="1523">SUM(HV467:HX467)/SUM(HY467:IA467)</f>
        <v>0</v>
      </c>
      <c r="JK467" s="1">
        <f t="shared" ref="JK467:JK481" si="1524">SUM(JH467:JJ467)</f>
        <v>4.470340810443893E-2</v>
      </c>
      <c r="JL467" s="15">
        <f t="shared" ref="JL467:JL481" si="1525">JG467*JK467</f>
        <v>83.103635666151973</v>
      </c>
      <c r="JM467" s="15">
        <f t="shared" ref="JM467:JM481" si="1526">JG467+JL467</f>
        <v>1942.1036356661521</v>
      </c>
      <c r="JN467" s="21"/>
      <c r="JO467" s="19">
        <f>INDEX(Input!$1:$1048576,JO$93,$C467*2+6)</f>
        <v>5908.5</v>
      </c>
      <c r="JP467" s="19">
        <f>INDEX(Input!$1:$1048576,JP$93,$C467*2+6)</f>
        <v>2328.1478086338602</v>
      </c>
      <c r="JQ467" s="39">
        <f t="shared" ref="JQ467:JQ481" si="1527">JO467-JD467</f>
        <v>3342.4889729737374</v>
      </c>
      <c r="JR467" s="39">
        <f t="shared" ref="JR467:JR481" si="1528">JD467-JP467</f>
        <v>237.86321839240236</v>
      </c>
      <c r="JS467" s="39">
        <f t="shared" ref="JS467:JS481" si="1529">JM467*JD467/1000000</f>
        <v>4.9834593447471409</v>
      </c>
      <c r="JT467" s="39">
        <f t="shared" ref="JT467:JT481" si="1530">(JD467*JM467-JP467*JG467)/1000000</f>
        <v>0.65543256849679443</v>
      </c>
      <c r="JU467" s="385">
        <f>(JQ467*JM467-INDEX(Input!$1:$1048576,Input!A$18,$C467*2+6)*JL467*INDEX(Input!$1:$1048576,Input!A$19,$C467*2+6))/1000000</f>
        <v>6.4914599865863183</v>
      </c>
      <c r="JV467" s="39">
        <f t="shared" ref="JV467:JV481" si="1531">JU467-(JO467-JP467)*JG467/1000000</f>
        <v>-0.16441473716333554</v>
      </c>
      <c r="JW467" s="1">
        <f t="shared" ref="JW467:JW481" si="1532">JV467/(JU467-JV467)</f>
        <v>-2.4702198281567243E-2</v>
      </c>
      <c r="JX467" s="19">
        <f t="shared" ref="JX467:JX481" si="1533">IF(JL467=0,0,JT467/JL467)*1000000</f>
        <v>7886.9301354014215</v>
      </c>
      <c r="JZ467" s="341"/>
      <c r="KA467" s="342"/>
      <c r="KB467" s="469">
        <f t="shared" si="1337"/>
        <v>2.3451977905499271</v>
      </c>
      <c r="KI467" s="473">
        <f t="shared" ref="KI467:KI481" si="1534">$JM467*IE467-$JG467*HY467/SUM($HY467:$IA467)</f>
        <v>124.2321481189847</v>
      </c>
      <c r="KJ467" s="473">
        <f t="shared" ref="KJ467:KJ481" si="1535">$JM467*IF467-$JG467*HZ467/SUM($HY467:$IA467)</f>
        <v>-26.858937393016163</v>
      </c>
      <c r="KK467" s="473">
        <f t="shared" ref="KK467:KK481" si="1536">$JM467*IG467-$JG467*IA467/SUM($HY467:$IA467)</f>
        <v>-14.269575059816361</v>
      </c>
      <c r="KN467" s="544">
        <f t="shared" ref="KN467:KN481" si="1537">KM467+(KN466-KM466)</f>
        <v>4002</v>
      </c>
      <c r="KO467" s="541">
        <f t="shared" ref="KO467:KO481" si="1538">JM467/INDEX(JM:JM,MATCH(KN467,A:A,0))-1</f>
        <v>-2.780086924670877E-2</v>
      </c>
      <c r="KP467" s="546">
        <f t="shared" ref="KP467:KP481" si="1539">(IL467-INDEX(IL:IL,MATCH(KN467,A:A,0)))*IE467
+(IM467-IF(HN467=0,INDEX(IX:IX,MATCH(KN467,A:A,0)),INDEX(IM:IM,MATCH(KN467,A:A,0))))*IF467
+(IN467-INDEX(IN:IN,MATCH(KN467,A:A,0)))*IG467</f>
        <v>-85.263756999057819</v>
      </c>
      <c r="KQ467" s="546">
        <f t="shared" ref="KQ467:KQ481" si="1540">JD467-INDEX(JD:JD,MATCH(KN467,A:A,0))</f>
        <v>-157.73253457173314</v>
      </c>
      <c r="KR467" s="548">
        <f t="shared" ref="KR467:KR481" si="1541">KO467/(KP467/(BX467-INDEX(JD:JD,MATCH(KN467,A:A,0))))</f>
        <v>5.5336018233584543</v>
      </c>
      <c r="KS467" s="548">
        <f t="shared" ref="KS467:KS481" si="1542">KO467/(KQ467/(BX467-INDEX(JD:JD,MATCH(KN467,A:A,0))))</f>
        <v>2.9912388238572785</v>
      </c>
      <c r="KT467" s="473">
        <f t="shared" si="1339"/>
        <v>1050.27685337919</v>
      </c>
      <c r="KU467" s="663">
        <f t="shared" ref="KU467:KU481" si="1543">IF(D467="",0,IFERROR((JM467/KT467-1)/(JD467/BX467)+B467*10^-6,0))</f>
        <v>6.5174640975208993</v>
      </c>
      <c r="KV467" s="117"/>
    </row>
    <row r="468" spans="1:308" s="26" customFormat="1" ht="15" outlineLevel="1">
      <c r="A468" s="561">
        <f t="shared" si="1481"/>
        <v>4068</v>
      </c>
      <c r="B468" s="561">
        <f t="shared" ref="B468" si="1544">B467+1</f>
        <v>68</v>
      </c>
      <c r="C468" s="561">
        <f t="shared" ref="C468" si="1545">C467</f>
        <v>4</v>
      </c>
      <c r="D468" s="561" t="str">
        <f t="shared" si="1482"/>
        <v xml:space="preserve">500 CC, 0.9/1.9/2.9/3.9, -360 Lease, </v>
      </c>
      <c r="E468" s="475">
        <f>INDEX(Input!$1:$1048576,E$93,$C468*2+MIN($B468,2)+5)
+INDEX(Scenarios!E$121:E$200,MATCH($B468,Scenarios!$B$121:$B$200,0))</f>
        <v>1750</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0</v>
      </c>
      <c r="R468" s="478">
        <f>IFERROR(MAX(0,INDEX(Input!$1:$1048576,R$93,$C468*2+MIN($B468,2)+5)
+INDEX(Scenarios!R$121:R$200,MATCH($B468,Scenarios!$B$121:$B$200,0)),),"Market")</f>
        <v>9.0000000000000011E-3</v>
      </c>
      <c r="S468" s="478">
        <f>IFERROR(MAX(0,INDEX(Input!$1:$1048576,S$93,$C468*2+MIN($B468,2)+5)
+INDEX(Scenarios!S$121:S$200,MATCH($B468,Scenarios!$B$121:$B$200,0)),),"Market")</f>
        <v>9.0000000000000011E-3</v>
      </c>
      <c r="T468" s="478">
        <f>IFERROR(MAX(0,INDEX(Input!$1:$1048576,T$93,$C468*2+MIN($B468,2)+5)
+INDEX(Scenarios!T$121:T$200,MATCH($B468,Scenarios!$B$121:$B$200,0)),),"Market")</f>
        <v>9.0000000000000011E-3</v>
      </c>
      <c r="U468" s="478">
        <f>IFERROR(MAX(0,INDEX(Input!$1:$1048576,U$93,$C468*2+MIN($B468,2)+5)
+INDEX(Scenarios!U$121:U$200,MATCH($B468,Scenarios!$B$121:$B$200,0)),),"Market")</f>
        <v>9.0000000000000011E-3</v>
      </c>
      <c r="V468" s="478">
        <f>IFERROR(MAX(0,INDEX(Input!$1:$1048576,V$93,$C468*2+MIN($B468,2)+5)
+INDEX(Scenarios!V$121:V$200,MATCH($B468,Scenarios!$B$121:$B$200,0)),),"Market")</f>
        <v>2.8999999999999998E-2</v>
      </c>
      <c r="W468" s="863">
        <f>IFERROR(MAX(0,INDEX(Input!$1:$1048576,W$93,$C468*2+MIN($B468,2)+5)-0%,),"Market")</f>
        <v>3.9E-2</v>
      </c>
      <c r="X468" s="476" t="str">
        <f>INDEX(Input!$1:$1048576,X$93,$C468*2+MIN($B468,2)+5)</f>
        <v>Y</v>
      </c>
      <c r="Y468" s="475">
        <f>INDEX(Input!$1:$1048576,Y$93,$C468*2+MIN($B468,2)+5)
++INDEX(Scenarios!Y$121:Y$200,MATCH($B468,Scenarios!$B$121:$B$200,0))</f>
        <v>-2577</v>
      </c>
      <c r="Z468" s="477">
        <f>INDEX(Input!$1:$1048576,Z$93,$C468*2+MIN($B468,2)+5)
+INDEX(Scenarios!Z$121:Z$200,MATCH($B468,Scenarios!$B$121:$B$200,0))</f>
        <v>0</v>
      </c>
      <c r="AA468" s="475">
        <f>INDEX(Input!$1:$1048576,AA$93,$C468*2+MIN($B468,2)+5)</f>
        <v>0</v>
      </c>
      <c r="AB468" s="476">
        <f>INDEX(Input!$1:$1048576,AB$93,$C468*2+MIN($B468,2)+5)</f>
        <v>1</v>
      </c>
      <c r="AC468" s="475">
        <f>INDEX(Input!$1:$1048576,AC$93,$C468*2+MIN($B468,2)+5)
+INDEX(Scenarios!AC$121:AC$200,MATCH($B468,Scenarios!$B$121:$B$200,0))</f>
        <v>0</v>
      </c>
      <c r="AD468" s="476">
        <f>INDEX(Input!$1:$1048576,AD$93,$C468*2+MIN($B468,2)+5)</f>
        <v>0.35</v>
      </c>
      <c r="AE468" s="475">
        <f>INDEX(Input!$1:$1048576,AE$93,$C468*2+MIN($B468,2)+5)
+INDEX(Scenarios!AE$121:AE$200,MATCH($B468,Scenarios!$B$121:$B$200,0))</f>
        <v>0</v>
      </c>
      <c r="AF468" s="476">
        <f>INDEX(Input!$1:$1048576,AF$93,$C468*2+MIN($B468,2)+5)</f>
        <v>1</v>
      </c>
      <c r="AG468" s="475">
        <f>INDEX(Input!$1:$1048576,AG$93,$C468*2+MIN($B468,2)+5)
+INDEX(Scenarios!AG$121:AG$200,MATCH($B468,Scenarios!$B$121:$B$200,0))</f>
        <v>0</v>
      </c>
      <c r="AH468" s="476">
        <f>INDEX(Input!$1:$1048576,AH$93,$C468*2+MIN($B468,2)+5)</f>
        <v>1</v>
      </c>
      <c r="AI468" s="475">
        <f>INDEX(Input!$1:$1048576,AI$93,$C468*2+MIN($B468,2)+5)
+INDEX(Scenarios!AI$121:AI$200,MATCH($B468,Scenarios!$B$121:$B$200,0))</f>
        <v>0</v>
      </c>
      <c r="AJ468" s="476">
        <f>INDEX(Input!$1:$1048576,AJ$93,$C468*2+MIN($B468,2)+5)</f>
        <v>0.35</v>
      </c>
      <c r="AK468" s="150">
        <f>ROUND(INDEX(Input!$1:$1048576,AK$93,$C467*2+MIN($B468,1)+5)+(Y468-VLOOKUP($C468*1000+1,$A:$HH,Y$92,FALSE)),0)</f>
        <v>4232</v>
      </c>
      <c r="AL468" s="150">
        <f>ROUND(INDEX(Input!$1:$1048576,AL$93,$C467*2+MIN($B468,1)+5)-(Y468-VLOOKUP($C468*1000+1,$A:$HH,Y$92,FALSE))/36,0)</f>
        <v>4753</v>
      </c>
      <c r="AM468" s="32" t="str">
        <f t="shared" si="1483"/>
        <v>std/std/std/std</v>
      </c>
      <c r="AN468" s="32" t="str">
        <f t="shared" si="1484"/>
        <v>$0 + 0.9/0.9/0.9/2.9/3.9</v>
      </c>
      <c r="AO468" s="32" t="str">
        <f t="shared" si="1485"/>
        <v>0.9/0.9/0.9/2.9/3.9</v>
      </c>
      <c r="AP468" s="32" t="str">
        <f t="shared" si="1386"/>
        <v>0.9/1.9/2.9/3.9</v>
      </c>
      <c r="AQ468" s="536">
        <f t="shared" si="1486"/>
        <v>0.51240210968025046</v>
      </c>
      <c r="AR468" s="32"/>
      <c r="AS468" s="302"/>
      <c r="AT468" s="3">
        <f t="shared" ref="AT468" si="1546">AT467+1</f>
        <v>68</v>
      </c>
      <c r="AU468" s="41" t="s">
        <v>121</v>
      </c>
      <c r="AV468" s="41" t="s">
        <v>116</v>
      </c>
      <c r="AW468" s="41" t="str">
        <f>INDEX(Input!$1:$1048576,AW$93,$C468*2+6)</f>
        <v>Kia</v>
      </c>
      <c r="AX468" s="41" t="str">
        <f>INDEX(Input!$1:$1048576,AX$93,$C468*2+6)</f>
        <v>Kia-LR - R1</v>
      </c>
      <c r="AY468" s="41" t="str">
        <f>IF(LEN(D468)=0,"",INDEX(Input!$1:$1048576,AY$93,$C468*2+6))</f>
        <v>Compact Conventional/Sporty Car (43)</v>
      </c>
      <c r="AZ468" s="41" t="str">
        <f>INDEX(Input!$1:$1048576,AZ$93,$C468*2+6)</f>
        <v>Kia Forte</v>
      </c>
      <c r="BA468" s="3">
        <f>INDEX(Input!$1:$1048576,BA$93,$C468*2+6)</f>
        <v>2020</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19695</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387"/>
        <v>2060</v>
      </c>
      <c r="CJ468" s="16" t="str">
        <f>INDEX(Input!$1:$1048576,CJ$93,$C468*2+6)</f>
        <v>N</v>
      </c>
      <c r="CK468" s="1" t="str">
        <f t="shared" si="1388"/>
        <v>Market</v>
      </c>
      <c r="CL468" s="1" t="str">
        <f t="shared" si="1389"/>
        <v>Market</v>
      </c>
      <c r="CM468" s="1" t="str">
        <f t="shared" si="1390"/>
        <v>Market</v>
      </c>
      <c r="CN468" s="1" t="str">
        <f t="shared" si="1391"/>
        <v>Market</v>
      </c>
      <c r="CO468" s="1" t="str">
        <f t="shared" si="1392"/>
        <v>Market</v>
      </c>
      <c r="CP468" s="304">
        <f t="shared" si="1393"/>
        <v>0</v>
      </c>
      <c r="CQ468" s="1">
        <f t="shared" si="1487"/>
        <v>9.0000000000000011E-3</v>
      </c>
      <c r="CR468" s="1">
        <f t="shared" si="1488"/>
        <v>9.0000000000000011E-3</v>
      </c>
      <c r="CS468" s="1">
        <f t="shared" si="1489"/>
        <v>9.0000000000000011E-3</v>
      </c>
      <c r="CT468" s="1">
        <f t="shared" si="1490"/>
        <v>2.8999999999999998E-2</v>
      </c>
      <c r="CU468" s="1">
        <f t="shared" si="1491"/>
        <v>3.9E-2</v>
      </c>
      <c r="CV468" s="304">
        <f t="shared" si="1399"/>
        <v>-2577</v>
      </c>
      <c r="CW468" s="20" t="s">
        <v>122</v>
      </c>
      <c r="CX468" s="20" t="s">
        <v>122</v>
      </c>
      <c r="CY468" s="20" t="s">
        <v>122</v>
      </c>
      <c r="CZ468" s="20" t="s">
        <v>122</v>
      </c>
      <c r="DA468" s="20" t="s">
        <v>122</v>
      </c>
      <c r="DB468" s="503">
        <f t="shared" si="1400"/>
        <v>0</v>
      </c>
      <c r="DC468" s="127">
        <v>0</v>
      </c>
      <c r="DD468" s="127">
        <v>0</v>
      </c>
      <c r="DE468" s="127">
        <v>0</v>
      </c>
      <c r="DF468" s="127">
        <v>0</v>
      </c>
      <c r="DG468" s="127">
        <v>0</v>
      </c>
      <c r="DH468" s="127">
        <v>0</v>
      </c>
      <c r="DI468" s="127">
        <v>0</v>
      </c>
      <c r="DJ468" s="127">
        <v>0</v>
      </c>
      <c r="DK468" s="127">
        <v>0</v>
      </c>
      <c r="DL468" s="127">
        <v>0</v>
      </c>
      <c r="DM468" s="304">
        <f>INDEX(Input!$1:$1048576,DM$93,$C468*2+6)</f>
        <v>20731.578947368424</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4.7666838547041859E-2</v>
      </c>
      <c r="DZ468" s="7">
        <v>0</v>
      </c>
      <c r="EA468" s="7">
        <v>0.85258696932967226</v>
      </c>
      <c r="EB468" s="7">
        <v>0</v>
      </c>
      <c r="EC468" s="7">
        <v>0</v>
      </c>
      <c r="ED468" s="7">
        <v>0</v>
      </c>
      <c r="EE468" s="7">
        <v>0</v>
      </c>
      <c r="EF468" s="7">
        <v>0</v>
      </c>
      <c r="EG468" s="7">
        <v>0</v>
      </c>
      <c r="EH468" s="7">
        <v>1.5369838298537551E-2</v>
      </c>
      <c r="EI468" s="7">
        <v>2.3080354981810582E-2</v>
      </c>
      <c r="EJ468" s="7">
        <v>0.20340627184704138</v>
      </c>
      <c r="EK468" s="7">
        <v>0.66981315194561142</v>
      </c>
      <c r="EL468" s="7">
        <v>8.8330382926999212E-2</v>
      </c>
      <c r="EM468" s="7">
        <v>1.8379249848881781E-2</v>
      </c>
      <c r="EN468" s="7">
        <v>4.6363318761641244E-2</v>
      </c>
      <c r="EO468" s="7">
        <v>0.57144065833732383</v>
      </c>
      <c r="EP468" s="7">
        <v>0.26809212589308012</v>
      </c>
      <c r="EQ468" s="7">
        <v>6.8664358312910304E-2</v>
      </c>
      <c r="ER468" s="7">
        <v>4.5439538695045148E-2</v>
      </c>
      <c r="ES468" s="7">
        <v>8.1366942274404094E-2</v>
      </c>
      <c r="ET468" s="7">
        <v>9.9746192123285823E-2</v>
      </c>
      <c r="EU468" s="6">
        <v>2100</v>
      </c>
      <c r="EV468" s="6">
        <v>0</v>
      </c>
      <c r="EW468" s="6">
        <v>2100</v>
      </c>
      <c r="EX468" s="6">
        <v>0</v>
      </c>
      <c r="EY468" s="6">
        <v>2167.6406497454545</v>
      </c>
      <c r="EZ468" s="6">
        <v>-606</v>
      </c>
      <c r="FA468" s="6">
        <v>0</v>
      </c>
      <c r="FB468" s="6">
        <v>0</v>
      </c>
      <c r="FC468" s="6">
        <v>0</v>
      </c>
      <c r="FD468" s="6">
        <v>0</v>
      </c>
      <c r="FE468" s="6">
        <v>0</v>
      </c>
      <c r="FF468" s="6">
        <v>0</v>
      </c>
      <c r="FG468" s="6">
        <v>0</v>
      </c>
      <c r="FH468" s="6">
        <v>925.40963085608155</v>
      </c>
      <c r="FI468" s="6">
        <v>1232.1164465304225</v>
      </c>
      <c r="FJ468" s="6">
        <v>1709.9775738488456</v>
      </c>
      <c r="FK468" s="6">
        <v>1266.3227157028182</v>
      </c>
      <c r="FL468" s="6">
        <v>893.91433563489284</v>
      </c>
      <c r="FM468" s="6">
        <v>1317.6406497454543</v>
      </c>
      <c r="FN468" s="6">
        <v>0</v>
      </c>
      <c r="FO468" s="6">
        <v>0</v>
      </c>
      <c r="FP468" s="6">
        <v>0</v>
      </c>
      <c r="FQ468" s="6">
        <v>0</v>
      </c>
      <c r="FR468" s="6">
        <v>0</v>
      </c>
      <c r="FS468" s="6">
        <v>0</v>
      </c>
      <c r="FT468" s="7">
        <v>0.90025380787671416</v>
      </c>
      <c r="FU468" s="7">
        <v>1.8379249848881781E-2</v>
      </c>
      <c r="FV468" s="7">
        <v>8.1366942274404094E-2</v>
      </c>
      <c r="FW468" s="6">
        <v>2100</v>
      </c>
      <c r="FX468" s="6">
        <v>2167.6406497454545</v>
      </c>
      <c r="FY468" s="6">
        <v>-606</v>
      </c>
      <c r="FZ468" s="6">
        <v>1695.8504614767719</v>
      </c>
      <c r="GA468" s="6">
        <v>1881.0642386070749</v>
      </c>
      <c r="GB468" s="6">
        <v>17813.935761392924</v>
      </c>
      <c r="GC468" s="7">
        <v>8.1891069685915169E-2</v>
      </c>
      <c r="GD468" s="7">
        <v>8.3399741126735982E-2</v>
      </c>
      <c r="GE468" s="7"/>
      <c r="GF468" s="7"/>
      <c r="GG468" s="7">
        <v>1.8422905533010726E-2</v>
      </c>
      <c r="GH468" s="42">
        <v>1.9590288049542819</v>
      </c>
      <c r="GI468" s="6">
        <v>11934.51518848203</v>
      </c>
      <c r="GJ468" s="14">
        <v>0.51074630601039561</v>
      </c>
      <c r="GK468" s="14">
        <v>0.5082951978616097</v>
      </c>
      <c r="GL468" s="14">
        <v>0.48925369398960433</v>
      </c>
      <c r="GM468" s="14">
        <v>0.4917048021383903</v>
      </c>
      <c r="GO468" s="5">
        <v>338.16872463277008</v>
      </c>
      <c r="GP468" s="5">
        <v>298.1047308538179</v>
      </c>
      <c r="GQ468" s="5">
        <v>527.27910984145694</v>
      </c>
      <c r="GR468" s="5">
        <v>404.20319246551543</v>
      </c>
      <c r="GS468" s="5">
        <v>334.50205195691484</v>
      </c>
      <c r="GT468" s="5">
        <v>289.18266033348181</v>
      </c>
      <c r="GU468" s="5">
        <v>254.29573314828914</v>
      </c>
      <c r="GV468" s="39" t="s">
        <v>392</v>
      </c>
      <c r="GW468" s="5">
        <v>475.29643226912253</v>
      </c>
      <c r="GX468" s="5">
        <v>358.07100736083845</v>
      </c>
      <c r="GY468" s="5">
        <v>287.73954748358943</v>
      </c>
      <c r="GZ468" s="5">
        <v>255.64660634518972</v>
      </c>
      <c r="HA468" s="5">
        <v>229.89195052129477</v>
      </c>
      <c r="HB468" s="39">
        <v>265.63956708467373</v>
      </c>
      <c r="HC468" s="5">
        <v>309.62812499999995</v>
      </c>
      <c r="HD468" s="5">
        <v>254.42143640350872</v>
      </c>
      <c r="HE468" s="5">
        <v>254.26724443319836</v>
      </c>
      <c r="HF468" s="5">
        <v>231.71692434210524</v>
      </c>
      <c r="HG468" s="5">
        <v>219.1899342105263</v>
      </c>
      <c r="HH468" s="39">
        <v>253.77977009287994</v>
      </c>
      <c r="HI468" s="16"/>
      <c r="HJ468" s="19" t="str">
        <f t="shared" ref="HJ468:HK468" si="1547">HJ467</f>
        <v>On</v>
      </c>
      <c r="HK468" s="1" t="str">
        <f t="shared" si="1547"/>
        <v>On</v>
      </c>
      <c r="HL468" s="16"/>
      <c r="HM468" s="639">
        <f t="shared" si="1493"/>
        <v>6.6115095157691428E-2</v>
      </c>
      <c r="HN468" s="639">
        <f t="shared" si="1494"/>
        <v>2.3720927871164412E-3</v>
      </c>
      <c r="HO468" s="639">
        <f t="shared" si="1495"/>
        <v>7.7231033444443466E-3</v>
      </c>
      <c r="HP468" s="644">
        <f>(FT468*$GD468-HM468)/$JF468*INDEX(Input!$1:$1048576,$JG$93,$C468*2+6)</f>
        <v>218.70399787713188</v>
      </c>
      <c r="HQ468" s="644">
        <f>(FU468*$GD468-HN468)/$JF468*INDEX(Input!$1:$1048576,$JG$93,$C468*2+6)</f>
        <v>-20.47229298910133</v>
      </c>
      <c r="HR468" s="644">
        <f>(FV468*$GD468-HO468)/$JF468*INDEX(Input!$1:$1048576,$JG$93,$C468*2+6)</f>
        <v>-22.859231934798476</v>
      </c>
      <c r="HS468" s="644">
        <f t="shared" si="1496"/>
        <v>-47.229049253702001</v>
      </c>
      <c r="HT468" s="644">
        <f t="shared" si="1497"/>
        <v>-9.1441872706515372</v>
      </c>
      <c r="HU468" s="644">
        <f t="shared" si="1498"/>
        <v>3.7938308500740128</v>
      </c>
      <c r="HV468" s="648">
        <f t="shared" si="1499"/>
        <v>0</v>
      </c>
      <c r="HW468" s="648">
        <f t="shared" si="1500"/>
        <v>0</v>
      </c>
      <c r="HX468" s="648">
        <f t="shared" si="1501"/>
        <v>0</v>
      </c>
      <c r="HY468" s="644">
        <f>INDEX(Input!$1:$1048576,HY$93,$C468*2+6)*INDEX(Input!$1:$1048576,$JG$93,$C468*2+6)</f>
        <v>844</v>
      </c>
      <c r="HZ468" s="644">
        <f>INDEX(Input!$1:$1048576,HZ$93,$C468*2+6)*INDEX(Input!$1:$1048576,$JG$93,$C468*2+6)</f>
        <v>865</v>
      </c>
      <c r="IA468" s="644">
        <f>INDEX(Input!$1:$1048576,IA$93,$C468*2+6)*INDEX(Input!$1:$1048576,$JG$93,$C468*2+6)</f>
        <v>150</v>
      </c>
      <c r="IB468" s="644">
        <f t="shared" si="1502"/>
        <v>1015.4749486234298</v>
      </c>
      <c r="IC468" s="644">
        <f t="shared" si="1503"/>
        <v>835.38351974024715</v>
      </c>
      <c r="ID468" s="644">
        <f>IF(AND(INDEX(Input!$1:$1048576,IA$93,$C468*2+7)="TOS",Y468&lt;=INDEX(Y:Y,MATCH(C468*1000+2,A:A))),0,1)*MAX(IA468+HR468+HU468+HX468,0%)</f>
        <v>130.93459891527553</v>
      </c>
      <c r="IE468" s="128">
        <f t="shared" si="1504"/>
        <v>0.51240210968025046</v>
      </c>
      <c r="IF468" s="128">
        <f t="shared" si="1505"/>
        <v>0.42152913618133098</v>
      </c>
      <c r="IG468" s="128">
        <f t="shared" si="1506"/>
        <v>6.6068754138418576E-2</v>
      </c>
      <c r="IH468" s="21"/>
      <c r="II468" s="19">
        <f t="shared" si="1507"/>
        <v>1199.9999999999998</v>
      </c>
      <c r="IJ468" s="19">
        <f t="shared" si="1508"/>
        <v>2195.4782357510435</v>
      </c>
      <c r="IK468" s="19">
        <f t="shared" si="1509"/>
        <v>-571</v>
      </c>
      <c r="IL468" s="19">
        <f t="shared" si="1510"/>
        <v>900.00000000000023</v>
      </c>
      <c r="IM468" s="19">
        <f t="shared" si="1511"/>
        <v>-27.837586005588946</v>
      </c>
      <c r="IN468" s="19">
        <f t="shared" si="1512"/>
        <v>-35</v>
      </c>
      <c r="IO468" s="39">
        <f t="shared" si="1513"/>
        <v>0</v>
      </c>
      <c r="IP468" s="39">
        <f t="shared" si="1514"/>
        <v>0</v>
      </c>
      <c r="IQ468" s="39">
        <f t="shared" si="1515"/>
        <v>0</v>
      </c>
      <c r="IR468" s="39">
        <v>0</v>
      </c>
      <c r="IS468" s="39">
        <v>0</v>
      </c>
      <c r="IT468" s="39">
        <v>0</v>
      </c>
      <c r="IU468" s="39">
        <v>0</v>
      </c>
      <c r="IV468" s="39">
        <v>0</v>
      </c>
      <c r="IW468" s="39">
        <v>0</v>
      </c>
      <c r="IX468" s="39">
        <f>INDEX(Input!$1:$1048576,IX$93,$C468*2+6)+INDEX(Input!$1:$1048576,IX$94,$C468*2+6)</f>
        <v>1600</v>
      </c>
      <c r="IY468" s="39">
        <f>INDEX(Input!$1:$1048576,IY$93,$C468*2+6)+INDEX(Input!$1:$1048576,IY$94,$C468*2+6)</f>
        <v>2503.549291639752</v>
      </c>
      <c r="IZ468" s="39">
        <f>INDEX(Input!$1:$1048576,IZ$93,$C468*2+6)+INDEX(Input!$1:$1048576,IZ$94,$C468*2+6)</f>
        <v>5413.7109265464023</v>
      </c>
      <c r="JA468" s="19">
        <f t="shared" si="1516"/>
        <v>2500</v>
      </c>
      <c r="JB468" s="19">
        <f t="shared" si="1517"/>
        <v>2475.7117056341631</v>
      </c>
      <c r="JC468" s="19">
        <f t="shared" si="1518"/>
        <v>5378.7109265464023</v>
      </c>
      <c r="JD468" s="19">
        <f t="shared" si="1519"/>
        <v>2679.9546206982241</v>
      </c>
      <c r="JE468" s="21"/>
      <c r="JF468" s="1">
        <f t="shared" si="1520"/>
        <v>7.6210291289252219E-2</v>
      </c>
      <c r="JG468" s="15">
        <f>INDEX(Input!$1:$1048576,JG$93,$C468*2+6)/(1+VLOOKUP(C468*1000+INDEX(Input!$1:$1048576,JG$93+1,$C468*2+6),$A:$KK,$JK$92,FALSE))</f>
        <v>1859</v>
      </c>
      <c r="JH468" s="1">
        <f t="shared" si="1521"/>
        <v>9.433699459560628E-2</v>
      </c>
      <c r="JI468" s="1">
        <f t="shared" si="1522"/>
        <v>-2.8283703966799099E-2</v>
      </c>
      <c r="JJ468" s="1">
        <f t="shared" si="1523"/>
        <v>0</v>
      </c>
      <c r="JK468" s="1">
        <f t="shared" si="1524"/>
        <v>6.6053290628807187E-2</v>
      </c>
      <c r="JL468" s="15">
        <f t="shared" si="1525"/>
        <v>122.79306727895256</v>
      </c>
      <c r="JM468" s="15">
        <f t="shared" si="1526"/>
        <v>1981.7930672789525</v>
      </c>
      <c r="JN468" s="21"/>
      <c r="JO468" s="19">
        <f>INDEX(Input!$1:$1048576,JO$93,$C468*2+6)</f>
        <v>5908.5</v>
      </c>
      <c r="JP468" s="19">
        <f>INDEX(Input!$1:$1048576,JP$93,$C468*2+6)</f>
        <v>2328.1478086338602</v>
      </c>
      <c r="JQ468" s="39">
        <f t="shared" si="1527"/>
        <v>3228.5453793017759</v>
      </c>
      <c r="JR468" s="39">
        <f t="shared" si="1528"/>
        <v>351.80681206436384</v>
      </c>
      <c r="JS468" s="39">
        <f t="shared" si="1529"/>
        <v>5.3111154879219358</v>
      </c>
      <c r="JT468" s="39">
        <f t="shared" si="1530"/>
        <v>0.98308871167158896</v>
      </c>
      <c r="JU468" s="385">
        <f>(JQ468*JM468-INDEX(Input!$1:$1048576,Input!A$18,$C468*2+6)*JL468*INDEX(Input!$1:$1048576,Input!A$19,$C468*2+6))/1000000</f>
        <v>6.3983088500957557</v>
      </c>
      <c r="JV468" s="39">
        <f t="shared" si="1531"/>
        <v>-0.25756587365389816</v>
      </c>
      <c r="JW468" s="1">
        <f t="shared" si="1532"/>
        <v>-3.8697524269025882E-2</v>
      </c>
      <c r="JX468" s="19">
        <f t="shared" si="1533"/>
        <v>8006.0603864408558</v>
      </c>
      <c r="JZ468" s="341"/>
      <c r="KA468" s="342"/>
      <c r="KB468" s="469">
        <f t="shared" ref="KB468:KB481" si="1548">KB467</f>
        <v>2.3451977905499271</v>
      </c>
      <c r="KI468" s="473">
        <f t="shared" si="1534"/>
        <v>171.47494862342978</v>
      </c>
      <c r="KJ468" s="473">
        <f t="shared" si="1535"/>
        <v>-29.616480259752734</v>
      </c>
      <c r="KK468" s="473">
        <f t="shared" si="1536"/>
        <v>-19.065401084724471</v>
      </c>
      <c r="KN468" s="544">
        <f t="shared" si="1537"/>
        <v>4002</v>
      </c>
      <c r="KO468" s="541">
        <f t="shared" si="1538"/>
        <v>-7.9327065980036027E-3</v>
      </c>
      <c r="KP468" s="546">
        <f t="shared" si="1539"/>
        <v>52.027777470648175</v>
      </c>
      <c r="KQ468" s="546">
        <f t="shared" si="1540"/>
        <v>-43.78894089977166</v>
      </c>
      <c r="KR468" s="548">
        <f t="shared" si="1541"/>
        <v>-2.587617700972793</v>
      </c>
      <c r="KS468" s="548">
        <f t="shared" si="1542"/>
        <v>3.0744748596106084</v>
      </c>
      <c r="KT468" s="473">
        <f t="shared" ref="KT468:KT481" si="1549">KT467</f>
        <v>1050.27685337919</v>
      </c>
      <c r="KU468" s="663">
        <f t="shared" si="1543"/>
        <v>6.5180802019556427</v>
      </c>
      <c r="KV468" s="117"/>
    </row>
    <row r="469" spans="1:308" s="26" customFormat="1" ht="15" outlineLevel="1">
      <c r="A469" s="561">
        <f t="shared" ref="A469:A500" si="1550">C469*1000+B469</f>
        <v>4069</v>
      </c>
      <c r="B469" s="561">
        <f t="shared" ref="B469:B500" si="1551">B468+1</f>
        <v>69</v>
      </c>
      <c r="C469" s="561">
        <f t="shared" ref="C469:C500" si="1552">C468</f>
        <v>4</v>
      </c>
      <c r="D469" s="561" t="str">
        <f t="shared" si="1413"/>
        <v xml:space="preserve">500 CC, 180 Lease, </v>
      </c>
      <c r="E469" s="475">
        <f>INDEX(Input!$1:$1048576,E$93,$C469*2+MIN($B469,2)+5)
+INDEX(Scenarios!E$121:E$200,MATCH($B469,Scenarios!$B$121:$B$200,0))</f>
        <v>1750</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1.8999999999999996E-2</v>
      </c>
      <c r="W469" s="863">
        <f>IFERROR(MAX(0,INDEX(Input!$1:$1048576,W$93,$C469*2+MIN($B469,2)+5)-0%,),"Market")</f>
        <v>3.9E-2</v>
      </c>
      <c r="X469" s="476" t="str">
        <f>INDEX(Input!$1:$1048576,X$93,$C469*2+MIN($B469,2)+5)</f>
        <v>Y</v>
      </c>
      <c r="Y469" s="475">
        <f>INDEX(Input!$1:$1048576,Y$93,$C469*2+MIN($B469,2)+5)
++INDEX(Scenarios!Y$121:Y$200,MATCH($B469,Scenarios!$B$121:$B$200,0))</f>
        <v>-2037</v>
      </c>
      <c r="Z469" s="477">
        <f>INDEX(Input!$1:$1048576,Z$93,$C469*2+MIN($B469,2)+5)
+INDEX(Scenarios!Z$121:Z$200,MATCH($B469,Scenarios!$B$121:$B$200,0))</f>
        <v>0</v>
      </c>
      <c r="AA469" s="475">
        <f>INDEX(Input!$1:$1048576,AA$93,$C469*2+MIN($B469,2)+5)</f>
        <v>0</v>
      </c>
      <c r="AB469" s="476">
        <f>INDEX(Input!$1:$1048576,AB$93,$C469*2+MIN($B469,2)+5)</f>
        <v>1</v>
      </c>
      <c r="AC469" s="475">
        <f>INDEX(Input!$1:$1048576,AC$93,$C469*2+MIN($B469,2)+5)
+INDEX(Scenarios!AC$121:AC$200,MATCH($B469,Scenarios!$B$121:$B$200,0))</f>
        <v>0</v>
      </c>
      <c r="AD469" s="476">
        <f>INDEX(Input!$1:$1048576,AD$93,$C469*2+MIN($B469,2)+5)</f>
        <v>0.35</v>
      </c>
      <c r="AE469" s="475">
        <f>INDEX(Input!$1:$1048576,AE$93,$C469*2+MIN($B469,2)+5)
+INDEX(Scenarios!AE$121:AE$200,MATCH($B469,Scenarios!$B$121:$B$200,0))</f>
        <v>0</v>
      </c>
      <c r="AF469" s="476">
        <f>INDEX(Input!$1:$1048576,AF$93,$C469*2+MIN($B469,2)+5)</f>
        <v>1</v>
      </c>
      <c r="AG469" s="475">
        <f>INDEX(Input!$1:$1048576,AG$93,$C469*2+MIN($B469,2)+5)
+INDEX(Scenarios!AG$121:AG$200,MATCH($B469,Scenarios!$B$121:$B$200,0))</f>
        <v>0</v>
      </c>
      <c r="AH469" s="476">
        <f>INDEX(Input!$1:$1048576,AH$93,$C469*2+MIN($B469,2)+5)</f>
        <v>1</v>
      </c>
      <c r="AI469" s="475">
        <f>INDEX(Input!$1:$1048576,AI$93,$C469*2+MIN($B469,2)+5)
+INDEX(Scenarios!AI$121:AI$200,MATCH($B469,Scenarios!$B$121:$B$200,0))</f>
        <v>0</v>
      </c>
      <c r="AJ469" s="476">
        <f>INDEX(Input!$1:$1048576,AJ$93,$C469*2+MIN($B469,2)+5)</f>
        <v>0.35</v>
      </c>
      <c r="AK469" s="150">
        <f>ROUND(INDEX(Input!$1:$1048576,AK$93,$C468*2+MIN($B469,1)+5)+(Y469-VLOOKUP($C469*1000+1,$A:$HH,Y$92,FALSE)),0)</f>
        <v>4772</v>
      </c>
      <c r="AL469" s="150">
        <f>ROUND(INDEX(Input!$1:$1048576,AL$93,$C468*2+MIN($B469,1)+5)-(Y469-VLOOKUP($C469*1000+1,$A:$HH,Y$92,FALSE))/36,0)</f>
        <v>4738</v>
      </c>
      <c r="AM469" s="32" t="str">
        <f t="shared" ref="AM469:AM500" si="1553">IF(K469="market","std",ROUND(K469*1000,0)/10)&amp;"/"&amp;IF(L469="market","std",ROUND(L469*1000,0)/10)&amp;"/"&amp;IF(M469="market","std",ROUND(M469*1000,0)/10)&amp;"/"&amp;IF(N469="market","std",ROUND(N469*1000,0)/10)&amp;IF(P469="N","","/"&amp;IF(O469="market","std",ROUND(O469*1000,0)/10))</f>
        <v>std/std/std/std</v>
      </c>
      <c r="AN469" s="32" t="str">
        <f t="shared" ref="AN469:AN500" si="1554">"$"&amp;ROUND(Q469,0)&amp;" + "&amp;IF(S469="market","std",ROUND(S469*1000,0)/10)&amp;"/"&amp;IF(T469="market","std",ROUND(T469*1000,0)/10)&amp;"/"&amp;IF(U469="market","std",ROUND(U469*1000,0)/10)&amp;"/"&amp;IF(V469="market","std",ROUND(V469*1000,0)/10)&amp;IF(X469="N","","/"&amp;IF(W469="market","std",ROUND(W469*1000,0)/10))</f>
        <v>$0 + 0/0/0/1.9/3.9</v>
      </c>
      <c r="AO469" s="32" t="str">
        <f t="shared" ref="AO469:AO500" si="1555">IF(S469="market","std",ROUND(S469*1000,0)/10)&amp;"/"&amp;IF(T469="market","std",ROUND(T469*1000,0)/10)&amp;"/"&amp;IF(U469="market","std",ROUND(U469*1000,0)/10)&amp;"/"&amp;IF(V469="market","std",ROUND(V469*1000,0)/10)&amp;IF(X469="N","","/"&amp;IF(W469="market","std",ROUND(W469*1000,0)/10))</f>
        <v>0/0/0/1.9/3.9</v>
      </c>
      <c r="AP469" s="32" t="str">
        <f t="shared" si="1386"/>
        <v>0/0.9/1.9/3.9</v>
      </c>
      <c r="AQ469" s="536">
        <f t="shared" si="1379"/>
        <v>0.47774164490897753</v>
      </c>
      <c r="AR469" s="32"/>
      <c r="AS469" s="302"/>
      <c r="AT469" s="3">
        <f t="shared" ref="AT469:AT500" si="1556">AT468+1</f>
        <v>69</v>
      </c>
      <c r="AU469" s="41" t="s">
        <v>121</v>
      </c>
      <c r="AV469" s="41" t="s">
        <v>116</v>
      </c>
      <c r="AW469" s="41" t="str">
        <f>INDEX(Input!$1:$1048576,AW$93,$C469*2+6)</f>
        <v>Kia</v>
      </c>
      <c r="AX469" s="41" t="str">
        <f>INDEX(Input!$1:$1048576,AX$93,$C469*2+6)</f>
        <v>Kia-LR - R1</v>
      </c>
      <c r="AY469" s="41" t="str">
        <f>IF(LEN(D469)=0,"",INDEX(Input!$1:$1048576,AY$93,$C469*2+6))</f>
        <v>Compact Conventional/Sporty Car (43)</v>
      </c>
      <c r="AZ469" s="41" t="str">
        <f>INDEX(Input!$1:$1048576,AZ$93,$C469*2+6)</f>
        <v>Kia Forte</v>
      </c>
      <c r="BA469" s="3">
        <f>INDEX(Input!$1:$1048576,BA$93,$C469*2+6)</f>
        <v>2020</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19695</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387"/>
        <v>2060</v>
      </c>
      <c r="CJ469" s="16" t="str">
        <f>INDEX(Input!$1:$1048576,CJ$93,$C469*2+6)</f>
        <v>N</v>
      </c>
      <c r="CK469" s="1" t="str">
        <f t="shared" si="1388"/>
        <v>Market</v>
      </c>
      <c r="CL469" s="1" t="str">
        <f t="shared" si="1389"/>
        <v>Market</v>
      </c>
      <c r="CM469" s="1" t="str">
        <f t="shared" si="1390"/>
        <v>Market</v>
      </c>
      <c r="CN469" s="1" t="str">
        <f t="shared" si="1391"/>
        <v>Market</v>
      </c>
      <c r="CO469" s="1" t="str">
        <f t="shared" si="1392"/>
        <v>Market</v>
      </c>
      <c r="CP469" s="304">
        <f t="shared" si="1393"/>
        <v>0</v>
      </c>
      <c r="CQ469" s="1">
        <f t="shared" si="1394"/>
        <v>0</v>
      </c>
      <c r="CR469" s="1">
        <f t="shared" si="1395"/>
        <v>0</v>
      </c>
      <c r="CS469" s="1">
        <f t="shared" si="1396"/>
        <v>0</v>
      </c>
      <c r="CT469" s="1">
        <f t="shared" si="1397"/>
        <v>1.8999999999999996E-2</v>
      </c>
      <c r="CU469" s="1">
        <f t="shared" si="1398"/>
        <v>3.9E-2</v>
      </c>
      <c r="CV469" s="304">
        <f t="shared" si="1399"/>
        <v>-2037</v>
      </c>
      <c r="CW469" s="20" t="s">
        <v>122</v>
      </c>
      <c r="CX469" s="20" t="s">
        <v>122</v>
      </c>
      <c r="CY469" s="20" t="s">
        <v>122</v>
      </c>
      <c r="CZ469" s="20" t="s">
        <v>122</v>
      </c>
      <c r="DA469" s="20" t="s">
        <v>122</v>
      </c>
      <c r="DB469" s="503">
        <f t="shared" si="1400"/>
        <v>0</v>
      </c>
      <c r="DC469" s="127">
        <v>0</v>
      </c>
      <c r="DD469" s="127">
        <v>0</v>
      </c>
      <c r="DE469" s="127">
        <v>0</v>
      </c>
      <c r="DF469" s="127">
        <v>0</v>
      </c>
      <c r="DG469" s="127">
        <v>0</v>
      </c>
      <c r="DH469" s="127">
        <v>0</v>
      </c>
      <c r="DI469" s="127">
        <v>0</v>
      </c>
      <c r="DJ469" s="127">
        <v>0</v>
      </c>
      <c r="DK469" s="127">
        <v>0</v>
      </c>
      <c r="DL469" s="127">
        <v>0</v>
      </c>
      <c r="DM469" s="304">
        <f>INDEX(Input!$1:$1048576,DM$93,$C469*2+6)</f>
        <v>20731.578947368424</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4.6700212537936915E-2</v>
      </c>
      <c r="DZ469" s="7">
        <v>0</v>
      </c>
      <c r="EA469" s="7">
        <v>0.83569267464681363</v>
      </c>
      <c r="EB469" s="7">
        <v>0</v>
      </c>
      <c r="EC469" s="7">
        <v>0</v>
      </c>
      <c r="ED469" s="7">
        <v>0</v>
      </c>
      <c r="EE469" s="7">
        <v>0</v>
      </c>
      <c r="EF469" s="7">
        <v>0</v>
      </c>
      <c r="EG469" s="7">
        <v>0</v>
      </c>
      <c r="EH469" s="7">
        <v>1.2272982828376277E-2</v>
      </c>
      <c r="EI469" s="7">
        <v>1.970431180061993E-2</v>
      </c>
      <c r="EJ469" s="7">
        <v>0.18506530013795239</v>
      </c>
      <c r="EK469" s="7">
        <v>0.72481140705493263</v>
      </c>
      <c r="EL469" s="7">
        <v>5.8145998178118642E-2</v>
      </c>
      <c r="EM469" s="7">
        <v>2.7347545290181192E-2</v>
      </c>
      <c r="EN469" s="7">
        <v>4.719619115931277E-2</v>
      </c>
      <c r="EO469" s="7">
        <v>0.57025146905942814</v>
      </c>
      <c r="EP469" s="7">
        <v>0.27027811484326475</v>
      </c>
      <c r="EQ469" s="7">
        <v>6.7502489786382361E-2</v>
      </c>
      <c r="ER469" s="7">
        <v>4.4771735151611779E-2</v>
      </c>
      <c r="ES469" s="7">
        <v>9.0259567525068321E-2</v>
      </c>
      <c r="ET469" s="7">
        <v>0.11760711281524946</v>
      </c>
      <c r="EU469" s="6">
        <v>2100</v>
      </c>
      <c r="EV469" s="6">
        <v>0</v>
      </c>
      <c r="EW469" s="6">
        <v>2100</v>
      </c>
      <c r="EX469" s="6">
        <v>0</v>
      </c>
      <c r="EY469" s="6">
        <v>2595.7640850143516</v>
      </c>
      <c r="EZ469" s="6">
        <v>-66</v>
      </c>
      <c r="FA469" s="6">
        <v>0</v>
      </c>
      <c r="FB469" s="6">
        <v>0</v>
      </c>
      <c r="FC469" s="6">
        <v>0</v>
      </c>
      <c r="FD469" s="6">
        <v>0</v>
      </c>
      <c r="FE469" s="6">
        <v>0</v>
      </c>
      <c r="FF469" s="6">
        <v>0</v>
      </c>
      <c r="FG469" s="6">
        <v>0</v>
      </c>
      <c r="FH469" s="6">
        <v>1153.241079376053</v>
      </c>
      <c r="FI469" s="6">
        <v>1531.4299904380632</v>
      </c>
      <c r="FJ469" s="6">
        <v>2070.7205842538233</v>
      </c>
      <c r="FK469" s="6">
        <v>1746.9903521590436</v>
      </c>
      <c r="FL469" s="6">
        <v>893.91433563489363</v>
      </c>
      <c r="FM469" s="6">
        <v>1745.7640850143518</v>
      </c>
      <c r="FN469" s="6">
        <v>0</v>
      </c>
      <c r="FO469" s="6">
        <v>0</v>
      </c>
      <c r="FP469" s="6">
        <v>0</v>
      </c>
      <c r="FQ469" s="6">
        <v>0</v>
      </c>
      <c r="FR469" s="6">
        <v>0</v>
      </c>
      <c r="FS469" s="6">
        <v>0</v>
      </c>
      <c r="FT469" s="7">
        <v>0.88239288718475051</v>
      </c>
      <c r="FU469" s="7">
        <v>2.7347545290181192E-2</v>
      </c>
      <c r="FV469" s="7">
        <v>9.0259567525068321E-2</v>
      </c>
      <c r="FW469" s="6">
        <v>2100</v>
      </c>
      <c r="FX469" s="6">
        <v>2595.7640850143516</v>
      </c>
      <c r="FY469" s="6">
        <v>-66</v>
      </c>
      <c r="FZ469" s="6">
        <v>1695.8504614767719</v>
      </c>
      <c r="GA469" s="6">
        <v>1918.0557075088775</v>
      </c>
      <c r="GB469" s="6">
        <v>17776.944292491124</v>
      </c>
      <c r="GC469" s="7">
        <v>8.1891069685915169E-2</v>
      </c>
      <c r="GD469" s="7">
        <v>8.4110965586234418E-2</v>
      </c>
      <c r="GE469" s="7"/>
      <c r="GF469" s="7"/>
      <c r="GG469" s="7">
        <v>2.7107911874071657E-2</v>
      </c>
      <c r="GH469" s="42">
        <v>2.4026900079699351</v>
      </c>
      <c r="GI469" s="6">
        <v>10115.118139478862</v>
      </c>
      <c r="GJ469" s="14">
        <v>0.51074630601039561</v>
      </c>
      <c r="GK469" s="14">
        <v>0.50829519786160982</v>
      </c>
      <c r="GL469" s="14">
        <v>0.48925369398960439</v>
      </c>
      <c r="GM469" s="14">
        <v>0.49170480213839013</v>
      </c>
      <c r="GO469" s="5">
        <v>338.16872463277008</v>
      </c>
      <c r="GP469" s="5">
        <v>298.1047308538179</v>
      </c>
      <c r="GQ469" s="5">
        <v>527.27910984145694</v>
      </c>
      <c r="GR469" s="5">
        <v>404.20319246551543</v>
      </c>
      <c r="GS469" s="5">
        <v>334.50205195691484</v>
      </c>
      <c r="GT469" s="5">
        <v>289.18266033348181</v>
      </c>
      <c r="GU469" s="5">
        <v>254.29573314828914</v>
      </c>
      <c r="GV469" s="39" t="s">
        <v>392</v>
      </c>
      <c r="GW469" s="5">
        <v>468.76388888888891</v>
      </c>
      <c r="GX469" s="5">
        <v>351.57291666666669</v>
      </c>
      <c r="GY469" s="5">
        <v>281.25833333333333</v>
      </c>
      <c r="GZ469" s="5">
        <v>248.1807987949399</v>
      </c>
      <c r="HA469" s="5">
        <v>229.89195052129477</v>
      </c>
      <c r="HB469" s="39">
        <v>257.98336231893603</v>
      </c>
      <c r="HC469" s="5">
        <v>286.00312499999995</v>
      </c>
      <c r="HD469" s="5">
        <v>238.29643640350872</v>
      </c>
      <c r="HE469" s="5">
        <v>239.29609058704452</v>
      </c>
      <c r="HF469" s="5">
        <v>219.22942434210523</v>
      </c>
      <c r="HG469" s="5">
        <v>208.83993421052631</v>
      </c>
      <c r="HH469" s="39">
        <v>238.21230554469892</v>
      </c>
      <c r="HI469" s="16"/>
      <c r="HJ469" s="19" t="str">
        <f t="shared" ref="HJ469:HK469" si="1557">HJ468</f>
        <v>On</v>
      </c>
      <c r="HK469" s="1" t="str">
        <f t="shared" si="1557"/>
        <v>On</v>
      </c>
      <c r="HL469" s="16"/>
      <c r="HM469" s="639">
        <f t="shared" si="1493"/>
        <v>6.6115095157691428E-2</v>
      </c>
      <c r="HN469" s="639">
        <f t="shared" si="1494"/>
        <v>2.3720927871164412E-3</v>
      </c>
      <c r="HO469" s="639">
        <f t="shared" si="1495"/>
        <v>7.7231033444443466E-3</v>
      </c>
      <c r="HP469" s="644">
        <f>(FT469*$GD469-HM469)/$JF469*INDEX(Input!$1:$1048576,$JG$93,$C469*2+6)</f>
        <v>197.67679635969313</v>
      </c>
      <c r="HQ469" s="644">
        <f>(FU469*$GD469-HN469)/$JF469*INDEX(Input!$1:$1048576,$JG$93,$C469*2+6)</f>
        <v>-1.7529892301579388</v>
      </c>
      <c r="HR469" s="644">
        <f>(FV469*$GD469-HO469)/$JF469*INDEX(Input!$1:$1048576,$JG$93,$C469*2+6)</f>
        <v>-3.2024138685540073</v>
      </c>
      <c r="HS469" s="644">
        <f t="shared" ref="HS469:HS472" si="1558">IF(AND(HJ469="On",HK469="On"),IL469/1000*INDEX(KG:KG,MATCH(C469*1000+3,$KF:$KF,0))*SUM(HY469:IA469)*1.1
+INDEX(HR:HR,MATCH(C469*1000+4,$KF:$KF,0))/INDEX(IM:IM,MATCH(C469*1000+4,$KF:$KF,0))*IM469*20%,0)</f>
        <v>-47.317187986398011</v>
      </c>
      <c r="HT469" s="644">
        <f t="shared" si="1497"/>
        <v>61.669930831781699</v>
      </c>
      <c r="HU469" s="644">
        <f t="shared" si="1498"/>
        <v>15.301056886799996</v>
      </c>
      <c r="HV469" s="648">
        <f t="shared" si="1499"/>
        <v>0</v>
      </c>
      <c r="HW469" s="648">
        <f t="shared" si="1500"/>
        <v>0</v>
      </c>
      <c r="HX469" s="648">
        <f t="shared" si="1501"/>
        <v>0</v>
      </c>
      <c r="HY469" s="644">
        <f>INDEX(Input!$1:$1048576,HY$93,$C469*2+6)*INDEX(Input!$1:$1048576,$JG$93,$C469*2+6)</f>
        <v>844</v>
      </c>
      <c r="HZ469" s="644">
        <f>INDEX(Input!$1:$1048576,HZ$93,$C469*2+6)*INDEX(Input!$1:$1048576,$JG$93,$C469*2+6)</f>
        <v>865</v>
      </c>
      <c r="IA469" s="644">
        <f>INDEX(Input!$1:$1048576,IA$93,$C469*2+6)*INDEX(Input!$1:$1048576,$JG$93,$C469*2+6)</f>
        <v>150</v>
      </c>
      <c r="IB469" s="644">
        <f t="shared" si="1502"/>
        <v>994.35960837329515</v>
      </c>
      <c r="IC469" s="644">
        <f t="shared" si="1503"/>
        <v>924.91694160162376</v>
      </c>
      <c r="ID469" s="644">
        <f>IF(AND(INDEX(Input!$1:$1048576,IA$93,$C469*2+7)="TOS",Y469&lt;=INDEX(Y:Y,MATCH(C469*1000+2,A:A))),0,1)*MAX(IA469+HR469+HU469+HX469,0%)</f>
        <v>162.09864301824598</v>
      </c>
      <c r="IE469" s="128">
        <f t="shared" ref="IE469:IE472" si="1559">IB469/SUM($IB469:$ID469)</f>
        <v>0.47774164490897753</v>
      </c>
      <c r="IF469" s="128">
        <f t="shared" ref="IF469:IF472" si="1560">IC469/SUM($IB469:$ID469)</f>
        <v>0.44437780594066162</v>
      </c>
      <c r="IG469" s="128">
        <f t="shared" si="1506"/>
        <v>7.7880549150360842E-2</v>
      </c>
      <c r="IH469" s="21"/>
      <c r="II469" s="19">
        <f t="shared" si="1507"/>
        <v>1199.9999999999998</v>
      </c>
      <c r="IJ469" s="19">
        <f t="shared" si="1508"/>
        <v>2195.4782357510435</v>
      </c>
      <c r="IK469" s="19">
        <f t="shared" si="1509"/>
        <v>-571</v>
      </c>
      <c r="IL469" s="19">
        <f t="shared" si="1510"/>
        <v>900.00000000000023</v>
      </c>
      <c r="IM469" s="19">
        <f t="shared" si="1511"/>
        <v>400.28584926330814</v>
      </c>
      <c r="IN469" s="19">
        <f t="shared" si="1512"/>
        <v>505</v>
      </c>
      <c r="IO469" s="39">
        <f t="shared" si="1513"/>
        <v>0</v>
      </c>
      <c r="IP469" s="39">
        <f t="shared" si="1514"/>
        <v>0</v>
      </c>
      <c r="IQ469" s="39">
        <f t="shared" si="1515"/>
        <v>0</v>
      </c>
      <c r="IR469" s="39">
        <v>0</v>
      </c>
      <c r="IS469" s="39">
        <v>0</v>
      </c>
      <c r="IT469" s="39">
        <v>0</v>
      </c>
      <c r="IU469" s="39">
        <v>0</v>
      </c>
      <c r="IV469" s="39">
        <v>0</v>
      </c>
      <c r="IW469" s="39">
        <v>0</v>
      </c>
      <c r="IX469" s="39">
        <f>INDEX(Input!$1:$1048576,IX$93,$C469*2+6)+INDEX(Input!$1:$1048576,IX$94,$C469*2+6)</f>
        <v>1600</v>
      </c>
      <c r="IY469" s="39">
        <f>INDEX(Input!$1:$1048576,IY$93,$C469*2+6)+INDEX(Input!$1:$1048576,IY$94,$C469*2+6)</f>
        <v>2503.549291639752</v>
      </c>
      <c r="IZ469" s="39">
        <f>INDEX(Input!$1:$1048576,IZ$93,$C469*2+6)+INDEX(Input!$1:$1048576,IZ$94,$C469*2+6)</f>
        <v>5413.7109265464023</v>
      </c>
      <c r="JA469" s="19">
        <f t="shared" si="1516"/>
        <v>2500</v>
      </c>
      <c r="JB469" s="19">
        <f t="shared" si="1517"/>
        <v>2903.8351409030602</v>
      </c>
      <c r="JC469" s="19">
        <f t="shared" si="1518"/>
        <v>5918.7109265464023</v>
      </c>
      <c r="JD469" s="19">
        <f t="shared" si="1519"/>
        <v>2945.7064582220123</v>
      </c>
      <c r="JE469" s="21"/>
      <c r="JF469" s="1">
        <f t="shared" si="1520"/>
        <v>7.6210291289252219E-2</v>
      </c>
      <c r="JG469" s="15">
        <f>INDEX(Input!$1:$1048576,JG$93,$C469*2+6)/(1+VLOOKUP(C469*1000+INDEX(Input!$1:$1048576,JG$93+1,$C469*2+6),$A:$KK,$JK$92,FALSE))</f>
        <v>1859</v>
      </c>
      <c r="JH469" s="1">
        <f t="shared" si="1521"/>
        <v>0.10366938852123786</v>
      </c>
      <c r="JI469" s="1">
        <f t="shared" si="1522"/>
        <v>1.5951479145876107E-2</v>
      </c>
      <c r="JJ469" s="1">
        <f t="shared" si="1523"/>
        <v>0</v>
      </c>
      <c r="JK469" s="1">
        <f t="shared" si="1524"/>
        <v>0.11962086766711397</v>
      </c>
      <c r="JL469" s="15">
        <f t="shared" si="1525"/>
        <v>222.37519299316486</v>
      </c>
      <c r="JM469" s="15">
        <f t="shared" si="1526"/>
        <v>2081.375192993165</v>
      </c>
      <c r="JN469" s="21"/>
      <c r="JO469" s="19">
        <f>INDEX(Input!$1:$1048576,JO$93,$C469*2+6)</f>
        <v>5908.5</v>
      </c>
      <c r="JP469" s="19">
        <f>INDEX(Input!$1:$1048576,JP$93,$C469*2+6)</f>
        <v>2328.1478086338602</v>
      </c>
      <c r="JQ469" s="39">
        <f t="shared" si="1527"/>
        <v>2962.7935417779877</v>
      </c>
      <c r="JR469" s="39">
        <f t="shared" si="1528"/>
        <v>617.55864958815209</v>
      </c>
      <c r="JS469" s="39">
        <f t="shared" si="1529"/>
        <v>6.1311203479830541</v>
      </c>
      <c r="JT469" s="39">
        <f t="shared" si="1530"/>
        <v>1.8030935717327072</v>
      </c>
      <c r="JU469" s="385">
        <f>(JQ469*JM469-INDEX(Input!$1:$1048576,Input!A$18,$C469*2+6)*JL469*INDEX(Input!$1:$1048576,Input!A$19,$C469*2+6))/1000000</f>
        <v>6.1666849798170613</v>
      </c>
      <c r="JV469" s="39">
        <f t="shared" si="1531"/>
        <v>-0.48918974393259251</v>
      </c>
      <c r="JW469" s="1">
        <f t="shared" si="1532"/>
        <v>-7.3497438614199537E-2</v>
      </c>
      <c r="JX469" s="19">
        <f t="shared" si="1533"/>
        <v>8108.3395475147672</v>
      </c>
      <c r="JZ469" s="341"/>
      <c r="KA469" s="342"/>
      <c r="KB469" s="469">
        <f t="shared" si="1548"/>
        <v>2.3451977905499271</v>
      </c>
      <c r="KI469" s="473">
        <f t="shared" si="1534"/>
        <v>150.35960837329515</v>
      </c>
      <c r="KJ469" s="473">
        <f t="shared" si="1535"/>
        <v>59.916941601623762</v>
      </c>
      <c r="KK469" s="473">
        <f t="shared" si="1536"/>
        <v>12.09864301824598</v>
      </c>
      <c r="KN469" s="544">
        <f t="shared" si="1537"/>
        <v>4002</v>
      </c>
      <c r="KO469" s="541">
        <f t="shared" si="1538"/>
        <v>4.1917185179123351E-2</v>
      </c>
      <c r="KP469" s="546">
        <f t="shared" si="1539"/>
        <v>252.97152389849546</v>
      </c>
      <c r="KQ469" s="546">
        <f t="shared" si="1540"/>
        <v>221.96289662401659</v>
      </c>
      <c r="KR469" s="548">
        <f t="shared" si="1541"/>
        <v>2.8121240204740574</v>
      </c>
      <c r="KS469" s="548">
        <f t="shared" si="1542"/>
        <v>3.2049829483704504</v>
      </c>
      <c r="KT469" s="473">
        <f t="shared" si="1549"/>
        <v>1050.27685337919</v>
      </c>
      <c r="KU469" s="663">
        <f t="shared" si="1543"/>
        <v>6.5639819281200165</v>
      </c>
    </row>
    <row r="470" spans="1:308" s="26" customFormat="1" ht="15" outlineLevel="1">
      <c r="A470" s="561">
        <f t="shared" si="1550"/>
        <v>4070</v>
      </c>
      <c r="B470" s="561">
        <f t="shared" si="1551"/>
        <v>70</v>
      </c>
      <c r="C470" s="561">
        <f t="shared" si="1552"/>
        <v>4</v>
      </c>
      <c r="D470" s="561" t="str">
        <f t="shared" si="1413"/>
        <v xml:space="preserve">1000 CC, 180 Lease, </v>
      </c>
      <c r="E470" s="475">
        <f>INDEX(Input!$1:$1048576,E$93,$C470*2+MIN($B470,2)+5)
+INDEX(Scenarios!E$121:E$200,MATCH($B470,Scenarios!$B$121:$B$200,0))</f>
        <v>2250</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1.8999999999999996E-2</v>
      </c>
      <c r="W470" s="863">
        <f>IFERROR(MAX(0,INDEX(Input!$1:$1048576,W$93,$C470*2+MIN($B470,2)+5)-0%,),"Market")</f>
        <v>3.9E-2</v>
      </c>
      <c r="X470" s="476" t="str">
        <f>INDEX(Input!$1:$1048576,X$93,$C470*2+MIN($B470,2)+5)</f>
        <v>Y</v>
      </c>
      <c r="Y470" s="475">
        <f>INDEX(Input!$1:$1048576,Y$93,$C470*2+MIN($B470,2)+5)
++INDEX(Scenarios!Y$121:Y$200,MATCH($B470,Scenarios!$B$121:$B$200,0))</f>
        <v>-2037</v>
      </c>
      <c r="Z470" s="477">
        <f>INDEX(Input!$1:$1048576,Z$93,$C470*2+MIN($B470,2)+5)
+INDEX(Scenarios!Z$121:Z$200,MATCH($B470,Scenarios!$B$121:$B$200,0))</f>
        <v>0</v>
      </c>
      <c r="AA470" s="475">
        <f>INDEX(Input!$1:$1048576,AA$93,$C470*2+MIN($B470,2)+5)</f>
        <v>0</v>
      </c>
      <c r="AB470" s="476">
        <f>INDEX(Input!$1:$1048576,AB$93,$C470*2+MIN($B470,2)+5)</f>
        <v>1</v>
      </c>
      <c r="AC470" s="475">
        <f>INDEX(Input!$1:$1048576,AC$93,$C470*2+MIN($B470,2)+5)
+INDEX(Scenarios!AC$121:AC$200,MATCH($B470,Scenarios!$B$121:$B$200,0))</f>
        <v>0</v>
      </c>
      <c r="AD470" s="476">
        <f>INDEX(Input!$1:$1048576,AD$93,$C470*2+MIN($B470,2)+5)</f>
        <v>0.35</v>
      </c>
      <c r="AE470" s="475">
        <f>INDEX(Input!$1:$1048576,AE$93,$C470*2+MIN($B470,2)+5)
+INDEX(Scenarios!AE$121:AE$200,MATCH($B470,Scenarios!$B$121:$B$200,0))</f>
        <v>0</v>
      </c>
      <c r="AF470" s="476">
        <f>INDEX(Input!$1:$1048576,AF$93,$C470*2+MIN($B470,2)+5)</f>
        <v>1</v>
      </c>
      <c r="AG470" s="475">
        <f>INDEX(Input!$1:$1048576,AG$93,$C470*2+MIN($B470,2)+5)
+INDEX(Scenarios!AG$121:AG$200,MATCH($B470,Scenarios!$B$121:$B$200,0))</f>
        <v>0</v>
      </c>
      <c r="AH470" s="476">
        <f>INDEX(Input!$1:$1048576,AH$93,$C470*2+MIN($B470,2)+5)</f>
        <v>1</v>
      </c>
      <c r="AI470" s="475">
        <f>INDEX(Input!$1:$1048576,AI$93,$C470*2+MIN($B470,2)+5)
+INDEX(Scenarios!AI$121:AI$200,MATCH($B470,Scenarios!$B$121:$B$200,0))</f>
        <v>0</v>
      </c>
      <c r="AJ470" s="476">
        <f>INDEX(Input!$1:$1048576,AJ$93,$C470*2+MIN($B470,2)+5)</f>
        <v>0.35</v>
      </c>
      <c r="AK470" s="150">
        <f>ROUND(INDEX(Input!$1:$1048576,AK$93,$C469*2+MIN($B470,1)+5)+(Y470-VLOOKUP($C470*1000+1,$A:$HH,Y$92,FALSE)),0)</f>
        <v>4772</v>
      </c>
      <c r="AL470" s="150">
        <f>ROUND(INDEX(Input!$1:$1048576,AL$93,$C469*2+MIN($B470,1)+5)-(Y470-VLOOKUP($C470*1000+1,$A:$HH,Y$92,FALSE))/36,0)</f>
        <v>4738</v>
      </c>
      <c r="AM470" s="32" t="str">
        <f t="shared" si="1553"/>
        <v>std/std/std/std</v>
      </c>
      <c r="AN470" s="32" t="str">
        <f t="shared" si="1554"/>
        <v>$0 + 0/0/0/1.9/3.9</v>
      </c>
      <c r="AO470" s="32" t="str">
        <f t="shared" si="1555"/>
        <v>0/0/0/1.9/3.9</v>
      </c>
      <c r="AP470" s="32" t="str">
        <f t="shared" si="1386"/>
        <v>0/0.9/1.9/3.9</v>
      </c>
      <c r="AQ470" s="536">
        <f t="shared" si="1379"/>
        <v>0.50560880248355933</v>
      </c>
      <c r="AR470" s="32"/>
      <c r="AS470" s="302"/>
      <c r="AT470" s="3">
        <f t="shared" si="1556"/>
        <v>70</v>
      </c>
      <c r="AU470" s="41" t="s">
        <v>121</v>
      </c>
      <c r="AV470" s="41" t="s">
        <v>116</v>
      </c>
      <c r="AW470" s="41" t="str">
        <f>INDEX(Input!$1:$1048576,AW$93,$C470*2+6)</f>
        <v>Kia</v>
      </c>
      <c r="AX470" s="41" t="str">
        <f>INDEX(Input!$1:$1048576,AX$93,$C470*2+6)</f>
        <v>Kia-LR - R1</v>
      </c>
      <c r="AY470" s="41" t="str">
        <f>IF(LEN(D470)=0,"",INDEX(Input!$1:$1048576,AY$93,$C470*2+6))</f>
        <v>Compact Conventional/Sporty Car (43)</v>
      </c>
      <c r="AZ470" s="41" t="str">
        <f>INDEX(Input!$1:$1048576,AZ$93,$C470*2+6)</f>
        <v>Kia Forte</v>
      </c>
      <c r="BA470" s="3">
        <f>INDEX(Input!$1:$1048576,BA$93,$C470*2+6)</f>
        <v>2020</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19695</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387"/>
        <v>2560</v>
      </c>
      <c r="CJ470" s="16" t="str">
        <f>INDEX(Input!$1:$1048576,CJ$93,$C470*2+6)</f>
        <v>N</v>
      </c>
      <c r="CK470" s="1" t="str">
        <f t="shared" si="1388"/>
        <v>Market</v>
      </c>
      <c r="CL470" s="1" t="str">
        <f t="shared" si="1389"/>
        <v>Market</v>
      </c>
      <c r="CM470" s="1" t="str">
        <f t="shared" si="1390"/>
        <v>Market</v>
      </c>
      <c r="CN470" s="1" t="str">
        <f t="shared" si="1391"/>
        <v>Market</v>
      </c>
      <c r="CO470" s="1" t="str">
        <f t="shared" si="1392"/>
        <v>Market</v>
      </c>
      <c r="CP470" s="304">
        <f t="shared" si="1393"/>
        <v>0</v>
      </c>
      <c r="CQ470" s="1">
        <f t="shared" si="1394"/>
        <v>0</v>
      </c>
      <c r="CR470" s="1">
        <f t="shared" si="1395"/>
        <v>0</v>
      </c>
      <c r="CS470" s="1">
        <f t="shared" si="1396"/>
        <v>0</v>
      </c>
      <c r="CT470" s="1">
        <f t="shared" si="1397"/>
        <v>1.8999999999999996E-2</v>
      </c>
      <c r="CU470" s="1">
        <f t="shared" si="1398"/>
        <v>3.9E-2</v>
      </c>
      <c r="CV470" s="304">
        <f t="shared" si="1399"/>
        <v>-2037</v>
      </c>
      <c r="CW470" s="20" t="s">
        <v>122</v>
      </c>
      <c r="CX470" s="20" t="s">
        <v>122</v>
      </c>
      <c r="CY470" s="20" t="s">
        <v>122</v>
      </c>
      <c r="CZ470" s="20" t="s">
        <v>122</v>
      </c>
      <c r="DA470" s="20" t="s">
        <v>122</v>
      </c>
      <c r="DB470" s="503">
        <f t="shared" si="1400"/>
        <v>0</v>
      </c>
      <c r="DC470" s="127">
        <v>0</v>
      </c>
      <c r="DD470" s="127">
        <v>0</v>
      </c>
      <c r="DE470" s="127">
        <v>0</v>
      </c>
      <c r="DF470" s="127">
        <v>0</v>
      </c>
      <c r="DG470" s="127">
        <v>0</v>
      </c>
      <c r="DH470" s="127">
        <v>0</v>
      </c>
      <c r="DI470" s="127">
        <v>0</v>
      </c>
      <c r="DJ470" s="127">
        <v>0</v>
      </c>
      <c r="DK470" s="127">
        <v>0</v>
      </c>
      <c r="DL470" s="127">
        <v>0</v>
      </c>
      <c r="DM470" s="304">
        <f>INDEX(Input!$1:$1048576,DM$93,$C470*2+6)</f>
        <v>20731.578947368424</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4.7815671965214572E-2</v>
      </c>
      <c r="DZ470" s="7">
        <v>0</v>
      </c>
      <c r="EA470" s="7">
        <v>0.84839131394506195</v>
      </c>
      <c r="EB470" s="7">
        <v>0</v>
      </c>
      <c r="EC470" s="7">
        <v>0</v>
      </c>
      <c r="ED470" s="7">
        <v>0</v>
      </c>
      <c r="EE470" s="7">
        <v>0</v>
      </c>
      <c r="EF470" s="7">
        <v>0</v>
      </c>
      <c r="EG470" s="7">
        <v>0</v>
      </c>
      <c r="EH470" s="7">
        <v>1.2302618536480223E-2</v>
      </c>
      <c r="EI470" s="7">
        <v>1.9758092929669218E-2</v>
      </c>
      <c r="EJ470" s="7">
        <v>0.18553940064654922</v>
      </c>
      <c r="EK470" s="7">
        <v>0.72436188575329608</v>
      </c>
      <c r="EL470" s="7">
        <v>5.8038002134005666E-2</v>
      </c>
      <c r="EM470" s="7">
        <v>2.3987746848168467E-2</v>
      </c>
      <c r="EN470" s="7">
        <v>4.714928895623581E-2</v>
      </c>
      <c r="EO470" s="7">
        <v>0.57008559104342948</v>
      </c>
      <c r="EP470" s="7">
        <v>0.2704911777775727</v>
      </c>
      <c r="EQ470" s="7">
        <v>6.7482683662967502E-2</v>
      </c>
      <c r="ER470" s="7">
        <v>4.4791258559794496E-2</v>
      </c>
      <c r="ES470" s="7">
        <v>7.980526724155497E-2</v>
      </c>
      <c r="ET470" s="7">
        <v>0.10379301408972352</v>
      </c>
      <c r="EU470" s="6">
        <v>2600</v>
      </c>
      <c r="EV470" s="6">
        <v>0</v>
      </c>
      <c r="EW470" s="6">
        <v>2600</v>
      </c>
      <c r="EX470" s="6">
        <v>0</v>
      </c>
      <c r="EY470" s="6">
        <v>2595.9803699940444</v>
      </c>
      <c r="EZ470" s="6">
        <v>-66</v>
      </c>
      <c r="FA470" s="6">
        <v>0</v>
      </c>
      <c r="FB470" s="6">
        <v>0</v>
      </c>
      <c r="FC470" s="6">
        <v>0</v>
      </c>
      <c r="FD470" s="6">
        <v>0</v>
      </c>
      <c r="FE470" s="6">
        <v>0</v>
      </c>
      <c r="FF470" s="6">
        <v>0</v>
      </c>
      <c r="FG470" s="6">
        <v>0</v>
      </c>
      <c r="FH470" s="6">
        <v>1153.2300846974065</v>
      </c>
      <c r="FI470" s="6">
        <v>1531.4299904380618</v>
      </c>
      <c r="FJ470" s="6">
        <v>2070.7205842538224</v>
      </c>
      <c r="FK470" s="6">
        <v>1746.9903521590429</v>
      </c>
      <c r="FL470" s="6">
        <v>893.91433563489375</v>
      </c>
      <c r="FM470" s="6">
        <v>1745.9803699940444</v>
      </c>
      <c r="FN470" s="6">
        <v>0</v>
      </c>
      <c r="FO470" s="6">
        <v>0</v>
      </c>
      <c r="FP470" s="6">
        <v>0</v>
      </c>
      <c r="FQ470" s="6">
        <v>0</v>
      </c>
      <c r="FR470" s="6">
        <v>0</v>
      </c>
      <c r="FS470" s="6">
        <v>0</v>
      </c>
      <c r="FT470" s="7">
        <v>0.89620698591027648</v>
      </c>
      <c r="FU470" s="7">
        <v>2.3987746848168467E-2</v>
      </c>
      <c r="FV470" s="7">
        <v>7.980526724155497E-2</v>
      </c>
      <c r="FW470" s="6">
        <v>2600</v>
      </c>
      <c r="FX470" s="6">
        <v>2595.9803699940444</v>
      </c>
      <c r="FY470" s="6">
        <v>-66</v>
      </c>
      <c r="FZ470" s="6">
        <v>1695.8504614767719</v>
      </c>
      <c r="GA470" s="6">
        <v>2387.1427356670079</v>
      </c>
      <c r="GB470" s="6">
        <v>17307.857264332994</v>
      </c>
      <c r="GC470" s="7">
        <v>8.1891069685915169E-2</v>
      </c>
      <c r="GD470" s="7">
        <v>8.8587415587315851E-2</v>
      </c>
      <c r="GE470" s="7"/>
      <c r="GF470" s="7"/>
      <c r="GG470" s="7">
        <v>8.1771381508189273E-2</v>
      </c>
      <c r="GH470" s="42">
        <v>2.3296764898613631</v>
      </c>
      <c r="GI470" s="6">
        <v>10841.106230474836</v>
      </c>
      <c r="GJ470" s="14">
        <v>0.51074630601039539</v>
      </c>
      <c r="GK470" s="14">
        <v>0.50829519786160993</v>
      </c>
      <c r="GL470" s="14">
        <v>0.48925369398960444</v>
      </c>
      <c r="GM470" s="14">
        <v>0.4917048021383903</v>
      </c>
      <c r="GO470" s="5">
        <v>338.16872463277008</v>
      </c>
      <c r="GP470" s="5">
        <v>288.56568471597211</v>
      </c>
      <c r="GQ470" s="5">
        <v>527.27910984145694</v>
      </c>
      <c r="GR470" s="5">
        <v>404.20319246551543</v>
      </c>
      <c r="GS470" s="5">
        <v>334.50205195691484</v>
      </c>
      <c r="GT470" s="5">
        <v>289.18266033348181</v>
      </c>
      <c r="GU470" s="5">
        <v>254.29573314828914</v>
      </c>
      <c r="GV470" s="39" t="s">
        <v>392</v>
      </c>
      <c r="GW470" s="5">
        <v>468.76388888888891</v>
      </c>
      <c r="GX470" s="5">
        <v>351.57291666666669</v>
      </c>
      <c r="GY470" s="5">
        <v>281.25833333333333</v>
      </c>
      <c r="GZ470" s="5">
        <v>248.1807987949399</v>
      </c>
      <c r="HA470" s="5">
        <v>229.89195052129477</v>
      </c>
      <c r="HB470" s="39">
        <v>258.01311719905351</v>
      </c>
      <c r="HC470" s="5">
        <v>286.00312499999995</v>
      </c>
      <c r="HD470" s="5">
        <v>238.29643640350872</v>
      </c>
      <c r="HE470" s="5">
        <v>239.29609058704452</v>
      </c>
      <c r="HF470" s="5">
        <v>219.22942434210523</v>
      </c>
      <c r="HG470" s="5">
        <v>208.83993421052631</v>
      </c>
      <c r="HH470" s="39">
        <v>238.21008353743403</v>
      </c>
      <c r="HI470" s="16"/>
      <c r="HJ470" s="19" t="str">
        <f t="shared" ref="HJ470:HK470" si="1561">HJ469</f>
        <v>On</v>
      </c>
      <c r="HK470" s="1" t="str">
        <f t="shared" si="1561"/>
        <v>On</v>
      </c>
      <c r="HL470" s="16"/>
      <c r="HM470" s="639">
        <f t="shared" si="1493"/>
        <v>6.6115095157691428E-2</v>
      </c>
      <c r="HN470" s="639">
        <f t="shared" si="1494"/>
        <v>2.3720927871164412E-3</v>
      </c>
      <c r="HO470" s="639">
        <f t="shared" si="1495"/>
        <v>7.7231033444443466E-3</v>
      </c>
      <c r="HP470" s="644">
        <f>(FT470*$GD470-HM470)/$JF470*INDEX(Input!$1:$1048576,$JG$93,$C470*2+6)</f>
        <v>323.88006855664372</v>
      </c>
      <c r="HQ470" s="644">
        <f>(FU470*$GD470-HN470)/$JF470*INDEX(Input!$1:$1048576,$JG$93,$C470*2+6)</f>
        <v>-6.0270371331741019</v>
      </c>
      <c r="HR470" s="644">
        <f>(FV470*$GD470-HO470)/$JF470*INDEX(Input!$1:$1048576,$JG$93,$C470*2+6)</f>
        <v>-15.937454395026974</v>
      </c>
      <c r="HS470" s="644">
        <f t="shared" si="1558"/>
        <v>-73.558777091263664</v>
      </c>
      <c r="HT470" s="644">
        <f t="shared" si="1497"/>
        <v>59.183656817280209</v>
      </c>
      <c r="HU470" s="644">
        <f t="shared" si="1498"/>
        <v>17.823150227963946</v>
      </c>
      <c r="HV470" s="648">
        <f t="shared" si="1499"/>
        <v>0</v>
      </c>
      <c r="HW470" s="648">
        <f t="shared" si="1500"/>
        <v>0</v>
      </c>
      <c r="HX470" s="648">
        <f t="shared" si="1501"/>
        <v>0</v>
      </c>
      <c r="HY470" s="644">
        <f>INDEX(Input!$1:$1048576,HY$93,$C470*2+6)*INDEX(Input!$1:$1048576,$JG$93,$C470*2+6)</f>
        <v>844</v>
      </c>
      <c r="HZ470" s="644">
        <f>INDEX(Input!$1:$1048576,HZ$93,$C470*2+6)*INDEX(Input!$1:$1048576,$JG$93,$C470*2+6)</f>
        <v>865</v>
      </c>
      <c r="IA470" s="644">
        <f>INDEX(Input!$1:$1048576,IA$93,$C470*2+6)*INDEX(Input!$1:$1048576,$JG$93,$C470*2+6)</f>
        <v>150</v>
      </c>
      <c r="IB470" s="644">
        <f t="shared" si="1502"/>
        <v>1094.3212914653802</v>
      </c>
      <c r="IC470" s="644">
        <f t="shared" si="1503"/>
        <v>918.15661968410609</v>
      </c>
      <c r="ID470" s="644">
        <f>IF(AND(INDEX(Input!$1:$1048576,IA$93,$C470*2+7)="TOS",Y470&lt;=INDEX(Y:Y,MATCH(C470*1000+2,A:A))),0,1)*MAX(IA470+HR470+HU470+HX470,0%)</f>
        <v>151.88569583293696</v>
      </c>
      <c r="IE470" s="128">
        <f t="shared" si="1559"/>
        <v>0.50560880248355933</v>
      </c>
      <c r="IF470" s="128">
        <f t="shared" si="1560"/>
        <v>0.4242155138452956</v>
      </c>
      <c r="IG470" s="128">
        <f t="shared" si="1506"/>
        <v>7.0175683671145003E-2</v>
      </c>
      <c r="IH470" s="21"/>
      <c r="II470" s="19">
        <f t="shared" si="1507"/>
        <v>1199.9999999999998</v>
      </c>
      <c r="IJ470" s="19">
        <f t="shared" si="1508"/>
        <v>2195.4782357510435</v>
      </c>
      <c r="IK470" s="19">
        <f t="shared" si="1509"/>
        <v>-571</v>
      </c>
      <c r="IL470" s="19">
        <f t="shared" si="1510"/>
        <v>1400.0000000000002</v>
      </c>
      <c r="IM470" s="19">
        <f t="shared" si="1511"/>
        <v>400.50213424300091</v>
      </c>
      <c r="IN470" s="19">
        <f t="shared" si="1512"/>
        <v>505</v>
      </c>
      <c r="IO470" s="39">
        <f t="shared" si="1513"/>
        <v>0</v>
      </c>
      <c r="IP470" s="39">
        <f t="shared" si="1514"/>
        <v>0</v>
      </c>
      <c r="IQ470" s="39">
        <f t="shared" si="1515"/>
        <v>0</v>
      </c>
      <c r="IR470" s="39">
        <v>0</v>
      </c>
      <c r="IS470" s="39">
        <v>0</v>
      </c>
      <c r="IT470" s="39">
        <v>0</v>
      </c>
      <c r="IU470" s="39">
        <v>0</v>
      </c>
      <c r="IV470" s="39">
        <v>0</v>
      </c>
      <c r="IW470" s="39">
        <v>0</v>
      </c>
      <c r="IX470" s="39">
        <f>INDEX(Input!$1:$1048576,IX$93,$C470*2+6)+INDEX(Input!$1:$1048576,IX$94,$C470*2+6)</f>
        <v>1600</v>
      </c>
      <c r="IY470" s="39">
        <f>INDEX(Input!$1:$1048576,IY$93,$C470*2+6)+INDEX(Input!$1:$1048576,IY$94,$C470*2+6)</f>
        <v>2503.549291639752</v>
      </c>
      <c r="IZ470" s="39">
        <f>INDEX(Input!$1:$1048576,IZ$93,$C470*2+6)+INDEX(Input!$1:$1048576,IZ$94,$C470*2+6)</f>
        <v>5413.7109265464023</v>
      </c>
      <c r="JA470" s="19">
        <f t="shared" si="1516"/>
        <v>3000</v>
      </c>
      <c r="JB470" s="19">
        <f t="shared" si="1517"/>
        <v>2904.0514258827529</v>
      </c>
      <c r="JC470" s="19">
        <f t="shared" si="1518"/>
        <v>5918.7109265464023</v>
      </c>
      <c r="JD470" s="19">
        <f t="shared" si="1519"/>
        <v>3164.1196610369634</v>
      </c>
      <c r="JE470" s="21"/>
      <c r="JF470" s="1">
        <f t="shared" si="1520"/>
        <v>7.6210291289252219E-2</v>
      </c>
      <c r="JG470" s="15">
        <f>INDEX(Input!$1:$1048576,JG$93,$C470*2+6)/(1+VLOOKUP(C470*1000+INDEX(Input!$1:$1048576,JG$93+1,$C470*2+6),$A:$KK,$JK$92,FALSE))</f>
        <v>1859</v>
      </c>
      <c r="JH470" s="1">
        <f t="shared" si="1521"/>
        <v>0.1624075185736647</v>
      </c>
      <c r="JI470" s="1">
        <f t="shared" si="1522"/>
        <v>1.854776736944858E-3</v>
      </c>
      <c r="JJ470" s="1">
        <f t="shared" si="1523"/>
        <v>0</v>
      </c>
      <c r="JK470" s="1">
        <f t="shared" si="1524"/>
        <v>0.16426229531060957</v>
      </c>
      <c r="JL470" s="15">
        <f t="shared" si="1525"/>
        <v>305.36360698242316</v>
      </c>
      <c r="JM470" s="15">
        <f t="shared" si="1526"/>
        <v>2164.3636069824233</v>
      </c>
      <c r="JN470" s="21"/>
      <c r="JO470" s="19">
        <f>INDEX(Input!$1:$1048576,JO$93,$C470*2+6)</f>
        <v>5908.5</v>
      </c>
      <c r="JP470" s="19">
        <f>INDEX(Input!$1:$1048576,JP$93,$C470*2+6)</f>
        <v>2328.1478086338602</v>
      </c>
      <c r="JQ470" s="39">
        <f t="shared" si="1527"/>
        <v>2744.3803389630366</v>
      </c>
      <c r="JR470" s="39">
        <f t="shared" si="1528"/>
        <v>835.97185240310318</v>
      </c>
      <c r="JS470" s="39">
        <f t="shared" si="1529"/>
        <v>6.8483054424859651</v>
      </c>
      <c r="JT470" s="39">
        <f t="shared" si="1530"/>
        <v>2.5202786662356185</v>
      </c>
      <c r="JU470" s="385">
        <f>(JQ470*JM470-INDEX(Input!$1:$1048576,Input!A$18,$C470*2+6)*JL470*INDEX(Input!$1:$1048576,Input!A$19,$C470*2+6))/1000000</f>
        <v>5.9398369293696831</v>
      </c>
      <c r="JV470" s="39">
        <f t="shared" si="1531"/>
        <v>-0.71603779437997073</v>
      </c>
      <c r="JW470" s="1">
        <f t="shared" si="1532"/>
        <v>-0.1075798184459493</v>
      </c>
      <c r="JX470" s="19">
        <f t="shared" si="1533"/>
        <v>8253.3694540118759</v>
      </c>
      <c r="JZ470" s="341"/>
      <c r="KA470" s="342"/>
      <c r="KB470" s="469">
        <f t="shared" si="1548"/>
        <v>2.3451977905499271</v>
      </c>
      <c r="KI470" s="473">
        <f t="shared" si="1534"/>
        <v>250.32129146538</v>
      </c>
      <c r="KJ470" s="473">
        <f t="shared" si="1535"/>
        <v>53.15661968410609</v>
      </c>
      <c r="KK470" s="473">
        <f t="shared" si="1536"/>
        <v>1.8856958329369604</v>
      </c>
      <c r="KN470" s="544">
        <f t="shared" si="1537"/>
        <v>4002</v>
      </c>
      <c r="KO470" s="541">
        <f t="shared" si="1538"/>
        <v>8.3460418228721744E-2</v>
      </c>
      <c r="KP470" s="546">
        <f t="shared" si="1539"/>
        <v>518.41064989215329</v>
      </c>
      <c r="KQ470" s="546">
        <f t="shared" si="1540"/>
        <v>440.37609943896769</v>
      </c>
      <c r="KR470" s="548">
        <f t="shared" si="1541"/>
        <v>2.7322512770726881</v>
      </c>
      <c r="KS470" s="548">
        <f t="shared" si="1542"/>
        <v>3.2164056178807736</v>
      </c>
      <c r="KT470" s="473">
        <f t="shared" si="1549"/>
        <v>1050.27685337919</v>
      </c>
      <c r="KU470" s="663">
        <f t="shared" si="1543"/>
        <v>6.6027203897524389</v>
      </c>
    </row>
    <row r="471" spans="1:308" s="26" customFormat="1" ht="15" outlineLevel="1">
      <c r="A471" s="561">
        <f t="shared" si="1550"/>
        <v>4071</v>
      </c>
      <c r="B471" s="561">
        <f t="shared" si="1551"/>
        <v>71</v>
      </c>
      <c r="C471" s="561">
        <f t="shared" si="1552"/>
        <v>4</v>
      </c>
      <c r="D471" s="561" t="str">
        <f t="shared" si="1413"/>
        <v xml:space="preserve">500 CC, 0/0/0.9/3.9, 180 Lease, </v>
      </c>
      <c r="E471" s="475">
        <f>INDEX(Input!$1:$1048576,E$93,$C471*2+MIN($B471,2)+5)
+INDEX(Scenarios!E$121:E$200,MATCH($B471,Scenarios!$B$121:$B$200,0))</f>
        <v>1750</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8.9999999999999959E-3</v>
      </c>
      <c r="W471" s="863">
        <f>IFERROR(MAX(0,INDEX(Input!$1:$1048576,W$93,$C471*2+MIN($B471,2)+5)-0%,),"Market")</f>
        <v>3.9E-2</v>
      </c>
      <c r="X471" s="476" t="str">
        <f>INDEX(Input!$1:$1048576,X$93,$C471*2+MIN($B471,2)+5)</f>
        <v>Y</v>
      </c>
      <c r="Y471" s="475">
        <f>INDEX(Input!$1:$1048576,Y$93,$C471*2+MIN($B471,2)+5)
++INDEX(Scenarios!Y$121:Y$200,MATCH($B471,Scenarios!$B$121:$B$200,0))</f>
        <v>-2037</v>
      </c>
      <c r="Z471" s="477">
        <f>INDEX(Input!$1:$1048576,Z$93,$C471*2+MIN($B471,2)+5)
+INDEX(Scenarios!Z$121:Z$200,MATCH($B471,Scenarios!$B$121:$B$200,0))</f>
        <v>0</v>
      </c>
      <c r="AA471" s="475">
        <f>INDEX(Input!$1:$1048576,AA$93,$C471*2+MIN($B471,2)+5)</f>
        <v>0</v>
      </c>
      <c r="AB471" s="476">
        <f>INDEX(Input!$1:$1048576,AB$93,$C471*2+MIN($B471,2)+5)</f>
        <v>1</v>
      </c>
      <c r="AC471" s="475">
        <f>INDEX(Input!$1:$1048576,AC$93,$C471*2+MIN($B471,2)+5)
+INDEX(Scenarios!AC$121:AC$200,MATCH($B471,Scenarios!$B$121:$B$200,0))</f>
        <v>0</v>
      </c>
      <c r="AD471" s="476">
        <f>INDEX(Input!$1:$1048576,AD$93,$C471*2+MIN($B471,2)+5)</f>
        <v>0.35</v>
      </c>
      <c r="AE471" s="475">
        <f>INDEX(Input!$1:$1048576,AE$93,$C471*2+MIN($B471,2)+5)
+INDEX(Scenarios!AE$121:AE$200,MATCH($B471,Scenarios!$B$121:$B$200,0))</f>
        <v>0</v>
      </c>
      <c r="AF471" s="476">
        <f>INDEX(Input!$1:$1048576,AF$93,$C471*2+MIN($B471,2)+5)</f>
        <v>1</v>
      </c>
      <c r="AG471" s="475">
        <f>INDEX(Input!$1:$1048576,AG$93,$C471*2+MIN($B471,2)+5)
+INDEX(Scenarios!AG$121:AG$200,MATCH($B471,Scenarios!$B$121:$B$200,0))</f>
        <v>0</v>
      </c>
      <c r="AH471" s="476">
        <f>INDEX(Input!$1:$1048576,AH$93,$C471*2+MIN($B471,2)+5)</f>
        <v>1</v>
      </c>
      <c r="AI471" s="475">
        <f>INDEX(Input!$1:$1048576,AI$93,$C471*2+MIN($B471,2)+5)
+INDEX(Scenarios!AI$121:AI$200,MATCH($B471,Scenarios!$B$121:$B$200,0))</f>
        <v>0</v>
      </c>
      <c r="AJ471" s="476">
        <f>INDEX(Input!$1:$1048576,AJ$93,$C471*2+MIN($B471,2)+5)</f>
        <v>0.35</v>
      </c>
      <c r="AK471" s="150">
        <f>ROUND(INDEX(Input!$1:$1048576,AK$93,$C470*2+MIN($B471,1)+5)+(Y471-VLOOKUP($C471*1000+1,$A:$HH,Y$92,FALSE)),0)</f>
        <v>4772</v>
      </c>
      <c r="AL471" s="150">
        <f>ROUND(INDEX(Input!$1:$1048576,AL$93,$C470*2+MIN($B471,1)+5)-(Y471-VLOOKUP($C471*1000+1,$A:$HH,Y$92,FALSE))/36,0)</f>
        <v>4738</v>
      </c>
      <c r="AM471" s="32" t="str">
        <f t="shared" si="1553"/>
        <v>std/std/std/std</v>
      </c>
      <c r="AN471" s="32" t="str">
        <f t="shared" si="1554"/>
        <v>$0 + 0/0/0/0.9/3.9</v>
      </c>
      <c r="AO471" s="32" t="str">
        <f t="shared" si="1555"/>
        <v>0/0/0/0.9/3.9</v>
      </c>
      <c r="AP471" s="32" t="str">
        <f t="shared" si="1386"/>
        <v>0/0/0.9/3.9</v>
      </c>
      <c r="AQ471" s="536">
        <f t="shared" si="1379"/>
        <v>0.45526004272525</v>
      </c>
      <c r="AR471" s="32"/>
      <c r="AS471" s="302"/>
      <c r="AT471" s="3">
        <f t="shared" si="1556"/>
        <v>71</v>
      </c>
      <c r="AU471" s="41" t="s">
        <v>121</v>
      </c>
      <c r="AV471" s="41" t="s">
        <v>116</v>
      </c>
      <c r="AW471" s="41" t="str">
        <f>INDEX(Input!$1:$1048576,AW$93,$C471*2+6)</f>
        <v>Kia</v>
      </c>
      <c r="AX471" s="41" t="str">
        <f>INDEX(Input!$1:$1048576,AX$93,$C471*2+6)</f>
        <v>Kia-LR - R1</v>
      </c>
      <c r="AY471" s="41" t="str">
        <f>IF(LEN(D471)=0,"",INDEX(Input!$1:$1048576,AY$93,$C471*2+6))</f>
        <v>Compact Conventional/Sporty Car (43)</v>
      </c>
      <c r="AZ471" s="41" t="str">
        <f>INDEX(Input!$1:$1048576,AZ$93,$C471*2+6)</f>
        <v>Kia Forte</v>
      </c>
      <c r="BA471" s="3">
        <f>INDEX(Input!$1:$1048576,BA$93,$C471*2+6)</f>
        <v>2020</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19695</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387"/>
        <v>2060</v>
      </c>
      <c r="CJ471" s="16" t="str">
        <f>INDEX(Input!$1:$1048576,CJ$93,$C471*2+6)</f>
        <v>N</v>
      </c>
      <c r="CK471" s="1" t="str">
        <f t="shared" si="1388"/>
        <v>Market</v>
      </c>
      <c r="CL471" s="1" t="str">
        <f t="shared" si="1389"/>
        <v>Market</v>
      </c>
      <c r="CM471" s="1" t="str">
        <f t="shared" si="1390"/>
        <v>Market</v>
      </c>
      <c r="CN471" s="1" t="str">
        <f t="shared" si="1391"/>
        <v>Market</v>
      </c>
      <c r="CO471" s="1" t="str">
        <f t="shared" si="1392"/>
        <v>Market</v>
      </c>
      <c r="CP471" s="304">
        <f t="shared" si="1393"/>
        <v>0</v>
      </c>
      <c r="CQ471" s="1">
        <f t="shared" si="1394"/>
        <v>0</v>
      </c>
      <c r="CR471" s="1">
        <f t="shared" si="1395"/>
        <v>0</v>
      </c>
      <c r="CS471" s="1">
        <f t="shared" si="1396"/>
        <v>0</v>
      </c>
      <c r="CT471" s="1">
        <f t="shared" si="1397"/>
        <v>8.9999999999999959E-3</v>
      </c>
      <c r="CU471" s="1">
        <f t="shared" si="1398"/>
        <v>3.9E-2</v>
      </c>
      <c r="CV471" s="304">
        <f t="shared" si="1399"/>
        <v>-2037</v>
      </c>
      <c r="CW471" s="20" t="s">
        <v>122</v>
      </c>
      <c r="CX471" s="20" t="s">
        <v>122</v>
      </c>
      <c r="CY471" s="20" t="s">
        <v>122</v>
      </c>
      <c r="CZ471" s="20" t="s">
        <v>122</v>
      </c>
      <c r="DA471" s="20" t="s">
        <v>122</v>
      </c>
      <c r="DB471" s="503">
        <f t="shared" si="1400"/>
        <v>0</v>
      </c>
      <c r="DC471" s="127">
        <v>0</v>
      </c>
      <c r="DD471" s="127">
        <v>0</v>
      </c>
      <c r="DE471" s="127">
        <v>0</v>
      </c>
      <c r="DF471" s="127">
        <v>0</v>
      </c>
      <c r="DG471" s="127">
        <v>0</v>
      </c>
      <c r="DH471" s="127">
        <v>0</v>
      </c>
      <c r="DI471" s="127">
        <v>0</v>
      </c>
      <c r="DJ471" s="127">
        <v>0</v>
      </c>
      <c r="DK471" s="127">
        <v>0</v>
      </c>
      <c r="DL471" s="127">
        <v>0</v>
      </c>
      <c r="DM471" s="304">
        <f>INDEX(Input!$1:$1048576,DM$93,$C471*2+6)</f>
        <v>20731.578947368424</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4.6135249946574447E-2</v>
      </c>
      <c r="DZ471" s="7">
        <v>0</v>
      </c>
      <c r="EA471" s="7">
        <v>0.82551355625792744</v>
      </c>
      <c r="EB471" s="7">
        <v>0</v>
      </c>
      <c r="EC471" s="7">
        <v>0</v>
      </c>
      <c r="ED471" s="7">
        <v>0</v>
      </c>
      <c r="EE471" s="7">
        <v>0</v>
      </c>
      <c r="EF471" s="7">
        <v>0</v>
      </c>
      <c r="EG471" s="7">
        <v>0</v>
      </c>
      <c r="EH471" s="7">
        <v>8.4653724925243638E-3</v>
      </c>
      <c r="EI471" s="7">
        <v>1.3592583293404747E-2</v>
      </c>
      <c r="EJ471" s="7">
        <v>0.12763547354428953</v>
      </c>
      <c r="EK471" s="7">
        <v>0.81019466576839194</v>
      </c>
      <c r="EL471" s="7">
        <v>4.0111904901389599E-2</v>
      </c>
      <c r="EM471" s="7">
        <v>3.916326323136779E-2</v>
      </c>
      <c r="EN471" s="7">
        <v>4.7194316479583734E-2</v>
      </c>
      <c r="EO471" s="7">
        <v>0.57024432708075046</v>
      </c>
      <c r="EP471" s="7">
        <v>0.27028601589784579</v>
      </c>
      <c r="EQ471" s="7">
        <v>6.750163776603002E-2</v>
      </c>
      <c r="ER471" s="7">
        <v>4.4773702775789959E-2</v>
      </c>
      <c r="ES471" s="7">
        <v>8.9187930564130213E-2</v>
      </c>
      <c r="ET471" s="7">
        <v>0.12835119379549806</v>
      </c>
      <c r="EU471" s="6">
        <v>2100</v>
      </c>
      <c r="EV471" s="6">
        <v>0</v>
      </c>
      <c r="EW471" s="6">
        <v>2100</v>
      </c>
      <c r="EX471" s="6">
        <v>0</v>
      </c>
      <c r="EY471" s="6">
        <v>2978.2625005463206</v>
      </c>
      <c r="EZ471" s="6">
        <v>-66</v>
      </c>
      <c r="FA471" s="6">
        <v>0</v>
      </c>
      <c r="FB471" s="6">
        <v>0</v>
      </c>
      <c r="FC471" s="6">
        <v>0</v>
      </c>
      <c r="FD471" s="6">
        <v>0</v>
      </c>
      <c r="FE471" s="6">
        <v>0</v>
      </c>
      <c r="FF471" s="6">
        <v>0</v>
      </c>
      <c r="FG471" s="6">
        <v>0</v>
      </c>
      <c r="FH471" s="6">
        <v>1153.2415101018914</v>
      </c>
      <c r="FI471" s="6">
        <v>1531.4299904380628</v>
      </c>
      <c r="FJ471" s="6">
        <v>2070.7205842538233</v>
      </c>
      <c r="FK471" s="6">
        <v>2218.639369850102</v>
      </c>
      <c r="FL471" s="6">
        <v>893.9143356348934</v>
      </c>
      <c r="FM471" s="6">
        <v>2128.2625005463206</v>
      </c>
      <c r="FN471" s="6">
        <v>0</v>
      </c>
      <c r="FO471" s="6">
        <v>0</v>
      </c>
      <c r="FP471" s="6">
        <v>0</v>
      </c>
      <c r="FQ471" s="6">
        <v>0</v>
      </c>
      <c r="FR471" s="6">
        <v>0</v>
      </c>
      <c r="FS471" s="6">
        <v>0</v>
      </c>
      <c r="FT471" s="7">
        <v>0.87164880620450191</v>
      </c>
      <c r="FU471" s="7">
        <v>3.916326323136779E-2</v>
      </c>
      <c r="FV471" s="7">
        <v>8.9187930564130213E-2</v>
      </c>
      <c r="FW471" s="6">
        <v>2100</v>
      </c>
      <c r="FX471" s="6">
        <v>2978.2625005463206</v>
      </c>
      <c r="FY471" s="6">
        <v>-66</v>
      </c>
      <c r="FZ471" s="6">
        <v>1695.8504614767719</v>
      </c>
      <c r="GA471" s="6">
        <v>1941.2145678932286</v>
      </c>
      <c r="GB471" s="6">
        <v>17753.785432106772</v>
      </c>
      <c r="GC471" s="7">
        <v>8.1891069685915169E-2</v>
      </c>
      <c r="GD471" s="7">
        <v>8.45178885534668E-2</v>
      </c>
      <c r="GE471" s="7"/>
      <c r="GF471" s="7"/>
      <c r="GG471" s="7">
        <v>3.2076988096828213E-2</v>
      </c>
      <c r="GH471" s="42">
        <v>2.5747705717589806</v>
      </c>
      <c r="GI471" s="6">
        <v>9590.4397905293445</v>
      </c>
      <c r="GJ471" s="14">
        <v>0.51074630601039572</v>
      </c>
      <c r="GK471" s="14">
        <v>0.50829519786160993</v>
      </c>
      <c r="GL471" s="14">
        <v>0.48925369398960455</v>
      </c>
      <c r="GM471" s="14">
        <v>0.4917048021383903</v>
      </c>
      <c r="GO471" s="5">
        <v>338.16872463277008</v>
      </c>
      <c r="GP471" s="5">
        <v>298.1047308538179</v>
      </c>
      <c r="GQ471" s="5">
        <v>527.27910984145694</v>
      </c>
      <c r="GR471" s="5">
        <v>404.20319246551543</v>
      </c>
      <c r="GS471" s="5">
        <v>334.50205195691484</v>
      </c>
      <c r="GT471" s="5">
        <v>289.18266033348181</v>
      </c>
      <c r="GU471" s="5">
        <v>254.29573314828914</v>
      </c>
      <c r="GV471" s="39" t="s">
        <v>392</v>
      </c>
      <c r="GW471" s="5">
        <v>468.76388888888891</v>
      </c>
      <c r="GX471" s="5">
        <v>351.57291666666669</v>
      </c>
      <c r="GY471" s="5">
        <v>281.25833333333333</v>
      </c>
      <c r="GZ471" s="5">
        <v>240.85506989150105</v>
      </c>
      <c r="HA471" s="5">
        <v>229.89195052129477</v>
      </c>
      <c r="HB471" s="39">
        <v>249.00648255353579</v>
      </c>
      <c r="HC471" s="5">
        <v>286.00312499999995</v>
      </c>
      <c r="HD471" s="5">
        <v>238.29643640350872</v>
      </c>
      <c r="HE471" s="5">
        <v>239.29609058704452</v>
      </c>
      <c r="HF471" s="5">
        <v>219.22942434210523</v>
      </c>
      <c r="HG471" s="5">
        <v>208.83993421052631</v>
      </c>
      <c r="HH471" s="39">
        <v>238.21218229441558</v>
      </c>
      <c r="HI471" s="16"/>
      <c r="HJ471" s="19" t="str">
        <f t="shared" ref="HJ471:HK471" si="1562">HJ470</f>
        <v>On</v>
      </c>
      <c r="HK471" s="1" t="str">
        <f t="shared" si="1562"/>
        <v>On</v>
      </c>
      <c r="HL471" s="16"/>
      <c r="HM471" s="639">
        <f t="shared" si="1493"/>
        <v>6.6115095157691428E-2</v>
      </c>
      <c r="HN471" s="639">
        <f t="shared" si="1494"/>
        <v>2.3720927871164412E-3</v>
      </c>
      <c r="HO471" s="639">
        <f t="shared" si="1495"/>
        <v>7.7231033444443466E-3</v>
      </c>
      <c r="HP471" s="644">
        <f>(FT471*$GD471-HM471)/$JF471*INDEX(Input!$1:$1048576,$JG$93,$C471*2+6)</f>
        <v>184.28499532323738</v>
      </c>
      <c r="HQ471" s="644">
        <f>(FU471*$GD471-HN471)/$JF471*INDEX(Input!$1:$1048576,$JG$93,$C471*2+6)</f>
        <v>22.878309909200759</v>
      </c>
      <c r="HR471" s="644">
        <f>(FV471*$GD471-HO471)/$JF471*INDEX(Input!$1:$1048576,$JG$93,$C471*2+6)</f>
        <v>-4.5158274061342212</v>
      </c>
      <c r="HS471" s="644">
        <f t="shared" si="1558"/>
        <v>-47.395933793858994</v>
      </c>
      <c r="HT471" s="644">
        <f t="shared" si="1497"/>
        <v>124.93740404184317</v>
      </c>
      <c r="HU471" s="644">
        <f t="shared" si="1498"/>
        <v>15.379802694260983</v>
      </c>
      <c r="HV471" s="648">
        <f t="shared" si="1499"/>
        <v>0</v>
      </c>
      <c r="HW471" s="648">
        <f t="shared" si="1500"/>
        <v>0</v>
      </c>
      <c r="HX471" s="648">
        <f t="shared" si="1501"/>
        <v>0</v>
      </c>
      <c r="HY471" s="644">
        <f>INDEX(Input!$1:$1048576,HY$93,$C471*2+6)*INDEX(Input!$1:$1048576,$JG$93,$C471*2+6)</f>
        <v>844</v>
      </c>
      <c r="HZ471" s="644">
        <f>INDEX(Input!$1:$1048576,HZ$93,$C471*2+6)*INDEX(Input!$1:$1048576,$JG$93,$C471*2+6)</f>
        <v>865</v>
      </c>
      <c r="IA471" s="644">
        <f>INDEX(Input!$1:$1048576,IA$93,$C471*2+6)*INDEX(Input!$1:$1048576,$JG$93,$C471*2+6)</f>
        <v>150</v>
      </c>
      <c r="IB471" s="644">
        <f t="shared" si="1502"/>
        <v>980.88906152937807</v>
      </c>
      <c r="IC471" s="644">
        <f t="shared" si="1503"/>
        <v>1012.8157139510439</v>
      </c>
      <c r="ID471" s="644">
        <f>IF(AND(INDEX(Input!$1:$1048576,IA$93,$C471*2+7)="TOS",Y471&lt;=INDEX(Y:Y,MATCH(C471*1000+2,A:A))),0,1)*MAX(IA471+HR471+HU471+HX471,0%)</f>
        <v>160.86397528812674</v>
      </c>
      <c r="IE471" s="128">
        <f t="shared" si="1559"/>
        <v>0.45526004272525</v>
      </c>
      <c r="IF471" s="128">
        <f t="shared" si="1560"/>
        <v>0.47007815999826685</v>
      </c>
      <c r="IG471" s="128">
        <f t="shared" si="1506"/>
        <v>7.4661797276483061E-2</v>
      </c>
      <c r="IH471" s="21"/>
      <c r="II471" s="19">
        <f t="shared" si="1507"/>
        <v>1199.9999999999998</v>
      </c>
      <c r="IJ471" s="19">
        <f t="shared" si="1508"/>
        <v>2195.4782357510435</v>
      </c>
      <c r="IK471" s="19">
        <f t="shared" si="1509"/>
        <v>-571</v>
      </c>
      <c r="IL471" s="19">
        <f t="shared" si="1510"/>
        <v>900.00000000000023</v>
      </c>
      <c r="IM471" s="19">
        <f t="shared" si="1511"/>
        <v>782.78426479527707</v>
      </c>
      <c r="IN471" s="19">
        <f t="shared" si="1512"/>
        <v>505</v>
      </c>
      <c r="IO471" s="39">
        <f t="shared" si="1513"/>
        <v>0</v>
      </c>
      <c r="IP471" s="39">
        <f t="shared" si="1514"/>
        <v>0</v>
      </c>
      <c r="IQ471" s="39">
        <f t="shared" si="1515"/>
        <v>0</v>
      </c>
      <c r="IR471" s="39">
        <v>0</v>
      </c>
      <c r="IS471" s="39">
        <v>0</v>
      </c>
      <c r="IT471" s="39">
        <v>0</v>
      </c>
      <c r="IU471" s="39">
        <v>0</v>
      </c>
      <c r="IV471" s="39">
        <v>0</v>
      </c>
      <c r="IW471" s="39">
        <v>0</v>
      </c>
      <c r="IX471" s="39">
        <f>INDEX(Input!$1:$1048576,IX$93,$C471*2+6)+INDEX(Input!$1:$1048576,IX$94,$C471*2+6)</f>
        <v>1600</v>
      </c>
      <c r="IY471" s="39">
        <f>INDEX(Input!$1:$1048576,IY$93,$C471*2+6)+INDEX(Input!$1:$1048576,IY$94,$C471*2+6)</f>
        <v>2503.549291639752</v>
      </c>
      <c r="IZ471" s="39">
        <f>INDEX(Input!$1:$1048576,IZ$93,$C471*2+6)+INDEX(Input!$1:$1048576,IZ$94,$C471*2+6)</f>
        <v>5413.7109265464023</v>
      </c>
      <c r="JA471" s="19">
        <f t="shared" si="1516"/>
        <v>2500</v>
      </c>
      <c r="JB471" s="19">
        <f t="shared" si="1517"/>
        <v>3286.3335564350291</v>
      </c>
      <c r="JC471" s="19">
        <f t="shared" si="1518"/>
        <v>5918.7109265464023</v>
      </c>
      <c r="JD471" s="19">
        <f t="shared" si="1519"/>
        <v>3124.8853334985765</v>
      </c>
      <c r="JE471" s="21"/>
      <c r="JF471" s="1">
        <f t="shared" si="1520"/>
        <v>7.6210291289252219E-2</v>
      </c>
      <c r="JG471" s="15">
        <f>INDEX(Input!$1:$1048576,JG$93,$C471*2+6)/(1+VLOOKUP(C471*1000+INDEX(Input!$1:$1048576,JG$93+1,$C471*2+6),$A:$KK,$JK$92,FALSE))</f>
        <v>1859</v>
      </c>
      <c r="JH471" s="1">
        <f t="shared" si="1521"/>
        <v>0.10900886381189023</v>
      </c>
      <c r="JI471" s="1">
        <f t="shared" si="1522"/>
        <v>4.9984547037248604E-2</v>
      </c>
      <c r="JJ471" s="1">
        <f t="shared" si="1523"/>
        <v>0</v>
      </c>
      <c r="JK471" s="1">
        <f t="shared" si="1524"/>
        <v>0.15899341084913884</v>
      </c>
      <c r="JL471" s="15">
        <f t="shared" si="1525"/>
        <v>295.56875076854914</v>
      </c>
      <c r="JM471" s="15">
        <f t="shared" si="1526"/>
        <v>2154.5687507685493</v>
      </c>
      <c r="JN471" s="21"/>
      <c r="JO471" s="19">
        <f>INDEX(Input!$1:$1048576,JO$93,$C471*2+6)</f>
        <v>5908.5</v>
      </c>
      <c r="JP471" s="19">
        <f>INDEX(Input!$1:$1048576,JP$93,$C471*2+6)</f>
        <v>2328.1478086338602</v>
      </c>
      <c r="JQ471" s="39">
        <f t="shared" si="1527"/>
        <v>2783.6146665014235</v>
      </c>
      <c r="JR471" s="39">
        <f t="shared" si="1528"/>
        <v>796.73752486471631</v>
      </c>
      <c r="JS471" s="39">
        <f t="shared" si="1529"/>
        <v>6.7327802892909894</v>
      </c>
      <c r="JT471" s="39">
        <f t="shared" si="1530"/>
        <v>2.4047535130406432</v>
      </c>
      <c r="JU471" s="385">
        <f>(JQ471*JM471-INDEX(Input!$1:$1048576,Input!A$18,$C471*2+6)*JL471*INDEX(Input!$1:$1048576,Input!A$19,$C471*2+6))/1000000</f>
        <v>5.9974891746249845</v>
      </c>
      <c r="JV471" s="39">
        <f t="shared" si="1531"/>
        <v>-0.65838554912466929</v>
      </c>
      <c r="JW471" s="1">
        <f t="shared" si="1532"/>
        <v>-9.8917959915231279E-2</v>
      </c>
      <c r="JX471" s="19">
        <f t="shared" si="1533"/>
        <v>8136.0208303066938</v>
      </c>
      <c r="JZ471" s="341"/>
      <c r="KA471" s="342"/>
      <c r="KB471" s="469">
        <f t="shared" si="1548"/>
        <v>2.3451977905499271</v>
      </c>
      <c r="KI471" s="473">
        <f t="shared" si="1534"/>
        <v>136.8890615293783</v>
      </c>
      <c r="KJ471" s="473">
        <f t="shared" si="1535"/>
        <v>147.81571395104402</v>
      </c>
      <c r="KK471" s="473">
        <f t="shared" si="1536"/>
        <v>10.863975288126795</v>
      </c>
      <c r="KN471" s="544">
        <f t="shared" si="1537"/>
        <v>4002</v>
      </c>
      <c r="KO471" s="541">
        <f t="shared" si="1538"/>
        <v>7.8557203733829128E-2</v>
      </c>
      <c r="KP471" s="546">
        <f t="shared" si="1539"/>
        <v>420.96025298832757</v>
      </c>
      <c r="KQ471" s="546">
        <f t="shared" si="1540"/>
        <v>401.14177190058081</v>
      </c>
      <c r="KR471" s="548">
        <f t="shared" si="1541"/>
        <v>3.167079172407218</v>
      </c>
      <c r="KS471" s="548">
        <f t="shared" si="1542"/>
        <v>3.3235492861636708</v>
      </c>
      <c r="KT471" s="473">
        <f t="shared" si="1549"/>
        <v>1050.27685337919</v>
      </c>
      <c r="KU471" s="663">
        <f t="shared" si="1543"/>
        <v>6.6268424221389433</v>
      </c>
    </row>
    <row r="472" spans="1:308" s="26" customFormat="1" ht="15" outlineLevel="1">
      <c r="A472" s="561">
        <f t="shared" si="1550"/>
        <v>4072</v>
      </c>
      <c r="B472" s="561">
        <f t="shared" si="1551"/>
        <v>72</v>
      </c>
      <c r="C472" s="561">
        <f t="shared" si="1552"/>
        <v>4</v>
      </c>
      <c r="D472" s="561" t="str">
        <f t="shared" si="1413"/>
        <v xml:space="preserve">1000 CC, 0/0/0.9/3.9, 180 Lease, </v>
      </c>
      <c r="E472" s="475">
        <f>INDEX(Input!$1:$1048576,E$93,$C472*2+MIN($B472,2)+5)
+INDEX(Scenarios!E$121:E$200,MATCH($B472,Scenarios!$B$121:$B$200,0))</f>
        <v>2250</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8.9999999999999959E-3</v>
      </c>
      <c r="W472" s="863">
        <f>IFERROR(MAX(0,INDEX(Input!$1:$1048576,W$93,$C472*2+MIN($B472,2)+5)-0%,),"Market")</f>
        <v>3.9E-2</v>
      </c>
      <c r="X472" s="476" t="str">
        <f>INDEX(Input!$1:$1048576,X$93,$C472*2+MIN($B472,2)+5)</f>
        <v>Y</v>
      </c>
      <c r="Y472" s="475">
        <f>INDEX(Input!$1:$1048576,Y$93,$C472*2+MIN($B472,2)+5)
++INDEX(Scenarios!Y$121:Y$200,MATCH($B472,Scenarios!$B$121:$B$200,0))</f>
        <v>-2037</v>
      </c>
      <c r="Z472" s="477">
        <f>INDEX(Input!$1:$1048576,Z$93,$C472*2+MIN($B472,2)+5)
+INDEX(Scenarios!Z$121:Z$200,MATCH($B472,Scenarios!$B$121:$B$200,0))</f>
        <v>0</v>
      </c>
      <c r="AA472" s="475">
        <f>INDEX(Input!$1:$1048576,AA$93,$C472*2+MIN($B472,2)+5)</f>
        <v>0</v>
      </c>
      <c r="AB472" s="476">
        <f>INDEX(Input!$1:$1048576,AB$93,$C472*2+MIN($B472,2)+5)</f>
        <v>1</v>
      </c>
      <c r="AC472" s="475">
        <f>INDEX(Input!$1:$1048576,AC$93,$C472*2+MIN($B472,2)+5)
+INDEX(Scenarios!AC$121:AC$200,MATCH($B472,Scenarios!$B$121:$B$200,0))</f>
        <v>0</v>
      </c>
      <c r="AD472" s="476">
        <f>INDEX(Input!$1:$1048576,AD$93,$C472*2+MIN($B472,2)+5)</f>
        <v>0.35</v>
      </c>
      <c r="AE472" s="475">
        <f>INDEX(Input!$1:$1048576,AE$93,$C472*2+MIN($B472,2)+5)
+INDEX(Scenarios!AE$121:AE$200,MATCH($B472,Scenarios!$B$121:$B$200,0))</f>
        <v>0</v>
      </c>
      <c r="AF472" s="476">
        <f>INDEX(Input!$1:$1048576,AF$93,$C472*2+MIN($B472,2)+5)</f>
        <v>1</v>
      </c>
      <c r="AG472" s="475">
        <f>INDEX(Input!$1:$1048576,AG$93,$C472*2+MIN($B472,2)+5)
+INDEX(Scenarios!AG$121:AG$200,MATCH($B472,Scenarios!$B$121:$B$200,0))</f>
        <v>0</v>
      </c>
      <c r="AH472" s="476">
        <f>INDEX(Input!$1:$1048576,AH$93,$C472*2+MIN($B472,2)+5)</f>
        <v>1</v>
      </c>
      <c r="AI472" s="475">
        <f>INDEX(Input!$1:$1048576,AI$93,$C472*2+MIN($B472,2)+5)
+INDEX(Scenarios!AI$121:AI$200,MATCH($B472,Scenarios!$B$121:$B$200,0))</f>
        <v>0</v>
      </c>
      <c r="AJ472" s="476">
        <f>INDEX(Input!$1:$1048576,AJ$93,$C472*2+MIN($B472,2)+5)</f>
        <v>0.35</v>
      </c>
      <c r="AK472" s="150">
        <f>ROUND(INDEX(Input!$1:$1048576,AK$93,$C471*2+MIN($B472,1)+5)+(Y472-VLOOKUP($C472*1000+1,$A:$HH,Y$92,FALSE)),0)</f>
        <v>4772</v>
      </c>
      <c r="AL472" s="150">
        <f>ROUND(INDEX(Input!$1:$1048576,AL$93,$C471*2+MIN($B472,1)+5)-(Y472-VLOOKUP($C472*1000+1,$A:$HH,Y$92,FALSE))/36,0)</f>
        <v>4738</v>
      </c>
      <c r="AM472" s="32" t="str">
        <f t="shared" si="1553"/>
        <v>std/std/std/std</v>
      </c>
      <c r="AN472" s="32" t="str">
        <f t="shared" si="1554"/>
        <v>$0 + 0/0/0/0.9/3.9</v>
      </c>
      <c r="AO472" s="32" t="str">
        <f t="shared" si="1555"/>
        <v>0/0/0/0.9/3.9</v>
      </c>
      <c r="AP472" s="32" t="str">
        <f t="shared" si="1386"/>
        <v>0/0/0.9/3.9</v>
      </c>
      <c r="AQ472" s="536">
        <f t="shared" si="1379"/>
        <v>0.48358792820205171</v>
      </c>
      <c r="AR472" s="32"/>
      <c r="AS472" s="302"/>
      <c r="AT472" s="3">
        <f t="shared" si="1556"/>
        <v>72</v>
      </c>
      <c r="AU472" s="41" t="s">
        <v>121</v>
      </c>
      <c r="AV472" s="41" t="s">
        <v>116</v>
      </c>
      <c r="AW472" s="41" t="str">
        <f>INDEX(Input!$1:$1048576,AW$93,$C472*2+6)</f>
        <v>Kia</v>
      </c>
      <c r="AX472" s="41" t="str">
        <f>INDEX(Input!$1:$1048576,AX$93,$C472*2+6)</f>
        <v>Kia-LR - R1</v>
      </c>
      <c r="AY472" s="41" t="str">
        <f>IF(LEN(D472)=0,"",INDEX(Input!$1:$1048576,AY$93,$C472*2+6))</f>
        <v>Compact Conventional/Sporty Car (43)</v>
      </c>
      <c r="AZ472" s="41" t="str">
        <f>INDEX(Input!$1:$1048576,AZ$93,$C472*2+6)</f>
        <v>Kia Forte</v>
      </c>
      <c r="BA472" s="3">
        <f>INDEX(Input!$1:$1048576,BA$93,$C472*2+6)</f>
        <v>2020</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19695</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387"/>
        <v>2560</v>
      </c>
      <c r="CJ472" s="16" t="str">
        <f>INDEX(Input!$1:$1048576,CJ$93,$C472*2+6)</f>
        <v>N</v>
      </c>
      <c r="CK472" s="1" t="str">
        <f t="shared" si="1388"/>
        <v>Market</v>
      </c>
      <c r="CL472" s="1" t="str">
        <f t="shared" si="1389"/>
        <v>Market</v>
      </c>
      <c r="CM472" s="1" t="str">
        <f t="shared" si="1390"/>
        <v>Market</v>
      </c>
      <c r="CN472" s="1" t="str">
        <f t="shared" si="1391"/>
        <v>Market</v>
      </c>
      <c r="CO472" s="1" t="str">
        <f t="shared" si="1392"/>
        <v>Market</v>
      </c>
      <c r="CP472" s="304">
        <f t="shared" si="1393"/>
        <v>0</v>
      </c>
      <c r="CQ472" s="1">
        <f t="shared" si="1394"/>
        <v>0</v>
      </c>
      <c r="CR472" s="1">
        <f t="shared" si="1395"/>
        <v>0</v>
      </c>
      <c r="CS472" s="1">
        <f t="shared" si="1396"/>
        <v>0</v>
      </c>
      <c r="CT472" s="1">
        <f t="shared" si="1397"/>
        <v>8.9999999999999959E-3</v>
      </c>
      <c r="CU472" s="1">
        <f t="shared" si="1398"/>
        <v>3.9E-2</v>
      </c>
      <c r="CV472" s="304">
        <f t="shared" si="1399"/>
        <v>-2037</v>
      </c>
      <c r="CW472" s="20" t="s">
        <v>122</v>
      </c>
      <c r="CX472" s="20" t="s">
        <v>122</v>
      </c>
      <c r="CY472" s="20" t="s">
        <v>122</v>
      </c>
      <c r="CZ472" s="20" t="s">
        <v>122</v>
      </c>
      <c r="DA472" s="20" t="s">
        <v>122</v>
      </c>
      <c r="DB472" s="503">
        <f t="shared" si="1400"/>
        <v>0</v>
      </c>
      <c r="DC472" s="127">
        <v>0</v>
      </c>
      <c r="DD472" s="127">
        <v>0</v>
      </c>
      <c r="DE472" s="127">
        <v>0</v>
      </c>
      <c r="DF472" s="127">
        <v>0</v>
      </c>
      <c r="DG472" s="127">
        <v>0</v>
      </c>
      <c r="DH472" s="127">
        <v>0</v>
      </c>
      <c r="DI472" s="127">
        <v>0</v>
      </c>
      <c r="DJ472" s="127">
        <v>0</v>
      </c>
      <c r="DK472" s="127">
        <v>0</v>
      </c>
      <c r="DL472" s="127">
        <v>0</v>
      </c>
      <c r="DM472" s="304">
        <f>INDEX(Input!$1:$1048576,DM$93,$C472*2+6)</f>
        <v>20731.578947368424</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4.7308172577096033E-2</v>
      </c>
      <c r="DZ472" s="7">
        <v>0</v>
      </c>
      <c r="EA472" s="7">
        <v>0.83932756042546375</v>
      </c>
      <c r="EB472" s="7">
        <v>0</v>
      </c>
      <c r="EC472" s="7">
        <v>0</v>
      </c>
      <c r="ED472" s="7">
        <v>0</v>
      </c>
      <c r="EE472" s="7">
        <v>0</v>
      </c>
      <c r="EF472" s="7">
        <v>0</v>
      </c>
      <c r="EG472" s="7">
        <v>0</v>
      </c>
      <c r="EH472" s="7">
        <v>8.4875188341657637E-3</v>
      </c>
      <c r="EI472" s="7">
        <v>1.3632231178497474E-2</v>
      </c>
      <c r="EJ472" s="7">
        <v>0.12798978558816337</v>
      </c>
      <c r="EK472" s="7">
        <v>0.80984457117119235</v>
      </c>
      <c r="EL472" s="7">
        <v>4.0045893227981175E-2</v>
      </c>
      <c r="EM472" s="7">
        <v>3.4395943560790426E-2</v>
      </c>
      <c r="EN472" s="7">
        <v>4.7147972383986776E-2</v>
      </c>
      <c r="EO472" s="7">
        <v>0.57008050877396388</v>
      </c>
      <c r="EP472" s="7">
        <v>0.27049664669265061</v>
      </c>
      <c r="EQ472" s="7">
        <v>6.7482077450613936E-2</v>
      </c>
      <c r="ER472" s="7">
        <v>4.4792794698784548E-2</v>
      </c>
      <c r="ES472" s="7">
        <v>7.896832343664964E-2</v>
      </c>
      <c r="ET472" s="7">
        <v>0.11336426699744021</v>
      </c>
      <c r="EU472" s="6">
        <v>2600</v>
      </c>
      <c r="EV472" s="6">
        <v>0</v>
      </c>
      <c r="EW472" s="6">
        <v>2600</v>
      </c>
      <c r="EX472" s="6">
        <v>0</v>
      </c>
      <c r="EY472" s="6">
        <v>2978.2466039985829</v>
      </c>
      <c r="EZ472" s="6">
        <v>-66</v>
      </c>
      <c r="FA472" s="6">
        <v>0</v>
      </c>
      <c r="FB472" s="6">
        <v>0</v>
      </c>
      <c r="FC472" s="6">
        <v>0</v>
      </c>
      <c r="FD472" s="6">
        <v>0</v>
      </c>
      <c r="FE472" s="6">
        <v>0</v>
      </c>
      <c r="FF472" s="6">
        <v>0</v>
      </c>
      <c r="FG472" s="6">
        <v>0</v>
      </c>
      <c r="FH472" s="6">
        <v>1153.2305064968498</v>
      </c>
      <c r="FI472" s="6">
        <v>1531.4299904380609</v>
      </c>
      <c r="FJ472" s="6">
        <v>2070.7205842538215</v>
      </c>
      <c r="FK472" s="6">
        <v>2218.6393698501024</v>
      </c>
      <c r="FL472" s="6">
        <v>893.91433563489409</v>
      </c>
      <c r="FM472" s="6">
        <v>2128.2466039985829</v>
      </c>
      <c r="FN472" s="6">
        <v>0</v>
      </c>
      <c r="FO472" s="6">
        <v>0</v>
      </c>
      <c r="FP472" s="6">
        <v>0</v>
      </c>
      <c r="FQ472" s="6">
        <v>0</v>
      </c>
      <c r="FR472" s="6">
        <v>0</v>
      </c>
      <c r="FS472" s="6">
        <v>0</v>
      </c>
      <c r="FT472" s="7">
        <v>0.88663573300255982</v>
      </c>
      <c r="FU472" s="7">
        <v>3.4395943560790426E-2</v>
      </c>
      <c r="FV472" s="7">
        <v>7.896832343664964E-2</v>
      </c>
      <c r="FW472" s="6">
        <v>2599.9999999999995</v>
      </c>
      <c r="FX472" s="6">
        <v>2978.2466039985829</v>
      </c>
      <c r="FY472" s="6">
        <v>-66</v>
      </c>
      <c r="FZ472" s="6">
        <v>1695.8504614767719</v>
      </c>
      <c r="GA472" s="6">
        <v>2402.4805985610874</v>
      </c>
      <c r="GB472" s="6">
        <v>17292.519401438913</v>
      </c>
      <c r="GC472" s="7">
        <v>8.1891069685915169E-2</v>
      </c>
      <c r="GD472" s="7">
        <v>8.8961415645006342E-2</v>
      </c>
      <c r="GE472" s="7"/>
      <c r="GF472" s="7"/>
      <c r="GG472" s="7">
        <v>8.6338424766079655E-2</v>
      </c>
      <c r="GH472" s="42">
        <v>2.4064007272379357</v>
      </c>
      <c r="GI472" s="6">
        <v>10586.902992168782</v>
      </c>
      <c r="GJ472" s="14">
        <v>0.51074630601039539</v>
      </c>
      <c r="GK472" s="14">
        <v>0.50829519786160959</v>
      </c>
      <c r="GL472" s="14">
        <v>0.48925369398960428</v>
      </c>
      <c r="GM472" s="14">
        <v>0.49170480213839007</v>
      </c>
      <c r="GO472" s="5">
        <v>338.16872463277008</v>
      </c>
      <c r="GP472" s="5">
        <v>288.56568471597211</v>
      </c>
      <c r="GQ472" s="5">
        <v>527.27910984145694</v>
      </c>
      <c r="GR472" s="5">
        <v>404.20319246551543</v>
      </c>
      <c r="GS472" s="5">
        <v>334.50205195691484</v>
      </c>
      <c r="GT472" s="5">
        <v>289.18266033348181</v>
      </c>
      <c r="GU472" s="5">
        <v>254.29573314828914</v>
      </c>
      <c r="GV472" s="39" t="s">
        <v>392</v>
      </c>
      <c r="GW472" s="5">
        <v>468.76388888888891</v>
      </c>
      <c r="GX472" s="5">
        <v>351.57291666666669</v>
      </c>
      <c r="GY472" s="5">
        <v>281.25833333333333</v>
      </c>
      <c r="GZ472" s="5">
        <v>240.85506989150105</v>
      </c>
      <c r="HA472" s="5">
        <v>229.89195052129477</v>
      </c>
      <c r="HB472" s="39">
        <v>249.03095868527572</v>
      </c>
      <c r="HC472" s="5">
        <v>286.00312499999995</v>
      </c>
      <c r="HD472" s="5">
        <v>238.29643640350872</v>
      </c>
      <c r="HE472" s="5">
        <v>239.29609058704452</v>
      </c>
      <c r="HF472" s="5">
        <v>219.22942434210523</v>
      </c>
      <c r="HG472" s="5">
        <v>208.83993421052631</v>
      </c>
      <c r="HH472" s="39">
        <v>238.20999250453221</v>
      </c>
      <c r="HI472" s="16"/>
      <c r="HJ472" s="19" t="str">
        <f t="shared" ref="HJ472:HK472" si="1563">HJ471</f>
        <v>On</v>
      </c>
      <c r="HK472" s="1" t="str">
        <f t="shared" si="1563"/>
        <v>On</v>
      </c>
      <c r="HL472" s="16"/>
      <c r="HM472" s="639">
        <f t="shared" si="1493"/>
        <v>6.6115095157691428E-2</v>
      </c>
      <c r="HN472" s="639">
        <f t="shared" si="1494"/>
        <v>2.3720927871164412E-3</v>
      </c>
      <c r="HO472" s="639">
        <f t="shared" si="1495"/>
        <v>7.7231033444443466E-3</v>
      </c>
      <c r="HP472" s="644">
        <f>(FT472*$GD472-HM472)/$JF472*INDEX(Input!$1:$1048576,$JG$93,$C472*2+6)</f>
        <v>311.28617242576166</v>
      </c>
      <c r="HQ472" s="644">
        <f>(FU472*$GD472-HN472)/$JF472*INDEX(Input!$1:$1048576,$JG$93,$C472*2+6)</f>
        <v>16.777991293423252</v>
      </c>
      <c r="HR472" s="644">
        <f>(FV472*$GD472-HO472)/$JF472*INDEX(Input!$1:$1048576,$JG$93,$C472*2+6)</f>
        <v>-17.025591679375825</v>
      </c>
      <c r="HS472" s="644">
        <f t="shared" si="1558"/>
        <v>-73.637475098992368</v>
      </c>
      <c r="HT472" s="644">
        <f t="shared" si="1497"/>
        <v>122.41272584585994</v>
      </c>
      <c r="HU472" s="644">
        <f t="shared" si="1498"/>
        <v>17.901848235692661</v>
      </c>
      <c r="HV472" s="648">
        <f t="shared" si="1499"/>
        <v>0</v>
      </c>
      <c r="HW472" s="648">
        <f t="shared" si="1500"/>
        <v>0</v>
      </c>
      <c r="HX472" s="648">
        <f t="shared" si="1501"/>
        <v>0</v>
      </c>
      <c r="HY472" s="644">
        <f>INDEX(Input!$1:$1048576,HY$93,$C472*2+6)*INDEX(Input!$1:$1048576,$JG$93,$C472*2+6)</f>
        <v>844</v>
      </c>
      <c r="HZ472" s="644">
        <f>INDEX(Input!$1:$1048576,HZ$93,$C472*2+6)*INDEX(Input!$1:$1048576,$JG$93,$C472*2+6)</f>
        <v>865</v>
      </c>
      <c r="IA472" s="644">
        <f>INDEX(Input!$1:$1048576,IA$93,$C472*2+6)*INDEX(Input!$1:$1048576,$JG$93,$C472*2+6)</f>
        <v>150</v>
      </c>
      <c r="IB472" s="644">
        <f t="shared" si="1502"/>
        <v>1081.6486973267695</v>
      </c>
      <c r="IC472" s="644">
        <f t="shared" si="1503"/>
        <v>1004.1907171392832</v>
      </c>
      <c r="ID472" s="644">
        <f>IF(AND(INDEX(Input!$1:$1048576,IA$93,$C472*2+7)="TOS",Y472&lt;=INDEX(Y:Y,MATCH(C472*1000+2,A:A))),0,1)*MAX(IA472+HR472+HU472+HX472,0%)</f>
        <v>150.87625655631683</v>
      </c>
      <c r="IE472" s="128">
        <f t="shared" si="1559"/>
        <v>0.48358792820205171</v>
      </c>
      <c r="IF472" s="128">
        <f t="shared" si="1560"/>
        <v>0.44895769728312518</v>
      </c>
      <c r="IG472" s="128">
        <f t="shared" si="1506"/>
        <v>6.7454374514823126E-2</v>
      </c>
      <c r="IH472" s="21"/>
      <c r="II472" s="19">
        <f t="shared" si="1507"/>
        <v>1199.9999999999998</v>
      </c>
      <c r="IJ472" s="19">
        <f t="shared" si="1508"/>
        <v>2195.4782357510435</v>
      </c>
      <c r="IK472" s="19">
        <f t="shared" si="1509"/>
        <v>-571</v>
      </c>
      <c r="IL472" s="19">
        <f t="shared" si="1510"/>
        <v>1399.9999999999998</v>
      </c>
      <c r="IM472" s="19">
        <f t="shared" si="1511"/>
        <v>782.76836824753946</v>
      </c>
      <c r="IN472" s="19">
        <f t="shared" si="1512"/>
        <v>505</v>
      </c>
      <c r="IO472" s="39">
        <f t="shared" si="1513"/>
        <v>0</v>
      </c>
      <c r="IP472" s="39">
        <f t="shared" si="1514"/>
        <v>0</v>
      </c>
      <c r="IQ472" s="39">
        <f t="shared" si="1515"/>
        <v>0</v>
      </c>
      <c r="IR472" s="39">
        <v>0</v>
      </c>
      <c r="IS472" s="39">
        <v>0</v>
      </c>
      <c r="IT472" s="39">
        <v>0</v>
      </c>
      <c r="IU472" s="39">
        <v>0</v>
      </c>
      <c r="IV472" s="39">
        <v>0</v>
      </c>
      <c r="IW472" s="39">
        <v>0</v>
      </c>
      <c r="IX472" s="39">
        <f>INDEX(Input!$1:$1048576,IX$93,$C472*2+6)+INDEX(Input!$1:$1048576,IX$94,$C472*2+6)</f>
        <v>1600</v>
      </c>
      <c r="IY472" s="39">
        <f>INDEX(Input!$1:$1048576,IY$93,$C472*2+6)+INDEX(Input!$1:$1048576,IY$94,$C472*2+6)</f>
        <v>2503.549291639752</v>
      </c>
      <c r="IZ472" s="39">
        <f>INDEX(Input!$1:$1048576,IZ$93,$C472*2+6)+INDEX(Input!$1:$1048576,IZ$94,$C472*2+6)</f>
        <v>5413.7109265464023</v>
      </c>
      <c r="JA472" s="19">
        <f t="shared" si="1516"/>
        <v>3000</v>
      </c>
      <c r="JB472" s="19">
        <f t="shared" si="1517"/>
        <v>3286.3176598872915</v>
      </c>
      <c r="JC472" s="19">
        <f t="shared" si="1518"/>
        <v>5918.7109265464023</v>
      </c>
      <c r="JD472" s="19">
        <f t="shared" si="1519"/>
        <v>3325.4243372142591</v>
      </c>
      <c r="JE472" s="21"/>
      <c r="JF472" s="1">
        <f t="shared" si="1520"/>
        <v>7.6210291289252219E-2</v>
      </c>
      <c r="JG472" s="15">
        <f>INDEX(Input!$1:$1048576,JG$93,$C472*2+6)/(1+VLOOKUP(C472*1000+INDEX(Input!$1:$1048576,JG$93+1,$C472*2+6),$A:$KK,$JK$92,FALSE))</f>
        <v>1859</v>
      </c>
      <c r="JH472" s="1">
        <f t="shared" si="1521"/>
        <v>0.16731499302840724</v>
      </c>
      <c r="JI472" s="1">
        <f t="shared" si="1522"/>
        <v>3.5867186112189475E-2</v>
      </c>
      <c r="JJ472" s="1">
        <f t="shared" si="1523"/>
        <v>0</v>
      </c>
      <c r="JK472" s="1">
        <f t="shared" si="1524"/>
        <v>0.20318217914059672</v>
      </c>
      <c r="JL472" s="15">
        <f t="shared" si="1525"/>
        <v>377.71567102236929</v>
      </c>
      <c r="JM472" s="15">
        <f t="shared" si="1526"/>
        <v>2236.7156710223694</v>
      </c>
      <c r="JN472" s="21"/>
      <c r="JO472" s="19">
        <f>INDEX(Input!$1:$1048576,JO$93,$C472*2+6)</f>
        <v>5908.5</v>
      </c>
      <c r="JP472" s="19">
        <f>INDEX(Input!$1:$1048576,JP$93,$C472*2+6)</f>
        <v>2328.1478086338602</v>
      </c>
      <c r="JQ472" s="39">
        <f t="shared" si="1527"/>
        <v>2583.0756627857409</v>
      </c>
      <c r="JR472" s="39">
        <f t="shared" si="1528"/>
        <v>997.27652858039892</v>
      </c>
      <c r="JS472" s="39">
        <f t="shared" si="1529"/>
        <v>7.4380287278463095</v>
      </c>
      <c r="JT472" s="39">
        <f t="shared" si="1530"/>
        <v>3.1100019515959629</v>
      </c>
      <c r="JU472" s="385">
        <f>(JQ472*JM472-INDEX(Input!$1:$1048576,Input!A$18,$C472*2+6)*JL472*INDEX(Input!$1:$1048576,Input!A$19,$C472*2+6))/1000000</f>
        <v>5.7776058143893598</v>
      </c>
      <c r="JV472" s="39">
        <f t="shared" si="1531"/>
        <v>-0.878268909360294</v>
      </c>
      <c r="JW472" s="1">
        <f t="shared" si="1532"/>
        <v>-0.13195394231601648</v>
      </c>
      <c r="JX472" s="19">
        <f t="shared" si="1533"/>
        <v>8233.7117313085491</v>
      </c>
      <c r="JZ472" s="341"/>
      <c r="KA472" s="342"/>
      <c r="KB472" s="469">
        <f t="shared" si="1548"/>
        <v>2.3451977905499271</v>
      </c>
      <c r="KI472" s="473">
        <f t="shared" si="1534"/>
        <v>237.64869732676948</v>
      </c>
      <c r="KJ472" s="473">
        <f t="shared" si="1535"/>
        <v>139.19071713928315</v>
      </c>
      <c r="KK472" s="473">
        <f t="shared" si="1536"/>
        <v>0.8762565563168323</v>
      </c>
      <c r="KN472" s="544">
        <f t="shared" si="1537"/>
        <v>4002</v>
      </c>
      <c r="KO472" s="541">
        <f t="shared" si="1538"/>
        <v>0.11967919279669914</v>
      </c>
      <c r="KP472" s="546">
        <f t="shared" si="1539"/>
        <v>667.53123639056275</v>
      </c>
      <c r="KQ472" s="546">
        <f t="shared" si="1540"/>
        <v>601.68077561626342</v>
      </c>
      <c r="KR472" s="548">
        <f t="shared" si="1541"/>
        <v>3.0427134500494963</v>
      </c>
      <c r="KS472" s="548">
        <f t="shared" si="1542"/>
        <v>3.3757207369861568</v>
      </c>
      <c r="KT472" s="473">
        <f t="shared" si="1549"/>
        <v>1050.27685337919</v>
      </c>
      <c r="KU472" s="663">
        <f t="shared" si="1543"/>
        <v>6.6904470984724922</v>
      </c>
    </row>
    <row r="473" spans="1:308" s="26" customFormat="1" ht="15" outlineLevel="1">
      <c r="A473" s="561">
        <f t="shared" si="1550"/>
        <v>4073</v>
      </c>
      <c r="B473" s="561">
        <f t="shared" si="1551"/>
        <v>73</v>
      </c>
      <c r="C473" s="561">
        <f t="shared" si="1552"/>
        <v>4</v>
      </c>
      <c r="D473" s="561" t="str">
        <f t="shared" si="1413"/>
        <v xml:space="preserve">500 CC, 0.9/1.9/2.9/3.9, 1000 Combo, </v>
      </c>
      <c r="E473" s="475">
        <f>INDEX(Input!$1:$1048576,E$93,$C473*2+MIN($B473,2)+5)
+INDEX(Scenarios!E$121:E$200,MATCH($B473,Scenarios!$B$121:$B$200,0))</f>
        <v>1750</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1000</v>
      </c>
      <c r="R473" s="478">
        <f>IFERROR(MAX(0,INDEX(Input!$1:$1048576,R$93,$C473*2+MIN($B473,2)+5)
+INDEX(Scenarios!R$121:R$200,MATCH($B473,Scenarios!$B$121:$B$200,0)),),"Market")</f>
        <v>9.0000000000000011E-3</v>
      </c>
      <c r="S473" s="478">
        <f>IFERROR(MAX(0,INDEX(Input!$1:$1048576,S$93,$C473*2+MIN($B473,2)+5)
+INDEX(Scenarios!S$121:S$200,MATCH($B473,Scenarios!$B$121:$B$200,0)),),"Market")</f>
        <v>9.0000000000000011E-3</v>
      </c>
      <c r="T473" s="478">
        <f>IFERROR(MAX(0,INDEX(Input!$1:$1048576,T$93,$C473*2+MIN($B473,2)+5)
+INDEX(Scenarios!T$121:T$200,MATCH($B473,Scenarios!$B$121:$B$200,0)),),"Market")</f>
        <v>9.0000000000000011E-3</v>
      </c>
      <c r="U473" s="478">
        <f>IFERROR(MAX(0,INDEX(Input!$1:$1048576,U$93,$C473*2+MIN($B473,2)+5)
+INDEX(Scenarios!U$121:U$200,MATCH($B473,Scenarios!$B$121:$B$200,0)),),"Market")</f>
        <v>9.0000000000000011E-3</v>
      </c>
      <c r="V473" s="478">
        <f>IFERROR(MAX(0,INDEX(Input!$1:$1048576,V$93,$C473*2+MIN($B473,2)+5)
+INDEX(Scenarios!V$121:V$200,MATCH($B473,Scenarios!$B$121:$B$200,0)),),"Market")</f>
        <v>2.8999999999999998E-2</v>
      </c>
      <c r="W473" s="863">
        <f>IFERROR(MAX(0,INDEX(Input!$1:$1048576,W$93,$C473*2+MIN($B473,2)+5)-0%,),"Market")</f>
        <v>3.9E-2</v>
      </c>
      <c r="X473" s="476" t="str">
        <f>INDEX(Input!$1:$1048576,X$93,$C473*2+MIN($B473,2)+5)</f>
        <v>Y</v>
      </c>
      <c r="Y473" s="475">
        <f>INDEX(Input!$1:$1048576,Y$93,$C473*2+MIN($B473,2)+5)
++INDEX(Scenarios!Y$121:Y$200,MATCH($B473,Scenarios!$B$121:$B$200,0))</f>
        <v>-2217</v>
      </c>
      <c r="Z473" s="477">
        <f>INDEX(Input!$1:$1048576,Z$93,$C473*2+MIN($B473,2)+5)
+INDEX(Scenarios!Z$121:Z$200,MATCH($B473,Scenarios!$B$121:$B$200,0))</f>
        <v>0</v>
      </c>
      <c r="AA473" s="475">
        <f>INDEX(Input!$1:$1048576,AA$93,$C473*2+MIN($B473,2)+5)</f>
        <v>0</v>
      </c>
      <c r="AB473" s="476">
        <f>INDEX(Input!$1:$1048576,AB$93,$C473*2+MIN($B473,2)+5)</f>
        <v>1</v>
      </c>
      <c r="AC473" s="475">
        <f>INDEX(Input!$1:$1048576,AC$93,$C473*2+MIN($B473,2)+5)
+INDEX(Scenarios!AC$121:AC$200,MATCH($B473,Scenarios!$B$121:$B$200,0))</f>
        <v>0</v>
      </c>
      <c r="AD473" s="476">
        <f>INDEX(Input!$1:$1048576,AD$93,$C473*2+MIN($B473,2)+5)</f>
        <v>0.35</v>
      </c>
      <c r="AE473" s="475">
        <f>INDEX(Input!$1:$1048576,AE$93,$C473*2+MIN($B473,2)+5)
+INDEX(Scenarios!AE$121:AE$200,MATCH($B473,Scenarios!$B$121:$B$200,0))</f>
        <v>0</v>
      </c>
      <c r="AF473" s="476">
        <f>INDEX(Input!$1:$1048576,AF$93,$C473*2+MIN($B473,2)+5)</f>
        <v>1</v>
      </c>
      <c r="AG473" s="475">
        <f>INDEX(Input!$1:$1048576,AG$93,$C473*2+MIN($B473,2)+5)
+INDEX(Scenarios!AG$121:AG$200,MATCH($B473,Scenarios!$B$121:$B$200,0))</f>
        <v>0</v>
      </c>
      <c r="AH473" s="476">
        <f>INDEX(Input!$1:$1048576,AH$93,$C473*2+MIN($B473,2)+5)</f>
        <v>1</v>
      </c>
      <c r="AI473" s="475">
        <f>INDEX(Input!$1:$1048576,AI$93,$C473*2+MIN($B473,2)+5)
+INDEX(Scenarios!AI$121:AI$200,MATCH($B473,Scenarios!$B$121:$B$200,0))</f>
        <v>0</v>
      </c>
      <c r="AJ473" s="476">
        <f>INDEX(Input!$1:$1048576,AJ$93,$C473*2+MIN($B473,2)+5)</f>
        <v>0.35</v>
      </c>
      <c r="AK473" s="150">
        <f>ROUND(INDEX(Input!$1:$1048576,AK$93,$C472*2+MIN($B473,1)+5)+(Y473-VLOOKUP($C473*1000+1,$A:$HH,Y$92,FALSE)),0)</f>
        <v>4592</v>
      </c>
      <c r="AL473" s="150">
        <f>ROUND(INDEX(Input!$1:$1048576,AL$93,$C472*2+MIN($B473,1)+5)-(Y473-VLOOKUP($C473*1000+1,$A:$HH,Y$92,FALSE))/36,0)</f>
        <v>4743</v>
      </c>
      <c r="AM473" s="32" t="str">
        <f t="shared" si="1553"/>
        <v>std/std/std/std</v>
      </c>
      <c r="AN473" s="32" t="str">
        <f t="shared" si="1554"/>
        <v>$1000 + 0.9/0.9/0.9/2.9/3.9</v>
      </c>
      <c r="AO473" s="32" t="str">
        <f t="shared" si="1555"/>
        <v>0.9/0.9/0.9/2.9/3.9</v>
      </c>
      <c r="AP473" s="32" t="str">
        <f t="shared" si="1386"/>
        <v>0.9/1.9/2.9/3.9</v>
      </c>
      <c r="AQ473" s="536">
        <f t="shared" si="1379"/>
        <v>0.46197241574384146</v>
      </c>
      <c r="AR473" s="32"/>
      <c r="AS473" s="302"/>
      <c r="AT473" s="3">
        <f t="shared" si="1556"/>
        <v>73</v>
      </c>
      <c r="AU473" s="41" t="s">
        <v>121</v>
      </c>
      <c r="AV473" s="41" t="s">
        <v>116</v>
      </c>
      <c r="AW473" s="41" t="str">
        <f>INDEX(Input!$1:$1048576,AW$93,$C473*2+6)</f>
        <v>Kia</v>
      </c>
      <c r="AX473" s="41" t="str">
        <f>INDEX(Input!$1:$1048576,AX$93,$C473*2+6)</f>
        <v>Kia-LR - R1</v>
      </c>
      <c r="AY473" s="41" t="str">
        <f>IF(LEN(D473)=0,"",INDEX(Input!$1:$1048576,AY$93,$C473*2+6))</f>
        <v>Compact Conventional/Sporty Car (43)</v>
      </c>
      <c r="AZ473" s="41" t="str">
        <f>INDEX(Input!$1:$1048576,AZ$93,$C473*2+6)</f>
        <v>Kia Forte</v>
      </c>
      <c r="BA473" s="3">
        <f>INDEX(Input!$1:$1048576,BA$93,$C473*2+6)</f>
        <v>2020</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19695</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387"/>
        <v>2060</v>
      </c>
      <c r="CJ473" s="16" t="str">
        <f>INDEX(Input!$1:$1048576,CJ$93,$C473*2+6)</f>
        <v>N</v>
      </c>
      <c r="CK473" s="1" t="str">
        <f t="shared" si="1388"/>
        <v>Market</v>
      </c>
      <c r="CL473" s="1" t="str">
        <f t="shared" si="1389"/>
        <v>Market</v>
      </c>
      <c r="CM473" s="1" t="str">
        <f t="shared" si="1390"/>
        <v>Market</v>
      </c>
      <c r="CN473" s="1" t="str">
        <f t="shared" si="1391"/>
        <v>Market</v>
      </c>
      <c r="CO473" s="1" t="str">
        <f t="shared" si="1392"/>
        <v>Market</v>
      </c>
      <c r="CP473" s="304">
        <f t="shared" si="1393"/>
        <v>1000</v>
      </c>
      <c r="CQ473" s="1">
        <f t="shared" si="1394"/>
        <v>9.0000000000000011E-3</v>
      </c>
      <c r="CR473" s="1">
        <f t="shared" si="1395"/>
        <v>9.0000000000000011E-3</v>
      </c>
      <c r="CS473" s="1">
        <f t="shared" si="1396"/>
        <v>9.0000000000000011E-3</v>
      </c>
      <c r="CT473" s="1">
        <f t="shared" si="1397"/>
        <v>2.8999999999999998E-2</v>
      </c>
      <c r="CU473" s="1">
        <f t="shared" si="1398"/>
        <v>3.9E-2</v>
      </c>
      <c r="CV473" s="304">
        <f t="shared" si="1399"/>
        <v>-2217</v>
      </c>
      <c r="CW473" s="20" t="s">
        <v>122</v>
      </c>
      <c r="CX473" s="20" t="s">
        <v>122</v>
      </c>
      <c r="CY473" s="20" t="s">
        <v>122</v>
      </c>
      <c r="CZ473" s="20" t="s">
        <v>122</v>
      </c>
      <c r="DA473" s="20" t="s">
        <v>122</v>
      </c>
      <c r="DB473" s="503">
        <f t="shared" si="1400"/>
        <v>0</v>
      </c>
      <c r="DC473" s="127">
        <v>0</v>
      </c>
      <c r="DD473" s="127">
        <v>0</v>
      </c>
      <c r="DE473" s="127">
        <v>0</v>
      </c>
      <c r="DF473" s="127">
        <v>0</v>
      </c>
      <c r="DG473" s="127">
        <v>0</v>
      </c>
      <c r="DH473" s="127">
        <v>0</v>
      </c>
      <c r="DI473" s="127">
        <v>0</v>
      </c>
      <c r="DJ473" s="127">
        <v>0</v>
      </c>
      <c r="DK473" s="127">
        <v>0</v>
      </c>
      <c r="DL473" s="127">
        <v>0</v>
      </c>
      <c r="DM473" s="304">
        <f>INDEX(Input!$1:$1048576,DM$93,$C473*2+6)</f>
        <v>20731.578947368424</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4.7089499737533617E-2</v>
      </c>
      <c r="DZ473" s="7">
        <v>0</v>
      </c>
      <c r="EA473" s="7">
        <v>0.84125637782364493</v>
      </c>
      <c r="EB473" s="7">
        <v>0</v>
      </c>
      <c r="EC473" s="7">
        <v>0</v>
      </c>
      <c r="ED473" s="7">
        <v>0</v>
      </c>
      <c r="EE473" s="7">
        <v>0</v>
      </c>
      <c r="EF473" s="7">
        <v>0</v>
      </c>
      <c r="EG473" s="7">
        <v>0</v>
      </c>
      <c r="EH473" s="7">
        <v>1.5363091103078083E-2</v>
      </c>
      <c r="EI473" s="7">
        <v>2.3074957689234735E-2</v>
      </c>
      <c r="EJ473" s="7">
        <v>0.20324553092488529</v>
      </c>
      <c r="EK473" s="7">
        <v>0.66990290540838704</v>
      </c>
      <c r="EL473" s="7">
        <v>8.8413514874414692E-2</v>
      </c>
      <c r="EM473" s="7">
        <v>2.4387955008661664E-2</v>
      </c>
      <c r="EN473" s="7">
        <v>4.6910271811709481E-2</v>
      </c>
      <c r="EO473" s="7">
        <v>0.57065513904752319</v>
      </c>
      <c r="EP473" s="7">
        <v>0.26953997050406719</v>
      </c>
      <c r="EQ473" s="7">
        <v>6.7895989604948859E-2</v>
      </c>
      <c r="ER473" s="7">
        <v>4.4998629031751197E-2</v>
      </c>
      <c r="ES473" s="7">
        <v>8.7266167430159788E-2</v>
      </c>
      <c r="ET473" s="7">
        <v>0.11165412243882152</v>
      </c>
      <c r="EU473" s="6">
        <v>2100</v>
      </c>
      <c r="EV473" s="6">
        <v>0</v>
      </c>
      <c r="EW473" s="6">
        <v>2100</v>
      </c>
      <c r="EX473" s="6">
        <v>0</v>
      </c>
      <c r="EY473" s="6">
        <v>3167.5409329113654</v>
      </c>
      <c r="EZ473" s="6">
        <v>-246</v>
      </c>
      <c r="FA473" s="6">
        <v>0</v>
      </c>
      <c r="FB473" s="6">
        <v>0</v>
      </c>
      <c r="FC473" s="6">
        <v>0</v>
      </c>
      <c r="FD473" s="6">
        <v>0</v>
      </c>
      <c r="FE473" s="6">
        <v>0</v>
      </c>
      <c r="FF473" s="6">
        <v>0</v>
      </c>
      <c r="FG473" s="6">
        <v>0</v>
      </c>
      <c r="FH473" s="6">
        <v>925.41424336123066</v>
      </c>
      <c r="FI473" s="6">
        <v>1232.1164465304228</v>
      </c>
      <c r="FJ473" s="6">
        <v>1709.9775738488452</v>
      </c>
      <c r="FK473" s="6">
        <v>1266.3227157028184</v>
      </c>
      <c r="FL473" s="6">
        <v>893.91433563489397</v>
      </c>
      <c r="FM473" s="6">
        <v>1317.5409329113654</v>
      </c>
      <c r="FN473" s="6">
        <v>0</v>
      </c>
      <c r="FO473" s="6">
        <v>0</v>
      </c>
      <c r="FP473" s="6">
        <v>0</v>
      </c>
      <c r="FQ473" s="6">
        <v>0</v>
      </c>
      <c r="FR473" s="6">
        <v>0</v>
      </c>
      <c r="FS473" s="6">
        <v>0</v>
      </c>
      <c r="FT473" s="7">
        <v>0.88834587756117855</v>
      </c>
      <c r="FU473" s="7">
        <v>2.4387955008661664E-2</v>
      </c>
      <c r="FV473" s="7">
        <v>8.7266167430159788E-2</v>
      </c>
      <c r="FW473" s="6">
        <v>2100</v>
      </c>
      <c r="FX473" s="6">
        <v>3167.5409329113654</v>
      </c>
      <c r="FY473" s="6">
        <v>-246</v>
      </c>
      <c r="FZ473" s="6">
        <v>1695.8504614767719</v>
      </c>
      <c r="GA473" s="6">
        <v>1921.3087114505922</v>
      </c>
      <c r="GB473" s="6">
        <v>17773.691288549409</v>
      </c>
      <c r="GC473" s="7">
        <v>8.1891069685915169E-2</v>
      </c>
      <c r="GD473" s="7">
        <v>8.382394848491502E-2</v>
      </c>
      <c r="GE473" s="7"/>
      <c r="GF473" s="7"/>
      <c r="GG473" s="7">
        <v>2.360304739470629E-2</v>
      </c>
      <c r="GH473" s="42">
        <v>2.0618541059939881</v>
      </c>
      <c r="GI473" s="6">
        <v>11473.390957592517</v>
      </c>
      <c r="GJ473" s="14">
        <v>0.51074630601039561</v>
      </c>
      <c r="GK473" s="14">
        <v>0.50829519786160993</v>
      </c>
      <c r="GL473" s="14">
        <v>0.48925369398960461</v>
      </c>
      <c r="GM473" s="14">
        <v>0.49170480213839052</v>
      </c>
      <c r="GO473" s="5">
        <v>338.16872463277008</v>
      </c>
      <c r="GP473" s="5">
        <v>298.1047308538179</v>
      </c>
      <c r="GQ473" s="5">
        <v>527.27910984145694</v>
      </c>
      <c r="GR473" s="5">
        <v>404.20319246551543</v>
      </c>
      <c r="GS473" s="5">
        <v>334.50205195691484</v>
      </c>
      <c r="GT473" s="5">
        <v>289.18266033348181</v>
      </c>
      <c r="GU473" s="5">
        <v>254.29573314828914</v>
      </c>
      <c r="GV473" s="39" t="s">
        <v>392</v>
      </c>
      <c r="GW473" s="5">
        <v>447.1315522792483</v>
      </c>
      <c r="GX473" s="5">
        <v>336.85261339557292</v>
      </c>
      <c r="GY473" s="5">
        <v>270.68882024685041</v>
      </c>
      <c r="GZ473" s="5">
        <v>240.49762667968707</v>
      </c>
      <c r="HA473" s="5">
        <v>216.26912746293829</v>
      </c>
      <c r="HB473" s="39">
        <v>249.88964813520494</v>
      </c>
      <c r="HC473" s="5">
        <v>293.87812499999995</v>
      </c>
      <c r="HD473" s="5">
        <v>243.67143640350872</v>
      </c>
      <c r="HE473" s="5">
        <v>244.28647520242913</v>
      </c>
      <c r="HF473" s="5">
        <v>223.39192434210526</v>
      </c>
      <c r="HG473" s="5">
        <v>212.2899342105263</v>
      </c>
      <c r="HH473" s="39">
        <v>243.40340123630025</v>
      </c>
      <c r="HI473" s="16"/>
      <c r="HJ473" s="19" t="str">
        <f t="shared" ref="HJ473:HK473" si="1564">HJ472</f>
        <v>On</v>
      </c>
      <c r="HK473" s="1" t="str">
        <f t="shared" si="1564"/>
        <v>On</v>
      </c>
      <c r="HL473" s="16"/>
      <c r="HM473" s="639">
        <f t="shared" si="1493"/>
        <v>6.6115095157691428E-2</v>
      </c>
      <c r="HN473" s="639">
        <f t="shared" si="1494"/>
        <v>2.3720927871164412E-3</v>
      </c>
      <c r="HO473" s="639">
        <f t="shared" si="1495"/>
        <v>7.7231033444443466E-3</v>
      </c>
      <c r="HP473" s="644">
        <f>(FT473*$GD473-HM473)/$JF473*INDEX(Input!$1:$1048576,$JG$93,$C473*2+6)</f>
        <v>203.67117175769692</v>
      </c>
      <c r="HQ473" s="644">
        <f>(FU473*$GD473-HN473)/$JF473*INDEX(Input!$1:$1048576,$JG$93,$C473*2+6)</f>
        <v>-7.9959892926498739</v>
      </c>
      <c r="HR473" s="644">
        <f>(FV473*$GD473-HO473)/$JF473*INDEX(Input!$1:$1048576,$JG$93,$C473*2+6)</f>
        <v>-9.9550062618465045</v>
      </c>
      <c r="HS473" s="644">
        <f t="shared" ref="HS473:HS481" si="1565">IF(AND(HJ473="On",HK473="On"),IL473/1000*INDEX(KG:KG,MATCH(C473*1000+3,$KF:$KF,0))*SUM(HY473:IA473)*1.1
+INDEX(HR:HR,MATCH(C473*1000+4,$KF:$KF,0))/INDEX(IM:IM,MATCH(C473*1000+4,$KF:$KF,0))*IM473*20%,0)</f>
        <v>-47.434900969633581</v>
      </c>
      <c r="HT473" s="644">
        <f t="shared" si="1497"/>
        <v>156.24516287855141</v>
      </c>
      <c r="HU473" s="644">
        <f t="shared" si="1498"/>
        <v>11.612407435358913</v>
      </c>
      <c r="HV473" s="648">
        <f t="shared" si="1499"/>
        <v>0</v>
      </c>
      <c r="HW473" s="648">
        <f t="shared" si="1500"/>
        <v>0</v>
      </c>
      <c r="HX473" s="648">
        <f t="shared" si="1501"/>
        <v>0</v>
      </c>
      <c r="HY473" s="644">
        <f>INDEX(Input!$1:$1048576,HY$93,$C473*2+6)*INDEX(Input!$1:$1048576,$JG$93,$C473*2+6)</f>
        <v>844</v>
      </c>
      <c r="HZ473" s="644">
        <f>INDEX(Input!$1:$1048576,HZ$93,$C473*2+6)*INDEX(Input!$1:$1048576,$JG$93,$C473*2+6)</f>
        <v>865</v>
      </c>
      <c r="IA473" s="644">
        <f>INDEX(Input!$1:$1048576,IA$93,$C473*2+6)*INDEX(Input!$1:$1048576,$JG$93,$C473*2+6)</f>
        <v>150</v>
      </c>
      <c r="IB473" s="644">
        <f t="shared" si="1502"/>
        <v>1000.2362707880629</v>
      </c>
      <c r="IC473" s="644">
        <f t="shared" si="1503"/>
        <v>1013.2491735859016</v>
      </c>
      <c r="ID473" s="644">
        <f>IF(AND(INDEX(Input!$1:$1048576,IA$93,$C473*2+7)="TOS",Y473&lt;=INDEX(Y:Y,MATCH(C473*1000+2,A:A))),0,1)*MAX(IA473+HR473+HU473+HX473,0%)</f>
        <v>151.6574011735124</v>
      </c>
      <c r="IE473" s="128">
        <f t="shared" ref="IE473:IE480" si="1566">IB473/SUM($IB473:$ID473)</f>
        <v>0.46197241574384146</v>
      </c>
      <c r="IF473" s="128">
        <f t="shared" ref="IF473:IF480" si="1567">IC473/SUM($IB473:$ID473)</f>
        <v>0.46798259785473506</v>
      </c>
      <c r="IG473" s="128">
        <f t="shared" si="1506"/>
        <v>7.0044986401423495E-2</v>
      </c>
      <c r="IH473" s="21"/>
      <c r="II473" s="19">
        <f t="shared" si="1507"/>
        <v>1199.9999999999998</v>
      </c>
      <c r="IJ473" s="19">
        <f t="shared" si="1508"/>
        <v>2195.4782357510435</v>
      </c>
      <c r="IK473" s="19">
        <f t="shared" si="1509"/>
        <v>-571</v>
      </c>
      <c r="IL473" s="19">
        <f t="shared" si="1510"/>
        <v>900.00000000000023</v>
      </c>
      <c r="IM473" s="19">
        <f t="shared" si="1511"/>
        <v>972.06269716032193</v>
      </c>
      <c r="IN473" s="19">
        <f t="shared" si="1512"/>
        <v>325</v>
      </c>
      <c r="IO473" s="39">
        <f t="shared" si="1513"/>
        <v>0</v>
      </c>
      <c r="IP473" s="39">
        <f t="shared" si="1514"/>
        <v>0</v>
      </c>
      <c r="IQ473" s="39">
        <f t="shared" si="1515"/>
        <v>0</v>
      </c>
      <c r="IR473" s="39">
        <v>0</v>
      </c>
      <c r="IS473" s="39">
        <v>0</v>
      </c>
      <c r="IT473" s="39">
        <v>0</v>
      </c>
      <c r="IU473" s="39">
        <v>0</v>
      </c>
      <c r="IV473" s="39">
        <v>0</v>
      </c>
      <c r="IW473" s="39">
        <v>0</v>
      </c>
      <c r="IX473" s="39">
        <f>INDEX(Input!$1:$1048576,IX$93,$C473*2+6)+INDEX(Input!$1:$1048576,IX$94,$C473*2+6)</f>
        <v>1600</v>
      </c>
      <c r="IY473" s="39">
        <f>INDEX(Input!$1:$1048576,IY$93,$C473*2+6)+INDEX(Input!$1:$1048576,IY$94,$C473*2+6)</f>
        <v>2503.549291639752</v>
      </c>
      <c r="IZ473" s="39">
        <f>INDEX(Input!$1:$1048576,IZ$93,$C473*2+6)+INDEX(Input!$1:$1048576,IZ$94,$C473*2+6)</f>
        <v>5413.7109265464023</v>
      </c>
      <c r="JA473" s="19">
        <f t="shared" si="1516"/>
        <v>2500</v>
      </c>
      <c r="JB473" s="19">
        <f t="shared" si="1517"/>
        <v>3475.611988800074</v>
      </c>
      <c r="JC473" s="19">
        <f t="shared" si="1518"/>
        <v>5738.7109265464023</v>
      </c>
      <c r="JD473" s="19">
        <f t="shared" si="1519"/>
        <v>3183.4248958249677</v>
      </c>
      <c r="JE473" s="21"/>
      <c r="JF473" s="1">
        <f t="shared" si="1520"/>
        <v>7.6210291289252219E-2</v>
      </c>
      <c r="JG473" s="15">
        <f>INDEX(Input!$1:$1048576,JG$93,$C473*2+6)/(1+VLOOKUP(C473*1000+INDEX(Input!$1:$1048576,JG$93+1,$C473*2+6),$A:$KK,$JK$92,FALSE))</f>
        <v>1859</v>
      </c>
      <c r="JH473" s="1">
        <f t="shared" si="1521"/>
        <v>9.9903268533190176E-2</v>
      </c>
      <c r="JI473" s="1">
        <f t="shared" si="1522"/>
        <v>6.4778197603161239E-2</v>
      </c>
      <c r="JJ473" s="1">
        <f t="shared" si="1523"/>
        <v>0</v>
      </c>
      <c r="JK473" s="1">
        <f t="shared" si="1524"/>
        <v>0.16468146613635143</v>
      </c>
      <c r="JL473" s="15">
        <f t="shared" si="1525"/>
        <v>306.14284554747729</v>
      </c>
      <c r="JM473" s="15">
        <f t="shared" si="1526"/>
        <v>2165.1428455474775</v>
      </c>
      <c r="JN473" s="21"/>
      <c r="JO473" s="19">
        <f>INDEX(Input!$1:$1048576,JO$93,$C473*2+6)</f>
        <v>5908.5</v>
      </c>
      <c r="JP473" s="19">
        <f>INDEX(Input!$1:$1048576,JP$93,$C473*2+6)</f>
        <v>2328.1478086338602</v>
      </c>
      <c r="JQ473" s="39">
        <f t="shared" si="1527"/>
        <v>2725.0751041750323</v>
      </c>
      <c r="JR473" s="39">
        <f t="shared" si="1528"/>
        <v>855.27708719110751</v>
      </c>
      <c r="JS473" s="39">
        <f t="shared" si="1529"/>
        <v>6.8925696375331524</v>
      </c>
      <c r="JT473" s="39">
        <f t="shared" si="1530"/>
        <v>2.5645428612828058</v>
      </c>
      <c r="JU473" s="385">
        <f>(JQ473*JM473-INDEX(Input!$1:$1048576,Input!A$18,$C473*2+6)*JL473*INDEX(Input!$1:$1048576,Input!A$19,$C473*2+6))/1000000</f>
        <v>5.9001768653841173</v>
      </c>
      <c r="JV473" s="39">
        <f t="shared" si="1531"/>
        <v>-0.75569785836553649</v>
      </c>
      <c r="JW473" s="1">
        <f t="shared" si="1532"/>
        <v>-0.11353847386415448</v>
      </c>
      <c r="JX473" s="19">
        <f t="shared" si="1533"/>
        <v>8376.948534258956</v>
      </c>
      <c r="JZ473" s="341"/>
      <c r="KA473" s="342"/>
      <c r="KB473" s="469">
        <f t="shared" si="1548"/>
        <v>2.3451977905499271</v>
      </c>
      <c r="KI473" s="473">
        <f t="shared" si="1534"/>
        <v>156.23627078806317</v>
      </c>
      <c r="KJ473" s="473">
        <f t="shared" si="1535"/>
        <v>148.24917358590187</v>
      </c>
      <c r="KK473" s="473">
        <f t="shared" si="1536"/>
        <v>1.6574011735124259</v>
      </c>
      <c r="KN473" s="544">
        <f t="shared" si="1537"/>
        <v>4002</v>
      </c>
      <c r="KO473" s="541">
        <f t="shared" si="1538"/>
        <v>8.3850497852528738E-2</v>
      </c>
      <c r="KP473" s="546">
        <f t="shared" si="1539"/>
        <v>498.65439163978692</v>
      </c>
      <c r="KQ473" s="546">
        <f t="shared" si="1540"/>
        <v>459.68133422697201</v>
      </c>
      <c r="KR473" s="548">
        <f t="shared" si="1541"/>
        <v>2.8537767347508081</v>
      </c>
      <c r="KS473" s="548">
        <f t="shared" si="1542"/>
        <v>3.0957278348837591</v>
      </c>
      <c r="KT473" s="473">
        <f t="shared" si="1549"/>
        <v>1050.27685337919</v>
      </c>
      <c r="KU473" s="663">
        <f t="shared" si="1543"/>
        <v>6.5672731173366676</v>
      </c>
    </row>
    <row r="474" spans="1:308" s="26" customFormat="1" ht="15" outlineLevel="1">
      <c r="A474" s="561">
        <f t="shared" si="1550"/>
        <v>4074</v>
      </c>
      <c r="B474" s="561">
        <f t="shared" si="1551"/>
        <v>74</v>
      </c>
      <c r="C474" s="561">
        <f t="shared" si="1552"/>
        <v>4</v>
      </c>
      <c r="D474" s="561" t="str">
        <f t="shared" si="1413"/>
        <v xml:space="preserve">750 CC, 0.9/1.9/2.9/3.9, 1500 Combo, </v>
      </c>
      <c r="E474" s="475">
        <f>INDEX(Input!$1:$1048576,E$93,$C474*2+MIN($B474,2)+5)
+INDEX(Scenarios!E$121:E$200,MATCH($B474,Scenarios!$B$121:$B$200,0))</f>
        <v>2000</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1500</v>
      </c>
      <c r="R474" s="478">
        <f>IFERROR(MAX(0,INDEX(Input!$1:$1048576,R$93,$C474*2+MIN($B474,2)+5)
+INDEX(Scenarios!R$121:R$200,MATCH($B474,Scenarios!$B$121:$B$200,0)),),"Market")</f>
        <v>9.0000000000000011E-3</v>
      </c>
      <c r="S474" s="478">
        <f>IFERROR(MAX(0,INDEX(Input!$1:$1048576,S$93,$C474*2+MIN($B474,2)+5)
+INDEX(Scenarios!S$121:S$200,MATCH($B474,Scenarios!$B$121:$B$200,0)),),"Market")</f>
        <v>9.0000000000000011E-3</v>
      </c>
      <c r="T474" s="478">
        <f>IFERROR(MAX(0,INDEX(Input!$1:$1048576,T$93,$C474*2+MIN($B474,2)+5)
+INDEX(Scenarios!T$121:T$200,MATCH($B474,Scenarios!$B$121:$B$200,0)),),"Market")</f>
        <v>9.0000000000000011E-3</v>
      </c>
      <c r="U474" s="478">
        <f>IFERROR(MAX(0,INDEX(Input!$1:$1048576,U$93,$C474*2+MIN($B474,2)+5)
+INDEX(Scenarios!U$121:U$200,MATCH($B474,Scenarios!$B$121:$B$200,0)),),"Market")</f>
        <v>9.0000000000000011E-3</v>
      </c>
      <c r="V474" s="478">
        <f>IFERROR(MAX(0,INDEX(Input!$1:$1048576,V$93,$C474*2+MIN($B474,2)+5)
+INDEX(Scenarios!V$121:V$200,MATCH($B474,Scenarios!$B$121:$B$200,0)),),"Market")</f>
        <v>2.8999999999999998E-2</v>
      </c>
      <c r="W474" s="863">
        <f>IFERROR(MAX(0,INDEX(Input!$1:$1048576,W$93,$C474*2+MIN($B474,2)+5)-0%,),"Market")</f>
        <v>3.9E-2</v>
      </c>
      <c r="X474" s="476" t="str">
        <f>INDEX(Input!$1:$1048576,X$93,$C474*2+MIN($B474,2)+5)</f>
        <v>Y</v>
      </c>
      <c r="Y474" s="475">
        <f>INDEX(Input!$1:$1048576,Y$93,$C474*2+MIN($B474,2)+5)
++INDEX(Scenarios!Y$121:Y$200,MATCH($B474,Scenarios!$B$121:$B$200,0))</f>
        <v>-2217</v>
      </c>
      <c r="Z474" s="477">
        <f>INDEX(Input!$1:$1048576,Z$93,$C474*2+MIN($B474,2)+5)
+INDEX(Scenarios!Z$121:Z$200,MATCH($B474,Scenarios!$B$121:$B$200,0))</f>
        <v>0</v>
      </c>
      <c r="AA474" s="475">
        <f>INDEX(Input!$1:$1048576,AA$93,$C474*2+MIN($B474,2)+5)</f>
        <v>0</v>
      </c>
      <c r="AB474" s="476">
        <f>INDEX(Input!$1:$1048576,AB$93,$C474*2+MIN($B474,2)+5)</f>
        <v>1</v>
      </c>
      <c r="AC474" s="475">
        <f>INDEX(Input!$1:$1048576,AC$93,$C474*2+MIN($B474,2)+5)
+INDEX(Scenarios!AC$121:AC$200,MATCH($B474,Scenarios!$B$121:$B$200,0))</f>
        <v>0</v>
      </c>
      <c r="AD474" s="476">
        <f>INDEX(Input!$1:$1048576,AD$93,$C474*2+MIN($B474,2)+5)</f>
        <v>0.35</v>
      </c>
      <c r="AE474" s="475">
        <f>INDEX(Input!$1:$1048576,AE$93,$C474*2+MIN($B474,2)+5)
+INDEX(Scenarios!AE$121:AE$200,MATCH($B474,Scenarios!$B$121:$B$200,0))</f>
        <v>0</v>
      </c>
      <c r="AF474" s="476">
        <f>INDEX(Input!$1:$1048576,AF$93,$C474*2+MIN($B474,2)+5)</f>
        <v>1</v>
      </c>
      <c r="AG474" s="475">
        <f>INDEX(Input!$1:$1048576,AG$93,$C474*2+MIN($B474,2)+5)
+INDEX(Scenarios!AG$121:AG$200,MATCH($B474,Scenarios!$B$121:$B$200,0))</f>
        <v>0</v>
      </c>
      <c r="AH474" s="476">
        <f>INDEX(Input!$1:$1048576,AH$93,$C474*2+MIN($B474,2)+5)</f>
        <v>1</v>
      </c>
      <c r="AI474" s="475">
        <f>INDEX(Input!$1:$1048576,AI$93,$C474*2+MIN($B474,2)+5)
+INDEX(Scenarios!AI$121:AI$200,MATCH($B474,Scenarios!$B$121:$B$200,0))</f>
        <v>0</v>
      </c>
      <c r="AJ474" s="476">
        <f>INDEX(Input!$1:$1048576,AJ$93,$C474*2+MIN($B474,2)+5)</f>
        <v>0.35</v>
      </c>
      <c r="AK474" s="150">
        <f>ROUND(INDEX(Input!$1:$1048576,AK$93,$C473*2+MIN($B474,1)+5)+(Y474-VLOOKUP($C474*1000+1,$A:$HH,Y$92,FALSE)),0)</f>
        <v>4592</v>
      </c>
      <c r="AL474" s="150">
        <f>ROUND(INDEX(Input!$1:$1048576,AL$93,$C473*2+MIN($B474,1)+5)-(Y474-VLOOKUP($C474*1000+1,$A:$HH,Y$92,FALSE))/36,0)</f>
        <v>4743</v>
      </c>
      <c r="AM474" s="32" t="str">
        <f t="shared" si="1553"/>
        <v>std/std/std/std</v>
      </c>
      <c r="AN474" s="32" t="str">
        <f t="shared" si="1554"/>
        <v>$1500 + 0.9/0.9/0.9/2.9/3.9</v>
      </c>
      <c r="AO474" s="32" t="str">
        <f t="shared" si="1555"/>
        <v>0.9/0.9/0.9/2.9/3.9</v>
      </c>
      <c r="AP474" s="32" t="str">
        <f t="shared" si="1386"/>
        <v>0.9/1.9/2.9/3.9</v>
      </c>
      <c r="AQ474" s="536">
        <f t="shared" si="1379"/>
        <v>0.45587400824566604</v>
      </c>
      <c r="AR474" s="32"/>
      <c r="AS474" s="302"/>
      <c r="AT474" s="3">
        <f t="shared" si="1556"/>
        <v>74</v>
      </c>
      <c r="AU474" s="41" t="s">
        <v>121</v>
      </c>
      <c r="AV474" s="41" t="s">
        <v>116</v>
      </c>
      <c r="AW474" s="41" t="str">
        <f>INDEX(Input!$1:$1048576,AW$93,$C474*2+6)</f>
        <v>Kia</v>
      </c>
      <c r="AX474" s="41" t="str">
        <f>INDEX(Input!$1:$1048576,AX$93,$C474*2+6)</f>
        <v>Kia-LR - R1</v>
      </c>
      <c r="AY474" s="41" t="str">
        <f>IF(LEN(D474)=0,"",INDEX(Input!$1:$1048576,AY$93,$C474*2+6))</f>
        <v>Compact Conventional/Sporty Car (43)</v>
      </c>
      <c r="AZ474" s="41" t="str">
        <f>INDEX(Input!$1:$1048576,AZ$93,$C474*2+6)</f>
        <v>Kia Forte</v>
      </c>
      <c r="BA474" s="3">
        <f>INDEX(Input!$1:$1048576,BA$93,$C474*2+6)</f>
        <v>2020</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19695</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387"/>
        <v>2310</v>
      </c>
      <c r="CJ474" s="16" t="str">
        <f>INDEX(Input!$1:$1048576,CJ$93,$C474*2+6)</f>
        <v>N</v>
      </c>
      <c r="CK474" s="1" t="str">
        <f t="shared" si="1388"/>
        <v>Market</v>
      </c>
      <c r="CL474" s="1" t="str">
        <f t="shared" si="1389"/>
        <v>Market</v>
      </c>
      <c r="CM474" s="1" t="str">
        <f t="shared" si="1390"/>
        <v>Market</v>
      </c>
      <c r="CN474" s="1" t="str">
        <f t="shared" si="1391"/>
        <v>Market</v>
      </c>
      <c r="CO474" s="1" t="str">
        <f t="shared" si="1392"/>
        <v>Market</v>
      </c>
      <c r="CP474" s="304">
        <f t="shared" si="1393"/>
        <v>1500</v>
      </c>
      <c r="CQ474" s="1">
        <f t="shared" si="1394"/>
        <v>9.0000000000000011E-3</v>
      </c>
      <c r="CR474" s="1">
        <f t="shared" si="1395"/>
        <v>9.0000000000000011E-3</v>
      </c>
      <c r="CS474" s="1">
        <f t="shared" si="1396"/>
        <v>9.0000000000000011E-3</v>
      </c>
      <c r="CT474" s="1">
        <f t="shared" si="1397"/>
        <v>2.8999999999999998E-2</v>
      </c>
      <c r="CU474" s="1">
        <f t="shared" si="1398"/>
        <v>3.9E-2</v>
      </c>
      <c r="CV474" s="304">
        <f t="shared" si="1399"/>
        <v>-2217</v>
      </c>
      <c r="CW474" s="20" t="s">
        <v>122</v>
      </c>
      <c r="CX474" s="20" t="s">
        <v>122</v>
      </c>
      <c r="CY474" s="20" t="s">
        <v>122</v>
      </c>
      <c r="CZ474" s="20" t="s">
        <v>122</v>
      </c>
      <c r="DA474" s="20" t="s">
        <v>122</v>
      </c>
      <c r="DB474" s="503">
        <f t="shared" si="1400"/>
        <v>0</v>
      </c>
      <c r="DC474" s="127">
        <v>0</v>
      </c>
      <c r="DD474" s="127">
        <v>0</v>
      </c>
      <c r="DE474" s="127">
        <v>0</v>
      </c>
      <c r="DF474" s="127">
        <v>0</v>
      </c>
      <c r="DG474" s="127">
        <v>0</v>
      </c>
      <c r="DH474" s="127">
        <v>0</v>
      </c>
      <c r="DI474" s="127">
        <v>0</v>
      </c>
      <c r="DJ474" s="127">
        <v>0</v>
      </c>
      <c r="DK474" s="127">
        <v>0</v>
      </c>
      <c r="DL474" s="127">
        <v>0</v>
      </c>
      <c r="DM474" s="304">
        <f>INDEX(Input!$1:$1048576,DM$93,$C474*2+6)</f>
        <v>20731.578947368424</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4.7495110346142004E-2</v>
      </c>
      <c r="DZ474" s="7">
        <v>0</v>
      </c>
      <c r="EA474" s="7">
        <v>0.84433189180452284</v>
      </c>
      <c r="EB474" s="7">
        <v>0</v>
      </c>
      <c r="EC474" s="7">
        <v>0</v>
      </c>
      <c r="ED474" s="7">
        <v>0</v>
      </c>
      <c r="EE474" s="7">
        <v>0</v>
      </c>
      <c r="EF474" s="7">
        <v>0</v>
      </c>
      <c r="EG474" s="7">
        <v>0</v>
      </c>
      <c r="EH474" s="7">
        <v>1.53862756862372E-2</v>
      </c>
      <c r="EI474" s="7">
        <v>2.3119371528126337E-2</v>
      </c>
      <c r="EJ474" s="7">
        <v>0.2035155388697972</v>
      </c>
      <c r="EK474" s="7">
        <v>0.66963071020617415</v>
      </c>
      <c r="EL474" s="7">
        <v>8.8348103709665005E-2</v>
      </c>
      <c r="EM474" s="7">
        <v>2.6396255933347556E-2</v>
      </c>
      <c r="EN474" s="7">
        <v>4.6887525204503754E-2</v>
      </c>
      <c r="EO474" s="7">
        <v>0.57057432031233546</v>
      </c>
      <c r="EP474" s="7">
        <v>0.26964349332549925</v>
      </c>
      <c r="EQ474" s="7">
        <v>6.7886348827601486E-2</v>
      </c>
      <c r="ER474" s="7">
        <v>4.5008312330059475E-2</v>
      </c>
      <c r="ES474" s="7">
        <v>8.1776741915987564E-2</v>
      </c>
      <c r="ET474" s="7">
        <v>0.10817299784933518</v>
      </c>
      <c r="EU474" s="6">
        <v>2350</v>
      </c>
      <c r="EV474" s="6">
        <v>0</v>
      </c>
      <c r="EW474" s="6">
        <v>2350</v>
      </c>
      <c r="EX474" s="6">
        <v>0</v>
      </c>
      <c r="EY474" s="6">
        <v>3667.6756041472077</v>
      </c>
      <c r="EZ474" s="6">
        <v>-246</v>
      </c>
      <c r="FA474" s="6">
        <v>0</v>
      </c>
      <c r="FB474" s="6">
        <v>0</v>
      </c>
      <c r="FC474" s="6">
        <v>0</v>
      </c>
      <c r="FD474" s="6">
        <v>0</v>
      </c>
      <c r="FE474" s="6">
        <v>0</v>
      </c>
      <c r="FF474" s="6">
        <v>0</v>
      </c>
      <c r="FG474" s="6">
        <v>0</v>
      </c>
      <c r="FH474" s="6">
        <v>925.41062234171409</v>
      </c>
      <c r="FI474" s="6">
        <v>1232.1164465304237</v>
      </c>
      <c r="FJ474" s="6">
        <v>1709.9775738488461</v>
      </c>
      <c r="FK474" s="6">
        <v>1266.3227157028189</v>
      </c>
      <c r="FL474" s="6">
        <v>893.91433563489363</v>
      </c>
      <c r="FM474" s="6">
        <v>1317.6756041472077</v>
      </c>
      <c r="FN474" s="6">
        <v>0</v>
      </c>
      <c r="FO474" s="6">
        <v>0</v>
      </c>
      <c r="FP474" s="6">
        <v>0</v>
      </c>
      <c r="FQ474" s="6">
        <v>0</v>
      </c>
      <c r="FR474" s="6">
        <v>0</v>
      </c>
      <c r="FS474" s="6">
        <v>0</v>
      </c>
      <c r="FT474" s="7">
        <v>0.89182700215066479</v>
      </c>
      <c r="FU474" s="7">
        <v>2.6396255933347556E-2</v>
      </c>
      <c r="FV474" s="7">
        <v>8.1776741915987564E-2</v>
      </c>
      <c r="FW474" s="6">
        <v>2350</v>
      </c>
      <c r="FX474" s="6">
        <v>3667.6756041472081</v>
      </c>
      <c r="FY474" s="6">
        <v>-246</v>
      </c>
      <c r="FZ474" s="6">
        <v>1695.8504614767719</v>
      </c>
      <c r="GA474" s="6">
        <v>2172.489280470294</v>
      </c>
      <c r="GB474" s="6">
        <v>17522.510719529706</v>
      </c>
      <c r="GC474" s="7">
        <v>8.1891069685915169E-2</v>
      </c>
      <c r="GD474" s="7">
        <v>8.6140314624999173E-2</v>
      </c>
      <c r="GE474" s="7"/>
      <c r="GF474" s="7"/>
      <c r="GG474" s="7">
        <v>5.1888990525847924E-2</v>
      </c>
      <c r="GH474" s="42">
        <v>2.1440840059241251</v>
      </c>
      <c r="GI474" s="6">
        <v>11358.230112257916</v>
      </c>
      <c r="GJ474" s="14">
        <v>0.51074630601039539</v>
      </c>
      <c r="GK474" s="14">
        <v>0.50829519786160982</v>
      </c>
      <c r="GL474" s="14">
        <v>0.48925369398960428</v>
      </c>
      <c r="GM474" s="14">
        <v>0.4917048021383903</v>
      </c>
      <c r="GO474" s="5">
        <v>338.16872463277008</v>
      </c>
      <c r="GP474" s="5">
        <v>293.33520778489498</v>
      </c>
      <c r="GQ474" s="5">
        <v>527.27910984145694</v>
      </c>
      <c r="GR474" s="5">
        <v>404.20319246551543</v>
      </c>
      <c r="GS474" s="5">
        <v>334.50205195691484</v>
      </c>
      <c r="GT474" s="5">
        <v>289.18266033348181</v>
      </c>
      <c r="GU474" s="5">
        <v>254.29573314828914</v>
      </c>
      <c r="GV474" s="39" t="s">
        <v>392</v>
      </c>
      <c r="GW474" s="5">
        <v>433.04911228431121</v>
      </c>
      <c r="GX474" s="5">
        <v>326.24341641294012</v>
      </c>
      <c r="GY474" s="5">
        <v>262.1634566284809</v>
      </c>
      <c r="GZ474" s="5">
        <v>232.92313684693576</v>
      </c>
      <c r="HA474" s="5">
        <v>209.45771593376006</v>
      </c>
      <c r="HB474" s="39">
        <v>242.03757048802558</v>
      </c>
      <c r="HC474" s="5">
        <v>293.87812499999995</v>
      </c>
      <c r="HD474" s="5">
        <v>243.67143640350872</v>
      </c>
      <c r="HE474" s="5">
        <v>244.28647520242913</v>
      </c>
      <c r="HF474" s="5">
        <v>223.39192434210526</v>
      </c>
      <c r="HG474" s="5">
        <v>212.2899342105263</v>
      </c>
      <c r="HH474" s="39">
        <v>243.40221450884064</v>
      </c>
      <c r="HI474" s="16"/>
      <c r="HJ474" s="19" t="str">
        <f t="shared" ref="HJ474:HK474" si="1568">HJ473</f>
        <v>On</v>
      </c>
      <c r="HK474" s="1" t="str">
        <f t="shared" si="1568"/>
        <v>On</v>
      </c>
      <c r="HL474" s="16"/>
      <c r="HM474" s="639">
        <f t="shared" si="1493"/>
        <v>6.6115095157691428E-2</v>
      </c>
      <c r="HN474" s="639">
        <f t="shared" si="1494"/>
        <v>2.3720927871164412E-3</v>
      </c>
      <c r="HO474" s="639">
        <f t="shared" si="1495"/>
        <v>7.7231033444443466E-3</v>
      </c>
      <c r="HP474" s="644">
        <f>(FT474*$GD474-HM474)/$JF474*INDEX(Input!$1:$1048576,$JG$93,$C474*2+6)</f>
        <v>261.18016899474378</v>
      </c>
      <c r="HQ474" s="644">
        <f>(FU474*$GD474-HN474)/$JF474*INDEX(Input!$1:$1048576,$JG$93,$C474*2+6)</f>
        <v>-2.398103178067998</v>
      </c>
      <c r="HR474" s="644">
        <f>(FV474*$GD474-HO474)/$JF474*INDEX(Input!$1:$1048576,$JG$93,$C474*2+6)</f>
        <v>-16.558698488371753</v>
      </c>
      <c r="HS474" s="644">
        <f t="shared" si="1565"/>
        <v>-60.658637106028927</v>
      </c>
      <c r="HT474" s="644">
        <f t="shared" si="1497"/>
        <v>237.70933582906778</v>
      </c>
      <c r="HU474" s="644">
        <f t="shared" si="1498"/>
        <v>12.976395689903413</v>
      </c>
      <c r="HV474" s="648">
        <f t="shared" si="1499"/>
        <v>0</v>
      </c>
      <c r="HW474" s="648">
        <f t="shared" si="1500"/>
        <v>0</v>
      </c>
      <c r="HX474" s="648">
        <f t="shared" si="1501"/>
        <v>0</v>
      </c>
      <c r="HY474" s="644">
        <f>INDEX(Input!$1:$1048576,HY$93,$C474*2+6)*INDEX(Input!$1:$1048576,$JG$93,$C474*2+6)</f>
        <v>844</v>
      </c>
      <c r="HZ474" s="644">
        <f>INDEX(Input!$1:$1048576,HZ$93,$C474*2+6)*INDEX(Input!$1:$1048576,$JG$93,$C474*2+6)</f>
        <v>865</v>
      </c>
      <c r="IA474" s="644">
        <f>INDEX(Input!$1:$1048576,IA$93,$C474*2+6)*INDEX(Input!$1:$1048576,$JG$93,$C474*2+6)</f>
        <v>150</v>
      </c>
      <c r="IB474" s="644">
        <f t="shared" si="1502"/>
        <v>1044.5215318887151</v>
      </c>
      <c r="IC474" s="644">
        <f t="shared" si="1503"/>
        <v>1100.3112326509997</v>
      </c>
      <c r="ID474" s="644">
        <f>IF(AND(INDEX(Input!$1:$1048576,IA$93,$C474*2+7)="TOS",Y474&lt;=INDEX(Y:Y,MATCH(C474*1000+2,A:A))),0,1)*MAX(IA474+HR474+HU474+HX474,0%)</f>
        <v>146.41769720153167</v>
      </c>
      <c r="IE474" s="128">
        <f t="shared" si="1566"/>
        <v>0.45587400824566604</v>
      </c>
      <c r="IF474" s="128">
        <f t="shared" si="1567"/>
        <v>0.48022302713026538</v>
      </c>
      <c r="IG474" s="128">
        <f t="shared" si="1506"/>
        <v>6.3902964624068581E-2</v>
      </c>
      <c r="IH474" s="21"/>
      <c r="II474" s="19">
        <f t="shared" si="1507"/>
        <v>1199.9999999999998</v>
      </c>
      <c r="IJ474" s="19">
        <f t="shared" si="1508"/>
        <v>2195.4782357510435</v>
      </c>
      <c r="IK474" s="19">
        <f t="shared" si="1509"/>
        <v>-571</v>
      </c>
      <c r="IL474" s="19">
        <f t="shared" si="1510"/>
        <v>1150.0000000000002</v>
      </c>
      <c r="IM474" s="19">
        <f t="shared" si="1511"/>
        <v>1472.1973683961646</v>
      </c>
      <c r="IN474" s="19">
        <f t="shared" si="1512"/>
        <v>325</v>
      </c>
      <c r="IO474" s="39">
        <f t="shared" si="1513"/>
        <v>0</v>
      </c>
      <c r="IP474" s="39">
        <f t="shared" si="1514"/>
        <v>0</v>
      </c>
      <c r="IQ474" s="39">
        <f t="shared" si="1515"/>
        <v>0</v>
      </c>
      <c r="IR474" s="39">
        <v>0</v>
      </c>
      <c r="IS474" s="39">
        <v>0</v>
      </c>
      <c r="IT474" s="39">
        <v>0</v>
      </c>
      <c r="IU474" s="39">
        <v>0</v>
      </c>
      <c r="IV474" s="39">
        <v>0</v>
      </c>
      <c r="IW474" s="39">
        <v>0</v>
      </c>
      <c r="IX474" s="39">
        <f>INDEX(Input!$1:$1048576,IX$93,$C474*2+6)+INDEX(Input!$1:$1048576,IX$94,$C474*2+6)</f>
        <v>1600</v>
      </c>
      <c r="IY474" s="39">
        <f>INDEX(Input!$1:$1048576,IY$93,$C474*2+6)+INDEX(Input!$1:$1048576,IY$94,$C474*2+6)</f>
        <v>2503.549291639752</v>
      </c>
      <c r="IZ474" s="39">
        <f>INDEX(Input!$1:$1048576,IZ$93,$C474*2+6)+INDEX(Input!$1:$1048576,IZ$94,$C474*2+6)</f>
        <v>5413.7109265464023</v>
      </c>
      <c r="JA474" s="19">
        <f t="shared" si="1516"/>
        <v>2750</v>
      </c>
      <c r="JB474" s="19">
        <f t="shared" si="1517"/>
        <v>3975.7466600359166</v>
      </c>
      <c r="JC474" s="19">
        <f t="shared" si="1518"/>
        <v>5738.7109265464023</v>
      </c>
      <c r="JD474" s="19">
        <f t="shared" si="1519"/>
        <v>3529.619260187922</v>
      </c>
      <c r="JE474" s="21"/>
      <c r="JF474" s="1">
        <f t="shared" si="1520"/>
        <v>7.6210291289252219E-2</v>
      </c>
      <c r="JG474" s="15">
        <f>INDEX(Input!$1:$1048576,JG$93,$C474*2+6)/(1+VLOOKUP(C474*1000+INDEX(Input!$1:$1048576,JG$93+1,$C474*2+6),$A:$KK,$JK$92,FALSE))</f>
        <v>1859</v>
      </c>
      <c r="JH474" s="1">
        <f t="shared" si="1521"/>
        <v>0.13029766935357937</v>
      </c>
      <c r="JI474" s="1">
        <f t="shared" si="1522"/>
        <v>0.1022200615454235</v>
      </c>
      <c r="JJ474" s="1">
        <f t="shared" si="1523"/>
        <v>0</v>
      </c>
      <c r="JK474" s="1">
        <f t="shared" si="1524"/>
        <v>0.23251773089900285</v>
      </c>
      <c r="JL474" s="15">
        <f t="shared" si="1525"/>
        <v>432.25046174124628</v>
      </c>
      <c r="JM474" s="15">
        <f t="shared" si="1526"/>
        <v>2291.2504617412465</v>
      </c>
      <c r="JN474" s="21"/>
      <c r="JO474" s="19">
        <f>INDEX(Input!$1:$1048576,JO$93,$C474*2+6)</f>
        <v>5908.5</v>
      </c>
      <c r="JP474" s="19">
        <f>INDEX(Input!$1:$1048576,JP$93,$C474*2+6)</f>
        <v>2328.1478086338602</v>
      </c>
      <c r="JQ474" s="39">
        <f t="shared" si="1527"/>
        <v>2378.880739812078</v>
      </c>
      <c r="JR474" s="39">
        <f t="shared" si="1528"/>
        <v>1201.4714515540618</v>
      </c>
      <c r="JS474" s="39">
        <f t="shared" si="1529"/>
        <v>8.0872417596763722</v>
      </c>
      <c r="JT474" s="39">
        <f t="shared" si="1530"/>
        <v>3.759214983426026</v>
      </c>
      <c r="JU474" s="385">
        <f>(JQ474*JM474-INDEX(Input!$1:$1048576,Input!A$18,$C474*2+6)*JL474*INDEX(Input!$1:$1048576,Input!A$19,$C474*2+6))/1000000</f>
        <v>5.4506115935217814</v>
      </c>
      <c r="JV474" s="39">
        <f t="shared" si="1531"/>
        <v>-1.2052631302278725</v>
      </c>
      <c r="JW474" s="1">
        <f t="shared" si="1532"/>
        <v>-0.18108260450384128</v>
      </c>
      <c r="JX474" s="19">
        <f t="shared" si="1533"/>
        <v>8696.844344093186</v>
      </c>
      <c r="JZ474" s="341"/>
      <c r="KA474" s="342"/>
      <c r="KB474" s="469">
        <f t="shared" si="1548"/>
        <v>2.3451977905499271</v>
      </c>
      <c r="KI474" s="473">
        <f t="shared" si="1534"/>
        <v>200.52153188871512</v>
      </c>
      <c r="KJ474" s="473">
        <f t="shared" si="1535"/>
        <v>235.31123265099973</v>
      </c>
      <c r="KK474" s="473">
        <f t="shared" si="1536"/>
        <v>-3.5823027984683335</v>
      </c>
      <c r="KN474" s="544">
        <f t="shared" si="1537"/>
        <v>4002</v>
      </c>
      <c r="KO474" s="541">
        <f t="shared" si="1538"/>
        <v>0.1469788050105032</v>
      </c>
      <c r="KP474" s="546">
        <f t="shared" si="1539"/>
        <v>856.75093409227634</v>
      </c>
      <c r="KQ474" s="546">
        <f t="shared" si="1540"/>
        <v>805.87569858992629</v>
      </c>
      <c r="KR474" s="548">
        <f t="shared" si="1541"/>
        <v>2.9114820790781586</v>
      </c>
      <c r="KS474" s="548">
        <f t="shared" si="1542"/>
        <v>3.0952850361510031</v>
      </c>
      <c r="KT474" s="473">
        <f t="shared" si="1549"/>
        <v>1050.27685337919</v>
      </c>
      <c r="KU474" s="663">
        <f t="shared" si="1543"/>
        <v>6.5931316872581736</v>
      </c>
    </row>
    <row r="475" spans="1:308" s="26" customFormat="1" ht="15" outlineLevel="1">
      <c r="A475" s="561">
        <f t="shared" si="1550"/>
        <v>4075</v>
      </c>
      <c r="B475" s="561">
        <f t="shared" si="1551"/>
        <v>75</v>
      </c>
      <c r="C475" s="561">
        <f t="shared" si="1552"/>
        <v>4</v>
      </c>
      <c r="D475" s="561" t="str">
        <f t="shared" si="1413"/>
        <v xml:space="preserve">500 CC, 0/1.8/2.8/3.9, 1000 Combo, </v>
      </c>
      <c r="E475" s="475">
        <f>INDEX(Input!$1:$1048576,E$93,$C475*2+MIN($B475,2)+5)
+INDEX(Scenarios!E$121:E$200,MATCH($B475,Scenarios!$B$121:$B$200,0))</f>
        <v>1750</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1000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2.7999999999999997E-2</v>
      </c>
      <c r="W475" s="863">
        <f>IFERROR(MAX(0,INDEX(Input!$1:$1048576,W$93,$C475*2+MIN($B475,2)+5)-0%,),"Market")</f>
        <v>3.9E-2</v>
      </c>
      <c r="X475" s="476" t="str">
        <f>INDEX(Input!$1:$1048576,X$93,$C475*2+MIN($B475,2)+5)</f>
        <v>Y</v>
      </c>
      <c r="Y475" s="475">
        <f>INDEX(Input!$1:$1048576,Y$93,$C475*2+MIN($B475,2)+5)
++INDEX(Scenarios!Y$121:Y$200,MATCH($B475,Scenarios!$B$121:$B$200,0))</f>
        <v>-2217</v>
      </c>
      <c r="Z475" s="477">
        <f>INDEX(Input!$1:$1048576,Z$93,$C475*2+MIN($B475,2)+5)
+INDEX(Scenarios!Z$121:Z$200,MATCH($B475,Scenarios!$B$121:$B$200,0))</f>
        <v>0</v>
      </c>
      <c r="AA475" s="475">
        <f>INDEX(Input!$1:$1048576,AA$93,$C475*2+MIN($B475,2)+5)</f>
        <v>0</v>
      </c>
      <c r="AB475" s="476">
        <f>INDEX(Input!$1:$1048576,AB$93,$C475*2+MIN($B475,2)+5)</f>
        <v>1</v>
      </c>
      <c r="AC475" s="475">
        <f>INDEX(Input!$1:$1048576,AC$93,$C475*2+MIN($B475,2)+5)
+INDEX(Scenarios!AC$121:AC$200,MATCH($B475,Scenarios!$B$121:$B$200,0))</f>
        <v>0</v>
      </c>
      <c r="AD475" s="476">
        <f>INDEX(Input!$1:$1048576,AD$93,$C475*2+MIN($B475,2)+5)</f>
        <v>0.35</v>
      </c>
      <c r="AE475" s="475">
        <f>INDEX(Input!$1:$1048576,AE$93,$C475*2+MIN($B475,2)+5)
+INDEX(Scenarios!AE$121:AE$200,MATCH($B475,Scenarios!$B$121:$B$200,0))</f>
        <v>0</v>
      </c>
      <c r="AF475" s="476">
        <f>INDEX(Input!$1:$1048576,AF$93,$C475*2+MIN($B475,2)+5)</f>
        <v>1</v>
      </c>
      <c r="AG475" s="475">
        <f>INDEX(Input!$1:$1048576,AG$93,$C475*2+MIN($B475,2)+5)
+INDEX(Scenarios!AG$121:AG$200,MATCH($B475,Scenarios!$B$121:$B$200,0))</f>
        <v>0</v>
      </c>
      <c r="AH475" s="476">
        <f>INDEX(Input!$1:$1048576,AH$93,$C475*2+MIN($B475,2)+5)</f>
        <v>1</v>
      </c>
      <c r="AI475" s="475">
        <f>INDEX(Input!$1:$1048576,AI$93,$C475*2+MIN($B475,2)+5)
+INDEX(Scenarios!AI$121:AI$200,MATCH($B475,Scenarios!$B$121:$B$200,0))</f>
        <v>0</v>
      </c>
      <c r="AJ475" s="476">
        <f>INDEX(Input!$1:$1048576,AJ$93,$C475*2+MIN($B475,2)+5)</f>
        <v>0.35</v>
      </c>
      <c r="AK475" s="150">
        <f>ROUND(INDEX(Input!$1:$1048576,AK$93,$C474*2+MIN($B475,1)+5)+(Y475-VLOOKUP($C475*1000+1,$A:$HH,Y$92,FALSE)),0)</f>
        <v>4592</v>
      </c>
      <c r="AL475" s="150">
        <f>ROUND(INDEX(Input!$1:$1048576,AL$93,$C474*2+MIN($B475,1)+5)-(Y475-VLOOKUP($C475*1000+1,$A:$HH,Y$92,FALSE))/36,0)</f>
        <v>4743</v>
      </c>
      <c r="AM475" s="32" t="str">
        <f t="shared" si="1553"/>
        <v>std/std/std/std</v>
      </c>
      <c r="AN475" s="32" t="str">
        <f t="shared" si="1554"/>
        <v>$1000 + 0/0/0/2.8/3.9</v>
      </c>
      <c r="AO475" s="32" t="str">
        <f t="shared" si="1555"/>
        <v>0/0/0/2.8/3.9</v>
      </c>
      <c r="AP475" s="32" t="str">
        <f t="shared" si="1386"/>
        <v>0/1.8/2.8/3.9</v>
      </c>
      <c r="AQ475" s="536">
        <f t="shared" si="1379"/>
        <v>0.45453574497954041</v>
      </c>
      <c r="AR475" s="32"/>
      <c r="AS475" s="302"/>
      <c r="AT475" s="3">
        <f t="shared" si="1556"/>
        <v>75</v>
      </c>
      <c r="AU475" s="41" t="s">
        <v>121</v>
      </c>
      <c r="AV475" s="41" t="s">
        <v>116</v>
      </c>
      <c r="AW475" s="41" t="str">
        <f>INDEX(Input!$1:$1048576,AW$93,$C475*2+6)</f>
        <v>Kia</v>
      </c>
      <c r="AX475" s="41" t="str">
        <f>INDEX(Input!$1:$1048576,AX$93,$C475*2+6)</f>
        <v>Kia-LR - R1</v>
      </c>
      <c r="AY475" s="41" t="str">
        <f>IF(LEN(D475)=0,"",INDEX(Input!$1:$1048576,AY$93,$C475*2+6))</f>
        <v>Compact Conventional/Sporty Car (43)</v>
      </c>
      <c r="AZ475" s="41" t="str">
        <f>INDEX(Input!$1:$1048576,AZ$93,$C475*2+6)</f>
        <v>Kia Forte</v>
      </c>
      <c r="BA475" s="3">
        <f>INDEX(Input!$1:$1048576,BA$93,$C475*2+6)</f>
        <v>2020</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19695</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387"/>
        <v>2060</v>
      </c>
      <c r="CJ475" s="16" t="str">
        <f>INDEX(Input!$1:$1048576,CJ$93,$C475*2+6)</f>
        <v>N</v>
      </c>
      <c r="CK475" s="1" t="str">
        <f t="shared" si="1388"/>
        <v>Market</v>
      </c>
      <c r="CL475" s="1" t="str">
        <f t="shared" si="1389"/>
        <v>Market</v>
      </c>
      <c r="CM475" s="1" t="str">
        <f t="shared" si="1390"/>
        <v>Market</v>
      </c>
      <c r="CN475" s="1" t="str">
        <f t="shared" si="1391"/>
        <v>Market</v>
      </c>
      <c r="CO475" s="1" t="str">
        <f t="shared" si="1392"/>
        <v>Market</v>
      </c>
      <c r="CP475" s="304">
        <f t="shared" si="1393"/>
        <v>1000</v>
      </c>
      <c r="CQ475" s="1">
        <f t="shared" si="1394"/>
        <v>0</v>
      </c>
      <c r="CR475" s="1">
        <f t="shared" si="1395"/>
        <v>0</v>
      </c>
      <c r="CS475" s="1">
        <f t="shared" si="1396"/>
        <v>0</v>
      </c>
      <c r="CT475" s="1">
        <f t="shared" si="1397"/>
        <v>2.7999999999999997E-2</v>
      </c>
      <c r="CU475" s="1">
        <f t="shared" si="1398"/>
        <v>3.9E-2</v>
      </c>
      <c r="CV475" s="304">
        <f t="shared" si="1399"/>
        <v>-2217</v>
      </c>
      <c r="CW475" s="20" t="s">
        <v>122</v>
      </c>
      <c r="CX475" s="20" t="s">
        <v>122</v>
      </c>
      <c r="CY475" s="20" t="s">
        <v>122</v>
      </c>
      <c r="CZ475" s="20" t="s">
        <v>122</v>
      </c>
      <c r="DA475" s="20" t="s">
        <v>122</v>
      </c>
      <c r="DB475" s="503">
        <f t="shared" si="1400"/>
        <v>0</v>
      </c>
      <c r="DC475" s="127">
        <v>0</v>
      </c>
      <c r="DD475" s="127">
        <v>0</v>
      </c>
      <c r="DE475" s="127">
        <v>0</v>
      </c>
      <c r="DF475" s="127">
        <v>0</v>
      </c>
      <c r="DG475" s="127">
        <v>0</v>
      </c>
      <c r="DH475" s="127">
        <v>0</v>
      </c>
      <c r="DI475" s="127">
        <v>0</v>
      </c>
      <c r="DJ475" s="127">
        <v>0</v>
      </c>
      <c r="DK475" s="127">
        <v>0</v>
      </c>
      <c r="DL475" s="127">
        <v>0</v>
      </c>
      <c r="DM475" s="304">
        <f>INDEX(Input!$1:$1048576,DM$93,$C475*2+6)</f>
        <v>20731.578947368424</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4.6945536707200627E-2</v>
      </c>
      <c r="DZ475" s="7">
        <v>0</v>
      </c>
      <c r="EA475" s="7">
        <v>0.83876515832529897</v>
      </c>
      <c r="EB475" s="7">
        <v>0</v>
      </c>
      <c r="EC475" s="7">
        <v>0</v>
      </c>
      <c r="ED475" s="7">
        <v>0</v>
      </c>
      <c r="EE475" s="7">
        <v>0</v>
      </c>
      <c r="EF475" s="7">
        <v>0</v>
      </c>
      <c r="EG475" s="7">
        <v>0</v>
      </c>
      <c r="EH475" s="7">
        <v>1.6624403145781619E-2</v>
      </c>
      <c r="EI475" s="7">
        <v>2.6707320449764614E-2</v>
      </c>
      <c r="EJ475" s="7">
        <v>0.2505480177879037</v>
      </c>
      <c r="EK475" s="7">
        <v>0.62744345840387628</v>
      </c>
      <c r="EL475" s="7">
        <v>7.8676800212674203E-2</v>
      </c>
      <c r="EM475" s="7">
        <v>2.7322154936384003E-2</v>
      </c>
      <c r="EN475" s="7">
        <v>4.6911755038718285E-2</v>
      </c>
      <c r="EO475" s="7">
        <v>0.57066027554592613</v>
      </c>
      <c r="EP475" s="7">
        <v>0.2695330606259726</v>
      </c>
      <c r="EQ475" s="7">
        <v>6.7896602390545929E-2</v>
      </c>
      <c r="ER475" s="7">
        <v>4.4998306398837173E-2</v>
      </c>
      <c r="ES475" s="7">
        <v>8.6967150031116353E-2</v>
      </c>
      <c r="ET475" s="7">
        <v>0.11428930496750038</v>
      </c>
      <c r="EU475" s="6">
        <v>2100</v>
      </c>
      <c r="EV475" s="6">
        <v>0</v>
      </c>
      <c r="EW475" s="6">
        <v>2100</v>
      </c>
      <c r="EX475" s="6">
        <v>0</v>
      </c>
      <c r="EY475" s="6">
        <v>3324.1768777773204</v>
      </c>
      <c r="EZ475" s="6">
        <v>-246</v>
      </c>
      <c r="FA475" s="6">
        <v>0</v>
      </c>
      <c r="FB475" s="6">
        <v>0</v>
      </c>
      <c r="FC475" s="6">
        <v>0</v>
      </c>
      <c r="FD475" s="6">
        <v>0</v>
      </c>
      <c r="FE475" s="6">
        <v>0</v>
      </c>
      <c r="FF475" s="6">
        <v>0</v>
      </c>
      <c r="FG475" s="6">
        <v>0</v>
      </c>
      <c r="FH475" s="6">
        <v>1153.2416973756917</v>
      </c>
      <c r="FI475" s="6">
        <v>1531.4299904380616</v>
      </c>
      <c r="FJ475" s="6">
        <v>2070.7205842538219</v>
      </c>
      <c r="FK475" s="6">
        <v>1314.7946049255022</v>
      </c>
      <c r="FL475" s="6">
        <v>893.9143356348934</v>
      </c>
      <c r="FM475" s="6">
        <v>1474.1768777773202</v>
      </c>
      <c r="FN475" s="6">
        <v>0</v>
      </c>
      <c r="FO475" s="6">
        <v>0</v>
      </c>
      <c r="FP475" s="6">
        <v>0</v>
      </c>
      <c r="FQ475" s="6">
        <v>0</v>
      </c>
      <c r="FR475" s="6">
        <v>0</v>
      </c>
      <c r="FS475" s="6">
        <v>0</v>
      </c>
      <c r="FT475" s="7">
        <v>0.88571069503249955</v>
      </c>
      <c r="FU475" s="7">
        <v>2.7322154936384003E-2</v>
      </c>
      <c r="FV475" s="7">
        <v>8.6967150031116353E-2</v>
      </c>
      <c r="FW475" s="6">
        <v>2100</v>
      </c>
      <c r="FX475" s="6">
        <v>3324.1768777773204</v>
      </c>
      <c r="FY475" s="6">
        <v>-246</v>
      </c>
      <c r="FZ475" s="6">
        <v>1695.8504614767719</v>
      </c>
      <c r="GA475" s="6">
        <v>1929.4222163511718</v>
      </c>
      <c r="GB475" s="6">
        <v>17765.577783648827</v>
      </c>
      <c r="GC475" s="7">
        <v>8.1891069685915169E-2</v>
      </c>
      <c r="GD475" s="7">
        <v>8.3928091669821972E-2</v>
      </c>
      <c r="GE475" s="7"/>
      <c r="GF475" s="7"/>
      <c r="GG475" s="7">
        <v>2.4874775622294263E-2</v>
      </c>
      <c r="GH475" s="42">
        <v>2.0974655353534826</v>
      </c>
      <c r="GI475" s="6">
        <v>11319.326206683409</v>
      </c>
      <c r="GJ475" s="14">
        <v>0.51074630601039539</v>
      </c>
      <c r="GK475" s="14">
        <v>0.50829519786160959</v>
      </c>
      <c r="GL475" s="14">
        <v>0.48925369398960417</v>
      </c>
      <c r="GM475" s="14">
        <v>0.49170480213839007</v>
      </c>
      <c r="GO475" s="5">
        <v>338.16872463277008</v>
      </c>
      <c r="GP475" s="5">
        <v>298.1047308538179</v>
      </c>
      <c r="GQ475" s="5">
        <v>527.27910984145694</v>
      </c>
      <c r="GR475" s="5">
        <v>404.20319246551543</v>
      </c>
      <c r="GS475" s="5">
        <v>334.50205195691484</v>
      </c>
      <c r="GT475" s="5">
        <v>289.18266033348181</v>
      </c>
      <c r="GU475" s="5">
        <v>254.29573314828914</v>
      </c>
      <c r="GV475" s="39" t="s">
        <v>392</v>
      </c>
      <c r="GW475" s="5">
        <v>440.98611111111109</v>
      </c>
      <c r="GX475" s="5">
        <v>330.73958333333331</v>
      </c>
      <c r="GY475" s="5">
        <v>264.59166666666664</v>
      </c>
      <c r="GZ475" s="5">
        <v>239.78936683672671</v>
      </c>
      <c r="HA475" s="5">
        <v>216.26912746293829</v>
      </c>
      <c r="HB475" s="39">
        <v>249.92684908692013</v>
      </c>
      <c r="HC475" s="5">
        <v>293.87812499999995</v>
      </c>
      <c r="HD475" s="5">
        <v>243.67143640350872</v>
      </c>
      <c r="HE475" s="5">
        <v>244.28647520242913</v>
      </c>
      <c r="HF475" s="5">
        <v>223.39192434210526</v>
      </c>
      <c r="HG475" s="5">
        <v>212.2899342105263</v>
      </c>
      <c r="HH475" s="39">
        <v>243.40346915208627</v>
      </c>
      <c r="HI475" s="16"/>
      <c r="HJ475" s="19" t="str">
        <f t="shared" ref="HJ475:HK475" si="1569">HJ474</f>
        <v>On</v>
      </c>
      <c r="HK475" s="1" t="str">
        <f t="shared" si="1569"/>
        <v>On</v>
      </c>
      <c r="HL475" s="16"/>
      <c r="HM475" s="639">
        <f t="shared" si="1493"/>
        <v>6.6115095157691428E-2</v>
      </c>
      <c r="HN475" s="639">
        <f t="shared" si="1494"/>
        <v>2.3720927871164412E-3</v>
      </c>
      <c r="HO475" s="639">
        <f t="shared" si="1495"/>
        <v>7.7231033444443466E-3</v>
      </c>
      <c r="HP475" s="644">
        <f>(FT475*$GD475-HM475)/$JF475*INDEX(Input!$1:$1048576,$JG$93,$C475*2+6)</f>
        <v>200.53299192771749</v>
      </c>
      <c r="HQ475" s="644">
        <f>(FU475*$GD475-HN475)/$JF475*INDEX(Input!$1:$1048576,$JG$93,$C475*2+6)</f>
        <v>-1.9269631729510273</v>
      </c>
      <c r="HR475" s="644">
        <f>(FV475*$GD475-HO475)/$JF475*INDEX(Input!$1:$1048576,$JG$93,$C475*2+6)</f>
        <v>-10.34548461087401</v>
      </c>
      <c r="HS475" s="644">
        <f t="shared" si="1565"/>
        <v>-47.467147963228918</v>
      </c>
      <c r="HT475" s="644">
        <f t="shared" si="1497"/>
        <v>182.15366352359842</v>
      </c>
      <c r="HU475" s="644">
        <f t="shared" si="1498"/>
        <v>11.644654428954244</v>
      </c>
      <c r="HV475" s="648">
        <f t="shared" si="1499"/>
        <v>0</v>
      </c>
      <c r="HW475" s="648">
        <f t="shared" si="1500"/>
        <v>0</v>
      </c>
      <c r="HX475" s="648">
        <f t="shared" si="1501"/>
        <v>0</v>
      </c>
      <c r="HY475" s="644">
        <f>INDEX(Input!$1:$1048576,HY$93,$C475*2+6)*INDEX(Input!$1:$1048576,$JG$93,$C475*2+6)</f>
        <v>844</v>
      </c>
      <c r="HZ475" s="644">
        <f>INDEX(Input!$1:$1048576,HZ$93,$C475*2+6)*INDEX(Input!$1:$1048576,$JG$93,$C475*2+6)</f>
        <v>865</v>
      </c>
      <c r="IA475" s="644">
        <f>INDEX(Input!$1:$1048576,IA$93,$C475*2+6)*INDEX(Input!$1:$1048576,$JG$93,$C475*2+6)</f>
        <v>150</v>
      </c>
      <c r="IB475" s="644">
        <f t="shared" si="1502"/>
        <v>997.06584396448841</v>
      </c>
      <c r="IC475" s="644">
        <f t="shared" si="1503"/>
        <v>1045.2267003506474</v>
      </c>
      <c r="ID475" s="644">
        <f>IF(AND(INDEX(Input!$1:$1048576,IA$93,$C475*2+7)="TOS",Y475&lt;=INDEX(Y:Y,MATCH(C475*1000+2,A:A))),0,1)*MAX(IA475+HR475+HU475+HX475,0%)</f>
        <v>151.29916981808026</v>
      </c>
      <c r="IE475" s="128">
        <f t="shared" si="1566"/>
        <v>0.45453574497954041</v>
      </c>
      <c r="IF475" s="128">
        <f t="shared" si="1567"/>
        <v>0.47649099584772192</v>
      </c>
      <c r="IG475" s="128">
        <f t="shared" si="1506"/>
        <v>6.8973259172737694E-2</v>
      </c>
      <c r="IH475" s="21"/>
      <c r="II475" s="19">
        <f t="shared" si="1507"/>
        <v>1199.9999999999998</v>
      </c>
      <c r="IJ475" s="19">
        <f t="shared" si="1508"/>
        <v>2195.4782357510435</v>
      </c>
      <c r="IK475" s="19">
        <f t="shared" si="1509"/>
        <v>-571</v>
      </c>
      <c r="IL475" s="19">
        <f t="shared" si="1510"/>
        <v>900.00000000000023</v>
      </c>
      <c r="IM475" s="19">
        <f t="shared" si="1511"/>
        <v>1128.698642026277</v>
      </c>
      <c r="IN475" s="19">
        <f t="shared" si="1512"/>
        <v>325</v>
      </c>
      <c r="IO475" s="39">
        <f t="shared" si="1513"/>
        <v>0</v>
      </c>
      <c r="IP475" s="39">
        <f t="shared" si="1514"/>
        <v>0</v>
      </c>
      <c r="IQ475" s="39">
        <f t="shared" si="1515"/>
        <v>0</v>
      </c>
      <c r="IR475" s="39">
        <v>0</v>
      </c>
      <c r="IS475" s="39">
        <v>0</v>
      </c>
      <c r="IT475" s="39">
        <v>0</v>
      </c>
      <c r="IU475" s="39">
        <v>0</v>
      </c>
      <c r="IV475" s="39">
        <v>0</v>
      </c>
      <c r="IW475" s="39">
        <v>0</v>
      </c>
      <c r="IX475" s="39">
        <f>INDEX(Input!$1:$1048576,IX$93,$C475*2+6)+INDEX(Input!$1:$1048576,IX$94,$C475*2+6)</f>
        <v>1600</v>
      </c>
      <c r="IY475" s="39">
        <f>INDEX(Input!$1:$1048576,IY$93,$C475*2+6)+INDEX(Input!$1:$1048576,IY$94,$C475*2+6)</f>
        <v>2503.549291639752</v>
      </c>
      <c r="IZ475" s="39">
        <f>INDEX(Input!$1:$1048576,IZ$93,$C475*2+6)+INDEX(Input!$1:$1048576,IZ$94,$C475*2+6)</f>
        <v>5413.7109265464023</v>
      </c>
      <c r="JA475" s="19">
        <f t="shared" si="1516"/>
        <v>2500</v>
      </c>
      <c r="JB475" s="19">
        <f t="shared" si="1517"/>
        <v>3632.247933666029</v>
      </c>
      <c r="JC475" s="19">
        <f t="shared" si="1518"/>
        <v>5738.7109265464023</v>
      </c>
      <c r="JD475" s="19">
        <f t="shared" si="1519"/>
        <v>3262.8903935813141</v>
      </c>
      <c r="JE475" s="21"/>
      <c r="JF475" s="1">
        <f t="shared" si="1520"/>
        <v>7.6210291289252219E-2</v>
      </c>
      <c r="JG475" s="15">
        <f>INDEX(Input!$1:$1048576,JG$93,$C475*2+6)/(1+VLOOKUP(C475*1000+INDEX(Input!$1:$1048576,JG$93+1,$C475*2+6),$A:$KK,$JK$92,FALSE))</f>
        <v>1859</v>
      </c>
      <c r="JH475" s="1">
        <f t="shared" si="1521"/>
        <v>0.10126979243888781</v>
      </c>
      <c r="JI475" s="1">
        <f t="shared" si="1522"/>
        <v>7.871499192540278E-2</v>
      </c>
      <c r="JJ475" s="1">
        <f t="shared" si="1523"/>
        <v>0</v>
      </c>
      <c r="JK475" s="1">
        <f t="shared" si="1524"/>
        <v>0.17998478436429061</v>
      </c>
      <c r="JL475" s="15">
        <f t="shared" si="1525"/>
        <v>334.59171413321621</v>
      </c>
      <c r="JM475" s="15">
        <f t="shared" si="1526"/>
        <v>2193.5917141332161</v>
      </c>
      <c r="JN475" s="21"/>
      <c r="JO475" s="19">
        <f>INDEX(Input!$1:$1048576,JO$93,$C475*2+6)</f>
        <v>5908.5</v>
      </c>
      <c r="JP475" s="19">
        <f>INDEX(Input!$1:$1048576,JP$93,$C475*2+6)</f>
        <v>2328.1478086338602</v>
      </c>
      <c r="JQ475" s="39">
        <f t="shared" si="1527"/>
        <v>2645.6096064186859</v>
      </c>
      <c r="JR475" s="39">
        <f t="shared" si="1528"/>
        <v>934.74258494745391</v>
      </c>
      <c r="JS475" s="39">
        <f t="shared" si="1529"/>
        <v>7.1574493314848393</v>
      </c>
      <c r="JT475" s="39">
        <f t="shared" si="1530"/>
        <v>2.8294225552344927</v>
      </c>
      <c r="JU475" s="385">
        <f>(JQ475*JM475-INDEX(Input!$1:$1048576,Input!A$18,$C475*2+6)*JL475*INDEX(Input!$1:$1048576,Input!A$19,$C475*2+6))/1000000</f>
        <v>5.8033873114712682</v>
      </c>
      <c r="JV475" s="39">
        <f t="shared" si="1531"/>
        <v>-0.85248741227838565</v>
      </c>
      <c r="JW475" s="1">
        <f t="shared" si="1532"/>
        <v>-0.12808044737328353</v>
      </c>
      <c r="JX475" s="19">
        <f t="shared" si="1533"/>
        <v>8456.343763814697</v>
      </c>
      <c r="JZ475" s="341"/>
      <c r="KA475" s="342"/>
      <c r="KB475" s="469">
        <f t="shared" si="1548"/>
        <v>2.3451977905499271</v>
      </c>
      <c r="KI475" s="473">
        <f t="shared" si="1534"/>
        <v>153.06584396448841</v>
      </c>
      <c r="KJ475" s="473">
        <f t="shared" si="1535"/>
        <v>180.22670035064743</v>
      </c>
      <c r="KK475" s="473">
        <f t="shared" si="1536"/>
        <v>1.2991698180802587</v>
      </c>
      <c r="KN475" s="544">
        <f t="shared" si="1537"/>
        <v>4002</v>
      </c>
      <c r="KO475" s="541">
        <f t="shared" si="1538"/>
        <v>9.8091738537134487E-2</v>
      </c>
      <c r="KP475" s="546">
        <f t="shared" si="1539"/>
        <v>574.43815251135925</v>
      </c>
      <c r="KQ475" s="546">
        <f t="shared" si="1540"/>
        <v>539.14683198331841</v>
      </c>
      <c r="KR475" s="548">
        <f t="shared" si="1541"/>
        <v>2.8980318280121034</v>
      </c>
      <c r="KS475" s="548">
        <f t="shared" si="1542"/>
        <v>3.0877303740772013</v>
      </c>
      <c r="KT475" s="473">
        <f t="shared" si="1549"/>
        <v>1050.27685337919</v>
      </c>
      <c r="KU475" s="663">
        <f t="shared" si="1543"/>
        <v>6.570834232812393</v>
      </c>
    </row>
    <row r="476" spans="1:308" s="26" customFormat="1" ht="15" outlineLevel="1">
      <c r="A476" s="561">
        <f t="shared" si="1550"/>
        <v>4076</v>
      </c>
      <c r="B476" s="561">
        <f t="shared" si="1551"/>
        <v>76</v>
      </c>
      <c r="C476" s="561">
        <f t="shared" si="1552"/>
        <v>4</v>
      </c>
      <c r="D476" s="561" t="str">
        <f t="shared" si="1413"/>
        <v xml:space="preserve">750 CC, 0/1.8/2.8/3.9, 1500 Combo, </v>
      </c>
      <c r="E476" s="475">
        <f>INDEX(Input!$1:$1048576,E$93,$C476*2+MIN($B476,2)+5)
+INDEX(Scenarios!E$121:E$200,MATCH($B476,Scenarios!$B$121:$B$200,0))</f>
        <v>2000</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1500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2.7999999999999997E-2</v>
      </c>
      <c r="W476" s="863">
        <f>IFERROR(MAX(0,INDEX(Input!$1:$1048576,W$93,$C476*2+MIN($B476,2)+5)-0%,),"Market")</f>
        <v>3.9E-2</v>
      </c>
      <c r="X476" s="476" t="str">
        <f>INDEX(Input!$1:$1048576,X$93,$C476*2+MIN($B476,2)+5)</f>
        <v>Y</v>
      </c>
      <c r="Y476" s="475">
        <f>INDEX(Input!$1:$1048576,Y$93,$C476*2+MIN($B476,2)+5)
++INDEX(Scenarios!Y$121:Y$200,MATCH($B476,Scenarios!$B$121:$B$200,0))</f>
        <v>-2217</v>
      </c>
      <c r="Z476" s="477">
        <f>INDEX(Input!$1:$1048576,Z$93,$C476*2+MIN($B476,2)+5)
+INDEX(Scenarios!Z$121:Z$200,MATCH($B476,Scenarios!$B$121:$B$200,0))</f>
        <v>0</v>
      </c>
      <c r="AA476" s="475">
        <f>INDEX(Input!$1:$1048576,AA$93,$C476*2+MIN($B476,2)+5)</f>
        <v>0</v>
      </c>
      <c r="AB476" s="476">
        <f>INDEX(Input!$1:$1048576,AB$93,$C476*2+MIN($B476,2)+5)</f>
        <v>1</v>
      </c>
      <c r="AC476" s="475">
        <f>INDEX(Input!$1:$1048576,AC$93,$C476*2+MIN($B476,2)+5)
+INDEX(Scenarios!AC$121:AC$200,MATCH($B476,Scenarios!$B$121:$B$200,0))</f>
        <v>0</v>
      </c>
      <c r="AD476" s="476">
        <f>INDEX(Input!$1:$1048576,AD$93,$C476*2+MIN($B476,2)+5)</f>
        <v>0.35</v>
      </c>
      <c r="AE476" s="475">
        <f>INDEX(Input!$1:$1048576,AE$93,$C476*2+MIN($B476,2)+5)
+INDEX(Scenarios!AE$121:AE$200,MATCH($B476,Scenarios!$B$121:$B$200,0))</f>
        <v>0</v>
      </c>
      <c r="AF476" s="476">
        <f>INDEX(Input!$1:$1048576,AF$93,$C476*2+MIN($B476,2)+5)</f>
        <v>1</v>
      </c>
      <c r="AG476" s="475">
        <f>INDEX(Input!$1:$1048576,AG$93,$C476*2+MIN($B476,2)+5)
+INDEX(Scenarios!AG$121:AG$200,MATCH($B476,Scenarios!$B$121:$B$200,0))</f>
        <v>0</v>
      </c>
      <c r="AH476" s="476">
        <f>INDEX(Input!$1:$1048576,AH$93,$C476*2+MIN($B476,2)+5)</f>
        <v>1</v>
      </c>
      <c r="AI476" s="475">
        <f>INDEX(Input!$1:$1048576,AI$93,$C476*2+MIN($B476,2)+5)
+INDEX(Scenarios!AI$121:AI$200,MATCH($B476,Scenarios!$B$121:$B$200,0))</f>
        <v>0</v>
      </c>
      <c r="AJ476" s="476">
        <f>INDEX(Input!$1:$1048576,AJ$93,$C476*2+MIN($B476,2)+5)</f>
        <v>0.35</v>
      </c>
      <c r="AK476" s="150">
        <f>ROUND(INDEX(Input!$1:$1048576,AK$93,$C475*2+MIN($B476,1)+5)+(Y476-VLOOKUP($C476*1000+1,$A:$HH,Y$92,FALSE)),0)</f>
        <v>4592</v>
      </c>
      <c r="AL476" s="150">
        <f>ROUND(INDEX(Input!$1:$1048576,AL$93,$C475*2+MIN($B476,1)+5)-(Y476-VLOOKUP($C476*1000+1,$A:$HH,Y$92,FALSE))/36,0)</f>
        <v>4743</v>
      </c>
      <c r="AM476" s="32" t="str">
        <f t="shared" si="1553"/>
        <v>std/std/std/std</v>
      </c>
      <c r="AN476" s="32" t="str">
        <f t="shared" si="1554"/>
        <v>$1500 + 0/0/0/2.8/3.9</v>
      </c>
      <c r="AO476" s="32" t="str">
        <f t="shared" si="1555"/>
        <v>0/0/0/2.8/3.9</v>
      </c>
      <c r="AP476" s="32" t="str">
        <f t="shared" si="1386"/>
        <v>0/1.8/2.8/3.9</v>
      </c>
      <c r="AQ476" s="536">
        <f t="shared" si="1379"/>
        <v>0.44869682554956347</v>
      </c>
      <c r="AR476" s="32"/>
      <c r="AS476" s="302"/>
      <c r="AT476" s="3">
        <f t="shared" si="1556"/>
        <v>76</v>
      </c>
      <c r="AU476" s="41" t="s">
        <v>121</v>
      </c>
      <c r="AV476" s="41" t="s">
        <v>116</v>
      </c>
      <c r="AW476" s="41" t="str">
        <f>INDEX(Input!$1:$1048576,AW$93,$C476*2+6)</f>
        <v>Kia</v>
      </c>
      <c r="AX476" s="41" t="str">
        <f>INDEX(Input!$1:$1048576,AX$93,$C476*2+6)</f>
        <v>Kia-LR - R1</v>
      </c>
      <c r="AY476" s="41" t="str">
        <f>IF(LEN(D476)=0,"",INDEX(Input!$1:$1048576,AY$93,$C476*2+6))</f>
        <v>Compact Conventional/Sporty Car (43)</v>
      </c>
      <c r="AZ476" s="41" t="str">
        <f>INDEX(Input!$1:$1048576,AZ$93,$C476*2+6)</f>
        <v>Kia Forte</v>
      </c>
      <c r="BA476" s="3">
        <f>INDEX(Input!$1:$1048576,BA$93,$C476*2+6)</f>
        <v>2020</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19695</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387"/>
        <v>2310</v>
      </c>
      <c r="CJ476" s="16" t="str">
        <f>INDEX(Input!$1:$1048576,CJ$93,$C476*2+6)</f>
        <v>N</v>
      </c>
      <c r="CK476" s="1" t="str">
        <f t="shared" si="1388"/>
        <v>Market</v>
      </c>
      <c r="CL476" s="1" t="str">
        <f t="shared" si="1389"/>
        <v>Market</v>
      </c>
      <c r="CM476" s="1" t="str">
        <f t="shared" si="1390"/>
        <v>Market</v>
      </c>
      <c r="CN476" s="1" t="str">
        <f t="shared" si="1391"/>
        <v>Market</v>
      </c>
      <c r="CO476" s="1" t="str">
        <f t="shared" si="1392"/>
        <v>Market</v>
      </c>
      <c r="CP476" s="304">
        <f t="shared" si="1393"/>
        <v>1500</v>
      </c>
      <c r="CQ476" s="1">
        <f t="shared" si="1394"/>
        <v>0</v>
      </c>
      <c r="CR476" s="1">
        <f t="shared" si="1395"/>
        <v>0</v>
      </c>
      <c r="CS476" s="1">
        <f t="shared" si="1396"/>
        <v>0</v>
      </c>
      <c r="CT476" s="1">
        <f t="shared" si="1397"/>
        <v>2.7999999999999997E-2</v>
      </c>
      <c r="CU476" s="1">
        <f t="shared" si="1398"/>
        <v>3.9E-2</v>
      </c>
      <c r="CV476" s="304">
        <f t="shared" si="1399"/>
        <v>-2217</v>
      </c>
      <c r="CW476" s="20" t="s">
        <v>122</v>
      </c>
      <c r="CX476" s="20" t="s">
        <v>122</v>
      </c>
      <c r="CY476" s="20" t="s">
        <v>122</v>
      </c>
      <c r="CZ476" s="20" t="s">
        <v>122</v>
      </c>
      <c r="DA476" s="20" t="s">
        <v>122</v>
      </c>
      <c r="DB476" s="503">
        <f t="shared" si="1400"/>
        <v>0</v>
      </c>
      <c r="DC476" s="127">
        <v>0</v>
      </c>
      <c r="DD476" s="127">
        <v>0</v>
      </c>
      <c r="DE476" s="127">
        <v>0</v>
      </c>
      <c r="DF476" s="127">
        <v>0</v>
      </c>
      <c r="DG476" s="127">
        <v>0</v>
      </c>
      <c r="DH476" s="127">
        <v>0</v>
      </c>
      <c r="DI476" s="127">
        <v>0</v>
      </c>
      <c r="DJ476" s="127">
        <v>0</v>
      </c>
      <c r="DK476" s="127">
        <v>0</v>
      </c>
      <c r="DL476" s="127">
        <v>0</v>
      </c>
      <c r="DM476" s="304">
        <f>INDEX(Input!$1:$1048576,DM$93,$C476*2+6)</f>
        <v>20731.578947368424</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4.7337841326785909E-2</v>
      </c>
      <c r="DZ476" s="7">
        <v>0</v>
      </c>
      <c r="EA476" s="7">
        <v>0.84162420158252937</v>
      </c>
      <c r="EB476" s="7">
        <v>0</v>
      </c>
      <c r="EC476" s="7">
        <v>0</v>
      </c>
      <c r="ED476" s="7">
        <v>0</v>
      </c>
      <c r="EE476" s="7">
        <v>0</v>
      </c>
      <c r="EF476" s="7">
        <v>0</v>
      </c>
      <c r="EG476" s="7">
        <v>0</v>
      </c>
      <c r="EH476" s="7">
        <v>1.6647611757640693E-2</v>
      </c>
      <c r="EI476" s="7">
        <v>2.6755904471385299E-2</v>
      </c>
      <c r="EJ476" s="7">
        <v>0.25085013224849284</v>
      </c>
      <c r="EK476" s="7">
        <v>0.6271337403196281</v>
      </c>
      <c r="EL476" s="7">
        <v>7.8612611202853372E-2</v>
      </c>
      <c r="EM476" s="7">
        <v>2.9566736123750666E-2</v>
      </c>
      <c r="EN476" s="7">
        <v>4.6889246031786097E-2</v>
      </c>
      <c r="EO476" s="7">
        <v>0.57058030328268716</v>
      </c>
      <c r="EP476" s="7">
        <v>0.26963550482057447</v>
      </c>
      <c r="EQ476" s="7">
        <v>6.7887062586902164E-2</v>
      </c>
      <c r="ER476" s="7">
        <v>4.5007883278050019E-2</v>
      </c>
      <c r="ES476" s="7">
        <v>8.1471220966934099E-2</v>
      </c>
      <c r="ET476" s="7">
        <v>0.11103795709068467</v>
      </c>
      <c r="EU476" s="6">
        <v>2350</v>
      </c>
      <c r="EV476" s="6">
        <v>0</v>
      </c>
      <c r="EW476" s="6">
        <v>2350</v>
      </c>
      <c r="EX476" s="6">
        <v>0</v>
      </c>
      <c r="EY476" s="6">
        <v>3824.4389739241833</v>
      </c>
      <c r="EZ476" s="6">
        <v>-246</v>
      </c>
      <c r="FA476" s="6">
        <v>0</v>
      </c>
      <c r="FB476" s="6">
        <v>0</v>
      </c>
      <c r="FC476" s="6">
        <v>0</v>
      </c>
      <c r="FD476" s="6">
        <v>0</v>
      </c>
      <c r="FE476" s="6">
        <v>0</v>
      </c>
      <c r="FF476" s="6">
        <v>0</v>
      </c>
      <c r="FG476" s="6">
        <v>0</v>
      </c>
      <c r="FH476" s="6">
        <v>1153.2374018710918</v>
      </c>
      <c r="FI476" s="6">
        <v>1531.4299904380607</v>
      </c>
      <c r="FJ476" s="6">
        <v>2070.7205842538219</v>
      </c>
      <c r="FK476" s="6">
        <v>1314.7946049255015</v>
      </c>
      <c r="FL476" s="6">
        <v>893.91433563489386</v>
      </c>
      <c r="FM476" s="6">
        <v>1474.4389739241835</v>
      </c>
      <c r="FN476" s="6">
        <v>0</v>
      </c>
      <c r="FO476" s="6">
        <v>0</v>
      </c>
      <c r="FP476" s="6">
        <v>0</v>
      </c>
      <c r="FQ476" s="6">
        <v>0</v>
      </c>
      <c r="FR476" s="6">
        <v>0</v>
      </c>
      <c r="FS476" s="6">
        <v>0</v>
      </c>
      <c r="FT476" s="7">
        <v>0.88896204290931524</v>
      </c>
      <c r="FU476" s="7">
        <v>2.9566736123750666E-2</v>
      </c>
      <c r="FV476" s="7">
        <v>8.1471220966934099E-2</v>
      </c>
      <c r="FW476" s="6">
        <v>2350</v>
      </c>
      <c r="FX476" s="6">
        <v>3824.4389739241833</v>
      </c>
      <c r="FY476" s="6">
        <v>-246</v>
      </c>
      <c r="FZ476" s="6">
        <v>1695.8504614767719</v>
      </c>
      <c r="GA476" s="6">
        <v>2182.095058442429</v>
      </c>
      <c r="GB476" s="6">
        <v>17512.904941557572</v>
      </c>
      <c r="GC476" s="7">
        <v>8.1891069685915169E-2</v>
      </c>
      <c r="GD476" s="7">
        <v>8.6255962436241312E-2</v>
      </c>
      <c r="GE476" s="7"/>
      <c r="GF476" s="7"/>
      <c r="GG476" s="7">
        <v>5.3301205700050612E-2</v>
      </c>
      <c r="GH476" s="42">
        <v>2.1589283517255011</v>
      </c>
      <c r="GI476" s="6">
        <v>11304.676631961982</v>
      </c>
      <c r="GJ476" s="14">
        <v>0.51074630601039561</v>
      </c>
      <c r="GK476" s="14">
        <v>0.5082951978616097</v>
      </c>
      <c r="GL476" s="14">
        <v>0.48925369398960433</v>
      </c>
      <c r="GM476" s="14">
        <v>0.49170480213839068</v>
      </c>
      <c r="GO476" s="5">
        <v>338.16872463277008</v>
      </c>
      <c r="GP476" s="5">
        <v>293.33520778489498</v>
      </c>
      <c r="GQ476" s="5">
        <v>527.27910984145694</v>
      </c>
      <c r="GR476" s="5">
        <v>404.20319246551543</v>
      </c>
      <c r="GS476" s="5">
        <v>334.50205195691484</v>
      </c>
      <c r="GT476" s="5">
        <v>289.18266033348181</v>
      </c>
      <c r="GU476" s="5">
        <v>254.29573314828914</v>
      </c>
      <c r="GV476" s="39" t="s">
        <v>392</v>
      </c>
      <c r="GW476" s="5">
        <v>427.09722222222223</v>
      </c>
      <c r="GX476" s="5">
        <v>320.32291666666669</v>
      </c>
      <c r="GY476" s="5">
        <v>256.25833333333333</v>
      </c>
      <c r="GZ476" s="5">
        <v>232.23718369803106</v>
      </c>
      <c r="HA476" s="5">
        <v>209.45771593376006</v>
      </c>
      <c r="HB476" s="39">
        <v>242.07290654307738</v>
      </c>
      <c r="HC476" s="5">
        <v>293.87812499999995</v>
      </c>
      <c r="HD476" s="5">
        <v>243.67143640350872</v>
      </c>
      <c r="HE476" s="5">
        <v>244.28647520242913</v>
      </c>
      <c r="HF476" s="5">
        <v>223.39192434210526</v>
      </c>
      <c r="HG476" s="5">
        <v>212.2899342105263</v>
      </c>
      <c r="HH476" s="39">
        <v>243.40229498224605</v>
      </c>
      <c r="HI476" s="16"/>
      <c r="HJ476" s="19" t="str">
        <f t="shared" ref="HJ476:HK476" si="1570">HJ475</f>
        <v>On</v>
      </c>
      <c r="HK476" s="1" t="str">
        <f t="shared" si="1570"/>
        <v>On</v>
      </c>
      <c r="HL476" s="16"/>
      <c r="HM476" s="639">
        <f t="shared" si="1493"/>
        <v>6.6115095157691428E-2</v>
      </c>
      <c r="HN476" s="639">
        <f t="shared" si="1494"/>
        <v>2.3720927871164412E-3</v>
      </c>
      <c r="HO476" s="639">
        <f t="shared" si="1495"/>
        <v>7.7231033444443466E-3</v>
      </c>
      <c r="HP476" s="644">
        <f>(FT476*$GD476-HM476)/$JF476*INDEX(Input!$1:$1048576,$JG$93,$C476*2+6)</f>
        <v>257.66801218933017</v>
      </c>
      <c r="HQ476" s="644">
        <f>(FU476*$GD476-HN476)/$JF476*INDEX(Input!$1:$1048576,$JG$93,$C476*2+6)</f>
        <v>4.3471916654181566</v>
      </c>
      <c r="HR476" s="644">
        <f>(FV476*$GD476-HO476)/$JF476*INDEX(Input!$1:$1048576,$JG$93,$C476*2+6)</f>
        <v>-16.970835878603079</v>
      </c>
      <c r="HS476" s="644">
        <f t="shared" si="1565"/>
        <v>-60.690910332876747</v>
      </c>
      <c r="HT476" s="644">
        <f t="shared" si="1497"/>
        <v>263.6389132990555</v>
      </c>
      <c r="HU476" s="644">
        <f t="shared" si="1498"/>
        <v>13.008668916751228</v>
      </c>
      <c r="HV476" s="648">
        <f t="shared" si="1499"/>
        <v>0</v>
      </c>
      <c r="HW476" s="648">
        <f t="shared" si="1500"/>
        <v>0</v>
      </c>
      <c r="HX476" s="648">
        <f t="shared" si="1501"/>
        <v>0</v>
      </c>
      <c r="HY476" s="644">
        <f>INDEX(Input!$1:$1048576,HY$93,$C476*2+6)*INDEX(Input!$1:$1048576,$JG$93,$C476*2+6)</f>
        <v>844</v>
      </c>
      <c r="HZ476" s="644">
        <f>INDEX(Input!$1:$1048576,HZ$93,$C476*2+6)*INDEX(Input!$1:$1048576,$JG$93,$C476*2+6)</f>
        <v>865</v>
      </c>
      <c r="IA476" s="644">
        <f>INDEX(Input!$1:$1048576,IA$93,$C476*2+6)*INDEX(Input!$1:$1048576,$JG$93,$C476*2+6)</f>
        <v>150</v>
      </c>
      <c r="IB476" s="644">
        <f t="shared" si="1502"/>
        <v>1040.9771018564534</v>
      </c>
      <c r="IC476" s="644">
        <f t="shared" si="1503"/>
        <v>1132.9861049644737</v>
      </c>
      <c r="ID476" s="644">
        <f>IF(AND(INDEX(Input!$1:$1048576,IA$93,$C476*2+7)="TOS",Y476&lt;=INDEX(Y:Y,MATCH(C476*1000+2,A:A))),0,1)*MAX(IA476+HR476+HU476+HX476,0%)</f>
        <v>146.03783303814814</v>
      </c>
      <c r="IE476" s="128">
        <f t="shared" si="1566"/>
        <v>0.44869682554956347</v>
      </c>
      <c r="IF476" s="128">
        <f t="shared" si="1567"/>
        <v>0.48835586083758614</v>
      </c>
      <c r="IG476" s="128">
        <f t="shared" si="1506"/>
        <v>6.2947313612850345E-2</v>
      </c>
      <c r="IH476" s="21"/>
      <c r="II476" s="19">
        <f t="shared" si="1507"/>
        <v>1199.9999999999998</v>
      </c>
      <c r="IJ476" s="19">
        <f t="shared" si="1508"/>
        <v>2195.4782357510435</v>
      </c>
      <c r="IK476" s="19">
        <f t="shared" si="1509"/>
        <v>-571</v>
      </c>
      <c r="IL476" s="19">
        <f t="shared" si="1510"/>
        <v>1150.0000000000002</v>
      </c>
      <c r="IM476" s="19">
        <f t="shared" si="1511"/>
        <v>1628.9607381731398</v>
      </c>
      <c r="IN476" s="19">
        <f t="shared" si="1512"/>
        <v>325</v>
      </c>
      <c r="IO476" s="39">
        <f t="shared" si="1513"/>
        <v>0</v>
      </c>
      <c r="IP476" s="39">
        <f t="shared" si="1514"/>
        <v>0</v>
      </c>
      <c r="IQ476" s="39">
        <f t="shared" si="1515"/>
        <v>0</v>
      </c>
      <c r="IR476" s="39">
        <v>0</v>
      </c>
      <c r="IS476" s="39">
        <v>0</v>
      </c>
      <c r="IT476" s="39">
        <v>0</v>
      </c>
      <c r="IU476" s="39">
        <v>0</v>
      </c>
      <c r="IV476" s="39">
        <v>0</v>
      </c>
      <c r="IW476" s="39">
        <v>0</v>
      </c>
      <c r="IX476" s="39">
        <f>INDEX(Input!$1:$1048576,IX$93,$C476*2+6)+INDEX(Input!$1:$1048576,IX$94,$C476*2+6)</f>
        <v>1600</v>
      </c>
      <c r="IY476" s="39">
        <f>INDEX(Input!$1:$1048576,IY$93,$C476*2+6)+INDEX(Input!$1:$1048576,IY$94,$C476*2+6)</f>
        <v>2503.549291639752</v>
      </c>
      <c r="IZ476" s="39">
        <f>INDEX(Input!$1:$1048576,IZ$93,$C476*2+6)+INDEX(Input!$1:$1048576,IZ$94,$C476*2+6)</f>
        <v>5413.7109265464023</v>
      </c>
      <c r="JA476" s="19">
        <f t="shared" si="1516"/>
        <v>2750</v>
      </c>
      <c r="JB476" s="19">
        <f t="shared" si="1517"/>
        <v>4132.5100298128918</v>
      </c>
      <c r="JC476" s="19">
        <f t="shared" si="1518"/>
        <v>5738.7109265464023</v>
      </c>
      <c r="JD476" s="19">
        <f t="shared" si="1519"/>
        <v>3613.2881997173404</v>
      </c>
      <c r="JE476" s="21"/>
      <c r="JF476" s="1">
        <f t="shared" si="1520"/>
        <v>7.6210291289252219E-2</v>
      </c>
      <c r="JG476" s="15">
        <f>INDEX(Input!$1:$1048576,JG$93,$C476*2+6)/(1+VLOOKUP(C476*1000+INDEX(Input!$1:$1048576,JG$93+1,$C476*2+6),$A:$KK,$JK$92,FALSE))</f>
        <v>1859</v>
      </c>
      <c r="JH476" s="1">
        <f t="shared" si="1521"/>
        <v>0.13181515221955098</v>
      </c>
      <c r="JI476" s="1">
        <f t="shared" si="1522"/>
        <v>0.11616819358952661</v>
      </c>
      <c r="JJ476" s="1">
        <f t="shared" si="1523"/>
        <v>0</v>
      </c>
      <c r="JK476" s="1">
        <f t="shared" si="1524"/>
        <v>0.2479833458090776</v>
      </c>
      <c r="JL476" s="15">
        <f t="shared" si="1525"/>
        <v>461.00103985907526</v>
      </c>
      <c r="JM476" s="15">
        <f t="shared" si="1526"/>
        <v>2320.0010398590753</v>
      </c>
      <c r="JN476" s="21"/>
      <c r="JO476" s="19">
        <f>INDEX(Input!$1:$1048576,JO$93,$C476*2+6)</f>
        <v>5908.5</v>
      </c>
      <c r="JP476" s="19">
        <f>INDEX(Input!$1:$1048576,JP$93,$C476*2+6)</f>
        <v>2328.1478086338602</v>
      </c>
      <c r="JQ476" s="39">
        <f t="shared" si="1527"/>
        <v>2295.2118002826596</v>
      </c>
      <c r="JR476" s="39">
        <f t="shared" si="1528"/>
        <v>1285.1403910834802</v>
      </c>
      <c r="JS476" s="39">
        <f t="shared" si="1529"/>
        <v>8.3828323806547562</v>
      </c>
      <c r="JT476" s="39">
        <f t="shared" si="1530"/>
        <v>4.0548056044044092</v>
      </c>
      <c r="JU476" s="385">
        <f>(JQ476*JM476-INDEX(Input!$1:$1048576,Input!A$18,$C476*2+6)*JL476*INDEX(Input!$1:$1048576,Input!A$19,$C476*2+6))/1000000</f>
        <v>5.3248937633525903</v>
      </c>
      <c r="JV476" s="39">
        <f t="shared" si="1531"/>
        <v>-1.3309809603970635</v>
      </c>
      <c r="JW476" s="1">
        <f t="shared" si="1532"/>
        <v>-0.19997085516766488</v>
      </c>
      <c r="JX476" s="19">
        <f t="shared" si="1533"/>
        <v>8795.6539222643278</v>
      </c>
      <c r="JZ476" s="341"/>
      <c r="KA476" s="342"/>
      <c r="KB476" s="469">
        <f t="shared" si="1548"/>
        <v>2.3451977905499271</v>
      </c>
      <c r="KI476" s="473">
        <f t="shared" si="1534"/>
        <v>196.97710185645337</v>
      </c>
      <c r="KJ476" s="473">
        <f t="shared" si="1535"/>
        <v>267.98610496447372</v>
      </c>
      <c r="KK476" s="473">
        <f t="shared" si="1536"/>
        <v>-3.9621669618518638</v>
      </c>
      <c r="KN476" s="544">
        <f t="shared" si="1537"/>
        <v>4002</v>
      </c>
      <c r="KO476" s="541">
        <f t="shared" si="1538"/>
        <v>0.16137107869842127</v>
      </c>
      <c r="KP476" s="546">
        <f t="shared" si="1539"/>
        <v>936.64354004019015</v>
      </c>
      <c r="KQ476" s="546">
        <f t="shared" si="1540"/>
        <v>889.54463811934465</v>
      </c>
      <c r="KR476" s="548">
        <f t="shared" si="1541"/>
        <v>2.923919123186336</v>
      </c>
      <c r="KS476" s="548">
        <f t="shared" si="1542"/>
        <v>3.0787324671221592</v>
      </c>
      <c r="KT476" s="473">
        <f t="shared" si="1549"/>
        <v>1050.27685337919</v>
      </c>
      <c r="KU476" s="663">
        <f t="shared" si="1543"/>
        <v>6.5896748992102463</v>
      </c>
    </row>
    <row r="477" spans="1:308" s="26" customFormat="1" ht="15" outlineLevel="1">
      <c r="A477" s="561">
        <f t="shared" si="1550"/>
        <v>4077</v>
      </c>
      <c r="B477" s="561">
        <f t="shared" si="1551"/>
        <v>77</v>
      </c>
      <c r="C477" s="561">
        <f t="shared" si="1552"/>
        <v>4</v>
      </c>
      <c r="D477" s="561" t="str">
        <f t="shared" si="1413"/>
        <v xml:space="preserve">1000 CC, 0/1.8/2.8/3.9, 2000 Combo, </v>
      </c>
      <c r="E477" s="475">
        <f>INDEX(Input!$1:$1048576,E$93,$C477*2+MIN($B477,2)+5)
+INDEX(Scenarios!E$121:E$200,MATCH($B477,Scenarios!$B$121:$B$200,0))</f>
        <v>2250</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2000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2.7999999999999997E-2</v>
      </c>
      <c r="W477" s="863">
        <f>IFERROR(MAX(0,INDEX(Input!$1:$1048576,W$93,$C477*2+MIN($B477,2)+5)-0%,),"Market")</f>
        <v>3.9E-2</v>
      </c>
      <c r="X477" s="476" t="str">
        <f>INDEX(Input!$1:$1048576,X$93,$C477*2+MIN($B477,2)+5)</f>
        <v>Y</v>
      </c>
      <c r="Y477" s="475">
        <f>INDEX(Input!$1:$1048576,Y$93,$C477*2+MIN($B477,2)+5)
++INDEX(Scenarios!Y$121:Y$200,MATCH($B477,Scenarios!$B$121:$B$200,0))</f>
        <v>-2217</v>
      </c>
      <c r="Z477" s="477">
        <f>INDEX(Input!$1:$1048576,Z$93,$C477*2+MIN($B477,2)+5)
+INDEX(Scenarios!Z$121:Z$200,MATCH($B477,Scenarios!$B$121:$B$200,0))</f>
        <v>0</v>
      </c>
      <c r="AA477" s="475">
        <f>INDEX(Input!$1:$1048576,AA$93,$C477*2+MIN($B477,2)+5)</f>
        <v>0</v>
      </c>
      <c r="AB477" s="476">
        <f>INDEX(Input!$1:$1048576,AB$93,$C477*2+MIN($B477,2)+5)</f>
        <v>1</v>
      </c>
      <c r="AC477" s="475">
        <f>INDEX(Input!$1:$1048576,AC$93,$C477*2+MIN($B477,2)+5)
+INDEX(Scenarios!AC$121:AC$200,MATCH($B477,Scenarios!$B$121:$B$200,0))</f>
        <v>0</v>
      </c>
      <c r="AD477" s="476">
        <f>INDEX(Input!$1:$1048576,AD$93,$C477*2+MIN($B477,2)+5)</f>
        <v>0.35</v>
      </c>
      <c r="AE477" s="475">
        <f>INDEX(Input!$1:$1048576,AE$93,$C477*2+MIN($B477,2)+5)
+INDEX(Scenarios!AE$121:AE$200,MATCH($B477,Scenarios!$B$121:$B$200,0))</f>
        <v>0</v>
      </c>
      <c r="AF477" s="476">
        <f>INDEX(Input!$1:$1048576,AF$93,$C477*2+MIN($B477,2)+5)</f>
        <v>1</v>
      </c>
      <c r="AG477" s="475">
        <f>INDEX(Input!$1:$1048576,AG$93,$C477*2+MIN($B477,2)+5)
+INDEX(Scenarios!AG$121:AG$200,MATCH($B477,Scenarios!$B$121:$B$200,0))</f>
        <v>0</v>
      </c>
      <c r="AH477" s="476">
        <f>INDEX(Input!$1:$1048576,AH$93,$C477*2+MIN($B477,2)+5)</f>
        <v>1</v>
      </c>
      <c r="AI477" s="475">
        <f>INDEX(Input!$1:$1048576,AI$93,$C477*2+MIN($B477,2)+5)
+INDEX(Scenarios!AI$121:AI$200,MATCH($B477,Scenarios!$B$121:$B$200,0))</f>
        <v>0</v>
      </c>
      <c r="AJ477" s="476">
        <f>INDEX(Input!$1:$1048576,AJ$93,$C477*2+MIN($B477,2)+5)</f>
        <v>0.35</v>
      </c>
      <c r="AK477" s="150">
        <f>ROUND(INDEX(Input!$1:$1048576,AK$93,$C476*2+MIN($B477,1)+5)+(Y477-VLOOKUP($C477*1000+1,$A:$HH,Y$92,FALSE)),0)</f>
        <v>4592</v>
      </c>
      <c r="AL477" s="150">
        <f>ROUND(INDEX(Input!$1:$1048576,AL$93,$C476*2+MIN($B477,1)+5)-(Y477-VLOOKUP($C477*1000+1,$A:$HH,Y$92,FALSE))/36,0)</f>
        <v>4743</v>
      </c>
      <c r="AM477" s="32" t="str">
        <f t="shared" si="1553"/>
        <v>std/std/std/std</v>
      </c>
      <c r="AN477" s="32" t="str">
        <f t="shared" si="1554"/>
        <v>$2000 + 0/0/0/2.8/3.9</v>
      </c>
      <c r="AO477" s="32" t="str">
        <f t="shared" si="1555"/>
        <v>0/0/0/2.8/3.9</v>
      </c>
      <c r="AP477" s="32" t="str">
        <f t="shared" si="1386"/>
        <v>0/1.8/2.8/3.9</v>
      </c>
      <c r="AQ477" s="536">
        <f t="shared" si="1379"/>
        <v>0.40008771024535633</v>
      </c>
      <c r="AR477" s="32"/>
      <c r="AS477" s="302"/>
      <c r="AT477" s="3">
        <f t="shared" si="1556"/>
        <v>77</v>
      </c>
      <c r="AU477" s="41" t="s">
        <v>121</v>
      </c>
      <c r="AV477" s="41" t="s">
        <v>116</v>
      </c>
      <c r="AW477" s="41" t="str">
        <f>INDEX(Input!$1:$1048576,AW$93,$C477*2+6)</f>
        <v>Kia</v>
      </c>
      <c r="AX477" s="41" t="str">
        <f>INDEX(Input!$1:$1048576,AX$93,$C477*2+6)</f>
        <v>Kia-LR - R1</v>
      </c>
      <c r="AY477" s="41" t="str">
        <f>IF(LEN(D477)=0,"",INDEX(Input!$1:$1048576,AY$93,$C477*2+6))</f>
        <v>Compact Conventional/Sporty Car (43)</v>
      </c>
      <c r="AZ477" s="41" t="str">
        <f>INDEX(Input!$1:$1048576,AZ$93,$C477*2+6)</f>
        <v>Kia Forte</v>
      </c>
      <c r="BA477" s="3">
        <f>INDEX(Input!$1:$1048576,BA$93,$C477*2+6)</f>
        <v>2020</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19695</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387"/>
        <v>2560</v>
      </c>
      <c r="CJ477" s="16" t="str">
        <f>INDEX(Input!$1:$1048576,CJ$93,$C477*2+6)</f>
        <v>N</v>
      </c>
      <c r="CK477" s="1" t="str">
        <f t="shared" si="1388"/>
        <v>Market</v>
      </c>
      <c r="CL477" s="1" t="str">
        <f t="shared" si="1389"/>
        <v>Market</v>
      </c>
      <c r="CM477" s="1" t="str">
        <f t="shared" si="1390"/>
        <v>Market</v>
      </c>
      <c r="CN477" s="1" t="str">
        <f t="shared" si="1391"/>
        <v>Market</v>
      </c>
      <c r="CO477" s="1" t="str">
        <f t="shared" si="1392"/>
        <v>Market</v>
      </c>
      <c r="CP477" s="304">
        <f t="shared" si="1393"/>
        <v>2000</v>
      </c>
      <c r="CQ477" s="1">
        <f t="shared" si="1394"/>
        <v>0</v>
      </c>
      <c r="CR477" s="1">
        <f t="shared" si="1395"/>
        <v>0</v>
      </c>
      <c r="CS477" s="1">
        <f t="shared" si="1396"/>
        <v>0</v>
      </c>
      <c r="CT477" s="1">
        <f t="shared" si="1397"/>
        <v>2.7999999999999997E-2</v>
      </c>
      <c r="CU477" s="1">
        <f t="shared" si="1398"/>
        <v>3.9E-2</v>
      </c>
      <c r="CV477" s="304">
        <f t="shared" si="1399"/>
        <v>-2217</v>
      </c>
      <c r="CW477" s="20" t="s">
        <v>122</v>
      </c>
      <c r="CX477" s="20" t="s">
        <v>122</v>
      </c>
      <c r="CY477" s="20" t="s">
        <v>122</v>
      </c>
      <c r="CZ477" s="20" t="s">
        <v>122</v>
      </c>
      <c r="DA477" s="20" t="s">
        <v>122</v>
      </c>
      <c r="DB477" s="503">
        <f t="shared" si="1400"/>
        <v>0</v>
      </c>
      <c r="DC477" s="127">
        <v>0</v>
      </c>
      <c r="DD477" s="127">
        <v>0</v>
      </c>
      <c r="DE477" s="127">
        <v>0</v>
      </c>
      <c r="DF477" s="127">
        <v>0</v>
      </c>
      <c r="DG477" s="127">
        <v>0</v>
      </c>
      <c r="DH477" s="127">
        <v>0</v>
      </c>
      <c r="DI477" s="127">
        <v>0</v>
      </c>
      <c r="DJ477" s="127">
        <v>0</v>
      </c>
      <c r="DK477" s="127">
        <v>0</v>
      </c>
      <c r="DL477" s="127">
        <v>0</v>
      </c>
      <c r="DM477" s="304">
        <f>INDEX(Input!$1:$1048576,DM$93,$C477*2+6)</f>
        <v>20731.578947368424</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4.6180672896574244E-2</v>
      </c>
      <c r="DZ477" s="7">
        <v>0</v>
      </c>
      <c r="EA477" s="7">
        <v>0.78619088736152365</v>
      </c>
      <c r="EB477" s="7">
        <v>0</v>
      </c>
      <c r="EC477" s="7">
        <v>0</v>
      </c>
      <c r="ED477" s="7">
        <v>0</v>
      </c>
      <c r="EE477" s="7">
        <v>0</v>
      </c>
      <c r="EF477" s="7">
        <v>0</v>
      </c>
      <c r="EG477" s="7">
        <v>0</v>
      </c>
      <c r="EH477" s="7">
        <v>1.6578746097043486E-2</v>
      </c>
      <c r="EI477" s="7">
        <v>2.1602313016817067E-2</v>
      </c>
      <c r="EJ477" s="7">
        <v>0.15521015607773031</v>
      </c>
      <c r="EK477" s="7">
        <v>0.54187711460675891</v>
      </c>
      <c r="EL477" s="7">
        <v>0.26473167020165028</v>
      </c>
      <c r="EM477" s="7">
        <v>9.3630939884115832E-2</v>
      </c>
      <c r="EN477" s="7">
        <v>4.685671309250012E-2</v>
      </c>
      <c r="EO477" s="7">
        <v>0.57046484077457194</v>
      </c>
      <c r="EP477" s="7">
        <v>0.26978371848486093</v>
      </c>
      <c r="EQ477" s="7">
        <v>6.7873289136652942E-2</v>
      </c>
      <c r="ER477" s="7">
        <v>4.5021438511414005E-2</v>
      </c>
      <c r="ES477" s="7">
        <v>7.3997499857786406E-2</v>
      </c>
      <c r="ET477" s="7">
        <v>0.16762843974190209</v>
      </c>
      <c r="EU477" s="6">
        <v>2600</v>
      </c>
      <c r="EV477" s="6">
        <v>0</v>
      </c>
      <c r="EW477" s="6">
        <v>2600</v>
      </c>
      <c r="EX477" s="6">
        <v>0</v>
      </c>
      <c r="EY477" s="6">
        <v>4172.6232327134348</v>
      </c>
      <c r="EZ477" s="6">
        <v>-246</v>
      </c>
      <c r="FA477" s="6">
        <v>0</v>
      </c>
      <c r="FB477" s="6">
        <v>0</v>
      </c>
      <c r="FC477" s="6">
        <v>0</v>
      </c>
      <c r="FD477" s="6">
        <v>0</v>
      </c>
      <c r="FE477" s="6">
        <v>0</v>
      </c>
      <c r="FF477" s="6">
        <v>0</v>
      </c>
      <c r="FG477" s="6">
        <v>0</v>
      </c>
      <c r="FH477" s="6">
        <v>1148.4219374860922</v>
      </c>
      <c r="FI477" s="6">
        <v>1531.4299904380625</v>
      </c>
      <c r="FJ477" s="6">
        <v>2070.7205842538224</v>
      </c>
      <c r="FK477" s="6">
        <v>1314.7946049255024</v>
      </c>
      <c r="FL477" s="6">
        <v>893.91433563489443</v>
      </c>
      <c r="FM477" s="6">
        <v>1322.6232327134346</v>
      </c>
      <c r="FN477" s="6">
        <v>0</v>
      </c>
      <c r="FO477" s="6">
        <v>0</v>
      </c>
      <c r="FP477" s="6">
        <v>0</v>
      </c>
      <c r="FQ477" s="6">
        <v>0</v>
      </c>
      <c r="FR477" s="6">
        <v>0</v>
      </c>
      <c r="FS477" s="6">
        <v>0</v>
      </c>
      <c r="FT477" s="7">
        <v>0.83237156025809789</v>
      </c>
      <c r="FU477" s="7">
        <v>9.3630939884115832E-2</v>
      </c>
      <c r="FV477" s="7">
        <v>7.3997499857786406E-2</v>
      </c>
      <c r="FW477" s="6">
        <v>2600</v>
      </c>
      <c r="FX477" s="6">
        <v>4172.6232327134348</v>
      </c>
      <c r="FY477" s="6">
        <v>-246</v>
      </c>
      <c r="FZ477" s="6">
        <v>1695.8504614767719</v>
      </c>
      <c r="GA477" s="6">
        <v>2536.6493067672955</v>
      </c>
      <c r="GB477" s="6">
        <v>17158.350693232704</v>
      </c>
      <c r="GC477" s="7">
        <v>8.1891069685915169E-2</v>
      </c>
      <c r="GD477" s="7">
        <v>8.9791422986503402E-2</v>
      </c>
      <c r="GE477" s="7"/>
      <c r="GF477" s="7"/>
      <c r="GG477" s="7">
        <v>9.6473929707955111E-2</v>
      </c>
      <c r="GH477" s="42">
        <v>2.2598199988507894</v>
      </c>
      <c r="GI477" s="6">
        <v>11251.945219723068</v>
      </c>
      <c r="GJ477" s="14">
        <v>0.51074630601039561</v>
      </c>
      <c r="GK477" s="14">
        <v>0.50829519786160948</v>
      </c>
      <c r="GL477" s="14">
        <v>0.48925369398960428</v>
      </c>
      <c r="GM477" s="14">
        <v>0.49170480213839024</v>
      </c>
      <c r="GO477" s="5">
        <v>338.16872463277008</v>
      </c>
      <c r="GP477" s="5">
        <v>288.56568471597211</v>
      </c>
      <c r="GQ477" s="5">
        <v>527.27910984145694</v>
      </c>
      <c r="GR477" s="5">
        <v>404.20319246551543</v>
      </c>
      <c r="GS477" s="5">
        <v>334.50205195691484</v>
      </c>
      <c r="GT477" s="5">
        <v>289.18266033348181</v>
      </c>
      <c r="GU477" s="5">
        <v>254.29573314828914</v>
      </c>
      <c r="GV477" s="39" t="s">
        <v>392</v>
      </c>
      <c r="GW477" s="5">
        <v>413.20833333333331</v>
      </c>
      <c r="GX477" s="5">
        <v>309.90625</v>
      </c>
      <c r="GY477" s="5">
        <v>247.92500000000001</v>
      </c>
      <c r="GZ477" s="5">
        <v>224.68500055933538</v>
      </c>
      <c r="HA477" s="5">
        <v>202.6463044045818</v>
      </c>
      <c r="HB477" s="39">
        <v>227.42420023118274</v>
      </c>
      <c r="HC477" s="5">
        <v>293.87812499999995</v>
      </c>
      <c r="HD477" s="5">
        <v>243.67143640350872</v>
      </c>
      <c r="HE477" s="5">
        <v>244.28647520242913</v>
      </c>
      <c r="HF477" s="5">
        <v>223.39192434210526</v>
      </c>
      <c r="HG477" s="5">
        <v>212.2899342105263</v>
      </c>
      <c r="HH477" s="39">
        <v>243.40060670351318</v>
      </c>
      <c r="HI477" s="16"/>
      <c r="HJ477" s="19" t="str">
        <f t="shared" ref="HJ477:HK477" si="1571">HJ476</f>
        <v>On</v>
      </c>
      <c r="HK477" s="1" t="str">
        <f t="shared" si="1571"/>
        <v>On</v>
      </c>
      <c r="HL477" s="16"/>
      <c r="HM477" s="639">
        <f t="shared" si="1493"/>
        <v>6.6115095157691428E-2</v>
      </c>
      <c r="HN477" s="639">
        <f t="shared" si="1494"/>
        <v>2.3720927871164412E-3</v>
      </c>
      <c r="HO477" s="639">
        <f t="shared" si="1495"/>
        <v>7.7231033444443466E-3</v>
      </c>
      <c r="HP477" s="644">
        <f>(FT477*$GD477-HM477)/$JF477*INDEX(Input!$1:$1048576,$JG$93,$C477*2+6)</f>
        <v>210.38334774788041</v>
      </c>
      <c r="HQ477" s="644">
        <f>(FU477*$GD477-HN477)/$JF477*INDEX(Input!$1:$1048576,$JG$93,$C477*2+6)</f>
        <v>147.21590710723166</v>
      </c>
      <c r="HR477" s="644">
        <f>(FV477*$GD477-HO477)/$JF477*INDEX(Input!$1:$1048576,$JG$93,$C477*2+6)</f>
        <v>-26.314287981477335</v>
      </c>
      <c r="HS477" s="644">
        <f t="shared" si="1565"/>
        <v>-73.883364096754306</v>
      </c>
      <c r="HT477" s="644">
        <f t="shared" si="1497"/>
        <v>319.96960004845317</v>
      </c>
      <c r="HU477" s="644">
        <f t="shared" si="1498"/>
        <v>14.341374798777935</v>
      </c>
      <c r="HV477" s="648">
        <f t="shared" si="1499"/>
        <v>0</v>
      </c>
      <c r="HW477" s="648">
        <f t="shared" si="1500"/>
        <v>0</v>
      </c>
      <c r="HX477" s="648">
        <f t="shared" si="1501"/>
        <v>0</v>
      </c>
      <c r="HY477" s="644">
        <f>INDEX(Input!$1:$1048576,HY$93,$C477*2+6)*INDEX(Input!$1:$1048576,$JG$93,$C477*2+6)</f>
        <v>844</v>
      </c>
      <c r="HZ477" s="644">
        <f>INDEX(Input!$1:$1048576,HZ$93,$C477*2+6)*INDEX(Input!$1:$1048576,$JG$93,$C477*2+6)</f>
        <v>865</v>
      </c>
      <c r="IA477" s="644">
        <f>INDEX(Input!$1:$1048576,IA$93,$C477*2+6)*INDEX(Input!$1:$1048576,$JG$93,$C477*2+6)</f>
        <v>150</v>
      </c>
      <c r="IB477" s="644">
        <f t="shared" si="1502"/>
        <v>980.49998365112583</v>
      </c>
      <c r="IC477" s="644">
        <f t="shared" si="1503"/>
        <v>1332.1855071556849</v>
      </c>
      <c r="ID477" s="644">
        <f>IF(AND(INDEX(Input!$1:$1048576,IA$93,$C477*2+7)="TOS",Y477&lt;=INDEX(Y:Y,MATCH(C477*1000+2,A:A))),0,1)*MAX(IA477+HR477+HU477+HX477,0%)</f>
        <v>138.02708681730059</v>
      </c>
      <c r="IE477" s="128">
        <f t="shared" si="1566"/>
        <v>0.40008771024535633</v>
      </c>
      <c r="IF477" s="128">
        <f t="shared" si="1567"/>
        <v>0.54359108420914737</v>
      </c>
      <c r="IG477" s="128">
        <f t="shared" si="1506"/>
        <v>5.6321205545496279E-2</v>
      </c>
      <c r="IH477" s="21"/>
      <c r="II477" s="19">
        <f t="shared" si="1507"/>
        <v>1199.9999999999998</v>
      </c>
      <c r="IJ477" s="19">
        <f t="shared" si="1508"/>
        <v>2195.4782357510435</v>
      </c>
      <c r="IK477" s="19">
        <f t="shared" si="1509"/>
        <v>-571</v>
      </c>
      <c r="IL477" s="19">
        <f t="shared" si="1510"/>
        <v>1400.0000000000002</v>
      </c>
      <c r="IM477" s="19">
        <f t="shared" si="1511"/>
        <v>1977.1449969623914</v>
      </c>
      <c r="IN477" s="19">
        <f t="shared" si="1512"/>
        <v>325</v>
      </c>
      <c r="IO477" s="39">
        <f t="shared" si="1513"/>
        <v>0</v>
      </c>
      <c r="IP477" s="39">
        <f t="shared" si="1514"/>
        <v>0</v>
      </c>
      <c r="IQ477" s="39">
        <f t="shared" si="1515"/>
        <v>0</v>
      </c>
      <c r="IR477" s="39">
        <v>0</v>
      </c>
      <c r="IS477" s="39">
        <v>0</v>
      </c>
      <c r="IT477" s="39">
        <v>0</v>
      </c>
      <c r="IU477" s="39">
        <v>0</v>
      </c>
      <c r="IV477" s="39">
        <v>0</v>
      </c>
      <c r="IW477" s="39">
        <v>0</v>
      </c>
      <c r="IX477" s="39">
        <f>INDEX(Input!$1:$1048576,IX$93,$C477*2+6)+INDEX(Input!$1:$1048576,IX$94,$C477*2+6)</f>
        <v>1600</v>
      </c>
      <c r="IY477" s="39">
        <f>INDEX(Input!$1:$1048576,IY$93,$C477*2+6)+INDEX(Input!$1:$1048576,IY$94,$C477*2+6)</f>
        <v>2503.549291639752</v>
      </c>
      <c r="IZ477" s="39">
        <f>INDEX(Input!$1:$1048576,IZ$93,$C477*2+6)+INDEX(Input!$1:$1048576,IZ$94,$C477*2+6)</f>
        <v>5413.7109265464023</v>
      </c>
      <c r="JA477" s="19">
        <f t="shared" si="1516"/>
        <v>3000</v>
      </c>
      <c r="JB477" s="19">
        <f t="shared" si="1517"/>
        <v>4480.6942886021434</v>
      </c>
      <c r="JC477" s="19">
        <f t="shared" si="1518"/>
        <v>5738.7109265464023</v>
      </c>
      <c r="JD477" s="19">
        <f t="shared" si="1519"/>
        <v>3959.1397147472476</v>
      </c>
      <c r="JE477" s="21"/>
      <c r="JF477" s="1">
        <f t="shared" si="1520"/>
        <v>7.6210291289252219E-2</v>
      </c>
      <c r="JG477" s="15">
        <f>INDEX(Input!$1:$1048576,JG$93,$C477*2+6)/(1+VLOOKUP(C477*1000+INDEX(Input!$1:$1048576,JG$93+1,$C477*2+6),$A:$KK,$JK$92,FALSE))</f>
        <v>1859</v>
      </c>
      <c r="JH477" s="1">
        <f t="shared" si="1521"/>
        <v>0.17820600692503213</v>
      </c>
      <c r="JI477" s="1">
        <f t="shared" si="1522"/>
        <v>0.14009016178078365</v>
      </c>
      <c r="JJ477" s="1">
        <f t="shared" si="1523"/>
        <v>0</v>
      </c>
      <c r="JK477" s="1">
        <f t="shared" si="1524"/>
        <v>0.31829616870581579</v>
      </c>
      <c r="JL477" s="15">
        <f t="shared" si="1525"/>
        <v>591.71257762411153</v>
      </c>
      <c r="JM477" s="15">
        <f t="shared" si="1526"/>
        <v>2450.7125776241114</v>
      </c>
      <c r="JN477" s="21"/>
      <c r="JO477" s="19">
        <f>INDEX(Input!$1:$1048576,JO$93,$C477*2+6)</f>
        <v>5908.5</v>
      </c>
      <c r="JP477" s="19">
        <f>INDEX(Input!$1:$1048576,JP$93,$C477*2+6)</f>
        <v>2328.1478086338602</v>
      </c>
      <c r="JQ477" s="39">
        <f t="shared" si="1527"/>
        <v>1949.3602852527524</v>
      </c>
      <c r="JR477" s="39">
        <f t="shared" si="1528"/>
        <v>1630.9919061133874</v>
      </c>
      <c r="JS477" s="39">
        <f t="shared" si="1529"/>
        <v>9.7027134955022163</v>
      </c>
      <c r="JT477" s="39">
        <f t="shared" si="1530"/>
        <v>5.3746867192518701</v>
      </c>
      <c r="JU477" s="385">
        <f>(JQ477*JM477-INDEX(Input!$1:$1048576,Input!A$18,$C477*2+6)*JL477*INDEX(Input!$1:$1048576,Input!A$19,$C477*2+6))/1000000</f>
        <v>4.7773217693898467</v>
      </c>
      <c r="JV477" s="39">
        <f t="shared" si="1531"/>
        <v>-1.8785529543598072</v>
      </c>
      <c r="JW477" s="1">
        <f t="shared" si="1532"/>
        <v>-0.28223983057504204</v>
      </c>
      <c r="JX477" s="19">
        <f t="shared" si="1533"/>
        <v>9083.2727281760908</v>
      </c>
      <c r="JZ477" s="341"/>
      <c r="KA477" s="342"/>
      <c r="KB477" s="469">
        <f t="shared" si="1548"/>
        <v>2.3451977905499271</v>
      </c>
      <c r="KI477" s="473">
        <f t="shared" si="1534"/>
        <v>136.49998365112583</v>
      </c>
      <c r="KJ477" s="473">
        <f t="shared" si="1535"/>
        <v>467.18550715568495</v>
      </c>
      <c r="KK477" s="473">
        <f t="shared" si="1536"/>
        <v>-11.972913182699415</v>
      </c>
      <c r="KN477" s="544">
        <f t="shared" si="1537"/>
        <v>4002</v>
      </c>
      <c r="KO477" s="541">
        <f t="shared" si="1538"/>
        <v>0.22680406644472439</v>
      </c>
      <c r="KP477" s="546">
        <f t="shared" si="1539"/>
        <v>1257.3548394124466</v>
      </c>
      <c r="KQ477" s="546">
        <f t="shared" si="1540"/>
        <v>1235.3961531492519</v>
      </c>
      <c r="KR477" s="548">
        <f t="shared" si="1541"/>
        <v>3.0613076374720656</v>
      </c>
      <c r="KS477" s="548">
        <f t="shared" si="1542"/>
        <v>3.1157211904000142</v>
      </c>
      <c r="KT477" s="473">
        <f t="shared" si="1549"/>
        <v>1050.27685337919</v>
      </c>
      <c r="KU477" s="663">
        <f t="shared" si="1543"/>
        <v>6.6331464377066389</v>
      </c>
    </row>
    <row r="478" spans="1:308" s="26" customFormat="1" ht="15" outlineLevel="1">
      <c r="A478" s="561">
        <f t="shared" si="1550"/>
        <v>4078</v>
      </c>
      <c r="B478" s="561">
        <f t="shared" si="1551"/>
        <v>78</v>
      </c>
      <c r="C478" s="561">
        <f t="shared" si="1552"/>
        <v>4</v>
      </c>
      <c r="D478" s="561" t="str">
        <f t="shared" si="1413"/>
        <v xml:space="preserve">500 CC, 0/2.8/3.8/3.9, 1000 Combo, </v>
      </c>
      <c r="E478" s="475">
        <f>INDEX(Input!$1:$1048576,E$93,$C478*2+MIN($B478,2)+5)
+INDEX(Scenarios!E$121:E$200,MATCH($B478,Scenarios!$B$121:$B$200,0))</f>
        <v>1750</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1000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3.7999999999999992E-2</v>
      </c>
      <c r="W478" s="863">
        <f>IFERROR(MAX(0,INDEX(Input!$1:$1048576,W$93,$C478*2+MIN($B478,2)+5)-0%,),"Market")</f>
        <v>3.9E-2</v>
      </c>
      <c r="X478" s="476" t="str">
        <f>INDEX(Input!$1:$1048576,X$93,$C478*2+MIN($B478,2)+5)</f>
        <v>Y</v>
      </c>
      <c r="Y478" s="475">
        <f>INDEX(Input!$1:$1048576,Y$93,$C478*2+MIN($B478,2)+5)
++INDEX(Scenarios!Y$121:Y$200,MATCH($B478,Scenarios!$B$121:$B$200,0))</f>
        <v>-2217</v>
      </c>
      <c r="Z478" s="477">
        <f>INDEX(Input!$1:$1048576,Z$93,$C478*2+MIN($B478,2)+5)
+INDEX(Scenarios!Z$121:Z$200,MATCH($B478,Scenarios!$B$121:$B$200,0))</f>
        <v>0</v>
      </c>
      <c r="AA478" s="475">
        <f>INDEX(Input!$1:$1048576,AA$93,$C478*2+MIN($B478,2)+5)</f>
        <v>0</v>
      </c>
      <c r="AB478" s="476">
        <f>INDEX(Input!$1:$1048576,AB$93,$C478*2+MIN($B478,2)+5)</f>
        <v>1</v>
      </c>
      <c r="AC478" s="475">
        <f>INDEX(Input!$1:$1048576,AC$93,$C478*2+MIN($B478,2)+5)
+INDEX(Scenarios!AC$121:AC$200,MATCH($B478,Scenarios!$B$121:$B$200,0))</f>
        <v>0</v>
      </c>
      <c r="AD478" s="476">
        <f>INDEX(Input!$1:$1048576,AD$93,$C478*2+MIN($B478,2)+5)</f>
        <v>0.35</v>
      </c>
      <c r="AE478" s="475">
        <f>INDEX(Input!$1:$1048576,AE$93,$C478*2+MIN($B478,2)+5)
+INDEX(Scenarios!AE$121:AE$200,MATCH($B478,Scenarios!$B$121:$B$200,0))</f>
        <v>0</v>
      </c>
      <c r="AF478" s="476">
        <f>INDEX(Input!$1:$1048576,AF$93,$C478*2+MIN($B478,2)+5)</f>
        <v>1</v>
      </c>
      <c r="AG478" s="475">
        <f>INDEX(Input!$1:$1048576,AG$93,$C478*2+MIN($B478,2)+5)
+INDEX(Scenarios!AG$121:AG$200,MATCH($B478,Scenarios!$B$121:$B$200,0))</f>
        <v>0</v>
      </c>
      <c r="AH478" s="476">
        <f>INDEX(Input!$1:$1048576,AH$93,$C478*2+MIN($B478,2)+5)</f>
        <v>1</v>
      </c>
      <c r="AI478" s="475">
        <f>INDEX(Input!$1:$1048576,AI$93,$C478*2+MIN($B478,2)+5)
+INDEX(Scenarios!AI$121:AI$200,MATCH($B478,Scenarios!$B$121:$B$200,0))</f>
        <v>0</v>
      </c>
      <c r="AJ478" s="476">
        <f>INDEX(Input!$1:$1048576,AJ$93,$C478*2+MIN($B478,2)+5)</f>
        <v>0.35</v>
      </c>
      <c r="AK478" s="150">
        <f>ROUND(INDEX(Input!$1:$1048576,AK$93,$C477*2+MIN($B478,1)+5)+(Y478-VLOOKUP($C478*1000+1,$A:$HH,Y$92,FALSE)),0)</f>
        <v>4592</v>
      </c>
      <c r="AL478" s="150">
        <f>ROUND(INDEX(Input!$1:$1048576,AL$93,$C477*2+MIN($B478,1)+5)-(Y478-VLOOKUP($C478*1000+1,$A:$HH,Y$92,FALSE))/36,0)</f>
        <v>4743</v>
      </c>
      <c r="AM478" s="32" t="str">
        <f t="shared" si="1553"/>
        <v>std/std/std/std</v>
      </c>
      <c r="AN478" s="32" t="str">
        <f t="shared" si="1554"/>
        <v>$1000 + 0/0/0/3.8/3.9</v>
      </c>
      <c r="AO478" s="32" t="str">
        <f t="shared" si="1555"/>
        <v>0/0/0/3.8/3.9</v>
      </c>
      <c r="AP478" s="32" t="str">
        <f t="shared" si="1386"/>
        <v>0/2.8/3.8/3.9</v>
      </c>
      <c r="AQ478" s="536">
        <f t="shared" si="1379"/>
        <v>0.46575069272856995</v>
      </c>
      <c r="AR478" s="32"/>
      <c r="AS478" s="302"/>
      <c r="AT478" s="3">
        <f t="shared" si="1556"/>
        <v>78</v>
      </c>
      <c r="AU478" s="41" t="s">
        <v>121</v>
      </c>
      <c r="AV478" s="41" t="s">
        <v>116</v>
      </c>
      <c r="AW478" s="41" t="str">
        <f>INDEX(Input!$1:$1048576,AW$93,$C478*2+6)</f>
        <v>Kia</v>
      </c>
      <c r="AX478" s="41" t="str">
        <f>INDEX(Input!$1:$1048576,AX$93,$C478*2+6)</f>
        <v>Kia-LR - R1</v>
      </c>
      <c r="AY478" s="41" t="str">
        <f>IF(LEN(D478)=0,"",INDEX(Input!$1:$1048576,AY$93,$C478*2+6))</f>
        <v>Compact Conventional/Sporty Car (43)</v>
      </c>
      <c r="AZ478" s="41" t="str">
        <f>INDEX(Input!$1:$1048576,AZ$93,$C478*2+6)</f>
        <v>Kia Forte</v>
      </c>
      <c r="BA478" s="3">
        <f>INDEX(Input!$1:$1048576,BA$93,$C478*2+6)</f>
        <v>2020</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19695</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387"/>
        <v>2060</v>
      </c>
      <c r="CJ478" s="16" t="str">
        <f>INDEX(Input!$1:$1048576,CJ$93,$C478*2+6)</f>
        <v>N</v>
      </c>
      <c r="CK478" s="1" t="str">
        <f t="shared" si="1388"/>
        <v>Market</v>
      </c>
      <c r="CL478" s="1" t="str">
        <f t="shared" si="1389"/>
        <v>Market</v>
      </c>
      <c r="CM478" s="1" t="str">
        <f t="shared" si="1390"/>
        <v>Market</v>
      </c>
      <c r="CN478" s="1" t="str">
        <f t="shared" si="1391"/>
        <v>Market</v>
      </c>
      <c r="CO478" s="1" t="str">
        <f t="shared" si="1392"/>
        <v>Market</v>
      </c>
      <c r="CP478" s="304">
        <f t="shared" si="1393"/>
        <v>1000</v>
      </c>
      <c r="CQ478" s="1">
        <f t="shared" si="1394"/>
        <v>0</v>
      </c>
      <c r="CR478" s="1">
        <f t="shared" si="1395"/>
        <v>0</v>
      </c>
      <c r="CS478" s="1">
        <f t="shared" si="1396"/>
        <v>0</v>
      </c>
      <c r="CT478" s="1">
        <f t="shared" si="1397"/>
        <v>3.7999999999999992E-2</v>
      </c>
      <c r="CU478" s="1">
        <f t="shared" si="1398"/>
        <v>3.9E-2</v>
      </c>
      <c r="CV478" s="304">
        <f t="shared" si="1399"/>
        <v>-2217</v>
      </c>
      <c r="CW478" s="20" t="s">
        <v>122</v>
      </c>
      <c r="CX478" s="20" t="s">
        <v>122</v>
      </c>
      <c r="CY478" s="20" t="s">
        <v>122</v>
      </c>
      <c r="CZ478" s="20" t="s">
        <v>122</v>
      </c>
      <c r="DA478" s="20" t="s">
        <v>122</v>
      </c>
      <c r="DB478" s="503">
        <f t="shared" si="1400"/>
        <v>0</v>
      </c>
      <c r="DC478" s="127">
        <v>0</v>
      </c>
      <c r="DD478" s="127">
        <v>0</v>
      </c>
      <c r="DE478" s="127">
        <v>0</v>
      </c>
      <c r="DF478" s="127">
        <v>0</v>
      </c>
      <c r="DG478" s="127">
        <v>0</v>
      </c>
      <c r="DH478" s="127">
        <v>0</v>
      </c>
      <c r="DI478" s="127">
        <v>0</v>
      </c>
      <c r="DJ478" s="127">
        <v>0</v>
      </c>
      <c r="DK478" s="127">
        <v>0</v>
      </c>
      <c r="DL478" s="127">
        <v>0</v>
      </c>
      <c r="DM478" s="304">
        <f>INDEX(Input!$1:$1048576,DM$93,$C478*2+6)</f>
        <v>20731.578947368424</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4.7314077187023316E-2</v>
      </c>
      <c r="DZ478" s="7">
        <v>0</v>
      </c>
      <c r="EA478" s="7">
        <v>0.84489213500331373</v>
      </c>
      <c r="EB478" s="7">
        <v>0</v>
      </c>
      <c r="EC478" s="7">
        <v>0</v>
      </c>
      <c r="ED478" s="7">
        <v>0</v>
      </c>
      <c r="EE478" s="7">
        <v>0</v>
      </c>
      <c r="EF478" s="7">
        <v>0</v>
      </c>
      <c r="EG478" s="7">
        <v>0</v>
      </c>
      <c r="EH478" s="7">
        <v>2.2722920291528722E-2</v>
      </c>
      <c r="EI478" s="7">
        <v>3.6502415629427118E-2</v>
      </c>
      <c r="EJ478" s="7">
        <v>0.3424833102226259</v>
      </c>
      <c r="EK478" s="7">
        <v>0.49076379101940104</v>
      </c>
      <c r="EL478" s="7">
        <v>0.10752756283701703</v>
      </c>
      <c r="EM478" s="7">
        <v>2.0148562023450063E-2</v>
      </c>
      <c r="EN478" s="7">
        <v>4.6912542829537038E-2</v>
      </c>
      <c r="EO478" s="7">
        <v>0.57066330827374478</v>
      </c>
      <c r="EP478" s="7">
        <v>0.26952975472317336</v>
      </c>
      <c r="EQ478" s="7">
        <v>6.7896964058989706E-2</v>
      </c>
      <c r="ER478" s="7">
        <v>4.4997430114555273E-2</v>
      </c>
      <c r="ES478" s="7">
        <v>8.7645225786212977E-2</v>
      </c>
      <c r="ET478" s="7">
        <v>0.10779378780966299</v>
      </c>
      <c r="EU478" s="6">
        <v>2100</v>
      </c>
      <c r="EV478" s="6">
        <v>0</v>
      </c>
      <c r="EW478" s="6">
        <v>2100</v>
      </c>
      <c r="EX478" s="6">
        <v>0</v>
      </c>
      <c r="EY478" s="6">
        <v>3142.8006107234933</v>
      </c>
      <c r="EZ478" s="6">
        <v>-246</v>
      </c>
      <c r="FA478" s="6">
        <v>0</v>
      </c>
      <c r="FB478" s="6">
        <v>0</v>
      </c>
      <c r="FC478" s="6">
        <v>0</v>
      </c>
      <c r="FD478" s="6">
        <v>0</v>
      </c>
      <c r="FE478" s="6">
        <v>0</v>
      </c>
      <c r="FF478" s="6">
        <v>0</v>
      </c>
      <c r="FG478" s="6">
        <v>0</v>
      </c>
      <c r="FH478" s="6">
        <v>1153.2414630756318</v>
      </c>
      <c r="FI478" s="6">
        <v>1531.4299904380616</v>
      </c>
      <c r="FJ478" s="6">
        <v>2070.7205842538224</v>
      </c>
      <c r="FK478" s="6">
        <v>826.03289024944365</v>
      </c>
      <c r="FL478" s="6">
        <v>893.91433563489318</v>
      </c>
      <c r="FM478" s="6">
        <v>1292.8006107234933</v>
      </c>
      <c r="FN478" s="6">
        <v>0</v>
      </c>
      <c r="FO478" s="6">
        <v>0</v>
      </c>
      <c r="FP478" s="6">
        <v>0</v>
      </c>
      <c r="FQ478" s="6">
        <v>0</v>
      </c>
      <c r="FR478" s="6">
        <v>0</v>
      </c>
      <c r="FS478" s="6">
        <v>0</v>
      </c>
      <c r="FT478" s="7">
        <v>0.89220621219033702</v>
      </c>
      <c r="FU478" s="7">
        <v>2.0148562023450063E-2</v>
      </c>
      <c r="FV478" s="7">
        <v>8.7645225786212977E-2</v>
      </c>
      <c r="FW478" s="6">
        <v>2100</v>
      </c>
      <c r="FX478" s="6">
        <v>3142.8006107234933</v>
      </c>
      <c r="FY478" s="6">
        <v>-246</v>
      </c>
      <c r="FZ478" s="6">
        <v>1695.8504614767719</v>
      </c>
      <c r="GA478" s="6">
        <v>1915.3952330887985</v>
      </c>
      <c r="GB478" s="6">
        <v>17779.604766911201</v>
      </c>
      <c r="GC478" s="7">
        <v>8.1891069685915169E-2</v>
      </c>
      <c r="GD478" s="7">
        <v>8.3667849131086311E-2</v>
      </c>
      <c r="GE478" s="7"/>
      <c r="GF478" s="7"/>
      <c r="GG478" s="7">
        <v>2.1696864529744186E-2</v>
      </c>
      <c r="GH478" s="42">
        <v>1.9463899949685857</v>
      </c>
      <c r="GI478" s="6">
        <v>12034.127887341827</v>
      </c>
      <c r="GJ478" s="14">
        <v>0.51074630601039539</v>
      </c>
      <c r="GK478" s="14">
        <v>0.50829519786160959</v>
      </c>
      <c r="GL478" s="14">
        <v>0.48925369398960461</v>
      </c>
      <c r="GM478" s="14">
        <v>0.49170480213839035</v>
      </c>
      <c r="GO478" s="5">
        <v>338.16872463277008</v>
      </c>
      <c r="GP478" s="5">
        <v>298.1047308538179</v>
      </c>
      <c r="GQ478" s="5">
        <v>527.27910984145694</v>
      </c>
      <c r="GR478" s="5">
        <v>404.20319246551543</v>
      </c>
      <c r="GS478" s="5">
        <v>334.50205195691484</v>
      </c>
      <c r="GT478" s="5">
        <v>289.18266033348181</v>
      </c>
      <c r="GU478" s="5">
        <v>254.29573314828914</v>
      </c>
      <c r="GV478" s="39" t="s">
        <v>392</v>
      </c>
      <c r="GW478" s="5">
        <v>440.98611111111109</v>
      </c>
      <c r="GX478" s="5">
        <v>330.73958333333331</v>
      </c>
      <c r="GY478" s="5">
        <v>264.59166666666664</v>
      </c>
      <c r="GZ478" s="5">
        <v>246.93103803700126</v>
      </c>
      <c r="HA478" s="5">
        <v>216.26912746293829</v>
      </c>
      <c r="HB478" s="39">
        <v>257.15122038608013</v>
      </c>
      <c r="HC478" s="5">
        <v>293.87812499999995</v>
      </c>
      <c r="HD478" s="5">
        <v>243.67143640350872</v>
      </c>
      <c r="HE478" s="5">
        <v>244.28647520242913</v>
      </c>
      <c r="HF478" s="5">
        <v>223.39192434210526</v>
      </c>
      <c r="HG478" s="5">
        <v>212.2899342105263</v>
      </c>
      <c r="HH478" s="39">
        <v>243.40352683585371</v>
      </c>
      <c r="HI478" s="16"/>
      <c r="HJ478" s="19" t="str">
        <f t="shared" ref="HJ478:HK478" si="1572">HJ477</f>
        <v>On</v>
      </c>
      <c r="HK478" s="1" t="str">
        <f t="shared" si="1572"/>
        <v>On</v>
      </c>
      <c r="HL478" s="16"/>
      <c r="HM478" s="639">
        <f t="shared" si="1493"/>
        <v>6.6115095157691428E-2</v>
      </c>
      <c r="HN478" s="639">
        <f t="shared" si="1494"/>
        <v>2.3720927871164412E-3</v>
      </c>
      <c r="HO478" s="639">
        <f t="shared" si="1495"/>
        <v>7.7231033444443466E-3</v>
      </c>
      <c r="HP478" s="644">
        <f>(FT478*$GD478-HM478)/$JF478*INDEX(Input!$1:$1048576,$JG$93,$C478*2+6)</f>
        <v>208.16718980710075</v>
      </c>
      <c r="HQ478" s="644">
        <f>(FU478*$GD478-HN478)/$JF478*INDEX(Input!$1:$1048576,$JG$93,$C478*2+6)</f>
        <v>-16.741082077012869</v>
      </c>
      <c r="HR478" s="644">
        <f>(FV478*$GD478-HO478)/$JF478*INDEX(Input!$1:$1048576,$JG$93,$C478*2+6)</f>
        <v>-9.5136679081349591</v>
      </c>
      <c r="HS478" s="644">
        <f t="shared" si="1565"/>
        <v>-47.429807623966205</v>
      </c>
      <c r="HT478" s="644">
        <f t="shared" si="1497"/>
        <v>152.15296900880017</v>
      </c>
      <c r="HU478" s="644">
        <f t="shared" si="1498"/>
        <v>11.607314089691535</v>
      </c>
      <c r="HV478" s="648">
        <f t="shared" si="1499"/>
        <v>0</v>
      </c>
      <c r="HW478" s="648">
        <f t="shared" si="1500"/>
        <v>0</v>
      </c>
      <c r="HX478" s="648">
        <f t="shared" si="1501"/>
        <v>0</v>
      </c>
      <c r="HY478" s="644">
        <f>INDEX(Input!$1:$1048576,HY$93,$C478*2+6)*INDEX(Input!$1:$1048576,$JG$93,$C478*2+6)</f>
        <v>844</v>
      </c>
      <c r="HZ478" s="644">
        <f>INDEX(Input!$1:$1048576,HZ$93,$C478*2+6)*INDEX(Input!$1:$1048576,$JG$93,$C478*2+6)</f>
        <v>865</v>
      </c>
      <c r="IA478" s="644">
        <f>INDEX(Input!$1:$1048576,IA$93,$C478*2+6)*INDEX(Input!$1:$1048576,$JG$93,$C478*2+6)</f>
        <v>150</v>
      </c>
      <c r="IB478" s="644">
        <f t="shared" si="1502"/>
        <v>1004.737382183135</v>
      </c>
      <c r="IC478" s="644">
        <f t="shared" si="1503"/>
        <v>1000.4118869317873</v>
      </c>
      <c r="ID478" s="644">
        <f>IF(AND(INDEX(Input!$1:$1048576,IA$93,$C478*2+7)="TOS",Y478&lt;=INDEX(Y:Y,MATCH(C478*1000+2,A:A))),0,1)*MAX(IA478+HR478+HU478+HX478,0%)</f>
        <v>152.09364618155658</v>
      </c>
      <c r="IE478" s="128">
        <f t="shared" si="1566"/>
        <v>0.46575069272856995</v>
      </c>
      <c r="IF478" s="128">
        <f t="shared" si="1567"/>
        <v>0.46374558926030657</v>
      </c>
      <c r="IG478" s="128">
        <f t="shared" si="1506"/>
        <v>7.0503718011123331E-2</v>
      </c>
      <c r="IH478" s="21"/>
      <c r="II478" s="19">
        <f t="shared" si="1507"/>
        <v>1199.9999999999998</v>
      </c>
      <c r="IJ478" s="19">
        <f t="shared" si="1508"/>
        <v>2195.4782357510435</v>
      </c>
      <c r="IK478" s="19">
        <f t="shared" si="1509"/>
        <v>-571</v>
      </c>
      <c r="IL478" s="19">
        <f t="shared" si="1510"/>
        <v>900.00000000000023</v>
      </c>
      <c r="IM478" s="19">
        <f t="shared" si="1511"/>
        <v>947.32237497244978</v>
      </c>
      <c r="IN478" s="19">
        <f t="shared" si="1512"/>
        <v>325</v>
      </c>
      <c r="IO478" s="39">
        <f t="shared" si="1513"/>
        <v>0</v>
      </c>
      <c r="IP478" s="39">
        <f t="shared" si="1514"/>
        <v>0</v>
      </c>
      <c r="IQ478" s="39">
        <f t="shared" si="1515"/>
        <v>0</v>
      </c>
      <c r="IR478" s="39">
        <v>0</v>
      </c>
      <c r="IS478" s="39">
        <v>0</v>
      </c>
      <c r="IT478" s="39">
        <v>0</v>
      </c>
      <c r="IU478" s="39">
        <v>0</v>
      </c>
      <c r="IV478" s="39">
        <v>0</v>
      </c>
      <c r="IW478" s="39">
        <v>0</v>
      </c>
      <c r="IX478" s="39">
        <f>INDEX(Input!$1:$1048576,IX$93,$C478*2+6)+INDEX(Input!$1:$1048576,IX$94,$C478*2+6)</f>
        <v>1600</v>
      </c>
      <c r="IY478" s="39">
        <f>INDEX(Input!$1:$1048576,IY$93,$C478*2+6)+INDEX(Input!$1:$1048576,IY$94,$C478*2+6)</f>
        <v>2503.549291639752</v>
      </c>
      <c r="IZ478" s="39">
        <f>INDEX(Input!$1:$1048576,IZ$93,$C478*2+6)+INDEX(Input!$1:$1048576,IZ$94,$C478*2+6)</f>
        <v>5413.7109265464023</v>
      </c>
      <c r="JA478" s="19">
        <f t="shared" si="1516"/>
        <v>2500</v>
      </c>
      <c r="JB478" s="19">
        <f t="shared" si="1517"/>
        <v>3450.8716666122018</v>
      </c>
      <c r="JC478" s="19">
        <f t="shared" si="1518"/>
        <v>5738.7109265464023</v>
      </c>
      <c r="JD478" s="19">
        <f t="shared" si="1519"/>
        <v>3169.3037032287766</v>
      </c>
      <c r="JE478" s="21"/>
      <c r="JF478" s="1">
        <f t="shared" si="1520"/>
        <v>7.6210291289252219E-2</v>
      </c>
      <c r="JG478" s="15">
        <f>INDEX(Input!$1:$1048576,JG$93,$C478*2+6)/(1+VLOOKUP(C478*1000+INDEX(Input!$1:$1048576,JG$93+1,$C478*2+6),$A:$KK,$JK$92,FALSE))</f>
        <v>1859</v>
      </c>
      <c r="JH478" s="1">
        <f t="shared" si="1521"/>
        <v>9.7854997214606207E-2</v>
      </c>
      <c r="JI478" s="1">
        <f t="shared" si="1522"/>
        <v>6.2576909884091175E-2</v>
      </c>
      <c r="JJ478" s="1">
        <f t="shared" si="1523"/>
        <v>0</v>
      </c>
      <c r="JK478" s="1">
        <f t="shared" si="1524"/>
        <v>0.16043190709869737</v>
      </c>
      <c r="JL478" s="15">
        <f t="shared" si="1525"/>
        <v>298.24291529647843</v>
      </c>
      <c r="JM478" s="15">
        <f t="shared" si="1526"/>
        <v>2157.2429152964783</v>
      </c>
      <c r="JN478" s="21"/>
      <c r="JO478" s="19">
        <f>INDEX(Input!$1:$1048576,JO$93,$C478*2+6)</f>
        <v>5908.5</v>
      </c>
      <c r="JP478" s="19">
        <f>INDEX(Input!$1:$1048576,JP$93,$C478*2+6)</f>
        <v>2328.1478086338602</v>
      </c>
      <c r="JQ478" s="39">
        <f t="shared" si="1527"/>
        <v>2739.1962967712234</v>
      </c>
      <c r="JR478" s="39">
        <f t="shared" si="1528"/>
        <v>841.15589459491639</v>
      </c>
      <c r="JS478" s="39">
        <f t="shared" si="1529"/>
        <v>6.8369579602131703</v>
      </c>
      <c r="JT478" s="39">
        <f t="shared" si="1530"/>
        <v>2.5089311839628237</v>
      </c>
      <c r="JU478" s="385">
        <f>(JQ478*JM478-INDEX(Input!$1:$1048576,Input!A$18,$C478*2+6)*JL478*INDEX(Input!$1:$1048576,Input!A$19,$C478*2+6))/1000000</f>
        <v>5.9091118048160709</v>
      </c>
      <c r="JV478" s="39">
        <f t="shared" si="1531"/>
        <v>-0.74676291893358293</v>
      </c>
      <c r="JW478" s="1">
        <f t="shared" si="1532"/>
        <v>-0.11219605986106759</v>
      </c>
      <c r="JX478" s="19">
        <f t="shared" si="1533"/>
        <v>8412.3747967952095</v>
      </c>
      <c r="JZ478" s="341"/>
      <c r="KA478" s="342"/>
      <c r="KB478" s="469">
        <f t="shared" si="1548"/>
        <v>2.3451977905499271</v>
      </c>
      <c r="KI478" s="473">
        <f t="shared" si="1534"/>
        <v>160.73738218313451</v>
      </c>
      <c r="KJ478" s="473">
        <f t="shared" si="1535"/>
        <v>135.41188693178697</v>
      </c>
      <c r="KK478" s="473">
        <f t="shared" si="1536"/>
        <v>2.0936461815565224</v>
      </c>
      <c r="KN478" s="544">
        <f t="shared" si="1537"/>
        <v>4002</v>
      </c>
      <c r="KO478" s="541">
        <f t="shared" si="1538"/>
        <v>7.9895865781414388E-2</v>
      </c>
      <c r="KP478" s="546">
        <f t="shared" si="1539"/>
        <v>486.6469076449979</v>
      </c>
      <c r="KQ478" s="546">
        <f t="shared" si="1540"/>
        <v>445.56014163078089</v>
      </c>
      <c r="KR478" s="548">
        <f t="shared" si="1541"/>
        <v>2.7862772890230003</v>
      </c>
      <c r="KS478" s="548">
        <f t="shared" si="1542"/>
        <v>3.0432103320142643</v>
      </c>
      <c r="KT478" s="473">
        <f t="shared" si="1549"/>
        <v>1050.27685337919</v>
      </c>
      <c r="KU478" s="663">
        <f t="shared" si="1543"/>
        <v>6.549796560674193</v>
      </c>
    </row>
    <row r="479" spans="1:308" s="26" customFormat="1" ht="15" outlineLevel="1">
      <c r="A479" s="561">
        <f t="shared" si="1550"/>
        <v>4079</v>
      </c>
      <c r="B479" s="561">
        <f t="shared" si="1551"/>
        <v>79</v>
      </c>
      <c r="C479" s="561">
        <f t="shared" si="1552"/>
        <v>4</v>
      </c>
      <c r="D479" s="561" t="str">
        <f t="shared" si="1413"/>
        <v xml:space="preserve">750 CC, 0/2.8/3.8/3.9, 1500 Combo, </v>
      </c>
      <c r="E479" s="475">
        <f>INDEX(Input!$1:$1048576,E$93,$C479*2+MIN($B479,2)+5)
+INDEX(Scenarios!E$121:E$200,MATCH($B479,Scenarios!$B$121:$B$200,0))</f>
        <v>2000</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1500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0</v>
      </c>
      <c r="V479" s="478">
        <f>IFERROR(MAX(0,INDEX(Input!$1:$1048576,V$93,$C479*2+MIN($B479,2)+5)
+INDEX(Scenarios!V$121:V$200,MATCH($B479,Scenarios!$B$121:$B$200,0)),),"Market")</f>
        <v>3.7999999999999992E-2</v>
      </c>
      <c r="W479" s="863">
        <f>IFERROR(MAX(0,INDEX(Input!$1:$1048576,W$93,$C479*2+MIN($B479,2)+5)-0%,),"Market")</f>
        <v>3.9E-2</v>
      </c>
      <c r="X479" s="476" t="str">
        <f>INDEX(Input!$1:$1048576,X$93,$C479*2+MIN($B479,2)+5)</f>
        <v>Y</v>
      </c>
      <c r="Y479" s="475">
        <f>INDEX(Input!$1:$1048576,Y$93,$C479*2+MIN($B479,2)+5)
++INDEX(Scenarios!Y$121:Y$200,MATCH($B479,Scenarios!$B$121:$B$200,0))</f>
        <v>-2217</v>
      </c>
      <c r="Z479" s="477">
        <f>INDEX(Input!$1:$1048576,Z$93,$C479*2+MIN($B479,2)+5)
+INDEX(Scenarios!Z$121:Z$200,MATCH($B479,Scenarios!$B$121:$B$200,0))</f>
        <v>0</v>
      </c>
      <c r="AA479" s="475">
        <f>INDEX(Input!$1:$1048576,AA$93,$C479*2+MIN($B479,2)+5)</f>
        <v>0</v>
      </c>
      <c r="AB479" s="476">
        <f>INDEX(Input!$1:$1048576,AB$93,$C479*2+MIN($B479,2)+5)</f>
        <v>1</v>
      </c>
      <c r="AC479" s="475">
        <f>INDEX(Input!$1:$1048576,AC$93,$C479*2+MIN($B479,2)+5)
+INDEX(Scenarios!AC$121:AC$200,MATCH($B479,Scenarios!$B$121:$B$200,0))</f>
        <v>0</v>
      </c>
      <c r="AD479" s="476">
        <f>INDEX(Input!$1:$1048576,AD$93,$C479*2+MIN($B479,2)+5)</f>
        <v>0.35</v>
      </c>
      <c r="AE479" s="475">
        <f>INDEX(Input!$1:$1048576,AE$93,$C479*2+MIN($B479,2)+5)
+INDEX(Scenarios!AE$121:AE$200,MATCH($B479,Scenarios!$B$121:$B$200,0))</f>
        <v>0</v>
      </c>
      <c r="AF479" s="476">
        <f>INDEX(Input!$1:$1048576,AF$93,$C479*2+MIN($B479,2)+5)</f>
        <v>1</v>
      </c>
      <c r="AG479" s="475">
        <f>INDEX(Input!$1:$1048576,AG$93,$C479*2+MIN($B479,2)+5)
+INDEX(Scenarios!AG$121:AG$200,MATCH($B479,Scenarios!$B$121:$B$200,0))</f>
        <v>0</v>
      </c>
      <c r="AH479" s="476">
        <f>INDEX(Input!$1:$1048576,AH$93,$C479*2+MIN($B479,2)+5)</f>
        <v>1</v>
      </c>
      <c r="AI479" s="475">
        <f>INDEX(Input!$1:$1048576,AI$93,$C479*2+MIN($B479,2)+5)
+INDEX(Scenarios!AI$121:AI$200,MATCH($B479,Scenarios!$B$121:$B$200,0))</f>
        <v>0</v>
      </c>
      <c r="AJ479" s="476">
        <f>INDEX(Input!$1:$1048576,AJ$93,$C479*2+MIN($B479,2)+5)</f>
        <v>0.35</v>
      </c>
      <c r="AK479" s="150">
        <f>ROUND(INDEX(Input!$1:$1048576,AK$93,$C478*2+MIN($B479,1)+5)+(Y479-VLOOKUP($C479*1000+1,$A:$HH,Y$92,FALSE)),0)</f>
        <v>4592</v>
      </c>
      <c r="AL479" s="150">
        <f>ROUND(INDEX(Input!$1:$1048576,AL$93,$C478*2+MIN($B479,1)+5)-(Y479-VLOOKUP($C479*1000+1,$A:$HH,Y$92,FALSE))/36,0)</f>
        <v>4743</v>
      </c>
      <c r="AM479" s="32" t="str">
        <f t="shared" si="1553"/>
        <v>std/std/std/std</v>
      </c>
      <c r="AN479" s="32" t="str">
        <f t="shared" si="1554"/>
        <v>$1500 + 0/0/0/3.8/3.9</v>
      </c>
      <c r="AO479" s="32" t="str">
        <f t="shared" si="1555"/>
        <v>0/0/0/3.8/3.9</v>
      </c>
      <c r="AP479" s="32" t="str">
        <f t="shared" si="1386"/>
        <v>0/2.8/3.8/3.9</v>
      </c>
      <c r="AQ479" s="536">
        <f t="shared" si="1379"/>
        <v>0.45972427362059826</v>
      </c>
      <c r="AR479" s="32"/>
      <c r="AS479" s="302"/>
      <c r="AT479" s="3">
        <f t="shared" si="1556"/>
        <v>79</v>
      </c>
      <c r="AU479" s="41" t="s">
        <v>121</v>
      </c>
      <c r="AV479" s="41" t="s">
        <v>116</v>
      </c>
      <c r="AW479" s="41" t="str">
        <f>INDEX(Input!$1:$1048576,AW$93,$C479*2+6)</f>
        <v>Kia</v>
      </c>
      <c r="AX479" s="41" t="str">
        <f>INDEX(Input!$1:$1048576,AX$93,$C479*2+6)</f>
        <v>Kia-LR - R1</v>
      </c>
      <c r="AY479" s="41" t="str">
        <f>IF(LEN(D479)=0,"",INDEX(Input!$1:$1048576,AY$93,$C479*2+6))</f>
        <v>Compact Conventional/Sporty Car (43)</v>
      </c>
      <c r="AZ479" s="41" t="str">
        <f>INDEX(Input!$1:$1048576,AZ$93,$C479*2+6)</f>
        <v>Kia Forte</v>
      </c>
      <c r="BA479" s="3">
        <f>INDEX(Input!$1:$1048576,BA$93,$C479*2+6)</f>
        <v>2020</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19695</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387"/>
        <v>2310</v>
      </c>
      <c r="CJ479" s="16" t="str">
        <f>INDEX(Input!$1:$1048576,CJ$93,$C479*2+6)</f>
        <v>N</v>
      </c>
      <c r="CK479" s="1" t="str">
        <f t="shared" si="1388"/>
        <v>Market</v>
      </c>
      <c r="CL479" s="1" t="str">
        <f t="shared" si="1389"/>
        <v>Market</v>
      </c>
      <c r="CM479" s="1" t="str">
        <f t="shared" si="1390"/>
        <v>Market</v>
      </c>
      <c r="CN479" s="1" t="str">
        <f t="shared" si="1391"/>
        <v>Market</v>
      </c>
      <c r="CO479" s="1" t="str">
        <f t="shared" si="1392"/>
        <v>Market</v>
      </c>
      <c r="CP479" s="304">
        <f t="shared" si="1393"/>
        <v>1500</v>
      </c>
      <c r="CQ479" s="1">
        <f t="shared" si="1394"/>
        <v>0</v>
      </c>
      <c r="CR479" s="1">
        <f t="shared" si="1395"/>
        <v>0</v>
      </c>
      <c r="CS479" s="1">
        <f t="shared" si="1396"/>
        <v>0</v>
      </c>
      <c r="CT479" s="1">
        <f t="shared" si="1397"/>
        <v>3.7999999999999992E-2</v>
      </c>
      <c r="CU479" s="1">
        <f t="shared" si="1398"/>
        <v>3.9E-2</v>
      </c>
      <c r="CV479" s="304">
        <f t="shared" si="1399"/>
        <v>-2217</v>
      </c>
      <c r="CW479" s="20" t="s">
        <v>122</v>
      </c>
      <c r="CX479" s="20" t="s">
        <v>122</v>
      </c>
      <c r="CY479" s="20" t="s">
        <v>122</v>
      </c>
      <c r="CZ479" s="20" t="s">
        <v>122</v>
      </c>
      <c r="DA479" s="20" t="s">
        <v>122</v>
      </c>
      <c r="DB479" s="503">
        <f t="shared" si="1400"/>
        <v>0</v>
      </c>
      <c r="DC479" s="127">
        <v>0</v>
      </c>
      <c r="DD479" s="127">
        <v>0</v>
      </c>
      <c r="DE479" s="127">
        <v>0</v>
      </c>
      <c r="DF479" s="127">
        <v>0</v>
      </c>
      <c r="DG479" s="127">
        <v>0</v>
      </c>
      <c r="DH479" s="127">
        <v>0</v>
      </c>
      <c r="DI479" s="127">
        <v>0</v>
      </c>
      <c r="DJ479" s="127">
        <v>0</v>
      </c>
      <c r="DK479" s="127">
        <v>0</v>
      </c>
      <c r="DL479" s="127">
        <v>0</v>
      </c>
      <c r="DM479" s="304">
        <f>INDEX(Input!$1:$1048576,DM$93,$C479*2+6)</f>
        <v>20731.578947368424</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4.7739891002719775E-2</v>
      </c>
      <c r="DZ479" s="7">
        <v>0</v>
      </c>
      <c r="EA479" s="7">
        <v>0.84827624579662819</v>
      </c>
      <c r="EB479" s="7">
        <v>0</v>
      </c>
      <c r="EC479" s="7">
        <v>0</v>
      </c>
      <c r="ED479" s="7">
        <v>0</v>
      </c>
      <c r="EE479" s="7">
        <v>0</v>
      </c>
      <c r="EF479" s="7">
        <v>0</v>
      </c>
      <c r="EG479" s="7">
        <v>0</v>
      </c>
      <c r="EH479" s="7">
        <v>2.2750352244900175E-2</v>
      </c>
      <c r="EI479" s="7">
        <v>3.6561832011752574E-2</v>
      </c>
      <c r="EJ479" s="7">
        <v>0.34283305870486397</v>
      </c>
      <c r="EK479" s="7">
        <v>0.49043718359015592</v>
      </c>
      <c r="EL479" s="7">
        <v>0.10741757344832746</v>
      </c>
      <c r="EM479" s="7">
        <v>2.1822314774406517E-2</v>
      </c>
      <c r="EN479" s="7">
        <v>4.6889914223540038E-2</v>
      </c>
      <c r="EO479" s="7">
        <v>0.57058290958034308</v>
      </c>
      <c r="EP479" s="7">
        <v>0.26963274144203819</v>
      </c>
      <c r="EQ479" s="7">
        <v>6.7887373387618521E-2</v>
      </c>
      <c r="ER479" s="7">
        <v>4.5007061366460911E-2</v>
      </c>
      <c r="ES479" s="7">
        <v>8.2161548426245609E-2</v>
      </c>
      <c r="ET479" s="7">
        <v>0.10398386320065205</v>
      </c>
      <c r="EU479" s="6">
        <v>2350</v>
      </c>
      <c r="EV479" s="6">
        <v>0</v>
      </c>
      <c r="EW479" s="6">
        <v>2350</v>
      </c>
      <c r="EX479" s="6">
        <v>0</v>
      </c>
      <c r="EY479" s="6">
        <v>3643.2792618083131</v>
      </c>
      <c r="EZ479" s="6">
        <v>-246</v>
      </c>
      <c r="FA479" s="6">
        <v>0</v>
      </c>
      <c r="FB479" s="6">
        <v>0</v>
      </c>
      <c r="FC479" s="6">
        <v>0</v>
      </c>
      <c r="FD479" s="6">
        <v>0</v>
      </c>
      <c r="FE479" s="6">
        <v>0</v>
      </c>
      <c r="FF479" s="6">
        <v>0</v>
      </c>
      <c r="FG479" s="6">
        <v>0</v>
      </c>
      <c r="FH479" s="6">
        <v>1153.2371368812617</v>
      </c>
      <c r="FI479" s="6">
        <v>1531.4299904380609</v>
      </c>
      <c r="FJ479" s="6">
        <v>2070.7205842538224</v>
      </c>
      <c r="FK479" s="6">
        <v>826.03289024944377</v>
      </c>
      <c r="FL479" s="6">
        <v>893.91433563489352</v>
      </c>
      <c r="FM479" s="6">
        <v>1293.2792618083133</v>
      </c>
      <c r="FN479" s="6">
        <v>0</v>
      </c>
      <c r="FO479" s="6">
        <v>0</v>
      </c>
      <c r="FP479" s="6">
        <v>0</v>
      </c>
      <c r="FQ479" s="6">
        <v>0</v>
      </c>
      <c r="FR479" s="6">
        <v>0</v>
      </c>
      <c r="FS479" s="6">
        <v>0</v>
      </c>
      <c r="FT479" s="7">
        <v>0.896016136799348</v>
      </c>
      <c r="FU479" s="7">
        <v>2.1822314774406517E-2</v>
      </c>
      <c r="FV479" s="7">
        <v>8.2161548426245609E-2</v>
      </c>
      <c r="FW479" s="6">
        <v>2349.9999999999995</v>
      </c>
      <c r="FX479" s="6">
        <v>3643.2792618083131</v>
      </c>
      <c r="FY479" s="6">
        <v>-246</v>
      </c>
      <c r="FZ479" s="6">
        <v>1695.8504614767719</v>
      </c>
      <c r="GA479" s="6">
        <v>2164.9309674278593</v>
      </c>
      <c r="GB479" s="6">
        <v>17530.069032572141</v>
      </c>
      <c r="GC479" s="7">
        <v>8.1891069685915169E-2</v>
      </c>
      <c r="GD479" s="7">
        <v>8.5967372612077944E-2</v>
      </c>
      <c r="GE479" s="7"/>
      <c r="GF479" s="7"/>
      <c r="GG479" s="7">
        <v>4.9777136161452268E-2</v>
      </c>
      <c r="GH479" s="42">
        <v>2.0899625634880423</v>
      </c>
      <c r="GI479" s="6">
        <v>11588.544741221989</v>
      </c>
      <c r="GJ479" s="14">
        <v>0.51074630601039528</v>
      </c>
      <c r="GK479" s="14">
        <v>0.50829519786160937</v>
      </c>
      <c r="GL479" s="14">
        <v>0.48925369398960405</v>
      </c>
      <c r="GM479" s="14">
        <v>0.49170480213839035</v>
      </c>
      <c r="GO479" s="5">
        <v>338.16872463277008</v>
      </c>
      <c r="GP479" s="5">
        <v>293.33520778489498</v>
      </c>
      <c r="GQ479" s="5">
        <v>527.27910984145694</v>
      </c>
      <c r="GR479" s="5">
        <v>404.20319246551543</v>
      </c>
      <c r="GS479" s="5">
        <v>334.50205195691484</v>
      </c>
      <c r="GT479" s="5">
        <v>289.18266033348181</v>
      </c>
      <c r="GU479" s="5">
        <v>254.29573314828914</v>
      </c>
      <c r="GV479" s="39" t="s">
        <v>392</v>
      </c>
      <c r="GW479" s="5">
        <v>427.09722222222223</v>
      </c>
      <c r="GX479" s="5">
        <v>320.32291666666669</v>
      </c>
      <c r="GY479" s="5">
        <v>256.25833333333333</v>
      </c>
      <c r="GZ479" s="5">
        <v>239.15392745664153</v>
      </c>
      <c r="HA479" s="5">
        <v>209.45771593376006</v>
      </c>
      <c r="HB479" s="39">
        <v>249.07145136432581</v>
      </c>
      <c r="HC479" s="5">
        <v>293.87812499999995</v>
      </c>
      <c r="HD479" s="5">
        <v>243.67143640350872</v>
      </c>
      <c r="HE479" s="5">
        <v>244.28647520242913</v>
      </c>
      <c r="HF479" s="5">
        <v>223.39192434210526</v>
      </c>
      <c r="HG479" s="5">
        <v>212.2899342105263</v>
      </c>
      <c r="HH479" s="39">
        <v>243.40234632028998</v>
      </c>
      <c r="HI479" s="16"/>
      <c r="HJ479" s="19" t="str">
        <f t="shared" ref="HJ479:HK479" si="1573">HJ478</f>
        <v>On</v>
      </c>
      <c r="HK479" s="1" t="str">
        <f t="shared" si="1573"/>
        <v>On</v>
      </c>
      <c r="HL479" s="16"/>
      <c r="HM479" s="639">
        <f t="shared" si="1493"/>
        <v>6.6115095157691428E-2</v>
      </c>
      <c r="HN479" s="639">
        <f t="shared" si="1494"/>
        <v>2.3720927871164412E-3</v>
      </c>
      <c r="HO479" s="639">
        <f t="shared" si="1495"/>
        <v>7.7231033444443466E-3</v>
      </c>
      <c r="HP479" s="644">
        <f>(FT479*$GD479-HM479)/$JF479*INDEX(Input!$1:$1048576,$JG$93,$C479*2+6)</f>
        <v>266.20256095424969</v>
      </c>
      <c r="HQ479" s="644">
        <f>(FU479*$GD479-HN479)/$JF479*INDEX(Input!$1:$1048576,$JG$93,$C479*2+6)</f>
        <v>-12.10103440021623</v>
      </c>
      <c r="HR479" s="644">
        <f>(FV479*$GD479-HO479)/$JF479*INDEX(Input!$1:$1048576,$JG$93,$C479*2+6)</f>
        <v>-16.096739112798957</v>
      </c>
      <c r="HS479" s="644">
        <f t="shared" si="1565"/>
        <v>-60.65361457626522</v>
      </c>
      <c r="HT479" s="644">
        <f t="shared" si="1497"/>
        <v>233.67403823651992</v>
      </c>
      <c r="HU479" s="644">
        <f t="shared" si="1498"/>
        <v>12.971373160139725</v>
      </c>
      <c r="HV479" s="648">
        <f t="shared" si="1499"/>
        <v>0</v>
      </c>
      <c r="HW479" s="648">
        <f t="shared" si="1500"/>
        <v>0</v>
      </c>
      <c r="HX479" s="648">
        <f t="shared" si="1501"/>
        <v>0</v>
      </c>
      <c r="HY479" s="644">
        <f>INDEX(Input!$1:$1048576,HY$93,$C479*2+6)*INDEX(Input!$1:$1048576,$JG$93,$C479*2+6)</f>
        <v>844</v>
      </c>
      <c r="HZ479" s="644">
        <f>INDEX(Input!$1:$1048576,HZ$93,$C479*2+6)*INDEX(Input!$1:$1048576,$JG$93,$C479*2+6)</f>
        <v>865</v>
      </c>
      <c r="IA479" s="644">
        <f>INDEX(Input!$1:$1048576,IA$93,$C479*2+6)*INDEX(Input!$1:$1048576,$JG$93,$C479*2+6)</f>
        <v>150</v>
      </c>
      <c r="IB479" s="644">
        <f t="shared" si="1502"/>
        <v>1049.5489463779843</v>
      </c>
      <c r="IC479" s="644">
        <f t="shared" si="1503"/>
        <v>1086.5730038363038</v>
      </c>
      <c r="ID479" s="644">
        <f>IF(AND(INDEX(Input!$1:$1048576,IA$93,$C479*2+7)="TOS",Y479&lt;=INDEX(Y:Y,MATCH(C479*1000+2,A:A))),0,1)*MAX(IA479+HR479+HU479+HX479,0%)</f>
        <v>146.87463404734078</v>
      </c>
      <c r="IE479" s="128">
        <f t="shared" si="1566"/>
        <v>0.45972427362059826</v>
      </c>
      <c r="IF479" s="128">
        <f t="shared" si="1567"/>
        <v>0.47594158104609047</v>
      </c>
      <c r="IG479" s="128">
        <f t="shared" si="1506"/>
        <v>6.4334145333311249E-2</v>
      </c>
      <c r="IH479" s="21"/>
      <c r="II479" s="19">
        <f t="shared" si="1507"/>
        <v>1199.9999999999998</v>
      </c>
      <c r="IJ479" s="19">
        <f t="shared" si="1508"/>
        <v>2195.4782357510435</v>
      </c>
      <c r="IK479" s="19">
        <f t="shared" si="1509"/>
        <v>-571</v>
      </c>
      <c r="IL479" s="19">
        <f t="shared" si="1510"/>
        <v>1149.9999999999998</v>
      </c>
      <c r="IM479" s="19">
        <f t="shared" si="1511"/>
        <v>1447.8010260572696</v>
      </c>
      <c r="IN479" s="19">
        <f t="shared" si="1512"/>
        <v>325</v>
      </c>
      <c r="IO479" s="39">
        <f t="shared" si="1513"/>
        <v>0</v>
      </c>
      <c r="IP479" s="39">
        <f t="shared" si="1514"/>
        <v>0</v>
      </c>
      <c r="IQ479" s="39">
        <f t="shared" si="1515"/>
        <v>0</v>
      </c>
      <c r="IR479" s="39">
        <v>0</v>
      </c>
      <c r="IS479" s="39">
        <v>0</v>
      </c>
      <c r="IT479" s="39">
        <v>0</v>
      </c>
      <c r="IU479" s="39">
        <v>0</v>
      </c>
      <c r="IV479" s="39">
        <v>0</v>
      </c>
      <c r="IW479" s="39">
        <v>0</v>
      </c>
      <c r="IX479" s="39">
        <f>INDEX(Input!$1:$1048576,IX$93,$C479*2+6)+INDEX(Input!$1:$1048576,IX$94,$C479*2+6)</f>
        <v>1600</v>
      </c>
      <c r="IY479" s="39">
        <f>INDEX(Input!$1:$1048576,IY$93,$C479*2+6)+INDEX(Input!$1:$1048576,IY$94,$C479*2+6)</f>
        <v>2503.549291639752</v>
      </c>
      <c r="IZ479" s="39">
        <f>INDEX(Input!$1:$1048576,IZ$93,$C479*2+6)+INDEX(Input!$1:$1048576,IZ$94,$C479*2+6)</f>
        <v>5413.7109265464023</v>
      </c>
      <c r="JA479" s="19">
        <f t="shared" si="1516"/>
        <v>2750</v>
      </c>
      <c r="JB479" s="19">
        <f t="shared" si="1517"/>
        <v>3951.3503176970216</v>
      </c>
      <c r="JC479" s="19">
        <f t="shared" si="1518"/>
        <v>5738.7109265464023</v>
      </c>
      <c r="JD479" s="19">
        <f t="shared" si="1519"/>
        <v>3514.0487327026353</v>
      </c>
      <c r="JE479" s="21"/>
      <c r="JF479" s="1">
        <f t="shared" si="1520"/>
        <v>7.6210291289252219E-2</v>
      </c>
      <c r="JG479" s="15">
        <f>INDEX(Input!$1:$1048576,JG$93,$C479*2+6)/(1+VLOOKUP(C479*1000+INDEX(Input!$1:$1048576,JG$93+1,$C479*2+6),$A:$KK,$JK$92,FALSE))</f>
        <v>1859</v>
      </c>
      <c r="JH479" s="1">
        <f t="shared" si="1521"/>
        <v>0.12802839561120738</v>
      </c>
      <c r="JI479" s="1">
        <f t="shared" si="1522"/>
        <v>0.100049379677458</v>
      </c>
      <c r="JJ479" s="1">
        <f t="shared" si="1523"/>
        <v>0</v>
      </c>
      <c r="JK479" s="1">
        <f t="shared" si="1524"/>
        <v>0.22807777528866538</v>
      </c>
      <c r="JL479" s="15">
        <f t="shared" si="1525"/>
        <v>423.99658426162893</v>
      </c>
      <c r="JM479" s="15">
        <f t="shared" si="1526"/>
        <v>2282.9965842616289</v>
      </c>
      <c r="JN479" s="21"/>
      <c r="JO479" s="19">
        <f>INDEX(Input!$1:$1048576,JO$93,$C479*2+6)</f>
        <v>5908.5</v>
      </c>
      <c r="JP479" s="19">
        <f>INDEX(Input!$1:$1048576,JP$93,$C479*2+6)</f>
        <v>2328.1478086338602</v>
      </c>
      <c r="JQ479" s="39">
        <f t="shared" si="1527"/>
        <v>2394.4512672973647</v>
      </c>
      <c r="JR479" s="39">
        <f t="shared" si="1528"/>
        <v>1185.9009240687751</v>
      </c>
      <c r="JS479" s="39">
        <f t="shared" si="1529"/>
        <v>8.0225612536890214</v>
      </c>
      <c r="JT479" s="39">
        <f t="shared" si="1530"/>
        <v>3.6945344774386752</v>
      </c>
      <c r="JU479" s="385">
        <f>(JQ479*JM479-INDEX(Input!$1:$1048576,Input!A$18,$C479*2+6)*JL479*INDEX(Input!$1:$1048576,Input!A$19,$C479*2+6))/1000000</f>
        <v>5.4665240644208115</v>
      </c>
      <c r="JV479" s="39">
        <f t="shared" si="1531"/>
        <v>-1.1893506593288423</v>
      </c>
      <c r="JW479" s="1">
        <f t="shared" si="1532"/>
        <v>-0.17869186375833854</v>
      </c>
      <c r="JX479" s="19">
        <f t="shared" si="1533"/>
        <v>8713.5949075451681</v>
      </c>
      <c r="JZ479" s="341"/>
      <c r="KA479" s="342"/>
      <c r="KB479" s="469">
        <f t="shared" si="1548"/>
        <v>2.3451977905499271</v>
      </c>
      <c r="KI479" s="473">
        <f t="shared" si="1534"/>
        <v>205.54894637798429</v>
      </c>
      <c r="KJ479" s="473">
        <f t="shared" si="1535"/>
        <v>221.57300383630377</v>
      </c>
      <c r="KK479" s="473">
        <f t="shared" si="1536"/>
        <v>-3.1253659526591946</v>
      </c>
      <c r="KN479" s="544">
        <f t="shared" si="1537"/>
        <v>4002</v>
      </c>
      <c r="KO479" s="541">
        <f t="shared" si="1538"/>
        <v>0.14284699022798475</v>
      </c>
      <c r="KP479" s="546">
        <f t="shared" si="1539"/>
        <v>843.4372760055669</v>
      </c>
      <c r="KQ479" s="546">
        <f t="shared" si="1540"/>
        <v>790.30517110463961</v>
      </c>
      <c r="KR479" s="548">
        <f t="shared" si="1541"/>
        <v>2.8743013518376124</v>
      </c>
      <c r="KS479" s="548">
        <f t="shared" si="1542"/>
        <v>3.0675402252834911</v>
      </c>
      <c r="KT479" s="473">
        <f t="shared" si="1549"/>
        <v>1050.27685337919</v>
      </c>
      <c r="KU479" s="663">
        <f t="shared" si="1543"/>
        <v>6.5783045188239173</v>
      </c>
    </row>
    <row r="480" spans="1:308" s="26" customFormat="1" ht="15" outlineLevel="1">
      <c r="A480" s="561">
        <f t="shared" si="1550"/>
        <v>4080</v>
      </c>
      <c r="B480" s="561">
        <f t="shared" si="1551"/>
        <v>80</v>
      </c>
      <c r="C480" s="561">
        <f t="shared" si="1552"/>
        <v>4</v>
      </c>
      <c r="D480" s="561" t="str">
        <f t="shared" si="1413"/>
        <v xml:space="preserve">1000 CC, 0/2.8/3.8/3.9, 2000 Combo, </v>
      </c>
      <c r="E480" s="475">
        <f>INDEX(Input!$1:$1048576,E$93,$C480*2+MIN($B480,2)+5)
+INDEX(Scenarios!E$121:E$200,MATCH($B480,Scenarios!$B$121:$B$200,0))</f>
        <v>2250</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2000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0</v>
      </c>
      <c r="V480" s="478">
        <f>IFERROR(MAX(0,INDEX(Input!$1:$1048576,V$93,$C480*2+MIN($B480,2)+5)
+INDEX(Scenarios!V$121:V$200,MATCH($B480,Scenarios!$B$121:$B$200,0)),),"Market")</f>
        <v>3.7999999999999992E-2</v>
      </c>
      <c r="W480" s="863">
        <f>IFERROR(MAX(0,INDEX(Input!$1:$1048576,W$93,$C480*2+MIN($B480,2)+5)-0%,),"Market")</f>
        <v>3.9E-2</v>
      </c>
      <c r="X480" s="476" t="str">
        <f>INDEX(Input!$1:$1048576,X$93,$C480*2+MIN($B480,2)+5)</f>
        <v>Y</v>
      </c>
      <c r="Y480" s="475">
        <f>INDEX(Input!$1:$1048576,Y$93,$C480*2+MIN($B480,2)+5)
++INDEX(Scenarios!Y$121:Y$200,MATCH($B480,Scenarios!$B$121:$B$200,0))</f>
        <v>-2217</v>
      </c>
      <c r="Z480" s="477">
        <f>INDEX(Input!$1:$1048576,Z$93,$C480*2+MIN($B480,2)+5)
+INDEX(Scenarios!Z$121:Z$200,MATCH($B480,Scenarios!$B$121:$B$200,0))</f>
        <v>0</v>
      </c>
      <c r="AA480" s="475">
        <f>INDEX(Input!$1:$1048576,AA$93,$C480*2+MIN($B480,2)+5)</f>
        <v>0</v>
      </c>
      <c r="AB480" s="476">
        <f>INDEX(Input!$1:$1048576,AB$93,$C480*2+MIN($B480,2)+5)</f>
        <v>1</v>
      </c>
      <c r="AC480" s="475">
        <f>INDEX(Input!$1:$1048576,AC$93,$C480*2+MIN($B480,2)+5)
+INDEX(Scenarios!AC$121:AC$200,MATCH($B480,Scenarios!$B$121:$B$200,0))</f>
        <v>0</v>
      </c>
      <c r="AD480" s="476">
        <f>INDEX(Input!$1:$1048576,AD$93,$C480*2+MIN($B480,2)+5)</f>
        <v>0.35</v>
      </c>
      <c r="AE480" s="475">
        <f>INDEX(Input!$1:$1048576,AE$93,$C480*2+MIN($B480,2)+5)
+INDEX(Scenarios!AE$121:AE$200,MATCH($B480,Scenarios!$B$121:$B$200,0))</f>
        <v>0</v>
      </c>
      <c r="AF480" s="476">
        <f>INDEX(Input!$1:$1048576,AF$93,$C480*2+MIN($B480,2)+5)</f>
        <v>1</v>
      </c>
      <c r="AG480" s="475">
        <f>INDEX(Input!$1:$1048576,AG$93,$C480*2+MIN($B480,2)+5)
+INDEX(Scenarios!AG$121:AG$200,MATCH($B480,Scenarios!$B$121:$B$200,0))</f>
        <v>0</v>
      </c>
      <c r="AH480" s="476">
        <f>INDEX(Input!$1:$1048576,AH$93,$C480*2+MIN($B480,2)+5)</f>
        <v>1</v>
      </c>
      <c r="AI480" s="475">
        <f>INDEX(Input!$1:$1048576,AI$93,$C480*2+MIN($B480,2)+5)
+INDEX(Scenarios!AI$121:AI$200,MATCH($B480,Scenarios!$B$121:$B$200,0))</f>
        <v>0</v>
      </c>
      <c r="AJ480" s="476">
        <f>INDEX(Input!$1:$1048576,AJ$93,$C480*2+MIN($B480,2)+5)</f>
        <v>0.35</v>
      </c>
      <c r="AK480" s="150">
        <f>ROUND(INDEX(Input!$1:$1048576,AK$93,$C479*2+MIN($B480,1)+5)+(Y480-VLOOKUP($C480*1000+1,$A:$HH,Y$92,FALSE)),0)</f>
        <v>4592</v>
      </c>
      <c r="AL480" s="150">
        <f>ROUND(INDEX(Input!$1:$1048576,AL$93,$C479*2+MIN($B480,1)+5)-(Y480-VLOOKUP($C480*1000+1,$A:$HH,Y$92,FALSE))/36,0)</f>
        <v>4743</v>
      </c>
      <c r="AM480" s="32" t="str">
        <f t="shared" si="1553"/>
        <v>std/std/std/std</v>
      </c>
      <c r="AN480" s="32" t="str">
        <f t="shared" si="1554"/>
        <v>$2000 + 0/0/0/3.8/3.9</v>
      </c>
      <c r="AO480" s="32" t="str">
        <f t="shared" si="1555"/>
        <v>0/0/0/3.8/3.9</v>
      </c>
      <c r="AP480" s="32" t="str">
        <f t="shared" si="1386"/>
        <v>0/2.8/3.8/3.9</v>
      </c>
      <c r="AQ480" s="536">
        <f t="shared" si="1379"/>
        <v>0.41168130260541985</v>
      </c>
      <c r="AR480" s="32"/>
      <c r="AS480" s="302"/>
      <c r="AT480" s="3">
        <f t="shared" si="1556"/>
        <v>80</v>
      </c>
      <c r="AU480" s="41" t="s">
        <v>121</v>
      </c>
      <c r="AV480" s="41" t="s">
        <v>116</v>
      </c>
      <c r="AW480" s="41" t="str">
        <f>INDEX(Input!$1:$1048576,AW$93,$C480*2+6)</f>
        <v>Kia</v>
      </c>
      <c r="AX480" s="41" t="str">
        <f>INDEX(Input!$1:$1048576,AX$93,$C480*2+6)</f>
        <v>Kia-LR - R1</v>
      </c>
      <c r="AY480" s="41" t="str">
        <f>IF(LEN(D480)=0,"",INDEX(Input!$1:$1048576,AY$93,$C480*2+6))</f>
        <v>Compact Conventional/Sporty Car (43)</v>
      </c>
      <c r="AZ480" s="41" t="str">
        <f>INDEX(Input!$1:$1048576,AZ$93,$C480*2+6)</f>
        <v>Kia Forte</v>
      </c>
      <c r="BA480" s="3">
        <f>INDEX(Input!$1:$1048576,BA$93,$C480*2+6)</f>
        <v>2020</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19695</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387"/>
        <v>2560</v>
      </c>
      <c r="CJ480" s="16" t="str">
        <f>INDEX(Input!$1:$1048576,CJ$93,$C480*2+6)</f>
        <v>N</v>
      </c>
      <c r="CK480" s="1" t="str">
        <f t="shared" si="1388"/>
        <v>Market</v>
      </c>
      <c r="CL480" s="1" t="str">
        <f t="shared" si="1389"/>
        <v>Market</v>
      </c>
      <c r="CM480" s="1" t="str">
        <f t="shared" si="1390"/>
        <v>Market</v>
      </c>
      <c r="CN480" s="1" t="str">
        <f t="shared" si="1391"/>
        <v>Market</v>
      </c>
      <c r="CO480" s="1" t="str">
        <f t="shared" si="1392"/>
        <v>Market</v>
      </c>
      <c r="CP480" s="304">
        <f t="shared" si="1393"/>
        <v>2000</v>
      </c>
      <c r="CQ480" s="1">
        <f t="shared" si="1394"/>
        <v>0</v>
      </c>
      <c r="CR480" s="1">
        <f t="shared" si="1395"/>
        <v>0</v>
      </c>
      <c r="CS480" s="1">
        <f t="shared" si="1396"/>
        <v>0</v>
      </c>
      <c r="CT480" s="1">
        <f t="shared" si="1397"/>
        <v>3.7999999999999992E-2</v>
      </c>
      <c r="CU480" s="1">
        <f t="shared" si="1398"/>
        <v>3.9E-2</v>
      </c>
      <c r="CV480" s="304">
        <f t="shared" si="1399"/>
        <v>-2217</v>
      </c>
      <c r="CW480" s="20" t="s">
        <v>122</v>
      </c>
      <c r="CX480" s="20" t="s">
        <v>122</v>
      </c>
      <c r="CY480" s="20" t="s">
        <v>122</v>
      </c>
      <c r="CZ480" s="20" t="s">
        <v>122</v>
      </c>
      <c r="DA480" s="20" t="s">
        <v>122</v>
      </c>
      <c r="DB480" s="503">
        <f t="shared" si="1400"/>
        <v>0</v>
      </c>
      <c r="DC480" s="127">
        <v>0</v>
      </c>
      <c r="DD480" s="127">
        <v>0</v>
      </c>
      <c r="DE480" s="127">
        <v>0</v>
      </c>
      <c r="DF480" s="127">
        <v>0</v>
      </c>
      <c r="DG480" s="127">
        <v>0</v>
      </c>
      <c r="DH480" s="127">
        <v>0</v>
      </c>
      <c r="DI480" s="127">
        <v>0</v>
      </c>
      <c r="DJ480" s="127">
        <v>0</v>
      </c>
      <c r="DK480" s="127">
        <v>0</v>
      </c>
      <c r="DL480" s="127">
        <v>0</v>
      </c>
      <c r="DM480" s="304">
        <f>INDEX(Input!$1:$1048576,DM$93,$C480*2+6)</f>
        <v>20731.578947368424</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4.6592169327388945E-2</v>
      </c>
      <c r="DZ480" s="7">
        <v>0</v>
      </c>
      <c r="EA480" s="7">
        <v>0.79269544193145947</v>
      </c>
      <c r="EB480" s="7">
        <v>0</v>
      </c>
      <c r="EC480" s="7">
        <v>0</v>
      </c>
      <c r="ED480" s="7">
        <v>0</v>
      </c>
      <c r="EE480" s="7">
        <v>0</v>
      </c>
      <c r="EF480" s="7">
        <v>0</v>
      </c>
      <c r="EG480" s="7">
        <v>0</v>
      </c>
      <c r="EH480" s="7">
        <v>1.8200981947462651E-2</v>
      </c>
      <c r="EI480" s="7">
        <v>2.371516087876099E-2</v>
      </c>
      <c r="EJ480" s="7">
        <v>0.17041238206501977</v>
      </c>
      <c r="EK480" s="7">
        <v>0.49707762833926322</v>
      </c>
      <c r="EL480" s="7">
        <v>0.2905938467694939</v>
      </c>
      <c r="EM480" s="7">
        <v>8.6052993164673255E-2</v>
      </c>
      <c r="EN480" s="7">
        <v>4.6857153567274927E-2</v>
      </c>
      <c r="EO480" s="7">
        <v>0.57046662263352566</v>
      </c>
      <c r="EP480" s="7">
        <v>0.26978197311092933</v>
      </c>
      <c r="EQ480" s="7">
        <v>6.7873501597713437E-2</v>
      </c>
      <c r="ER480" s="7">
        <v>4.5020749090556561E-2</v>
      </c>
      <c r="ES480" s="7">
        <v>7.4659395576478368E-2</v>
      </c>
      <c r="ET480" s="7">
        <v>0.1607123887411516</v>
      </c>
      <c r="EU480" s="6">
        <v>2600</v>
      </c>
      <c r="EV480" s="6">
        <v>0</v>
      </c>
      <c r="EW480" s="6">
        <v>2600</v>
      </c>
      <c r="EX480" s="6">
        <v>0</v>
      </c>
      <c r="EY480" s="6">
        <v>3930.4654113435427</v>
      </c>
      <c r="EZ480" s="6">
        <v>-246</v>
      </c>
      <c r="FA480" s="6">
        <v>0</v>
      </c>
      <c r="FB480" s="6">
        <v>0</v>
      </c>
      <c r="FC480" s="6">
        <v>0</v>
      </c>
      <c r="FD480" s="6">
        <v>0</v>
      </c>
      <c r="FE480" s="6">
        <v>0</v>
      </c>
      <c r="FF480" s="6">
        <v>0</v>
      </c>
      <c r="FG480" s="6">
        <v>0</v>
      </c>
      <c r="FH480" s="6">
        <v>1148.4215501315134</v>
      </c>
      <c r="FI480" s="6">
        <v>1531.4299904380628</v>
      </c>
      <c r="FJ480" s="6">
        <v>2070.7205842538215</v>
      </c>
      <c r="FK480" s="6">
        <v>826.03289024944365</v>
      </c>
      <c r="FL480" s="6">
        <v>893.91433563489329</v>
      </c>
      <c r="FM480" s="6">
        <v>1080.4654113435424</v>
      </c>
      <c r="FN480" s="6">
        <v>0</v>
      </c>
      <c r="FO480" s="6">
        <v>0</v>
      </c>
      <c r="FP480" s="6">
        <v>0</v>
      </c>
      <c r="FQ480" s="6">
        <v>0</v>
      </c>
      <c r="FR480" s="6">
        <v>0</v>
      </c>
      <c r="FS480" s="6">
        <v>0</v>
      </c>
      <c r="FT480" s="7">
        <v>0.83928761125884843</v>
      </c>
      <c r="FU480" s="7">
        <v>8.6052993164673255E-2</v>
      </c>
      <c r="FV480" s="7">
        <v>7.4659395576478368E-2</v>
      </c>
      <c r="FW480" s="6">
        <v>2600</v>
      </c>
      <c r="FX480" s="6">
        <v>3930.4654113435427</v>
      </c>
      <c r="FY480" s="6">
        <v>-246</v>
      </c>
      <c r="FZ480" s="6">
        <v>1695.8504614767719</v>
      </c>
      <c r="GA480" s="6">
        <v>2502.009891137523</v>
      </c>
      <c r="GB480" s="6">
        <v>17192.990108862476</v>
      </c>
      <c r="GC480" s="7">
        <v>8.1891069685915169E-2</v>
      </c>
      <c r="GD480" s="7">
        <v>8.9477440736991098E-2</v>
      </c>
      <c r="GE480" s="7"/>
      <c r="GF480" s="7"/>
      <c r="GG480" s="7">
        <v>9.263978453539172E-2</v>
      </c>
      <c r="GH480" s="42">
        <v>2.2632502818857372</v>
      </c>
      <c r="GI480" s="6">
        <v>11204.096513033424</v>
      </c>
      <c r="GJ480" s="14">
        <v>0.51074630601039517</v>
      </c>
      <c r="GK480" s="14">
        <v>0.50829519786160926</v>
      </c>
      <c r="GL480" s="14">
        <v>0.48925369398960378</v>
      </c>
      <c r="GM480" s="14">
        <v>0.49170480213839002</v>
      </c>
      <c r="GO480" s="5">
        <v>338.16872463277008</v>
      </c>
      <c r="GP480" s="5">
        <v>288.56568471597211</v>
      </c>
      <c r="GQ480" s="5">
        <v>527.27910984145694</v>
      </c>
      <c r="GR480" s="5">
        <v>404.20319246551543</v>
      </c>
      <c r="GS480" s="5">
        <v>334.50205195691484</v>
      </c>
      <c r="GT480" s="5">
        <v>289.18266033348181</v>
      </c>
      <c r="GU480" s="5">
        <v>254.29573314828914</v>
      </c>
      <c r="GV480" s="39" t="s">
        <v>392</v>
      </c>
      <c r="GW480" s="5">
        <v>413.20833333333331</v>
      </c>
      <c r="GX480" s="5">
        <v>309.90625</v>
      </c>
      <c r="GY480" s="5">
        <v>247.92500000000001</v>
      </c>
      <c r="GZ480" s="5">
        <v>231.37681687628182</v>
      </c>
      <c r="HA480" s="5">
        <v>202.6463044045818</v>
      </c>
      <c r="HB480" s="39">
        <v>231.01977233119413</v>
      </c>
      <c r="HC480" s="5">
        <v>293.87812499999995</v>
      </c>
      <c r="HD480" s="5">
        <v>243.67143640350872</v>
      </c>
      <c r="HE480" s="5">
        <v>244.28647520242913</v>
      </c>
      <c r="HF480" s="5">
        <v>223.39192434210526</v>
      </c>
      <c r="HG480" s="5">
        <v>212.2899342105263</v>
      </c>
      <c r="HH480" s="39">
        <v>243.40064507127585</v>
      </c>
      <c r="HI480" s="16"/>
      <c r="HJ480" s="19" t="str">
        <f t="shared" ref="HJ480:HK481" si="1574">HJ479</f>
        <v>On</v>
      </c>
      <c r="HK480" s="1" t="str">
        <f t="shared" si="1574"/>
        <v>On</v>
      </c>
      <c r="HL480" s="16"/>
      <c r="HM480" s="639">
        <f t="shared" si="1493"/>
        <v>6.6115095157691428E-2</v>
      </c>
      <c r="HN480" s="639">
        <f t="shared" si="1494"/>
        <v>2.3720927871164412E-3</v>
      </c>
      <c r="HO480" s="639">
        <f t="shared" si="1495"/>
        <v>7.7231033444443466E-3</v>
      </c>
      <c r="HP480" s="644">
        <f>(FT480*$GD480-HM480)/$JF480*INDEX(Input!$1:$1048576,$JG$93,$C480*2+6)</f>
        <v>219.10338430157734</v>
      </c>
      <c r="HQ480" s="644">
        <f>(FU480*$GD480-HN480)/$JF480*INDEX(Input!$1:$1048576,$JG$93,$C480*2+6)</f>
        <v>129.95896628147506</v>
      </c>
      <c r="HR480" s="644">
        <f>(FV480*$GD480-HO480)/$JF480*INDEX(Input!$1:$1048576,$JG$93,$C480*2+6)</f>
        <v>-25.436362463717419</v>
      </c>
      <c r="HS480" s="644">
        <f t="shared" si="1565"/>
        <v>-73.833510522458468</v>
      </c>
      <c r="HT480" s="644">
        <f t="shared" si="1497"/>
        <v>279.91528124867762</v>
      </c>
      <c r="HU480" s="644">
        <f t="shared" si="1498"/>
        <v>14.291521224482091</v>
      </c>
      <c r="HV480" s="648">
        <f t="shared" si="1499"/>
        <v>0</v>
      </c>
      <c r="HW480" s="648">
        <f t="shared" si="1500"/>
        <v>0</v>
      </c>
      <c r="HX480" s="648">
        <f t="shared" si="1501"/>
        <v>0</v>
      </c>
      <c r="HY480" s="644">
        <f>INDEX(Input!$1:$1048576,HY$93,$C480*2+6)*INDEX(Input!$1:$1048576,$JG$93,$C480*2+6)</f>
        <v>844</v>
      </c>
      <c r="HZ480" s="644">
        <f>INDEX(Input!$1:$1048576,HZ$93,$C480*2+6)*INDEX(Input!$1:$1048576,$JG$93,$C480*2+6)</f>
        <v>865</v>
      </c>
      <c r="IA480" s="644">
        <f>INDEX(Input!$1:$1048576,IA$93,$C480*2+6)*INDEX(Input!$1:$1048576,$JG$93,$C480*2+6)</f>
        <v>150</v>
      </c>
      <c r="IB480" s="644">
        <f t="shared" si="1502"/>
        <v>989.2698737791186</v>
      </c>
      <c r="IC480" s="644">
        <f t="shared" si="1503"/>
        <v>1274.8742475301528</v>
      </c>
      <c r="ID480" s="644">
        <f>IF(AND(INDEX(Input!$1:$1048576,IA$93,$C480*2+7)="TOS",Y480&lt;=INDEX(Y:Y,MATCH(C480*1000+2,A:A))),0,1)*MAX(IA480+HR480+HU480+HX480,0%)</f>
        <v>138.85515876076468</v>
      </c>
      <c r="IE480" s="128">
        <f t="shared" si="1566"/>
        <v>0.41168130260541985</v>
      </c>
      <c r="IF480" s="128">
        <f t="shared" si="1567"/>
        <v>0.5305345940399101</v>
      </c>
      <c r="IG480" s="128">
        <f t="shared" si="1506"/>
        <v>5.7784103354670047E-2</v>
      </c>
      <c r="IH480" s="21"/>
      <c r="II480" s="19">
        <f t="shared" si="1507"/>
        <v>1199.9999999999998</v>
      </c>
      <c r="IJ480" s="19">
        <f t="shared" si="1508"/>
        <v>2195.4782357510435</v>
      </c>
      <c r="IK480" s="19">
        <f t="shared" si="1509"/>
        <v>-571</v>
      </c>
      <c r="IL480" s="19">
        <f t="shared" si="1510"/>
        <v>1400.0000000000002</v>
      </c>
      <c r="IM480" s="19">
        <f t="shared" si="1511"/>
        <v>1734.9871755924992</v>
      </c>
      <c r="IN480" s="19">
        <f t="shared" si="1512"/>
        <v>325</v>
      </c>
      <c r="IO480" s="39">
        <f t="shared" si="1513"/>
        <v>0</v>
      </c>
      <c r="IP480" s="39">
        <f t="shared" si="1514"/>
        <v>0</v>
      </c>
      <c r="IQ480" s="39">
        <f t="shared" si="1515"/>
        <v>0</v>
      </c>
      <c r="IR480" s="39">
        <v>0</v>
      </c>
      <c r="IS480" s="39">
        <v>0</v>
      </c>
      <c r="IT480" s="39">
        <v>0</v>
      </c>
      <c r="IU480" s="39">
        <v>0</v>
      </c>
      <c r="IV480" s="39">
        <v>0</v>
      </c>
      <c r="IW480" s="39">
        <v>0</v>
      </c>
      <c r="IX480" s="39">
        <f>INDEX(Input!$1:$1048576,IX$93,$C480*2+6)+INDEX(Input!$1:$1048576,IX$94,$C480*2+6)</f>
        <v>1600</v>
      </c>
      <c r="IY480" s="39">
        <f>INDEX(Input!$1:$1048576,IY$93,$C480*2+6)+INDEX(Input!$1:$1048576,IY$94,$C480*2+6)</f>
        <v>2503.549291639752</v>
      </c>
      <c r="IZ480" s="39">
        <f>INDEX(Input!$1:$1048576,IZ$93,$C480*2+6)+INDEX(Input!$1:$1048576,IZ$94,$C480*2+6)</f>
        <v>5413.7109265464023</v>
      </c>
      <c r="JA480" s="19">
        <f t="shared" si="1516"/>
        <v>3000</v>
      </c>
      <c r="JB480" s="19">
        <f t="shared" si="1517"/>
        <v>4238.5364672322512</v>
      </c>
      <c r="JC480" s="19">
        <f t="shared" si="1518"/>
        <v>5738.7109265464023</v>
      </c>
      <c r="JD480" s="19">
        <f t="shared" si="1519"/>
        <v>3815.3403970848085</v>
      </c>
      <c r="JE480" s="21"/>
      <c r="JF480" s="1">
        <f t="shared" si="1520"/>
        <v>7.6210291289252219E-2</v>
      </c>
      <c r="JG480" s="15">
        <f>INDEX(Input!$1:$1048576,JG$93,$C480*2+6)/(1+VLOOKUP(C480*1000+INDEX(Input!$1:$1048576,JG$93+1,$C480*2+6),$A:$KK,$JK$92,FALSE))</f>
        <v>1859</v>
      </c>
      <c r="JH480" s="1">
        <f t="shared" si="1521"/>
        <v>0.1740860613874852</v>
      </c>
      <c r="JI480" s="1">
        <f t="shared" si="1522"/>
        <v>0.11854399782178657</v>
      </c>
      <c r="JJ480" s="1">
        <f t="shared" si="1523"/>
        <v>0</v>
      </c>
      <c r="JK480" s="1">
        <f t="shared" si="1524"/>
        <v>0.29263005920927176</v>
      </c>
      <c r="JL480" s="15">
        <f t="shared" si="1525"/>
        <v>543.99928007003621</v>
      </c>
      <c r="JM480" s="15">
        <f t="shared" si="1526"/>
        <v>2402.9992800700361</v>
      </c>
      <c r="JN480" s="21"/>
      <c r="JO480" s="19">
        <f>INDEX(Input!$1:$1048576,JO$93,$C480*2+6)</f>
        <v>5908.5</v>
      </c>
      <c r="JP480" s="19">
        <f>INDEX(Input!$1:$1048576,JP$93,$C480*2+6)</f>
        <v>2328.1478086338602</v>
      </c>
      <c r="JQ480" s="39">
        <f t="shared" si="1527"/>
        <v>2093.1596029151915</v>
      </c>
      <c r="JR480" s="39">
        <f t="shared" si="1528"/>
        <v>1487.1925884509483</v>
      </c>
      <c r="JS480" s="39">
        <f t="shared" si="1529"/>
        <v>9.1682602274169192</v>
      </c>
      <c r="JT480" s="39">
        <f t="shared" si="1530"/>
        <v>4.840233451166573</v>
      </c>
      <c r="JU480" s="385">
        <f>(JQ480*JM480-INDEX(Input!$1:$1048576,Input!A$18,$C480*2+6)*JL480*INDEX(Input!$1:$1048576,Input!A$19,$C480*2+6))/1000000</f>
        <v>5.029861018876888</v>
      </c>
      <c r="JV480" s="39">
        <f t="shared" si="1531"/>
        <v>-1.6260137048727659</v>
      </c>
      <c r="JW480" s="1">
        <f t="shared" si="1532"/>
        <v>-0.24429752246850203</v>
      </c>
      <c r="JX480" s="19">
        <f t="shared" si="1533"/>
        <v>8897.4997366603602</v>
      </c>
      <c r="JZ480" s="341"/>
      <c r="KA480" s="342"/>
      <c r="KB480" s="469">
        <f t="shared" si="1548"/>
        <v>2.3451977905499271</v>
      </c>
      <c r="KI480" s="473">
        <f t="shared" si="1534"/>
        <v>145.2698737791186</v>
      </c>
      <c r="KJ480" s="473">
        <f t="shared" si="1535"/>
        <v>409.87424753015284</v>
      </c>
      <c r="KK480" s="473">
        <f t="shared" si="1536"/>
        <v>-11.144841239235319</v>
      </c>
      <c r="KN480" s="544">
        <f t="shared" si="1537"/>
        <v>4002</v>
      </c>
      <c r="KO480" s="541">
        <f t="shared" si="1538"/>
        <v>0.20291923066378814</v>
      </c>
      <c r="KP480" s="546">
        <f t="shared" si="1539"/>
        <v>1119.8846691219605</v>
      </c>
      <c r="KQ480" s="546">
        <f t="shared" si="1540"/>
        <v>1091.5968354868128</v>
      </c>
      <c r="KR480" s="548">
        <f t="shared" si="1541"/>
        <v>3.0751329979170836</v>
      </c>
      <c r="KS480" s="548">
        <f t="shared" si="1542"/>
        <v>3.1548225388016888</v>
      </c>
      <c r="KT480" s="473">
        <f t="shared" si="1549"/>
        <v>1050.27685337919</v>
      </c>
      <c r="KU480" s="663">
        <f t="shared" si="1543"/>
        <v>6.6486399648270167</v>
      </c>
    </row>
    <row r="481" spans="1:307" s="26" customFormat="1" ht="15" outlineLevel="1">
      <c r="A481" s="561">
        <f t="shared" si="1550"/>
        <v>4081</v>
      </c>
      <c r="B481" s="561">
        <f t="shared" si="1551"/>
        <v>81</v>
      </c>
      <c r="C481" s="561">
        <f t="shared" si="1552"/>
        <v>4</v>
      </c>
      <c r="D481" s="561" t="str">
        <f t="shared" si="1413"/>
        <v xml:space="preserve">-500 Trim BC, </v>
      </c>
      <c r="E481" s="475">
        <f>INDEX(Input!$1:$1048576,E$93,$C481*2+MIN($B481,2)+5)
+INDEX(Scenarios!E$121:E$200,MATCH($B481,Scenarios!$B$121:$B$200,0))</f>
        <v>1250</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0</v>
      </c>
      <c r="V481" s="478">
        <f>IFERROR(MAX(0,INDEX(Input!$1:$1048576,V$93,$C481*2+MIN($B481,2)+5)
+INDEX(Scenarios!V$121:V$200,MATCH($B481,Scenarios!$B$121:$B$200,0)),),"Market")</f>
        <v>1.8999999999999996E-2</v>
      </c>
      <c r="W481" s="863">
        <f>IFERROR(MAX(0,INDEX(Input!$1:$1048576,W$93,$C481*2+MIN($B481,2)+5)-0%,),"Market")</f>
        <v>3.9E-2</v>
      </c>
      <c r="X481" s="476" t="str">
        <f>INDEX(Input!$1:$1048576,X$93,$C481*2+MIN($B481,2)+5)</f>
        <v>Y</v>
      </c>
      <c r="Y481" s="475">
        <f>INDEX(Input!$1:$1048576,Y$93,$C481*2+MIN($B481,2)+5)
++INDEX(Scenarios!Y$121:Y$200,MATCH($B481,Scenarios!$B$121:$B$200,0))</f>
        <v>-2217</v>
      </c>
      <c r="Z481" s="477">
        <f>INDEX(Input!$1:$1048576,Z$93,$C481*2+MIN($B481,2)+5)
+INDEX(Scenarios!Z$121:Z$200,MATCH($B481,Scenarios!$B$121:$B$200,0))</f>
        <v>0</v>
      </c>
      <c r="AA481" s="475">
        <f>INDEX(Input!$1:$1048576,AA$93,$C481*2+MIN($B481,2)+5)</f>
        <v>0</v>
      </c>
      <c r="AB481" s="476">
        <f>INDEX(Input!$1:$1048576,AB$93,$C481*2+MIN($B481,2)+5)</f>
        <v>1</v>
      </c>
      <c r="AC481" s="475">
        <f>INDEX(Input!$1:$1048576,AC$93,$C481*2+MIN($B481,2)+5)
+INDEX(Scenarios!AC$121:AC$200,MATCH($B481,Scenarios!$B$121:$B$200,0))</f>
        <v>0</v>
      </c>
      <c r="AD481" s="476">
        <f>INDEX(Input!$1:$1048576,AD$93,$C481*2+MIN($B481,2)+5)</f>
        <v>0.35</v>
      </c>
      <c r="AE481" s="475">
        <f>INDEX(Input!$1:$1048576,AE$93,$C481*2+MIN($B481,2)+5)
+INDEX(Scenarios!AE$121:AE$200,MATCH($B481,Scenarios!$B$121:$B$200,0))</f>
        <v>0</v>
      </c>
      <c r="AF481" s="476">
        <f>INDEX(Input!$1:$1048576,AF$93,$C481*2+MIN($B481,2)+5)</f>
        <v>1</v>
      </c>
      <c r="AG481" s="475">
        <f>INDEX(Input!$1:$1048576,AG$93,$C481*2+MIN($B481,2)+5)
+INDEX(Scenarios!AG$121:AG$200,MATCH($B481,Scenarios!$B$121:$B$200,0))</f>
        <v>-500</v>
      </c>
      <c r="AH481" s="476">
        <f>INDEX(Input!$1:$1048576,AH$93,$C481*2+MIN($B481,2)+5)</f>
        <v>1</v>
      </c>
      <c r="AI481" s="475">
        <f>INDEX(Input!$1:$1048576,AI$93,$C481*2+MIN($B481,2)+5)
+INDEX(Scenarios!AI$121:AI$200,MATCH($B481,Scenarios!$B$121:$B$200,0))</f>
        <v>0</v>
      </c>
      <c r="AJ481" s="476">
        <f>INDEX(Input!$1:$1048576,AJ$93,$C481*2+MIN($B481,2)+5)</f>
        <v>0.35</v>
      </c>
      <c r="AK481" s="150">
        <f>ROUND(INDEX(Input!$1:$1048576,AK$93,$C480*2+MIN($B481,1)+5)+(Y481-VLOOKUP($C481*1000+1,$A:$HH,Y$92,FALSE)),0)</f>
        <v>4592</v>
      </c>
      <c r="AL481" s="150">
        <f>ROUND(INDEX(Input!$1:$1048576,AL$93,$C480*2+MIN($B481,1)+5)-(Y481-VLOOKUP($C481*1000+1,$A:$HH,Y$92,FALSE))/36,0)</f>
        <v>4743</v>
      </c>
      <c r="AM481" s="32" t="str">
        <f t="shared" si="1553"/>
        <v>std/std/std/std</v>
      </c>
      <c r="AN481" s="32" t="str">
        <f t="shared" si="1554"/>
        <v>$0 + 0/0/0/1.9/3.9</v>
      </c>
      <c r="AO481" s="32" t="str">
        <f t="shared" si="1555"/>
        <v>0/0/0/1.9/3.9</v>
      </c>
      <c r="AP481" s="32" t="str">
        <f t="shared" si="1386"/>
        <v>0/0.9/1.9/3.9</v>
      </c>
      <c r="AQ481" s="536">
        <f t="shared" si="1379"/>
        <v>0.45648465367078833</v>
      </c>
      <c r="AR481" s="32"/>
      <c r="AS481" s="302"/>
      <c r="AT481" s="3">
        <f t="shared" si="1556"/>
        <v>81</v>
      </c>
      <c r="AU481" s="41" t="s">
        <v>121</v>
      </c>
      <c r="AV481" s="41" t="s">
        <v>116</v>
      </c>
      <c r="AW481" s="41" t="str">
        <f>INDEX(Input!$1:$1048576,AW$93,$C481*2+6)</f>
        <v>Kia</v>
      </c>
      <c r="AX481" s="41" t="str">
        <f>INDEX(Input!$1:$1048576,AX$93,$C481*2+6)</f>
        <v>Kia-LR - R1</v>
      </c>
      <c r="AY481" s="41" t="str">
        <f>IF(LEN(D481)=0,"",INDEX(Input!$1:$1048576,AY$93,$C481*2+6))</f>
        <v>Compact Conventional/Sporty Car (43)</v>
      </c>
      <c r="AZ481" s="41" t="str">
        <f>INDEX(Input!$1:$1048576,AZ$93,$C481*2+6)</f>
        <v>Kia Forte</v>
      </c>
      <c r="BA481" s="3">
        <f>INDEX(Input!$1:$1048576,BA$93,$C481*2+6)</f>
        <v>2020</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19695</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387"/>
        <v>1560</v>
      </c>
      <c r="CJ481" s="16" t="str">
        <f>INDEX(Input!$1:$1048576,CJ$93,$C481*2+6)</f>
        <v>N</v>
      </c>
      <c r="CK481" s="1" t="str">
        <f t="shared" si="1388"/>
        <v>Market</v>
      </c>
      <c r="CL481" s="1" t="str">
        <f t="shared" si="1389"/>
        <v>Market</v>
      </c>
      <c r="CM481" s="1" t="str">
        <f t="shared" si="1390"/>
        <v>Market</v>
      </c>
      <c r="CN481" s="1" t="str">
        <f t="shared" si="1391"/>
        <v>Market</v>
      </c>
      <c r="CO481" s="1" t="str">
        <f t="shared" si="1392"/>
        <v>Market</v>
      </c>
      <c r="CP481" s="304">
        <f t="shared" si="1393"/>
        <v>0</v>
      </c>
      <c r="CQ481" s="1">
        <f t="shared" si="1394"/>
        <v>0</v>
      </c>
      <c r="CR481" s="1">
        <f t="shared" si="1395"/>
        <v>0</v>
      </c>
      <c r="CS481" s="1">
        <f t="shared" si="1396"/>
        <v>0</v>
      </c>
      <c r="CT481" s="1">
        <f t="shared" si="1397"/>
        <v>1.8999999999999996E-2</v>
      </c>
      <c r="CU481" s="1">
        <f t="shared" si="1398"/>
        <v>3.9E-2</v>
      </c>
      <c r="CV481" s="304">
        <f t="shared" si="1399"/>
        <v>-2217</v>
      </c>
      <c r="CW481" s="20" t="s">
        <v>122</v>
      </c>
      <c r="CX481" s="20" t="s">
        <v>122</v>
      </c>
      <c r="CY481" s="20" t="s">
        <v>122</v>
      </c>
      <c r="CZ481" s="20" t="s">
        <v>122</v>
      </c>
      <c r="DA481" s="20" t="s">
        <v>122</v>
      </c>
      <c r="DB481" s="503">
        <f t="shared" si="1400"/>
        <v>-500</v>
      </c>
      <c r="DC481" s="127">
        <v>0</v>
      </c>
      <c r="DD481" s="127">
        <v>0</v>
      </c>
      <c r="DE481" s="127">
        <v>0</v>
      </c>
      <c r="DF481" s="127">
        <v>0</v>
      </c>
      <c r="DG481" s="127">
        <v>0</v>
      </c>
      <c r="DH481" s="127">
        <v>0</v>
      </c>
      <c r="DI481" s="127">
        <v>0</v>
      </c>
      <c r="DJ481" s="127">
        <v>0</v>
      </c>
      <c r="DK481" s="127">
        <v>0</v>
      </c>
      <c r="DL481" s="127">
        <v>0</v>
      </c>
      <c r="DM481" s="304">
        <f>INDEX(Input!$1:$1048576,DM$93,$C481*2+6)</f>
        <v>20731.578947368424</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4.5225965849341174E-2</v>
      </c>
      <c r="DZ481" s="7">
        <v>0</v>
      </c>
      <c r="EA481" s="7">
        <v>0.82331726985562148</v>
      </c>
      <c r="EB481" s="7">
        <v>0</v>
      </c>
      <c r="EC481" s="7">
        <v>0</v>
      </c>
      <c r="ED481" s="7">
        <v>0</v>
      </c>
      <c r="EE481" s="7">
        <v>0</v>
      </c>
      <c r="EF481" s="7">
        <v>0</v>
      </c>
      <c r="EG481" s="7">
        <v>0</v>
      </c>
      <c r="EH481" s="7">
        <v>1.2235551929301317E-2</v>
      </c>
      <c r="EI481" s="7">
        <v>1.963832890920757E-2</v>
      </c>
      <c r="EJ481" s="7">
        <v>0.18444318016613856</v>
      </c>
      <c r="EK481" s="7">
        <v>0.72538719574591226</v>
      </c>
      <c r="EL481" s="7">
        <v>5.8295743249440549E-2</v>
      </c>
      <c r="EM481" s="7">
        <v>3.1163379671701814E-2</v>
      </c>
      <c r="EN481" s="7">
        <v>4.6254552534253229E-2</v>
      </c>
      <c r="EO481" s="7">
        <v>0.57208148661980995</v>
      </c>
      <c r="EP481" s="7">
        <v>0.26710166566504795</v>
      </c>
      <c r="EQ481" s="7">
        <v>6.8997487193621115E-2</v>
      </c>
      <c r="ER481" s="7">
        <v>4.5564807987267752E-2</v>
      </c>
      <c r="ES481" s="7">
        <v>0.1002933846233356</v>
      </c>
      <c r="ET481" s="7">
        <v>0.13145676429503739</v>
      </c>
      <c r="EU481" s="6">
        <v>1099.9999999999998</v>
      </c>
      <c r="EV481" s="6">
        <v>0</v>
      </c>
      <c r="EW481" s="6">
        <v>1099.9999999999998</v>
      </c>
      <c r="EX481" s="6">
        <v>0</v>
      </c>
      <c r="EY481" s="6">
        <v>2095.4715756207534</v>
      </c>
      <c r="EZ481" s="6">
        <v>-746</v>
      </c>
      <c r="FA481" s="6">
        <v>0</v>
      </c>
      <c r="FB481" s="6">
        <v>0</v>
      </c>
      <c r="FC481" s="6">
        <v>0</v>
      </c>
      <c r="FD481" s="6">
        <v>0</v>
      </c>
      <c r="FE481" s="6">
        <v>0</v>
      </c>
      <c r="FF481" s="6">
        <v>0</v>
      </c>
      <c r="FG481" s="6">
        <v>0</v>
      </c>
      <c r="FH481" s="6">
        <v>1153.256257535576</v>
      </c>
      <c r="FI481" s="6">
        <v>1531.4299904380618</v>
      </c>
      <c r="FJ481" s="6">
        <v>2070.7205842538219</v>
      </c>
      <c r="FK481" s="6">
        <v>1746.9903521590438</v>
      </c>
      <c r="FL481" s="6">
        <v>893.91433563489386</v>
      </c>
      <c r="FM481" s="6">
        <v>1745.4715756207534</v>
      </c>
      <c r="FN481" s="6">
        <v>0</v>
      </c>
      <c r="FO481" s="6">
        <v>0</v>
      </c>
      <c r="FP481" s="6">
        <v>0</v>
      </c>
      <c r="FQ481" s="6">
        <v>0</v>
      </c>
      <c r="FR481" s="6">
        <v>0</v>
      </c>
      <c r="FS481" s="6">
        <v>0</v>
      </c>
      <c r="FT481" s="7">
        <v>0.86854323570496261</v>
      </c>
      <c r="FU481" s="7">
        <v>3.1163379671701814E-2</v>
      </c>
      <c r="FV481" s="7">
        <v>0.1002933846233356</v>
      </c>
      <c r="FW481" s="6">
        <v>1099.9999999999998</v>
      </c>
      <c r="FX481" s="6">
        <v>2095.4715756207534</v>
      </c>
      <c r="FY481" s="6">
        <v>-746</v>
      </c>
      <c r="FZ481" s="6">
        <v>1695.8504614767719</v>
      </c>
      <c r="GA481" s="6">
        <v>945.88067064877919</v>
      </c>
      <c r="GB481" s="6">
        <v>18749.119329351222</v>
      </c>
      <c r="GC481" s="7">
        <v>8.1891069685915169E-2</v>
      </c>
      <c r="GD481" s="7">
        <v>7.5276808630852995E-2</v>
      </c>
      <c r="GE481" s="7"/>
      <c r="GF481" s="7"/>
      <c r="GG481" s="7">
        <v>-8.0769015234878422E-2</v>
      </c>
      <c r="GH481" s="42">
        <v>2.1210797748195858</v>
      </c>
      <c r="GI481" s="6">
        <v>10231.245716230438</v>
      </c>
      <c r="GJ481" s="14">
        <v>0.51074630601039528</v>
      </c>
      <c r="GK481" s="14">
        <v>0.50829519786160948</v>
      </c>
      <c r="GL481" s="14">
        <v>0.48925369398960405</v>
      </c>
      <c r="GM481" s="14">
        <v>0.49170480213839046</v>
      </c>
      <c r="GO481" s="5">
        <v>338.16872463277008</v>
      </c>
      <c r="GP481" s="5">
        <v>317.18282312950942</v>
      </c>
      <c r="GQ481" s="5">
        <v>527.27910984145694</v>
      </c>
      <c r="GR481" s="5">
        <v>404.20319246551543</v>
      </c>
      <c r="GS481" s="5">
        <v>334.50205195691484</v>
      </c>
      <c r="GT481" s="5">
        <v>289.18266033348181</v>
      </c>
      <c r="GU481" s="5">
        <v>254.29573314828914</v>
      </c>
      <c r="GV481" s="39" t="s">
        <v>392</v>
      </c>
      <c r="GW481" s="5">
        <v>482.65277777777777</v>
      </c>
      <c r="GX481" s="5">
        <v>361.98958333333331</v>
      </c>
      <c r="GY481" s="5">
        <v>289.59166666666664</v>
      </c>
      <c r="GZ481" s="5">
        <v>255.53408606924111</v>
      </c>
      <c r="HA481" s="5">
        <v>236.703362050473</v>
      </c>
      <c r="HB481" s="39">
        <v>265.587554106776</v>
      </c>
      <c r="HC481" s="5">
        <v>315.75312499999995</v>
      </c>
      <c r="HD481" s="5">
        <v>258.60199195906426</v>
      </c>
      <c r="HE481" s="5">
        <v>258.14865468960863</v>
      </c>
      <c r="HF481" s="5">
        <v>234.95442434210526</v>
      </c>
      <c r="HG481" s="5">
        <v>221.87326754385964</v>
      </c>
      <c r="HH481" s="39">
        <v>257.81924488551118</v>
      </c>
      <c r="HI481" s="16"/>
      <c r="HJ481" s="19" t="str">
        <f t="shared" si="1574"/>
        <v>On</v>
      </c>
      <c r="HK481" s="1" t="str">
        <f t="shared" si="1574"/>
        <v>On</v>
      </c>
      <c r="HL481" s="16"/>
      <c r="HM481" s="639">
        <f t="shared" si="1493"/>
        <v>6.6115095157691428E-2</v>
      </c>
      <c r="HN481" s="639">
        <f t="shared" si="1494"/>
        <v>2.3720927871164412E-3</v>
      </c>
      <c r="HO481" s="639">
        <f t="shared" si="1495"/>
        <v>7.7231033444443466E-3</v>
      </c>
      <c r="HP481" s="644">
        <f>(FT481*$GD481-HM481)/$JF481*INDEX(Input!$1:$1048576,$JG$93,$C481*2+6)</f>
        <v>-17.902831314380801</v>
      </c>
      <c r="HQ481" s="644">
        <f>(FU481*$GD481-HN481)/$JF481*INDEX(Input!$1:$1048576,$JG$93,$C481*2+6)</f>
        <v>-0.6394149925887187</v>
      </c>
      <c r="HR481" s="644">
        <f>(FV481*$GD481-HO481)/$JF481*INDEX(Input!$1:$1048576,$JG$93,$C481*2+6)</f>
        <v>-4.2282251425847717</v>
      </c>
      <c r="HS481" s="644">
        <f t="shared" si="1565"/>
        <v>5.2688975111802518</v>
      </c>
      <c r="HT481" s="644">
        <f t="shared" si="1497"/>
        <v>-16.03727625128278</v>
      </c>
      <c r="HU481" s="644">
        <f t="shared" si="1498"/>
        <v>-4.2256285032644385</v>
      </c>
      <c r="HV481" s="648">
        <f t="shared" si="1499"/>
        <v>0</v>
      </c>
      <c r="HW481" s="648">
        <f t="shared" si="1500"/>
        <v>0</v>
      </c>
      <c r="HX481" s="648">
        <f t="shared" si="1501"/>
        <v>0</v>
      </c>
      <c r="HY481" s="644">
        <f>INDEX(Input!$1:$1048576,HY$93,$C481*2+6)*INDEX(Input!$1:$1048576,$JG$93,$C481*2+6)</f>
        <v>844</v>
      </c>
      <c r="HZ481" s="644">
        <f>INDEX(Input!$1:$1048576,HZ$93,$C481*2+6)*INDEX(Input!$1:$1048576,$JG$93,$C481*2+6)</f>
        <v>865</v>
      </c>
      <c r="IA481" s="644">
        <f>INDEX(Input!$1:$1048576,IA$93,$C481*2+6)*INDEX(Input!$1:$1048576,$JG$93,$C481*2+6)</f>
        <v>150</v>
      </c>
      <c r="IB481" s="644">
        <f t="shared" si="1502"/>
        <v>831.36606619679947</v>
      </c>
      <c r="IC481" s="644">
        <f t="shared" si="1503"/>
        <v>848.32330875612843</v>
      </c>
      <c r="ID481" s="644">
        <f>IF(AND(INDEX(Input!$1:$1048576,IA$93,$C481*2+7)="TOS",Y481&lt;=INDEX(Y:Y,MATCH(C481*1000+2,A:A))),0,1)*MAX(IA481+HR481+HU481+HX481,0%)</f>
        <v>141.54614635415081</v>
      </c>
      <c r="IE481" s="128">
        <f t="shared" ref="IE481" si="1575">IB481/SUM($IB481:$ID481)</f>
        <v>0.45648465367078833</v>
      </c>
      <c r="IF481" s="128">
        <f t="shared" ref="IF481" si="1576">IC481/SUM($IB481:$ID481)</f>
        <v>0.46579549917151686</v>
      </c>
      <c r="IG481" s="128">
        <f t="shared" si="1506"/>
        <v>7.7719847157694824E-2</v>
      </c>
      <c r="IH481" s="21"/>
      <c r="II481" s="19">
        <f t="shared" si="1507"/>
        <v>1199.9999999999998</v>
      </c>
      <c r="IJ481" s="19">
        <f t="shared" si="1508"/>
        <v>2195.4782357510435</v>
      </c>
      <c r="IK481" s="19">
        <f t="shared" si="1509"/>
        <v>-571</v>
      </c>
      <c r="IL481" s="19">
        <f t="shared" si="1510"/>
        <v>-100</v>
      </c>
      <c r="IM481" s="19">
        <f t="shared" si="1511"/>
        <v>-100.00666013029013</v>
      </c>
      <c r="IN481" s="19">
        <f t="shared" si="1512"/>
        <v>-175</v>
      </c>
      <c r="IO481" s="39">
        <f t="shared" si="1513"/>
        <v>0</v>
      </c>
      <c r="IP481" s="39">
        <f t="shared" si="1514"/>
        <v>0</v>
      </c>
      <c r="IQ481" s="39">
        <f t="shared" si="1515"/>
        <v>0</v>
      </c>
      <c r="IR481" s="39">
        <v>0</v>
      </c>
      <c r="IS481" s="39">
        <v>0</v>
      </c>
      <c r="IT481" s="39">
        <v>0</v>
      </c>
      <c r="IU481" s="39">
        <v>0</v>
      </c>
      <c r="IV481" s="39">
        <v>0</v>
      </c>
      <c r="IW481" s="39">
        <v>0</v>
      </c>
      <c r="IX481" s="39">
        <f>INDEX(Input!$1:$1048576,IX$93,$C481*2+6)+INDEX(Input!$1:$1048576,IX$94,$C481*2+6)</f>
        <v>1600</v>
      </c>
      <c r="IY481" s="39">
        <f>INDEX(Input!$1:$1048576,IY$93,$C481*2+6)+INDEX(Input!$1:$1048576,IY$94,$C481*2+6)</f>
        <v>2503.549291639752</v>
      </c>
      <c r="IZ481" s="39">
        <f>INDEX(Input!$1:$1048576,IZ$93,$C481*2+6)+INDEX(Input!$1:$1048576,IZ$94,$C481*2+6)</f>
        <v>5413.7109265464023</v>
      </c>
      <c r="JA481" s="19">
        <f t="shared" si="1516"/>
        <v>1500</v>
      </c>
      <c r="JB481" s="19">
        <f t="shared" si="1517"/>
        <v>2403.5426315094619</v>
      </c>
      <c r="JC481" s="19">
        <f t="shared" si="1518"/>
        <v>5238.7109265464023</v>
      </c>
      <c r="JD481" s="19">
        <f t="shared" si="1519"/>
        <v>2211.4381328446857</v>
      </c>
      <c r="JE481" s="21"/>
      <c r="JF481" s="1">
        <f t="shared" si="1520"/>
        <v>7.6210291289252219E-2</v>
      </c>
      <c r="JG481" s="15">
        <f>INDEX(Input!$1:$1048576,JG$93,$C481*2+6)/(1+VLOOKUP(C481*1000+INDEX(Input!$1:$1048576,JG$93+1,$C481*2+6),$A:$KK,$JK$92,FALSE))</f>
        <v>1859</v>
      </c>
      <c r="JH481" s="1">
        <f t="shared" si="1521"/>
        <v>-1.2248774313907635E-2</v>
      </c>
      <c r="JI481" s="1">
        <f t="shared" si="1522"/>
        <v>-8.0656305773894373E-3</v>
      </c>
      <c r="JJ481" s="1">
        <f t="shared" si="1523"/>
        <v>0</v>
      </c>
      <c r="JK481" s="1">
        <f t="shared" si="1524"/>
        <v>-2.0314404891297072E-2</v>
      </c>
      <c r="JL481" s="15">
        <f t="shared" si="1525"/>
        <v>-37.764478692921259</v>
      </c>
      <c r="JM481" s="15">
        <f t="shared" si="1526"/>
        <v>1821.2355213070787</v>
      </c>
      <c r="JN481" s="21"/>
      <c r="JO481" s="19">
        <f>INDEX(Input!$1:$1048576,JO$93,$C481*2+6)</f>
        <v>5908.5</v>
      </c>
      <c r="JP481" s="19">
        <f>INDEX(Input!$1:$1048576,JP$93,$C481*2+6)</f>
        <v>2328.1478086338602</v>
      </c>
      <c r="JQ481" s="39">
        <f t="shared" si="1527"/>
        <v>3697.0618671553143</v>
      </c>
      <c r="JR481" s="39">
        <f t="shared" si="1528"/>
        <v>-116.70967578917453</v>
      </c>
      <c r="JS481" s="39">
        <f t="shared" si="1529"/>
        <v>4.0275496807097442</v>
      </c>
      <c r="JT481" s="39">
        <f t="shared" si="1530"/>
        <v>-0.3004770955406027</v>
      </c>
      <c r="JU481" s="385">
        <f>(JQ481*JM481-INDEX(Input!$1:$1048576,Input!A$18,$C481*2+6)*JL481*INDEX(Input!$1:$1048576,Input!A$19,$C481*2+6))/1000000</f>
        <v>6.733220396933131</v>
      </c>
      <c r="JV481" s="39">
        <f t="shared" si="1531"/>
        <v>7.7345673183477182E-2</v>
      </c>
      <c r="JW481" s="1">
        <f t="shared" si="1532"/>
        <v>1.1620662406323616E-2</v>
      </c>
      <c r="JX481" s="19">
        <f t="shared" si="1533"/>
        <v>7956.6064709619686</v>
      </c>
      <c r="JZ481" s="341"/>
      <c r="KA481" s="342"/>
      <c r="KB481" s="469">
        <f t="shared" si="1548"/>
        <v>2.3451977905499271</v>
      </c>
      <c r="KI481" s="473">
        <f t="shared" si="1534"/>
        <v>-12.633933803200534</v>
      </c>
      <c r="KJ481" s="473">
        <f t="shared" si="1535"/>
        <v>-16.676691243871574</v>
      </c>
      <c r="KK481" s="473">
        <f t="shared" si="1536"/>
        <v>-8.4538536458491933</v>
      </c>
      <c r="KN481" s="544">
        <f t="shared" si="1537"/>
        <v>4002</v>
      </c>
      <c r="KO481" s="541">
        <f t="shared" si="1538"/>
        <v>-8.8306330210626283E-2</v>
      </c>
      <c r="KP481" s="546">
        <f t="shared" si="1539"/>
        <v>-500.05008504051551</v>
      </c>
      <c r="KQ481" s="546">
        <f t="shared" si="1540"/>
        <v>-512.30542875331003</v>
      </c>
      <c r="KR481" s="548">
        <f t="shared" si="1541"/>
        <v>2.9970385366844168</v>
      </c>
      <c r="KS481" s="548">
        <f t="shared" si="1542"/>
        <v>2.9253435373225325</v>
      </c>
      <c r="KT481" s="473">
        <f t="shared" si="1549"/>
        <v>1050.27685337919</v>
      </c>
      <c r="KU481" s="663">
        <f t="shared" si="1543"/>
        <v>6.537532686401649</v>
      </c>
    </row>
    <row r="482" spans="1:307" s="26" customFormat="1" ht="15" outlineLevel="1">
      <c r="A482" s="561">
        <f t="shared" si="1550"/>
        <v>4082</v>
      </c>
      <c r="B482" s="561">
        <f t="shared" si="1551"/>
        <v>82</v>
      </c>
      <c r="C482" s="561">
        <f t="shared" si="1552"/>
        <v>4</v>
      </c>
      <c r="D482" s="561" t="str">
        <f t="shared" si="1413"/>
        <v xml:space="preserve">-500 BC, </v>
      </c>
      <c r="E482" s="475">
        <f>INDEX(Input!$1:$1048576,E$93,$C482*2+MIN($B482,2)+5)
+INDEX(Scenarios!E$121:E$200,MATCH($B482,Scenarios!$B$121:$B$200,0))</f>
        <v>1250</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0</v>
      </c>
      <c r="V482" s="478">
        <f>IFERROR(MAX(0,INDEX(Input!$1:$1048576,V$93,$C482*2+MIN($B482,2)+5)
+INDEX(Scenarios!V$121:V$200,MATCH($B482,Scenarios!$B$121:$B$200,0)),),"Market")</f>
        <v>1.8999999999999996E-2</v>
      </c>
      <c r="W482" s="863">
        <f>IFERROR(MAX(0,INDEX(Input!$1:$1048576,W$93,$C482*2+MIN($B482,2)+5)-0%,),"Market")</f>
        <v>3.9E-2</v>
      </c>
      <c r="X482" s="476" t="str">
        <f>INDEX(Input!$1:$1048576,X$93,$C482*2+MIN($B482,2)+5)</f>
        <v>Y</v>
      </c>
      <c r="Y482" s="475">
        <f>INDEX(Input!$1:$1048576,Y$93,$C482*2+MIN($B482,2)+5)
++INDEX(Scenarios!Y$121:Y$200,MATCH($B482,Scenarios!$B$121:$B$200,0))</f>
        <v>-2217</v>
      </c>
      <c r="Z482" s="477">
        <f>INDEX(Input!$1:$1048576,Z$93,$C482*2+MIN($B482,2)+5)
+INDEX(Scenarios!Z$121:Z$200,MATCH($B482,Scenarios!$B$121:$B$200,0))</f>
        <v>-500</v>
      </c>
      <c r="AA482" s="475">
        <f>INDEX(Input!$1:$1048576,AA$93,$C482*2+MIN($B482,2)+5)</f>
        <v>0</v>
      </c>
      <c r="AB482" s="476">
        <f>INDEX(Input!$1:$1048576,AB$93,$C482*2+MIN($B482,2)+5)</f>
        <v>1</v>
      </c>
      <c r="AC482" s="475">
        <f>INDEX(Input!$1:$1048576,AC$93,$C482*2+MIN($B482,2)+5)
+INDEX(Scenarios!AC$121:AC$200,MATCH($B482,Scenarios!$B$121:$B$200,0))</f>
        <v>0</v>
      </c>
      <c r="AD482" s="476">
        <f>INDEX(Input!$1:$1048576,AD$93,$C482*2+MIN($B482,2)+5)</f>
        <v>0.35</v>
      </c>
      <c r="AE482" s="475">
        <f>INDEX(Input!$1:$1048576,AE$93,$C482*2+MIN($B482,2)+5)
+INDEX(Scenarios!AE$121:AE$200,MATCH($B482,Scenarios!$B$121:$B$200,0))</f>
        <v>0</v>
      </c>
      <c r="AF482" s="476">
        <f>INDEX(Input!$1:$1048576,AF$93,$C482*2+MIN($B482,2)+5)</f>
        <v>1</v>
      </c>
      <c r="AG482" s="475">
        <f>INDEX(Input!$1:$1048576,AG$93,$C482*2+MIN($B482,2)+5)
+INDEX(Scenarios!AG$121:AG$200,MATCH($B482,Scenarios!$B$121:$B$200,0))</f>
        <v>0</v>
      </c>
      <c r="AH482" s="476">
        <f>INDEX(Input!$1:$1048576,AH$93,$C482*2+MIN($B482,2)+5)</f>
        <v>1</v>
      </c>
      <c r="AI482" s="475">
        <f>INDEX(Input!$1:$1048576,AI$93,$C482*2+MIN($B482,2)+5)
+INDEX(Scenarios!AI$121:AI$200,MATCH($B482,Scenarios!$B$121:$B$200,0))</f>
        <v>0</v>
      </c>
      <c r="AJ482" s="476">
        <f>INDEX(Input!$1:$1048576,AJ$93,$C482*2+MIN($B482,2)+5)</f>
        <v>0.35</v>
      </c>
      <c r="AK482" s="150">
        <f>ROUND(INDEX(Input!$1:$1048576,AK$93,$C481*2+MIN($B482,1)+5)+(Y482-VLOOKUP($C482*1000+1,$A:$HH,Y$92,FALSE)),0)</f>
        <v>4592</v>
      </c>
      <c r="AL482" s="150">
        <f>ROUND(INDEX(Input!$1:$1048576,AL$93,$C481*2+MIN($B482,1)+5)-(Y482-VLOOKUP($C482*1000+1,$A:$HH,Y$92,FALSE))/36,0)</f>
        <v>4743</v>
      </c>
      <c r="AM482" s="32" t="str">
        <f t="shared" si="1553"/>
        <v>std/std/std/std</v>
      </c>
      <c r="AN482" s="32" t="str">
        <f t="shared" si="1554"/>
        <v>$0 + 0/0/0/1.9/3.9</v>
      </c>
      <c r="AO482" s="32" t="str">
        <f t="shared" si="1555"/>
        <v>0/0/0/1.9/3.9</v>
      </c>
      <c r="AP482" s="32" t="str">
        <f t="shared" si="1386"/>
        <v>0/0.9/1.9/3.9</v>
      </c>
      <c r="AQ482" s="536">
        <f t="shared" si="1379"/>
        <v>0.45648465367078833</v>
      </c>
      <c r="AR482" s="32"/>
      <c r="AS482" s="302"/>
      <c r="AT482" s="3">
        <f t="shared" si="1556"/>
        <v>82</v>
      </c>
      <c r="AU482" s="41" t="s">
        <v>121</v>
      </c>
      <c r="AV482" s="41" t="s">
        <v>116</v>
      </c>
      <c r="AW482" s="41" t="str">
        <f>INDEX(Input!$1:$1048576,AW$93,$C482*2+6)</f>
        <v>Kia</v>
      </c>
      <c r="AX482" s="41" t="str">
        <f>INDEX(Input!$1:$1048576,AX$93,$C482*2+6)</f>
        <v>Kia-LR - R1</v>
      </c>
      <c r="AY482" s="41" t="str">
        <f>IF(LEN(D482)=0,"",INDEX(Input!$1:$1048576,AY$93,$C482*2+6))</f>
        <v>Compact Conventional/Sporty Car (43)</v>
      </c>
      <c r="AZ482" s="41" t="str">
        <f>INDEX(Input!$1:$1048576,AZ$93,$C482*2+6)</f>
        <v>Kia Forte</v>
      </c>
      <c r="BA482" s="3">
        <f>INDEX(Input!$1:$1048576,BA$93,$C482*2+6)</f>
        <v>2020</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19695</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387"/>
        <v>1560</v>
      </c>
      <c r="CJ482" s="16" t="str">
        <f>INDEX(Input!$1:$1048576,CJ$93,$C482*2+6)</f>
        <v>N</v>
      </c>
      <c r="CK482" s="1" t="str">
        <f t="shared" si="1388"/>
        <v>Market</v>
      </c>
      <c r="CL482" s="1" t="str">
        <f t="shared" si="1389"/>
        <v>Market</v>
      </c>
      <c r="CM482" s="1" t="str">
        <f t="shared" si="1390"/>
        <v>Market</v>
      </c>
      <c r="CN482" s="1" t="str">
        <f t="shared" si="1391"/>
        <v>Market</v>
      </c>
      <c r="CO482" s="1" t="str">
        <f t="shared" si="1392"/>
        <v>Market</v>
      </c>
      <c r="CP482" s="304">
        <f t="shared" si="1393"/>
        <v>0</v>
      </c>
      <c r="CQ482" s="1">
        <f t="shared" si="1394"/>
        <v>0</v>
      </c>
      <c r="CR482" s="1">
        <f t="shared" si="1395"/>
        <v>0</v>
      </c>
      <c r="CS482" s="1">
        <f t="shared" si="1396"/>
        <v>0</v>
      </c>
      <c r="CT482" s="1">
        <f t="shared" si="1397"/>
        <v>1.8999999999999996E-2</v>
      </c>
      <c r="CU482" s="1">
        <f t="shared" si="1398"/>
        <v>3.9E-2</v>
      </c>
      <c r="CV482" s="304">
        <f t="shared" si="1399"/>
        <v>-2217</v>
      </c>
      <c r="CW482" s="20" t="s">
        <v>122</v>
      </c>
      <c r="CX482" s="20" t="s">
        <v>122</v>
      </c>
      <c r="CY482" s="20" t="s">
        <v>122</v>
      </c>
      <c r="CZ482" s="20" t="s">
        <v>122</v>
      </c>
      <c r="DA482" s="20" t="s">
        <v>122</v>
      </c>
      <c r="DB482" s="503">
        <f t="shared" si="1400"/>
        <v>-500</v>
      </c>
      <c r="DC482" s="127">
        <v>0</v>
      </c>
      <c r="DD482" s="127">
        <v>0</v>
      </c>
      <c r="DE482" s="127">
        <v>0</v>
      </c>
      <c r="DF482" s="127">
        <v>0</v>
      </c>
      <c r="DG482" s="127">
        <v>0</v>
      </c>
      <c r="DH482" s="127">
        <v>0</v>
      </c>
      <c r="DI482" s="127">
        <v>0</v>
      </c>
      <c r="DJ482" s="127">
        <v>0</v>
      </c>
      <c r="DK482" s="127">
        <v>0</v>
      </c>
      <c r="DL482" s="127">
        <v>0</v>
      </c>
      <c r="DM482" s="304">
        <f>INDEX(Input!$1:$1048576,DM$93,$C482*2+6)</f>
        <v>20731.578947368424</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4.5225965849341174E-2</v>
      </c>
      <c r="DZ482" s="7">
        <v>0</v>
      </c>
      <c r="EA482" s="7">
        <v>0.82331726985562148</v>
      </c>
      <c r="EB482" s="7">
        <v>0</v>
      </c>
      <c r="EC482" s="7">
        <v>0</v>
      </c>
      <c r="ED482" s="7">
        <v>0</v>
      </c>
      <c r="EE482" s="7">
        <v>0</v>
      </c>
      <c r="EF482" s="7">
        <v>0</v>
      </c>
      <c r="EG482" s="7">
        <v>0</v>
      </c>
      <c r="EH482" s="7">
        <v>1.2235551929301317E-2</v>
      </c>
      <c r="EI482" s="7">
        <v>1.963832890920757E-2</v>
      </c>
      <c r="EJ482" s="7">
        <v>0.18444318016613856</v>
      </c>
      <c r="EK482" s="7">
        <v>0.72538719574591226</v>
      </c>
      <c r="EL482" s="7">
        <v>5.8295743249440549E-2</v>
      </c>
      <c r="EM482" s="7">
        <v>3.1163379671701814E-2</v>
      </c>
      <c r="EN482" s="7">
        <v>4.6254552534253229E-2</v>
      </c>
      <c r="EO482" s="7">
        <v>0.57208148661980995</v>
      </c>
      <c r="EP482" s="7">
        <v>0.26710166566504795</v>
      </c>
      <c r="EQ482" s="7">
        <v>6.8997487193621115E-2</v>
      </c>
      <c r="ER482" s="7">
        <v>4.5564807987267752E-2</v>
      </c>
      <c r="ES482" s="7">
        <v>0.1002933846233356</v>
      </c>
      <c r="ET482" s="7">
        <v>0.13145676429503739</v>
      </c>
      <c r="EU482" s="6">
        <v>1099.9999999999998</v>
      </c>
      <c r="EV482" s="6">
        <v>0</v>
      </c>
      <c r="EW482" s="6">
        <v>1099.9999999999998</v>
      </c>
      <c r="EX482" s="6">
        <v>0</v>
      </c>
      <c r="EY482" s="6">
        <v>2095.4715756207534</v>
      </c>
      <c r="EZ482" s="6">
        <v>-746</v>
      </c>
      <c r="FA482" s="6">
        <v>0</v>
      </c>
      <c r="FB482" s="6">
        <v>0</v>
      </c>
      <c r="FC482" s="6">
        <v>0</v>
      </c>
      <c r="FD482" s="6">
        <v>0</v>
      </c>
      <c r="FE482" s="6">
        <v>0</v>
      </c>
      <c r="FF482" s="6">
        <v>0</v>
      </c>
      <c r="FG482" s="6">
        <v>0</v>
      </c>
      <c r="FH482" s="6">
        <v>1153.256257535576</v>
      </c>
      <c r="FI482" s="6">
        <v>1531.4299904380618</v>
      </c>
      <c r="FJ482" s="6">
        <v>2070.7205842538219</v>
      </c>
      <c r="FK482" s="6">
        <v>1746.9903521590438</v>
      </c>
      <c r="FL482" s="6">
        <v>893.91433563489386</v>
      </c>
      <c r="FM482" s="6">
        <v>1745.4715756207534</v>
      </c>
      <c r="FN482" s="6">
        <v>0</v>
      </c>
      <c r="FO482" s="6">
        <v>0</v>
      </c>
      <c r="FP482" s="6">
        <v>0</v>
      </c>
      <c r="FQ482" s="6">
        <v>0</v>
      </c>
      <c r="FR482" s="6">
        <v>0</v>
      </c>
      <c r="FS482" s="6">
        <v>0</v>
      </c>
      <c r="FT482" s="7">
        <v>0.86854323570496261</v>
      </c>
      <c r="FU482" s="7">
        <v>3.1163379671701814E-2</v>
      </c>
      <c r="FV482" s="7">
        <v>0.1002933846233356</v>
      </c>
      <c r="FW482" s="6">
        <v>1099.9999999999998</v>
      </c>
      <c r="FX482" s="6">
        <v>2095.4715756207534</v>
      </c>
      <c r="FY482" s="6">
        <v>-746</v>
      </c>
      <c r="FZ482" s="6">
        <v>1695.8504614767719</v>
      </c>
      <c r="GA482" s="6">
        <v>945.88067064877919</v>
      </c>
      <c r="GB482" s="6">
        <v>18749.119329351222</v>
      </c>
      <c r="GC482" s="7">
        <v>8.1891069685915169E-2</v>
      </c>
      <c r="GD482" s="7">
        <v>7.5276808630852995E-2</v>
      </c>
      <c r="GE482" s="7"/>
      <c r="GF482" s="7"/>
      <c r="GG482" s="7">
        <v>-8.0769015234878422E-2</v>
      </c>
      <c r="GH482" s="42">
        <v>2.1210797748195858</v>
      </c>
      <c r="GI482" s="6">
        <v>10231.245716230438</v>
      </c>
      <c r="GJ482" s="14">
        <v>0.51074630601039528</v>
      </c>
      <c r="GK482" s="14">
        <v>0.50829519786160948</v>
      </c>
      <c r="GL482" s="14">
        <v>0.48925369398960405</v>
      </c>
      <c r="GM482" s="14">
        <v>0.49170480213839046</v>
      </c>
      <c r="GO482" s="5">
        <v>338.16872463277008</v>
      </c>
      <c r="GP482" s="5">
        <v>317.18282312950942</v>
      </c>
      <c r="GQ482" s="5">
        <v>527.27910984145694</v>
      </c>
      <c r="GR482" s="5">
        <v>404.20319246551543</v>
      </c>
      <c r="GS482" s="5">
        <v>334.50205195691484</v>
      </c>
      <c r="GT482" s="5">
        <v>289.18266033348181</v>
      </c>
      <c r="GU482" s="5">
        <v>254.29573314828914</v>
      </c>
      <c r="GV482" s="39" t="s">
        <v>392</v>
      </c>
      <c r="GW482" s="5">
        <v>482.65277777777777</v>
      </c>
      <c r="GX482" s="5">
        <v>361.98958333333331</v>
      </c>
      <c r="GY482" s="5">
        <v>289.59166666666664</v>
      </c>
      <c r="GZ482" s="5">
        <v>255.53408606924111</v>
      </c>
      <c r="HA482" s="5">
        <v>236.703362050473</v>
      </c>
      <c r="HB482" s="39">
        <v>265.587554106776</v>
      </c>
      <c r="HC482" s="5">
        <v>315.75312499999995</v>
      </c>
      <c r="HD482" s="5">
        <v>258.60199195906426</v>
      </c>
      <c r="HE482" s="5">
        <v>258.14865468960863</v>
      </c>
      <c r="HF482" s="5">
        <v>234.95442434210526</v>
      </c>
      <c r="HG482" s="5">
        <v>221.87326754385964</v>
      </c>
      <c r="HH482" s="39">
        <v>257.81924488551118</v>
      </c>
      <c r="HI482" s="16"/>
      <c r="HJ482" s="19" t="str">
        <f t="shared" ref="HJ482:HK487" si="1577">HJ481</f>
        <v>On</v>
      </c>
      <c r="HK482" s="1" t="str">
        <f t="shared" si="1577"/>
        <v>On</v>
      </c>
      <c r="HL482" s="16"/>
      <c r="HM482" s="889">
        <f t="shared" ref="HM482:HO487" si="1578">VLOOKUP($C482*1000+1,$A:$HH,FT$92,FALSE)*$JF482</f>
        <v>6.6115095157691428E-2</v>
      </c>
      <c r="HN482" s="889">
        <f t="shared" si="1578"/>
        <v>2.3720927871164412E-3</v>
      </c>
      <c r="HO482" s="889">
        <f t="shared" si="1578"/>
        <v>7.7231033444443466E-3</v>
      </c>
      <c r="HP482" s="890">
        <f>(FT482*$GD482-HM482)/$JF482*INDEX(Input!$1:$1048576,$JG$93,$C482*2+6)</f>
        <v>-17.902831314380801</v>
      </c>
      <c r="HQ482" s="890">
        <f>(FU482*$GD482-HN482)/$JF482*INDEX(Input!$1:$1048576,$JG$93,$C482*2+6)</f>
        <v>-0.6394149925887187</v>
      </c>
      <c r="HR482" s="890">
        <f>(FV482*$GD482-HO482)/$JF482*INDEX(Input!$1:$1048576,$JG$93,$C482*2+6)</f>
        <v>-4.2282251425847717</v>
      </c>
      <c r="HS482" s="890">
        <f t="shared" ref="HS482:HS487" si="1579">IF(AND(HJ482="On",HK482="On"),IL482/1000*INDEX(KG:KG,MATCH(C482*1000+3,$KF:$KF,0))*SUM(HY482:IA482)*1.1
+INDEX(HR:HR,MATCH(C482*1000+4,$KF:$KF,0))/INDEX(IM:IM,MATCH(C482*1000+4,$KF:$KF,0))*IM482*20%,0)</f>
        <v>5.2688975111802518</v>
      </c>
      <c r="HT482" s="890">
        <f t="shared" ref="HT482:HT487" si="1580">IF(AND(HJ482="On",HK482="On"),IM482/1000*INDEX(KG:KG,MATCH(C482*1000+4,$KF:$KF,0))*SUM(HY482:IA482)*1.1
+INDEX(HR:HR,MATCH(C482*1000+3,$KF:$KF,0))/INDEX(IL:IL,MATCH(C482*1000+3,$KF:$KF,0))*IL482*20%,0)</f>
        <v>-16.03727625128278</v>
      </c>
      <c r="HU482" s="890">
        <f t="shared" ref="HU482:HU487" si="1581">IF(HJ482="On",IN482/1000*INDEX(KG:KG,MATCH(C482*1000+5,$KF:$KF,0))*SUM(HY482:IA482)*1.1
-INDEX(HR:HR,MATCH(C482*1000+3,$KF:$KF,0))/INDEX(IL:IL,MATCH(C482*1000+3,$KF:$KF,0))*IL482*20%
-INDEX(HR:HR,MATCH(C482*1000+4,$KF:$KF,0))/INDEX(IM:IM,MATCH(C482*1000+4,$KF:$KF,0))*IM482*20%,0)</f>
        <v>-4.2256285032644385</v>
      </c>
      <c r="HV482" s="891">
        <f t="shared" ref="HV482:HV487" si="1582">IL482/1000*0+IM482/1000*0+IN482/1000*0
+(CP482-INDEX(CP:CP,MATCH(C482*1000+1,A:A,0)))/1000*0+IF(FU482&gt;0,0,0)</f>
        <v>0</v>
      </c>
      <c r="HW482" s="891">
        <f t="shared" ref="HW482:HW487" si="1583">IL482/1000*0+IM482/1000*0+IN482/1000*0
+(CP482-INDEX(CP:CP,MATCH(C482*1000+1,A:A,0)))/1000*0+IF(FU482&gt;0,0,0)</f>
        <v>0</v>
      </c>
      <c r="HX482" s="891">
        <f t="shared" ref="HX482:HX487" si="1584">IL482/1000*0+IM482/1000*0+IN482/1000*0
+(CP482-INDEX(CP:CP,MATCH(C482*1000+1,A:A,0)))/1000*0+IF(FU482&gt;0,0,0)</f>
        <v>0</v>
      </c>
      <c r="HY482" s="890">
        <f>INDEX(Input!$1:$1048576,HY$93,$C482*2+6)*INDEX(Input!$1:$1048576,$JG$93,$C482*2+6)</f>
        <v>844</v>
      </c>
      <c r="HZ482" s="890">
        <f>INDEX(Input!$1:$1048576,HZ$93,$C482*2+6)*INDEX(Input!$1:$1048576,$JG$93,$C482*2+6)</f>
        <v>865</v>
      </c>
      <c r="IA482" s="890">
        <f>INDEX(Input!$1:$1048576,IA$93,$C482*2+6)*INDEX(Input!$1:$1048576,$JG$93,$C482*2+6)</f>
        <v>150</v>
      </c>
      <c r="IB482" s="890">
        <f t="shared" ref="IB482:IB487" si="1585">SUM(HP482:IA482)-IC482-ID482</f>
        <v>831.36606619679947</v>
      </c>
      <c r="IC482" s="890">
        <f t="shared" ref="IC482:IC487" si="1586">MAX(HZ482+HQ482+HT482+HW482,0%)</f>
        <v>848.32330875612843</v>
      </c>
      <c r="ID482" s="890">
        <f>IF(AND(INDEX(Input!$1:$1048576,IA$93,$C482*2+7)="TOS",Y482&lt;=INDEX(Y:Y,MATCH(C482*1000+2,A:A))),0,1)*MAX(IA482+HR482+HU482+HX482,0%)</f>
        <v>141.54614635415081</v>
      </c>
      <c r="IE482" s="892">
        <f t="shared" ref="IE482:IG487" si="1587">IB482/SUM($IB482:$ID482)</f>
        <v>0.45648465367078833</v>
      </c>
      <c r="IF482" s="892">
        <f t="shared" si="1587"/>
        <v>0.46579549917151686</v>
      </c>
      <c r="IG482" s="892">
        <f t="shared" si="1587"/>
        <v>7.7719847157694824E-2</v>
      </c>
      <c r="IH482" s="21"/>
      <c r="II482" s="19">
        <f t="shared" ref="II482:II487" si="1588">VLOOKUP($C482*1000+1,$A:$HH,FW$92,FALSE)-VLOOKUP($C482*1000+1,$A:$HH,FA$92,FALSE)*VLOOKUP($C482*1000+1,$A:$HH,DZ$92,FALSE)/VLOOKUP($C482*1000+1,$A:$HH,FT$92,FALSE)</f>
        <v>1199.9999999999998</v>
      </c>
      <c r="IJ482" s="19">
        <f t="shared" ref="IJ482:IK487" si="1589">VLOOKUP($C482*1000+1,$A:$HH,FX$92,FALSE)</f>
        <v>2195.4782357510435</v>
      </c>
      <c r="IK482" s="19">
        <f t="shared" si="1589"/>
        <v>-571</v>
      </c>
      <c r="IL482" s="19">
        <f t="shared" ref="IL482:IL487" si="1590">(FW482-FA482*DZ482/FT482)-II482</f>
        <v>-100</v>
      </c>
      <c r="IM482" s="19">
        <f t="shared" ref="IM482:IN487" si="1591">FX482-IJ482</f>
        <v>-100.00666013029013</v>
      </c>
      <c r="IN482" s="19">
        <f t="shared" si="1591"/>
        <v>-175</v>
      </c>
      <c r="IO482" s="39">
        <f t="shared" ref="IO482:IQ487" si="1592">(F482-VLOOKUP($C482*1000+1,$A:$HH,F$92,FALSE))*(1-$I482)</f>
        <v>0</v>
      </c>
      <c r="IP482" s="39">
        <f t="shared" si="1592"/>
        <v>0</v>
      </c>
      <c r="IQ482" s="39">
        <f t="shared" si="1592"/>
        <v>0</v>
      </c>
      <c r="IR482" s="39">
        <v>0</v>
      </c>
      <c r="IS482" s="39">
        <v>0</v>
      </c>
      <c r="IT482" s="39">
        <v>0</v>
      </c>
      <c r="IU482" s="39">
        <v>0</v>
      </c>
      <c r="IV482" s="39">
        <v>0</v>
      </c>
      <c r="IW482" s="39">
        <v>0</v>
      </c>
      <c r="IX482" s="39">
        <f>INDEX(Input!$1:$1048576,IX$93,$C482*2+6)+INDEX(Input!$1:$1048576,IX$94,$C482*2+6)</f>
        <v>1600</v>
      </c>
      <c r="IY482" s="39">
        <f>INDEX(Input!$1:$1048576,IY$93,$C482*2+6)+INDEX(Input!$1:$1048576,IY$94,$C482*2+6)</f>
        <v>2503.549291639752</v>
      </c>
      <c r="IZ482" s="39">
        <f>INDEX(Input!$1:$1048576,IZ$93,$C482*2+6)+INDEX(Input!$1:$1048576,IZ$94,$C482*2+6)</f>
        <v>5413.7109265464023</v>
      </c>
      <c r="JA482" s="19">
        <f t="shared" ref="JA482:JC487" si="1593">(IL482+IO482+IR482+IU482+IX482)</f>
        <v>1500</v>
      </c>
      <c r="JB482" s="19">
        <f t="shared" si="1593"/>
        <v>2403.5426315094619</v>
      </c>
      <c r="JC482" s="19">
        <f t="shared" si="1593"/>
        <v>5238.7109265464023</v>
      </c>
      <c r="JD482" s="19">
        <f t="shared" ref="JD482:JD487" si="1594">SUMPRODUCT(IE482:IG482,JA482:JC482)</f>
        <v>2211.4381328446857</v>
      </c>
      <c r="JE482" s="21"/>
      <c r="JF482" s="1">
        <f t="shared" ref="JF482:JF487" si="1595">VLOOKUP($C482*1000+1,$A:$HH,GD$92,FALSE)</f>
        <v>7.6210291289252219E-2</v>
      </c>
      <c r="JG482" s="15">
        <f>INDEX(Input!$1:$1048576,JG$93,$C482*2+6)/(1+VLOOKUP(C482*1000+INDEX(Input!$1:$1048576,JG$93+1,$C482*2+6),$A:$KK,$JK$92,FALSE))</f>
        <v>1859</v>
      </c>
      <c r="JH482" s="1">
        <f t="shared" ref="JH482:JH487" si="1596">SUM(HP482:HR482)/SUM(HY482:IA482)</f>
        <v>-1.2248774313907635E-2</v>
      </c>
      <c r="JI482" s="1">
        <f t="shared" ref="JI482:JI487" si="1597">SUM(HS482:HU482)/SUM(HY482:IA482)</f>
        <v>-8.0656305773894373E-3</v>
      </c>
      <c r="JJ482" s="1">
        <f t="shared" ref="JJ482:JJ487" si="1598">SUM(HV482:HX482)/SUM(HY482:IA482)</f>
        <v>0</v>
      </c>
      <c r="JK482" s="1">
        <f t="shared" ref="JK482:JK487" si="1599">SUM(JH482:JJ482)</f>
        <v>-2.0314404891297072E-2</v>
      </c>
      <c r="JL482" s="15">
        <f t="shared" ref="JL482:JL487" si="1600">JG482*JK482</f>
        <v>-37.764478692921259</v>
      </c>
      <c r="JM482" s="15">
        <f t="shared" ref="JM482:JM487" si="1601">JG482+JL482</f>
        <v>1821.2355213070787</v>
      </c>
      <c r="JN482" s="21"/>
      <c r="JO482" s="19">
        <f>INDEX(Input!$1:$1048576,JO$93,$C482*2+6)</f>
        <v>5908.5</v>
      </c>
      <c r="JP482" s="19">
        <f>INDEX(Input!$1:$1048576,JP$93,$C482*2+6)</f>
        <v>2328.1478086338602</v>
      </c>
      <c r="JQ482" s="39">
        <f t="shared" ref="JQ482:JQ487" si="1602">JO482-JD482</f>
        <v>3697.0618671553143</v>
      </c>
      <c r="JR482" s="39">
        <f t="shared" ref="JR482:JR487" si="1603">JD482-JP482</f>
        <v>-116.70967578917453</v>
      </c>
      <c r="JS482" s="39">
        <f t="shared" ref="JS482:JS487" si="1604">JM482*JD482/1000000</f>
        <v>4.0275496807097442</v>
      </c>
      <c r="JT482" s="39">
        <f t="shared" ref="JT482:JT487" si="1605">(JD482*JM482-JP482*JG482)/1000000</f>
        <v>-0.3004770955406027</v>
      </c>
      <c r="JU482" s="385">
        <f>(JQ482*JM482-INDEX(Input!$1:$1048576,Input!A$18,$C482*2+6)*JL482*INDEX(Input!$1:$1048576,Input!A$19,$C482*2+6))/1000000</f>
        <v>6.733220396933131</v>
      </c>
      <c r="JV482" s="39">
        <f t="shared" ref="JV482:JV487" si="1606">JU482-(JO482-JP482)*JG482/1000000</f>
        <v>7.7345673183477182E-2</v>
      </c>
      <c r="JW482" s="1">
        <f t="shared" ref="JW482:JW487" si="1607">JV482/(JU482-JV482)</f>
        <v>1.1620662406323616E-2</v>
      </c>
      <c r="JX482" s="19">
        <f t="shared" ref="JX482:JX487" si="1608">IF(JL482=0,0,JT482/JL482)*1000000</f>
        <v>7956.6064709619686</v>
      </c>
      <c r="JZ482" s="341"/>
      <c r="KA482" s="342"/>
      <c r="KB482" s="469">
        <f t="shared" ref="KB482:KB487" si="1609">KB481</f>
        <v>2.3451977905499271</v>
      </c>
      <c r="KI482" s="473">
        <f t="shared" ref="KI482:KK487" si="1610">$JM482*IE482-$JG482*HY482/SUM($HY482:$IA482)</f>
        <v>-12.633933803200534</v>
      </c>
      <c r="KJ482" s="473">
        <f t="shared" si="1610"/>
        <v>-16.676691243871574</v>
      </c>
      <c r="KK482" s="473">
        <f t="shared" si="1610"/>
        <v>-8.4538536458491933</v>
      </c>
      <c r="KN482" s="888">
        <f t="shared" ref="KN482:KN487" si="1611">KM482+(KN481-KM481)</f>
        <v>4002</v>
      </c>
      <c r="KO482" s="893">
        <f t="shared" ref="KO482:KO487" si="1612">JM482/INDEX(JM:JM,MATCH(KN482,A:A,0))-1</f>
        <v>-8.8306330210626283E-2</v>
      </c>
      <c r="KP482" s="894">
        <f t="shared" ref="KP482:KP487" si="1613">(IL482-INDEX(IL:IL,MATCH(KN482,A:A,0)))*IE482
+(IM482-IF(HN482=0,INDEX(IX:IX,MATCH(KN482,A:A,0)),INDEX(IM:IM,MATCH(KN482,A:A,0))))*IF482
+(IN482-INDEX(IN:IN,MATCH(KN482,A:A,0)))*IG482</f>
        <v>-500.05008504051551</v>
      </c>
      <c r="KQ482" s="894">
        <f t="shared" ref="KQ482:KQ487" si="1614">JD482-INDEX(JD:JD,MATCH(KN482,A:A,0))</f>
        <v>-512.30542875331003</v>
      </c>
      <c r="KR482" s="895">
        <f t="shared" ref="KR482:KR487" si="1615">KO482/(KP482/(BX482-INDEX(JD:JD,MATCH(KN482,A:A,0))))</f>
        <v>2.9970385366844168</v>
      </c>
      <c r="KS482" s="895">
        <f t="shared" ref="KS482:KS487" si="1616">KO482/(KQ482/(BX482-INDEX(JD:JD,MATCH(KN482,A:A,0))))</f>
        <v>2.9253435373225325</v>
      </c>
      <c r="KT482" s="896">
        <f t="shared" ref="KT482:KT487" si="1617">KT481</f>
        <v>1050.27685337919</v>
      </c>
      <c r="KU482" s="663">
        <f t="shared" ref="KU482:KU487" si="1618">IF(D482="",0,IFERROR((JM482/KT482-1)/(JD482/BX482)+B482*10^-6,0))</f>
        <v>6.5375336864016491</v>
      </c>
    </row>
    <row r="483" spans="1:307" s="26" customFormat="1" ht="15" outlineLevel="1">
      <c r="A483" s="561">
        <f t="shared" si="1550"/>
        <v>4083</v>
      </c>
      <c r="B483" s="561">
        <f t="shared" si="1551"/>
        <v>83</v>
      </c>
      <c r="C483" s="561">
        <f t="shared" si="1552"/>
        <v>4</v>
      </c>
      <c r="D483" s="561" t="str">
        <f t="shared" si="1413"/>
        <v xml:space="preserve">-1000 Event (RBC), -500 Event (L), </v>
      </c>
      <c r="E483" s="475">
        <f>INDEX(Input!$1:$1048576,E$93,$C483*2+MIN($B483,2)+5)
+INDEX(Scenarios!E$121:E$200,MATCH($B483,Scenarios!$B$121:$B$200,0))</f>
        <v>1250</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0</v>
      </c>
      <c r="V483" s="478">
        <f>IFERROR(MAX(0,INDEX(Input!$1:$1048576,V$93,$C483*2+MIN($B483,2)+5)
+INDEX(Scenarios!V$121:V$200,MATCH($B483,Scenarios!$B$121:$B$200,0)),),"Market")</f>
        <v>1.8999999999999996E-2</v>
      </c>
      <c r="W483" s="863">
        <f>IFERROR(MAX(0,INDEX(Input!$1:$1048576,W$93,$C483*2+MIN($B483,2)+5)-0%,),"Market")</f>
        <v>3.9E-2</v>
      </c>
      <c r="X483" s="476" t="str">
        <f>INDEX(Input!$1:$1048576,X$93,$C483*2+MIN($B483,2)+5)</f>
        <v>Y</v>
      </c>
      <c r="Y483" s="475">
        <f>INDEX(Input!$1:$1048576,Y$93,$C483*2+MIN($B483,2)+5)
++INDEX(Scenarios!Y$121:Y$200,MATCH($B483,Scenarios!$B$121:$B$200,0))</f>
        <v>-2217</v>
      </c>
      <c r="Z483" s="477">
        <f>INDEX(Input!$1:$1048576,Z$93,$C483*2+MIN($B483,2)+5)
+INDEX(Scenarios!Z$121:Z$200,MATCH($B483,Scenarios!$B$121:$B$200,0))</f>
        <v>0</v>
      </c>
      <c r="AA483" s="475">
        <f>INDEX(Input!$1:$1048576,AA$93,$C483*2+MIN($B483,2)+5)</f>
        <v>0</v>
      </c>
      <c r="AB483" s="476">
        <f>INDEX(Input!$1:$1048576,AB$93,$C483*2+MIN($B483,2)+5)</f>
        <v>1</v>
      </c>
      <c r="AC483" s="475">
        <f>INDEX(Input!$1:$1048576,AC$93,$C483*2+MIN($B483,2)+5)
+INDEX(Scenarios!AC$121:AC$200,MATCH($B483,Scenarios!$B$121:$B$200,0))</f>
        <v>-1000</v>
      </c>
      <c r="AD483" s="476">
        <f>INDEX(Input!$1:$1048576,AD$93,$C483*2+MIN($B483,2)+5)</f>
        <v>0.35</v>
      </c>
      <c r="AE483" s="475">
        <f>INDEX(Input!$1:$1048576,AE$93,$C483*2+MIN($B483,2)+5)
+INDEX(Scenarios!AE$121:AE$200,MATCH($B483,Scenarios!$B$121:$B$200,0))</f>
        <v>0</v>
      </c>
      <c r="AF483" s="476">
        <f>INDEX(Input!$1:$1048576,AF$93,$C483*2+MIN($B483,2)+5)</f>
        <v>1</v>
      </c>
      <c r="AG483" s="475">
        <f>INDEX(Input!$1:$1048576,AG$93,$C483*2+MIN($B483,2)+5)
+INDEX(Scenarios!AG$121:AG$200,MATCH($B483,Scenarios!$B$121:$B$200,0))</f>
        <v>0</v>
      </c>
      <c r="AH483" s="476">
        <f>INDEX(Input!$1:$1048576,AH$93,$C483*2+MIN($B483,2)+5)</f>
        <v>1</v>
      </c>
      <c r="AI483" s="475">
        <f>INDEX(Input!$1:$1048576,AI$93,$C483*2+MIN($B483,2)+5)
+INDEX(Scenarios!AI$121:AI$200,MATCH($B483,Scenarios!$B$121:$B$200,0))</f>
        <v>-500</v>
      </c>
      <c r="AJ483" s="476">
        <f>INDEX(Input!$1:$1048576,AJ$93,$C483*2+MIN($B483,2)+5)</f>
        <v>0.35</v>
      </c>
      <c r="AK483" s="150">
        <f>ROUND(INDEX(Input!$1:$1048576,AK$93,$C482*2+MIN($B483,1)+5)+(Y483-VLOOKUP($C483*1000+1,$A:$HH,Y$92,FALSE)),0)</f>
        <v>4592</v>
      </c>
      <c r="AL483" s="150">
        <f>ROUND(INDEX(Input!$1:$1048576,AL$93,$C482*2+MIN($B483,1)+5)-(Y483-VLOOKUP($C483*1000+1,$A:$HH,Y$92,FALSE))/36,0)</f>
        <v>4743</v>
      </c>
      <c r="AM483" s="32" t="str">
        <f t="shared" si="1553"/>
        <v>std/std/std/std</v>
      </c>
      <c r="AN483" s="32" t="str">
        <f t="shared" si="1554"/>
        <v>$0 + 0/0/0/1.9/3.9</v>
      </c>
      <c r="AO483" s="32" t="str">
        <f t="shared" si="1555"/>
        <v>0/0/0/1.9/3.9</v>
      </c>
      <c r="AP483" s="32" t="str">
        <f t="shared" si="1386"/>
        <v>0/0.9/1.9/3.9</v>
      </c>
      <c r="AQ483" s="536">
        <f t="shared" si="1379"/>
        <v>-849.54849652675227</v>
      </c>
      <c r="AR483" s="32"/>
      <c r="AS483" s="302"/>
      <c r="AT483" s="3">
        <f t="shared" si="1556"/>
        <v>83</v>
      </c>
      <c r="AU483" s="41" t="s">
        <v>121</v>
      </c>
      <c r="AV483" s="41" t="s">
        <v>116</v>
      </c>
      <c r="AW483" s="41" t="str">
        <f>INDEX(Input!$1:$1048576,AW$93,$C483*2+6)</f>
        <v>Kia</v>
      </c>
      <c r="AX483" s="41" t="str">
        <f>INDEX(Input!$1:$1048576,AX$93,$C483*2+6)</f>
        <v>Kia-LR - R1</v>
      </c>
      <c r="AY483" s="41" t="str">
        <f>IF(LEN(D483)=0,"",INDEX(Input!$1:$1048576,AY$93,$C483*2+6))</f>
        <v>Compact Conventional/Sporty Car (43)</v>
      </c>
      <c r="AZ483" s="41" t="str">
        <f>INDEX(Input!$1:$1048576,AZ$93,$C483*2+6)</f>
        <v>Kia Forte</v>
      </c>
      <c r="BA483" s="3">
        <f>INDEX(Input!$1:$1048576,BA$93,$C483*2+6)</f>
        <v>2020</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19695</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387"/>
        <v>1210</v>
      </c>
      <c r="CJ483" s="16" t="str">
        <f>INDEX(Input!$1:$1048576,CJ$93,$C483*2+6)</f>
        <v>N</v>
      </c>
      <c r="CK483" s="1" t="str">
        <f t="shared" si="1388"/>
        <v>Market</v>
      </c>
      <c r="CL483" s="1" t="str">
        <f t="shared" si="1389"/>
        <v>Market</v>
      </c>
      <c r="CM483" s="1" t="str">
        <f t="shared" si="1390"/>
        <v>Market</v>
      </c>
      <c r="CN483" s="1" t="str">
        <f t="shared" si="1391"/>
        <v>Market</v>
      </c>
      <c r="CO483" s="1" t="str">
        <f t="shared" si="1392"/>
        <v>Market</v>
      </c>
      <c r="CP483" s="304">
        <f t="shared" si="1393"/>
        <v>-350</v>
      </c>
      <c r="CQ483" s="1">
        <f t="shared" si="1394"/>
        <v>0</v>
      </c>
      <c r="CR483" s="1">
        <f t="shared" si="1395"/>
        <v>0</v>
      </c>
      <c r="CS483" s="1">
        <f t="shared" si="1396"/>
        <v>0</v>
      </c>
      <c r="CT483" s="1">
        <f t="shared" si="1397"/>
        <v>1.8999999999999996E-2</v>
      </c>
      <c r="CU483" s="1">
        <f t="shared" si="1398"/>
        <v>3.9E-2</v>
      </c>
      <c r="CV483" s="304">
        <f t="shared" si="1399"/>
        <v>-2392</v>
      </c>
      <c r="CW483" s="20" t="s">
        <v>122</v>
      </c>
      <c r="CX483" s="20" t="s">
        <v>122</v>
      </c>
      <c r="CY483" s="20" t="s">
        <v>122</v>
      </c>
      <c r="CZ483" s="20" t="s">
        <v>122</v>
      </c>
      <c r="DA483" s="20" t="s">
        <v>122</v>
      </c>
      <c r="DB483" s="503">
        <f t="shared" si="1400"/>
        <v>0</v>
      </c>
      <c r="DC483" s="127">
        <v>0</v>
      </c>
      <c r="DD483" s="127">
        <v>0</v>
      </c>
      <c r="DE483" s="127">
        <v>0</v>
      </c>
      <c r="DF483" s="127">
        <v>0</v>
      </c>
      <c r="DG483" s="127">
        <v>0</v>
      </c>
      <c r="DH483" s="127">
        <v>0</v>
      </c>
      <c r="DI483" s="127">
        <v>0</v>
      </c>
      <c r="DJ483" s="127">
        <v>0</v>
      </c>
      <c r="DK483" s="127">
        <v>0</v>
      </c>
      <c r="DL483" s="127">
        <v>0</v>
      </c>
      <c r="DM483" s="304">
        <f>INDEX(Input!$1:$1048576,DM$93,$C483*2+6)</f>
        <v>20731.578947368424</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4.5190242892202741E-2</v>
      </c>
      <c r="DZ483" s="7">
        <v>0</v>
      </c>
      <c r="EA483" s="7">
        <v>0.82056915644990391</v>
      </c>
      <c r="EB483" s="7">
        <v>0</v>
      </c>
      <c r="EC483" s="7">
        <v>0</v>
      </c>
      <c r="ED483" s="7">
        <v>0</v>
      </c>
      <c r="EE483" s="7">
        <v>0</v>
      </c>
      <c r="EF483" s="7">
        <v>0</v>
      </c>
      <c r="EG483" s="7">
        <v>0</v>
      </c>
      <c r="EH483" s="7">
        <v>1.2232540545175544E-2</v>
      </c>
      <c r="EI483" s="7">
        <v>1.9630977237891156E-2</v>
      </c>
      <c r="EJ483" s="7">
        <v>0.18441776411436364</v>
      </c>
      <c r="EK483" s="7">
        <v>0.72542519450721976</v>
      </c>
      <c r="EL483" s="7">
        <v>5.8293523595350061E-2</v>
      </c>
      <c r="EM483" s="7">
        <v>3.1056486769121427E-2</v>
      </c>
      <c r="EN483" s="7">
        <v>4.6722301609223332E-2</v>
      </c>
      <c r="EO483" s="7">
        <v>0.57133246754987732</v>
      </c>
      <c r="EP483" s="7">
        <v>0.2684574513016656</v>
      </c>
      <c r="EQ483" s="7">
        <v>6.8307342502281557E-2</v>
      </c>
      <c r="ER483" s="7">
        <v>4.5180437036952771E-2</v>
      </c>
      <c r="ES483" s="7">
        <v>0.10318411388877197</v>
      </c>
      <c r="ET483" s="7">
        <v>0.13424060065789334</v>
      </c>
      <c r="EU483" s="6">
        <v>1249.9999999999998</v>
      </c>
      <c r="EV483" s="6">
        <v>0</v>
      </c>
      <c r="EW483" s="6">
        <v>1249.9999999999998</v>
      </c>
      <c r="EX483" s="6">
        <v>0</v>
      </c>
      <c r="EY483" s="6">
        <v>2245.4686128138783</v>
      </c>
      <c r="EZ483" s="6">
        <v>-421</v>
      </c>
      <c r="FA483" s="6">
        <v>0</v>
      </c>
      <c r="FB483" s="6">
        <v>0</v>
      </c>
      <c r="FC483" s="6">
        <v>0</v>
      </c>
      <c r="FD483" s="6">
        <v>0</v>
      </c>
      <c r="FE483" s="6">
        <v>0</v>
      </c>
      <c r="FF483" s="6">
        <v>0</v>
      </c>
      <c r="FG483" s="6">
        <v>0</v>
      </c>
      <c r="FH483" s="6">
        <v>1153.2561687102921</v>
      </c>
      <c r="FI483" s="6">
        <v>1531.4299904380621</v>
      </c>
      <c r="FJ483" s="6">
        <v>2070.720584253821</v>
      </c>
      <c r="FK483" s="6">
        <v>1746.990352159042</v>
      </c>
      <c r="FL483" s="6">
        <v>893.91433563489386</v>
      </c>
      <c r="FM483" s="6">
        <v>1745.4686128138781</v>
      </c>
      <c r="FN483" s="6">
        <v>0</v>
      </c>
      <c r="FO483" s="6">
        <v>0</v>
      </c>
      <c r="FP483" s="6">
        <v>0</v>
      </c>
      <c r="FQ483" s="6">
        <v>0</v>
      </c>
      <c r="FR483" s="6">
        <v>0</v>
      </c>
      <c r="FS483" s="6">
        <v>0</v>
      </c>
      <c r="FT483" s="7">
        <v>0.86575939934210666</v>
      </c>
      <c r="FU483" s="7">
        <v>3.1056486769121427E-2</v>
      </c>
      <c r="FV483" s="7">
        <v>0.10318411388877197</v>
      </c>
      <c r="FW483" s="6">
        <v>1249.9999999999995</v>
      </c>
      <c r="FX483" s="6">
        <v>2245.4686128138783</v>
      </c>
      <c r="FY483" s="6">
        <v>-421</v>
      </c>
      <c r="FZ483" s="6">
        <v>1695.8504614767719</v>
      </c>
      <c r="GA483" s="6">
        <v>1108.4951034947917</v>
      </c>
      <c r="GB483" s="6">
        <v>18586.504896505208</v>
      </c>
      <c r="GC483" s="7">
        <v>8.1891069685915169E-2</v>
      </c>
      <c r="GD483" s="7">
        <v>7.6730920293761273E-2</v>
      </c>
      <c r="GE483" s="7"/>
      <c r="GF483" s="7"/>
      <c r="GG483" s="7">
        <v>-6.3012357903555555E-2</v>
      </c>
      <c r="GH483" s="42">
        <v>2.1129089435302313</v>
      </c>
      <c r="GI483" s="6">
        <v>10429.767589139037</v>
      </c>
      <c r="GJ483" s="14">
        <v>0.51074630601039572</v>
      </c>
      <c r="GK483" s="14">
        <v>0.50829519786160959</v>
      </c>
      <c r="GL483" s="14">
        <v>0.48925369398960461</v>
      </c>
      <c r="GM483" s="14">
        <v>0.49170480213839052</v>
      </c>
      <c r="GO483" s="5">
        <v>338.16872463277008</v>
      </c>
      <c r="GP483" s="5">
        <v>314.32110928815564</v>
      </c>
      <c r="GQ483" s="5">
        <v>527.27910984145694</v>
      </c>
      <c r="GR483" s="5">
        <v>404.20319246551543</v>
      </c>
      <c r="GS483" s="5">
        <v>334.50205195691484</v>
      </c>
      <c r="GT483" s="5">
        <v>289.18266033348181</v>
      </c>
      <c r="GU483" s="5">
        <v>254.29573314828914</v>
      </c>
      <c r="GV483" s="39" t="s">
        <v>392</v>
      </c>
      <c r="GW483" s="5">
        <v>478.48611111111109</v>
      </c>
      <c r="GX483" s="5">
        <v>358.86458333333331</v>
      </c>
      <c r="GY483" s="5">
        <v>287.09166666666664</v>
      </c>
      <c r="GZ483" s="5">
        <v>253.32809988695075</v>
      </c>
      <c r="HA483" s="5">
        <v>234.65993859171954</v>
      </c>
      <c r="HB483" s="39">
        <v>263.29250728572026</v>
      </c>
      <c r="HC483" s="5">
        <v>301.53437499999995</v>
      </c>
      <c r="HD483" s="5">
        <v>248.89713084795318</v>
      </c>
      <c r="HE483" s="5">
        <v>249.13823802294195</v>
      </c>
      <c r="HF483" s="5">
        <v>227.43879934210526</v>
      </c>
      <c r="HG483" s="5">
        <v>215.64410087719298</v>
      </c>
      <c r="HH483" s="39">
        <v>248.45304303621234</v>
      </c>
      <c r="HI483" s="16"/>
      <c r="HJ483" s="19" t="str">
        <f t="shared" si="1577"/>
        <v>On</v>
      </c>
      <c r="HK483" s="1" t="str">
        <f t="shared" si="1577"/>
        <v>On</v>
      </c>
      <c r="HL483" s="16"/>
      <c r="HM483" s="889">
        <f t="shared" si="1578"/>
        <v>6.6115095157691428E-2</v>
      </c>
      <c r="HN483" s="889">
        <f t="shared" si="1578"/>
        <v>2.3720927871164412E-3</v>
      </c>
      <c r="HO483" s="889">
        <f t="shared" si="1578"/>
        <v>7.7231033444443466E-3</v>
      </c>
      <c r="HP483" s="890">
        <f>(FT483*$GD483-HM483)/$JF483*INDEX(Input!$1:$1048576,$JG$93,$C483*2+6)</f>
        <v>7.6940573303956796</v>
      </c>
      <c r="HQ483" s="890">
        <f>(FU483*$GD483-HN483)/$JF483*INDEX(Input!$1:$1048576,$JG$93,$C483*2+6)</f>
        <v>0.26588461799941565</v>
      </c>
      <c r="HR483" s="890">
        <f>(FV483*$GD483-HO483)/$JF483*INDEX(Input!$1:$1048576,$JG$93,$C483*2+6)</f>
        <v>4.7397775121818908</v>
      </c>
      <c r="HS483" s="890">
        <f t="shared" si="1579"/>
        <v>-2.6344460889264507</v>
      </c>
      <c r="HT483" s="890">
        <f t="shared" si="1580"/>
        <v>8.0164956233632712</v>
      </c>
      <c r="HU483" s="890">
        <f t="shared" si="1581"/>
        <v>3.4344652081201721</v>
      </c>
      <c r="HV483" s="891">
        <f t="shared" si="1582"/>
        <v>0</v>
      </c>
      <c r="HW483" s="891">
        <f t="shared" si="1583"/>
        <v>0</v>
      </c>
      <c r="HX483" s="891">
        <f t="shared" si="1584"/>
        <v>0</v>
      </c>
      <c r="HY483" s="890">
        <f>INDEX(Input!$1:$1048576,HY$93,$C483*2+6)*INDEX(Input!$1:$1048576,$JG$93,$C483*2+6)</f>
        <v>844</v>
      </c>
      <c r="HZ483" s="890">
        <f>INDEX(Input!$1:$1048576,HZ$93,$C483*2+6)*INDEX(Input!$1:$1048576,$JG$93,$C483*2+6)</f>
        <v>865</v>
      </c>
      <c r="IA483" s="890">
        <f>INDEX(Input!$1:$1048576,IA$93,$C483*2+6)*INDEX(Input!$1:$1048576,$JG$93,$C483*2+6)</f>
        <v>150</v>
      </c>
      <c r="IB483" s="890">
        <f t="shared" si="1585"/>
        <v>849.05961124146916</v>
      </c>
      <c r="IC483" s="890">
        <f t="shared" si="1586"/>
        <v>873.28238024136272</v>
      </c>
      <c r="ID483" s="890">
        <f>IF(AND(INDEX(Input!$1:$1048576,IA$93,$C483*2+7)="TOS",Y483&lt;=INDEX(Y:Y,MATCH(C483*1000+2,A:A))),0,1)*MAX(IA483+HR483+HU483+HX483,0%)</f>
        <v>158.17424272030206</v>
      </c>
      <c r="IE483" s="892">
        <f t="shared" si="1587"/>
        <v>0.45150347324773665</v>
      </c>
      <c r="IF483" s="892">
        <f t="shared" si="1587"/>
        <v>0.46438438783880792</v>
      </c>
      <c r="IG483" s="892">
        <f t="shared" si="1587"/>
        <v>8.4112138913455411E-2</v>
      </c>
      <c r="IH483" s="21"/>
      <c r="II483" s="19">
        <f t="shared" si="1588"/>
        <v>1199.9999999999998</v>
      </c>
      <c r="IJ483" s="19">
        <f t="shared" si="1589"/>
        <v>2195.4782357510435</v>
      </c>
      <c r="IK483" s="19">
        <f t="shared" si="1589"/>
        <v>-571</v>
      </c>
      <c r="IL483" s="19">
        <f t="shared" si="1590"/>
        <v>49.999999999999773</v>
      </c>
      <c r="IM483" s="19">
        <f t="shared" si="1591"/>
        <v>49.990377062834796</v>
      </c>
      <c r="IN483" s="19">
        <f t="shared" si="1591"/>
        <v>150</v>
      </c>
      <c r="IO483" s="39">
        <f t="shared" si="1592"/>
        <v>0</v>
      </c>
      <c r="IP483" s="39">
        <f t="shared" si="1592"/>
        <v>0</v>
      </c>
      <c r="IQ483" s="39">
        <f t="shared" si="1592"/>
        <v>0</v>
      </c>
      <c r="IR483" s="39">
        <v>0</v>
      </c>
      <c r="IS483" s="39">
        <v>0</v>
      </c>
      <c r="IT483" s="39">
        <v>0</v>
      </c>
      <c r="IU483" s="39">
        <v>0</v>
      </c>
      <c r="IV483" s="39">
        <v>0</v>
      </c>
      <c r="IW483" s="39">
        <v>0</v>
      </c>
      <c r="IX483" s="39">
        <f>INDEX(Input!$1:$1048576,IX$93,$C483*2+6)+INDEX(Input!$1:$1048576,IX$94,$C483*2+6)</f>
        <v>1600</v>
      </c>
      <c r="IY483" s="39">
        <f>INDEX(Input!$1:$1048576,IY$93,$C483*2+6)+INDEX(Input!$1:$1048576,IY$94,$C483*2+6)</f>
        <v>2503.549291639752</v>
      </c>
      <c r="IZ483" s="39">
        <f>INDEX(Input!$1:$1048576,IZ$93,$C483*2+6)+INDEX(Input!$1:$1048576,IZ$94,$C483*2+6)</f>
        <v>5413.7109265464023</v>
      </c>
      <c r="JA483" s="19">
        <f t="shared" si="1593"/>
        <v>1649.9999999999998</v>
      </c>
      <c r="JB483" s="19">
        <f t="shared" si="1593"/>
        <v>2553.5396687025868</v>
      </c>
      <c r="JC483" s="19">
        <f t="shared" si="1593"/>
        <v>5563.7109265464023</v>
      </c>
      <c r="JD483" s="19">
        <f t="shared" si="1594"/>
        <v>2398.7803130593093</v>
      </c>
      <c r="JE483" s="21"/>
      <c r="JF483" s="1">
        <f t="shared" si="1595"/>
        <v>7.6210291289252219E-2</v>
      </c>
      <c r="JG483" s="15">
        <f>INDEX(Input!$1:$1048576,JG$93,$C483*2+6)/(1+VLOOKUP(C483*1000+INDEX(Input!$1:$1048576,JG$93+1,$C483*2+6),$A:$KK,$JK$92,FALSE))</f>
        <v>1859</v>
      </c>
      <c r="JH483" s="1">
        <f t="shared" si="1596"/>
        <v>6.8314789997724508E-3</v>
      </c>
      <c r="JI483" s="1">
        <f t="shared" si="1597"/>
        <v>4.7426114806654084E-3</v>
      </c>
      <c r="JJ483" s="1">
        <f t="shared" si="1598"/>
        <v>0</v>
      </c>
      <c r="JK483" s="1">
        <f t="shared" si="1599"/>
        <v>1.1574090480437858E-2</v>
      </c>
      <c r="JL483" s="15">
        <f t="shared" si="1600"/>
        <v>21.51623420313398</v>
      </c>
      <c r="JM483" s="15">
        <f t="shared" si="1601"/>
        <v>1880.516234203134</v>
      </c>
      <c r="JN483" s="21"/>
      <c r="JO483" s="19">
        <f>INDEX(Input!$1:$1048576,JO$93,$C483*2+6)</f>
        <v>5908.5</v>
      </c>
      <c r="JP483" s="19">
        <f>INDEX(Input!$1:$1048576,JP$93,$C483*2+6)</f>
        <v>2328.1478086338602</v>
      </c>
      <c r="JQ483" s="39">
        <f t="shared" si="1602"/>
        <v>3509.7196869406907</v>
      </c>
      <c r="JR483" s="39">
        <f t="shared" si="1603"/>
        <v>70.632504425449042</v>
      </c>
      <c r="JS483" s="39">
        <f t="shared" si="1604"/>
        <v>4.5109453209949066</v>
      </c>
      <c r="JT483" s="39">
        <f t="shared" si="1605"/>
        <v>0.18291854474456049</v>
      </c>
      <c r="JU483" s="385">
        <f>(JQ483*JM483-INDEX(Input!$1:$1048576,Input!A$18,$C483*2+6)*JL483*INDEX(Input!$1:$1048576,Input!A$19,$C483*2+6))/1000000</f>
        <v>6.6000848487943102</v>
      </c>
      <c r="JV483" s="39">
        <f t="shared" si="1606"/>
        <v>-5.5789874955343599E-2</v>
      </c>
      <c r="JW483" s="1">
        <f t="shared" si="1607"/>
        <v>-8.3820500341259142E-3</v>
      </c>
      <c r="JX483" s="19">
        <f t="shared" si="1608"/>
        <v>8501.4200448662705</v>
      </c>
      <c r="JZ483" s="341"/>
      <c r="KA483" s="342"/>
      <c r="KB483" s="469">
        <f t="shared" si="1609"/>
        <v>2.3451977905499271</v>
      </c>
      <c r="KI483" s="473">
        <f t="shared" si="1610"/>
        <v>5.0596112414691561</v>
      </c>
      <c r="KJ483" s="473">
        <f t="shared" si="1610"/>
        <v>8.2823802413627163</v>
      </c>
      <c r="KK483" s="473">
        <f t="shared" si="1610"/>
        <v>8.1742427203020611</v>
      </c>
      <c r="KN483" s="888">
        <f t="shared" si="1611"/>
        <v>4002</v>
      </c>
      <c r="KO483" s="893">
        <f t="shared" si="1612"/>
        <v>-5.8630953217568837E-2</v>
      </c>
      <c r="KP483" s="894">
        <f t="shared" si="1613"/>
        <v>-335.33168488102223</v>
      </c>
      <c r="KQ483" s="894">
        <f t="shared" si="1614"/>
        <v>-324.96324853868646</v>
      </c>
      <c r="KR483" s="895">
        <f t="shared" si="1615"/>
        <v>2.9673335003710091</v>
      </c>
      <c r="KS483" s="895">
        <f t="shared" si="1616"/>
        <v>3.0620106943104166</v>
      </c>
      <c r="KT483" s="896">
        <f t="shared" si="1617"/>
        <v>1050.27685337919</v>
      </c>
      <c r="KU483" s="663">
        <f t="shared" si="1618"/>
        <v>6.4903870764839269</v>
      </c>
    </row>
    <row r="484" spans="1:307" s="26" customFormat="1" ht="15" outlineLevel="1">
      <c r="A484" s="561">
        <f t="shared" si="1550"/>
        <v>4084</v>
      </c>
      <c r="B484" s="561">
        <f t="shared" si="1551"/>
        <v>84</v>
      </c>
      <c r="C484" s="561">
        <f t="shared" si="1552"/>
        <v>4</v>
      </c>
      <c r="D484" s="561" t="str">
        <f t="shared" si="1413"/>
        <v xml:space="preserve">-250 CC, 0.9/1.9/2.9/3.9, </v>
      </c>
      <c r="E484" s="475">
        <f>INDEX(Input!$1:$1048576,E$93,$C484*2+MIN($B484,2)+5)
+INDEX(Scenarios!E$121:E$200,MATCH($B484,Scenarios!$B$121:$B$200,0))</f>
        <v>1000</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0</v>
      </c>
      <c r="R484" s="478">
        <f>IFERROR(MAX(0,INDEX(Input!$1:$1048576,R$93,$C484*2+MIN($B484,2)+5)
+INDEX(Scenarios!R$121:R$200,MATCH($B484,Scenarios!$B$121:$B$200,0)),),"Market")</f>
        <v>0</v>
      </c>
      <c r="S484" s="478">
        <f>IFERROR(MAX(0,INDEX(Input!$1:$1048576,S$93,$C484*2+MIN($B484,2)+5)
+INDEX(Scenarios!S$121:S$200,MATCH($B484,Scenarios!$B$121:$B$200,0)),),"Market")</f>
        <v>0</v>
      </c>
      <c r="T484" s="478">
        <f>IFERROR(MAX(0,INDEX(Input!$1:$1048576,T$93,$C484*2+MIN($B484,2)+5)
+INDEX(Scenarios!T$121:T$200,MATCH($B484,Scenarios!$B$121:$B$200,0)),),"Market")</f>
        <v>0</v>
      </c>
      <c r="U484" s="478">
        <f>IFERROR(MAX(0,INDEX(Input!$1:$1048576,U$93,$C484*2+MIN($B484,2)+5)
+INDEX(Scenarios!U$121:U$200,MATCH($B484,Scenarios!$B$121:$B$200,0)),),"Market")</f>
        <v>9.0000000000000011E-3</v>
      </c>
      <c r="V484" s="478">
        <f>IFERROR(MAX(0,INDEX(Input!$1:$1048576,V$93,$C484*2+MIN($B484,2)+5)
+INDEX(Scenarios!V$121:V$200,MATCH($B484,Scenarios!$B$121:$B$200,0)),),"Market")</f>
        <v>2.8999999999999998E-2</v>
      </c>
      <c r="W484" s="863">
        <f>IFERROR(MAX(0,INDEX(Input!$1:$1048576,W$93,$C484*2+MIN($B484,2)+5)-0%,),"Market")</f>
        <v>3.9E-2</v>
      </c>
      <c r="X484" s="476" t="str">
        <f>INDEX(Input!$1:$1048576,X$93,$C484*2+MIN($B484,2)+5)</f>
        <v>Y</v>
      </c>
      <c r="Y484" s="475">
        <f>INDEX(Input!$1:$1048576,Y$93,$C484*2+MIN($B484,2)+5)
++INDEX(Scenarios!Y$121:Y$200,MATCH($B484,Scenarios!$B$121:$B$200,0))</f>
        <v>-2217</v>
      </c>
      <c r="Z484" s="477">
        <f>INDEX(Input!$1:$1048576,Z$93,$C484*2+MIN($B484,2)+5)
+INDEX(Scenarios!Z$121:Z$200,MATCH($B484,Scenarios!$B$121:$B$200,0))</f>
        <v>0</v>
      </c>
      <c r="AA484" s="475">
        <f>INDEX(Input!$1:$1048576,AA$93,$C484*2+MIN($B484,2)+5)</f>
        <v>0</v>
      </c>
      <c r="AB484" s="476">
        <f>INDEX(Input!$1:$1048576,AB$93,$C484*2+MIN($B484,2)+5)</f>
        <v>1</v>
      </c>
      <c r="AC484" s="475">
        <f>INDEX(Input!$1:$1048576,AC$93,$C484*2+MIN($B484,2)+5)
+INDEX(Scenarios!AC$121:AC$200,MATCH($B484,Scenarios!$B$121:$B$200,0))</f>
        <v>0</v>
      </c>
      <c r="AD484" s="476">
        <f>INDEX(Input!$1:$1048576,AD$93,$C484*2+MIN($B484,2)+5)</f>
        <v>0.35</v>
      </c>
      <c r="AE484" s="475">
        <f>INDEX(Input!$1:$1048576,AE$93,$C484*2+MIN($B484,2)+5)
+INDEX(Scenarios!AE$121:AE$200,MATCH($B484,Scenarios!$B$121:$B$200,0))</f>
        <v>0</v>
      </c>
      <c r="AF484" s="476">
        <f>INDEX(Input!$1:$1048576,AF$93,$C484*2+MIN($B484,2)+5)</f>
        <v>1</v>
      </c>
      <c r="AG484" s="475">
        <f>INDEX(Input!$1:$1048576,AG$93,$C484*2+MIN($B484,2)+5)
+INDEX(Scenarios!AG$121:AG$200,MATCH($B484,Scenarios!$B$121:$B$200,0))</f>
        <v>0</v>
      </c>
      <c r="AH484" s="476">
        <f>INDEX(Input!$1:$1048576,AH$93,$C484*2+MIN($B484,2)+5)</f>
        <v>1</v>
      </c>
      <c r="AI484" s="475">
        <f>INDEX(Input!$1:$1048576,AI$93,$C484*2+MIN($B484,2)+5)
+INDEX(Scenarios!AI$121:AI$200,MATCH($B484,Scenarios!$B$121:$B$200,0))</f>
        <v>0</v>
      </c>
      <c r="AJ484" s="476">
        <f>INDEX(Input!$1:$1048576,AJ$93,$C484*2+MIN($B484,2)+5)</f>
        <v>0.35</v>
      </c>
      <c r="AK484" s="150">
        <f>ROUND(INDEX(Input!$1:$1048576,AK$93,$C483*2+MIN($B484,1)+5)+(Y484-VLOOKUP($C484*1000+1,$A:$HH,Y$92,FALSE)),0)</f>
        <v>4592</v>
      </c>
      <c r="AL484" s="150">
        <f>ROUND(INDEX(Input!$1:$1048576,AL$93,$C483*2+MIN($B484,1)+5)-(Y484-VLOOKUP($C484*1000+1,$A:$HH,Y$92,FALSE))/36,0)</f>
        <v>4743</v>
      </c>
      <c r="AM484" s="32" t="str">
        <f t="shared" si="1553"/>
        <v>std/std/std/std</v>
      </c>
      <c r="AN484" s="32" t="str">
        <f t="shared" si="1554"/>
        <v>$0 + 0/0/0.9/2.9/3.9</v>
      </c>
      <c r="AO484" s="32" t="str">
        <f t="shared" si="1555"/>
        <v>0/0/0.9/2.9/3.9</v>
      </c>
      <c r="AP484" s="32" t="str">
        <f t="shared" si="1386"/>
        <v>0.9/1.9/2.9/3.9</v>
      </c>
      <c r="AQ484" s="536">
        <f t="shared" si="1379"/>
        <v>0.46186014413764864</v>
      </c>
      <c r="AR484" s="32"/>
      <c r="AS484" s="302"/>
      <c r="AT484" s="3">
        <f t="shared" si="1556"/>
        <v>84</v>
      </c>
      <c r="AU484" s="41" t="s">
        <v>121</v>
      </c>
      <c r="AV484" s="41" t="s">
        <v>116</v>
      </c>
      <c r="AW484" s="41" t="str">
        <f>INDEX(Input!$1:$1048576,AW$93,$C484*2+6)</f>
        <v>Kia</v>
      </c>
      <c r="AX484" s="41" t="str">
        <f>INDEX(Input!$1:$1048576,AX$93,$C484*2+6)</f>
        <v>Kia-LR - R1</v>
      </c>
      <c r="AY484" s="41" t="str">
        <f>IF(LEN(D484)=0,"",INDEX(Input!$1:$1048576,AY$93,$C484*2+6))</f>
        <v>Compact Conventional/Sporty Car (43)</v>
      </c>
      <c r="AZ484" s="41" t="str">
        <f>INDEX(Input!$1:$1048576,AZ$93,$C484*2+6)</f>
        <v>Kia Forte</v>
      </c>
      <c r="BA484" s="3">
        <f>INDEX(Input!$1:$1048576,BA$93,$C484*2+6)</f>
        <v>2020</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19695</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387"/>
        <v>1310</v>
      </c>
      <c r="CJ484" s="16" t="str">
        <f>INDEX(Input!$1:$1048576,CJ$93,$C484*2+6)</f>
        <v>N</v>
      </c>
      <c r="CK484" s="1" t="str">
        <f t="shared" si="1388"/>
        <v>Market</v>
      </c>
      <c r="CL484" s="1" t="str">
        <f t="shared" si="1389"/>
        <v>Market</v>
      </c>
      <c r="CM484" s="1" t="str">
        <f t="shared" si="1390"/>
        <v>Market</v>
      </c>
      <c r="CN484" s="1" t="str">
        <f t="shared" si="1391"/>
        <v>Market</v>
      </c>
      <c r="CO484" s="1" t="str">
        <f t="shared" si="1392"/>
        <v>Market</v>
      </c>
      <c r="CP484" s="304">
        <f t="shared" si="1393"/>
        <v>0</v>
      </c>
      <c r="CQ484" s="1">
        <f t="shared" si="1394"/>
        <v>0</v>
      </c>
      <c r="CR484" s="1">
        <f t="shared" si="1395"/>
        <v>0</v>
      </c>
      <c r="CS484" s="1">
        <f t="shared" si="1396"/>
        <v>9.0000000000000011E-3</v>
      </c>
      <c r="CT484" s="1">
        <f t="shared" si="1397"/>
        <v>2.8999999999999998E-2</v>
      </c>
      <c r="CU484" s="1">
        <f t="shared" si="1398"/>
        <v>3.9E-2</v>
      </c>
      <c r="CV484" s="304">
        <f t="shared" si="1399"/>
        <v>-2217</v>
      </c>
      <c r="CW484" s="20" t="s">
        <v>122</v>
      </c>
      <c r="CX484" s="20" t="s">
        <v>122</v>
      </c>
      <c r="CY484" s="20" t="s">
        <v>122</v>
      </c>
      <c r="CZ484" s="20" t="s">
        <v>122</v>
      </c>
      <c r="DA484" s="20" t="s">
        <v>122</v>
      </c>
      <c r="DB484" s="503">
        <f t="shared" si="1400"/>
        <v>0</v>
      </c>
      <c r="DC484" s="127">
        <v>0</v>
      </c>
      <c r="DD484" s="127">
        <v>0</v>
      </c>
      <c r="DE484" s="127">
        <v>0</v>
      </c>
      <c r="DF484" s="127">
        <v>0</v>
      </c>
      <c r="DG484" s="127">
        <v>0</v>
      </c>
      <c r="DH484" s="127">
        <v>0</v>
      </c>
      <c r="DI484" s="127">
        <v>0</v>
      </c>
      <c r="DJ484" s="127">
        <v>0</v>
      </c>
      <c r="DK484" s="127">
        <v>0</v>
      </c>
      <c r="DL484" s="127">
        <v>0</v>
      </c>
      <c r="DM484" s="304">
        <f>INDEX(Input!$1:$1048576,DM$93,$C484*2+6)</f>
        <v>20731.578947368424</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4.5630354521696281E-2</v>
      </c>
      <c r="DZ484" s="7">
        <v>0</v>
      </c>
      <c r="EA484" s="7">
        <v>0.82665763605435871</v>
      </c>
      <c r="EB484" s="7">
        <v>0</v>
      </c>
      <c r="EC484" s="7">
        <v>0</v>
      </c>
      <c r="ED484" s="7">
        <v>0</v>
      </c>
      <c r="EE484" s="7">
        <v>0</v>
      </c>
      <c r="EF484" s="7">
        <v>0</v>
      </c>
      <c r="EG484" s="7">
        <v>0</v>
      </c>
      <c r="EH484" s="7">
        <v>1.8417239395258477E-2</v>
      </c>
      <c r="EI484" s="7">
        <v>2.9555835319708741E-2</v>
      </c>
      <c r="EJ484" s="7">
        <v>0.20037746866125167</v>
      </c>
      <c r="EK484" s="7">
        <v>0.66391122530036473</v>
      </c>
      <c r="EL484" s="7">
        <v>8.7738231323416849E-2</v>
      </c>
      <c r="EM484" s="7">
        <v>2.2396158427124977E-2</v>
      </c>
      <c r="EN484" s="7">
        <v>4.6984518583643317E-2</v>
      </c>
      <c r="EO484" s="7">
        <v>0.57091926100063983</v>
      </c>
      <c r="EP484" s="7">
        <v>0.26920244986948105</v>
      </c>
      <c r="EQ484" s="7">
        <v>6.7927496278603589E-2</v>
      </c>
      <c r="ER484" s="7">
        <v>4.4966274267632209E-2</v>
      </c>
      <c r="ES484" s="7">
        <v>0.10531585099681999</v>
      </c>
      <c r="ET484" s="7">
        <v>0.12771200942394495</v>
      </c>
      <c r="EU484" s="6">
        <v>1349.9999999999998</v>
      </c>
      <c r="EV484" s="6">
        <v>0</v>
      </c>
      <c r="EW484" s="6">
        <v>1349.9999999999998</v>
      </c>
      <c r="EX484" s="6">
        <v>0</v>
      </c>
      <c r="EY484" s="6">
        <v>2178.2997852141866</v>
      </c>
      <c r="EZ484" s="6">
        <v>-246</v>
      </c>
      <c r="FA484" s="6">
        <v>0</v>
      </c>
      <c r="FB484" s="6">
        <v>0</v>
      </c>
      <c r="FC484" s="6">
        <v>0</v>
      </c>
      <c r="FD484" s="6">
        <v>0</v>
      </c>
      <c r="FE484" s="6">
        <v>0</v>
      </c>
      <c r="FF484" s="6">
        <v>0</v>
      </c>
      <c r="FG484" s="6">
        <v>0</v>
      </c>
      <c r="FH484" s="6">
        <v>1153.2557008553338</v>
      </c>
      <c r="FI484" s="6">
        <v>1531.4299904380637</v>
      </c>
      <c r="FJ484" s="6">
        <v>1709.9775738488454</v>
      </c>
      <c r="FK484" s="6">
        <v>1266.3227157028189</v>
      </c>
      <c r="FL484" s="6">
        <v>893.91433563489363</v>
      </c>
      <c r="FM484" s="6">
        <v>1328.2997852141866</v>
      </c>
      <c r="FN484" s="6">
        <v>0</v>
      </c>
      <c r="FO484" s="6">
        <v>0</v>
      </c>
      <c r="FP484" s="6">
        <v>0</v>
      </c>
      <c r="FQ484" s="6">
        <v>0</v>
      </c>
      <c r="FR484" s="6">
        <v>0</v>
      </c>
      <c r="FS484" s="6">
        <v>0</v>
      </c>
      <c r="FT484" s="7">
        <v>0.87228799057605499</v>
      </c>
      <c r="FU484" s="7">
        <v>2.2396158427124977E-2</v>
      </c>
      <c r="FV484" s="7">
        <v>0.10531585099681999</v>
      </c>
      <c r="FW484" s="6">
        <v>1349.9999999999998</v>
      </c>
      <c r="FX484" s="6">
        <v>2178.2997852141866</v>
      </c>
      <c r="FY484" s="6">
        <v>-246</v>
      </c>
      <c r="FZ484" s="6">
        <v>1695.8504614767719</v>
      </c>
      <c r="GA484" s="6">
        <v>1200.4666350238856</v>
      </c>
      <c r="GB484" s="6">
        <v>18494.533364976116</v>
      </c>
      <c r="GC484" s="7">
        <v>8.1891069685915169E-2</v>
      </c>
      <c r="GD484" s="7">
        <v>7.7394619271708237E-2</v>
      </c>
      <c r="GE484" s="7"/>
      <c r="GF484" s="7"/>
      <c r="GG484" s="7">
        <v>-5.4907701553449088E-2</v>
      </c>
      <c r="GH484" s="42">
        <v>2.182968285094038</v>
      </c>
      <c r="GI484" s="6">
        <v>10222.585799321121</v>
      </c>
      <c r="GJ484" s="14">
        <v>0.5107463060103955</v>
      </c>
      <c r="GK484" s="14">
        <v>0.50829519786160982</v>
      </c>
      <c r="GL484" s="14">
        <v>0.48925369398960467</v>
      </c>
      <c r="GM484" s="14">
        <v>0.49170480213839063</v>
      </c>
      <c r="GO484" s="5">
        <v>338.16872463277008</v>
      </c>
      <c r="GP484" s="5">
        <v>312.41330006058649</v>
      </c>
      <c r="GQ484" s="5">
        <v>527.27910984145694</v>
      </c>
      <c r="GR484" s="5">
        <v>404.20319246551543</v>
      </c>
      <c r="GS484" s="5">
        <v>334.50205195691484</v>
      </c>
      <c r="GT484" s="5">
        <v>289.18266033348181</v>
      </c>
      <c r="GU484" s="5">
        <v>254.29573314828914</v>
      </c>
      <c r="GV484" s="39" t="s">
        <v>392</v>
      </c>
      <c r="GW484" s="5">
        <v>468.76388888888891</v>
      </c>
      <c r="GX484" s="5">
        <v>351.57291666666669</v>
      </c>
      <c r="GY484" s="5">
        <v>287.73954748358943</v>
      </c>
      <c r="GZ484" s="5">
        <v>255.64660634518972</v>
      </c>
      <c r="HA484" s="5">
        <v>229.89195052129477</v>
      </c>
      <c r="HB484" s="39">
        <v>266.57785494462814</v>
      </c>
      <c r="HC484" s="5">
        <v>293.87812499999995</v>
      </c>
      <c r="HD484" s="5">
        <v>243.67143640350872</v>
      </c>
      <c r="HE484" s="5">
        <v>244.28647520242913</v>
      </c>
      <c r="HF484" s="5">
        <v>223.39192434210526</v>
      </c>
      <c r="HG484" s="5">
        <v>212.2899342105263</v>
      </c>
      <c r="HH484" s="39">
        <v>243.40729773370509</v>
      </c>
      <c r="HI484" s="16"/>
      <c r="HJ484" s="19" t="str">
        <f t="shared" si="1577"/>
        <v>On</v>
      </c>
      <c r="HK484" s="1" t="str">
        <f t="shared" si="1577"/>
        <v>On</v>
      </c>
      <c r="HL484" s="16"/>
      <c r="HM484" s="889">
        <f t="shared" si="1578"/>
        <v>6.6115095157691428E-2</v>
      </c>
      <c r="HN484" s="889">
        <f t="shared" si="1578"/>
        <v>2.3720927871164412E-3</v>
      </c>
      <c r="HO484" s="889">
        <f t="shared" si="1578"/>
        <v>7.7231033444443466E-3</v>
      </c>
      <c r="HP484" s="890">
        <f>(FT484*$GD484-HM484)/$JF484*INDEX(Input!$1:$1048576,$JG$93,$C484*2+6)</f>
        <v>34.035639324442862</v>
      </c>
      <c r="HQ484" s="890">
        <f>(FU484*$GD484-HN484)/$JF484*INDEX(Input!$1:$1048576,$JG$93,$C484*2+6)</f>
        <v>-15.58106399713256</v>
      </c>
      <c r="HR484" s="890">
        <f>(FV484*$GD484-HO484)/$JF484*INDEX(Input!$1:$1048576,$JG$93,$C484*2+6)</f>
        <v>10.434773894954697</v>
      </c>
      <c r="HS484" s="890">
        <f t="shared" si="1579"/>
        <v>-7.8689268071621656</v>
      </c>
      <c r="HT484" s="890">
        <f t="shared" si="1580"/>
        <v>-3.5980307521064878</v>
      </c>
      <c r="HU484" s="890">
        <f t="shared" si="1581"/>
        <v>7.6256769184400657</v>
      </c>
      <c r="HV484" s="891">
        <f t="shared" si="1582"/>
        <v>0</v>
      </c>
      <c r="HW484" s="891">
        <f t="shared" si="1583"/>
        <v>0</v>
      </c>
      <c r="HX484" s="891">
        <f t="shared" si="1584"/>
        <v>0</v>
      </c>
      <c r="HY484" s="890">
        <f>INDEX(Input!$1:$1048576,HY$93,$C484*2+6)*INDEX(Input!$1:$1048576,$JG$93,$C484*2+6)</f>
        <v>844</v>
      </c>
      <c r="HZ484" s="890">
        <f>INDEX(Input!$1:$1048576,HZ$93,$C484*2+6)*INDEX(Input!$1:$1048576,$JG$93,$C484*2+6)</f>
        <v>865</v>
      </c>
      <c r="IA484" s="890">
        <f>INDEX(Input!$1:$1048576,IA$93,$C484*2+6)*INDEX(Input!$1:$1048576,$JG$93,$C484*2+6)</f>
        <v>150</v>
      </c>
      <c r="IB484" s="890">
        <f t="shared" si="1585"/>
        <v>870.16671251728076</v>
      </c>
      <c r="IC484" s="890">
        <f t="shared" si="1586"/>
        <v>845.82090525076092</v>
      </c>
      <c r="ID484" s="890">
        <f>IF(AND(INDEX(Input!$1:$1048576,IA$93,$C484*2+7)="TOS",Y484&lt;=INDEX(Y:Y,MATCH(C484*1000+2,A:A))),0,1)*MAX(IA484+HR484+HU484+HX484,0%)</f>
        <v>168.06045081339477</v>
      </c>
      <c r="IE484" s="892">
        <f t="shared" si="1587"/>
        <v>0.46186014413764864</v>
      </c>
      <c r="IF484" s="892">
        <f t="shared" si="1587"/>
        <v>0.44893807082512927</v>
      </c>
      <c r="IG484" s="892">
        <f t="shared" si="1587"/>
        <v>8.9201785037222092E-2</v>
      </c>
      <c r="IH484" s="21"/>
      <c r="II484" s="19">
        <f t="shared" si="1588"/>
        <v>1199.9999999999998</v>
      </c>
      <c r="IJ484" s="19">
        <f t="shared" si="1589"/>
        <v>2195.4782357510435</v>
      </c>
      <c r="IK484" s="19">
        <f t="shared" si="1589"/>
        <v>-571</v>
      </c>
      <c r="IL484" s="19">
        <f t="shared" si="1590"/>
        <v>150</v>
      </c>
      <c r="IM484" s="19">
        <f t="shared" si="1591"/>
        <v>-17.178450536856872</v>
      </c>
      <c r="IN484" s="19">
        <f t="shared" si="1591"/>
        <v>325</v>
      </c>
      <c r="IO484" s="39">
        <f t="shared" si="1592"/>
        <v>0</v>
      </c>
      <c r="IP484" s="39">
        <f t="shared" si="1592"/>
        <v>0</v>
      </c>
      <c r="IQ484" s="39">
        <f t="shared" si="1592"/>
        <v>0</v>
      </c>
      <c r="IR484" s="39">
        <v>0</v>
      </c>
      <c r="IS484" s="39">
        <v>0</v>
      </c>
      <c r="IT484" s="39">
        <v>0</v>
      </c>
      <c r="IU484" s="39">
        <v>0</v>
      </c>
      <c r="IV484" s="39">
        <v>0</v>
      </c>
      <c r="IW484" s="39">
        <v>0</v>
      </c>
      <c r="IX484" s="39">
        <f>INDEX(Input!$1:$1048576,IX$93,$C484*2+6)+INDEX(Input!$1:$1048576,IX$94,$C484*2+6)</f>
        <v>1600</v>
      </c>
      <c r="IY484" s="39">
        <f>INDEX(Input!$1:$1048576,IY$93,$C484*2+6)+INDEX(Input!$1:$1048576,IY$94,$C484*2+6)</f>
        <v>2503.549291639752</v>
      </c>
      <c r="IZ484" s="39">
        <f>INDEX(Input!$1:$1048576,IZ$93,$C484*2+6)+INDEX(Input!$1:$1048576,IZ$94,$C484*2+6)</f>
        <v>5413.7109265464023</v>
      </c>
      <c r="JA484" s="19">
        <f t="shared" si="1593"/>
        <v>1750</v>
      </c>
      <c r="JB484" s="19">
        <f t="shared" si="1593"/>
        <v>2486.3708411028952</v>
      </c>
      <c r="JC484" s="19">
        <f t="shared" si="1593"/>
        <v>5738.7109265464023</v>
      </c>
      <c r="JD484" s="19">
        <f t="shared" si="1594"/>
        <v>2436.3850394620226</v>
      </c>
      <c r="JE484" s="21"/>
      <c r="JF484" s="1">
        <f t="shared" si="1595"/>
        <v>7.6210291289252219E-2</v>
      </c>
      <c r="JG484" s="15">
        <f>INDEX(Input!$1:$1048576,JG$93,$C484*2+6)/(1+VLOOKUP(C484*1000+INDEX(Input!$1:$1048576,JG$93+1,$C484*2+6),$A:$KK,$JK$92,FALSE))</f>
        <v>1859</v>
      </c>
      <c r="JH484" s="1">
        <f t="shared" si="1596"/>
        <v>1.5540263164209251E-2</v>
      </c>
      <c r="JI484" s="1">
        <f t="shared" si="1597"/>
        <v>-2.0663155679551304E-3</v>
      </c>
      <c r="JJ484" s="1">
        <f t="shared" si="1598"/>
        <v>0</v>
      </c>
      <c r="JK484" s="1">
        <f t="shared" si="1599"/>
        <v>1.3473947596254121E-2</v>
      </c>
      <c r="JL484" s="15">
        <f t="shared" si="1600"/>
        <v>25.048068581436411</v>
      </c>
      <c r="JM484" s="15">
        <f t="shared" si="1601"/>
        <v>1884.0480685814364</v>
      </c>
      <c r="JN484" s="21"/>
      <c r="JO484" s="19">
        <f>INDEX(Input!$1:$1048576,JO$93,$C484*2+6)</f>
        <v>5908.5</v>
      </c>
      <c r="JP484" s="19">
        <f>INDEX(Input!$1:$1048576,JP$93,$C484*2+6)</f>
        <v>2328.1478086338602</v>
      </c>
      <c r="JQ484" s="39">
        <f t="shared" si="1602"/>
        <v>3472.1149605379774</v>
      </c>
      <c r="JR484" s="39">
        <f t="shared" si="1603"/>
        <v>108.23723082816241</v>
      </c>
      <c r="JS484" s="39">
        <f t="shared" si="1604"/>
        <v>4.5902665279191304</v>
      </c>
      <c r="JT484" s="39">
        <f t="shared" si="1605"/>
        <v>0.26223975166878383</v>
      </c>
      <c r="JU484" s="385">
        <f>(JQ484*JM484-INDEX(Input!$1:$1048576,Input!A$18,$C484*2+6)*JL484*INDEX(Input!$1:$1048576,Input!A$19,$C484*2+6))/1000000</f>
        <v>6.5416314852942863</v>
      </c>
      <c r="JV484" s="39">
        <f t="shared" si="1606"/>
        <v>-0.11424323845536755</v>
      </c>
      <c r="JW484" s="1">
        <f t="shared" si="1607"/>
        <v>-1.7164271143463992E-2</v>
      </c>
      <c r="JX484" s="19">
        <f t="shared" si="1608"/>
        <v>10469.459983159522</v>
      </c>
      <c r="JZ484" s="341"/>
      <c r="KA484" s="342"/>
      <c r="KB484" s="469">
        <f t="shared" si="1609"/>
        <v>2.3451977905499271</v>
      </c>
      <c r="KI484" s="473">
        <f t="shared" si="1610"/>
        <v>26.166712517280757</v>
      </c>
      <c r="KJ484" s="473">
        <f t="shared" si="1610"/>
        <v>-19.179094749239084</v>
      </c>
      <c r="KK484" s="473">
        <f t="shared" si="1610"/>
        <v>18.060450813394766</v>
      </c>
      <c r="KN484" s="888">
        <f t="shared" si="1611"/>
        <v>4002</v>
      </c>
      <c r="KO484" s="893">
        <f t="shared" si="1612"/>
        <v>-5.6862949569621235E-2</v>
      </c>
      <c r="KP484" s="894">
        <f t="shared" si="1613"/>
        <v>-302.79760725400081</v>
      </c>
      <c r="KQ484" s="894">
        <f t="shared" si="1614"/>
        <v>-287.35852213597309</v>
      </c>
      <c r="KR484" s="895">
        <f t="shared" si="1615"/>
        <v>3.1870651414376789</v>
      </c>
      <c r="KS484" s="895">
        <f t="shared" si="1616"/>
        <v>3.3582985178818694</v>
      </c>
      <c r="KT484" s="896">
        <f t="shared" si="1617"/>
        <v>1050.27685337919</v>
      </c>
      <c r="KU484" s="663">
        <f t="shared" si="1618"/>
        <v>6.4173961450070776</v>
      </c>
    </row>
    <row r="485" spans="1:307" s="26" customFormat="1" ht="15" outlineLevel="1">
      <c r="A485" s="561">
        <f t="shared" si="1550"/>
        <v>4085</v>
      </c>
      <c r="B485" s="561">
        <f t="shared" si="1551"/>
        <v>85</v>
      </c>
      <c r="C485" s="561">
        <f t="shared" si="1552"/>
        <v>4</v>
      </c>
      <c r="D485" s="561" t="str">
        <f t="shared" ref="D485:D500" si="1619">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-180 Lease, </v>
      </c>
      <c r="E485" s="475">
        <f>INDEX(Input!$1:$1048576,E$93,$C485*2+MIN($B485,2)+5)
+INDEX(Scenarios!E$121:E$200,MATCH($B485,Scenarios!$B$121:$B$200,0))</f>
        <v>1250</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0</v>
      </c>
      <c r="S485" s="478">
        <f>IFERROR(MAX(0,INDEX(Input!$1:$1048576,S$93,$C485*2+MIN($B485,2)+5)
+INDEX(Scenarios!S$121:S$200,MATCH($B485,Scenarios!$B$121:$B$200,0)),),"Market")</f>
        <v>0</v>
      </c>
      <c r="T485" s="478">
        <f>IFERROR(MAX(0,INDEX(Input!$1:$1048576,T$93,$C485*2+MIN($B485,2)+5)
+INDEX(Scenarios!T$121:T$200,MATCH($B485,Scenarios!$B$121:$B$200,0)),),"Market")</f>
        <v>0</v>
      </c>
      <c r="U485" s="478">
        <f>IFERROR(MAX(0,INDEX(Input!$1:$1048576,U$93,$C485*2+MIN($B485,2)+5)
+INDEX(Scenarios!U$121:U$200,MATCH($B485,Scenarios!$B$121:$B$200,0)),),"Market")</f>
        <v>0</v>
      </c>
      <c r="V485" s="478">
        <f>IFERROR(MAX(0,INDEX(Input!$1:$1048576,V$93,$C485*2+MIN($B485,2)+5)
+INDEX(Scenarios!V$121:V$200,MATCH($B485,Scenarios!$B$121:$B$200,0)),),"Market")</f>
        <v>1.8999999999999996E-2</v>
      </c>
      <c r="W485" s="863">
        <f>IFERROR(MAX(0,INDEX(Input!$1:$1048576,W$93,$C485*2+MIN($B485,2)+5)-0%,),"Market")</f>
        <v>3.9E-2</v>
      </c>
      <c r="X485" s="476" t="str">
        <f>INDEX(Input!$1:$1048576,X$93,$C485*2+MIN($B485,2)+5)</f>
        <v>Y</v>
      </c>
      <c r="Y485" s="475">
        <f>INDEX(Input!$1:$1048576,Y$93,$C485*2+MIN($B485,2)+5)
++INDEX(Scenarios!Y$121:Y$200,MATCH($B485,Scenarios!$B$121:$B$200,0))</f>
        <v>-2397</v>
      </c>
      <c r="Z485" s="477">
        <f>INDEX(Input!$1:$1048576,Z$93,$C485*2+MIN($B485,2)+5)
+INDEX(Scenarios!Z$121:Z$200,MATCH($B485,Scenarios!$B$121:$B$200,0))</f>
        <v>0</v>
      </c>
      <c r="AA485" s="475">
        <f>INDEX(Input!$1:$1048576,AA$93,$C485*2+MIN($B485,2)+5)</f>
        <v>0</v>
      </c>
      <c r="AB485" s="476">
        <f>INDEX(Input!$1:$1048576,AB$93,$C485*2+MIN($B485,2)+5)</f>
        <v>1</v>
      </c>
      <c r="AC485" s="475">
        <f>INDEX(Input!$1:$1048576,AC$93,$C485*2+MIN($B485,2)+5)
+INDEX(Scenarios!AC$121:AC$200,MATCH($B485,Scenarios!$B$121:$B$200,0))</f>
        <v>0</v>
      </c>
      <c r="AD485" s="476">
        <f>INDEX(Input!$1:$1048576,AD$93,$C485*2+MIN($B485,2)+5)</f>
        <v>0.35</v>
      </c>
      <c r="AE485" s="475">
        <f>INDEX(Input!$1:$1048576,AE$93,$C485*2+MIN($B485,2)+5)
+INDEX(Scenarios!AE$121:AE$200,MATCH($B485,Scenarios!$B$121:$B$200,0))</f>
        <v>0</v>
      </c>
      <c r="AF485" s="476">
        <f>INDEX(Input!$1:$1048576,AF$93,$C485*2+MIN($B485,2)+5)</f>
        <v>1</v>
      </c>
      <c r="AG485" s="475">
        <f>INDEX(Input!$1:$1048576,AG$93,$C485*2+MIN($B485,2)+5)
+INDEX(Scenarios!AG$121:AG$200,MATCH($B485,Scenarios!$B$121:$B$200,0))</f>
        <v>0</v>
      </c>
      <c r="AH485" s="476">
        <f>INDEX(Input!$1:$1048576,AH$93,$C485*2+MIN($B485,2)+5)</f>
        <v>1</v>
      </c>
      <c r="AI485" s="475">
        <f>INDEX(Input!$1:$1048576,AI$93,$C485*2+MIN($B485,2)+5)
+INDEX(Scenarios!AI$121:AI$200,MATCH($B485,Scenarios!$B$121:$B$200,0))</f>
        <v>0</v>
      </c>
      <c r="AJ485" s="476">
        <f>INDEX(Input!$1:$1048576,AJ$93,$C485*2+MIN($B485,2)+5)</f>
        <v>0.35</v>
      </c>
      <c r="AK485" s="150">
        <f>ROUND(INDEX(Input!$1:$1048576,AK$93,$C484*2+MIN($B485,1)+5)+(Y485-VLOOKUP($C485*1000+1,$A:$HH,Y$92,FALSE)),0)</f>
        <v>4412</v>
      </c>
      <c r="AL485" s="150">
        <f>ROUND(INDEX(Input!$1:$1048576,AL$93,$C484*2+MIN($B485,1)+5)-(Y485-VLOOKUP($C485*1000+1,$A:$HH,Y$92,FALSE))/36,0)</f>
        <v>4748</v>
      </c>
      <c r="AM485" s="32" t="str">
        <f t="shared" si="1553"/>
        <v>std/std/std/std</v>
      </c>
      <c r="AN485" s="32" t="str">
        <f t="shared" si="1554"/>
        <v>$0 + 0/0/0/1.9/3.9</v>
      </c>
      <c r="AO485" s="32" t="str">
        <f t="shared" si="1555"/>
        <v>0/0/0/1.9/3.9</v>
      </c>
      <c r="AP485" s="32" t="str">
        <f t="shared" si="1386"/>
        <v>0/0.9/1.9/3.9</v>
      </c>
      <c r="AQ485" s="536">
        <f t="shared" ref="AQ485:AQ548" si="1620">SUM(IE485,G485*IF485,H485*IG485,AC485*AD485,AE485*AF485,AI485)</f>
        <v>0.45610665562332414</v>
      </c>
      <c r="AR485" s="32"/>
      <c r="AS485" s="302"/>
      <c r="AT485" s="3">
        <f t="shared" si="1556"/>
        <v>85</v>
      </c>
      <c r="AU485" s="41" t="s">
        <v>121</v>
      </c>
      <c r="AV485" s="41" t="s">
        <v>116</v>
      </c>
      <c r="AW485" s="41" t="str">
        <f>INDEX(Input!$1:$1048576,AW$93,$C485*2+6)</f>
        <v>Kia</v>
      </c>
      <c r="AX485" s="41" t="str">
        <f>INDEX(Input!$1:$1048576,AX$93,$C485*2+6)</f>
        <v>Kia-LR - R1</v>
      </c>
      <c r="AY485" s="41" t="str">
        <f>IF(LEN(D485)=0,"",INDEX(Input!$1:$1048576,AY$93,$C485*2+6))</f>
        <v>Compact Conventional/Sporty Car (43)</v>
      </c>
      <c r="AZ485" s="41" t="str">
        <f>INDEX(Input!$1:$1048576,AZ$93,$C485*2+6)</f>
        <v>Kia Forte</v>
      </c>
      <c r="BA485" s="3">
        <f>INDEX(Input!$1:$1048576,BA$93,$C485*2+6)</f>
        <v>2020</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19695</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387"/>
        <v>1250</v>
      </c>
      <c r="CJ485" s="16" t="str">
        <f>INDEX(Input!$1:$1048576,CJ$93,$C485*2+6)</f>
        <v>N</v>
      </c>
      <c r="CK485" s="1" t="str">
        <f t="shared" si="1388"/>
        <v>Market</v>
      </c>
      <c r="CL485" s="1" t="str">
        <f t="shared" si="1389"/>
        <v>Market</v>
      </c>
      <c r="CM485" s="1" t="str">
        <f t="shared" si="1390"/>
        <v>Market</v>
      </c>
      <c r="CN485" s="1" t="str">
        <f t="shared" si="1391"/>
        <v>Market</v>
      </c>
      <c r="CO485" s="1" t="str">
        <f t="shared" si="1392"/>
        <v>Market</v>
      </c>
      <c r="CP485" s="304">
        <f t="shared" si="1393"/>
        <v>0</v>
      </c>
      <c r="CQ485" s="1">
        <f t="shared" si="1394"/>
        <v>0</v>
      </c>
      <c r="CR485" s="1">
        <f t="shared" si="1395"/>
        <v>0</v>
      </c>
      <c r="CS485" s="1">
        <f t="shared" si="1396"/>
        <v>0</v>
      </c>
      <c r="CT485" s="1">
        <f t="shared" si="1397"/>
        <v>1.8999999999999996E-2</v>
      </c>
      <c r="CU485" s="1">
        <f t="shared" si="1398"/>
        <v>3.9E-2</v>
      </c>
      <c r="CV485" s="304">
        <f t="shared" si="1399"/>
        <v>-2397</v>
      </c>
      <c r="CW485" s="20" t="s">
        <v>122</v>
      </c>
      <c r="CX485" s="20" t="s">
        <v>122</v>
      </c>
      <c r="CY485" s="20" t="s">
        <v>122</v>
      </c>
      <c r="CZ485" s="20" t="s">
        <v>122</v>
      </c>
      <c r="DA485" s="20" t="s">
        <v>122</v>
      </c>
      <c r="DB485" s="503">
        <f t="shared" si="1400"/>
        <v>0</v>
      </c>
      <c r="DC485" s="127">
        <v>0</v>
      </c>
      <c r="DD485" s="127">
        <v>0</v>
      </c>
      <c r="DE485" s="127">
        <v>0</v>
      </c>
      <c r="DF485" s="127">
        <v>0</v>
      </c>
      <c r="DG485" s="127">
        <v>0</v>
      </c>
      <c r="DH485" s="127">
        <v>0</v>
      </c>
      <c r="DI485" s="127">
        <v>0</v>
      </c>
      <c r="DJ485" s="127">
        <v>0</v>
      </c>
      <c r="DK485" s="127">
        <v>0</v>
      </c>
      <c r="DL485" s="127">
        <v>0</v>
      </c>
      <c r="DM485" s="304">
        <f>INDEX(Input!$1:$1048576,DM$93,$C485*2+6)</f>
        <v>20731.578947368424</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4.5900618177561497E-2</v>
      </c>
      <c r="DZ485" s="7">
        <v>0</v>
      </c>
      <c r="EA485" s="7">
        <v>0.82820514175035143</v>
      </c>
      <c r="EB485" s="7">
        <v>0</v>
      </c>
      <c r="EC485" s="7">
        <v>0</v>
      </c>
      <c r="ED485" s="7">
        <v>0</v>
      </c>
      <c r="EE485" s="7">
        <v>0</v>
      </c>
      <c r="EF485" s="7">
        <v>0</v>
      </c>
      <c r="EG485" s="7">
        <v>0</v>
      </c>
      <c r="EH485" s="7">
        <v>1.2257283092098928E-2</v>
      </c>
      <c r="EI485" s="7">
        <v>1.9679256364023529E-2</v>
      </c>
      <c r="EJ485" s="7">
        <v>0.1847728643448085</v>
      </c>
      <c r="EK485" s="7">
        <v>0.72506365896150038</v>
      </c>
      <c r="EL485" s="7">
        <v>5.8226937237568541E-2</v>
      </c>
      <c r="EM485" s="7">
        <v>3.1394836311436337E-2</v>
      </c>
      <c r="EN485" s="7">
        <v>4.6679766144649477E-2</v>
      </c>
      <c r="EO485" s="7">
        <v>0.57121861027645249</v>
      </c>
      <c r="EP485" s="7">
        <v>0.26859647953411264</v>
      </c>
      <c r="EQ485" s="7">
        <v>6.830314479816138E-2</v>
      </c>
      <c r="ER485" s="7">
        <v>4.5201999246623527E-2</v>
      </c>
      <c r="ES485" s="7">
        <v>9.4499403760650663E-2</v>
      </c>
      <c r="ET485" s="7">
        <v>0.12589424007208708</v>
      </c>
      <c r="EU485" s="6">
        <v>1599.9999999999998</v>
      </c>
      <c r="EV485" s="6">
        <v>0</v>
      </c>
      <c r="EW485" s="6">
        <v>1599.9999999999998</v>
      </c>
      <c r="EX485" s="6">
        <v>0</v>
      </c>
      <c r="EY485" s="6">
        <v>2595.6151884122983</v>
      </c>
      <c r="EZ485" s="6">
        <v>-426</v>
      </c>
      <c r="FA485" s="6">
        <v>0</v>
      </c>
      <c r="FB485" s="6">
        <v>0</v>
      </c>
      <c r="FC485" s="6">
        <v>0</v>
      </c>
      <c r="FD485" s="6">
        <v>0</v>
      </c>
      <c r="FE485" s="6">
        <v>0</v>
      </c>
      <c r="FF485" s="6">
        <v>0</v>
      </c>
      <c r="FG485" s="6">
        <v>0</v>
      </c>
      <c r="FH485" s="6">
        <v>1153.2490917206908</v>
      </c>
      <c r="FI485" s="6">
        <v>1531.4299904380618</v>
      </c>
      <c r="FJ485" s="6">
        <v>2070.7205842538219</v>
      </c>
      <c r="FK485" s="6">
        <v>1746.9903521590447</v>
      </c>
      <c r="FL485" s="6">
        <v>893.91433563489375</v>
      </c>
      <c r="FM485" s="6">
        <v>1745.615188412298</v>
      </c>
      <c r="FN485" s="6">
        <v>0</v>
      </c>
      <c r="FO485" s="6">
        <v>0</v>
      </c>
      <c r="FP485" s="6">
        <v>0</v>
      </c>
      <c r="FQ485" s="6">
        <v>0</v>
      </c>
      <c r="FR485" s="6">
        <v>0</v>
      </c>
      <c r="FS485" s="6">
        <v>0</v>
      </c>
      <c r="FT485" s="7">
        <v>0.87410575992791295</v>
      </c>
      <c r="FU485" s="7">
        <v>3.1394836311436337E-2</v>
      </c>
      <c r="FV485" s="7">
        <v>9.4499403760650663E-2</v>
      </c>
      <c r="FW485" s="6">
        <v>1599.9999999999998</v>
      </c>
      <c r="FX485" s="6">
        <v>2595.6151884122983</v>
      </c>
      <c r="FY485" s="6">
        <v>-426</v>
      </c>
      <c r="FZ485" s="6">
        <v>1695.8504614767719</v>
      </c>
      <c r="GA485" s="6">
        <v>1439.8013838503052</v>
      </c>
      <c r="GB485" s="6">
        <v>18255.198616149693</v>
      </c>
      <c r="GC485" s="7">
        <v>8.1891069685915169E-2</v>
      </c>
      <c r="GD485" s="7">
        <v>7.9620720097763498E-2</v>
      </c>
      <c r="GE485" s="7"/>
      <c r="GF485" s="7"/>
      <c r="GG485" s="7">
        <v>-2.7724019198422552E-2</v>
      </c>
      <c r="GH485" s="42">
        <v>2.1324996097408007</v>
      </c>
      <c r="GI485" s="6">
        <v>10675.441995476893</v>
      </c>
      <c r="GJ485" s="14">
        <v>0.51074630601039561</v>
      </c>
      <c r="GK485" s="14">
        <v>0.50829519786160993</v>
      </c>
      <c r="GL485" s="14">
        <v>0.48925369398960455</v>
      </c>
      <c r="GM485" s="14">
        <v>0.49170480213839024</v>
      </c>
      <c r="GO485" s="5">
        <v>338.16872463277008</v>
      </c>
      <c r="GP485" s="5">
        <v>307.64377699166363</v>
      </c>
      <c r="GQ485" s="5">
        <v>527.27910984145694</v>
      </c>
      <c r="GR485" s="5">
        <v>404.20319246551543</v>
      </c>
      <c r="GS485" s="5">
        <v>334.50205195691484</v>
      </c>
      <c r="GT485" s="5">
        <v>289.18266033348181</v>
      </c>
      <c r="GU485" s="5">
        <v>254.29573314828914</v>
      </c>
      <c r="GV485" s="39" t="s">
        <v>392</v>
      </c>
      <c r="GW485" s="5">
        <v>468.76388888888891</v>
      </c>
      <c r="GX485" s="5">
        <v>351.57291666666669</v>
      </c>
      <c r="GY485" s="5">
        <v>281.25833333333333</v>
      </c>
      <c r="GZ485" s="5">
        <v>248.1807987949399</v>
      </c>
      <c r="HA485" s="5">
        <v>229.89195052129477</v>
      </c>
      <c r="HB485" s="39">
        <v>257.96615535071476</v>
      </c>
      <c r="HC485" s="5">
        <v>301.75312499999995</v>
      </c>
      <c r="HD485" s="5">
        <v>249.04643640350872</v>
      </c>
      <c r="HE485" s="5">
        <v>249.27685981781374</v>
      </c>
      <c r="HF485" s="5">
        <v>227.55442434210525</v>
      </c>
      <c r="HG485" s="5">
        <v>215.73993421052631</v>
      </c>
      <c r="HH485" s="39">
        <v>248.59517072046748</v>
      </c>
      <c r="HI485" s="16"/>
      <c r="HJ485" s="19" t="str">
        <f t="shared" si="1577"/>
        <v>On</v>
      </c>
      <c r="HK485" s="1" t="str">
        <f t="shared" si="1577"/>
        <v>On</v>
      </c>
      <c r="HL485" s="16"/>
      <c r="HM485" s="889">
        <f t="shared" si="1578"/>
        <v>6.6115095157691428E-2</v>
      </c>
      <c r="HN485" s="889">
        <f t="shared" si="1578"/>
        <v>2.3720927871164412E-3</v>
      </c>
      <c r="HO485" s="889">
        <f t="shared" si="1578"/>
        <v>7.7231033444443466E-3</v>
      </c>
      <c r="HP485" s="890">
        <f>(FT485*$GD485-HM485)/$JF485*INDEX(Input!$1:$1048576,$JG$93,$C485*2+6)</f>
        <v>84.932506487545595</v>
      </c>
      <c r="HQ485" s="890">
        <f>(FU485*$GD485-HN485)/$JF485*INDEX(Input!$1:$1048576,$JG$93,$C485*2+6)</f>
        <v>3.1122260232057362</v>
      </c>
      <c r="HR485" s="890">
        <f>(FV485*$GD485-HO485)/$JF485*INDEX(Input!$1:$1048576,$JG$93,$C485*2+6)</f>
        <v>-4.8540367691568527</v>
      </c>
      <c r="HS485" s="890">
        <f t="shared" si="1579"/>
        <v>-21.075612754928926</v>
      </c>
      <c r="HT485" s="890">
        <f t="shared" si="1580"/>
        <v>64.167351277755415</v>
      </c>
      <c r="HU485" s="890">
        <f t="shared" si="1581"/>
        <v>5.1662525496793128</v>
      </c>
      <c r="HV485" s="891">
        <f t="shared" si="1582"/>
        <v>0</v>
      </c>
      <c r="HW485" s="891">
        <f t="shared" si="1583"/>
        <v>0</v>
      </c>
      <c r="HX485" s="891">
        <f t="shared" si="1584"/>
        <v>0</v>
      </c>
      <c r="HY485" s="890">
        <f>INDEX(Input!$1:$1048576,HY$93,$C485*2+6)*INDEX(Input!$1:$1048576,$JG$93,$C485*2+6)</f>
        <v>844</v>
      </c>
      <c r="HZ485" s="890">
        <f>INDEX(Input!$1:$1048576,HZ$93,$C485*2+6)*INDEX(Input!$1:$1048576,$JG$93,$C485*2+6)</f>
        <v>865</v>
      </c>
      <c r="IA485" s="890">
        <f>INDEX(Input!$1:$1048576,IA$93,$C485*2+6)*INDEX(Input!$1:$1048576,$JG$93,$C485*2+6)</f>
        <v>150</v>
      </c>
      <c r="IB485" s="890">
        <f t="shared" si="1585"/>
        <v>907.85689373261664</v>
      </c>
      <c r="IC485" s="890">
        <f t="shared" si="1586"/>
        <v>932.27957730096114</v>
      </c>
      <c r="ID485" s="890">
        <f>IF(AND(INDEX(Input!$1:$1048576,IA$93,$C485*2+7)="TOS",Y485&lt;=INDEX(Y:Y,MATCH(C485*1000+2,A:A))),0,1)*MAX(IA485+HR485+HU485+HX485,0%)</f>
        <v>150.31221578052245</v>
      </c>
      <c r="IE485" s="892">
        <f t="shared" si="1587"/>
        <v>0.45610665562332414</v>
      </c>
      <c r="IF485" s="892">
        <f t="shared" si="1587"/>
        <v>0.46837659442161356</v>
      </c>
      <c r="IG485" s="892">
        <f t="shared" si="1587"/>
        <v>7.551674995506226E-2</v>
      </c>
      <c r="IH485" s="21"/>
      <c r="II485" s="19">
        <f t="shared" si="1588"/>
        <v>1199.9999999999998</v>
      </c>
      <c r="IJ485" s="19">
        <f t="shared" si="1589"/>
        <v>2195.4782357510435</v>
      </c>
      <c r="IK485" s="19">
        <f t="shared" si="1589"/>
        <v>-571</v>
      </c>
      <c r="IL485" s="19">
        <f t="shared" si="1590"/>
        <v>400</v>
      </c>
      <c r="IM485" s="19">
        <f t="shared" si="1591"/>
        <v>400.13695266125478</v>
      </c>
      <c r="IN485" s="19">
        <f t="shared" si="1591"/>
        <v>145</v>
      </c>
      <c r="IO485" s="39">
        <f t="shared" si="1592"/>
        <v>0</v>
      </c>
      <c r="IP485" s="39">
        <f t="shared" si="1592"/>
        <v>0</v>
      </c>
      <c r="IQ485" s="39">
        <f t="shared" si="1592"/>
        <v>0</v>
      </c>
      <c r="IR485" s="39">
        <v>0</v>
      </c>
      <c r="IS485" s="39">
        <v>0</v>
      </c>
      <c r="IT485" s="39">
        <v>0</v>
      </c>
      <c r="IU485" s="39">
        <v>0</v>
      </c>
      <c r="IV485" s="39">
        <v>0</v>
      </c>
      <c r="IW485" s="39">
        <v>0</v>
      </c>
      <c r="IX485" s="39">
        <f>INDEX(Input!$1:$1048576,IX$93,$C485*2+6)+INDEX(Input!$1:$1048576,IX$94,$C485*2+6)</f>
        <v>1600</v>
      </c>
      <c r="IY485" s="39">
        <f>INDEX(Input!$1:$1048576,IY$93,$C485*2+6)+INDEX(Input!$1:$1048576,IY$94,$C485*2+6)</f>
        <v>2503.549291639752</v>
      </c>
      <c r="IZ485" s="39">
        <f>INDEX(Input!$1:$1048576,IZ$93,$C485*2+6)+INDEX(Input!$1:$1048576,IZ$94,$C485*2+6)</f>
        <v>5413.7109265464023</v>
      </c>
      <c r="JA485" s="19">
        <f t="shared" si="1593"/>
        <v>2000</v>
      </c>
      <c r="JB485" s="19">
        <f t="shared" si="1593"/>
        <v>2903.6862443010068</v>
      </c>
      <c r="JC485" s="19">
        <f t="shared" si="1593"/>
        <v>5558.7109265464023</v>
      </c>
      <c r="JD485" s="19">
        <f t="shared" si="1594"/>
        <v>2692.0077687337166</v>
      </c>
      <c r="JE485" s="21"/>
      <c r="JF485" s="1">
        <f t="shared" si="1595"/>
        <v>7.6210291289252219E-2</v>
      </c>
      <c r="JG485" s="15">
        <f>INDEX(Input!$1:$1048576,JG$93,$C485*2+6)/(1+VLOOKUP(C485*1000+INDEX(Input!$1:$1048576,JG$93+1,$C485*2+6),$A:$KK,$JK$92,FALSE))</f>
        <v>1859</v>
      </c>
      <c r="JH485" s="1">
        <f t="shared" si="1596"/>
        <v>4.4750239774929791E-2</v>
      </c>
      <c r="JI485" s="1">
        <f t="shared" si="1597"/>
        <v>2.5959113002961703E-2</v>
      </c>
      <c r="JJ485" s="1">
        <f t="shared" si="1598"/>
        <v>0</v>
      </c>
      <c r="JK485" s="1">
        <f t="shared" si="1599"/>
        <v>7.070935277789149E-2</v>
      </c>
      <c r="JL485" s="15">
        <f t="shared" si="1600"/>
        <v>131.44868681410028</v>
      </c>
      <c r="JM485" s="15">
        <f t="shared" si="1601"/>
        <v>1990.4486868141003</v>
      </c>
      <c r="JN485" s="21"/>
      <c r="JO485" s="19">
        <f>INDEX(Input!$1:$1048576,JO$93,$C485*2+6)</f>
        <v>5908.5</v>
      </c>
      <c r="JP485" s="19">
        <f>INDEX(Input!$1:$1048576,JP$93,$C485*2+6)</f>
        <v>2328.1478086338602</v>
      </c>
      <c r="JQ485" s="39">
        <f t="shared" si="1602"/>
        <v>3216.4922312662834</v>
      </c>
      <c r="JR485" s="39">
        <f t="shared" si="1603"/>
        <v>363.85996009985638</v>
      </c>
      <c r="JS485" s="39">
        <f t="shared" si="1604"/>
        <v>5.3583033281693826</v>
      </c>
      <c r="JT485" s="39">
        <f t="shared" si="1605"/>
        <v>1.0302765519190356</v>
      </c>
      <c r="JU485" s="385">
        <f>(JQ485*JM485-INDEX(Input!$1:$1048576,Input!A$18,$C485*2+6)*JL485*INDEX(Input!$1:$1048576,Input!A$19,$C485*2+6))/1000000</f>
        <v>6.4022627378717285</v>
      </c>
      <c r="JV485" s="39">
        <f t="shared" si="1606"/>
        <v>-0.25361198587792533</v>
      </c>
      <c r="JW485" s="1">
        <f t="shared" si="1607"/>
        <v>-3.8103479467992522E-2</v>
      </c>
      <c r="JX485" s="19">
        <f t="shared" si="1608"/>
        <v>7837.8611220064276</v>
      </c>
      <c r="JZ485" s="341"/>
      <c r="KA485" s="342"/>
      <c r="KB485" s="469">
        <f t="shared" si="1609"/>
        <v>2.3451977905499271</v>
      </c>
      <c r="KI485" s="473">
        <f t="shared" si="1610"/>
        <v>63.856893732616641</v>
      </c>
      <c r="KJ485" s="473">
        <f t="shared" si="1610"/>
        <v>67.279577300961137</v>
      </c>
      <c r="KK485" s="473">
        <f t="shared" si="1610"/>
        <v>0.31221578052245036</v>
      </c>
      <c r="KN485" s="888">
        <f t="shared" si="1611"/>
        <v>4002</v>
      </c>
      <c r="KO485" s="893">
        <f t="shared" si="1612"/>
        <v>-3.599783455456973E-3</v>
      </c>
      <c r="KP485" s="894">
        <f t="shared" si="1613"/>
        <v>-13.576112696577011</v>
      </c>
      <c r="KQ485" s="894">
        <f t="shared" si="1614"/>
        <v>-31.735792864279119</v>
      </c>
      <c r="KR485" s="895">
        <f t="shared" si="1615"/>
        <v>4.5000251184332543</v>
      </c>
      <c r="KS485" s="895">
        <f t="shared" si="1616"/>
        <v>1.9250455914728852</v>
      </c>
      <c r="KT485" s="896">
        <f t="shared" si="1617"/>
        <v>1050.27685337919</v>
      </c>
      <c r="KU485" s="663">
        <f t="shared" si="1618"/>
        <v>6.5492075614369378</v>
      </c>
    </row>
    <row r="486" spans="1:307" s="26" customFormat="1" ht="15" outlineLevel="1">
      <c r="A486" s="561">
        <f t="shared" si="1550"/>
        <v>4086</v>
      </c>
      <c r="B486" s="561">
        <f t="shared" si="1551"/>
        <v>86</v>
      </c>
      <c r="C486" s="561">
        <f t="shared" si="1552"/>
        <v>4</v>
      </c>
      <c r="D486" s="561" t="str">
        <f t="shared" si="1619"/>
        <v xml:space="preserve">-250 CC, 0.9/1.9/2.9/3.9, -180 Lease, </v>
      </c>
      <c r="E486" s="475">
        <f>INDEX(Input!$1:$1048576,E$93,$C486*2+MIN($B486,2)+5)
+INDEX(Scenarios!E$121:E$200,MATCH($B486,Scenarios!$B$121:$B$200,0))</f>
        <v>1000</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9.0000000000000011E-3</v>
      </c>
      <c r="V486" s="478">
        <f>IFERROR(MAX(0,INDEX(Input!$1:$1048576,V$93,$C486*2+MIN($B486,2)+5)
+INDEX(Scenarios!V$121:V$200,MATCH($B486,Scenarios!$B$121:$B$200,0)),),"Market")</f>
        <v>2.8999999999999998E-2</v>
      </c>
      <c r="W486" s="863">
        <f>IFERROR(MAX(0,INDEX(Input!$1:$1048576,W$93,$C486*2+MIN($B486,2)+5)-0%,),"Market")</f>
        <v>3.9E-2</v>
      </c>
      <c r="X486" s="476" t="str">
        <f>INDEX(Input!$1:$1048576,X$93,$C486*2+MIN($B486,2)+5)</f>
        <v>Y</v>
      </c>
      <c r="Y486" s="475">
        <f>INDEX(Input!$1:$1048576,Y$93,$C486*2+MIN($B486,2)+5)
++INDEX(Scenarios!Y$121:Y$200,MATCH($B486,Scenarios!$B$121:$B$200,0))</f>
        <v>-2397</v>
      </c>
      <c r="Z486" s="477">
        <f>INDEX(Input!$1:$1048576,Z$93,$C486*2+MIN($B486,2)+5)
+INDEX(Scenarios!Z$121:Z$200,MATCH($B486,Scenarios!$B$121:$B$200,0))</f>
        <v>0</v>
      </c>
      <c r="AA486" s="475">
        <f>INDEX(Input!$1:$1048576,AA$93,$C486*2+MIN($B486,2)+5)</f>
        <v>0</v>
      </c>
      <c r="AB486" s="476">
        <f>INDEX(Input!$1:$1048576,AB$93,$C486*2+MIN($B486,2)+5)</f>
        <v>1</v>
      </c>
      <c r="AC486" s="475">
        <f>INDEX(Input!$1:$1048576,AC$93,$C486*2+MIN($B486,2)+5)
+INDEX(Scenarios!AC$121:AC$200,MATCH($B486,Scenarios!$B$121:$B$200,0))</f>
        <v>0</v>
      </c>
      <c r="AD486" s="476">
        <f>INDEX(Input!$1:$1048576,AD$93,$C486*2+MIN($B486,2)+5)</f>
        <v>0.35</v>
      </c>
      <c r="AE486" s="475">
        <f>INDEX(Input!$1:$1048576,AE$93,$C486*2+MIN($B486,2)+5)
+INDEX(Scenarios!AE$121:AE$200,MATCH($B486,Scenarios!$B$121:$B$200,0))</f>
        <v>0</v>
      </c>
      <c r="AF486" s="476">
        <f>INDEX(Input!$1:$1048576,AF$93,$C486*2+MIN($B486,2)+5)</f>
        <v>1</v>
      </c>
      <c r="AG486" s="475">
        <f>INDEX(Input!$1:$1048576,AG$93,$C486*2+MIN($B486,2)+5)
+INDEX(Scenarios!AG$121:AG$200,MATCH($B486,Scenarios!$B$121:$B$200,0))</f>
        <v>0</v>
      </c>
      <c r="AH486" s="476">
        <f>INDEX(Input!$1:$1048576,AH$93,$C486*2+MIN($B486,2)+5)</f>
        <v>1</v>
      </c>
      <c r="AI486" s="475">
        <f>INDEX(Input!$1:$1048576,AI$93,$C486*2+MIN($B486,2)+5)
+INDEX(Scenarios!AI$121:AI$200,MATCH($B486,Scenarios!$B$121:$B$200,0))</f>
        <v>0</v>
      </c>
      <c r="AJ486" s="476">
        <f>INDEX(Input!$1:$1048576,AJ$93,$C486*2+MIN($B486,2)+5)</f>
        <v>0.35</v>
      </c>
      <c r="AK486" s="150">
        <f>ROUND(INDEX(Input!$1:$1048576,AK$93,$C485*2+MIN($B486,1)+5)+(Y486-VLOOKUP($C486*1000+1,$A:$HH,Y$92,FALSE)),0)</f>
        <v>4412</v>
      </c>
      <c r="AL486" s="150">
        <f>ROUND(INDEX(Input!$1:$1048576,AL$93,$C485*2+MIN($B486,1)+5)-(Y486-VLOOKUP($C486*1000+1,$A:$HH,Y$92,FALSE))/36,0)</f>
        <v>4748</v>
      </c>
      <c r="AM486" s="32" t="str">
        <f t="shared" si="1553"/>
        <v>std/std/std/std</v>
      </c>
      <c r="AN486" s="32" t="str">
        <f t="shared" si="1554"/>
        <v>$0 + 0/0/0.9/2.9/3.9</v>
      </c>
      <c r="AO486" s="32" t="str">
        <f t="shared" si="1555"/>
        <v>0/0/0.9/2.9/3.9</v>
      </c>
      <c r="AP486" s="32" t="str">
        <f t="shared" ref="AP486:AP549" si="1621">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0.9/1.9/2.9/3.9</v>
      </c>
      <c r="AQ486" s="536">
        <f t="shared" si="1620"/>
        <v>0.46573564480563712</v>
      </c>
      <c r="AR486" s="32"/>
      <c r="AS486" s="302"/>
      <c r="AT486" s="3">
        <f t="shared" si="1556"/>
        <v>86</v>
      </c>
      <c r="AU486" s="41" t="s">
        <v>121</v>
      </c>
      <c r="AV486" s="41" t="s">
        <v>116</v>
      </c>
      <c r="AW486" s="41" t="str">
        <f>INDEX(Input!$1:$1048576,AW$93,$C486*2+6)</f>
        <v>Kia</v>
      </c>
      <c r="AX486" s="41" t="str">
        <f>INDEX(Input!$1:$1048576,AX$93,$C486*2+6)</f>
        <v>Kia-LR - R1</v>
      </c>
      <c r="AY486" s="41" t="str">
        <f>IF(LEN(D486)=0,"",INDEX(Input!$1:$1048576,AY$93,$C486*2+6))</f>
        <v>Compact Conventional/Sporty Car (43)</v>
      </c>
      <c r="AZ486" s="41" t="str">
        <f>INDEX(Input!$1:$1048576,AZ$93,$C486*2+6)</f>
        <v>Kia Forte</v>
      </c>
      <c r="BA486" s="3">
        <f>INDEX(Input!$1:$1048576,BA$93,$C486*2+6)</f>
        <v>2020</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19695</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622">E486+F486*I486+AA402*AB402+AC486*AD486</f>
        <v>1000</v>
      </c>
      <c r="CJ486" s="16" t="str">
        <f>INDEX(Input!$1:$1048576,CJ$93,$C486*2+6)</f>
        <v>N</v>
      </c>
      <c r="CK486" s="1" t="str">
        <f t="shared" ref="CK486:CK549" si="1623">K486</f>
        <v>Market</v>
      </c>
      <c r="CL486" s="1" t="str">
        <f t="shared" ref="CL486:CL549" si="1624">L486</f>
        <v>Market</v>
      </c>
      <c r="CM486" s="1" t="str">
        <f t="shared" ref="CM486:CM549" si="1625">M486</f>
        <v>Market</v>
      </c>
      <c r="CN486" s="1" t="str">
        <f t="shared" ref="CN486:CN549" si="1626">N486</f>
        <v>Market</v>
      </c>
      <c r="CO486" s="1" t="str">
        <f t="shared" ref="CO486:CO549" si="1627">O486</f>
        <v>Market</v>
      </c>
      <c r="CP486" s="304">
        <f t="shared" ref="CP486:CP549" si="1628">Q486+G486*I486+AA486*AB486+AC486*AD486</f>
        <v>0</v>
      </c>
      <c r="CQ486" s="1">
        <f t="shared" ref="CQ486:CQ549" si="1629">S486</f>
        <v>0</v>
      </c>
      <c r="CR486" s="1">
        <f t="shared" ref="CR486:CR549" si="1630">T486</f>
        <v>0</v>
      </c>
      <c r="CS486" s="1">
        <f t="shared" ref="CS486:CS549" si="1631">U486</f>
        <v>9.0000000000000011E-3</v>
      </c>
      <c r="CT486" s="1">
        <f t="shared" ref="CT486:CT549" si="1632">V486</f>
        <v>2.8999999999999998E-2</v>
      </c>
      <c r="CU486" s="1">
        <f t="shared" ref="CU486:CU549" si="1633">W486</f>
        <v>3.9E-2</v>
      </c>
      <c r="CV486" s="304">
        <f t="shared" ref="CV486:CV549" si="1634">Y486+H486*I486+AE486*AF486+AI486*AJ486</f>
        <v>-2397</v>
      </c>
      <c r="CW486" s="20" t="s">
        <v>122</v>
      </c>
      <c r="CX486" s="20" t="s">
        <v>122</v>
      </c>
      <c r="CY486" s="20" t="s">
        <v>122</v>
      </c>
      <c r="CZ486" s="20" t="s">
        <v>122</v>
      </c>
      <c r="DA486" s="20" t="s">
        <v>122</v>
      </c>
      <c r="DB486" s="503">
        <f t="shared" ref="DB486:DB549" si="1635">Z486+AG486*AH486</f>
        <v>0</v>
      </c>
      <c r="DC486" s="127">
        <v>0</v>
      </c>
      <c r="DD486" s="127">
        <v>0</v>
      </c>
      <c r="DE486" s="127">
        <v>0</v>
      </c>
      <c r="DF486" s="127">
        <v>0</v>
      </c>
      <c r="DG486" s="127">
        <v>0</v>
      </c>
      <c r="DH486" s="127">
        <v>0</v>
      </c>
      <c r="DI486" s="127">
        <v>0</v>
      </c>
      <c r="DJ486" s="127">
        <v>0</v>
      </c>
      <c r="DK486" s="127">
        <v>0</v>
      </c>
      <c r="DL486" s="127">
        <v>0</v>
      </c>
      <c r="DM486" s="304">
        <f>INDEX(Input!$1:$1048576,DM$93,$C486*2+6)</f>
        <v>20731.578947368424</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4.5827926807442972E-2</v>
      </c>
      <c r="DZ486" s="7">
        <v>0</v>
      </c>
      <c r="EA486" s="7">
        <v>0.83016010161851672</v>
      </c>
      <c r="EB486" s="7">
        <v>0</v>
      </c>
      <c r="EC486" s="7">
        <v>0</v>
      </c>
      <c r="ED486" s="7">
        <v>0</v>
      </c>
      <c r="EE486" s="7">
        <v>0</v>
      </c>
      <c r="EF486" s="7">
        <v>0</v>
      </c>
      <c r="EG486" s="7">
        <v>0</v>
      </c>
      <c r="EH486" s="7">
        <v>1.8428380595389239E-2</v>
      </c>
      <c r="EI486" s="7">
        <v>2.9579032044679824E-2</v>
      </c>
      <c r="EJ486" s="7">
        <v>0.20048302725658759</v>
      </c>
      <c r="EK486" s="7">
        <v>0.66379681829272974</v>
      </c>
      <c r="EL486" s="7">
        <v>8.7712741810613171E-2</v>
      </c>
      <c r="EM486" s="7">
        <v>2.2501702059479479E-2</v>
      </c>
      <c r="EN486" s="7">
        <v>4.6705249619640232E-2</v>
      </c>
      <c r="EO486" s="7">
        <v>0.57131008490376667</v>
      </c>
      <c r="EP486" s="7">
        <v>0.26848091487758352</v>
      </c>
      <c r="EQ486" s="7">
        <v>6.8314047182374785E-2</v>
      </c>
      <c r="ER486" s="7">
        <v>4.5189703416634558E-2</v>
      </c>
      <c r="ES486" s="7">
        <v>0.10151026951456082</v>
      </c>
      <c r="ET486" s="7">
        <v>0.12401197157404029</v>
      </c>
      <c r="EU486" s="6">
        <v>1349.9999999999998</v>
      </c>
      <c r="EV486" s="6">
        <v>0</v>
      </c>
      <c r="EW486" s="6">
        <v>1349.9999999999998</v>
      </c>
      <c r="EX486" s="6">
        <v>0</v>
      </c>
      <c r="EY486" s="6">
        <v>2178.3609682048141</v>
      </c>
      <c r="EZ486" s="6">
        <v>-426</v>
      </c>
      <c r="FA486" s="6">
        <v>0</v>
      </c>
      <c r="FB486" s="6">
        <v>0</v>
      </c>
      <c r="FC486" s="6">
        <v>0</v>
      </c>
      <c r="FD486" s="6">
        <v>0</v>
      </c>
      <c r="FE486" s="6">
        <v>0</v>
      </c>
      <c r="FF486" s="6">
        <v>0</v>
      </c>
      <c r="FG486" s="6">
        <v>0</v>
      </c>
      <c r="FH486" s="6">
        <v>1153.254017610137</v>
      </c>
      <c r="FI486" s="6">
        <v>1531.4299904380623</v>
      </c>
      <c r="FJ486" s="6">
        <v>1709.9775738488459</v>
      </c>
      <c r="FK486" s="6">
        <v>1266.32271570282</v>
      </c>
      <c r="FL486" s="6">
        <v>893.91433563489352</v>
      </c>
      <c r="FM486" s="6">
        <v>1328.3609682048141</v>
      </c>
      <c r="FN486" s="6">
        <v>0</v>
      </c>
      <c r="FO486" s="6">
        <v>0</v>
      </c>
      <c r="FP486" s="6">
        <v>0</v>
      </c>
      <c r="FQ486" s="6">
        <v>0</v>
      </c>
      <c r="FR486" s="6">
        <v>0</v>
      </c>
      <c r="FS486" s="6">
        <v>0</v>
      </c>
      <c r="FT486" s="7">
        <v>0.87598802842595969</v>
      </c>
      <c r="FU486" s="7">
        <v>2.2501702059479479E-2</v>
      </c>
      <c r="FV486" s="7">
        <v>0.10151026951456082</v>
      </c>
      <c r="FW486" s="6">
        <v>1349.9999999999998</v>
      </c>
      <c r="FX486" s="6">
        <v>2178.3609682048141</v>
      </c>
      <c r="FY486" s="6">
        <v>-426</v>
      </c>
      <c r="FZ486" s="6">
        <v>1695.8504614767719</v>
      </c>
      <c r="GA486" s="6">
        <v>1188.3572930463863</v>
      </c>
      <c r="GB486" s="6">
        <v>18506.642706953615</v>
      </c>
      <c r="GC486" s="7">
        <v>8.1891069685915169E-2</v>
      </c>
      <c r="GD486" s="7">
        <v>7.7249558622129649E-2</v>
      </c>
      <c r="GE486" s="7"/>
      <c r="GF486" s="7"/>
      <c r="GG486" s="7">
        <v>-5.6679087006526609E-2</v>
      </c>
      <c r="GH486" s="42">
        <v>2.1996249172104219</v>
      </c>
      <c r="GI486" s="6">
        <v>10142.156573051505</v>
      </c>
      <c r="GJ486" s="14">
        <v>0.51074630601039517</v>
      </c>
      <c r="GK486" s="14">
        <v>0.50829519786160959</v>
      </c>
      <c r="GL486" s="14">
        <v>0.48925369398960411</v>
      </c>
      <c r="GM486" s="14">
        <v>0.49170480213839007</v>
      </c>
      <c r="GO486" s="5">
        <v>338.16872463277008</v>
      </c>
      <c r="GP486" s="5">
        <v>312.41330006058649</v>
      </c>
      <c r="GQ486" s="5">
        <v>527.27910984145694</v>
      </c>
      <c r="GR486" s="5">
        <v>404.20319246551543</v>
      </c>
      <c r="GS486" s="5">
        <v>334.50205195691484</v>
      </c>
      <c r="GT486" s="5">
        <v>289.18266033348181</v>
      </c>
      <c r="GU486" s="5">
        <v>254.29573314828914</v>
      </c>
      <c r="GV486" s="39" t="s">
        <v>392</v>
      </c>
      <c r="GW486" s="5">
        <v>468.76388888888891</v>
      </c>
      <c r="GX486" s="5">
        <v>351.57291666666669</v>
      </c>
      <c r="GY486" s="5">
        <v>287.73954748358943</v>
      </c>
      <c r="GZ486" s="5">
        <v>255.64660634518972</v>
      </c>
      <c r="HA486" s="5">
        <v>229.89195052129477</v>
      </c>
      <c r="HB486" s="39">
        <v>266.58649866257821</v>
      </c>
      <c r="HC486" s="5">
        <v>301.75312499999995</v>
      </c>
      <c r="HD486" s="5">
        <v>249.04643640350872</v>
      </c>
      <c r="HE486" s="5">
        <v>249.27685981781374</v>
      </c>
      <c r="HF486" s="5">
        <v>227.55442434210525</v>
      </c>
      <c r="HG486" s="5">
        <v>215.73993421052631</v>
      </c>
      <c r="HH486" s="39">
        <v>248.59666245816101</v>
      </c>
      <c r="HI486" s="16"/>
      <c r="HJ486" s="19" t="str">
        <f t="shared" si="1577"/>
        <v>On</v>
      </c>
      <c r="HK486" s="1" t="str">
        <f t="shared" si="1577"/>
        <v>On</v>
      </c>
      <c r="HL486" s="16"/>
      <c r="HM486" s="889">
        <f t="shared" si="1578"/>
        <v>6.6115095157691428E-2</v>
      </c>
      <c r="HN486" s="889">
        <f t="shared" si="1578"/>
        <v>2.3720927871164412E-3</v>
      </c>
      <c r="HO486" s="889">
        <f t="shared" si="1578"/>
        <v>7.7231033444443466E-3</v>
      </c>
      <c r="HP486" s="890">
        <f>(FT486*$GD486-HM486)/$JF486*INDEX(Input!$1:$1048576,$JG$93,$C486*2+6)</f>
        <v>37.921244954884884</v>
      </c>
      <c r="HQ486" s="890">
        <f>(FU486*$GD486-HN486)/$JF486*INDEX(Input!$1:$1048576,$JG$93,$C486*2+6)</f>
        <v>-15.461430871251302</v>
      </c>
      <c r="HR486" s="890">
        <f>(FV486*$GD486-HO486)/$JF486*INDEX(Input!$1:$1048576,$JG$93,$C486*2+6)</f>
        <v>2.8910662126554407</v>
      </c>
      <c r="HS486" s="890">
        <f t="shared" si="1579"/>
        <v>-7.8689394030417938</v>
      </c>
      <c r="HT486" s="890">
        <f t="shared" si="1580"/>
        <v>-3.5879107279096543</v>
      </c>
      <c r="HU486" s="890">
        <f t="shared" si="1581"/>
        <v>3.8193270796430352</v>
      </c>
      <c r="HV486" s="891">
        <f t="shared" si="1582"/>
        <v>0</v>
      </c>
      <c r="HW486" s="891">
        <f t="shared" si="1583"/>
        <v>0</v>
      </c>
      <c r="HX486" s="891">
        <f t="shared" si="1584"/>
        <v>0</v>
      </c>
      <c r="HY486" s="890">
        <f>INDEX(Input!$1:$1048576,HY$93,$C486*2+6)*INDEX(Input!$1:$1048576,$JG$93,$C486*2+6)</f>
        <v>844</v>
      </c>
      <c r="HZ486" s="890">
        <f>INDEX(Input!$1:$1048576,HZ$93,$C486*2+6)*INDEX(Input!$1:$1048576,$JG$93,$C486*2+6)</f>
        <v>865</v>
      </c>
      <c r="IA486" s="890">
        <f>INDEX(Input!$1:$1048576,IA$93,$C486*2+6)*INDEX(Input!$1:$1048576,$JG$93,$C486*2+6)</f>
        <v>150</v>
      </c>
      <c r="IB486" s="890">
        <f t="shared" si="1585"/>
        <v>874.05230555184312</v>
      </c>
      <c r="IC486" s="890">
        <f t="shared" si="1586"/>
        <v>845.95065840083907</v>
      </c>
      <c r="ID486" s="890">
        <f>IF(AND(INDEX(Input!$1:$1048576,IA$93,$C486*2+7)="TOS",Y486&lt;=INDEX(Y:Y,MATCH(C486*1000+2,A:A))),0,1)*MAX(IA486+HR486+HU486+HX486,0%)</f>
        <v>156.71039329229848</v>
      </c>
      <c r="IE486" s="892">
        <f t="shared" si="1587"/>
        <v>0.46573564480563712</v>
      </c>
      <c r="IF486" s="892">
        <f t="shared" si="1587"/>
        <v>0.4507617826318967</v>
      </c>
      <c r="IG486" s="892">
        <f t="shared" si="1587"/>
        <v>8.3502572562466154E-2</v>
      </c>
      <c r="IH486" s="21"/>
      <c r="II486" s="19">
        <f t="shared" si="1588"/>
        <v>1199.9999999999998</v>
      </c>
      <c r="IJ486" s="19">
        <f t="shared" si="1589"/>
        <v>2195.4782357510435</v>
      </c>
      <c r="IK486" s="19">
        <f t="shared" si="1589"/>
        <v>-571</v>
      </c>
      <c r="IL486" s="19">
        <f t="shared" si="1590"/>
        <v>150</v>
      </c>
      <c r="IM486" s="19">
        <f t="shared" si="1591"/>
        <v>-17.117267546229414</v>
      </c>
      <c r="IN486" s="19">
        <f t="shared" si="1591"/>
        <v>145</v>
      </c>
      <c r="IO486" s="39">
        <f t="shared" si="1592"/>
        <v>0</v>
      </c>
      <c r="IP486" s="39">
        <f t="shared" si="1592"/>
        <v>0</v>
      </c>
      <c r="IQ486" s="39">
        <f t="shared" si="1592"/>
        <v>0</v>
      </c>
      <c r="IR486" s="39">
        <v>0</v>
      </c>
      <c r="IS486" s="39">
        <v>0</v>
      </c>
      <c r="IT486" s="39">
        <v>0</v>
      </c>
      <c r="IU486" s="39">
        <v>0</v>
      </c>
      <c r="IV486" s="39">
        <v>0</v>
      </c>
      <c r="IW486" s="39">
        <v>0</v>
      </c>
      <c r="IX486" s="39">
        <f>INDEX(Input!$1:$1048576,IX$93,$C486*2+6)+INDEX(Input!$1:$1048576,IX$94,$C486*2+6)</f>
        <v>1600</v>
      </c>
      <c r="IY486" s="39">
        <f>INDEX(Input!$1:$1048576,IY$93,$C486*2+6)+INDEX(Input!$1:$1048576,IY$94,$C486*2+6)</f>
        <v>2503.549291639752</v>
      </c>
      <c r="IZ486" s="39">
        <f>INDEX(Input!$1:$1048576,IZ$93,$C486*2+6)+INDEX(Input!$1:$1048576,IZ$94,$C486*2+6)</f>
        <v>5413.7109265464023</v>
      </c>
      <c r="JA486" s="19">
        <f t="shared" si="1593"/>
        <v>1750</v>
      </c>
      <c r="JB486" s="19">
        <f t="shared" si="1593"/>
        <v>2486.4320240935226</v>
      </c>
      <c r="JC486" s="19">
        <f t="shared" si="1593"/>
        <v>5558.7109265464023</v>
      </c>
      <c r="JD486" s="19">
        <f t="shared" si="1594"/>
        <v>2399.9925724810105</v>
      </c>
      <c r="JE486" s="21"/>
      <c r="JF486" s="1">
        <f t="shared" si="1595"/>
        <v>7.6210291289252219E-2</v>
      </c>
      <c r="JG486" s="15">
        <f>INDEX(Input!$1:$1048576,JG$93,$C486*2+6)/(1+VLOOKUP(C486*1000+INDEX(Input!$1:$1048576,JG$93+1,$C486*2+6),$A:$KK,$JK$92,FALSE))</f>
        <v>1859</v>
      </c>
      <c r="JH486" s="1">
        <f t="shared" si="1596"/>
        <v>1.3636837168525564E-2</v>
      </c>
      <c r="JI486" s="1">
        <f t="shared" si="1597"/>
        <v>-4.108404008234757E-3</v>
      </c>
      <c r="JJ486" s="1">
        <f t="shared" si="1598"/>
        <v>0</v>
      </c>
      <c r="JK486" s="1">
        <f t="shared" si="1599"/>
        <v>9.5284331602908078E-3</v>
      </c>
      <c r="JL486" s="15">
        <f t="shared" si="1600"/>
        <v>17.71335724498061</v>
      </c>
      <c r="JM486" s="15">
        <f t="shared" si="1601"/>
        <v>1876.7133572449807</v>
      </c>
      <c r="JN486" s="21"/>
      <c r="JO486" s="19">
        <f>INDEX(Input!$1:$1048576,JO$93,$C486*2+6)</f>
        <v>5908.5</v>
      </c>
      <c r="JP486" s="19">
        <f>INDEX(Input!$1:$1048576,JP$93,$C486*2+6)</f>
        <v>2328.1478086338602</v>
      </c>
      <c r="JQ486" s="39">
        <f t="shared" si="1602"/>
        <v>3508.5074275189895</v>
      </c>
      <c r="JR486" s="39">
        <f t="shared" si="1603"/>
        <v>71.844763847150261</v>
      </c>
      <c r="JS486" s="39">
        <f t="shared" si="1604"/>
        <v>4.5040981180638546</v>
      </c>
      <c r="JT486" s="39">
        <f t="shared" si="1605"/>
        <v>0.17607134181350842</v>
      </c>
      <c r="JU486" s="385">
        <f>(JQ486*JM486-INDEX(Input!$1:$1048576,Input!A$18,$C486*2+6)*JL486*INDEX(Input!$1:$1048576,Input!A$19,$C486*2+6))/1000000</f>
        <v>6.584462753218113</v>
      </c>
      <c r="JV486" s="39">
        <f t="shared" si="1606"/>
        <v>-7.1411970531540803E-2</v>
      </c>
      <c r="JW486" s="1">
        <f t="shared" si="1607"/>
        <v>-1.0729163858317056E-2</v>
      </c>
      <c r="JX486" s="19">
        <f t="shared" si="1608"/>
        <v>9940.0322241793729</v>
      </c>
      <c r="JZ486" s="341"/>
      <c r="KA486" s="342"/>
      <c r="KB486" s="469">
        <f t="shared" si="1609"/>
        <v>2.3451977905499271</v>
      </c>
      <c r="KI486" s="473">
        <f t="shared" si="1610"/>
        <v>30.052305551843119</v>
      </c>
      <c r="KJ486" s="473">
        <f t="shared" si="1610"/>
        <v>-19.049341599160925</v>
      </c>
      <c r="KK486" s="473">
        <f t="shared" si="1610"/>
        <v>6.7103932922984768</v>
      </c>
      <c r="KN486" s="888">
        <f t="shared" si="1611"/>
        <v>4002</v>
      </c>
      <c r="KO486" s="893">
        <f t="shared" si="1612"/>
        <v>-6.0534638275967056E-2</v>
      </c>
      <c r="KP486" s="894">
        <f t="shared" si="1613"/>
        <v>-319.53036374403234</v>
      </c>
      <c r="KQ486" s="894">
        <f t="shared" si="1614"/>
        <v>-323.75098911698524</v>
      </c>
      <c r="KR486" s="895">
        <f t="shared" si="1615"/>
        <v>3.2151838640609611</v>
      </c>
      <c r="KS486" s="895">
        <f t="shared" si="1616"/>
        <v>3.1732686667286649</v>
      </c>
      <c r="KT486" s="896">
        <f t="shared" si="1617"/>
        <v>1050.27685337919</v>
      </c>
      <c r="KU486" s="663">
        <f t="shared" si="1618"/>
        <v>6.457398209492462</v>
      </c>
    </row>
    <row r="487" spans="1:307" s="26" customFormat="1" ht="15" outlineLevel="1">
      <c r="A487" s="561">
        <f t="shared" si="1550"/>
        <v>4087</v>
      </c>
      <c r="B487" s="561">
        <f t="shared" si="1551"/>
        <v>87</v>
      </c>
      <c r="C487" s="561">
        <f t="shared" si="1552"/>
        <v>4</v>
      </c>
      <c r="D487" s="561" t="str">
        <f t="shared" si="1619"/>
        <v xml:space="preserve">250 CC, -180 Lease, </v>
      </c>
      <c r="E487" s="475">
        <f>INDEX(Input!$1:$1048576,E$93,$C487*2+MIN($B487,2)+5)
+INDEX(Scenarios!E$121:E$200,MATCH($B487,Scenarios!$B$121:$B$200,0))</f>
        <v>1500</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0</v>
      </c>
      <c r="V487" s="478">
        <f>IFERROR(MAX(0,INDEX(Input!$1:$1048576,V$93,$C487*2+MIN($B487,2)+5)
+INDEX(Scenarios!V$121:V$200,MATCH($B487,Scenarios!$B$121:$B$200,0)),),"Market")</f>
        <v>1.8999999999999996E-2</v>
      </c>
      <c r="W487" s="863">
        <f>IFERROR(MAX(0,INDEX(Input!$1:$1048576,W$93,$C487*2+MIN($B487,2)+5)-0%,),"Market")</f>
        <v>3.9E-2</v>
      </c>
      <c r="X487" s="476" t="str">
        <f>INDEX(Input!$1:$1048576,X$93,$C487*2+MIN($B487,2)+5)</f>
        <v>Y</v>
      </c>
      <c r="Y487" s="475">
        <f>INDEX(Input!$1:$1048576,Y$93,$C487*2+MIN($B487,2)+5)
++INDEX(Scenarios!Y$121:Y$200,MATCH($B487,Scenarios!$B$121:$B$200,0))</f>
        <v>-2397</v>
      </c>
      <c r="Z487" s="477">
        <f>INDEX(Input!$1:$1048576,Z$93,$C487*2+MIN($B487,2)+5)
+INDEX(Scenarios!Z$121:Z$200,MATCH($B487,Scenarios!$B$121:$B$200,0))</f>
        <v>0</v>
      </c>
      <c r="AA487" s="475">
        <f>INDEX(Input!$1:$1048576,AA$93,$C487*2+MIN($B487,2)+5)</f>
        <v>0</v>
      </c>
      <c r="AB487" s="476">
        <f>INDEX(Input!$1:$1048576,AB$93,$C487*2+MIN($B487,2)+5)</f>
        <v>1</v>
      </c>
      <c r="AC487" s="475">
        <f>INDEX(Input!$1:$1048576,AC$93,$C487*2+MIN($B487,2)+5)
+INDEX(Scenarios!AC$121:AC$200,MATCH($B487,Scenarios!$B$121:$B$200,0))</f>
        <v>0</v>
      </c>
      <c r="AD487" s="476">
        <f>INDEX(Input!$1:$1048576,AD$93,$C487*2+MIN($B487,2)+5)</f>
        <v>0.35</v>
      </c>
      <c r="AE487" s="475">
        <f>INDEX(Input!$1:$1048576,AE$93,$C487*2+MIN($B487,2)+5)
+INDEX(Scenarios!AE$121:AE$200,MATCH($B487,Scenarios!$B$121:$B$200,0))</f>
        <v>0</v>
      </c>
      <c r="AF487" s="476">
        <f>INDEX(Input!$1:$1048576,AF$93,$C487*2+MIN($B487,2)+5)</f>
        <v>1</v>
      </c>
      <c r="AG487" s="475">
        <f>INDEX(Input!$1:$1048576,AG$93,$C487*2+MIN($B487,2)+5)
+INDEX(Scenarios!AG$121:AG$200,MATCH($B487,Scenarios!$B$121:$B$200,0))</f>
        <v>0</v>
      </c>
      <c r="AH487" s="476">
        <f>INDEX(Input!$1:$1048576,AH$93,$C487*2+MIN($B487,2)+5)</f>
        <v>1</v>
      </c>
      <c r="AI487" s="475">
        <f>INDEX(Input!$1:$1048576,AI$93,$C487*2+MIN($B487,2)+5)
+INDEX(Scenarios!AI$121:AI$200,MATCH($B487,Scenarios!$B$121:$B$200,0))</f>
        <v>0</v>
      </c>
      <c r="AJ487" s="476">
        <f>INDEX(Input!$1:$1048576,AJ$93,$C487*2+MIN($B487,2)+5)</f>
        <v>0.35</v>
      </c>
      <c r="AK487" s="150">
        <f>ROUND(INDEX(Input!$1:$1048576,AK$93,$C486*2+MIN($B487,1)+5)+(Y487-VLOOKUP($C487*1000+1,$A:$HH,Y$92,FALSE)),0)</f>
        <v>4412</v>
      </c>
      <c r="AL487" s="150">
        <f>ROUND(INDEX(Input!$1:$1048576,AL$93,$C486*2+MIN($B487,1)+5)-(Y487-VLOOKUP($C487*1000+1,$A:$HH,Y$92,FALSE))/36,0)</f>
        <v>4748</v>
      </c>
      <c r="AM487" s="32" t="str">
        <f t="shared" si="1553"/>
        <v>std/std/std/std</v>
      </c>
      <c r="AN487" s="32" t="str">
        <f t="shared" si="1554"/>
        <v>$0 + 0/0/0/1.9/3.9</v>
      </c>
      <c r="AO487" s="32" t="str">
        <f t="shared" si="1555"/>
        <v>0/0/0/1.9/3.9</v>
      </c>
      <c r="AP487" s="32" t="str">
        <f t="shared" si="1621"/>
        <v>0/0.9/1.9/3.9</v>
      </c>
      <c r="AQ487" s="536">
        <f t="shared" si="1620"/>
        <v>0.47043678791578858</v>
      </c>
      <c r="AR487" s="32"/>
      <c r="AS487" s="302"/>
      <c r="AT487" s="3">
        <f t="shared" si="1556"/>
        <v>87</v>
      </c>
      <c r="AU487" s="41" t="s">
        <v>121</v>
      </c>
      <c r="AV487" s="41" t="s">
        <v>116</v>
      </c>
      <c r="AW487" s="41" t="str">
        <f>INDEX(Input!$1:$1048576,AW$93,$C487*2+6)</f>
        <v>Kia</v>
      </c>
      <c r="AX487" s="41" t="str">
        <f>INDEX(Input!$1:$1048576,AX$93,$C487*2+6)</f>
        <v>Kia-LR - R1</v>
      </c>
      <c r="AY487" s="41" t="str">
        <f>IF(LEN(D487)=0,"",INDEX(Input!$1:$1048576,AY$93,$C487*2+6))</f>
        <v>Compact Conventional/Sporty Car (43)</v>
      </c>
      <c r="AZ487" s="41" t="str">
        <f>INDEX(Input!$1:$1048576,AZ$93,$C487*2+6)</f>
        <v>Kia Forte</v>
      </c>
      <c r="BA487" s="3">
        <f>INDEX(Input!$1:$1048576,BA$93,$C487*2+6)</f>
        <v>2020</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19695</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622"/>
        <v>1500</v>
      </c>
      <c r="CJ487" s="16" t="str">
        <f>INDEX(Input!$1:$1048576,CJ$93,$C487*2+6)</f>
        <v>N</v>
      </c>
      <c r="CK487" s="1" t="str">
        <f t="shared" si="1623"/>
        <v>Market</v>
      </c>
      <c r="CL487" s="1" t="str">
        <f t="shared" si="1624"/>
        <v>Market</v>
      </c>
      <c r="CM487" s="1" t="str">
        <f t="shared" si="1625"/>
        <v>Market</v>
      </c>
      <c r="CN487" s="1" t="str">
        <f t="shared" si="1626"/>
        <v>Market</v>
      </c>
      <c r="CO487" s="1" t="str">
        <f t="shared" si="1627"/>
        <v>Market</v>
      </c>
      <c r="CP487" s="304">
        <f t="shared" si="1628"/>
        <v>0</v>
      </c>
      <c r="CQ487" s="1">
        <f t="shared" si="1629"/>
        <v>0</v>
      </c>
      <c r="CR487" s="1">
        <f t="shared" si="1630"/>
        <v>0</v>
      </c>
      <c r="CS487" s="1">
        <f t="shared" si="1631"/>
        <v>0</v>
      </c>
      <c r="CT487" s="1">
        <f t="shared" si="1632"/>
        <v>1.8999999999999996E-2</v>
      </c>
      <c r="CU487" s="1">
        <f t="shared" si="1633"/>
        <v>3.9E-2</v>
      </c>
      <c r="CV487" s="304">
        <f t="shared" si="1634"/>
        <v>-2397</v>
      </c>
      <c r="CW487" s="20" t="s">
        <v>122</v>
      </c>
      <c r="CX487" s="20" t="s">
        <v>122</v>
      </c>
      <c r="CY487" s="20" t="s">
        <v>122</v>
      </c>
      <c r="CZ487" s="20" t="s">
        <v>122</v>
      </c>
      <c r="DA487" s="20" t="s">
        <v>122</v>
      </c>
      <c r="DB487" s="503">
        <f t="shared" si="1635"/>
        <v>0</v>
      </c>
      <c r="DC487" s="127">
        <v>0</v>
      </c>
      <c r="DD487" s="127">
        <v>0</v>
      </c>
      <c r="DE487" s="127">
        <v>0</v>
      </c>
      <c r="DF487" s="127">
        <v>0</v>
      </c>
      <c r="DG487" s="127">
        <v>0</v>
      </c>
      <c r="DH487" s="127">
        <v>0</v>
      </c>
      <c r="DI487" s="127">
        <v>0</v>
      </c>
      <c r="DJ487" s="127">
        <v>0</v>
      </c>
      <c r="DK487" s="127">
        <v>0</v>
      </c>
      <c r="DL487" s="127">
        <v>0</v>
      </c>
      <c r="DM487" s="304">
        <f>INDEX(Input!$1:$1048576,DM$93,$C487*2+6)</f>
        <v>20731.578947368424</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4.6481135960648012E-2</v>
      </c>
      <c r="DZ487" s="7">
        <v>0</v>
      </c>
      <c r="EA487" s="7">
        <v>0.83515505766738385</v>
      </c>
      <c r="EB487" s="7">
        <v>0</v>
      </c>
      <c r="EC487" s="7">
        <v>0</v>
      </c>
      <c r="ED487" s="7">
        <v>0</v>
      </c>
      <c r="EE487" s="7">
        <v>0</v>
      </c>
      <c r="EF487" s="7">
        <v>0</v>
      </c>
      <c r="EG487" s="7">
        <v>0</v>
      </c>
      <c r="EH487" s="7">
        <v>1.227243029448653E-2</v>
      </c>
      <c r="EI487" s="7">
        <v>1.9706822490844655E-2</v>
      </c>
      <c r="EJ487" s="7">
        <v>0.1850141975958873</v>
      </c>
      <c r="EK487" s="7">
        <v>0.72483418158937385</v>
      </c>
      <c r="EL487" s="7">
        <v>5.8172368029407409E-2</v>
      </c>
      <c r="EM487" s="7">
        <v>2.9426341166549255E-2</v>
      </c>
      <c r="EN487" s="7">
        <v>4.66555921691214E-2</v>
      </c>
      <c r="EO487" s="7">
        <v>0.57113236204993856</v>
      </c>
      <c r="EP487" s="7">
        <v>0.26870673144880447</v>
      </c>
      <c r="EQ487" s="7">
        <v>6.8292865611387046E-2</v>
      </c>
      <c r="ER487" s="7">
        <v>4.5212448720748477E-2</v>
      </c>
      <c r="ES487" s="7">
        <v>8.8937465205418925E-2</v>
      </c>
      <c r="ET487" s="7">
        <v>0.11836380637196819</v>
      </c>
      <c r="EU487" s="6">
        <v>1849.9999999999998</v>
      </c>
      <c r="EV487" s="6">
        <v>0</v>
      </c>
      <c r="EW487" s="6">
        <v>1849.9999999999998</v>
      </c>
      <c r="EX487" s="6">
        <v>0</v>
      </c>
      <c r="EY487" s="6">
        <v>2595.7248627917279</v>
      </c>
      <c r="EZ487" s="6">
        <v>-426</v>
      </c>
      <c r="FA487" s="6">
        <v>0</v>
      </c>
      <c r="FB487" s="6">
        <v>0</v>
      </c>
      <c r="FC487" s="6">
        <v>0</v>
      </c>
      <c r="FD487" s="6">
        <v>0</v>
      </c>
      <c r="FE487" s="6">
        <v>0</v>
      </c>
      <c r="FF487" s="6">
        <v>0</v>
      </c>
      <c r="FG487" s="6">
        <v>0</v>
      </c>
      <c r="FH487" s="6">
        <v>1153.2435109703956</v>
      </c>
      <c r="FI487" s="6">
        <v>1531.4299904380621</v>
      </c>
      <c r="FJ487" s="6">
        <v>2070.7205842538219</v>
      </c>
      <c r="FK487" s="6">
        <v>1746.9903521590434</v>
      </c>
      <c r="FL487" s="6">
        <v>893.91433563489397</v>
      </c>
      <c r="FM487" s="6">
        <v>1745.7248627917281</v>
      </c>
      <c r="FN487" s="6">
        <v>0</v>
      </c>
      <c r="FO487" s="6">
        <v>0</v>
      </c>
      <c r="FP487" s="6">
        <v>0</v>
      </c>
      <c r="FQ487" s="6">
        <v>0</v>
      </c>
      <c r="FR487" s="6">
        <v>0</v>
      </c>
      <c r="FS487" s="6">
        <v>0</v>
      </c>
      <c r="FT487" s="7">
        <v>0.88163619362803192</v>
      </c>
      <c r="FU487" s="7">
        <v>2.9426341166549255E-2</v>
      </c>
      <c r="FV487" s="7">
        <v>8.8937465205418925E-2</v>
      </c>
      <c r="FW487" s="6">
        <v>1849.9999999999993</v>
      </c>
      <c r="FX487" s="6">
        <v>2595.7248627917274</v>
      </c>
      <c r="FY487" s="6">
        <v>-426</v>
      </c>
      <c r="FZ487" s="6">
        <v>1695.8504614767719</v>
      </c>
      <c r="GA487" s="6">
        <v>1669.5222834213537</v>
      </c>
      <c r="GB487" s="6">
        <v>18025.477716578647</v>
      </c>
      <c r="GC487" s="7">
        <v>8.1891069685915169E-2</v>
      </c>
      <c r="GD487" s="7">
        <v>8.1699868487901478E-2</v>
      </c>
      <c r="GE487" s="7"/>
      <c r="GF487" s="7"/>
      <c r="GG487" s="7">
        <v>-2.3348235497108951E-3</v>
      </c>
      <c r="GH487" s="42">
        <v>1.7465830607330122</v>
      </c>
      <c r="GI487" s="6">
        <v>12945.825393640578</v>
      </c>
      <c r="GJ487" s="14">
        <v>0.51074630601039539</v>
      </c>
      <c r="GK487" s="14">
        <v>0.50829519786160948</v>
      </c>
      <c r="GL487" s="14">
        <v>0.48925369398960439</v>
      </c>
      <c r="GM487" s="14">
        <v>0.49170480213839018</v>
      </c>
      <c r="GO487" s="5">
        <v>338.16872463277008</v>
      </c>
      <c r="GP487" s="5">
        <v>302.87425392274076</v>
      </c>
      <c r="GQ487" s="5">
        <v>527.27910984145694</v>
      </c>
      <c r="GR487" s="5">
        <v>404.20319246551543</v>
      </c>
      <c r="GS487" s="5">
        <v>334.50205195691484</v>
      </c>
      <c r="GT487" s="5">
        <v>289.18266033348181</v>
      </c>
      <c r="GU487" s="5">
        <v>254.29573314828914</v>
      </c>
      <c r="GV487" s="39" t="s">
        <v>392</v>
      </c>
      <c r="GW487" s="5">
        <v>468.76388888888891</v>
      </c>
      <c r="GX487" s="5">
        <v>351.57291666666669</v>
      </c>
      <c r="GY487" s="5">
        <v>281.25833333333333</v>
      </c>
      <c r="GZ487" s="5">
        <v>248.1807987949399</v>
      </c>
      <c r="HA487" s="5">
        <v>229.89195052129477</v>
      </c>
      <c r="HB487" s="39">
        <v>257.98132740457351</v>
      </c>
      <c r="HC487" s="5">
        <v>301.75312499999995</v>
      </c>
      <c r="HD487" s="5">
        <v>249.04643640350872</v>
      </c>
      <c r="HE487" s="5">
        <v>249.27685981781374</v>
      </c>
      <c r="HF487" s="5">
        <v>227.55442434210525</v>
      </c>
      <c r="HG487" s="5">
        <v>215.73993421052631</v>
      </c>
      <c r="HH487" s="39">
        <v>248.5937948798632</v>
      </c>
      <c r="HI487" s="16"/>
      <c r="HJ487" s="19" t="str">
        <f t="shared" si="1577"/>
        <v>On</v>
      </c>
      <c r="HK487" s="1" t="str">
        <f t="shared" si="1577"/>
        <v>On</v>
      </c>
      <c r="HL487" s="16"/>
      <c r="HM487" s="889">
        <f t="shared" si="1578"/>
        <v>6.6115095157691428E-2</v>
      </c>
      <c r="HN487" s="889">
        <f t="shared" si="1578"/>
        <v>2.3720927871164412E-3</v>
      </c>
      <c r="HO487" s="889">
        <f t="shared" si="1578"/>
        <v>7.7231033444443466E-3</v>
      </c>
      <c r="HP487" s="890">
        <f>(FT487*$GD487-HM487)/$JF487*INDEX(Input!$1:$1048576,$JG$93,$C487*2+6)</f>
        <v>144.2717505948618</v>
      </c>
      <c r="HQ487" s="890">
        <f>(FU487*$GD487-HN487)/$JF487*INDEX(Input!$1:$1048576,$JG$93,$C487*2+6)</f>
        <v>0.7814409030572943</v>
      </c>
      <c r="HR487" s="890">
        <f>(FV487*$GD487-HO487)/$JF487*INDEX(Input!$1:$1048576,$JG$93,$C487*2+6)</f>
        <v>-11.145764565826923</v>
      </c>
      <c r="HS487" s="890">
        <f t="shared" si="1579"/>
        <v>-34.196407622735279</v>
      </c>
      <c r="HT487" s="890">
        <f t="shared" si="1580"/>
        <v>62.924467653993887</v>
      </c>
      <c r="HU487" s="890">
        <f t="shared" si="1581"/>
        <v>6.4272995356348321</v>
      </c>
      <c r="HV487" s="891">
        <f t="shared" si="1582"/>
        <v>0</v>
      </c>
      <c r="HW487" s="891">
        <f t="shared" si="1583"/>
        <v>0</v>
      </c>
      <c r="HX487" s="891">
        <f t="shared" si="1584"/>
        <v>0</v>
      </c>
      <c r="HY487" s="890">
        <f>INDEX(Input!$1:$1048576,HY$93,$C487*2+6)*INDEX(Input!$1:$1048576,$JG$93,$C487*2+6)</f>
        <v>844</v>
      </c>
      <c r="HZ487" s="890">
        <f>INDEX(Input!$1:$1048576,HZ$93,$C487*2+6)*INDEX(Input!$1:$1048576,$JG$93,$C487*2+6)</f>
        <v>865</v>
      </c>
      <c r="IA487" s="890">
        <f>INDEX(Input!$1:$1048576,IA$93,$C487*2+6)*INDEX(Input!$1:$1048576,$JG$93,$C487*2+6)</f>
        <v>150</v>
      </c>
      <c r="IB487" s="890">
        <f t="shared" si="1585"/>
        <v>954.07534297212635</v>
      </c>
      <c r="IC487" s="890">
        <f t="shared" si="1586"/>
        <v>928.7059085570512</v>
      </c>
      <c r="ID487" s="890">
        <f>IF(AND(INDEX(Input!$1:$1048576,IA$93,$C487*2+7)="TOS",Y487&lt;=INDEX(Y:Y,MATCH(C487*1000+2,A:A))),0,1)*MAX(IA487+HR487+HU487+HX487,0%)</f>
        <v>145.28153496980789</v>
      </c>
      <c r="IE487" s="892">
        <f t="shared" si="1587"/>
        <v>0.47043678791578858</v>
      </c>
      <c r="IF487" s="892">
        <f t="shared" si="1587"/>
        <v>0.45792759215323031</v>
      </c>
      <c r="IG487" s="892">
        <f t="shared" si="1587"/>
        <v>7.1635619930981151E-2</v>
      </c>
      <c r="IH487" s="21"/>
      <c r="II487" s="19">
        <f t="shared" si="1588"/>
        <v>1199.9999999999998</v>
      </c>
      <c r="IJ487" s="19">
        <f t="shared" si="1589"/>
        <v>2195.4782357510435</v>
      </c>
      <c r="IK487" s="19">
        <f t="shared" si="1589"/>
        <v>-571</v>
      </c>
      <c r="IL487" s="19">
        <f t="shared" si="1590"/>
        <v>649.99999999999955</v>
      </c>
      <c r="IM487" s="19">
        <f t="shared" si="1591"/>
        <v>400.24662704068396</v>
      </c>
      <c r="IN487" s="19">
        <f t="shared" si="1591"/>
        <v>145</v>
      </c>
      <c r="IO487" s="39">
        <f t="shared" si="1592"/>
        <v>0</v>
      </c>
      <c r="IP487" s="39">
        <f t="shared" si="1592"/>
        <v>0</v>
      </c>
      <c r="IQ487" s="39">
        <f t="shared" si="1592"/>
        <v>0</v>
      </c>
      <c r="IR487" s="39">
        <v>0</v>
      </c>
      <c r="IS487" s="39">
        <v>0</v>
      </c>
      <c r="IT487" s="39">
        <v>0</v>
      </c>
      <c r="IU487" s="39">
        <v>0</v>
      </c>
      <c r="IV487" s="39">
        <v>0</v>
      </c>
      <c r="IW487" s="39">
        <v>0</v>
      </c>
      <c r="IX487" s="39">
        <f>INDEX(Input!$1:$1048576,IX$93,$C487*2+6)+INDEX(Input!$1:$1048576,IX$94,$C487*2+6)</f>
        <v>1600</v>
      </c>
      <c r="IY487" s="39">
        <f>INDEX(Input!$1:$1048576,IY$93,$C487*2+6)+INDEX(Input!$1:$1048576,IY$94,$C487*2+6)</f>
        <v>2503.549291639752</v>
      </c>
      <c r="IZ487" s="39">
        <f>INDEX(Input!$1:$1048576,IZ$93,$C487*2+6)+INDEX(Input!$1:$1048576,IZ$94,$C487*2+6)</f>
        <v>5413.7109265464023</v>
      </c>
      <c r="JA487" s="19">
        <f t="shared" si="1593"/>
        <v>2249.9999999999995</v>
      </c>
      <c r="JB487" s="19">
        <f t="shared" si="1593"/>
        <v>2903.795918680436</v>
      </c>
      <c r="JC487" s="19">
        <f t="shared" si="1593"/>
        <v>5558.7109265464023</v>
      </c>
      <c r="JD487" s="19">
        <f t="shared" si="1594"/>
        <v>2786.4127491965037</v>
      </c>
      <c r="JE487" s="21"/>
      <c r="JF487" s="1">
        <f t="shared" si="1595"/>
        <v>7.6210291289252219E-2</v>
      </c>
      <c r="JG487" s="15">
        <f>INDEX(Input!$1:$1048576,JG$93,$C487*2+6)/(1+VLOOKUP(C487*1000+INDEX(Input!$1:$1048576,JG$93+1,$C487*2+6),$A:$KK,$JK$92,FALSE))</f>
        <v>1859</v>
      </c>
      <c r="JH487" s="1">
        <f t="shared" si="1596"/>
        <v>7.2031967150130272E-2</v>
      </c>
      <c r="JI487" s="1">
        <f t="shared" si="1597"/>
        <v>1.8910898099458548E-2</v>
      </c>
      <c r="JJ487" s="1">
        <f t="shared" si="1598"/>
        <v>0</v>
      </c>
      <c r="JK487" s="1">
        <f t="shared" si="1599"/>
        <v>9.094286524958882E-2</v>
      </c>
      <c r="JL487" s="15">
        <f t="shared" si="1600"/>
        <v>169.06278649898562</v>
      </c>
      <c r="JM487" s="15">
        <f t="shared" si="1601"/>
        <v>2028.0627864989856</v>
      </c>
      <c r="JN487" s="21"/>
      <c r="JO487" s="19">
        <f>INDEX(Input!$1:$1048576,JO$93,$C487*2+6)</f>
        <v>5908.5</v>
      </c>
      <c r="JP487" s="19">
        <f>INDEX(Input!$1:$1048576,JP$93,$C487*2+6)</f>
        <v>2328.1478086338602</v>
      </c>
      <c r="JQ487" s="39">
        <f t="shared" si="1602"/>
        <v>3122.0872508034963</v>
      </c>
      <c r="JR487" s="39">
        <f t="shared" si="1603"/>
        <v>458.26494056264346</v>
      </c>
      <c r="JS487" s="39">
        <f t="shared" si="1604"/>
        <v>5.6510200044717607</v>
      </c>
      <c r="JT487" s="39">
        <f t="shared" si="1605"/>
        <v>1.3229932282214136</v>
      </c>
      <c r="JU487" s="385">
        <f>(JQ487*JM487-INDEX(Input!$1:$1048576,Input!A$18,$C487*2+6)*JL487*INDEX(Input!$1:$1048576,Input!A$19,$C487*2+6))/1000000</f>
        <v>6.331788969557496</v>
      </c>
      <c r="JV487" s="39">
        <f t="shared" si="1606"/>
        <v>-0.32408575419215779</v>
      </c>
      <c r="JW487" s="1">
        <f t="shared" si="1607"/>
        <v>-4.8691684811276142E-2</v>
      </c>
      <c r="JX487" s="19">
        <f t="shared" si="1608"/>
        <v>7825.4550017685388</v>
      </c>
      <c r="JZ487" s="341"/>
      <c r="KA487" s="342"/>
      <c r="KB487" s="469">
        <f t="shared" si="1609"/>
        <v>2.3451977905499271</v>
      </c>
      <c r="KI487" s="473">
        <f t="shared" si="1610"/>
        <v>110.07534297212646</v>
      </c>
      <c r="KJ487" s="473">
        <f t="shared" si="1610"/>
        <v>63.705908557051316</v>
      </c>
      <c r="KK487" s="473">
        <f t="shared" si="1610"/>
        <v>-4.7184650301921067</v>
      </c>
      <c r="KN487" s="888">
        <f t="shared" si="1611"/>
        <v>4002</v>
      </c>
      <c r="KO487" s="893">
        <f t="shared" si="1612"/>
        <v>1.5229487210714154E-2</v>
      </c>
      <c r="KP487" s="894">
        <f t="shared" si="1613"/>
        <v>104.78153353829414</v>
      </c>
      <c r="KQ487" s="894">
        <f t="shared" si="1614"/>
        <v>62.669187598507961</v>
      </c>
      <c r="KR487" s="895">
        <f t="shared" si="1615"/>
        <v>2.4666897319643999</v>
      </c>
      <c r="KS487" s="895">
        <f t="shared" si="1616"/>
        <v>4.1242521689326503</v>
      </c>
      <c r="KT487" s="896">
        <f t="shared" si="1617"/>
        <v>1050.27685337919</v>
      </c>
      <c r="KU487" s="663">
        <f t="shared" si="1618"/>
        <v>6.5804602349122376</v>
      </c>
    </row>
    <row r="488" spans="1:307" s="26" customFormat="1" ht="15" outlineLevel="1">
      <c r="A488" s="561">
        <f t="shared" si="1550"/>
        <v>4088</v>
      </c>
      <c r="B488" s="561">
        <f t="shared" si="1551"/>
        <v>88</v>
      </c>
      <c r="C488" s="561">
        <f t="shared" si="1552"/>
        <v>4</v>
      </c>
      <c r="D488" s="561" t="str">
        <f t="shared" si="1619"/>
        <v/>
      </c>
      <c r="E488" s="475">
        <f>INDEX(Input!$1:$1048576,E$93,$C488*2+MIN($B488,2)+5)
+INDEX(Scenarios!E$121:E$200,MATCH($B488,Scenarios!$B$121:$B$200,0))</f>
        <v>1250</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0</v>
      </c>
      <c r="V488" s="478">
        <f>IFERROR(MAX(0,INDEX(Input!$1:$1048576,V$93,$C488*2+MIN($B488,2)+5)
+INDEX(Scenarios!V$121:V$200,MATCH($B488,Scenarios!$B$121:$B$200,0)),),"Market")</f>
        <v>1.8999999999999996E-2</v>
      </c>
      <c r="W488" s="863">
        <f>IFERROR(MAX(0,INDEX(Input!$1:$1048576,W$93,$C488*2+MIN($B488,2)+5)-0%,),"Market")</f>
        <v>3.9E-2</v>
      </c>
      <c r="X488" s="476" t="str">
        <f>INDEX(Input!$1:$1048576,X$93,$C488*2+MIN($B488,2)+5)</f>
        <v>Y</v>
      </c>
      <c r="Y488" s="475">
        <f>INDEX(Input!$1:$1048576,Y$93,$C488*2+MIN($B488,2)+5)
++INDEX(Scenarios!Y$121:Y$200,MATCH($B488,Scenarios!$B$121:$B$200,0))</f>
        <v>-2217</v>
      </c>
      <c r="Z488" s="477">
        <f>INDEX(Input!$1:$1048576,Z$93,$C488*2+MIN($B488,2)+5)
+INDEX(Scenarios!Z$121:Z$200,MATCH($B488,Scenarios!$B$121:$B$200,0))</f>
        <v>0</v>
      </c>
      <c r="AA488" s="475">
        <f>INDEX(Input!$1:$1048576,AA$93,$C488*2+MIN($B488,2)+5)</f>
        <v>0</v>
      </c>
      <c r="AB488" s="476">
        <f>INDEX(Input!$1:$1048576,AB$93,$C488*2+MIN($B488,2)+5)</f>
        <v>1</v>
      </c>
      <c r="AC488" s="475">
        <f>INDEX(Input!$1:$1048576,AC$93,$C488*2+MIN($B488,2)+5)
+INDEX(Scenarios!AC$121:AC$200,MATCH($B488,Scenarios!$B$121:$B$200,0))</f>
        <v>0</v>
      </c>
      <c r="AD488" s="476">
        <f>INDEX(Input!$1:$1048576,AD$93,$C488*2+MIN($B488,2)+5)</f>
        <v>0.35</v>
      </c>
      <c r="AE488" s="475">
        <f>INDEX(Input!$1:$1048576,AE$93,$C488*2+MIN($B488,2)+5)
+INDEX(Scenarios!AE$121:AE$200,MATCH($B488,Scenarios!$B$121:$B$200,0))</f>
        <v>0</v>
      </c>
      <c r="AF488" s="476">
        <f>INDEX(Input!$1:$1048576,AF$93,$C488*2+MIN($B488,2)+5)</f>
        <v>1</v>
      </c>
      <c r="AG488" s="475">
        <f>INDEX(Input!$1:$1048576,AG$93,$C488*2+MIN($B488,2)+5)
+INDEX(Scenarios!AG$121:AG$200,MATCH($B488,Scenarios!$B$121:$B$200,0))</f>
        <v>0</v>
      </c>
      <c r="AH488" s="476">
        <f>INDEX(Input!$1:$1048576,AH$93,$C488*2+MIN($B488,2)+5)</f>
        <v>1</v>
      </c>
      <c r="AI488" s="475">
        <f>INDEX(Input!$1:$1048576,AI$93,$C488*2+MIN($B488,2)+5)
+INDEX(Scenarios!AI$121:AI$200,MATCH($B488,Scenarios!$B$121:$B$200,0))</f>
        <v>0</v>
      </c>
      <c r="AJ488" s="476">
        <f>INDEX(Input!$1:$1048576,AJ$93,$C488*2+MIN($B488,2)+5)</f>
        <v>0.35</v>
      </c>
      <c r="AK488" s="150">
        <f>ROUND(INDEX(Input!$1:$1048576,AK$93,$C487*2+MIN($B488,1)+5)+(Y488-VLOOKUP($C488*1000+1,$A:$HH,Y$92,FALSE)),0)</f>
        <v>4592</v>
      </c>
      <c r="AL488" s="150">
        <f>ROUND(INDEX(Input!$1:$1048576,AL$93,$C487*2+MIN($B488,1)+5)-(Y488-VLOOKUP($C488*1000+1,$A:$HH,Y$92,FALSE))/36,0)</f>
        <v>4743</v>
      </c>
      <c r="AM488" s="32" t="str">
        <f t="shared" si="1553"/>
        <v>std/std/std/std</v>
      </c>
      <c r="AN488" s="32" t="str">
        <f t="shared" si="1554"/>
        <v>$0 + 0/0/0/1.9/3.9</v>
      </c>
      <c r="AO488" s="32" t="str">
        <f t="shared" si="1555"/>
        <v>0/0/0/1.9/3.9</v>
      </c>
      <c r="AP488" s="32" t="str">
        <f t="shared" si="1621"/>
        <v>0/0.9/1.9/3.9</v>
      </c>
      <c r="AQ488" s="536">
        <f t="shared" si="1620"/>
        <v>0</v>
      </c>
      <c r="AR488" s="32"/>
      <c r="AS488" s="302"/>
      <c r="AT488" s="3">
        <f t="shared" si="1556"/>
        <v>88</v>
      </c>
      <c r="AU488" s="41" t="s">
        <v>121</v>
      </c>
      <c r="AV488" s="41" t="s">
        <v>116</v>
      </c>
      <c r="AW488" s="41" t="str">
        <f>INDEX(Input!$1:$1048576,AW$93,$C488*2+6)</f>
        <v>Kia</v>
      </c>
      <c r="AX488" s="41" t="str">
        <f>INDEX(Input!$1:$1048576,AX$93,$C488*2+6)</f>
        <v>Kia-LR - R1</v>
      </c>
      <c r="AY488" s="41" t="str">
        <f>IF(LEN(D488)=0,"",INDEX(Input!$1:$1048576,AY$93,$C488*2+6))</f>
        <v/>
      </c>
      <c r="AZ488" s="41" t="str">
        <f>INDEX(Input!$1:$1048576,AZ$93,$C488*2+6)</f>
        <v>Kia Forte</v>
      </c>
      <c r="BA488" s="3">
        <f>INDEX(Input!$1:$1048576,BA$93,$C488*2+6)</f>
        <v>2020</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19695</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622"/>
        <v>1250</v>
      </c>
      <c r="CJ488" s="16" t="str">
        <f>INDEX(Input!$1:$1048576,CJ$93,$C488*2+6)</f>
        <v>N</v>
      </c>
      <c r="CK488" s="1" t="str">
        <f t="shared" si="1623"/>
        <v>Market</v>
      </c>
      <c r="CL488" s="1" t="str">
        <f t="shared" si="1624"/>
        <v>Market</v>
      </c>
      <c r="CM488" s="1" t="str">
        <f t="shared" si="1625"/>
        <v>Market</v>
      </c>
      <c r="CN488" s="1" t="str">
        <f t="shared" si="1626"/>
        <v>Market</v>
      </c>
      <c r="CO488" s="1" t="str">
        <f t="shared" si="1627"/>
        <v>Market</v>
      </c>
      <c r="CP488" s="304">
        <f t="shared" si="1628"/>
        <v>0</v>
      </c>
      <c r="CQ488" s="1">
        <f t="shared" si="1629"/>
        <v>0</v>
      </c>
      <c r="CR488" s="1">
        <f t="shared" si="1630"/>
        <v>0</v>
      </c>
      <c r="CS488" s="1">
        <f t="shared" si="1631"/>
        <v>0</v>
      </c>
      <c r="CT488" s="1">
        <f t="shared" si="1632"/>
        <v>1.8999999999999996E-2</v>
      </c>
      <c r="CU488" s="1">
        <f t="shared" si="1633"/>
        <v>3.9E-2</v>
      </c>
      <c r="CV488" s="304">
        <f t="shared" si="1634"/>
        <v>-2217</v>
      </c>
      <c r="CW488" s="20" t="s">
        <v>122</v>
      </c>
      <c r="CX488" s="20" t="s">
        <v>122</v>
      </c>
      <c r="CY488" s="20" t="s">
        <v>122</v>
      </c>
      <c r="CZ488" s="20" t="s">
        <v>122</v>
      </c>
      <c r="DA488" s="20" t="s">
        <v>122</v>
      </c>
      <c r="DB488" s="503">
        <f t="shared" si="1635"/>
        <v>0</v>
      </c>
      <c r="DC488" s="127">
        <v>0</v>
      </c>
      <c r="DD488" s="127">
        <v>0</v>
      </c>
      <c r="DE488" s="127">
        <v>0</v>
      </c>
      <c r="DF488" s="127">
        <v>0</v>
      </c>
      <c r="DG488" s="127">
        <v>0</v>
      </c>
      <c r="DH488" s="127">
        <v>0</v>
      </c>
      <c r="DI488" s="127">
        <v>0</v>
      </c>
      <c r="DJ488" s="127">
        <v>0</v>
      </c>
      <c r="DK488" s="127">
        <v>0</v>
      </c>
      <c r="DL488" s="127">
        <v>0</v>
      </c>
      <c r="DM488" s="304">
        <f>INDEX(Input!$1:$1048576,DM$93,$C488*2+6)</f>
        <v>20731.578947368424</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c r="DZ488" s="7"/>
      <c r="EA488" s="7"/>
      <c r="EB488" s="7"/>
      <c r="EC488" s="7"/>
      <c r="ED488" s="7"/>
      <c r="EE488" s="7"/>
      <c r="EF488" s="7"/>
      <c r="EG488" s="7"/>
      <c r="EH488" s="7"/>
      <c r="EI488" s="7"/>
      <c r="EJ488" s="7"/>
      <c r="EK488" s="7"/>
      <c r="EL488" s="7"/>
      <c r="EM488" s="7"/>
      <c r="EN488" s="7"/>
      <c r="EO488" s="7"/>
      <c r="EP488" s="7"/>
      <c r="EQ488" s="7"/>
      <c r="ER488" s="7"/>
      <c r="ES488" s="7"/>
      <c r="ET488" s="7"/>
      <c r="EU488" s="6"/>
      <c r="EV488" s="6"/>
      <c r="EW488" s="6"/>
      <c r="EX488" s="6"/>
      <c r="EY488" s="6"/>
      <c r="EZ488" s="6"/>
      <c r="FA488" s="6"/>
      <c r="FB488" s="6"/>
      <c r="FC488" s="6"/>
      <c r="FD488" s="6"/>
      <c r="FE488" s="6"/>
      <c r="FF488" s="6"/>
      <c r="FG488" s="6"/>
      <c r="FH488" s="6"/>
      <c r="FI488" s="6"/>
      <c r="FJ488" s="6"/>
      <c r="FK488" s="6"/>
      <c r="FL488" s="6"/>
      <c r="FM488" s="6"/>
      <c r="FN488" s="6"/>
      <c r="FO488" s="6"/>
      <c r="FP488" s="6"/>
      <c r="FQ488" s="6"/>
      <c r="FR488" s="6"/>
      <c r="FS488" s="6"/>
      <c r="FT488" s="7"/>
      <c r="FU488" s="7"/>
      <c r="FV488" s="7"/>
      <c r="FW488" s="6"/>
      <c r="FX488" s="6"/>
      <c r="FY488" s="6"/>
      <c r="FZ488" s="6"/>
      <c r="GA488" s="6"/>
      <c r="GB488" s="6"/>
      <c r="GC488" s="7"/>
      <c r="GD488" s="7"/>
      <c r="GE488" s="7"/>
      <c r="GF488" s="7"/>
      <c r="GG488" s="7"/>
      <c r="GH488" s="42"/>
      <c r="GI488" s="6"/>
      <c r="GJ488" s="14"/>
      <c r="GK488" s="14"/>
      <c r="GL488" s="14"/>
      <c r="GM488" s="14"/>
      <c r="GO488" s="5"/>
      <c r="GP488" s="5"/>
      <c r="GQ488" s="5"/>
      <c r="GR488" s="5"/>
      <c r="GS488" s="5"/>
      <c r="GT488" s="5"/>
      <c r="GU488" s="5"/>
      <c r="GV488" s="39"/>
      <c r="GW488" s="5"/>
      <c r="GX488" s="5"/>
      <c r="GY488" s="5"/>
      <c r="GZ488" s="5"/>
      <c r="HA488" s="5"/>
      <c r="HB488" s="39"/>
      <c r="HC488" s="5"/>
      <c r="HD488" s="5"/>
      <c r="HE488" s="5"/>
      <c r="HF488" s="5"/>
      <c r="HG488" s="5"/>
      <c r="HH488" s="39"/>
      <c r="HI488" s="16"/>
      <c r="HJ488" s="19"/>
      <c r="HK488" s="1"/>
      <c r="HL488" s="16"/>
      <c r="HM488" s="1"/>
      <c r="HN488" s="1"/>
      <c r="HO488" s="1"/>
      <c r="HP488" s="1"/>
      <c r="HQ488" s="1"/>
      <c r="HR488" s="1"/>
      <c r="HS488" s="1"/>
      <c r="HT488" s="1"/>
      <c r="HU488" s="1"/>
      <c r="HV488" s="1"/>
      <c r="HW488" s="1"/>
      <c r="HX488" s="1"/>
      <c r="HY488" s="1"/>
      <c r="HZ488" s="1"/>
      <c r="IA488" s="1"/>
      <c r="IB488" s="1"/>
      <c r="IC488" s="1"/>
      <c r="ID488" s="1"/>
      <c r="IE488" s="1"/>
      <c r="IF488" s="1"/>
      <c r="IG488" s="1"/>
      <c r="IH488" s="21"/>
      <c r="II488" s="19"/>
      <c r="IJ488" s="19"/>
      <c r="IK488" s="19"/>
      <c r="IL488" s="19"/>
      <c r="IM488" s="19"/>
      <c r="IN488" s="19"/>
      <c r="IO488" s="39"/>
      <c r="IP488" s="39"/>
      <c r="IQ488" s="39"/>
      <c r="IR488" s="39"/>
      <c r="IS488" s="39"/>
      <c r="IT488" s="39"/>
      <c r="IU488" s="39"/>
      <c r="IV488" s="39"/>
      <c r="IW488" s="39"/>
      <c r="IX488" s="39"/>
      <c r="IY488" s="39"/>
      <c r="IZ488" s="39"/>
      <c r="JA488" s="19"/>
      <c r="JB488" s="19"/>
      <c r="JC488" s="19"/>
      <c r="JD488" s="19"/>
      <c r="JE488" s="21"/>
      <c r="JF488" s="1"/>
      <c r="JG488" s="15"/>
      <c r="JH488" s="1"/>
      <c r="JI488" s="1"/>
      <c r="JJ488" s="1"/>
      <c r="JK488" s="1"/>
      <c r="JL488" s="15"/>
      <c r="JM488" s="15"/>
      <c r="JN488" s="21"/>
      <c r="JO488" s="19"/>
      <c r="JP488" s="19"/>
      <c r="JQ488" s="39"/>
      <c r="JR488" s="39"/>
      <c r="JS488" s="39"/>
      <c r="JT488" s="39"/>
      <c r="JU488" s="385"/>
      <c r="JV488" s="39"/>
      <c r="JW488" s="1"/>
      <c r="JX488" s="19"/>
      <c r="JZ488" s="341"/>
      <c r="KA488" s="342"/>
      <c r="KB488" s="469"/>
      <c r="KI488" s="473"/>
      <c r="KJ488" s="473"/>
      <c r="KK488" s="473"/>
    </row>
    <row r="489" spans="1:307" s="26" customFormat="1" ht="15" outlineLevel="1">
      <c r="A489" s="561">
        <f t="shared" si="1550"/>
        <v>4089</v>
      </c>
      <c r="B489" s="561">
        <f t="shared" si="1551"/>
        <v>89</v>
      </c>
      <c r="C489" s="561">
        <f t="shared" si="1552"/>
        <v>4</v>
      </c>
      <c r="D489" s="561" t="str">
        <f t="shared" si="1619"/>
        <v/>
      </c>
      <c r="E489" s="475">
        <f>INDEX(Input!$1:$1048576,E$93,$C489*2+MIN($B489,2)+5)
+INDEX(Scenarios!E$121:E$200,MATCH($B489,Scenarios!$B$121:$B$200,0))</f>
        <v>1250</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0</v>
      </c>
      <c r="V489" s="478">
        <f>IFERROR(MAX(0,INDEX(Input!$1:$1048576,V$93,$C489*2+MIN($B489,2)+5)
+INDEX(Scenarios!V$121:V$200,MATCH($B489,Scenarios!$B$121:$B$200,0)),),"Market")</f>
        <v>1.8999999999999996E-2</v>
      </c>
      <c r="W489" s="863">
        <f>IFERROR(MAX(0,INDEX(Input!$1:$1048576,W$93,$C489*2+MIN($B489,2)+5)-0%,),"Market")</f>
        <v>3.9E-2</v>
      </c>
      <c r="X489" s="476" t="str">
        <f>INDEX(Input!$1:$1048576,X$93,$C489*2+MIN($B489,2)+5)</f>
        <v>Y</v>
      </c>
      <c r="Y489" s="475">
        <f>INDEX(Input!$1:$1048576,Y$93,$C489*2+MIN($B489,2)+5)
++INDEX(Scenarios!Y$121:Y$200,MATCH($B489,Scenarios!$B$121:$B$200,0))</f>
        <v>-2217</v>
      </c>
      <c r="Z489" s="477">
        <f>INDEX(Input!$1:$1048576,Z$93,$C489*2+MIN($B489,2)+5)
+INDEX(Scenarios!Z$121:Z$200,MATCH($B489,Scenarios!$B$121:$B$200,0))</f>
        <v>0</v>
      </c>
      <c r="AA489" s="475">
        <f>INDEX(Input!$1:$1048576,AA$93,$C489*2+MIN($B489,2)+5)</f>
        <v>0</v>
      </c>
      <c r="AB489" s="476">
        <f>INDEX(Input!$1:$1048576,AB$93,$C489*2+MIN($B489,2)+5)</f>
        <v>1</v>
      </c>
      <c r="AC489" s="475">
        <f>INDEX(Input!$1:$1048576,AC$93,$C489*2+MIN($B489,2)+5)
+INDEX(Scenarios!AC$121:AC$200,MATCH($B489,Scenarios!$B$121:$B$200,0))</f>
        <v>0</v>
      </c>
      <c r="AD489" s="476">
        <f>INDEX(Input!$1:$1048576,AD$93,$C489*2+MIN($B489,2)+5)</f>
        <v>0.35</v>
      </c>
      <c r="AE489" s="475">
        <f>INDEX(Input!$1:$1048576,AE$93,$C489*2+MIN($B489,2)+5)
+INDEX(Scenarios!AE$121:AE$200,MATCH($B489,Scenarios!$B$121:$B$200,0))</f>
        <v>0</v>
      </c>
      <c r="AF489" s="476">
        <f>INDEX(Input!$1:$1048576,AF$93,$C489*2+MIN($B489,2)+5)</f>
        <v>1</v>
      </c>
      <c r="AG489" s="475">
        <f>INDEX(Input!$1:$1048576,AG$93,$C489*2+MIN($B489,2)+5)
+INDEX(Scenarios!AG$121:AG$200,MATCH($B489,Scenarios!$B$121:$B$200,0))</f>
        <v>0</v>
      </c>
      <c r="AH489" s="476">
        <f>INDEX(Input!$1:$1048576,AH$93,$C489*2+MIN($B489,2)+5)</f>
        <v>1</v>
      </c>
      <c r="AI489" s="475">
        <f>INDEX(Input!$1:$1048576,AI$93,$C489*2+MIN($B489,2)+5)
+INDEX(Scenarios!AI$121:AI$200,MATCH($B489,Scenarios!$B$121:$B$200,0))</f>
        <v>0</v>
      </c>
      <c r="AJ489" s="476">
        <f>INDEX(Input!$1:$1048576,AJ$93,$C489*2+MIN($B489,2)+5)</f>
        <v>0.35</v>
      </c>
      <c r="AK489" s="150">
        <f>ROUND(INDEX(Input!$1:$1048576,AK$93,$C488*2+MIN($B489,1)+5)+(Y489-VLOOKUP($C489*1000+1,$A:$HH,Y$92,FALSE)),0)</f>
        <v>4592</v>
      </c>
      <c r="AL489" s="150">
        <f>ROUND(INDEX(Input!$1:$1048576,AL$93,$C488*2+MIN($B489,1)+5)-(Y489-VLOOKUP($C489*1000+1,$A:$HH,Y$92,FALSE))/36,0)</f>
        <v>4743</v>
      </c>
      <c r="AM489" s="32" t="str">
        <f t="shared" si="1553"/>
        <v>std/std/std/std</v>
      </c>
      <c r="AN489" s="32" t="str">
        <f t="shared" si="1554"/>
        <v>$0 + 0/0/0/1.9/3.9</v>
      </c>
      <c r="AO489" s="32" t="str">
        <f t="shared" si="1555"/>
        <v>0/0/0/1.9/3.9</v>
      </c>
      <c r="AP489" s="32" t="str">
        <f t="shared" si="1621"/>
        <v>0/0.9/1.9/3.9</v>
      </c>
      <c r="AQ489" s="536">
        <f t="shared" si="1620"/>
        <v>0</v>
      </c>
      <c r="AR489" s="32"/>
      <c r="AS489" s="302"/>
      <c r="AT489" s="3">
        <f t="shared" si="1556"/>
        <v>89</v>
      </c>
      <c r="AU489" s="41" t="s">
        <v>121</v>
      </c>
      <c r="AV489" s="41" t="s">
        <v>116</v>
      </c>
      <c r="AW489" s="41" t="str">
        <f>INDEX(Input!$1:$1048576,AW$93,$C489*2+6)</f>
        <v>Kia</v>
      </c>
      <c r="AX489" s="41" t="str">
        <f>INDEX(Input!$1:$1048576,AX$93,$C489*2+6)</f>
        <v>Kia-LR - R1</v>
      </c>
      <c r="AY489" s="41" t="str">
        <f>IF(LEN(D489)=0,"",INDEX(Input!$1:$1048576,AY$93,$C489*2+6))</f>
        <v/>
      </c>
      <c r="AZ489" s="41" t="str">
        <f>INDEX(Input!$1:$1048576,AZ$93,$C489*2+6)</f>
        <v>Kia Forte</v>
      </c>
      <c r="BA489" s="3">
        <f>INDEX(Input!$1:$1048576,BA$93,$C489*2+6)</f>
        <v>2020</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19695</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622"/>
        <v>1250</v>
      </c>
      <c r="CJ489" s="16" t="str">
        <f>INDEX(Input!$1:$1048576,CJ$93,$C489*2+6)</f>
        <v>N</v>
      </c>
      <c r="CK489" s="1" t="str">
        <f t="shared" si="1623"/>
        <v>Market</v>
      </c>
      <c r="CL489" s="1" t="str">
        <f t="shared" si="1624"/>
        <v>Market</v>
      </c>
      <c r="CM489" s="1" t="str">
        <f t="shared" si="1625"/>
        <v>Market</v>
      </c>
      <c r="CN489" s="1" t="str">
        <f t="shared" si="1626"/>
        <v>Market</v>
      </c>
      <c r="CO489" s="1" t="str">
        <f t="shared" si="1627"/>
        <v>Market</v>
      </c>
      <c r="CP489" s="304">
        <f t="shared" si="1628"/>
        <v>0</v>
      </c>
      <c r="CQ489" s="1">
        <f t="shared" si="1629"/>
        <v>0</v>
      </c>
      <c r="CR489" s="1">
        <f t="shared" si="1630"/>
        <v>0</v>
      </c>
      <c r="CS489" s="1">
        <f t="shared" si="1631"/>
        <v>0</v>
      </c>
      <c r="CT489" s="1">
        <f t="shared" si="1632"/>
        <v>1.8999999999999996E-2</v>
      </c>
      <c r="CU489" s="1">
        <f t="shared" si="1633"/>
        <v>3.9E-2</v>
      </c>
      <c r="CV489" s="304">
        <f t="shared" si="1634"/>
        <v>-2217</v>
      </c>
      <c r="CW489" s="20" t="s">
        <v>122</v>
      </c>
      <c r="CX489" s="20" t="s">
        <v>122</v>
      </c>
      <c r="CY489" s="20" t="s">
        <v>122</v>
      </c>
      <c r="CZ489" s="20" t="s">
        <v>122</v>
      </c>
      <c r="DA489" s="20" t="s">
        <v>122</v>
      </c>
      <c r="DB489" s="503">
        <f t="shared" si="1635"/>
        <v>0</v>
      </c>
      <c r="DC489" s="127">
        <v>0</v>
      </c>
      <c r="DD489" s="127">
        <v>0</v>
      </c>
      <c r="DE489" s="127">
        <v>0</v>
      </c>
      <c r="DF489" s="127">
        <v>0</v>
      </c>
      <c r="DG489" s="127">
        <v>0</v>
      </c>
      <c r="DH489" s="127">
        <v>0</v>
      </c>
      <c r="DI489" s="127">
        <v>0</v>
      </c>
      <c r="DJ489" s="127">
        <v>0</v>
      </c>
      <c r="DK489" s="127">
        <v>0</v>
      </c>
      <c r="DL489" s="127">
        <v>0</v>
      </c>
      <c r="DM489" s="304">
        <f>INDEX(Input!$1:$1048576,DM$93,$C489*2+6)</f>
        <v>20731.578947368424</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c r="DZ489" s="7"/>
      <c r="EA489" s="7"/>
      <c r="EB489" s="7"/>
      <c r="EC489" s="7"/>
      <c r="ED489" s="7"/>
      <c r="EE489" s="7"/>
      <c r="EF489" s="7"/>
      <c r="EG489" s="7"/>
      <c r="EH489" s="7"/>
      <c r="EI489" s="7"/>
      <c r="EJ489" s="7"/>
      <c r="EK489" s="7"/>
      <c r="EL489" s="7"/>
      <c r="EM489" s="7"/>
      <c r="EN489" s="7"/>
      <c r="EO489" s="7"/>
      <c r="EP489" s="7"/>
      <c r="EQ489" s="7"/>
      <c r="ER489" s="7"/>
      <c r="ES489" s="7"/>
      <c r="ET489" s="7"/>
      <c r="EU489" s="6"/>
      <c r="EV489" s="6"/>
      <c r="EW489" s="6"/>
      <c r="EX489" s="6"/>
      <c r="EY489" s="6"/>
      <c r="EZ489" s="6"/>
      <c r="FA489" s="6"/>
      <c r="FB489" s="6"/>
      <c r="FC489" s="6"/>
      <c r="FD489" s="6"/>
      <c r="FE489" s="6"/>
      <c r="FF489" s="6"/>
      <c r="FG489" s="6"/>
      <c r="FH489" s="6"/>
      <c r="FI489" s="6"/>
      <c r="FJ489" s="6"/>
      <c r="FK489" s="6"/>
      <c r="FL489" s="6"/>
      <c r="FM489" s="6"/>
      <c r="FN489" s="6"/>
      <c r="FO489" s="6"/>
      <c r="FP489" s="6"/>
      <c r="FQ489" s="6"/>
      <c r="FR489" s="6"/>
      <c r="FS489" s="6"/>
      <c r="FT489" s="7"/>
      <c r="FU489" s="7"/>
      <c r="FV489" s="7"/>
      <c r="FW489" s="6"/>
      <c r="FX489" s="6"/>
      <c r="FY489" s="6"/>
      <c r="FZ489" s="6"/>
      <c r="GA489" s="6"/>
      <c r="GB489" s="6"/>
      <c r="GC489" s="7"/>
      <c r="GD489" s="7"/>
      <c r="GE489" s="7"/>
      <c r="GF489" s="7"/>
      <c r="GG489" s="7"/>
      <c r="GH489" s="42"/>
      <c r="GI489" s="6"/>
      <c r="GJ489" s="14"/>
      <c r="GK489" s="14"/>
      <c r="GL489" s="14"/>
      <c r="GM489" s="14"/>
      <c r="GO489" s="5"/>
      <c r="GP489" s="5"/>
      <c r="GQ489" s="5"/>
      <c r="GR489" s="5"/>
      <c r="GS489" s="5"/>
      <c r="GT489" s="5"/>
      <c r="GU489" s="5"/>
      <c r="GV489" s="39"/>
      <c r="GW489" s="5"/>
      <c r="GX489" s="5"/>
      <c r="GY489" s="5"/>
      <c r="GZ489" s="5"/>
      <c r="HA489" s="5"/>
      <c r="HB489" s="39"/>
      <c r="HC489" s="5"/>
      <c r="HD489" s="5"/>
      <c r="HE489" s="5"/>
      <c r="HF489" s="5"/>
      <c r="HG489" s="5"/>
      <c r="HH489" s="39"/>
      <c r="HI489" s="16"/>
      <c r="HJ489" s="19"/>
      <c r="HK489" s="1"/>
      <c r="HL489" s="16"/>
      <c r="HM489" s="1"/>
      <c r="HN489" s="1"/>
      <c r="HO489" s="1"/>
      <c r="HP489" s="1"/>
      <c r="HQ489" s="1"/>
      <c r="HR489" s="1"/>
      <c r="HS489" s="1"/>
      <c r="HT489" s="1"/>
      <c r="HU489" s="1"/>
      <c r="HV489" s="1"/>
      <c r="HW489" s="1"/>
      <c r="HX489" s="1"/>
      <c r="HY489" s="1"/>
      <c r="HZ489" s="1"/>
      <c r="IA489" s="1"/>
      <c r="IB489" s="1"/>
      <c r="IC489" s="1"/>
      <c r="ID489" s="1"/>
      <c r="IE489" s="1"/>
      <c r="IF489" s="1"/>
      <c r="IG489" s="1"/>
      <c r="IH489" s="21"/>
      <c r="II489" s="19"/>
      <c r="IJ489" s="19"/>
      <c r="IK489" s="19"/>
      <c r="IL489" s="19"/>
      <c r="IM489" s="19"/>
      <c r="IN489" s="19"/>
      <c r="IO489" s="39"/>
      <c r="IP489" s="39"/>
      <c r="IQ489" s="39"/>
      <c r="IR489" s="39"/>
      <c r="IS489" s="39"/>
      <c r="IT489" s="39"/>
      <c r="IU489" s="39"/>
      <c r="IV489" s="39"/>
      <c r="IW489" s="39"/>
      <c r="IX489" s="39"/>
      <c r="IY489" s="39"/>
      <c r="IZ489" s="39"/>
      <c r="JA489" s="19"/>
      <c r="JB489" s="19"/>
      <c r="JC489" s="19"/>
      <c r="JD489" s="19"/>
      <c r="JE489" s="21"/>
      <c r="JF489" s="1"/>
      <c r="JG489" s="15"/>
      <c r="JH489" s="1"/>
      <c r="JI489" s="1"/>
      <c r="JJ489" s="1"/>
      <c r="JK489" s="1"/>
      <c r="JL489" s="15"/>
      <c r="JM489" s="15"/>
      <c r="JN489" s="21"/>
      <c r="JO489" s="19"/>
      <c r="JP489" s="19"/>
      <c r="JQ489" s="39"/>
      <c r="JR489" s="39"/>
      <c r="JS489" s="39"/>
      <c r="JT489" s="39"/>
      <c r="JU489" s="385"/>
      <c r="JV489" s="39"/>
      <c r="JW489" s="1"/>
      <c r="JX489" s="19"/>
      <c r="JZ489" s="341"/>
      <c r="KA489" s="342"/>
      <c r="KB489" s="469"/>
      <c r="KI489" s="473"/>
      <c r="KJ489" s="473"/>
      <c r="KK489" s="473"/>
    </row>
    <row r="490" spans="1:307" s="26" customFormat="1" ht="15" outlineLevel="1">
      <c r="A490" s="561">
        <f t="shared" si="1550"/>
        <v>4090</v>
      </c>
      <c r="B490" s="561">
        <f t="shared" si="1551"/>
        <v>90</v>
      </c>
      <c r="C490" s="561">
        <f t="shared" si="1552"/>
        <v>4</v>
      </c>
      <c r="D490" s="561" t="str">
        <f t="shared" si="1619"/>
        <v/>
      </c>
      <c r="E490" s="475">
        <f>INDEX(Input!$1:$1048576,E$93,$C490*2+MIN($B490,2)+5)
+INDEX(Scenarios!E$121:E$200,MATCH($B490,Scenarios!$B$121:$B$200,0))</f>
        <v>1250</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0</v>
      </c>
      <c r="V490" s="478">
        <f>IFERROR(MAX(0,INDEX(Input!$1:$1048576,V$93,$C490*2+MIN($B490,2)+5)
+INDEX(Scenarios!V$121:V$200,MATCH($B490,Scenarios!$B$121:$B$200,0)),),"Market")</f>
        <v>1.8999999999999996E-2</v>
      </c>
      <c r="W490" s="863">
        <f>IFERROR(MAX(0,INDEX(Input!$1:$1048576,W$93,$C490*2+MIN($B490,2)+5)-0%,),"Market")</f>
        <v>3.9E-2</v>
      </c>
      <c r="X490" s="476" t="str">
        <f>INDEX(Input!$1:$1048576,X$93,$C490*2+MIN($B490,2)+5)</f>
        <v>Y</v>
      </c>
      <c r="Y490" s="475">
        <f>INDEX(Input!$1:$1048576,Y$93,$C490*2+MIN($B490,2)+5)
++INDEX(Scenarios!Y$121:Y$200,MATCH($B490,Scenarios!$B$121:$B$200,0))</f>
        <v>-2217</v>
      </c>
      <c r="Z490" s="477">
        <f>INDEX(Input!$1:$1048576,Z$93,$C490*2+MIN($B490,2)+5)
+INDEX(Scenarios!Z$121:Z$200,MATCH($B490,Scenarios!$B$121:$B$200,0))</f>
        <v>0</v>
      </c>
      <c r="AA490" s="475">
        <f>INDEX(Input!$1:$1048576,AA$93,$C490*2+MIN($B490,2)+5)</f>
        <v>0</v>
      </c>
      <c r="AB490" s="476">
        <f>INDEX(Input!$1:$1048576,AB$93,$C490*2+MIN($B490,2)+5)</f>
        <v>1</v>
      </c>
      <c r="AC490" s="475">
        <f>INDEX(Input!$1:$1048576,AC$93,$C490*2+MIN($B490,2)+5)
+INDEX(Scenarios!AC$121:AC$200,MATCH($B490,Scenarios!$B$121:$B$200,0))</f>
        <v>0</v>
      </c>
      <c r="AD490" s="476">
        <f>INDEX(Input!$1:$1048576,AD$93,$C490*2+MIN($B490,2)+5)</f>
        <v>0.35</v>
      </c>
      <c r="AE490" s="475">
        <f>INDEX(Input!$1:$1048576,AE$93,$C490*2+MIN($B490,2)+5)
+INDEX(Scenarios!AE$121:AE$200,MATCH($B490,Scenarios!$B$121:$B$200,0))</f>
        <v>0</v>
      </c>
      <c r="AF490" s="476">
        <f>INDEX(Input!$1:$1048576,AF$93,$C490*2+MIN($B490,2)+5)</f>
        <v>1</v>
      </c>
      <c r="AG490" s="475">
        <f>INDEX(Input!$1:$1048576,AG$93,$C490*2+MIN($B490,2)+5)
+INDEX(Scenarios!AG$121:AG$200,MATCH($B490,Scenarios!$B$121:$B$200,0))</f>
        <v>0</v>
      </c>
      <c r="AH490" s="476">
        <f>INDEX(Input!$1:$1048576,AH$93,$C490*2+MIN($B490,2)+5)</f>
        <v>1</v>
      </c>
      <c r="AI490" s="475">
        <f>INDEX(Input!$1:$1048576,AI$93,$C490*2+MIN($B490,2)+5)
+INDEX(Scenarios!AI$121:AI$200,MATCH($B490,Scenarios!$B$121:$B$200,0))</f>
        <v>0</v>
      </c>
      <c r="AJ490" s="476">
        <f>INDEX(Input!$1:$1048576,AJ$93,$C490*2+MIN($B490,2)+5)</f>
        <v>0.35</v>
      </c>
      <c r="AK490" s="150">
        <f>ROUND(INDEX(Input!$1:$1048576,AK$93,$C489*2+MIN($B490,1)+5)+(Y490-VLOOKUP($C490*1000+1,$A:$HH,Y$92,FALSE)),0)</f>
        <v>4592</v>
      </c>
      <c r="AL490" s="150">
        <f>ROUND(INDEX(Input!$1:$1048576,AL$93,$C489*2+MIN($B490,1)+5)-(Y490-VLOOKUP($C490*1000+1,$A:$HH,Y$92,FALSE))/36,0)</f>
        <v>4743</v>
      </c>
      <c r="AM490" s="32" t="str">
        <f t="shared" si="1553"/>
        <v>std/std/std/std</v>
      </c>
      <c r="AN490" s="32" t="str">
        <f t="shared" si="1554"/>
        <v>$0 + 0/0/0/1.9/3.9</v>
      </c>
      <c r="AO490" s="32" t="str">
        <f t="shared" si="1555"/>
        <v>0/0/0/1.9/3.9</v>
      </c>
      <c r="AP490" s="32" t="str">
        <f t="shared" si="1621"/>
        <v>0/0.9/1.9/3.9</v>
      </c>
      <c r="AQ490" s="536">
        <f t="shared" si="1620"/>
        <v>0</v>
      </c>
      <c r="AR490" s="32"/>
      <c r="AS490" s="302"/>
      <c r="AT490" s="3">
        <f t="shared" si="1556"/>
        <v>90</v>
      </c>
      <c r="AU490" s="41" t="s">
        <v>121</v>
      </c>
      <c r="AV490" s="41" t="s">
        <v>116</v>
      </c>
      <c r="AW490" s="41" t="str">
        <f>INDEX(Input!$1:$1048576,AW$93,$C490*2+6)</f>
        <v>Kia</v>
      </c>
      <c r="AX490" s="41" t="str">
        <f>INDEX(Input!$1:$1048576,AX$93,$C490*2+6)</f>
        <v>Kia-LR - R1</v>
      </c>
      <c r="AY490" s="41" t="str">
        <f>IF(LEN(D490)=0,"",INDEX(Input!$1:$1048576,AY$93,$C490*2+6))</f>
        <v/>
      </c>
      <c r="AZ490" s="41" t="str">
        <f>INDEX(Input!$1:$1048576,AZ$93,$C490*2+6)</f>
        <v>Kia Forte</v>
      </c>
      <c r="BA490" s="3">
        <f>INDEX(Input!$1:$1048576,BA$93,$C490*2+6)</f>
        <v>2020</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19695</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622"/>
        <v>1250</v>
      </c>
      <c r="CJ490" s="16" t="str">
        <f>INDEX(Input!$1:$1048576,CJ$93,$C490*2+6)</f>
        <v>N</v>
      </c>
      <c r="CK490" s="1" t="str">
        <f t="shared" si="1623"/>
        <v>Market</v>
      </c>
      <c r="CL490" s="1" t="str">
        <f t="shared" si="1624"/>
        <v>Market</v>
      </c>
      <c r="CM490" s="1" t="str">
        <f t="shared" si="1625"/>
        <v>Market</v>
      </c>
      <c r="CN490" s="1" t="str">
        <f t="shared" si="1626"/>
        <v>Market</v>
      </c>
      <c r="CO490" s="1" t="str">
        <f t="shared" si="1627"/>
        <v>Market</v>
      </c>
      <c r="CP490" s="304">
        <f t="shared" si="1628"/>
        <v>0</v>
      </c>
      <c r="CQ490" s="1">
        <f t="shared" si="1629"/>
        <v>0</v>
      </c>
      <c r="CR490" s="1">
        <f t="shared" si="1630"/>
        <v>0</v>
      </c>
      <c r="CS490" s="1">
        <f t="shared" si="1631"/>
        <v>0</v>
      </c>
      <c r="CT490" s="1">
        <f t="shared" si="1632"/>
        <v>1.8999999999999996E-2</v>
      </c>
      <c r="CU490" s="1">
        <f t="shared" si="1633"/>
        <v>3.9E-2</v>
      </c>
      <c r="CV490" s="304">
        <f t="shared" si="1634"/>
        <v>-2217</v>
      </c>
      <c r="CW490" s="20" t="s">
        <v>122</v>
      </c>
      <c r="CX490" s="20" t="s">
        <v>122</v>
      </c>
      <c r="CY490" s="20" t="s">
        <v>122</v>
      </c>
      <c r="CZ490" s="20" t="s">
        <v>122</v>
      </c>
      <c r="DA490" s="20" t="s">
        <v>122</v>
      </c>
      <c r="DB490" s="503">
        <f t="shared" si="1635"/>
        <v>0</v>
      </c>
      <c r="DC490" s="127">
        <v>0</v>
      </c>
      <c r="DD490" s="127">
        <v>0</v>
      </c>
      <c r="DE490" s="127">
        <v>0</v>
      </c>
      <c r="DF490" s="127">
        <v>0</v>
      </c>
      <c r="DG490" s="127">
        <v>0</v>
      </c>
      <c r="DH490" s="127">
        <v>0</v>
      </c>
      <c r="DI490" s="127">
        <v>0</v>
      </c>
      <c r="DJ490" s="127">
        <v>0</v>
      </c>
      <c r="DK490" s="127">
        <v>0</v>
      </c>
      <c r="DL490" s="127">
        <v>0</v>
      </c>
      <c r="DM490" s="304">
        <f>INDEX(Input!$1:$1048576,DM$93,$C490*2+6)</f>
        <v>20731.578947368424</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c r="DZ490" s="7"/>
      <c r="EA490" s="7"/>
      <c r="EB490" s="7"/>
      <c r="EC490" s="7"/>
      <c r="ED490" s="7"/>
      <c r="EE490" s="7"/>
      <c r="EF490" s="7"/>
      <c r="EG490" s="7"/>
      <c r="EH490" s="7"/>
      <c r="EI490" s="7"/>
      <c r="EJ490" s="7"/>
      <c r="EK490" s="7"/>
      <c r="EL490" s="7"/>
      <c r="EM490" s="7"/>
      <c r="EN490" s="7"/>
      <c r="EO490" s="7"/>
      <c r="EP490" s="7"/>
      <c r="EQ490" s="7"/>
      <c r="ER490" s="7"/>
      <c r="ES490" s="7"/>
      <c r="ET490" s="7"/>
      <c r="EU490" s="6"/>
      <c r="EV490" s="6"/>
      <c r="EW490" s="6"/>
      <c r="EX490" s="6"/>
      <c r="EY490" s="6"/>
      <c r="EZ490" s="6"/>
      <c r="FA490" s="6"/>
      <c r="FB490" s="6"/>
      <c r="FC490" s="6"/>
      <c r="FD490" s="6"/>
      <c r="FE490" s="6"/>
      <c r="FF490" s="6"/>
      <c r="FG490" s="6"/>
      <c r="FH490" s="6"/>
      <c r="FI490" s="6"/>
      <c r="FJ490" s="6"/>
      <c r="FK490" s="6"/>
      <c r="FL490" s="6"/>
      <c r="FM490" s="6"/>
      <c r="FN490" s="6"/>
      <c r="FO490" s="6"/>
      <c r="FP490" s="6"/>
      <c r="FQ490" s="6"/>
      <c r="FR490" s="6"/>
      <c r="FS490" s="6"/>
      <c r="FT490" s="7"/>
      <c r="FU490" s="7"/>
      <c r="FV490" s="7"/>
      <c r="FW490" s="6"/>
      <c r="FX490" s="6"/>
      <c r="FY490" s="6"/>
      <c r="FZ490" s="6"/>
      <c r="GA490" s="6"/>
      <c r="GB490" s="6"/>
      <c r="GC490" s="7"/>
      <c r="GD490" s="7"/>
      <c r="GE490" s="7"/>
      <c r="GF490" s="7"/>
      <c r="GG490" s="7"/>
      <c r="GH490" s="42"/>
      <c r="GI490" s="6"/>
      <c r="GJ490" s="14"/>
      <c r="GK490" s="14"/>
      <c r="GL490" s="14"/>
      <c r="GM490" s="14"/>
      <c r="GO490" s="5"/>
      <c r="GP490" s="5"/>
      <c r="GQ490" s="5"/>
      <c r="GR490" s="5"/>
      <c r="GS490" s="5"/>
      <c r="GT490" s="5"/>
      <c r="GU490" s="5"/>
      <c r="GV490" s="39"/>
      <c r="GW490" s="5"/>
      <c r="GX490" s="5"/>
      <c r="GY490" s="5"/>
      <c r="GZ490" s="5"/>
      <c r="HA490" s="5"/>
      <c r="HB490" s="39"/>
      <c r="HC490" s="5"/>
      <c r="HD490" s="5"/>
      <c r="HE490" s="5"/>
      <c r="HF490" s="5"/>
      <c r="HG490" s="5"/>
      <c r="HH490" s="39"/>
      <c r="HI490" s="16"/>
      <c r="HJ490" s="19"/>
      <c r="HK490" s="1"/>
      <c r="HL490" s="16"/>
      <c r="HM490" s="1"/>
      <c r="HN490" s="1"/>
      <c r="HO490" s="1"/>
      <c r="HP490" s="1"/>
      <c r="HQ490" s="1"/>
      <c r="HR490" s="1"/>
      <c r="HS490" s="1"/>
      <c r="HT490" s="1"/>
      <c r="HU490" s="1"/>
      <c r="HV490" s="1"/>
      <c r="HW490" s="1"/>
      <c r="HX490" s="1"/>
      <c r="HY490" s="1"/>
      <c r="HZ490" s="1"/>
      <c r="IA490" s="1"/>
      <c r="IB490" s="1"/>
      <c r="IC490" s="1"/>
      <c r="ID490" s="1"/>
      <c r="IE490" s="1"/>
      <c r="IF490" s="1"/>
      <c r="IG490" s="1"/>
      <c r="IH490" s="21"/>
      <c r="II490" s="19"/>
      <c r="IJ490" s="19"/>
      <c r="IK490" s="19"/>
      <c r="IL490" s="19"/>
      <c r="IM490" s="19"/>
      <c r="IN490" s="19"/>
      <c r="IO490" s="39"/>
      <c r="IP490" s="39"/>
      <c r="IQ490" s="39"/>
      <c r="IR490" s="39"/>
      <c r="IS490" s="39"/>
      <c r="IT490" s="39"/>
      <c r="IU490" s="39"/>
      <c r="IV490" s="39"/>
      <c r="IW490" s="39"/>
      <c r="IX490" s="39"/>
      <c r="IY490" s="39"/>
      <c r="IZ490" s="39"/>
      <c r="JA490" s="19"/>
      <c r="JB490" s="19"/>
      <c r="JC490" s="19"/>
      <c r="JD490" s="19"/>
      <c r="JE490" s="21"/>
      <c r="JF490" s="1"/>
      <c r="JG490" s="15"/>
      <c r="JH490" s="1"/>
      <c r="JI490" s="1"/>
      <c r="JJ490" s="1"/>
      <c r="JK490" s="1"/>
      <c r="JL490" s="15"/>
      <c r="JM490" s="15"/>
      <c r="JN490" s="21"/>
      <c r="JO490" s="19"/>
      <c r="JP490" s="19"/>
      <c r="JQ490" s="39"/>
      <c r="JR490" s="39"/>
      <c r="JS490" s="39"/>
      <c r="JT490" s="39"/>
      <c r="JU490" s="385"/>
      <c r="JV490" s="39"/>
      <c r="JW490" s="1"/>
      <c r="JX490" s="19"/>
      <c r="JZ490" s="341"/>
      <c r="KA490" s="342"/>
      <c r="KB490" s="469"/>
      <c r="KI490" s="473"/>
      <c r="KJ490" s="473"/>
      <c r="KK490" s="473"/>
    </row>
    <row r="491" spans="1:307" s="26" customFormat="1" ht="15" outlineLevel="1">
      <c r="A491" s="561">
        <f t="shared" si="1550"/>
        <v>4091</v>
      </c>
      <c r="B491" s="561">
        <f t="shared" si="1551"/>
        <v>91</v>
      </c>
      <c r="C491" s="561">
        <f t="shared" si="1552"/>
        <v>4</v>
      </c>
      <c r="D491" s="561" t="str">
        <f t="shared" si="1619"/>
        <v/>
      </c>
      <c r="E491" s="475">
        <f>INDEX(Input!$1:$1048576,E$93,$C491*2+MIN($B491,2)+5)
+INDEX(Scenarios!E$121:E$200,MATCH($B491,Scenarios!$B$121:$B$200,0))</f>
        <v>1250</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0</v>
      </c>
      <c r="V491" s="478">
        <f>IFERROR(MAX(0,INDEX(Input!$1:$1048576,V$93,$C491*2+MIN($B491,2)+5)
+INDEX(Scenarios!V$121:V$200,MATCH($B491,Scenarios!$B$121:$B$200,0)),),"Market")</f>
        <v>1.8999999999999996E-2</v>
      </c>
      <c r="W491" s="863">
        <f>IFERROR(MAX(0,INDEX(Input!$1:$1048576,W$93,$C491*2+MIN($B491,2)+5)-0%,),"Market")</f>
        <v>3.9E-2</v>
      </c>
      <c r="X491" s="476" t="str">
        <f>INDEX(Input!$1:$1048576,X$93,$C491*2+MIN($B491,2)+5)</f>
        <v>Y</v>
      </c>
      <c r="Y491" s="475">
        <f>INDEX(Input!$1:$1048576,Y$93,$C491*2+MIN($B491,2)+5)
++INDEX(Scenarios!Y$121:Y$200,MATCH($B491,Scenarios!$B$121:$B$200,0))</f>
        <v>-2217</v>
      </c>
      <c r="Z491" s="477">
        <f>INDEX(Input!$1:$1048576,Z$93,$C491*2+MIN($B491,2)+5)
+INDEX(Scenarios!Z$121:Z$200,MATCH($B491,Scenarios!$B$121:$B$200,0))</f>
        <v>0</v>
      </c>
      <c r="AA491" s="475">
        <f>INDEX(Input!$1:$1048576,AA$93,$C491*2+MIN($B491,2)+5)</f>
        <v>0</v>
      </c>
      <c r="AB491" s="476">
        <f>INDEX(Input!$1:$1048576,AB$93,$C491*2+MIN($B491,2)+5)</f>
        <v>1</v>
      </c>
      <c r="AC491" s="475">
        <f>INDEX(Input!$1:$1048576,AC$93,$C491*2+MIN($B491,2)+5)
+INDEX(Scenarios!AC$121:AC$200,MATCH($B491,Scenarios!$B$121:$B$200,0))</f>
        <v>0</v>
      </c>
      <c r="AD491" s="476">
        <f>INDEX(Input!$1:$1048576,AD$93,$C491*2+MIN($B491,2)+5)</f>
        <v>0.35</v>
      </c>
      <c r="AE491" s="475">
        <f>INDEX(Input!$1:$1048576,AE$93,$C491*2+MIN($B491,2)+5)
+INDEX(Scenarios!AE$121:AE$200,MATCH($B491,Scenarios!$B$121:$B$200,0))</f>
        <v>0</v>
      </c>
      <c r="AF491" s="476">
        <f>INDEX(Input!$1:$1048576,AF$93,$C491*2+MIN($B491,2)+5)</f>
        <v>1</v>
      </c>
      <c r="AG491" s="475">
        <f>INDEX(Input!$1:$1048576,AG$93,$C491*2+MIN($B491,2)+5)
+INDEX(Scenarios!AG$121:AG$200,MATCH($B491,Scenarios!$B$121:$B$200,0))</f>
        <v>0</v>
      </c>
      <c r="AH491" s="476">
        <f>INDEX(Input!$1:$1048576,AH$93,$C491*2+MIN($B491,2)+5)</f>
        <v>1</v>
      </c>
      <c r="AI491" s="475">
        <f>INDEX(Input!$1:$1048576,AI$93,$C491*2+MIN($B491,2)+5)
+INDEX(Scenarios!AI$121:AI$200,MATCH($B491,Scenarios!$B$121:$B$200,0))</f>
        <v>0</v>
      </c>
      <c r="AJ491" s="476">
        <f>INDEX(Input!$1:$1048576,AJ$93,$C491*2+MIN($B491,2)+5)</f>
        <v>0.35</v>
      </c>
      <c r="AK491" s="150">
        <f>ROUND(INDEX(Input!$1:$1048576,AK$93,$C490*2+MIN($B491,1)+5)+(Y491-VLOOKUP($C491*1000+1,$A:$HH,Y$92,FALSE)),0)</f>
        <v>4592</v>
      </c>
      <c r="AL491" s="150">
        <f>ROUND(INDEX(Input!$1:$1048576,AL$93,$C490*2+MIN($B491,1)+5)-(Y491-VLOOKUP($C491*1000+1,$A:$HH,Y$92,FALSE))/36,0)</f>
        <v>4743</v>
      </c>
      <c r="AM491" s="32" t="str">
        <f t="shared" si="1553"/>
        <v>std/std/std/std</v>
      </c>
      <c r="AN491" s="32" t="str">
        <f t="shared" si="1554"/>
        <v>$0 + 0/0/0/1.9/3.9</v>
      </c>
      <c r="AO491" s="32" t="str">
        <f t="shared" si="1555"/>
        <v>0/0/0/1.9/3.9</v>
      </c>
      <c r="AP491" s="32" t="str">
        <f t="shared" si="1621"/>
        <v>0/0.9/1.9/3.9</v>
      </c>
      <c r="AQ491" s="536">
        <f t="shared" si="1620"/>
        <v>0</v>
      </c>
      <c r="AR491" s="32"/>
      <c r="AS491" s="302"/>
      <c r="AT491" s="3">
        <f t="shared" si="1556"/>
        <v>91</v>
      </c>
      <c r="AU491" s="41" t="s">
        <v>121</v>
      </c>
      <c r="AV491" s="41" t="s">
        <v>116</v>
      </c>
      <c r="AW491" s="41" t="str">
        <f>INDEX(Input!$1:$1048576,AW$93,$C491*2+6)</f>
        <v>Kia</v>
      </c>
      <c r="AX491" s="41" t="str">
        <f>INDEX(Input!$1:$1048576,AX$93,$C491*2+6)</f>
        <v>Kia-LR - R1</v>
      </c>
      <c r="AY491" s="41" t="str">
        <f>IF(LEN(D491)=0,"",INDEX(Input!$1:$1048576,AY$93,$C491*2+6))</f>
        <v/>
      </c>
      <c r="AZ491" s="41" t="str">
        <f>INDEX(Input!$1:$1048576,AZ$93,$C491*2+6)</f>
        <v>Kia Forte</v>
      </c>
      <c r="BA491" s="3">
        <f>INDEX(Input!$1:$1048576,BA$93,$C491*2+6)</f>
        <v>2020</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19695</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622"/>
        <v>1250</v>
      </c>
      <c r="CJ491" s="16" t="str">
        <f>INDEX(Input!$1:$1048576,CJ$93,$C491*2+6)</f>
        <v>N</v>
      </c>
      <c r="CK491" s="1" t="str">
        <f t="shared" si="1623"/>
        <v>Market</v>
      </c>
      <c r="CL491" s="1" t="str">
        <f t="shared" si="1624"/>
        <v>Market</v>
      </c>
      <c r="CM491" s="1" t="str">
        <f t="shared" si="1625"/>
        <v>Market</v>
      </c>
      <c r="CN491" s="1" t="str">
        <f t="shared" si="1626"/>
        <v>Market</v>
      </c>
      <c r="CO491" s="1" t="str">
        <f t="shared" si="1627"/>
        <v>Market</v>
      </c>
      <c r="CP491" s="304">
        <f t="shared" si="1628"/>
        <v>0</v>
      </c>
      <c r="CQ491" s="1">
        <f t="shared" si="1629"/>
        <v>0</v>
      </c>
      <c r="CR491" s="1">
        <f t="shared" si="1630"/>
        <v>0</v>
      </c>
      <c r="CS491" s="1">
        <f t="shared" si="1631"/>
        <v>0</v>
      </c>
      <c r="CT491" s="1">
        <f t="shared" si="1632"/>
        <v>1.8999999999999996E-2</v>
      </c>
      <c r="CU491" s="1">
        <f t="shared" si="1633"/>
        <v>3.9E-2</v>
      </c>
      <c r="CV491" s="304">
        <f t="shared" si="1634"/>
        <v>-2217</v>
      </c>
      <c r="CW491" s="20" t="s">
        <v>122</v>
      </c>
      <c r="CX491" s="20" t="s">
        <v>122</v>
      </c>
      <c r="CY491" s="20" t="s">
        <v>122</v>
      </c>
      <c r="CZ491" s="20" t="s">
        <v>122</v>
      </c>
      <c r="DA491" s="20" t="s">
        <v>122</v>
      </c>
      <c r="DB491" s="503">
        <f t="shared" si="1635"/>
        <v>0</v>
      </c>
      <c r="DC491" s="127">
        <v>0</v>
      </c>
      <c r="DD491" s="127">
        <v>0</v>
      </c>
      <c r="DE491" s="127">
        <v>0</v>
      </c>
      <c r="DF491" s="127">
        <v>0</v>
      </c>
      <c r="DG491" s="127">
        <v>0</v>
      </c>
      <c r="DH491" s="127">
        <v>0</v>
      </c>
      <c r="DI491" s="127">
        <v>0</v>
      </c>
      <c r="DJ491" s="127">
        <v>0</v>
      </c>
      <c r="DK491" s="127">
        <v>0</v>
      </c>
      <c r="DL491" s="127">
        <v>0</v>
      </c>
      <c r="DM491" s="304">
        <f>INDEX(Input!$1:$1048576,DM$93,$C491*2+6)</f>
        <v>20731.578947368424</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c r="DZ491" s="7"/>
      <c r="EA491" s="7"/>
      <c r="EB491" s="7"/>
      <c r="EC491" s="7"/>
      <c r="ED491" s="7"/>
      <c r="EE491" s="7"/>
      <c r="EF491" s="7"/>
      <c r="EG491" s="7"/>
      <c r="EH491" s="7"/>
      <c r="EI491" s="7"/>
      <c r="EJ491" s="7"/>
      <c r="EK491" s="7"/>
      <c r="EL491" s="7"/>
      <c r="EM491" s="7"/>
      <c r="EN491" s="7"/>
      <c r="EO491" s="7"/>
      <c r="EP491" s="7"/>
      <c r="EQ491" s="7"/>
      <c r="ER491" s="7"/>
      <c r="ES491" s="7"/>
      <c r="ET491" s="7"/>
      <c r="EU491" s="6"/>
      <c r="EV491" s="6"/>
      <c r="EW491" s="6"/>
      <c r="EX491" s="6"/>
      <c r="EY491" s="6"/>
      <c r="EZ491" s="6"/>
      <c r="FA491" s="6"/>
      <c r="FB491" s="6"/>
      <c r="FC491" s="6"/>
      <c r="FD491" s="6"/>
      <c r="FE491" s="6"/>
      <c r="FF491" s="6"/>
      <c r="FG491" s="6"/>
      <c r="FH491" s="6"/>
      <c r="FI491" s="6"/>
      <c r="FJ491" s="6"/>
      <c r="FK491" s="6"/>
      <c r="FL491" s="6"/>
      <c r="FM491" s="6"/>
      <c r="FN491" s="6"/>
      <c r="FO491" s="6"/>
      <c r="FP491" s="6"/>
      <c r="FQ491" s="6"/>
      <c r="FR491" s="6"/>
      <c r="FS491" s="6"/>
      <c r="FT491" s="7"/>
      <c r="FU491" s="7"/>
      <c r="FV491" s="7"/>
      <c r="FW491" s="6"/>
      <c r="FX491" s="6"/>
      <c r="FY491" s="6"/>
      <c r="FZ491" s="6"/>
      <c r="GA491" s="6"/>
      <c r="GB491" s="6"/>
      <c r="GC491" s="7"/>
      <c r="GD491" s="7"/>
      <c r="GE491" s="7"/>
      <c r="GF491" s="7"/>
      <c r="GG491" s="7"/>
      <c r="GH491" s="42"/>
      <c r="GI491" s="6"/>
      <c r="GJ491" s="14"/>
      <c r="GK491" s="14"/>
      <c r="GL491" s="14"/>
      <c r="GM491" s="14"/>
      <c r="GO491" s="5"/>
      <c r="GP491" s="5"/>
      <c r="GQ491" s="5"/>
      <c r="GR491" s="5"/>
      <c r="GS491" s="5"/>
      <c r="GT491" s="5"/>
      <c r="GU491" s="5"/>
      <c r="GV491" s="39"/>
      <c r="GW491" s="5"/>
      <c r="GX491" s="5"/>
      <c r="GY491" s="5"/>
      <c r="GZ491" s="5"/>
      <c r="HA491" s="5"/>
      <c r="HB491" s="39"/>
      <c r="HC491" s="5"/>
      <c r="HD491" s="5"/>
      <c r="HE491" s="5"/>
      <c r="HF491" s="5"/>
      <c r="HG491" s="5"/>
      <c r="HH491" s="39"/>
      <c r="HI491" s="16"/>
      <c r="HJ491" s="19"/>
      <c r="HK491" s="1"/>
      <c r="HL491" s="16"/>
      <c r="HM491" s="1"/>
      <c r="HN491" s="1"/>
      <c r="HO491" s="1"/>
      <c r="HP491" s="1"/>
      <c r="HQ491" s="1"/>
      <c r="HR491" s="1"/>
      <c r="HS491" s="1"/>
      <c r="HT491" s="1"/>
      <c r="HU491" s="1"/>
      <c r="HV491" s="1"/>
      <c r="HW491" s="1"/>
      <c r="HX491" s="1"/>
      <c r="HY491" s="1"/>
      <c r="HZ491" s="1"/>
      <c r="IA491" s="1"/>
      <c r="IB491" s="1"/>
      <c r="IC491" s="1"/>
      <c r="ID491" s="1"/>
      <c r="IE491" s="1"/>
      <c r="IF491" s="1"/>
      <c r="IG491" s="1"/>
      <c r="IH491" s="21"/>
      <c r="II491" s="19"/>
      <c r="IJ491" s="19"/>
      <c r="IK491" s="19"/>
      <c r="IL491" s="19"/>
      <c r="IM491" s="19"/>
      <c r="IN491" s="19"/>
      <c r="IO491" s="39"/>
      <c r="IP491" s="39"/>
      <c r="IQ491" s="39"/>
      <c r="IR491" s="39"/>
      <c r="IS491" s="39"/>
      <c r="IT491" s="39"/>
      <c r="IU491" s="39"/>
      <c r="IV491" s="39"/>
      <c r="IW491" s="39"/>
      <c r="IX491" s="39"/>
      <c r="IY491" s="39"/>
      <c r="IZ491" s="39"/>
      <c r="JA491" s="19"/>
      <c r="JB491" s="19"/>
      <c r="JC491" s="19"/>
      <c r="JD491" s="19"/>
      <c r="JE491" s="21"/>
      <c r="JF491" s="1"/>
      <c r="JG491" s="15"/>
      <c r="JH491" s="1"/>
      <c r="JI491" s="1"/>
      <c r="JJ491" s="1"/>
      <c r="JK491" s="1"/>
      <c r="JL491" s="15"/>
      <c r="JM491" s="15"/>
      <c r="JN491" s="21"/>
      <c r="JO491" s="19"/>
      <c r="JP491" s="19"/>
      <c r="JQ491" s="39"/>
      <c r="JR491" s="39"/>
      <c r="JS491" s="39"/>
      <c r="JT491" s="39"/>
      <c r="JU491" s="385"/>
      <c r="JV491" s="39"/>
      <c r="JW491" s="1"/>
      <c r="JX491" s="19"/>
      <c r="JZ491" s="341"/>
      <c r="KA491" s="342"/>
      <c r="KB491" s="469"/>
      <c r="KI491" s="473"/>
      <c r="KJ491" s="473"/>
      <c r="KK491" s="473"/>
    </row>
    <row r="492" spans="1:307" s="26" customFormat="1" ht="15" outlineLevel="1">
      <c r="A492" s="561">
        <f t="shared" si="1550"/>
        <v>4092</v>
      </c>
      <c r="B492" s="561">
        <f t="shared" si="1551"/>
        <v>92</v>
      </c>
      <c r="C492" s="561">
        <f t="shared" si="1552"/>
        <v>4</v>
      </c>
      <c r="D492" s="561" t="str">
        <f t="shared" si="1619"/>
        <v/>
      </c>
      <c r="E492" s="475">
        <f>INDEX(Input!$1:$1048576,E$93,$C492*2+MIN($B492,2)+5)
+INDEX(Scenarios!E$121:E$200,MATCH($B492,Scenarios!$B$121:$B$200,0))</f>
        <v>1250</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0</v>
      </c>
      <c r="V492" s="478">
        <f>IFERROR(MAX(0,INDEX(Input!$1:$1048576,V$93,$C492*2+MIN($B492,2)+5)
+INDEX(Scenarios!V$121:V$200,MATCH($B492,Scenarios!$B$121:$B$200,0)),),"Market")</f>
        <v>1.8999999999999996E-2</v>
      </c>
      <c r="W492" s="863">
        <f>IFERROR(MAX(0,INDEX(Input!$1:$1048576,W$93,$C492*2+MIN($B492,2)+5)-0%,),"Market")</f>
        <v>3.9E-2</v>
      </c>
      <c r="X492" s="476" t="str">
        <f>INDEX(Input!$1:$1048576,X$93,$C492*2+MIN($B492,2)+5)</f>
        <v>Y</v>
      </c>
      <c r="Y492" s="475">
        <f>INDEX(Input!$1:$1048576,Y$93,$C492*2+MIN($B492,2)+5)
++INDEX(Scenarios!Y$121:Y$200,MATCH($B492,Scenarios!$B$121:$B$200,0))</f>
        <v>-2217</v>
      </c>
      <c r="Z492" s="477">
        <f>INDEX(Input!$1:$1048576,Z$93,$C492*2+MIN($B492,2)+5)
+INDEX(Scenarios!Z$121:Z$200,MATCH($B492,Scenarios!$B$121:$B$200,0))</f>
        <v>0</v>
      </c>
      <c r="AA492" s="475">
        <f>INDEX(Input!$1:$1048576,AA$93,$C492*2+MIN($B492,2)+5)</f>
        <v>0</v>
      </c>
      <c r="AB492" s="476">
        <f>INDEX(Input!$1:$1048576,AB$93,$C492*2+MIN($B492,2)+5)</f>
        <v>1</v>
      </c>
      <c r="AC492" s="475">
        <f>INDEX(Input!$1:$1048576,AC$93,$C492*2+MIN($B492,2)+5)
+INDEX(Scenarios!AC$121:AC$200,MATCH($B492,Scenarios!$B$121:$B$200,0))</f>
        <v>0</v>
      </c>
      <c r="AD492" s="476">
        <f>INDEX(Input!$1:$1048576,AD$93,$C492*2+MIN($B492,2)+5)</f>
        <v>0.35</v>
      </c>
      <c r="AE492" s="475">
        <f>INDEX(Input!$1:$1048576,AE$93,$C492*2+MIN($B492,2)+5)
+INDEX(Scenarios!AE$121:AE$200,MATCH($B492,Scenarios!$B$121:$B$200,0))</f>
        <v>0</v>
      </c>
      <c r="AF492" s="476">
        <f>INDEX(Input!$1:$1048576,AF$93,$C492*2+MIN($B492,2)+5)</f>
        <v>1</v>
      </c>
      <c r="AG492" s="475">
        <f>INDEX(Input!$1:$1048576,AG$93,$C492*2+MIN($B492,2)+5)
+INDEX(Scenarios!AG$121:AG$200,MATCH($B492,Scenarios!$B$121:$B$200,0))</f>
        <v>0</v>
      </c>
      <c r="AH492" s="476">
        <f>INDEX(Input!$1:$1048576,AH$93,$C492*2+MIN($B492,2)+5)</f>
        <v>1</v>
      </c>
      <c r="AI492" s="475">
        <f>INDEX(Input!$1:$1048576,AI$93,$C492*2+MIN($B492,2)+5)
+INDEX(Scenarios!AI$121:AI$200,MATCH($B492,Scenarios!$B$121:$B$200,0))</f>
        <v>0</v>
      </c>
      <c r="AJ492" s="476">
        <f>INDEX(Input!$1:$1048576,AJ$93,$C492*2+MIN($B492,2)+5)</f>
        <v>0.35</v>
      </c>
      <c r="AK492" s="150">
        <f>ROUND(INDEX(Input!$1:$1048576,AK$93,$C491*2+MIN($B492,1)+5)+(Y492-VLOOKUP($C492*1000+1,$A:$HH,Y$92,FALSE)),0)</f>
        <v>4592</v>
      </c>
      <c r="AL492" s="150">
        <f>ROUND(INDEX(Input!$1:$1048576,AL$93,$C491*2+MIN($B492,1)+5)-(Y492-VLOOKUP($C492*1000+1,$A:$HH,Y$92,FALSE))/36,0)</f>
        <v>4743</v>
      </c>
      <c r="AM492" s="32" t="str">
        <f t="shared" si="1553"/>
        <v>std/std/std/std</v>
      </c>
      <c r="AN492" s="32" t="str">
        <f t="shared" si="1554"/>
        <v>$0 + 0/0/0/1.9/3.9</v>
      </c>
      <c r="AO492" s="32" t="str">
        <f t="shared" si="1555"/>
        <v>0/0/0/1.9/3.9</v>
      </c>
      <c r="AP492" s="32" t="str">
        <f t="shared" si="1621"/>
        <v>0/0.9/1.9/3.9</v>
      </c>
      <c r="AQ492" s="536">
        <f t="shared" si="1620"/>
        <v>0</v>
      </c>
      <c r="AR492" s="32"/>
      <c r="AS492" s="302"/>
      <c r="AT492" s="3">
        <f t="shared" si="1556"/>
        <v>92</v>
      </c>
      <c r="AU492" s="41" t="s">
        <v>121</v>
      </c>
      <c r="AV492" s="41" t="s">
        <v>116</v>
      </c>
      <c r="AW492" s="41" t="str">
        <f>INDEX(Input!$1:$1048576,AW$93,$C492*2+6)</f>
        <v>Kia</v>
      </c>
      <c r="AX492" s="41" t="str">
        <f>INDEX(Input!$1:$1048576,AX$93,$C492*2+6)</f>
        <v>Kia-LR - R1</v>
      </c>
      <c r="AY492" s="41" t="str">
        <f>IF(LEN(D492)=0,"",INDEX(Input!$1:$1048576,AY$93,$C492*2+6))</f>
        <v/>
      </c>
      <c r="AZ492" s="41" t="str">
        <f>INDEX(Input!$1:$1048576,AZ$93,$C492*2+6)</f>
        <v>Kia Forte</v>
      </c>
      <c r="BA492" s="3">
        <f>INDEX(Input!$1:$1048576,BA$93,$C492*2+6)</f>
        <v>2020</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19695</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622"/>
        <v>1250</v>
      </c>
      <c r="CJ492" s="16" t="str">
        <f>INDEX(Input!$1:$1048576,CJ$93,$C492*2+6)</f>
        <v>N</v>
      </c>
      <c r="CK492" s="1" t="str">
        <f t="shared" si="1623"/>
        <v>Market</v>
      </c>
      <c r="CL492" s="1" t="str">
        <f t="shared" si="1624"/>
        <v>Market</v>
      </c>
      <c r="CM492" s="1" t="str">
        <f t="shared" si="1625"/>
        <v>Market</v>
      </c>
      <c r="CN492" s="1" t="str">
        <f t="shared" si="1626"/>
        <v>Market</v>
      </c>
      <c r="CO492" s="1" t="str">
        <f t="shared" si="1627"/>
        <v>Market</v>
      </c>
      <c r="CP492" s="304">
        <f t="shared" si="1628"/>
        <v>0</v>
      </c>
      <c r="CQ492" s="1">
        <f t="shared" si="1629"/>
        <v>0</v>
      </c>
      <c r="CR492" s="1">
        <f t="shared" si="1630"/>
        <v>0</v>
      </c>
      <c r="CS492" s="1">
        <f t="shared" si="1631"/>
        <v>0</v>
      </c>
      <c r="CT492" s="1">
        <f t="shared" si="1632"/>
        <v>1.8999999999999996E-2</v>
      </c>
      <c r="CU492" s="1">
        <f t="shared" si="1633"/>
        <v>3.9E-2</v>
      </c>
      <c r="CV492" s="304">
        <f t="shared" si="1634"/>
        <v>-2217</v>
      </c>
      <c r="CW492" s="20" t="s">
        <v>122</v>
      </c>
      <c r="CX492" s="20" t="s">
        <v>122</v>
      </c>
      <c r="CY492" s="20" t="s">
        <v>122</v>
      </c>
      <c r="CZ492" s="20" t="s">
        <v>122</v>
      </c>
      <c r="DA492" s="20" t="s">
        <v>122</v>
      </c>
      <c r="DB492" s="503">
        <f t="shared" si="1635"/>
        <v>0</v>
      </c>
      <c r="DC492" s="127">
        <v>0</v>
      </c>
      <c r="DD492" s="127">
        <v>0</v>
      </c>
      <c r="DE492" s="127">
        <v>0</v>
      </c>
      <c r="DF492" s="127">
        <v>0</v>
      </c>
      <c r="DG492" s="127">
        <v>0</v>
      </c>
      <c r="DH492" s="127">
        <v>0</v>
      </c>
      <c r="DI492" s="127">
        <v>0</v>
      </c>
      <c r="DJ492" s="127">
        <v>0</v>
      </c>
      <c r="DK492" s="127">
        <v>0</v>
      </c>
      <c r="DL492" s="127">
        <v>0</v>
      </c>
      <c r="DM492" s="304">
        <f>INDEX(Input!$1:$1048576,DM$93,$C492*2+6)</f>
        <v>20731.578947368424</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c r="DZ492" s="7"/>
      <c r="EA492" s="7"/>
      <c r="EB492" s="7"/>
      <c r="EC492" s="7"/>
      <c r="ED492" s="7"/>
      <c r="EE492" s="7"/>
      <c r="EF492" s="7"/>
      <c r="EG492" s="7"/>
      <c r="EH492" s="7"/>
      <c r="EI492" s="7"/>
      <c r="EJ492" s="7"/>
      <c r="EK492" s="7"/>
      <c r="EL492" s="7"/>
      <c r="EM492" s="7"/>
      <c r="EN492" s="7"/>
      <c r="EO492" s="7"/>
      <c r="EP492" s="7"/>
      <c r="EQ492" s="7"/>
      <c r="ER492" s="7"/>
      <c r="ES492" s="7"/>
      <c r="ET492" s="7"/>
      <c r="EU492" s="6"/>
      <c r="EV492" s="6"/>
      <c r="EW492" s="6"/>
      <c r="EX492" s="6"/>
      <c r="EY492" s="6"/>
      <c r="EZ492" s="6"/>
      <c r="FA492" s="6"/>
      <c r="FB492" s="6"/>
      <c r="FC492" s="6"/>
      <c r="FD492" s="6"/>
      <c r="FE492" s="6"/>
      <c r="FF492" s="6"/>
      <c r="FG492" s="6"/>
      <c r="FH492" s="6"/>
      <c r="FI492" s="6"/>
      <c r="FJ492" s="6"/>
      <c r="FK492" s="6"/>
      <c r="FL492" s="6"/>
      <c r="FM492" s="6"/>
      <c r="FN492" s="6"/>
      <c r="FO492" s="6"/>
      <c r="FP492" s="6"/>
      <c r="FQ492" s="6"/>
      <c r="FR492" s="6"/>
      <c r="FS492" s="6"/>
      <c r="FT492" s="7"/>
      <c r="FU492" s="7"/>
      <c r="FV492" s="7"/>
      <c r="FW492" s="6"/>
      <c r="FX492" s="6"/>
      <c r="FY492" s="6"/>
      <c r="FZ492" s="6"/>
      <c r="GA492" s="6"/>
      <c r="GB492" s="6"/>
      <c r="GC492" s="7"/>
      <c r="GD492" s="7"/>
      <c r="GE492" s="7"/>
      <c r="GF492" s="7"/>
      <c r="GG492" s="7"/>
      <c r="GH492" s="42"/>
      <c r="GI492" s="6"/>
      <c r="GJ492" s="14"/>
      <c r="GK492" s="14"/>
      <c r="GL492" s="14"/>
      <c r="GM492" s="14"/>
      <c r="GO492" s="5"/>
      <c r="GP492" s="5"/>
      <c r="GQ492" s="5"/>
      <c r="GR492" s="5"/>
      <c r="GS492" s="5"/>
      <c r="GT492" s="5"/>
      <c r="GU492" s="5"/>
      <c r="GV492" s="39"/>
      <c r="GW492" s="5"/>
      <c r="GX492" s="5"/>
      <c r="GY492" s="5"/>
      <c r="GZ492" s="5"/>
      <c r="HA492" s="5"/>
      <c r="HB492" s="39"/>
      <c r="HC492" s="5"/>
      <c r="HD492" s="5"/>
      <c r="HE492" s="5"/>
      <c r="HF492" s="5"/>
      <c r="HG492" s="5"/>
      <c r="HH492" s="39"/>
      <c r="HI492" s="16"/>
      <c r="HJ492" s="19"/>
      <c r="HK492" s="1"/>
      <c r="HL492" s="16"/>
      <c r="HM492" s="1"/>
      <c r="HN492" s="1"/>
      <c r="HO492" s="1"/>
      <c r="HP492" s="1"/>
      <c r="HQ492" s="1"/>
      <c r="HR492" s="1"/>
      <c r="HS492" s="1"/>
      <c r="HT492" s="1"/>
      <c r="HU492" s="1"/>
      <c r="HV492" s="1"/>
      <c r="HW492" s="1"/>
      <c r="HX492" s="1"/>
      <c r="HY492" s="1"/>
      <c r="HZ492" s="1"/>
      <c r="IA492" s="1"/>
      <c r="IB492" s="1"/>
      <c r="IC492" s="1"/>
      <c r="ID492" s="1"/>
      <c r="IE492" s="1"/>
      <c r="IF492" s="1"/>
      <c r="IG492" s="1"/>
      <c r="IH492" s="21"/>
      <c r="II492" s="19"/>
      <c r="IJ492" s="19"/>
      <c r="IK492" s="19"/>
      <c r="IL492" s="19"/>
      <c r="IM492" s="19"/>
      <c r="IN492" s="19"/>
      <c r="IO492" s="39"/>
      <c r="IP492" s="39"/>
      <c r="IQ492" s="39"/>
      <c r="IR492" s="39"/>
      <c r="IS492" s="39"/>
      <c r="IT492" s="39"/>
      <c r="IU492" s="39"/>
      <c r="IV492" s="39"/>
      <c r="IW492" s="39"/>
      <c r="IX492" s="39"/>
      <c r="IY492" s="39"/>
      <c r="IZ492" s="39"/>
      <c r="JA492" s="19"/>
      <c r="JB492" s="19"/>
      <c r="JC492" s="19"/>
      <c r="JD492" s="19"/>
      <c r="JE492" s="21"/>
      <c r="JF492" s="1"/>
      <c r="JG492" s="15"/>
      <c r="JH492" s="1"/>
      <c r="JI492" s="1"/>
      <c r="JJ492" s="1"/>
      <c r="JK492" s="1"/>
      <c r="JL492" s="15"/>
      <c r="JM492" s="15"/>
      <c r="JN492" s="21"/>
      <c r="JO492" s="19"/>
      <c r="JP492" s="19"/>
      <c r="JQ492" s="39"/>
      <c r="JR492" s="39"/>
      <c r="JS492" s="39"/>
      <c r="JT492" s="39"/>
      <c r="JU492" s="385"/>
      <c r="JV492" s="39"/>
      <c r="JW492" s="1"/>
      <c r="JX492" s="19"/>
      <c r="JZ492" s="341"/>
      <c r="KA492" s="342"/>
      <c r="KB492" s="469"/>
      <c r="KI492" s="473"/>
      <c r="KJ492" s="473"/>
      <c r="KK492" s="473"/>
    </row>
    <row r="493" spans="1:307" s="26" customFormat="1" ht="15" outlineLevel="1">
      <c r="A493" s="561">
        <f t="shared" si="1550"/>
        <v>4093</v>
      </c>
      <c r="B493" s="561">
        <f t="shared" si="1551"/>
        <v>93</v>
      </c>
      <c r="C493" s="561">
        <f t="shared" si="1552"/>
        <v>4</v>
      </c>
      <c r="D493" s="561" t="str">
        <f t="shared" si="1619"/>
        <v/>
      </c>
      <c r="E493" s="475">
        <f>INDEX(Input!$1:$1048576,E$93,$C493*2+MIN($B493,2)+5)
+INDEX(Scenarios!E$121:E$200,MATCH($B493,Scenarios!$B$121:$B$200,0))</f>
        <v>1250</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1.8999999999999996E-2</v>
      </c>
      <c r="W493" s="863">
        <f>IFERROR(MAX(0,INDEX(Input!$1:$1048576,W$93,$C493*2+MIN($B493,2)+5)-0%,),"Market")</f>
        <v>3.9E-2</v>
      </c>
      <c r="X493" s="476" t="str">
        <f>INDEX(Input!$1:$1048576,X$93,$C493*2+MIN($B493,2)+5)</f>
        <v>Y</v>
      </c>
      <c r="Y493" s="475">
        <f>INDEX(Input!$1:$1048576,Y$93,$C493*2+MIN($B493,2)+5)
++INDEX(Scenarios!Y$121:Y$200,MATCH($B493,Scenarios!$B$121:$B$200,0))</f>
        <v>-2217</v>
      </c>
      <c r="Z493" s="477">
        <f>INDEX(Input!$1:$1048576,Z$93,$C493*2+MIN($B493,2)+5)
+INDEX(Scenarios!Z$121:Z$200,MATCH($B493,Scenarios!$B$121:$B$200,0))</f>
        <v>0</v>
      </c>
      <c r="AA493" s="475">
        <f>INDEX(Input!$1:$1048576,AA$93,$C493*2+MIN($B493,2)+5)</f>
        <v>0</v>
      </c>
      <c r="AB493" s="476">
        <f>INDEX(Input!$1:$1048576,AB$93,$C493*2+MIN($B493,2)+5)</f>
        <v>1</v>
      </c>
      <c r="AC493" s="475">
        <f>INDEX(Input!$1:$1048576,AC$93,$C493*2+MIN($B493,2)+5)
+INDEX(Scenarios!AC$121:AC$200,MATCH($B493,Scenarios!$B$121:$B$200,0))</f>
        <v>0</v>
      </c>
      <c r="AD493" s="476">
        <f>INDEX(Input!$1:$1048576,AD$93,$C493*2+MIN($B493,2)+5)</f>
        <v>0.35</v>
      </c>
      <c r="AE493" s="475">
        <f>INDEX(Input!$1:$1048576,AE$93,$C493*2+MIN($B493,2)+5)
+INDEX(Scenarios!AE$121:AE$200,MATCH($B493,Scenarios!$B$121:$B$200,0))</f>
        <v>0</v>
      </c>
      <c r="AF493" s="476">
        <f>INDEX(Input!$1:$1048576,AF$93,$C493*2+MIN($B493,2)+5)</f>
        <v>1</v>
      </c>
      <c r="AG493" s="475">
        <f>INDEX(Input!$1:$1048576,AG$93,$C493*2+MIN($B493,2)+5)
+INDEX(Scenarios!AG$121:AG$200,MATCH($B493,Scenarios!$B$121:$B$200,0))</f>
        <v>0</v>
      </c>
      <c r="AH493" s="476">
        <f>INDEX(Input!$1:$1048576,AH$93,$C493*2+MIN($B493,2)+5)</f>
        <v>1</v>
      </c>
      <c r="AI493" s="475">
        <f>INDEX(Input!$1:$1048576,AI$93,$C493*2+MIN($B493,2)+5)
+INDEX(Scenarios!AI$121:AI$200,MATCH($B493,Scenarios!$B$121:$B$200,0))</f>
        <v>0</v>
      </c>
      <c r="AJ493" s="476">
        <f>INDEX(Input!$1:$1048576,AJ$93,$C493*2+MIN($B493,2)+5)</f>
        <v>0.35</v>
      </c>
      <c r="AK493" s="150">
        <f>ROUND(INDEX(Input!$1:$1048576,AK$93,$C492*2+MIN($B493,1)+5)+(Y493-VLOOKUP($C493*1000+1,$A:$HH,Y$92,FALSE)),0)</f>
        <v>4592</v>
      </c>
      <c r="AL493" s="150">
        <f>ROUND(INDEX(Input!$1:$1048576,AL$93,$C492*2+MIN($B493,1)+5)-(Y493-VLOOKUP($C493*1000+1,$A:$HH,Y$92,FALSE))/36,0)</f>
        <v>4743</v>
      </c>
      <c r="AM493" s="32" t="str">
        <f t="shared" si="1553"/>
        <v>std/std/std/std</v>
      </c>
      <c r="AN493" s="32" t="str">
        <f t="shared" si="1554"/>
        <v>$0 + 0/0/0/1.9/3.9</v>
      </c>
      <c r="AO493" s="32" t="str">
        <f t="shared" si="1555"/>
        <v>0/0/0/1.9/3.9</v>
      </c>
      <c r="AP493" s="32" t="str">
        <f t="shared" si="1621"/>
        <v>0/0.9/1.9/3.9</v>
      </c>
      <c r="AQ493" s="536">
        <f t="shared" si="1620"/>
        <v>0</v>
      </c>
      <c r="AR493" s="32"/>
      <c r="AS493" s="302"/>
      <c r="AT493" s="3">
        <f t="shared" si="1556"/>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Forte</v>
      </c>
      <c r="BA493" s="3">
        <f>INDEX(Input!$1:$1048576,BA$93,$C493*2+6)</f>
        <v>2020</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19695</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622"/>
        <v>1250</v>
      </c>
      <c r="CJ493" s="16" t="str">
        <f>INDEX(Input!$1:$1048576,CJ$93,$C493*2+6)</f>
        <v>N</v>
      </c>
      <c r="CK493" s="1" t="str">
        <f t="shared" si="1623"/>
        <v>Market</v>
      </c>
      <c r="CL493" s="1" t="str">
        <f t="shared" si="1624"/>
        <v>Market</v>
      </c>
      <c r="CM493" s="1" t="str">
        <f t="shared" si="1625"/>
        <v>Market</v>
      </c>
      <c r="CN493" s="1" t="str">
        <f t="shared" si="1626"/>
        <v>Market</v>
      </c>
      <c r="CO493" s="1" t="str">
        <f t="shared" si="1627"/>
        <v>Market</v>
      </c>
      <c r="CP493" s="304">
        <f t="shared" si="1628"/>
        <v>0</v>
      </c>
      <c r="CQ493" s="1">
        <f t="shared" si="1629"/>
        <v>0</v>
      </c>
      <c r="CR493" s="1">
        <f t="shared" si="1630"/>
        <v>0</v>
      </c>
      <c r="CS493" s="1">
        <f t="shared" si="1631"/>
        <v>0</v>
      </c>
      <c r="CT493" s="1">
        <f t="shared" si="1632"/>
        <v>1.8999999999999996E-2</v>
      </c>
      <c r="CU493" s="1">
        <f t="shared" si="1633"/>
        <v>3.9E-2</v>
      </c>
      <c r="CV493" s="304">
        <f t="shared" si="1634"/>
        <v>-2217</v>
      </c>
      <c r="CW493" s="20" t="s">
        <v>122</v>
      </c>
      <c r="CX493" s="20" t="s">
        <v>122</v>
      </c>
      <c r="CY493" s="20" t="s">
        <v>122</v>
      </c>
      <c r="CZ493" s="20" t="s">
        <v>122</v>
      </c>
      <c r="DA493" s="20" t="s">
        <v>122</v>
      </c>
      <c r="DB493" s="503">
        <f t="shared" si="1635"/>
        <v>0</v>
      </c>
      <c r="DC493" s="127">
        <v>0</v>
      </c>
      <c r="DD493" s="127">
        <v>0</v>
      </c>
      <c r="DE493" s="127">
        <v>0</v>
      </c>
      <c r="DF493" s="127">
        <v>0</v>
      </c>
      <c r="DG493" s="127">
        <v>0</v>
      </c>
      <c r="DH493" s="127">
        <v>0</v>
      </c>
      <c r="DI493" s="127">
        <v>0</v>
      </c>
      <c r="DJ493" s="127">
        <v>0</v>
      </c>
      <c r="DK493" s="127">
        <v>0</v>
      </c>
      <c r="DL493" s="127">
        <v>0</v>
      </c>
      <c r="DM493" s="304">
        <f>INDEX(Input!$1:$1048576,DM$93,$C493*2+6)</f>
        <v>20731.578947368424</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550"/>
        <v>4094</v>
      </c>
      <c r="B494" s="561">
        <f t="shared" si="1551"/>
        <v>94</v>
      </c>
      <c r="C494" s="561">
        <f t="shared" si="1552"/>
        <v>4</v>
      </c>
      <c r="D494" s="561" t="str">
        <f t="shared" si="1619"/>
        <v/>
      </c>
      <c r="E494" s="475">
        <f>INDEX(Input!$1:$1048576,E$93,$C494*2+MIN($B494,2)+5)
+INDEX(Scenarios!E$121:E$200,MATCH($B494,Scenarios!$B$121:$B$200,0))</f>
        <v>1250</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1.8999999999999996E-2</v>
      </c>
      <c r="W494" s="863">
        <f>IFERROR(MAX(0,INDEX(Input!$1:$1048576,W$93,$C494*2+MIN($B494,2)+5)-0%,),"Market")</f>
        <v>3.9E-2</v>
      </c>
      <c r="X494" s="476" t="str">
        <f>INDEX(Input!$1:$1048576,X$93,$C494*2+MIN($B494,2)+5)</f>
        <v>Y</v>
      </c>
      <c r="Y494" s="475">
        <f>INDEX(Input!$1:$1048576,Y$93,$C494*2+MIN($B494,2)+5)
++INDEX(Scenarios!Y$121:Y$200,MATCH($B494,Scenarios!$B$121:$B$200,0))</f>
        <v>-2217</v>
      </c>
      <c r="Z494" s="477">
        <f>INDEX(Input!$1:$1048576,Z$93,$C494*2+MIN($B494,2)+5)
+INDEX(Scenarios!Z$121:Z$200,MATCH($B494,Scenarios!$B$121:$B$200,0))</f>
        <v>0</v>
      </c>
      <c r="AA494" s="475">
        <f>INDEX(Input!$1:$1048576,AA$93,$C494*2+MIN($B494,2)+5)</f>
        <v>0</v>
      </c>
      <c r="AB494" s="476">
        <f>INDEX(Input!$1:$1048576,AB$93,$C494*2+MIN($B494,2)+5)</f>
        <v>1</v>
      </c>
      <c r="AC494" s="475">
        <f>INDEX(Input!$1:$1048576,AC$93,$C494*2+MIN($B494,2)+5)
+INDEX(Scenarios!AC$121:AC$200,MATCH($B494,Scenarios!$B$121:$B$200,0))</f>
        <v>0</v>
      </c>
      <c r="AD494" s="476">
        <f>INDEX(Input!$1:$1048576,AD$93,$C494*2+MIN($B494,2)+5)</f>
        <v>0.35</v>
      </c>
      <c r="AE494" s="475">
        <f>INDEX(Input!$1:$1048576,AE$93,$C494*2+MIN($B494,2)+5)
+INDEX(Scenarios!AE$121:AE$200,MATCH($B494,Scenarios!$B$121:$B$200,0))</f>
        <v>0</v>
      </c>
      <c r="AF494" s="476">
        <f>INDEX(Input!$1:$1048576,AF$93,$C494*2+MIN($B494,2)+5)</f>
        <v>1</v>
      </c>
      <c r="AG494" s="475">
        <f>INDEX(Input!$1:$1048576,AG$93,$C494*2+MIN($B494,2)+5)
+INDEX(Scenarios!AG$121:AG$200,MATCH($B494,Scenarios!$B$121:$B$200,0))</f>
        <v>0</v>
      </c>
      <c r="AH494" s="476">
        <f>INDEX(Input!$1:$1048576,AH$93,$C494*2+MIN($B494,2)+5)</f>
        <v>1</v>
      </c>
      <c r="AI494" s="475">
        <f>INDEX(Input!$1:$1048576,AI$93,$C494*2+MIN($B494,2)+5)
+INDEX(Scenarios!AI$121:AI$200,MATCH($B494,Scenarios!$B$121:$B$200,0))</f>
        <v>0</v>
      </c>
      <c r="AJ494" s="476">
        <f>INDEX(Input!$1:$1048576,AJ$93,$C494*2+MIN($B494,2)+5)</f>
        <v>0.35</v>
      </c>
      <c r="AK494" s="150">
        <f>ROUND(INDEX(Input!$1:$1048576,AK$93,$C493*2+MIN($B494,1)+5)+(Y494-VLOOKUP($C494*1000+1,$A:$HH,Y$92,FALSE)),0)</f>
        <v>4592</v>
      </c>
      <c r="AL494" s="150">
        <f>ROUND(INDEX(Input!$1:$1048576,AL$93,$C493*2+MIN($B494,1)+5)-(Y494-VLOOKUP($C494*1000+1,$A:$HH,Y$92,FALSE))/36,0)</f>
        <v>4743</v>
      </c>
      <c r="AM494" s="32" t="str">
        <f t="shared" si="1553"/>
        <v>std/std/std/std</v>
      </c>
      <c r="AN494" s="32" t="str">
        <f t="shared" si="1554"/>
        <v>$0 + 0/0/0/1.9/3.9</v>
      </c>
      <c r="AO494" s="32" t="str">
        <f t="shared" si="1555"/>
        <v>0/0/0/1.9/3.9</v>
      </c>
      <c r="AP494" s="32" t="str">
        <f t="shared" si="1621"/>
        <v>0/0.9/1.9/3.9</v>
      </c>
      <c r="AQ494" s="536">
        <f t="shared" si="1620"/>
        <v>0</v>
      </c>
      <c r="AR494" s="32"/>
      <c r="AS494" s="302"/>
      <c r="AT494" s="3">
        <f t="shared" si="1556"/>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Forte</v>
      </c>
      <c r="BA494" s="3">
        <f>INDEX(Input!$1:$1048576,BA$93,$C494*2+6)</f>
        <v>2020</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19695</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622"/>
        <v>1250</v>
      </c>
      <c r="CJ494" s="16" t="str">
        <f>INDEX(Input!$1:$1048576,CJ$93,$C494*2+6)</f>
        <v>N</v>
      </c>
      <c r="CK494" s="1" t="str">
        <f t="shared" si="1623"/>
        <v>Market</v>
      </c>
      <c r="CL494" s="1" t="str">
        <f t="shared" si="1624"/>
        <v>Market</v>
      </c>
      <c r="CM494" s="1" t="str">
        <f t="shared" si="1625"/>
        <v>Market</v>
      </c>
      <c r="CN494" s="1" t="str">
        <f t="shared" si="1626"/>
        <v>Market</v>
      </c>
      <c r="CO494" s="1" t="str">
        <f t="shared" si="1627"/>
        <v>Market</v>
      </c>
      <c r="CP494" s="304">
        <f t="shared" si="1628"/>
        <v>0</v>
      </c>
      <c r="CQ494" s="1">
        <f t="shared" si="1629"/>
        <v>0</v>
      </c>
      <c r="CR494" s="1">
        <f t="shared" si="1630"/>
        <v>0</v>
      </c>
      <c r="CS494" s="1">
        <f t="shared" si="1631"/>
        <v>0</v>
      </c>
      <c r="CT494" s="1">
        <f t="shared" si="1632"/>
        <v>1.8999999999999996E-2</v>
      </c>
      <c r="CU494" s="1">
        <f t="shared" si="1633"/>
        <v>3.9E-2</v>
      </c>
      <c r="CV494" s="304">
        <f t="shared" si="1634"/>
        <v>-2217</v>
      </c>
      <c r="CW494" s="20" t="s">
        <v>122</v>
      </c>
      <c r="CX494" s="20" t="s">
        <v>122</v>
      </c>
      <c r="CY494" s="20" t="s">
        <v>122</v>
      </c>
      <c r="CZ494" s="20" t="s">
        <v>122</v>
      </c>
      <c r="DA494" s="20" t="s">
        <v>122</v>
      </c>
      <c r="DB494" s="503">
        <f t="shared" si="1635"/>
        <v>0</v>
      </c>
      <c r="DC494" s="127">
        <v>0</v>
      </c>
      <c r="DD494" s="127">
        <v>0</v>
      </c>
      <c r="DE494" s="127">
        <v>0</v>
      </c>
      <c r="DF494" s="127">
        <v>0</v>
      </c>
      <c r="DG494" s="127">
        <v>0</v>
      </c>
      <c r="DH494" s="127">
        <v>0</v>
      </c>
      <c r="DI494" s="127">
        <v>0</v>
      </c>
      <c r="DJ494" s="127">
        <v>0</v>
      </c>
      <c r="DK494" s="127">
        <v>0</v>
      </c>
      <c r="DL494" s="127">
        <v>0</v>
      </c>
      <c r="DM494" s="304">
        <f>INDEX(Input!$1:$1048576,DM$93,$C494*2+6)</f>
        <v>20731.578947368424</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550"/>
        <v>4095</v>
      </c>
      <c r="B495" s="561">
        <f t="shared" si="1551"/>
        <v>95</v>
      </c>
      <c r="C495" s="561">
        <f t="shared" si="1552"/>
        <v>4</v>
      </c>
      <c r="D495" s="561" t="str">
        <f t="shared" si="1619"/>
        <v/>
      </c>
      <c r="E495" s="475">
        <f>INDEX(Input!$1:$1048576,E$93,$C495*2+MIN($B495,2)+5)
+INDEX(Scenarios!E$121:E$200,MATCH($B495,Scenarios!$B$121:$B$200,0))</f>
        <v>1250</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1.8999999999999996E-2</v>
      </c>
      <c r="W495" s="863">
        <f>IFERROR(MAX(0,INDEX(Input!$1:$1048576,W$93,$C495*2+MIN($B495,2)+5)-0%,),"Market")</f>
        <v>3.9E-2</v>
      </c>
      <c r="X495" s="476" t="str">
        <f>INDEX(Input!$1:$1048576,X$93,$C495*2+MIN($B495,2)+5)</f>
        <v>Y</v>
      </c>
      <c r="Y495" s="475">
        <f>INDEX(Input!$1:$1048576,Y$93,$C495*2+MIN($B495,2)+5)
++INDEX(Scenarios!Y$121:Y$200,MATCH($B495,Scenarios!$B$121:$B$200,0))</f>
        <v>-2217</v>
      </c>
      <c r="Z495" s="477">
        <f>INDEX(Input!$1:$1048576,Z$93,$C495*2+MIN($B495,2)+5)
+INDEX(Scenarios!Z$121:Z$200,MATCH($B495,Scenarios!$B$121:$B$200,0))</f>
        <v>0</v>
      </c>
      <c r="AA495" s="475">
        <f>INDEX(Input!$1:$1048576,AA$93,$C495*2+MIN($B495,2)+5)</f>
        <v>0</v>
      </c>
      <c r="AB495" s="476">
        <f>INDEX(Input!$1:$1048576,AB$93,$C495*2+MIN($B495,2)+5)</f>
        <v>1</v>
      </c>
      <c r="AC495" s="475">
        <f>INDEX(Input!$1:$1048576,AC$93,$C495*2+MIN($B495,2)+5)
+INDEX(Scenarios!AC$121:AC$200,MATCH($B495,Scenarios!$B$121:$B$200,0))</f>
        <v>0</v>
      </c>
      <c r="AD495" s="476">
        <f>INDEX(Input!$1:$1048576,AD$93,$C495*2+MIN($B495,2)+5)</f>
        <v>0.35</v>
      </c>
      <c r="AE495" s="475">
        <f>INDEX(Input!$1:$1048576,AE$93,$C495*2+MIN($B495,2)+5)
+INDEX(Scenarios!AE$121:AE$200,MATCH($B495,Scenarios!$B$121:$B$200,0))</f>
        <v>0</v>
      </c>
      <c r="AF495" s="476">
        <f>INDEX(Input!$1:$1048576,AF$93,$C495*2+MIN($B495,2)+5)</f>
        <v>1</v>
      </c>
      <c r="AG495" s="475">
        <f>INDEX(Input!$1:$1048576,AG$93,$C495*2+MIN($B495,2)+5)
+INDEX(Scenarios!AG$121:AG$200,MATCH($B495,Scenarios!$B$121:$B$200,0))</f>
        <v>0</v>
      </c>
      <c r="AH495" s="476">
        <f>INDEX(Input!$1:$1048576,AH$93,$C495*2+MIN($B495,2)+5)</f>
        <v>1</v>
      </c>
      <c r="AI495" s="475">
        <f>INDEX(Input!$1:$1048576,AI$93,$C495*2+MIN($B495,2)+5)
+INDEX(Scenarios!AI$121:AI$200,MATCH($B495,Scenarios!$B$121:$B$200,0))</f>
        <v>0</v>
      </c>
      <c r="AJ495" s="476">
        <f>INDEX(Input!$1:$1048576,AJ$93,$C495*2+MIN($B495,2)+5)</f>
        <v>0.35</v>
      </c>
      <c r="AK495" s="150">
        <f>ROUND(INDEX(Input!$1:$1048576,AK$93,$C494*2+MIN($B495,1)+5)+(Y495-VLOOKUP($C495*1000+1,$A:$HH,Y$92,FALSE)),0)</f>
        <v>4592</v>
      </c>
      <c r="AL495" s="150">
        <f>ROUND(INDEX(Input!$1:$1048576,AL$93,$C494*2+MIN($B495,1)+5)-(Y495-VLOOKUP($C495*1000+1,$A:$HH,Y$92,FALSE))/36,0)</f>
        <v>4743</v>
      </c>
      <c r="AM495" s="32" t="str">
        <f t="shared" si="1553"/>
        <v>std/std/std/std</v>
      </c>
      <c r="AN495" s="32" t="str">
        <f t="shared" si="1554"/>
        <v>$0 + 0/0/0/1.9/3.9</v>
      </c>
      <c r="AO495" s="32" t="str">
        <f t="shared" si="1555"/>
        <v>0/0/0/1.9/3.9</v>
      </c>
      <c r="AP495" s="32" t="str">
        <f t="shared" si="1621"/>
        <v>0/0.9/1.9/3.9</v>
      </c>
      <c r="AQ495" s="536">
        <f t="shared" si="1620"/>
        <v>0</v>
      </c>
      <c r="AR495" s="32"/>
      <c r="AS495" s="302"/>
      <c r="AT495" s="3">
        <f t="shared" si="1556"/>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Forte</v>
      </c>
      <c r="BA495" s="3">
        <f>INDEX(Input!$1:$1048576,BA$93,$C495*2+6)</f>
        <v>2020</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19695</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622"/>
        <v>1250</v>
      </c>
      <c r="CJ495" s="16" t="str">
        <f>INDEX(Input!$1:$1048576,CJ$93,$C495*2+6)</f>
        <v>N</v>
      </c>
      <c r="CK495" s="1" t="str">
        <f t="shared" si="1623"/>
        <v>Market</v>
      </c>
      <c r="CL495" s="1" t="str">
        <f t="shared" si="1624"/>
        <v>Market</v>
      </c>
      <c r="CM495" s="1" t="str">
        <f t="shared" si="1625"/>
        <v>Market</v>
      </c>
      <c r="CN495" s="1" t="str">
        <f t="shared" si="1626"/>
        <v>Market</v>
      </c>
      <c r="CO495" s="1" t="str">
        <f t="shared" si="1627"/>
        <v>Market</v>
      </c>
      <c r="CP495" s="304">
        <f t="shared" si="1628"/>
        <v>0</v>
      </c>
      <c r="CQ495" s="1">
        <f t="shared" si="1629"/>
        <v>0</v>
      </c>
      <c r="CR495" s="1">
        <f t="shared" si="1630"/>
        <v>0</v>
      </c>
      <c r="CS495" s="1">
        <f t="shared" si="1631"/>
        <v>0</v>
      </c>
      <c r="CT495" s="1">
        <f t="shared" si="1632"/>
        <v>1.8999999999999996E-2</v>
      </c>
      <c r="CU495" s="1">
        <f t="shared" si="1633"/>
        <v>3.9E-2</v>
      </c>
      <c r="CV495" s="304">
        <f t="shared" si="1634"/>
        <v>-2217</v>
      </c>
      <c r="CW495" s="20" t="s">
        <v>122</v>
      </c>
      <c r="CX495" s="20" t="s">
        <v>122</v>
      </c>
      <c r="CY495" s="20" t="s">
        <v>122</v>
      </c>
      <c r="CZ495" s="20" t="s">
        <v>122</v>
      </c>
      <c r="DA495" s="20" t="s">
        <v>122</v>
      </c>
      <c r="DB495" s="503">
        <f t="shared" si="1635"/>
        <v>0</v>
      </c>
      <c r="DC495" s="127">
        <v>0</v>
      </c>
      <c r="DD495" s="127">
        <v>0</v>
      </c>
      <c r="DE495" s="127">
        <v>0</v>
      </c>
      <c r="DF495" s="127">
        <v>0</v>
      </c>
      <c r="DG495" s="127">
        <v>0</v>
      </c>
      <c r="DH495" s="127">
        <v>0</v>
      </c>
      <c r="DI495" s="127">
        <v>0</v>
      </c>
      <c r="DJ495" s="127">
        <v>0</v>
      </c>
      <c r="DK495" s="127">
        <v>0</v>
      </c>
      <c r="DL495" s="127">
        <v>0</v>
      </c>
      <c r="DM495" s="304">
        <f>INDEX(Input!$1:$1048576,DM$93,$C495*2+6)</f>
        <v>20731.578947368424</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550"/>
        <v>4096</v>
      </c>
      <c r="B496" s="561">
        <f t="shared" si="1551"/>
        <v>96</v>
      </c>
      <c r="C496" s="561">
        <f t="shared" si="1552"/>
        <v>4</v>
      </c>
      <c r="D496" s="561" t="str">
        <f t="shared" si="1619"/>
        <v/>
      </c>
      <c r="E496" s="475">
        <f>INDEX(Input!$1:$1048576,E$93,$C496*2+MIN($B496,2)+5)
+INDEX(Scenarios!E$121:E$200,MATCH($B496,Scenarios!$B$121:$B$200,0))</f>
        <v>1250</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1.8999999999999996E-2</v>
      </c>
      <c r="W496" s="863">
        <f>IFERROR(MAX(0,INDEX(Input!$1:$1048576,W$93,$C496*2+MIN($B496,2)+5)-0%,),"Market")</f>
        <v>3.9E-2</v>
      </c>
      <c r="X496" s="476" t="str">
        <f>INDEX(Input!$1:$1048576,X$93,$C496*2+MIN($B496,2)+5)</f>
        <v>Y</v>
      </c>
      <c r="Y496" s="475">
        <f>INDEX(Input!$1:$1048576,Y$93,$C496*2+MIN($B496,2)+5)
++INDEX(Scenarios!Y$121:Y$200,MATCH($B496,Scenarios!$B$121:$B$200,0))</f>
        <v>-2217</v>
      </c>
      <c r="Z496" s="477">
        <f>INDEX(Input!$1:$1048576,Z$93,$C496*2+MIN($B496,2)+5)
+INDEX(Scenarios!Z$121:Z$200,MATCH($B496,Scenarios!$B$121:$B$200,0))</f>
        <v>0</v>
      </c>
      <c r="AA496" s="475">
        <f>INDEX(Input!$1:$1048576,AA$93,$C496*2+MIN($B496,2)+5)</f>
        <v>0</v>
      </c>
      <c r="AB496" s="476">
        <f>INDEX(Input!$1:$1048576,AB$93,$C496*2+MIN($B496,2)+5)</f>
        <v>1</v>
      </c>
      <c r="AC496" s="475">
        <f>INDEX(Input!$1:$1048576,AC$93,$C496*2+MIN($B496,2)+5)
+INDEX(Scenarios!AC$121:AC$200,MATCH($B496,Scenarios!$B$121:$B$200,0))</f>
        <v>0</v>
      </c>
      <c r="AD496" s="476">
        <f>INDEX(Input!$1:$1048576,AD$93,$C496*2+MIN($B496,2)+5)</f>
        <v>0.35</v>
      </c>
      <c r="AE496" s="475">
        <f>INDEX(Input!$1:$1048576,AE$93,$C496*2+MIN($B496,2)+5)
+INDEX(Scenarios!AE$121:AE$200,MATCH($B496,Scenarios!$B$121:$B$200,0))</f>
        <v>0</v>
      </c>
      <c r="AF496" s="476">
        <f>INDEX(Input!$1:$1048576,AF$93,$C496*2+MIN($B496,2)+5)</f>
        <v>1</v>
      </c>
      <c r="AG496" s="475">
        <f>INDEX(Input!$1:$1048576,AG$93,$C496*2+MIN($B496,2)+5)
+INDEX(Scenarios!AG$121:AG$200,MATCH($B496,Scenarios!$B$121:$B$200,0))</f>
        <v>0</v>
      </c>
      <c r="AH496" s="476">
        <f>INDEX(Input!$1:$1048576,AH$93,$C496*2+MIN($B496,2)+5)</f>
        <v>1</v>
      </c>
      <c r="AI496" s="475">
        <f>INDEX(Input!$1:$1048576,AI$93,$C496*2+MIN($B496,2)+5)
+INDEX(Scenarios!AI$121:AI$200,MATCH($B496,Scenarios!$B$121:$B$200,0))</f>
        <v>0</v>
      </c>
      <c r="AJ496" s="476">
        <f>INDEX(Input!$1:$1048576,AJ$93,$C496*2+MIN($B496,2)+5)</f>
        <v>0.35</v>
      </c>
      <c r="AK496" s="150">
        <f>ROUND(INDEX(Input!$1:$1048576,AK$93,$C495*2+MIN($B496,1)+5)+(Y496-VLOOKUP($C496*1000+1,$A:$HH,Y$92,FALSE)),0)</f>
        <v>4592</v>
      </c>
      <c r="AL496" s="150">
        <f>ROUND(INDEX(Input!$1:$1048576,AL$93,$C495*2+MIN($B496,1)+5)-(Y496-VLOOKUP($C496*1000+1,$A:$HH,Y$92,FALSE))/36,0)</f>
        <v>4743</v>
      </c>
      <c r="AM496" s="32" t="str">
        <f t="shared" si="1553"/>
        <v>std/std/std/std</v>
      </c>
      <c r="AN496" s="32" t="str">
        <f t="shared" si="1554"/>
        <v>$0 + 0/0/0/1.9/3.9</v>
      </c>
      <c r="AO496" s="32" t="str">
        <f t="shared" si="1555"/>
        <v>0/0/0/1.9/3.9</v>
      </c>
      <c r="AP496" s="32" t="str">
        <f t="shared" si="1621"/>
        <v>0/0.9/1.9/3.9</v>
      </c>
      <c r="AQ496" s="536">
        <f t="shared" si="1620"/>
        <v>0</v>
      </c>
      <c r="AR496" s="32"/>
      <c r="AS496" s="302"/>
      <c r="AT496" s="3">
        <f t="shared" si="1556"/>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Forte</v>
      </c>
      <c r="BA496" s="3">
        <f>INDEX(Input!$1:$1048576,BA$93,$C496*2+6)</f>
        <v>2020</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19695</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622"/>
        <v>1250</v>
      </c>
      <c r="CJ496" s="16" t="str">
        <f>INDEX(Input!$1:$1048576,CJ$93,$C496*2+6)</f>
        <v>N</v>
      </c>
      <c r="CK496" s="1" t="str">
        <f t="shared" si="1623"/>
        <v>Market</v>
      </c>
      <c r="CL496" s="1" t="str">
        <f t="shared" si="1624"/>
        <v>Market</v>
      </c>
      <c r="CM496" s="1" t="str">
        <f t="shared" si="1625"/>
        <v>Market</v>
      </c>
      <c r="CN496" s="1" t="str">
        <f t="shared" si="1626"/>
        <v>Market</v>
      </c>
      <c r="CO496" s="1" t="str">
        <f t="shared" si="1627"/>
        <v>Market</v>
      </c>
      <c r="CP496" s="304">
        <f t="shared" si="1628"/>
        <v>0</v>
      </c>
      <c r="CQ496" s="1">
        <f t="shared" si="1629"/>
        <v>0</v>
      </c>
      <c r="CR496" s="1">
        <f t="shared" si="1630"/>
        <v>0</v>
      </c>
      <c r="CS496" s="1">
        <f t="shared" si="1631"/>
        <v>0</v>
      </c>
      <c r="CT496" s="1">
        <f t="shared" si="1632"/>
        <v>1.8999999999999996E-2</v>
      </c>
      <c r="CU496" s="1">
        <f t="shared" si="1633"/>
        <v>3.9E-2</v>
      </c>
      <c r="CV496" s="304">
        <f t="shared" si="1634"/>
        <v>-2217</v>
      </c>
      <c r="CW496" s="20" t="s">
        <v>122</v>
      </c>
      <c r="CX496" s="20" t="s">
        <v>122</v>
      </c>
      <c r="CY496" s="20" t="s">
        <v>122</v>
      </c>
      <c r="CZ496" s="20" t="s">
        <v>122</v>
      </c>
      <c r="DA496" s="20" t="s">
        <v>122</v>
      </c>
      <c r="DB496" s="503">
        <f t="shared" si="1635"/>
        <v>0</v>
      </c>
      <c r="DC496" s="127">
        <v>0</v>
      </c>
      <c r="DD496" s="127">
        <v>0</v>
      </c>
      <c r="DE496" s="127">
        <v>0</v>
      </c>
      <c r="DF496" s="127">
        <v>0</v>
      </c>
      <c r="DG496" s="127">
        <v>0</v>
      </c>
      <c r="DH496" s="127">
        <v>0</v>
      </c>
      <c r="DI496" s="127">
        <v>0</v>
      </c>
      <c r="DJ496" s="127">
        <v>0</v>
      </c>
      <c r="DK496" s="127">
        <v>0</v>
      </c>
      <c r="DL496" s="127">
        <v>0</v>
      </c>
      <c r="DM496" s="304">
        <f>INDEX(Input!$1:$1048576,DM$93,$C496*2+6)</f>
        <v>20731.578947368424</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550"/>
        <v>4097</v>
      </c>
      <c r="B497" s="561">
        <f t="shared" si="1551"/>
        <v>97</v>
      </c>
      <c r="C497" s="561">
        <f t="shared" si="1552"/>
        <v>4</v>
      </c>
      <c r="D497" s="561" t="str">
        <f t="shared" si="1619"/>
        <v/>
      </c>
      <c r="E497" s="475">
        <f>INDEX(Input!$1:$1048576,E$93,$C497*2+MIN($B497,2)+5)
+INDEX(Scenarios!E$121:E$200,MATCH($B497,Scenarios!$B$121:$B$200,0))</f>
        <v>1250</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1.8999999999999996E-2</v>
      </c>
      <c r="W497" s="863">
        <f>IFERROR(MAX(0,INDEX(Input!$1:$1048576,W$93,$C497*2+MIN($B497,2)+5)-0%,),"Market")</f>
        <v>3.9E-2</v>
      </c>
      <c r="X497" s="476" t="str">
        <f>INDEX(Input!$1:$1048576,X$93,$C497*2+MIN($B497,2)+5)</f>
        <v>Y</v>
      </c>
      <c r="Y497" s="475">
        <f>INDEX(Input!$1:$1048576,Y$93,$C497*2+MIN($B497,2)+5)
++INDEX(Scenarios!Y$121:Y$200,MATCH($B497,Scenarios!$B$121:$B$200,0))</f>
        <v>-2217</v>
      </c>
      <c r="Z497" s="477">
        <f>INDEX(Input!$1:$1048576,Z$93,$C497*2+MIN($B497,2)+5)
+INDEX(Scenarios!Z$121:Z$200,MATCH($B497,Scenarios!$B$121:$B$200,0))</f>
        <v>0</v>
      </c>
      <c r="AA497" s="475">
        <f>INDEX(Input!$1:$1048576,AA$93,$C497*2+MIN($B497,2)+5)</f>
        <v>0</v>
      </c>
      <c r="AB497" s="476">
        <f>INDEX(Input!$1:$1048576,AB$93,$C497*2+MIN($B497,2)+5)</f>
        <v>1</v>
      </c>
      <c r="AC497" s="475">
        <f>INDEX(Input!$1:$1048576,AC$93,$C497*2+MIN($B497,2)+5)
+INDEX(Scenarios!AC$121:AC$200,MATCH($B497,Scenarios!$B$121:$B$200,0))</f>
        <v>0</v>
      </c>
      <c r="AD497" s="476">
        <f>INDEX(Input!$1:$1048576,AD$93,$C497*2+MIN($B497,2)+5)</f>
        <v>0.35</v>
      </c>
      <c r="AE497" s="475">
        <f>INDEX(Input!$1:$1048576,AE$93,$C497*2+MIN($B497,2)+5)
+INDEX(Scenarios!AE$121:AE$200,MATCH($B497,Scenarios!$B$121:$B$200,0))</f>
        <v>0</v>
      </c>
      <c r="AF497" s="476">
        <f>INDEX(Input!$1:$1048576,AF$93,$C497*2+MIN($B497,2)+5)</f>
        <v>1</v>
      </c>
      <c r="AG497" s="475">
        <f>INDEX(Input!$1:$1048576,AG$93,$C497*2+MIN($B497,2)+5)
+INDEX(Scenarios!AG$121:AG$200,MATCH($B497,Scenarios!$B$121:$B$200,0))</f>
        <v>0</v>
      </c>
      <c r="AH497" s="476">
        <f>INDEX(Input!$1:$1048576,AH$93,$C497*2+MIN($B497,2)+5)</f>
        <v>1</v>
      </c>
      <c r="AI497" s="475">
        <f>INDEX(Input!$1:$1048576,AI$93,$C497*2+MIN($B497,2)+5)
+INDEX(Scenarios!AI$121:AI$200,MATCH($B497,Scenarios!$B$121:$B$200,0))</f>
        <v>0</v>
      </c>
      <c r="AJ497" s="476">
        <f>INDEX(Input!$1:$1048576,AJ$93,$C497*2+MIN($B497,2)+5)</f>
        <v>0.35</v>
      </c>
      <c r="AK497" s="150">
        <f>ROUND(INDEX(Input!$1:$1048576,AK$93,$C496*2+MIN($B497,1)+5)+(Y497-VLOOKUP($C497*1000+1,$A:$HH,Y$92,FALSE)),0)</f>
        <v>4592</v>
      </c>
      <c r="AL497" s="150">
        <f>ROUND(INDEX(Input!$1:$1048576,AL$93,$C496*2+MIN($B497,1)+5)-(Y497-VLOOKUP($C497*1000+1,$A:$HH,Y$92,FALSE))/36,0)</f>
        <v>4743</v>
      </c>
      <c r="AM497" s="32" t="str">
        <f t="shared" si="1553"/>
        <v>std/std/std/std</v>
      </c>
      <c r="AN497" s="32" t="str">
        <f t="shared" si="1554"/>
        <v>$0 + 0/0/0/1.9/3.9</v>
      </c>
      <c r="AO497" s="32" t="str">
        <f t="shared" si="1555"/>
        <v>0/0/0/1.9/3.9</v>
      </c>
      <c r="AP497" s="32" t="str">
        <f t="shared" si="1621"/>
        <v>0/0.9/1.9/3.9</v>
      </c>
      <c r="AQ497" s="536">
        <f t="shared" si="1620"/>
        <v>0</v>
      </c>
      <c r="AR497" s="32"/>
      <c r="AS497" s="302"/>
      <c r="AT497" s="3">
        <f t="shared" si="1556"/>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Forte</v>
      </c>
      <c r="BA497" s="3">
        <f>INDEX(Input!$1:$1048576,BA$93,$C497*2+6)</f>
        <v>2020</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19695</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622"/>
        <v>1250</v>
      </c>
      <c r="CJ497" s="16" t="str">
        <f>INDEX(Input!$1:$1048576,CJ$93,$C497*2+6)</f>
        <v>N</v>
      </c>
      <c r="CK497" s="1" t="str">
        <f t="shared" si="1623"/>
        <v>Market</v>
      </c>
      <c r="CL497" s="1" t="str">
        <f t="shared" si="1624"/>
        <v>Market</v>
      </c>
      <c r="CM497" s="1" t="str">
        <f t="shared" si="1625"/>
        <v>Market</v>
      </c>
      <c r="CN497" s="1" t="str">
        <f t="shared" si="1626"/>
        <v>Market</v>
      </c>
      <c r="CO497" s="1" t="str">
        <f t="shared" si="1627"/>
        <v>Market</v>
      </c>
      <c r="CP497" s="304">
        <f t="shared" si="1628"/>
        <v>0</v>
      </c>
      <c r="CQ497" s="1">
        <f t="shared" si="1629"/>
        <v>0</v>
      </c>
      <c r="CR497" s="1">
        <f t="shared" si="1630"/>
        <v>0</v>
      </c>
      <c r="CS497" s="1">
        <f t="shared" si="1631"/>
        <v>0</v>
      </c>
      <c r="CT497" s="1">
        <f t="shared" si="1632"/>
        <v>1.8999999999999996E-2</v>
      </c>
      <c r="CU497" s="1">
        <f t="shared" si="1633"/>
        <v>3.9E-2</v>
      </c>
      <c r="CV497" s="304">
        <f t="shared" si="1634"/>
        <v>-2217</v>
      </c>
      <c r="CW497" s="20" t="s">
        <v>122</v>
      </c>
      <c r="CX497" s="20" t="s">
        <v>122</v>
      </c>
      <c r="CY497" s="20" t="s">
        <v>122</v>
      </c>
      <c r="CZ497" s="20" t="s">
        <v>122</v>
      </c>
      <c r="DA497" s="20" t="s">
        <v>122</v>
      </c>
      <c r="DB497" s="503">
        <f t="shared" si="1635"/>
        <v>0</v>
      </c>
      <c r="DC497" s="127">
        <v>0</v>
      </c>
      <c r="DD497" s="127">
        <v>0</v>
      </c>
      <c r="DE497" s="127">
        <v>0</v>
      </c>
      <c r="DF497" s="127">
        <v>0</v>
      </c>
      <c r="DG497" s="127">
        <v>0</v>
      </c>
      <c r="DH497" s="127">
        <v>0</v>
      </c>
      <c r="DI497" s="127">
        <v>0</v>
      </c>
      <c r="DJ497" s="127">
        <v>0</v>
      </c>
      <c r="DK497" s="127">
        <v>0</v>
      </c>
      <c r="DL497" s="127">
        <v>0</v>
      </c>
      <c r="DM497" s="304">
        <f>INDEX(Input!$1:$1048576,DM$93,$C497*2+6)</f>
        <v>20731.578947368424</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550"/>
        <v>4098</v>
      </c>
      <c r="B498" s="561">
        <f t="shared" si="1551"/>
        <v>98</v>
      </c>
      <c r="C498" s="561">
        <f t="shared" si="1552"/>
        <v>4</v>
      </c>
      <c r="D498" s="561" t="str">
        <f t="shared" si="1619"/>
        <v/>
      </c>
      <c r="E498" s="475">
        <f>INDEX(Input!$1:$1048576,E$93,$C498*2+MIN($B498,2)+5)
+INDEX(Scenarios!E$121:E$200,MATCH($B498,Scenarios!$B$121:$B$200,0))</f>
        <v>1250</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1.8999999999999996E-2</v>
      </c>
      <c r="W498" s="863">
        <f>IFERROR(MAX(0,INDEX(Input!$1:$1048576,W$93,$C498*2+MIN($B498,2)+5)-0%,),"Market")</f>
        <v>3.9E-2</v>
      </c>
      <c r="X498" s="476" t="str">
        <f>INDEX(Input!$1:$1048576,X$93,$C498*2+MIN($B498,2)+5)</f>
        <v>Y</v>
      </c>
      <c r="Y498" s="475">
        <f>INDEX(Input!$1:$1048576,Y$93,$C498*2+MIN($B498,2)+5)
++INDEX(Scenarios!Y$121:Y$200,MATCH($B498,Scenarios!$B$121:$B$200,0))</f>
        <v>-2217</v>
      </c>
      <c r="Z498" s="477">
        <f>INDEX(Input!$1:$1048576,Z$93,$C498*2+MIN($B498,2)+5)
+INDEX(Scenarios!Z$121:Z$200,MATCH($B498,Scenarios!$B$121:$B$200,0))</f>
        <v>0</v>
      </c>
      <c r="AA498" s="475">
        <f>INDEX(Input!$1:$1048576,AA$93,$C498*2+MIN($B498,2)+5)</f>
        <v>0</v>
      </c>
      <c r="AB498" s="476">
        <f>INDEX(Input!$1:$1048576,AB$93,$C498*2+MIN($B498,2)+5)</f>
        <v>1</v>
      </c>
      <c r="AC498" s="475">
        <f>INDEX(Input!$1:$1048576,AC$93,$C498*2+MIN($B498,2)+5)
+INDEX(Scenarios!AC$121:AC$200,MATCH($B498,Scenarios!$B$121:$B$200,0))</f>
        <v>0</v>
      </c>
      <c r="AD498" s="476">
        <f>INDEX(Input!$1:$1048576,AD$93,$C498*2+MIN($B498,2)+5)</f>
        <v>0.35</v>
      </c>
      <c r="AE498" s="475">
        <f>INDEX(Input!$1:$1048576,AE$93,$C498*2+MIN($B498,2)+5)
+INDEX(Scenarios!AE$121:AE$200,MATCH($B498,Scenarios!$B$121:$B$200,0))</f>
        <v>0</v>
      </c>
      <c r="AF498" s="476">
        <f>INDEX(Input!$1:$1048576,AF$93,$C498*2+MIN($B498,2)+5)</f>
        <v>1</v>
      </c>
      <c r="AG498" s="475">
        <f>INDEX(Input!$1:$1048576,AG$93,$C498*2+MIN($B498,2)+5)
+INDEX(Scenarios!AG$121:AG$200,MATCH($B498,Scenarios!$B$121:$B$200,0))</f>
        <v>0</v>
      </c>
      <c r="AH498" s="476">
        <f>INDEX(Input!$1:$1048576,AH$93,$C498*2+MIN($B498,2)+5)</f>
        <v>1</v>
      </c>
      <c r="AI498" s="475">
        <f>INDEX(Input!$1:$1048576,AI$93,$C498*2+MIN($B498,2)+5)
+INDEX(Scenarios!AI$121:AI$200,MATCH($B498,Scenarios!$B$121:$B$200,0))</f>
        <v>0</v>
      </c>
      <c r="AJ498" s="476">
        <f>INDEX(Input!$1:$1048576,AJ$93,$C498*2+MIN($B498,2)+5)</f>
        <v>0.35</v>
      </c>
      <c r="AK498" s="150">
        <f>ROUND(INDEX(Input!$1:$1048576,AK$93,$C497*2+MIN($B498,1)+5)+(Y498-VLOOKUP($C498*1000+1,$A:$HH,Y$92,FALSE)),0)</f>
        <v>4592</v>
      </c>
      <c r="AL498" s="150">
        <f>ROUND(INDEX(Input!$1:$1048576,AL$93,$C497*2+MIN($B498,1)+5)-(Y498-VLOOKUP($C498*1000+1,$A:$HH,Y$92,FALSE))/36,0)</f>
        <v>4743</v>
      </c>
      <c r="AM498" s="32" t="str">
        <f t="shared" si="1553"/>
        <v>std/std/std/std</v>
      </c>
      <c r="AN498" s="32" t="str">
        <f t="shared" si="1554"/>
        <v>$0 + 0/0/0/1.9/3.9</v>
      </c>
      <c r="AO498" s="32" t="str">
        <f t="shared" si="1555"/>
        <v>0/0/0/1.9/3.9</v>
      </c>
      <c r="AP498" s="32" t="str">
        <f t="shared" si="1621"/>
        <v>0/0.9/1.9/3.9</v>
      </c>
      <c r="AQ498" s="536">
        <f t="shared" si="1620"/>
        <v>0</v>
      </c>
      <c r="AR498" s="32"/>
      <c r="AS498" s="302"/>
      <c r="AT498" s="3">
        <f t="shared" si="1556"/>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Forte</v>
      </c>
      <c r="BA498" s="3">
        <f>INDEX(Input!$1:$1048576,BA$93,$C498*2+6)</f>
        <v>2020</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19695</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622"/>
        <v>1250</v>
      </c>
      <c r="CJ498" s="16" t="str">
        <f>INDEX(Input!$1:$1048576,CJ$93,$C498*2+6)</f>
        <v>N</v>
      </c>
      <c r="CK498" s="1" t="str">
        <f t="shared" si="1623"/>
        <v>Market</v>
      </c>
      <c r="CL498" s="1" t="str">
        <f t="shared" si="1624"/>
        <v>Market</v>
      </c>
      <c r="CM498" s="1" t="str">
        <f t="shared" si="1625"/>
        <v>Market</v>
      </c>
      <c r="CN498" s="1" t="str">
        <f t="shared" si="1626"/>
        <v>Market</v>
      </c>
      <c r="CO498" s="1" t="str">
        <f t="shared" si="1627"/>
        <v>Market</v>
      </c>
      <c r="CP498" s="304">
        <f t="shared" si="1628"/>
        <v>0</v>
      </c>
      <c r="CQ498" s="1">
        <f t="shared" si="1629"/>
        <v>0</v>
      </c>
      <c r="CR498" s="1">
        <f t="shared" si="1630"/>
        <v>0</v>
      </c>
      <c r="CS498" s="1">
        <f t="shared" si="1631"/>
        <v>0</v>
      </c>
      <c r="CT498" s="1">
        <f t="shared" si="1632"/>
        <v>1.8999999999999996E-2</v>
      </c>
      <c r="CU498" s="1">
        <f t="shared" si="1633"/>
        <v>3.9E-2</v>
      </c>
      <c r="CV498" s="304">
        <f t="shared" si="1634"/>
        <v>-2217</v>
      </c>
      <c r="CW498" s="20" t="s">
        <v>122</v>
      </c>
      <c r="CX498" s="20" t="s">
        <v>122</v>
      </c>
      <c r="CY498" s="20" t="s">
        <v>122</v>
      </c>
      <c r="CZ498" s="20" t="s">
        <v>122</v>
      </c>
      <c r="DA498" s="20" t="s">
        <v>122</v>
      </c>
      <c r="DB498" s="503">
        <f t="shared" si="1635"/>
        <v>0</v>
      </c>
      <c r="DC498" s="127">
        <v>0</v>
      </c>
      <c r="DD498" s="127">
        <v>0</v>
      </c>
      <c r="DE498" s="127">
        <v>0</v>
      </c>
      <c r="DF498" s="127">
        <v>0</v>
      </c>
      <c r="DG498" s="127">
        <v>0</v>
      </c>
      <c r="DH498" s="127">
        <v>0</v>
      </c>
      <c r="DI498" s="127">
        <v>0</v>
      </c>
      <c r="DJ498" s="127">
        <v>0</v>
      </c>
      <c r="DK498" s="127">
        <v>0</v>
      </c>
      <c r="DL498" s="127">
        <v>0</v>
      </c>
      <c r="DM498" s="304">
        <f>INDEX(Input!$1:$1048576,DM$93,$C498*2+6)</f>
        <v>20731.578947368424</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550"/>
        <v>4099</v>
      </c>
      <c r="B499" s="561">
        <f t="shared" si="1551"/>
        <v>99</v>
      </c>
      <c r="C499" s="561">
        <f t="shared" si="1552"/>
        <v>4</v>
      </c>
      <c r="D499" s="561" t="str">
        <f t="shared" si="1619"/>
        <v/>
      </c>
      <c r="E499" s="475">
        <f>INDEX(Input!$1:$1048576,E$93,$C499*2+MIN($B499,2)+5)
+INDEX(Scenarios!E$121:E$200,MATCH($B499,Scenarios!$B$121:$B$200,0))</f>
        <v>1250</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1.8999999999999996E-2</v>
      </c>
      <c r="W499" s="863">
        <f>IFERROR(MAX(0,INDEX(Input!$1:$1048576,W$93,$C499*2+MIN($B499,2)+5)-0%,),"Market")</f>
        <v>3.9E-2</v>
      </c>
      <c r="X499" s="476" t="str">
        <f>INDEX(Input!$1:$1048576,X$93,$C499*2+MIN($B499,2)+5)</f>
        <v>Y</v>
      </c>
      <c r="Y499" s="475">
        <f>INDEX(Input!$1:$1048576,Y$93,$C499*2+MIN($B499,2)+5)
++INDEX(Scenarios!Y$121:Y$200,MATCH($B499,Scenarios!$B$121:$B$200,0))</f>
        <v>-2217</v>
      </c>
      <c r="Z499" s="477">
        <f>INDEX(Input!$1:$1048576,Z$93,$C499*2+MIN($B499,2)+5)
+INDEX(Scenarios!Z$121:Z$200,MATCH($B499,Scenarios!$B$121:$B$200,0))</f>
        <v>0</v>
      </c>
      <c r="AA499" s="475">
        <f>INDEX(Input!$1:$1048576,AA$93,$C499*2+MIN($B499,2)+5)</f>
        <v>0</v>
      </c>
      <c r="AB499" s="476">
        <f>INDEX(Input!$1:$1048576,AB$93,$C499*2+MIN($B499,2)+5)</f>
        <v>1</v>
      </c>
      <c r="AC499" s="475">
        <f>INDEX(Input!$1:$1048576,AC$93,$C499*2+MIN($B499,2)+5)
+INDEX(Scenarios!AC$121:AC$200,MATCH($B499,Scenarios!$B$121:$B$200,0))</f>
        <v>0</v>
      </c>
      <c r="AD499" s="476">
        <f>INDEX(Input!$1:$1048576,AD$93,$C499*2+MIN($B499,2)+5)</f>
        <v>0.35</v>
      </c>
      <c r="AE499" s="475">
        <f>INDEX(Input!$1:$1048576,AE$93,$C499*2+MIN($B499,2)+5)
+INDEX(Scenarios!AE$121:AE$200,MATCH($B499,Scenarios!$B$121:$B$200,0))</f>
        <v>0</v>
      </c>
      <c r="AF499" s="476">
        <f>INDEX(Input!$1:$1048576,AF$93,$C499*2+MIN($B499,2)+5)</f>
        <v>1</v>
      </c>
      <c r="AG499" s="475">
        <f>INDEX(Input!$1:$1048576,AG$93,$C499*2+MIN($B499,2)+5)
+INDEX(Scenarios!AG$121:AG$200,MATCH($B499,Scenarios!$B$121:$B$200,0))</f>
        <v>0</v>
      </c>
      <c r="AH499" s="476">
        <f>INDEX(Input!$1:$1048576,AH$93,$C499*2+MIN($B499,2)+5)</f>
        <v>1</v>
      </c>
      <c r="AI499" s="475">
        <f>INDEX(Input!$1:$1048576,AI$93,$C499*2+MIN($B499,2)+5)
+INDEX(Scenarios!AI$121:AI$200,MATCH($B499,Scenarios!$B$121:$B$200,0))</f>
        <v>0</v>
      </c>
      <c r="AJ499" s="476">
        <f>INDEX(Input!$1:$1048576,AJ$93,$C499*2+MIN($B499,2)+5)</f>
        <v>0.35</v>
      </c>
      <c r="AK499" s="150">
        <f>ROUND(INDEX(Input!$1:$1048576,AK$93,$C498*2+MIN($B499,1)+5)+(Y499-VLOOKUP($C499*1000+1,$A:$HH,Y$92,FALSE)),0)</f>
        <v>4592</v>
      </c>
      <c r="AL499" s="150">
        <f>ROUND(INDEX(Input!$1:$1048576,AL$93,$C498*2+MIN($B499,1)+5)-(Y499-VLOOKUP($C499*1000+1,$A:$HH,Y$92,FALSE))/36,0)</f>
        <v>4743</v>
      </c>
      <c r="AM499" s="32" t="str">
        <f t="shared" si="1553"/>
        <v>std/std/std/std</v>
      </c>
      <c r="AN499" s="32" t="str">
        <f t="shared" si="1554"/>
        <v>$0 + 0/0/0/1.9/3.9</v>
      </c>
      <c r="AO499" s="32" t="str">
        <f t="shared" si="1555"/>
        <v>0/0/0/1.9/3.9</v>
      </c>
      <c r="AP499" s="32" t="str">
        <f t="shared" si="1621"/>
        <v>0/0.9/1.9/3.9</v>
      </c>
      <c r="AQ499" s="536">
        <f t="shared" si="1620"/>
        <v>0</v>
      </c>
      <c r="AR499" s="32"/>
      <c r="AS499" s="302"/>
      <c r="AT499" s="3">
        <f t="shared" si="1556"/>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Forte</v>
      </c>
      <c r="BA499" s="3">
        <f>INDEX(Input!$1:$1048576,BA$93,$C499*2+6)</f>
        <v>2020</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19695</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622"/>
        <v>1250</v>
      </c>
      <c r="CJ499" s="16" t="str">
        <f>INDEX(Input!$1:$1048576,CJ$93,$C499*2+6)</f>
        <v>N</v>
      </c>
      <c r="CK499" s="1" t="str">
        <f t="shared" si="1623"/>
        <v>Market</v>
      </c>
      <c r="CL499" s="1" t="str">
        <f t="shared" si="1624"/>
        <v>Market</v>
      </c>
      <c r="CM499" s="1" t="str">
        <f t="shared" si="1625"/>
        <v>Market</v>
      </c>
      <c r="CN499" s="1" t="str">
        <f t="shared" si="1626"/>
        <v>Market</v>
      </c>
      <c r="CO499" s="1" t="str">
        <f t="shared" si="1627"/>
        <v>Market</v>
      </c>
      <c r="CP499" s="304">
        <f t="shared" si="1628"/>
        <v>0</v>
      </c>
      <c r="CQ499" s="1">
        <f t="shared" si="1629"/>
        <v>0</v>
      </c>
      <c r="CR499" s="1">
        <f t="shared" si="1630"/>
        <v>0</v>
      </c>
      <c r="CS499" s="1">
        <f t="shared" si="1631"/>
        <v>0</v>
      </c>
      <c r="CT499" s="1">
        <f t="shared" si="1632"/>
        <v>1.8999999999999996E-2</v>
      </c>
      <c r="CU499" s="1">
        <f t="shared" si="1633"/>
        <v>3.9E-2</v>
      </c>
      <c r="CV499" s="304">
        <f t="shared" si="1634"/>
        <v>-2217</v>
      </c>
      <c r="CW499" s="20" t="s">
        <v>122</v>
      </c>
      <c r="CX499" s="20" t="s">
        <v>122</v>
      </c>
      <c r="CY499" s="20" t="s">
        <v>122</v>
      </c>
      <c r="CZ499" s="20" t="s">
        <v>122</v>
      </c>
      <c r="DA499" s="20" t="s">
        <v>122</v>
      </c>
      <c r="DB499" s="503">
        <f t="shared" si="1635"/>
        <v>0</v>
      </c>
      <c r="DC499" s="127">
        <v>0</v>
      </c>
      <c r="DD499" s="127">
        <v>0</v>
      </c>
      <c r="DE499" s="127">
        <v>0</v>
      </c>
      <c r="DF499" s="127">
        <v>0</v>
      </c>
      <c r="DG499" s="127">
        <v>0</v>
      </c>
      <c r="DH499" s="127">
        <v>0</v>
      </c>
      <c r="DI499" s="127">
        <v>0</v>
      </c>
      <c r="DJ499" s="127">
        <v>0</v>
      </c>
      <c r="DK499" s="127">
        <v>0</v>
      </c>
      <c r="DL499" s="127">
        <v>0</v>
      </c>
      <c r="DM499" s="304">
        <f>INDEX(Input!$1:$1048576,DM$93,$C499*2+6)</f>
        <v>20731.578947368424</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550"/>
        <v>4100</v>
      </c>
      <c r="B500" s="561">
        <f t="shared" si="1551"/>
        <v>100</v>
      </c>
      <c r="C500" s="561">
        <f t="shared" si="1552"/>
        <v>4</v>
      </c>
      <c r="D500" s="561" t="str">
        <f t="shared" si="1619"/>
        <v/>
      </c>
      <c r="E500" s="475">
        <f>INDEX(Input!$1:$1048576,E$93,$C500*2+MIN($B500,2)+5)
+INDEX(Scenarios!E$121:E$200,MATCH($B500,Scenarios!$B$121:$B$200,0))</f>
        <v>1250</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1.8999999999999996E-2</v>
      </c>
      <c r="W500" s="863">
        <f>IFERROR(MAX(0,INDEX(Input!$1:$1048576,W$93,$C500*2+MIN($B500,2)+5)-0%,),"Market")</f>
        <v>3.9E-2</v>
      </c>
      <c r="X500" s="476" t="str">
        <f>INDEX(Input!$1:$1048576,X$93,$C500*2+MIN($B500,2)+5)</f>
        <v>Y</v>
      </c>
      <c r="Y500" s="475">
        <f>INDEX(Input!$1:$1048576,Y$93,$C500*2+MIN($B500,2)+5)
++INDEX(Scenarios!Y$121:Y$200,MATCH($B500,Scenarios!$B$121:$B$200,0))</f>
        <v>-2217</v>
      </c>
      <c r="Z500" s="477">
        <f>INDEX(Input!$1:$1048576,Z$93,$C500*2+MIN($B500,2)+5)
+INDEX(Scenarios!Z$121:Z$200,MATCH($B500,Scenarios!$B$121:$B$200,0))</f>
        <v>0</v>
      </c>
      <c r="AA500" s="475">
        <f>INDEX(Input!$1:$1048576,AA$93,$C500*2+MIN($B500,2)+5)</f>
        <v>0</v>
      </c>
      <c r="AB500" s="476">
        <f>INDEX(Input!$1:$1048576,AB$93,$C500*2+MIN($B500,2)+5)</f>
        <v>1</v>
      </c>
      <c r="AC500" s="475">
        <f>INDEX(Input!$1:$1048576,AC$93,$C500*2+MIN($B500,2)+5)
+INDEX(Scenarios!AC$121:AC$200,MATCH($B500,Scenarios!$B$121:$B$200,0))</f>
        <v>0</v>
      </c>
      <c r="AD500" s="476">
        <f>INDEX(Input!$1:$1048576,AD$93,$C500*2+MIN($B500,2)+5)</f>
        <v>0.35</v>
      </c>
      <c r="AE500" s="475">
        <f>INDEX(Input!$1:$1048576,AE$93,$C500*2+MIN($B500,2)+5)
+INDEX(Scenarios!AE$121:AE$200,MATCH($B500,Scenarios!$B$121:$B$200,0))</f>
        <v>0</v>
      </c>
      <c r="AF500" s="476">
        <f>INDEX(Input!$1:$1048576,AF$93,$C500*2+MIN($B500,2)+5)</f>
        <v>1</v>
      </c>
      <c r="AG500" s="475">
        <f>INDEX(Input!$1:$1048576,AG$93,$C500*2+MIN($B500,2)+5)
+INDEX(Scenarios!AG$121:AG$200,MATCH($B500,Scenarios!$B$121:$B$200,0))</f>
        <v>0</v>
      </c>
      <c r="AH500" s="476">
        <f>INDEX(Input!$1:$1048576,AH$93,$C500*2+MIN($B500,2)+5)</f>
        <v>1</v>
      </c>
      <c r="AI500" s="475">
        <f>INDEX(Input!$1:$1048576,AI$93,$C500*2+MIN($B500,2)+5)
+INDEX(Scenarios!AI$121:AI$200,MATCH($B500,Scenarios!$B$121:$B$200,0))</f>
        <v>0</v>
      </c>
      <c r="AJ500" s="476">
        <f>INDEX(Input!$1:$1048576,AJ$93,$C500*2+MIN($B500,2)+5)</f>
        <v>0.35</v>
      </c>
      <c r="AK500" s="150">
        <f>ROUND(INDEX(Input!$1:$1048576,AK$93,$C499*2+MIN($B500,1)+5)+(Y500-VLOOKUP($C500*1000+1,$A:$HH,Y$92,FALSE)),0)</f>
        <v>4592</v>
      </c>
      <c r="AL500" s="150">
        <f>ROUND(INDEX(Input!$1:$1048576,AL$93,$C499*2+MIN($B500,1)+5)-(Y500-VLOOKUP($C500*1000+1,$A:$HH,Y$92,FALSE))/36,0)</f>
        <v>4743</v>
      </c>
      <c r="AM500" s="32" t="str">
        <f t="shared" si="1553"/>
        <v>std/std/std/std</v>
      </c>
      <c r="AN500" s="32" t="str">
        <f t="shared" si="1554"/>
        <v>$0 + 0/0/0/1.9/3.9</v>
      </c>
      <c r="AO500" s="32" t="str">
        <f t="shared" si="1555"/>
        <v>0/0/0/1.9/3.9</v>
      </c>
      <c r="AP500" s="32" t="str">
        <f t="shared" si="1621"/>
        <v>0/0.9/1.9/3.9</v>
      </c>
      <c r="AQ500" s="536">
        <f t="shared" si="1620"/>
        <v>0</v>
      </c>
      <c r="AR500" s="32"/>
      <c r="AS500" s="302"/>
      <c r="AT500" s="3">
        <f t="shared" si="1556"/>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Forte</v>
      </c>
      <c r="BA500" s="3">
        <f>INDEX(Input!$1:$1048576,BA$93,$C500*2+6)</f>
        <v>2020</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19695</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622"/>
        <v>1250</v>
      </c>
      <c r="CJ500" s="16" t="str">
        <f>INDEX(Input!$1:$1048576,CJ$93,$C500*2+6)</f>
        <v>N</v>
      </c>
      <c r="CK500" s="1" t="str">
        <f t="shared" si="1623"/>
        <v>Market</v>
      </c>
      <c r="CL500" s="1" t="str">
        <f t="shared" si="1624"/>
        <v>Market</v>
      </c>
      <c r="CM500" s="1" t="str">
        <f t="shared" si="1625"/>
        <v>Market</v>
      </c>
      <c r="CN500" s="1" t="str">
        <f t="shared" si="1626"/>
        <v>Market</v>
      </c>
      <c r="CO500" s="1" t="str">
        <f t="shared" si="1627"/>
        <v>Market</v>
      </c>
      <c r="CP500" s="304">
        <f t="shared" si="1628"/>
        <v>0</v>
      </c>
      <c r="CQ500" s="1">
        <f t="shared" si="1629"/>
        <v>0</v>
      </c>
      <c r="CR500" s="1">
        <f t="shared" si="1630"/>
        <v>0</v>
      </c>
      <c r="CS500" s="1">
        <f t="shared" si="1631"/>
        <v>0</v>
      </c>
      <c r="CT500" s="1">
        <f t="shared" si="1632"/>
        <v>1.8999999999999996E-2</v>
      </c>
      <c r="CU500" s="1">
        <f t="shared" si="1633"/>
        <v>3.9E-2</v>
      </c>
      <c r="CV500" s="304">
        <f t="shared" si="1634"/>
        <v>-2217</v>
      </c>
      <c r="CW500" s="20" t="s">
        <v>122</v>
      </c>
      <c r="CX500" s="20" t="s">
        <v>122</v>
      </c>
      <c r="CY500" s="20" t="s">
        <v>122</v>
      </c>
      <c r="CZ500" s="20" t="s">
        <v>122</v>
      </c>
      <c r="DA500" s="20" t="s">
        <v>122</v>
      </c>
      <c r="DB500" s="503">
        <f t="shared" si="1635"/>
        <v>0</v>
      </c>
      <c r="DC500" s="127">
        <v>0</v>
      </c>
      <c r="DD500" s="127">
        <v>0</v>
      </c>
      <c r="DE500" s="127">
        <v>0</v>
      </c>
      <c r="DF500" s="127">
        <v>0</v>
      </c>
      <c r="DG500" s="127">
        <v>0</v>
      </c>
      <c r="DH500" s="127">
        <v>0</v>
      </c>
      <c r="DI500" s="127">
        <v>0</v>
      </c>
      <c r="DJ500" s="127">
        <v>0</v>
      </c>
      <c r="DK500" s="127">
        <v>0</v>
      </c>
      <c r="DL500" s="127">
        <v>0</v>
      </c>
      <c r="DM500" s="304">
        <f>INDEX(Input!$1:$1048576,DM$93,$C500*2+6)</f>
        <v>20731.578947368424</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750</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1.9E-2</v>
      </c>
      <c r="W501" s="22">
        <f>INDEX(Input!$1:$1048576,W$93,$C501*2+MIN($B501,1)+5)</f>
        <v>3.9E-2</v>
      </c>
      <c r="X501" s="367" t="str">
        <f>INDEX(Input!$1:$1048576,X$93,$C501*2+MIN($B501,1)+5)</f>
        <v>Y</v>
      </c>
      <c r="Y501" s="49">
        <f>INDEX(Input!$1:$1048576,Y$93,$C501*2+MIN($B501,1)+5)</f>
        <v>-951.3618966787526</v>
      </c>
      <c r="Z501" s="584">
        <f>INDEX(Input!$1:$1048576,Z$93,$C501*2+MIN($B501,1)+5)</f>
        <v>0</v>
      </c>
      <c r="AA501" s="49">
        <f>INDEX(Input!$1:$1048576,AA$93,$C501*2+MIN($B501,1)+5)</f>
        <v>0</v>
      </c>
      <c r="AB501" s="367">
        <f>INDEX(Input!$1:$1048576,AB$93,$C501*2+MIN($B501,1)+5)</f>
        <v>0.43</v>
      </c>
      <c r="AC501" s="49">
        <f>INDEX(Input!$1:$1048576,AC$93,$C501*2+MIN($B501,1)+5)</f>
        <v>1000</v>
      </c>
      <c r="AD501" s="367">
        <f>INDEX(Input!$1:$1048576,AD$93,$C501*2+MIN($B501,1)+5)</f>
        <v>0.35</v>
      </c>
      <c r="AE501" s="49">
        <f>INDEX(Input!$1:$1048576,AE$93,$C501*2+MIN($B501,1)+5)</f>
        <v>0</v>
      </c>
      <c r="AF501" s="367">
        <f>INDEX(Input!$1:$1048576,AF$93,$C501*2+MIN($B501,1)+5)</f>
        <v>1</v>
      </c>
      <c r="AG501" s="49">
        <f>INDEX(Input!$1:$1048576,AG$93,$C501*2+MIN($B501,1)+5)</f>
        <v>500</v>
      </c>
      <c r="AH501" s="367">
        <f>INDEX(Input!$1:$1048576,AH$93,$C501*2+MIN($B501,1)+5)</f>
        <v>1</v>
      </c>
      <c r="AI501" s="49">
        <f>INDEX(Input!$1:$1048576,AI$93,$C501*2+MIN($B501,1)+5)</f>
        <v>500</v>
      </c>
      <c r="AJ501" s="367">
        <f>INDEX(Input!$1:$1048576,AJ$93,$C501*2+MIN($B501,1)+5)</f>
        <v>0.35</v>
      </c>
      <c r="AK501" s="298">
        <f>ROUND(INDEX(Input!$1:$1048576,AK$93,$C501*2+MIN($B501,1)+5),0)</f>
        <v>4739</v>
      </c>
      <c r="AL501" s="49">
        <f>ROUND(INDEX(Input!$1:$1048576,AL$93,$C501*2+MIN($B501,1)+5),0)</f>
        <v>4739</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+ 0/0/0/1.9/3.9</v>
      </c>
      <c r="AO501" s="44" t="str">
        <f>IF(S501="market","std",ROUND(S501*1000,0)/10)&amp;"/"&amp;IF(T501="market","std",ROUND(T501*1000,0)/10)&amp;"/"&amp;IF(U501="market","std",ROUND(U501*1000,0)/10)&amp;"/"&amp;IF(V501="market","std",ROUND(V501*1000,0)/10)&amp;IF(X501="N","","/"&amp;IF(W501="market","std",ROUND(W501*1000,0)/10))</f>
        <v>0/0/0/1.9/3.9</v>
      </c>
      <c r="AP501" s="44" t="str">
        <f t="shared" si="1621"/>
        <v>0/0.9/1.9/3.9</v>
      </c>
      <c r="AQ501" s="507">
        <f t="shared" si="1620"/>
        <v>850.46495956873309</v>
      </c>
      <c r="AR501" s="44"/>
      <c r="AS501" s="368"/>
      <c r="AT501" s="579">
        <v>1</v>
      </c>
      <c r="AU501" s="45" t="s">
        <v>121</v>
      </c>
      <c r="AV501" s="45" t="s">
        <v>116</v>
      </c>
      <c r="AW501" s="45" t="str">
        <f>INDEX(Input!$1:$1048576,AW$93,$C501*2+6)</f>
        <v>Kia</v>
      </c>
      <c r="AX501" s="45" t="str">
        <f>INDEX(Input!$1:$1048576,AX$93,$C501*2+6)</f>
        <v>Kia-LR - R2</v>
      </c>
      <c r="AY501" s="10" t="str">
        <f>IF(LEN(D501)=0,"",INDEX(Input!$1:$1048576,AY$93,$C501*2+6))</f>
        <v>Compact Conventional/Sporty Car (43)</v>
      </c>
      <c r="AZ501" s="45" t="str">
        <f>INDEX(Input!$1:$1048576,AZ$93,$C501*2+6)</f>
        <v>Kia Forte</v>
      </c>
      <c r="BA501" s="50">
        <f>INDEX(Input!$1:$1048576,BA$93,$C501*2+6)</f>
        <v>2020</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19695</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622"/>
        <v>1100</v>
      </c>
      <c r="CJ501" s="46" t="str">
        <f>INDEX(Input!$1:$1048576,CJ$93,$C501*2+6)</f>
        <v>N</v>
      </c>
      <c r="CK501" s="38" t="str">
        <f t="shared" si="1623"/>
        <v>Market</v>
      </c>
      <c r="CL501" s="38" t="str">
        <f t="shared" si="1624"/>
        <v>Market</v>
      </c>
      <c r="CM501" s="38" t="str">
        <f t="shared" si="1625"/>
        <v>Market</v>
      </c>
      <c r="CN501" s="38" t="str">
        <f t="shared" si="1626"/>
        <v>Market</v>
      </c>
      <c r="CO501" s="38" t="str">
        <f t="shared" si="1627"/>
        <v>Market</v>
      </c>
      <c r="CP501" s="49">
        <f t="shared" si="1628"/>
        <v>350</v>
      </c>
      <c r="CQ501" s="38">
        <f t="shared" si="1629"/>
        <v>0</v>
      </c>
      <c r="CR501" s="38">
        <f t="shared" si="1630"/>
        <v>0</v>
      </c>
      <c r="CS501" s="38">
        <f t="shared" si="1631"/>
        <v>0</v>
      </c>
      <c r="CT501" s="38">
        <f t="shared" si="1632"/>
        <v>1.9E-2</v>
      </c>
      <c r="CU501" s="38">
        <f t="shared" si="1633"/>
        <v>3.9E-2</v>
      </c>
      <c r="CV501" s="49">
        <f t="shared" si="1634"/>
        <v>-776.3618966787526</v>
      </c>
      <c r="CW501" s="22" t="s">
        <v>122</v>
      </c>
      <c r="CX501" s="22" t="s">
        <v>122</v>
      </c>
      <c r="CY501" s="22" t="s">
        <v>122</v>
      </c>
      <c r="CZ501" s="22" t="s">
        <v>122</v>
      </c>
      <c r="DA501" s="22" t="s">
        <v>122</v>
      </c>
      <c r="DB501" s="502">
        <f t="shared" si="1635"/>
        <v>500</v>
      </c>
      <c r="DC501" s="29">
        <v>0</v>
      </c>
      <c r="DD501" s="29">
        <v>0</v>
      </c>
      <c r="DE501" s="29">
        <v>0</v>
      </c>
      <c r="DF501" s="49">
        <v>0</v>
      </c>
      <c r="DG501" s="49">
        <v>0</v>
      </c>
      <c r="DH501" s="49">
        <v>0</v>
      </c>
      <c r="DI501" s="49">
        <v>0</v>
      </c>
      <c r="DJ501" s="49">
        <v>0</v>
      </c>
      <c r="DK501" s="29">
        <v>0</v>
      </c>
      <c r="DL501" s="29">
        <v>0</v>
      </c>
      <c r="DM501" s="49">
        <f>INDEX(Input!$1:$1048576,DM$93,$C501*2+6)</f>
        <v>20731.578947368424</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4.3302865817760272E-2</v>
      </c>
      <c r="DZ501" s="37">
        <v>0</v>
      </c>
      <c r="EA501" s="37">
        <v>0.77071337198695056</v>
      </c>
      <c r="EB501" s="37">
        <v>0</v>
      </c>
      <c r="EC501" s="37">
        <v>0</v>
      </c>
      <c r="ED501" s="37">
        <v>0</v>
      </c>
      <c r="EE501" s="37">
        <v>0</v>
      </c>
      <c r="EF501" s="37">
        <v>0</v>
      </c>
      <c r="EG501" s="37">
        <v>0</v>
      </c>
      <c r="EH501" s="37">
        <v>1.4442177616033731E-2</v>
      </c>
      <c r="EI501" s="37">
        <v>1.8189250312730821E-2</v>
      </c>
      <c r="EJ501" s="37">
        <v>0.26752662049105314</v>
      </c>
      <c r="EK501" s="37">
        <v>0.65345966200797001</v>
      </c>
      <c r="EL501" s="37">
        <v>4.6382289572212278E-2</v>
      </c>
      <c r="EM501" s="37">
        <v>6.8058927680085257E-2</v>
      </c>
      <c r="EN501" s="37">
        <v>4.7002537465381848E-2</v>
      </c>
      <c r="EO501" s="37">
        <v>0.58328600386721985</v>
      </c>
      <c r="EP501" s="37">
        <v>0.24981490953312291</v>
      </c>
      <c r="EQ501" s="37">
        <v>7.2832868412001844E-2</v>
      </c>
      <c r="ER501" s="37">
        <v>4.7063680722273217E-2</v>
      </c>
      <c r="ES501" s="37">
        <v>0.11792483451520383</v>
      </c>
      <c r="ET501" s="37">
        <v>0.18598376219528912</v>
      </c>
      <c r="EU501" s="36">
        <v>1200</v>
      </c>
      <c r="EV501" s="36">
        <v>0</v>
      </c>
      <c r="EW501" s="36">
        <v>1200</v>
      </c>
      <c r="EX501" s="36">
        <v>0</v>
      </c>
      <c r="EY501" s="36">
        <v>2231.5440334087361</v>
      </c>
      <c r="EZ501" s="36">
        <v>-2048.0908300335955</v>
      </c>
      <c r="FA501" s="36">
        <v>0</v>
      </c>
      <c r="FB501" s="36">
        <v>0</v>
      </c>
      <c r="FC501" s="36">
        <v>0</v>
      </c>
      <c r="FD501" s="36">
        <v>0</v>
      </c>
      <c r="FE501" s="36">
        <v>0</v>
      </c>
      <c r="FF501" s="36">
        <v>0</v>
      </c>
      <c r="FG501" s="36">
        <v>0</v>
      </c>
      <c r="FH501" s="36">
        <v>1153.9860477720313</v>
      </c>
      <c r="FI501" s="36">
        <v>1531.4299904380616</v>
      </c>
      <c r="FJ501" s="36">
        <v>2070.7205842538228</v>
      </c>
      <c r="FK501" s="36">
        <v>1746.9903521590436</v>
      </c>
      <c r="FL501" s="36">
        <v>893.91433563489386</v>
      </c>
      <c r="FM501" s="36">
        <v>1781.5440334087361</v>
      </c>
      <c r="FN501" s="36">
        <v>0</v>
      </c>
      <c r="FO501" s="36">
        <v>0</v>
      </c>
      <c r="FP501" s="36">
        <v>0</v>
      </c>
      <c r="FQ501" s="36">
        <v>0</v>
      </c>
      <c r="FR501" s="36">
        <v>0</v>
      </c>
      <c r="FS501" s="36">
        <v>0</v>
      </c>
      <c r="FT501" s="37">
        <v>0.81401623780471088</v>
      </c>
      <c r="FU501" s="37">
        <v>6.8058927680085257E-2</v>
      </c>
      <c r="FV501" s="37">
        <v>0.11792483451520383</v>
      </c>
      <c r="FW501" s="36">
        <v>1200</v>
      </c>
      <c r="FX501" s="36">
        <v>2231.5440334087361</v>
      </c>
      <c r="FY501" s="36">
        <v>-2048.0908300335955</v>
      </c>
      <c r="FZ501" s="36">
        <v>2411.9063952864503</v>
      </c>
      <c r="GA501" s="36">
        <v>887.17520714652585</v>
      </c>
      <c r="GB501" s="36">
        <v>18807.824792853473</v>
      </c>
      <c r="GC501" s="37">
        <v>7.6138913542514425E-2</v>
      </c>
      <c r="GD501" s="37">
        <v>6.2875001493236493E-2</v>
      </c>
      <c r="GE501" s="37"/>
      <c r="GF501" s="37"/>
      <c r="GG501" s="37">
        <v>-0.1742067417585573</v>
      </c>
      <c r="GH501" s="35">
        <v>2.2502338809770075</v>
      </c>
      <c r="GI501" s="36">
        <v>9639.5987514266508</v>
      </c>
      <c r="GJ501" s="34">
        <v>0.51074630601039539</v>
      </c>
      <c r="GK501" s="34">
        <v>0.50829519786160959</v>
      </c>
      <c r="GL501" s="34">
        <v>0.48925369398960428</v>
      </c>
      <c r="GM501" s="33">
        <v>0.49170480213839046</v>
      </c>
      <c r="GN501" s="61"/>
      <c r="GO501" s="13">
        <v>338.16872463277008</v>
      </c>
      <c r="GP501" s="27">
        <v>315.27501390194027</v>
      </c>
      <c r="GQ501" s="27">
        <v>527.27910984145694</v>
      </c>
      <c r="GR501" s="27">
        <v>404.20319246551543</v>
      </c>
      <c r="GS501" s="27">
        <v>334.50205195691484</v>
      </c>
      <c r="GT501" s="27">
        <v>289.18266033348181</v>
      </c>
      <c r="GU501" s="27">
        <v>254.29573314828914</v>
      </c>
      <c r="GV501" s="29" t="s">
        <v>392</v>
      </c>
      <c r="GW501" s="27">
        <v>479.875</v>
      </c>
      <c r="GX501" s="27">
        <v>359.90625</v>
      </c>
      <c r="GY501" s="27">
        <v>287.92500000000001</v>
      </c>
      <c r="GZ501" s="27">
        <v>254.06342861438094</v>
      </c>
      <c r="HA501" s="27">
        <v>235.34107974463737</v>
      </c>
      <c r="HB501" s="29">
        <v>267.44032735863919</v>
      </c>
      <c r="HC501" s="27">
        <v>372.71959881396975</v>
      </c>
      <c r="HD501" s="27">
        <v>297.48387091145639</v>
      </c>
      <c r="HE501" s="27">
        <v>294.24828827868106</v>
      </c>
      <c r="HF501" s="27">
        <v>265.06527478663213</v>
      </c>
      <c r="HG501" s="27">
        <v>246.83000845283692</v>
      </c>
      <c r="HH501" s="12">
        <v>295.46674769247215</v>
      </c>
      <c r="HI501" s="94"/>
      <c r="HJ501" s="335" t="s">
        <v>353</v>
      </c>
      <c r="HK501" s="335" t="s">
        <v>353</v>
      </c>
      <c r="HL501" s="94"/>
      <c r="HM501" s="640">
        <f t="shared" ref="HM501:HM564" si="1636">VLOOKUP($C501*1000+1,$A:$HH,FT$92,FALSE)*$JF501</f>
        <v>5.1181272167489952E-2</v>
      </c>
      <c r="HN501" s="22">
        <f t="shared" ref="HN501:HN564" si="1637">VLOOKUP($C501*1000+1,$A:$HH,FU$92,FALSE)*$JF501</f>
        <v>4.2792051795134348E-3</v>
      </c>
      <c r="HO501" s="638">
        <f t="shared" ref="HO501:HO564" si="1638">VLOOKUP($C501*1000+1,$A:$HH,FV$92,FALSE)*$JF501</f>
        <v>7.4145241462331068E-3</v>
      </c>
      <c r="HP501" s="649">
        <f>(FT501*$GD501-HM501)/$JF501*INDEX(Input!$1:$1048576,$JG$93,$C501*2+6)</f>
        <v>0</v>
      </c>
      <c r="HQ501" s="650">
        <f>(FU501*$GD501-HN501)/$JF501*INDEX(Input!$1:$1048576,$JG$93,$C501*2+6)</f>
        <v>0</v>
      </c>
      <c r="HR501" s="651">
        <f>(FV501*$GD501-HO501)/$JF501*INDEX(Input!$1:$1048576,$JG$93,$C501*2+6)</f>
        <v>0</v>
      </c>
      <c r="HS501" s="650">
        <f t="shared" ref="HS501:HS550" si="1639">IF(AND(HJ501="On",HK501="On"),IL501/1000*INDEX(KG:KG,MATCH(C501*1000+3,$KF:$KF,0))*SUM(HY501:IA501)*1.1
+INDEX(HR:HR,MATCH(C501*1000+4,$KF:$KF,0))/INDEX(IM:IM,MATCH(C501*1000+4,$KF:$KF,0))*IM501*20%,0)</f>
        <v>0</v>
      </c>
      <c r="HT501" s="650">
        <f t="shared" ref="HT501:HT564" si="1640">IF(AND(HJ501="On",HK501="On"),IM501/1000*INDEX(KG:KG,MATCH(C501*1000+4,$KF:$KF,0))*SUM(HY501:IA501)*1.1
+INDEX(HR:HR,MATCH(C501*1000+3,$KF:$KF,0))/INDEX(IL:IL,MATCH(C501*1000+3,$KF:$KF,0))*IL501*20%,0)</f>
        <v>0</v>
      </c>
      <c r="HU501" s="651">
        <f t="shared" ref="HU501:HU564" si="1641">IF(HJ501="On",IN501/1000*INDEX(KG:KG,MATCH(C501*1000+5,$KF:$KF,0))*SUM(HY501:IA501)*1.1
-INDEX(HR:HR,MATCH(C501*1000+3,$KF:$KF,0))/INDEX(IL:IL,MATCH(C501*1000+3,$KF:$KF,0))*IL501*20%
-INDEX(HR:HR,MATCH(C501*1000+4,$KF:$KF,0))/INDEX(IM:IM,MATCH(C501*1000+4,$KF:$KF,0))*IM501*20%,0)</f>
        <v>0</v>
      </c>
      <c r="HV501" s="649">
        <f t="shared" ref="HV501:HV564" si="1642">IL501/1000*0+IM501/1000*0+IN501/1000*0
+(CP501-INDEX(CP:CP,MATCH(C501*1000+1,A:A,0)))/1000*0+IF(FU501&gt;0,0,0)</f>
        <v>0</v>
      </c>
      <c r="HW501" s="650">
        <f t="shared" ref="HW501:HW564" si="1643">IL501/1000*0+IM501/1000*0+IN501/1000*0
+(CP501-INDEX(CP:CP,MATCH(C501*1000+1,A:A,0)))/1000*0+IF(FU501&gt;0,0,0)</f>
        <v>0</v>
      </c>
      <c r="HX501" s="651">
        <f t="shared" ref="HX501:HX564" si="1644">IL501/1000*0+IM501/1000*0+IN501/1000*0
+(CP501-INDEX(CP:CP,MATCH(C501*1000+1,A:A,0)))/1000*0+IF(FU501&gt;0,0,0)</f>
        <v>0</v>
      </c>
      <c r="HY501" s="641">
        <f>INDEX(Input!$1:$1048576,HY$93,$C501*2+6)*INDEX(Input!$1:$1048576,$JG$93,$C501*2+6)</f>
        <v>345</v>
      </c>
      <c r="HZ501" s="641">
        <f>INDEX(Input!$1:$1048576,HZ$93,$C501*2+6)*INDEX(Input!$1:$1048576,$JG$93,$C501*2+6)</f>
        <v>299</v>
      </c>
      <c r="IA501" s="642">
        <f>INDEX(Input!$1:$1048576,IA$93,$C501*2+6)*INDEX(Input!$1:$1048576,$JG$93,$C501*2+6)</f>
        <v>98</v>
      </c>
      <c r="IB501" s="649">
        <f>SUM(HP501:IA501)-IC501-ID501</f>
        <v>345</v>
      </c>
      <c r="IC501" s="650">
        <f>IF(FU501=0,0,1)*MAX(HZ501+HQ501+HT501+HW501,0%)</f>
        <v>299</v>
      </c>
      <c r="ID501" s="651">
        <f>IF(AND(INDEX(Input!$1:$1048576,IA$93,$C501*2+7)="TOS",Y501&lt;=INDEX(Y:Y,MATCH(C501*1000+2,A:A))),0,1)*MAX(IA501+HR501+HU501+HX501,0%)</f>
        <v>98</v>
      </c>
      <c r="IE501" s="129">
        <f>IB501/SUM($IB501:$ID501)</f>
        <v>0.46495956873315364</v>
      </c>
      <c r="IF501" s="652">
        <f t="shared" ref="IF501:IF502" si="1645">IC501/SUM($IB501:$ID501)</f>
        <v>0.40296495956873313</v>
      </c>
      <c r="IG501" s="653">
        <f t="shared" ref="IG501:IG550" si="1646">ID501/SUM($IB501:$ID501)</f>
        <v>0.13207547169811321</v>
      </c>
      <c r="IH501" s="95"/>
      <c r="II501" s="298">
        <f t="shared" ref="II501:II564" si="1647">VLOOKUP($C501*1000+1,$A:$HH,FW$92,FALSE)-VLOOKUP($C501*1000+1,$A:$HH,FA$92,FALSE)*VLOOKUP($C501*1000+1,$A:$HH,DZ$92,FALSE)/VLOOKUP($C501*1000+1,$A:$HH,FT$92,FALSE)</f>
        <v>1200</v>
      </c>
      <c r="IJ501" s="49">
        <f t="shared" ref="IJ501:IJ564" si="1648">VLOOKUP($C501*1000+1,$A:$HH,FX$92,FALSE)</f>
        <v>2231.5440334087361</v>
      </c>
      <c r="IK501" s="40">
        <f t="shared" ref="IK501:IK564" si="1649">VLOOKUP($C501*1000+1,$A:$HH,FY$92,FALSE)</f>
        <v>-2048.0908300335955</v>
      </c>
      <c r="IL501" s="298">
        <f>(FW501-FA501*DZ501/FT501)-II501</f>
        <v>0</v>
      </c>
      <c r="IM501" s="49">
        <f t="shared" ref="IM501:IM550" si="1650">FX501-IJ501</f>
        <v>0</v>
      </c>
      <c r="IN501" s="40">
        <f t="shared" ref="IN501:IN550" si="1651">FY501-IK501</f>
        <v>0</v>
      </c>
      <c r="IO501" s="25">
        <f t="shared" ref="IO501:IO564" si="1652">(F501-VLOOKUP($C501*1000+1,$A:$HH,F$92,FALSE))*(1-$I501)</f>
        <v>0</v>
      </c>
      <c r="IP501" s="29">
        <f t="shared" ref="IP501:IP564" si="1653">(G501-VLOOKUP($C501*1000+1,$A:$HH,G$92,FALSE))*(1-$I501)</f>
        <v>0</v>
      </c>
      <c r="IQ501" s="29">
        <f t="shared" ref="IQ501:IQ564" si="1654">(H501-VLOOKUP($C501*1000+1,$A:$HH,H$92,FALSE))*(1-$I501)</f>
        <v>0</v>
      </c>
      <c r="IR501" s="17">
        <v>0</v>
      </c>
      <c r="IS501" s="29">
        <v>0</v>
      </c>
      <c r="IT501" s="12">
        <v>0</v>
      </c>
      <c r="IU501" s="25">
        <v>0</v>
      </c>
      <c r="IV501" s="29">
        <v>0</v>
      </c>
      <c r="IW501" s="12">
        <v>0</v>
      </c>
      <c r="IX501" s="372">
        <f>INDEX(Input!$1:$1048576,IX$93,$C501*2+6)+INDEX(Input!$1:$1048576,IX$94,$C501*2+6)</f>
        <v>1600</v>
      </c>
      <c r="IY501" s="373">
        <f>INDEX(Input!$1:$1048576,IY$93,$C501*2+6)+INDEX(Input!$1:$1048576,IY$94,$C501*2+6)</f>
        <v>2503.5492916397525</v>
      </c>
      <c r="IZ501" s="374">
        <f>INDEX(Input!$1:$1048576,IZ$93,$C501*2+6)+INDEX(Input!$1:$1048576,IZ$94,$C501*2+6)</f>
        <v>5413.7109265464023</v>
      </c>
      <c r="JA501" s="298">
        <f>(IL501+IO501+IR501+IU501+IX501)</f>
        <v>1600</v>
      </c>
      <c r="JB501" s="49">
        <f>(IM501+IP501+IS501+IV501+IY501)</f>
        <v>2503.5492916397525</v>
      </c>
      <c r="JC501" s="49">
        <f>(IN501+IQ501+IT501+IW501+IZ501)</f>
        <v>5413.7109265464023</v>
      </c>
      <c r="JD501" s="40">
        <f>SUMPRODUCT(IE501:IG501,JA501:JC501)</f>
        <v>2467.7963733178349</v>
      </c>
      <c r="JE501" s="95"/>
      <c r="JF501" s="28">
        <f t="shared" ref="JF501:JF564" si="1655">VLOOKUP($C501*1000+1,$A:$HH,GD$92,FALSE)</f>
        <v>6.2875001493236493E-2</v>
      </c>
      <c r="JG501" s="23">
        <f>INDEX(Input!$1:$1048576,JG$93,$C501*2+6)/(1+VLOOKUP(C501*1000+INDEX(Input!$1:$1048576,JG$93+1,$C501*2+6),$A:$KK,$JK$92,FALSE))</f>
        <v>742</v>
      </c>
      <c r="JH501" s="38">
        <f>SUM(HP501:HR501)/SUM(HY501:IA501)</f>
        <v>0</v>
      </c>
      <c r="JI501" s="38">
        <f>SUM(HS501:HU501)/SUM(HY501:IA501)</f>
        <v>0</v>
      </c>
      <c r="JJ501" s="11">
        <f>SUM(HV501:HX501)/SUM(HY501:IA501)</f>
        <v>0</v>
      </c>
      <c r="JK501" s="2">
        <f>SUM(JH501:JJ501)</f>
        <v>0</v>
      </c>
      <c r="JL501" s="9">
        <f>JG501*JK501</f>
        <v>0</v>
      </c>
      <c r="JM501" s="8">
        <f>JG501+JL501</f>
        <v>742</v>
      </c>
      <c r="JN501" s="95"/>
      <c r="JO501" s="375">
        <f>INDEX(Input!$1:$1048576,JO$93,$C501*2+6)</f>
        <v>5908.5</v>
      </c>
      <c r="JP501" s="375">
        <f>INDEX(Input!$1:$1048576,JP$93,$C501*2+6)</f>
        <v>2467.7963733178344</v>
      </c>
      <c r="JQ501" s="25">
        <f>JO501-JD501</f>
        <v>3440.7036266821651</v>
      </c>
      <c r="JR501" s="29">
        <f t="shared" ref="JR501" si="1656">JD501-JP501</f>
        <v>0</v>
      </c>
      <c r="JS501" s="29">
        <f t="shared" ref="JS501" si="1657">JM501*JD501/1000000</f>
        <v>1.8311049090018334</v>
      </c>
      <c r="JT501" s="29">
        <f>(JD501*JM501-JP501*JG501)/1000000</f>
        <v>4.6566128730773924E-16</v>
      </c>
      <c r="JU501" s="376">
        <f>(JQ501*JM501-INDEX(Input!$1:$1048576,Input!A$18,$C501*2+6)*JL501*INDEX(Input!$1:$1048576,Input!A$19,$C501*2+6))/1000000</f>
        <v>2.5530020909981666</v>
      </c>
      <c r="JV501" s="29">
        <f t="shared" ref="JV501:JV512" si="1658">JU501-(JO501-JP501)*JG501/1000000</f>
        <v>0</v>
      </c>
      <c r="JW501" s="38">
        <f>JV501/(JU501-JV501)</f>
        <v>0</v>
      </c>
      <c r="JX501" s="40">
        <f>IF(JL501=0,0,JT501/JL501)*1000000</f>
        <v>0</v>
      </c>
      <c r="JZ501" s="377"/>
      <c r="KA501" s="378"/>
      <c r="KB501" s="474">
        <f>KA506</f>
        <v>2.4623520912331753</v>
      </c>
      <c r="KC501" s="379"/>
      <c r="KD501" s="379"/>
      <c r="KE501" s="379"/>
      <c r="KF501" s="379"/>
      <c r="KG501" s="380"/>
      <c r="KI501" s="381"/>
      <c r="KJ501" s="379"/>
      <c r="KK501" s="379"/>
      <c r="KL501" s="380"/>
      <c r="KN501" s="542">
        <f>C501*1000+$KN$97</f>
        <v>5002</v>
      </c>
      <c r="KO501" s="540">
        <f t="shared" ref="KO501:KO564" si="1659">JM501/INDEX(JM:JM,MATCH(KN501,A:A,0))-1</f>
        <v>-7.0816294369904331E-2</v>
      </c>
      <c r="KP501" s="545">
        <f t="shared" ref="KP501:KP564" si="1660">(IL501-INDEX(IL:IL,MATCH(KN501,A:A,0)))*IE501
+(IM501-IF(HN501=0,INDEX(IX:IX,MATCH(KN501,A:A,0)),INDEX(IM:IM,MATCH(KN501,A:A,0))))*IF501
+(IN501-INDEX(IN:IN,MATCH(KN501,A:A,0)))*IG501</f>
        <v>-390.1085258057999</v>
      </c>
      <c r="KQ501" s="545">
        <f t="shared" ref="KQ501:KQ564" si="1661">JD501-INDEX(JD:JD,MATCH(KN501,A:A,0))</f>
        <v>-390.97607283387424</v>
      </c>
      <c r="KR501" s="549">
        <f t="shared" ref="KR501:KR564" si="1662">KO501/(KP501/(BX501-INDEX(JD:JD,MATCH(KN501,A:A,0))))</f>
        <v>3.0562757993285792</v>
      </c>
      <c r="KS501" s="549">
        <f t="shared" ref="KS501:KS564" si="1663">KO501/(KQ501/(BX501-INDEX(JD:JD,MATCH(KN501,A:A,0))))</f>
        <v>3.0494941490668004</v>
      </c>
      <c r="KT501" s="661">
        <f>(1+JK506/(JD506-JD501)*(0-JD501))*JM501</f>
        <v>389.37465324503302</v>
      </c>
      <c r="KU501" s="662">
        <f>IF(D501="",0,IFERROR((JM501/KT501-1)/(JD501/BX501)+B501*10^-6,0))</f>
        <v>7.227574426791457</v>
      </c>
      <c r="KV501" s="568"/>
      <c r="KW501" s="26"/>
    </row>
    <row r="502" spans="1:310" s="60" customFormat="1" ht="15.75" thickBot="1">
      <c r="A502" s="560">
        <f t="shared" ref="A502:A550" si="1664">C502*1000+B502</f>
        <v>5002</v>
      </c>
      <c r="B502" s="560">
        <f>B501+1</f>
        <v>2</v>
      </c>
      <c r="C502" s="560">
        <f>C501</f>
        <v>5</v>
      </c>
      <c r="D502" s="560" t="s">
        <v>567</v>
      </c>
      <c r="E502" s="365">
        <f>INDEX(Input!$1:$1048576,E$93,$C502*2+MIN($B502,2)+5)</f>
        <v>1250</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1.9E-2</v>
      </c>
      <c r="W502" s="22">
        <f>INDEX(Input!$1:$1048576,W$93,$C502*2+MIN($B502,2)+5)</f>
        <v>3.9E-2</v>
      </c>
      <c r="X502" s="367" t="str">
        <f>INDEX(Input!$1:$1048576,X$93,$C502*2+MIN($B502,2)+5)</f>
        <v>Y</v>
      </c>
      <c r="Y502" s="49">
        <f>INDEX(Input!$1:$1048576,Y$93,$C502*2+MIN($B502,2)+5)</f>
        <v>-1098.3618966787526</v>
      </c>
      <c r="Z502" s="584">
        <f>INDEX(Input!$1:$1048576,Z$93,$C502*2+MIN($B502,2)+5)</f>
        <v>0</v>
      </c>
      <c r="AA502" s="49">
        <f>INDEX(Input!$1:$1048576,AA$93,$C502*2+MIN($B502,2)+5)</f>
        <v>500</v>
      </c>
      <c r="AB502" s="367">
        <f>INDEX(Input!$1:$1048576,AB$93,$C502*2+MIN($B502,2)+5)</f>
        <v>0.43</v>
      </c>
      <c r="AC502" s="49">
        <f>INDEX(Input!$1:$1048576,AC$93,$C502*2+MIN($B502,2)+5)</f>
        <v>0</v>
      </c>
      <c r="AD502" s="367">
        <f>INDEX(Input!$1:$1048576,AD$93,$C502*2+MIN($B502,2)+5)</f>
        <v>0.35</v>
      </c>
      <c r="AE502" s="49">
        <f>INDEX(Input!$1:$1048576,AE$93,$C502*2+MIN($B502,2)+5)</f>
        <v>0</v>
      </c>
      <c r="AF502" s="367">
        <f>INDEX(Input!$1:$1048576,AF$93,$C502*2+MIN($B502,2)+5)</f>
        <v>1</v>
      </c>
      <c r="AG502" s="49">
        <f>INDEX(Input!$1:$1048576,AG$93,$C502*2+MIN($B502,2)+5)</f>
        <v>0</v>
      </c>
      <c r="AH502" s="367">
        <f>INDEX(Input!$1:$1048576,AH$93,$C502*2+MIN($B502,2)+5)</f>
        <v>1</v>
      </c>
      <c r="AI502" s="49">
        <f>INDEX(Input!$1:$1048576,AI$93,$C502*2+MIN($B502,2)+5)</f>
        <v>0</v>
      </c>
      <c r="AJ502" s="367">
        <f>INDEX(Input!$1:$1048576,AJ$93,$C502*2+MIN($B502,2)+5)</f>
        <v>0.35</v>
      </c>
      <c r="AK502" s="298">
        <f>ROUND(INDEX(Input!$1:$1048576,AK$93,$C502*2+MIN($B502,2)+5),0)</f>
        <v>4592</v>
      </c>
      <c r="AL502" s="49">
        <f>ROUND(INDEX(Input!$1:$1048576,AL$93,$C501*2+6)-(Y502-VLOOKUP($C502*1000+1,$A:$HH,Y$92,FALSE))/36,0)</f>
        <v>4743</v>
      </c>
      <c r="AM502" s="46" t="str">
        <f t="shared" ref="AM502:AM550" si="1665">IF(K502="market","std",ROUND(K502*1000,0)/10)&amp;"/"&amp;IF(L502="market","std",ROUND(L502*1000,0)/10)&amp;"/"&amp;IF(M502="market","std",ROUND(M502*1000,0)/10)&amp;"/"&amp;IF(N502="market","std",ROUND(N502*1000,0)/10)&amp;IF(P502="N","","/"&amp;IF(O502="market","std",ROUND(O502*1000,0)/10))</f>
        <v>std/std/std/std</v>
      </c>
      <c r="AN502" s="46" t="str">
        <f t="shared" ref="AN502:AN550" si="1666">"$"&amp;ROUND(Q502,0)&amp;" + "&amp;IF(S502="market","std",ROUND(S502*1000,0)/10)&amp;"/"&amp;IF(T502="market","std",ROUND(T502*1000,0)/10)&amp;"/"&amp;IF(U502="market","std",ROUND(U502*1000,0)/10)&amp;"/"&amp;IF(V502="market","std",ROUND(V502*1000,0)/10)&amp;IF(X502="N","","/"&amp;IF(W502="market","std",ROUND(W502*1000,0)/10))</f>
        <v>$0 + 0/0/0/1.9/3.9</v>
      </c>
      <c r="AO502" s="44" t="str">
        <f t="shared" ref="AO502:AO550" si="1667">IF(S502="market","std",ROUND(S502*1000,0)/10)&amp;"/"&amp;IF(T502="market","std",ROUND(T502*1000,0)/10)&amp;"/"&amp;IF(U502="market","std",ROUND(U502*1000,0)/10)&amp;"/"&amp;IF(V502="market","std",ROUND(V502*1000,0)/10)&amp;IF(X502="N","","/"&amp;IF(W502="market","std",ROUND(W502*1000,0)/10))</f>
        <v>0/0/0/1.9/3.9</v>
      </c>
      <c r="AP502" s="44" t="str">
        <f t="shared" si="1621"/>
        <v>0/0.9/1.9/3.9</v>
      </c>
      <c r="AQ502" s="507">
        <f t="shared" si="1620"/>
        <v>0.46376516349881025</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Compact Conventional/Sporty Car (43)</v>
      </c>
      <c r="AZ502" s="45" t="str">
        <f>INDEX(Input!$1:$1048576,AZ$93,$C502*2+6)</f>
        <v>Kia Forte</v>
      </c>
      <c r="BA502" s="50">
        <f>INDEX(Input!$1:$1048576,BA$93,$C502*2+6)</f>
        <v>2020</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19695</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622"/>
        <v>1250</v>
      </c>
      <c r="CJ502" s="46" t="str">
        <f>INDEX(Input!$1:$1048576,CJ$93,$C502*2+6)</f>
        <v>N</v>
      </c>
      <c r="CK502" s="38" t="str">
        <f t="shared" si="1623"/>
        <v>Market</v>
      </c>
      <c r="CL502" s="38" t="str">
        <f t="shared" si="1624"/>
        <v>Market</v>
      </c>
      <c r="CM502" s="38" t="str">
        <f t="shared" si="1625"/>
        <v>Market</v>
      </c>
      <c r="CN502" s="38" t="str">
        <f t="shared" si="1626"/>
        <v>Market</v>
      </c>
      <c r="CO502" s="38" t="str">
        <f t="shared" si="1627"/>
        <v>Market</v>
      </c>
      <c r="CP502" s="49">
        <f t="shared" si="1628"/>
        <v>215</v>
      </c>
      <c r="CQ502" s="38">
        <f t="shared" si="1629"/>
        <v>0</v>
      </c>
      <c r="CR502" s="38">
        <f t="shared" si="1630"/>
        <v>0</v>
      </c>
      <c r="CS502" s="38">
        <f t="shared" si="1631"/>
        <v>0</v>
      </c>
      <c r="CT502" s="38">
        <f t="shared" si="1632"/>
        <v>1.9E-2</v>
      </c>
      <c r="CU502" s="38">
        <f t="shared" si="1633"/>
        <v>3.9E-2</v>
      </c>
      <c r="CV502" s="49">
        <f t="shared" si="1634"/>
        <v>-1098.3618966787526</v>
      </c>
      <c r="CW502" s="22" t="s">
        <v>122</v>
      </c>
      <c r="CX502" s="22" t="s">
        <v>122</v>
      </c>
      <c r="CY502" s="22" t="s">
        <v>122</v>
      </c>
      <c r="CZ502" s="22" t="s">
        <v>122</v>
      </c>
      <c r="DA502" s="22" t="s">
        <v>122</v>
      </c>
      <c r="DB502" s="502">
        <f t="shared" si="1635"/>
        <v>0</v>
      </c>
      <c r="DC502" s="29">
        <v>0</v>
      </c>
      <c r="DD502" s="29">
        <v>0</v>
      </c>
      <c r="DE502" s="29">
        <v>0</v>
      </c>
      <c r="DF502" s="49">
        <v>0</v>
      </c>
      <c r="DG502" s="49">
        <v>0</v>
      </c>
      <c r="DH502" s="49">
        <v>0</v>
      </c>
      <c r="DI502" s="49">
        <v>0</v>
      </c>
      <c r="DJ502" s="49">
        <v>0</v>
      </c>
      <c r="DK502" s="29">
        <v>0</v>
      </c>
      <c r="DL502" s="29">
        <v>0</v>
      </c>
      <c r="DM502" s="49">
        <f>INDEX(Input!$1:$1048576,DM$93,$C502*2+6)</f>
        <v>20731.578947368424</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4.3787186210480132E-2</v>
      </c>
      <c r="DZ502" s="37">
        <v>0</v>
      </c>
      <c r="EA502" s="37">
        <v>0.77449468726689064</v>
      </c>
      <c r="EB502" s="37">
        <v>0</v>
      </c>
      <c r="EC502" s="37">
        <v>0</v>
      </c>
      <c r="ED502" s="37">
        <v>0</v>
      </c>
      <c r="EE502" s="37">
        <v>0</v>
      </c>
      <c r="EF502" s="37">
        <v>0</v>
      </c>
      <c r="EG502" s="37">
        <v>0</v>
      </c>
      <c r="EH502" s="37">
        <v>1.444564245154017E-2</v>
      </c>
      <c r="EI502" s="37">
        <v>1.8188991628259862E-2</v>
      </c>
      <c r="EJ502" s="37">
        <v>0.26762911402340145</v>
      </c>
      <c r="EK502" s="37">
        <v>0.65335865198351217</v>
      </c>
      <c r="EL502" s="37">
        <v>4.6377599913286438E-2</v>
      </c>
      <c r="EM502" s="37">
        <v>6.8511608393119788E-2</v>
      </c>
      <c r="EN502" s="37">
        <v>4.7388854629482856E-2</v>
      </c>
      <c r="EO502" s="37">
        <v>0.58258099994699164</v>
      </c>
      <c r="EP502" s="37">
        <v>0.25106743422072464</v>
      </c>
      <c r="EQ502" s="37">
        <v>7.2208499252815098E-2</v>
      </c>
      <c r="ER502" s="37">
        <v>4.6754211949986031E-2</v>
      </c>
      <c r="ES502" s="37">
        <v>0.11320651812950946</v>
      </c>
      <c r="ET502" s="37">
        <v>0.18171812652262925</v>
      </c>
      <c r="EU502" s="36">
        <v>1600</v>
      </c>
      <c r="EV502" s="36">
        <v>0</v>
      </c>
      <c r="EW502" s="36">
        <v>1600</v>
      </c>
      <c r="EX502" s="36">
        <v>0</v>
      </c>
      <c r="EY502" s="36">
        <v>2631.5792379167751</v>
      </c>
      <c r="EZ502" s="36">
        <v>-1723.0908300335955</v>
      </c>
      <c r="FA502" s="36">
        <v>0</v>
      </c>
      <c r="FB502" s="36">
        <v>0</v>
      </c>
      <c r="FC502" s="36">
        <v>0</v>
      </c>
      <c r="FD502" s="36">
        <v>0</v>
      </c>
      <c r="FE502" s="36">
        <v>0</v>
      </c>
      <c r="FF502" s="36">
        <v>0</v>
      </c>
      <c r="FG502" s="36">
        <v>0</v>
      </c>
      <c r="FH502" s="36">
        <v>1153.9876065617864</v>
      </c>
      <c r="FI502" s="36">
        <v>1531.4299904380621</v>
      </c>
      <c r="FJ502" s="36">
        <v>2070.7205842538224</v>
      </c>
      <c r="FK502" s="36">
        <v>1746.9903521590434</v>
      </c>
      <c r="FL502" s="36">
        <v>893.91433563489363</v>
      </c>
      <c r="FM502" s="36">
        <v>1781.5792379167749</v>
      </c>
      <c r="FN502" s="36">
        <v>0</v>
      </c>
      <c r="FO502" s="36">
        <v>0</v>
      </c>
      <c r="FP502" s="36">
        <v>0</v>
      </c>
      <c r="FQ502" s="36">
        <v>0</v>
      </c>
      <c r="FR502" s="36">
        <v>0</v>
      </c>
      <c r="FS502" s="36">
        <v>0</v>
      </c>
      <c r="FT502" s="37">
        <v>0.8182818734773708</v>
      </c>
      <c r="FU502" s="37">
        <v>6.8511608393119788E-2</v>
      </c>
      <c r="FV502" s="37">
        <v>0.11320651812950946</v>
      </c>
      <c r="FW502" s="36">
        <v>1599.9999999999998</v>
      </c>
      <c r="FX502" s="36">
        <v>2631.5792379167751</v>
      </c>
      <c r="FY502" s="36">
        <v>-1723.0908300335955</v>
      </c>
      <c r="FZ502" s="36">
        <v>2411.9063952864503</v>
      </c>
      <c r="GA502" s="36">
        <v>1294.479610478422</v>
      </c>
      <c r="GB502" s="36">
        <v>18400.520389521578</v>
      </c>
      <c r="GC502" s="37">
        <v>7.6138913542514425E-2</v>
      </c>
      <c r="GD502" s="37">
        <v>6.5947618320524606E-2</v>
      </c>
      <c r="GE502" s="37"/>
      <c r="GF502" s="37"/>
      <c r="GG502" s="37">
        <v>-0.13385133498522023</v>
      </c>
      <c r="GH502" s="35">
        <v>2.3591720534842975</v>
      </c>
      <c r="GI502" s="36">
        <v>9642.7473728538516</v>
      </c>
      <c r="GJ502" s="34">
        <v>0.5107463060103955</v>
      </c>
      <c r="GK502" s="34">
        <v>0.50829519786160959</v>
      </c>
      <c r="GL502" s="34">
        <v>0.48925369398960417</v>
      </c>
      <c r="GM502" s="33">
        <v>0.49170480213839041</v>
      </c>
      <c r="GN502" s="61"/>
      <c r="GO502" s="13">
        <v>338.16872463277008</v>
      </c>
      <c r="GP502" s="27">
        <v>307.64377699166363</v>
      </c>
      <c r="GQ502" s="27">
        <v>527.27910984145694</v>
      </c>
      <c r="GR502" s="27">
        <v>404.20319246551543</v>
      </c>
      <c r="GS502" s="27">
        <v>334.50205195691484</v>
      </c>
      <c r="GT502" s="27">
        <v>289.18266033348181</v>
      </c>
      <c r="GU502" s="27">
        <v>254.29573314828914</v>
      </c>
      <c r="GV502" s="29" t="s">
        <v>392</v>
      </c>
      <c r="GW502" s="27">
        <v>468.76388888888891</v>
      </c>
      <c r="GX502" s="27">
        <v>351.57291666666669</v>
      </c>
      <c r="GY502" s="27">
        <v>281.25833333333333</v>
      </c>
      <c r="GZ502" s="27">
        <v>248.18079879493993</v>
      </c>
      <c r="HA502" s="27">
        <v>229.8919505212948</v>
      </c>
      <c r="HB502" s="29">
        <v>261.2521799861687</v>
      </c>
      <c r="HC502" s="27">
        <v>358.50084881396981</v>
      </c>
      <c r="HD502" s="27">
        <v>287.77900980034525</v>
      </c>
      <c r="HE502" s="27">
        <v>285.23787161201437</v>
      </c>
      <c r="HF502" s="27">
        <v>257.54964978663213</v>
      </c>
      <c r="HG502" s="27">
        <v>240.60084178617024</v>
      </c>
      <c r="HH502" s="12">
        <v>286.10384491683709</v>
      </c>
      <c r="HI502" s="94"/>
      <c r="HJ502" s="370" t="str">
        <f>HJ501</f>
        <v>On</v>
      </c>
      <c r="HK502" s="371" t="str">
        <f>HK501</f>
        <v>On</v>
      </c>
      <c r="HL502" s="94"/>
      <c r="HM502" s="640">
        <f t="shared" si="1636"/>
        <v>5.1181272167489952E-2</v>
      </c>
      <c r="HN502" s="22">
        <f t="shared" si="1637"/>
        <v>4.2792051795134348E-3</v>
      </c>
      <c r="HO502" s="638">
        <f t="shared" si="1638"/>
        <v>7.4145241462331068E-3</v>
      </c>
      <c r="HP502" s="650">
        <f>(FT502*$GD502-HM502)/$JF502*INDEX(Input!$1:$1048576,$JG$93,$C502*2+6)</f>
        <v>32.836446605828279</v>
      </c>
      <c r="HQ502" s="650">
        <f>(FU502*$GD502-HN502)/$JF502*INDEX(Input!$1:$1048576,$JG$93,$C502*2+6)</f>
        <v>2.820157200941992</v>
      </c>
      <c r="HR502" s="651">
        <f>(FV502*$GD502-HO502)/$JF502*INDEX(Input!$1:$1048576,$JG$93,$C502*2+6)</f>
        <v>0.60393904336440785</v>
      </c>
      <c r="HS502" s="650">
        <f t="shared" si="1639"/>
        <v>-7.4965996723657122</v>
      </c>
      <c r="HT502" s="650">
        <f t="shared" si="1640"/>
        <v>20.981084406451348</v>
      </c>
      <c r="HU502" s="651">
        <f t="shared" si="1641"/>
        <v>6.8053511020232413</v>
      </c>
      <c r="HV502" s="645">
        <f t="shared" si="1642"/>
        <v>0</v>
      </c>
      <c r="HW502" s="646">
        <f t="shared" si="1643"/>
        <v>0</v>
      </c>
      <c r="HX502" s="647">
        <f t="shared" si="1644"/>
        <v>0</v>
      </c>
      <c r="HY502" s="643">
        <f>INDEX(Input!$1:$1048576,HY$93,$C502*2+6)*INDEX(Input!$1:$1048576,$JG$93,$C502*2+6)</f>
        <v>345</v>
      </c>
      <c r="HZ502" s="641">
        <f>INDEX(Input!$1:$1048576,HZ$93,$C502*2+6)*INDEX(Input!$1:$1048576,$JG$93,$C502*2+6)</f>
        <v>299</v>
      </c>
      <c r="IA502" s="642">
        <f>INDEX(Input!$1:$1048576,IA$93,$C502*2+6)*INDEX(Input!$1:$1048576,$JG$93,$C502*2+6)</f>
        <v>98</v>
      </c>
      <c r="IB502" s="649">
        <f t="shared" ref="IB502:IB550" si="1668">SUM(HP502:IA502)-IC502-ID502</f>
        <v>370.33984693346258</v>
      </c>
      <c r="IC502" s="650">
        <f t="shared" ref="IC502:IC550" si="1669">MAX(HZ502+HQ502+HT502+HW502,0%)</f>
        <v>322.80124160739337</v>
      </c>
      <c r="ID502" s="651">
        <f>IF(AND(INDEX(Input!$1:$1048576,IA$93,$C502*2+7)="TOS",Y502&lt;=INDEX(Y:Y,MATCH(C502*1000+2,A:A))),0,1)*MAX(IA502+HR502+HU502+HX502,0%)</f>
        <v>105.40929014538764</v>
      </c>
      <c r="IE502" s="129">
        <f t="shared" ref="IE502" si="1670">IB502/SUM($IB502:$ID502)</f>
        <v>0.46376516349881025</v>
      </c>
      <c r="IF502" s="652">
        <f t="shared" si="1645"/>
        <v>0.40423403485007225</v>
      </c>
      <c r="IG502" s="653">
        <f t="shared" si="1646"/>
        <v>0.13200080165111755</v>
      </c>
      <c r="IH502" s="95"/>
      <c r="II502" s="298">
        <f t="shared" si="1647"/>
        <v>1200</v>
      </c>
      <c r="IJ502" s="49">
        <f t="shared" si="1648"/>
        <v>2231.5440334087361</v>
      </c>
      <c r="IK502" s="40">
        <f t="shared" si="1649"/>
        <v>-2048.0908300335955</v>
      </c>
      <c r="IL502" s="298">
        <f t="shared" ref="IL502:IL550" si="1671">(FW502-FA502*DZ502/FT502)-II502</f>
        <v>399.99999999999977</v>
      </c>
      <c r="IM502" s="49">
        <f t="shared" si="1650"/>
        <v>400.03520450803899</v>
      </c>
      <c r="IN502" s="40">
        <f t="shared" si="1651"/>
        <v>325</v>
      </c>
      <c r="IO502" s="25">
        <f t="shared" si="1652"/>
        <v>0</v>
      </c>
      <c r="IP502" s="29">
        <f t="shared" si="1653"/>
        <v>0</v>
      </c>
      <c r="IQ502" s="29">
        <f t="shared" si="1654"/>
        <v>0</v>
      </c>
      <c r="IR502" s="17">
        <v>0</v>
      </c>
      <c r="IS502" s="29">
        <v>0</v>
      </c>
      <c r="IT502" s="12">
        <v>0</v>
      </c>
      <c r="IU502" s="25">
        <v>0</v>
      </c>
      <c r="IV502" s="29">
        <v>0</v>
      </c>
      <c r="IW502" s="12">
        <v>0</v>
      </c>
      <c r="IX502" s="372">
        <f>INDEX(Input!$1:$1048576,IX$93,$C502*2+6)+INDEX(Input!$1:$1048576,IX$94,$C502*2+6)</f>
        <v>1600</v>
      </c>
      <c r="IY502" s="373">
        <f>INDEX(Input!$1:$1048576,IY$93,$C502*2+6)+INDEX(Input!$1:$1048576,IY$94,$C502*2+6)</f>
        <v>2503.5492916397525</v>
      </c>
      <c r="IZ502" s="374">
        <f>INDEX(Input!$1:$1048576,IZ$93,$C502*2+6)+INDEX(Input!$1:$1048576,IZ$94,$C502*2+6)</f>
        <v>5413.7109265464023</v>
      </c>
      <c r="JA502" s="298">
        <f t="shared" ref="JA502:JA550" si="1672">(IL502+IO502+IR502+IU502+IX502)</f>
        <v>1999.9999999999998</v>
      </c>
      <c r="JB502" s="49">
        <f t="shared" ref="JB502:JB550" si="1673">(IM502+IP502+IS502+IV502+IY502)</f>
        <v>2903.5844961477915</v>
      </c>
      <c r="JC502" s="49">
        <f t="shared" ref="JC502:JC550" si="1674">(IN502+IQ502+IT502+IW502+IZ502)</f>
        <v>5738.7109265464023</v>
      </c>
      <c r="JD502" s="40">
        <f t="shared" ref="JD502:JD550" si="1675">SUMPRODUCT(IE502:IG502,JA502:JC502)</f>
        <v>2858.7724461517091</v>
      </c>
      <c r="JE502" s="382"/>
      <c r="JF502" s="28">
        <f t="shared" si="1655"/>
        <v>6.2875001493236493E-2</v>
      </c>
      <c r="JG502" s="23">
        <f>INDEX(Input!$1:$1048576,JG$93,$C502*2+6)/(1+VLOOKUP(C502*1000+INDEX(Input!$1:$1048576,JG$93+1,$C502*2+6),$A:$KK,$JK$92,FALSE))</f>
        <v>742</v>
      </c>
      <c r="JH502" s="38">
        <f t="shared" ref="JH502:JH550" si="1676">SUM(HP502:HR502)/SUM(HY502:IA502)</f>
        <v>4.886865613225698E-2</v>
      </c>
      <c r="JI502" s="38">
        <f t="shared" ref="JI502:JI550" si="1677">SUM(HS502:HU502)/SUM(HY502:IA502)</f>
        <v>2.7344792231952665E-2</v>
      </c>
      <c r="JJ502" s="11">
        <f t="shared" ref="JJ502:JJ512" si="1678">SUM(HV502:HX502)/SUM(HY502:IA502)</f>
        <v>0</v>
      </c>
      <c r="JK502" s="2">
        <f t="shared" ref="JK502:JK504" si="1679">SUM(JH502:JJ502)</f>
        <v>7.6213448364209652E-2</v>
      </c>
      <c r="JL502" s="9">
        <f t="shared" ref="JL502:JL550" si="1680">JG502*JK502</f>
        <v>56.550378686243562</v>
      </c>
      <c r="JM502" s="8">
        <f t="shared" ref="JM502:JM505" si="1681">JG502+JL502</f>
        <v>798.55037868624356</v>
      </c>
      <c r="JN502" s="95"/>
      <c r="JO502" s="375">
        <f>INDEX(Input!$1:$1048576,JO$93,$C502*2+6)</f>
        <v>5908.5</v>
      </c>
      <c r="JP502" s="375">
        <f>INDEX(Input!$1:$1048576,JP$93,$C502*2+6)</f>
        <v>2467.7963733178344</v>
      </c>
      <c r="JQ502" s="25">
        <f>JO502-JD502</f>
        <v>3049.7275538482909</v>
      </c>
      <c r="JR502" s="29">
        <f>JD502-JP502</f>
        <v>390.9760728338747</v>
      </c>
      <c r="JS502" s="29">
        <f>JM502*JD502/1000000</f>
        <v>2.282873819452246</v>
      </c>
      <c r="JT502" s="29">
        <f t="shared" ref="JT502:JT550" si="1682">(JD502*JM502-JP502*JG502)/1000000</f>
        <v>0.45176891045041312</v>
      </c>
      <c r="JU502" s="376">
        <f>(JQ502*JM502-INDEX(Input!$1:$1048576,Input!A$18,$C502*2+6)*JL502*INDEX(Input!$1:$1048576,Input!A$19,$C502*2+6))/1000000</f>
        <v>2.4353610930154241</v>
      </c>
      <c r="JV502" s="29">
        <f t="shared" si="1658"/>
        <v>-0.11764099798274241</v>
      </c>
      <c r="JW502" s="38">
        <f>JV502/(JU502-JV502)</f>
        <v>-4.6079475766017654E-2</v>
      </c>
      <c r="JX502" s="40">
        <f>IF(JL502=0,0,JT502/JL502)*1000000</f>
        <v>7988.7866526402295</v>
      </c>
      <c r="JZ502" s="377"/>
      <c r="KA502" s="378"/>
      <c r="KB502" s="474">
        <f>KB501</f>
        <v>2.4623520912331753</v>
      </c>
      <c r="KC502" s="379"/>
      <c r="KD502" s="379"/>
      <c r="KE502" s="379"/>
      <c r="KF502" s="379"/>
      <c r="KG502" s="380"/>
      <c r="KI502" s="513">
        <f>$JM502*IE502-$JG502*HY502/SUM($HY502:$IA502)</f>
        <v>25.339846933462582</v>
      </c>
      <c r="KJ502" s="514">
        <f t="shared" ref="KJ502:KJ515" si="1683">$JM502*IF502-$JG502*HZ502/SUM($HY502:$IA502)</f>
        <v>23.801241607393365</v>
      </c>
      <c r="KK502" s="514">
        <f t="shared" ref="KK502:KK550" si="1684">$JM502*IG502-$JG502*IA502/SUM($HY502:$IA502)</f>
        <v>7.4092901453876436</v>
      </c>
      <c r="KL502" s="380"/>
      <c r="KN502" s="543">
        <f>KM502+(KN501-KM501)</f>
        <v>5002</v>
      </c>
      <c r="KO502" s="540">
        <f t="shared" si="1659"/>
        <v>0</v>
      </c>
      <c r="KP502" s="545">
        <f t="shared" si="1660"/>
        <v>0</v>
      </c>
      <c r="KQ502" s="545">
        <f t="shared" si="1661"/>
        <v>0</v>
      </c>
      <c r="KR502" s="547" t="e">
        <f t="shared" si="1662"/>
        <v>#DIV/0!</v>
      </c>
      <c r="KS502" s="547" t="e">
        <f t="shared" si="1663"/>
        <v>#DIV/0!</v>
      </c>
      <c r="KT502" s="661">
        <f>KT501</f>
        <v>389.37465324503302</v>
      </c>
      <c r="KU502" s="662">
        <f t="shared" ref="KU502:KU565" si="1685">IF(D502="",0,IFERROR((JM502/KT502-1)/(JD502/BX502)+B502*10^-6,0))</f>
        <v>7.239668846703248</v>
      </c>
      <c r="KV502" s="568"/>
      <c r="KW502" s="26"/>
      <c r="KX502" s="582"/>
    </row>
    <row r="503" spans="1:310" s="26" customFormat="1" ht="15">
      <c r="A503" s="561">
        <f t="shared" si="1664"/>
        <v>5003</v>
      </c>
      <c r="B503" s="561">
        <f t="shared" ref="B503:B550" si="1686">B502+1</f>
        <v>3</v>
      </c>
      <c r="C503" s="561">
        <f t="shared" ref="C503:C550" si="1687">C502</f>
        <v>5</v>
      </c>
      <c r="D503" s="561" t="s">
        <v>740</v>
      </c>
      <c r="E503" s="475">
        <f>INDEX(Input!$1:$1048576,E$93,$C503*2+MIN($B503,1)+5)+500</f>
        <v>1250</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1.9E-2</v>
      </c>
      <c r="W503" s="862">
        <f>INDEX(Input!$1:$1048576,W$93,$C503*2+MIN($B503,1)+5)</f>
        <v>3.9E-2</v>
      </c>
      <c r="X503" s="118" t="str">
        <f>INDEX(Input!$1:$1048576,X$93,$C503*2+MIN($B503,1)+5)</f>
        <v>Y</v>
      </c>
      <c r="Y503" s="150">
        <f>INDEX(Input!$1:$1048576,Y$93,$C503*2+MIN($B503,1)+5)</f>
        <v>-951.3618966787526</v>
      </c>
      <c r="Z503" s="30">
        <f>INDEX(Input!$1:$1048576,Z$93,$C503*2+MIN($B503,1)+5)</f>
        <v>0</v>
      </c>
      <c r="AA503" s="115">
        <f>INDEX(Input!$1:$1048576,AA$93,$C503*2+MIN($B503,1)+5)</f>
        <v>0</v>
      </c>
      <c r="AB503" s="118">
        <f>INDEX(Input!$1:$1048576,AB$93,$C503*2+MIN($B503,1)+5)</f>
        <v>0.43</v>
      </c>
      <c r="AC503" s="115">
        <f>INDEX(Input!$1:$1048576,AC$93,$C503*2+MIN($B503,1)+5)</f>
        <v>1000</v>
      </c>
      <c r="AD503" s="118">
        <f>INDEX(Input!$1:$1048576,AD$93,$C503*2+MIN($B503,1)+5)</f>
        <v>0.35</v>
      </c>
      <c r="AE503" s="115">
        <f>INDEX(Input!$1:$1048576,AE$93,$C503*2+MIN($B503,1)+5)</f>
        <v>0</v>
      </c>
      <c r="AF503" s="118">
        <f>INDEX(Input!$1:$1048576,AF$93,$C503*2+MIN($B503,1)+5)</f>
        <v>1</v>
      </c>
      <c r="AG503" s="115">
        <f>INDEX(Input!$1:$1048576,AG$93,$C503*2+MIN($B503,1)+5)</f>
        <v>500</v>
      </c>
      <c r="AH503" s="118">
        <f>INDEX(Input!$1:$1048576,AH$93,$C503*2+MIN($B503,1)+5)</f>
        <v>1</v>
      </c>
      <c r="AI503" s="115">
        <f>INDEX(Input!$1:$1048576,AI$93,$C503*2+MIN($B503,1)+5)</f>
        <v>500</v>
      </c>
      <c r="AJ503" s="118">
        <f>INDEX(Input!$1:$1048576,AJ$93,$C503*2+MIN($B503,1)+5)</f>
        <v>0.35</v>
      </c>
      <c r="AK503" s="150">
        <f>ROUND(INDEX(Input!$1:$1048576,AK$93,$C502*2+MIN($B503,1)+5)+(Y503-VLOOKUP($C503*1000+1,$A:$HH,Y$92,FALSE)),0)</f>
        <v>4739</v>
      </c>
      <c r="AL503" s="150">
        <f>ROUND(INDEX(Input!$1:$1048576,AL$93,$C502*2+MIN($B503,1)+5)-(Y503-VLOOKUP($C503*1000+1,$A:$HH,Y$92,FALSE))/36,0)</f>
        <v>4739</v>
      </c>
      <c r="AM503" s="32" t="str">
        <f t="shared" si="1665"/>
        <v>std/std/std/std</v>
      </c>
      <c r="AN503" s="32" t="str">
        <f t="shared" si="1666"/>
        <v>$0 + 0/0/0/1.9/3.9</v>
      </c>
      <c r="AO503" s="32" t="str">
        <f t="shared" si="1667"/>
        <v>0/0/0/1.9/3.9</v>
      </c>
      <c r="AP503" s="32" t="str">
        <f t="shared" si="1621"/>
        <v>0/0.9/1.9/3.9</v>
      </c>
      <c r="AQ503" s="536">
        <f t="shared" si="1620"/>
        <v>850.49740681792105</v>
      </c>
      <c r="AR503" s="32"/>
      <c r="AS503" s="302"/>
      <c r="AT503" s="3">
        <f t="shared" ref="AT503:AT550" si="1688">AT502+1</f>
        <v>3</v>
      </c>
      <c r="AU503" s="41" t="s">
        <v>121</v>
      </c>
      <c r="AV503" s="41" t="s">
        <v>116</v>
      </c>
      <c r="AW503" s="41" t="str">
        <f>INDEX(Input!$1:$1048576,AW$93,$C503*2+6)</f>
        <v>Kia</v>
      </c>
      <c r="AX503" s="41" t="str">
        <f>INDEX(Input!$1:$1048576,AX$93,$C503*2+6)</f>
        <v>Kia-LR - R2</v>
      </c>
      <c r="AY503" s="41" t="str">
        <f>IF(LEN(D503)=0,"",INDEX(Input!$1:$1048576,AY$93,$C503*2+6))</f>
        <v>Compact Conventional/Sporty Car (43)</v>
      </c>
      <c r="AZ503" s="41" t="str">
        <f>INDEX(Input!$1:$1048576,AZ$93,$C503*2+6)</f>
        <v>Kia Forte</v>
      </c>
      <c r="BA503" s="3">
        <f>INDEX(Input!$1:$1048576,BA$93,$C503*2+6)</f>
        <v>2020</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19695</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622"/>
        <v>1600</v>
      </c>
      <c r="CJ503" s="16" t="str">
        <f>INDEX(Input!$1:$1048576,CJ$93,$C503*2+6)</f>
        <v>N</v>
      </c>
      <c r="CK503" s="1" t="str">
        <f t="shared" si="1623"/>
        <v>Market</v>
      </c>
      <c r="CL503" s="1" t="str">
        <f t="shared" si="1624"/>
        <v>Market</v>
      </c>
      <c r="CM503" s="1" t="str">
        <f t="shared" si="1625"/>
        <v>Market</v>
      </c>
      <c r="CN503" s="1" t="str">
        <f t="shared" si="1626"/>
        <v>Market</v>
      </c>
      <c r="CO503" s="1" t="str">
        <f t="shared" si="1627"/>
        <v>Market</v>
      </c>
      <c r="CP503" s="304">
        <f t="shared" si="1628"/>
        <v>350</v>
      </c>
      <c r="CQ503" s="1">
        <f t="shared" si="1629"/>
        <v>0</v>
      </c>
      <c r="CR503" s="1">
        <f t="shared" si="1630"/>
        <v>0</v>
      </c>
      <c r="CS503" s="1">
        <f t="shared" si="1631"/>
        <v>0</v>
      </c>
      <c r="CT503" s="1">
        <f t="shared" si="1632"/>
        <v>1.9E-2</v>
      </c>
      <c r="CU503" s="1">
        <f t="shared" si="1633"/>
        <v>3.9E-2</v>
      </c>
      <c r="CV503" s="304">
        <f t="shared" si="1634"/>
        <v>-776.3618966787526</v>
      </c>
      <c r="CW503" s="20" t="s">
        <v>122</v>
      </c>
      <c r="CX503" s="20" t="s">
        <v>122</v>
      </c>
      <c r="CY503" s="20" t="s">
        <v>122</v>
      </c>
      <c r="CZ503" s="20" t="s">
        <v>122</v>
      </c>
      <c r="DA503" s="20" t="s">
        <v>122</v>
      </c>
      <c r="DB503" s="503">
        <f t="shared" si="1635"/>
        <v>500</v>
      </c>
      <c r="DC503" s="127">
        <v>0</v>
      </c>
      <c r="DD503" s="127">
        <v>0</v>
      </c>
      <c r="DE503" s="127">
        <v>0</v>
      </c>
      <c r="DF503" s="127">
        <v>0</v>
      </c>
      <c r="DG503" s="127">
        <v>0</v>
      </c>
      <c r="DH503" s="127">
        <v>0</v>
      </c>
      <c r="DI503" s="127">
        <v>0</v>
      </c>
      <c r="DJ503" s="127">
        <v>0</v>
      </c>
      <c r="DK503" s="127">
        <v>0</v>
      </c>
      <c r="DL503" s="127">
        <v>0</v>
      </c>
      <c r="DM503" s="304">
        <f>INDEX(Input!$1:$1048576,DM$93,$C503*2+6)</f>
        <v>20731.578947368424</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4.4684575986750137E-2</v>
      </c>
      <c r="DZ503" s="7">
        <v>0</v>
      </c>
      <c r="EA503" s="7">
        <v>0.79009282109362977</v>
      </c>
      <c r="EB503" s="7">
        <v>0</v>
      </c>
      <c r="EC503" s="7">
        <v>0</v>
      </c>
      <c r="ED503" s="7">
        <v>0</v>
      </c>
      <c r="EE503" s="7">
        <v>0</v>
      </c>
      <c r="EF503" s="7">
        <v>0</v>
      </c>
      <c r="EG503" s="7">
        <v>0</v>
      </c>
      <c r="EH503" s="7">
        <v>1.4450112011568735E-2</v>
      </c>
      <c r="EI503" s="7">
        <v>1.8189834594972115E-2</v>
      </c>
      <c r="EJ503" s="7">
        <v>0.26775594997441943</v>
      </c>
      <c r="EK503" s="7">
        <v>0.65323424936077756</v>
      </c>
      <c r="EL503" s="7">
        <v>4.6369854058262473E-2</v>
      </c>
      <c r="EM503" s="7">
        <v>6.0451605542836295E-2</v>
      </c>
      <c r="EN503" s="7">
        <v>4.7002670029238358E-2</v>
      </c>
      <c r="EO503" s="7">
        <v>0.58327976360123845</v>
      </c>
      <c r="EP503" s="7">
        <v>0.24980805528482533</v>
      </c>
      <c r="EQ503" s="7">
        <v>7.2831338830236653E-2</v>
      </c>
      <c r="ER503" s="7">
        <v>4.7078172254461384E-2</v>
      </c>
      <c r="ES503" s="7">
        <v>0.10477099737678378</v>
      </c>
      <c r="ET503" s="7">
        <v>0.1652226029196201</v>
      </c>
      <c r="EU503" s="6">
        <v>1700</v>
      </c>
      <c r="EV503" s="6">
        <v>0</v>
      </c>
      <c r="EW503" s="6">
        <v>1700</v>
      </c>
      <c r="EX503" s="6">
        <v>0</v>
      </c>
      <c r="EY503" s="6">
        <v>2231.6241011488964</v>
      </c>
      <c r="EZ503" s="6">
        <v>-2048.0908300335955</v>
      </c>
      <c r="FA503" s="6">
        <v>0</v>
      </c>
      <c r="FB503" s="6">
        <v>0</v>
      </c>
      <c r="FC503" s="6">
        <v>0</v>
      </c>
      <c r="FD503" s="6">
        <v>0</v>
      </c>
      <c r="FE503" s="6">
        <v>0</v>
      </c>
      <c r="FF503" s="6">
        <v>0</v>
      </c>
      <c r="FG503" s="6">
        <v>0</v>
      </c>
      <c r="FH503" s="6">
        <v>1153.9894728926427</v>
      </c>
      <c r="FI503" s="6">
        <v>1531.4299904380628</v>
      </c>
      <c r="FJ503" s="6">
        <v>2070.7205842538219</v>
      </c>
      <c r="FK503" s="6">
        <v>1746.9903521590429</v>
      </c>
      <c r="FL503" s="6">
        <v>893.91433563489318</v>
      </c>
      <c r="FM503" s="6">
        <v>1781.6241011488964</v>
      </c>
      <c r="FN503" s="6">
        <v>0</v>
      </c>
      <c r="FO503" s="6">
        <v>0</v>
      </c>
      <c r="FP503" s="6">
        <v>0</v>
      </c>
      <c r="FQ503" s="6">
        <v>0</v>
      </c>
      <c r="FR503" s="6">
        <v>0</v>
      </c>
      <c r="FS503" s="6">
        <v>0</v>
      </c>
      <c r="FT503" s="7">
        <v>0.8347773970803799</v>
      </c>
      <c r="FU503" s="7">
        <v>6.0451605542836295E-2</v>
      </c>
      <c r="FV503" s="7">
        <v>0.10477099737678378</v>
      </c>
      <c r="FW503" s="6">
        <v>1700.0000000000002</v>
      </c>
      <c r="FX503" s="6">
        <v>2231.6241011488964</v>
      </c>
      <c r="FY503" s="6">
        <v>-2048.0908300335955</v>
      </c>
      <c r="FZ503" s="6">
        <v>2411.9063952864503</v>
      </c>
      <c r="GA503" s="6">
        <v>1339.4463159383208</v>
      </c>
      <c r="GB503" s="6">
        <v>18355.553684061681</v>
      </c>
      <c r="GC503" s="7">
        <v>7.6138913542514425E-2</v>
      </c>
      <c r="GD503" s="7">
        <v>6.6223165284408983E-2</v>
      </c>
      <c r="GE503" s="7"/>
      <c r="GF503" s="7"/>
      <c r="GG503" s="7">
        <v>-0.13023233188859057</v>
      </c>
      <c r="GH503" s="42">
        <v>2.3916282069024173</v>
      </c>
      <c r="GI503" s="6">
        <v>9574.4219459960204</v>
      </c>
      <c r="GJ503" s="14">
        <v>0.51074630601039583</v>
      </c>
      <c r="GK503" s="14">
        <v>0.50829519786160993</v>
      </c>
      <c r="GL503" s="14">
        <v>0.48925369398960444</v>
      </c>
      <c r="GM503" s="14">
        <v>0.49170480213839057</v>
      </c>
      <c r="GO503" s="5">
        <v>338.16872463277008</v>
      </c>
      <c r="GP503" s="5">
        <v>305.73596776409454</v>
      </c>
      <c r="GQ503" s="5">
        <v>527.27910984145694</v>
      </c>
      <c r="GR503" s="5">
        <v>404.20319246551543</v>
      </c>
      <c r="GS503" s="5">
        <v>334.50205195691484</v>
      </c>
      <c r="GT503" s="5">
        <v>289.18266033348181</v>
      </c>
      <c r="GU503" s="5">
        <v>254.29573314828914</v>
      </c>
      <c r="GV503" s="39" t="s">
        <v>392</v>
      </c>
      <c r="GW503" s="5">
        <v>479.875</v>
      </c>
      <c r="GX503" s="5">
        <v>359.90625</v>
      </c>
      <c r="GY503" s="5">
        <v>287.92500000000001</v>
      </c>
      <c r="GZ503" s="5">
        <v>254.06342861438094</v>
      </c>
      <c r="HA503" s="5">
        <v>235.34107974463737</v>
      </c>
      <c r="HB503" s="39">
        <v>267.45017915774633</v>
      </c>
      <c r="HC503" s="5">
        <v>372.71959881396975</v>
      </c>
      <c r="HD503" s="5">
        <v>297.48387091145639</v>
      </c>
      <c r="HE503" s="5">
        <v>294.24828827868106</v>
      </c>
      <c r="HF503" s="5">
        <v>265.06527478663213</v>
      </c>
      <c r="HG503" s="5">
        <v>246.83000845283692</v>
      </c>
      <c r="HH503" s="39">
        <v>295.46609537831256</v>
      </c>
      <c r="HI503" s="16"/>
      <c r="HJ503" s="19" t="str">
        <f t="shared" ref="HJ503:HK518" si="1689">HJ502</f>
        <v>On</v>
      </c>
      <c r="HK503" s="1" t="str">
        <f t="shared" si="1689"/>
        <v>On</v>
      </c>
      <c r="HL503" s="16"/>
      <c r="HM503" s="639">
        <f t="shared" si="1636"/>
        <v>5.1181272167489952E-2</v>
      </c>
      <c r="HN503" s="639">
        <f t="shared" si="1637"/>
        <v>4.2792051795134348E-3</v>
      </c>
      <c r="HO503" s="639">
        <f t="shared" si="1638"/>
        <v>7.4145241462331068E-3</v>
      </c>
      <c r="HP503" s="644">
        <f>(FT503*$GD503-HM503)/$JF503*INDEX(Input!$1:$1048576,$JG$93,$C503*2+6)</f>
        <v>48.388776525379804</v>
      </c>
      <c r="HQ503" s="644">
        <f>(FU503*$GD503-HN503)/$JF503*INDEX(Input!$1:$1048576,$JG$93,$C503*2+6)</f>
        <v>-3.2560495027137817</v>
      </c>
      <c r="HR503" s="644">
        <f>(FV503*$GD503-HO503)/$JF503*INDEX(Input!$1:$1048576,$JG$93,$C503*2+6)</f>
        <v>-5.6204013916721856</v>
      </c>
      <c r="HS503" s="644">
        <f t="shared" si="1639"/>
        <v>-9.2660046956124056</v>
      </c>
      <c r="HT503" s="644">
        <f t="shared" si="1640"/>
        <v>-1.1197008885984574</v>
      </c>
      <c r="HU503" s="644">
        <f t="shared" si="1641"/>
        <v>1.1240970529183381</v>
      </c>
      <c r="HV503" s="648">
        <f t="shared" si="1642"/>
        <v>0</v>
      </c>
      <c r="HW503" s="648">
        <f t="shared" si="1643"/>
        <v>0</v>
      </c>
      <c r="HX503" s="648">
        <f t="shared" si="1644"/>
        <v>0</v>
      </c>
      <c r="HY503" s="644">
        <f>INDEX(Input!$1:$1048576,HY$93,$C503*2+6)*INDEX(Input!$1:$1048576,$JG$93,$C503*2+6)</f>
        <v>345</v>
      </c>
      <c r="HZ503" s="644">
        <f>INDEX(Input!$1:$1048576,HZ$93,$C503*2+6)*INDEX(Input!$1:$1048576,$JG$93,$C503*2+6)</f>
        <v>299</v>
      </c>
      <c r="IA503" s="644">
        <f>INDEX(Input!$1:$1048576,IA$93,$C503*2+6)*INDEX(Input!$1:$1048576,$JG$93,$C503*2+6)</f>
        <v>98</v>
      </c>
      <c r="IB503" s="644">
        <f t="shared" si="1668"/>
        <v>384.12277182976743</v>
      </c>
      <c r="IC503" s="644">
        <f t="shared" si="1669"/>
        <v>294.62424960868776</v>
      </c>
      <c r="ID503" s="644">
        <f>IF(AND(INDEX(Input!$1:$1048576,IA$93,$C503*2+7)="TOS",Y503&lt;=INDEX(Y:Y,MATCH(C503*1000+2,A:A))),0,1)*MAX(IA503+HR503+HU503+HX503,0%)</f>
        <v>93.503695661246155</v>
      </c>
      <c r="IE503" s="128">
        <f t="shared" ref="IE503:IE504" si="1690">IB503/SUM($IB503:$ID503)</f>
        <v>0.49740681792099295</v>
      </c>
      <c r="IF503" s="128">
        <f t="shared" ref="IF503:IF550" si="1691">IC503/SUM($IB503:$ID503)</f>
        <v>0.38151372745264839</v>
      </c>
      <c r="IG503" s="128">
        <f t="shared" si="1646"/>
        <v>0.12107945462635855</v>
      </c>
      <c r="IH503" s="21"/>
      <c r="II503" s="19">
        <f t="shared" si="1647"/>
        <v>1200</v>
      </c>
      <c r="IJ503" s="19">
        <f t="shared" si="1648"/>
        <v>2231.5440334087361</v>
      </c>
      <c r="IK503" s="19">
        <f t="shared" si="1649"/>
        <v>-2048.0908300335955</v>
      </c>
      <c r="IL503" s="19">
        <f t="shared" si="1671"/>
        <v>500.00000000000023</v>
      </c>
      <c r="IM503" s="19">
        <f t="shared" si="1650"/>
        <v>8.0067740160302492E-2</v>
      </c>
      <c r="IN503" s="19">
        <f t="shared" si="1651"/>
        <v>0</v>
      </c>
      <c r="IO503" s="39">
        <f t="shared" si="1652"/>
        <v>0</v>
      </c>
      <c r="IP503" s="39">
        <f t="shared" si="1653"/>
        <v>0</v>
      </c>
      <c r="IQ503" s="39">
        <f t="shared" si="1654"/>
        <v>0</v>
      </c>
      <c r="IR503" s="39">
        <v>0</v>
      </c>
      <c r="IS503" s="39">
        <v>0</v>
      </c>
      <c r="IT503" s="39">
        <v>0</v>
      </c>
      <c r="IU503" s="39">
        <v>0</v>
      </c>
      <c r="IV503" s="39">
        <v>0</v>
      </c>
      <c r="IW503" s="39">
        <v>0</v>
      </c>
      <c r="IX503" s="39">
        <f>INDEX(Input!$1:$1048576,IX$93,$C503*2+6)+INDEX(Input!$1:$1048576,IX$94,$C503*2+6)</f>
        <v>1600</v>
      </c>
      <c r="IY503" s="39">
        <f>INDEX(Input!$1:$1048576,IY$93,$C503*2+6)+INDEX(Input!$1:$1048576,IY$94,$C503*2+6)</f>
        <v>2503.5492916397525</v>
      </c>
      <c r="IZ503" s="39">
        <f>INDEX(Input!$1:$1048576,IZ$93,$C503*2+6)+INDEX(Input!$1:$1048576,IZ$94,$C503*2+6)</f>
        <v>5413.7109265464023</v>
      </c>
      <c r="JA503" s="19">
        <f t="shared" si="1672"/>
        <v>2100</v>
      </c>
      <c r="JB503" s="19">
        <f t="shared" si="1673"/>
        <v>2503.6293593799128</v>
      </c>
      <c r="JC503" s="19">
        <f t="shared" si="1674"/>
        <v>5413.7109265464023</v>
      </c>
      <c r="JD503" s="19">
        <f t="shared" si="1675"/>
        <v>2655.2124531819986</v>
      </c>
      <c r="JE503" s="21"/>
      <c r="JF503" s="1">
        <f t="shared" si="1655"/>
        <v>6.2875001493236493E-2</v>
      </c>
      <c r="JG503" s="15">
        <f>INDEX(Input!$1:$1048576,JG$93,$C503*2+6)/(1+VLOOKUP(C503*1000+INDEX(Input!$1:$1048576,JG$93+1,$C503*2+6),$A:$KK,$JK$92,FALSE))</f>
        <v>742</v>
      </c>
      <c r="JH503" s="1">
        <f t="shared" si="1676"/>
        <v>5.3251112710234291E-2</v>
      </c>
      <c r="JI503" s="1">
        <f t="shared" si="1677"/>
        <v>-1.2481952198507444E-2</v>
      </c>
      <c r="JJ503" s="1">
        <f t="shared" si="1678"/>
        <v>0</v>
      </c>
      <c r="JK503" s="1">
        <f t="shared" si="1679"/>
        <v>4.0769160511726847E-2</v>
      </c>
      <c r="JL503" s="15">
        <f t="shared" si="1680"/>
        <v>30.250717099701319</v>
      </c>
      <c r="JM503" s="15">
        <f t="shared" si="1681"/>
        <v>772.25071709970132</v>
      </c>
      <c r="JN503" s="21"/>
      <c r="JO503" s="19">
        <f>INDEX(Input!$1:$1048576,JO$93,$C503*2+6)</f>
        <v>5908.5</v>
      </c>
      <c r="JP503" s="19">
        <f>INDEX(Input!$1:$1048576,JP$93,$C503*2+6)</f>
        <v>2467.7963733178344</v>
      </c>
      <c r="JQ503" s="39">
        <f t="shared" ref="JQ503:JQ550" si="1692">JO503-JD503</f>
        <v>3253.2875468180014</v>
      </c>
      <c r="JR503" s="39">
        <f t="shared" ref="JR503:JR505" si="1693">JD503-JP503</f>
        <v>187.4160798641642</v>
      </c>
      <c r="JS503" s="39">
        <f t="shared" ref="JS503:JS550" si="1694">JM503*JD503/1000000</f>
        <v>2.0504897210218553</v>
      </c>
      <c r="JT503" s="39">
        <f t="shared" si="1682"/>
        <v>0.21938481202002241</v>
      </c>
      <c r="JU503" s="385">
        <f>(JQ503*JM503-INDEX(Input!$1:$1048576,Input!A$18,$C503*2+6)*JL503*INDEX(Input!$1:$1048576,Input!A$19,$C503*2+6))/1000000</f>
        <v>2.51235364096173</v>
      </c>
      <c r="JV503" s="39">
        <f t="shared" si="1658"/>
        <v>-4.0648450036436579E-2</v>
      </c>
      <c r="JW503" s="1">
        <f>JV503/(JU503-JV503)</f>
        <v>-1.5921824028175373E-2</v>
      </c>
      <c r="JX503" s="19">
        <f>IF(JL503=0,0,JT503/JL503)*1000000</f>
        <v>7252.2185605374798</v>
      </c>
      <c r="JZ503" s="468">
        <f>(HY503+HP503)/SUM(HP503:HR503,HY503:IA503)*IL503</f>
        <v>251.68430722302264</v>
      </c>
      <c r="KA503" s="469">
        <f>JH503/(JZ503/BX503)</f>
        <v>4.1670483011033275</v>
      </c>
      <c r="KB503" s="469">
        <f t="shared" ref="KB503:KB550" si="1695">KB502</f>
        <v>2.4623520912331753</v>
      </c>
      <c r="KC503" s="469">
        <f>MIN(AVERAGE(KB503*0.8,VLOOKUP(AZ501,Lookup!$B:$E,4,FALSE)*0.8),$KC$97)</f>
        <v>2.62294083649327</v>
      </c>
      <c r="KD503" s="469">
        <f>AVERAGE(KB503,VLOOKUP(AZ501,Lookup!$B:$E,4,FALSE))</f>
        <v>3.2786760456165878</v>
      </c>
      <c r="KE503" s="469">
        <f>MIN(MAX(KA503,KC503),KD503)</f>
        <v>3.2786760456165878</v>
      </c>
      <c r="KF503" s="470">
        <f>A503</f>
        <v>5003</v>
      </c>
      <c r="KG503" s="471">
        <f>(JH503/KA503*KE503-JH503)/MAX(IL503:IN503)*1000</f>
        <v>-2.2705189710925017E-2</v>
      </c>
      <c r="KH503" s="472"/>
      <c r="KI503" s="473">
        <f t="shared" ref="KI503:KI514" si="1696">$JM503*IE503-$JG503*HY503/SUM($HY503:$IA503)</f>
        <v>39.122771829767373</v>
      </c>
      <c r="KJ503" s="473">
        <f t="shared" si="1683"/>
        <v>-4.3757503913122946</v>
      </c>
      <c r="KK503" s="473">
        <f t="shared" si="1684"/>
        <v>-4.496304338753859</v>
      </c>
      <c r="KL503" s="472" t="str">
        <f>IF(OR(KJ503&gt;0,KK503&gt;0),"Error - Adjust TR","ok")</f>
        <v>ok</v>
      </c>
      <c r="KN503" s="544">
        <f>KM503+(KN502-KM502)</f>
        <v>5002</v>
      </c>
      <c r="KO503" s="541">
        <f t="shared" si="1659"/>
        <v>-3.2934254730189738E-2</v>
      </c>
      <c r="KP503" s="546">
        <f t="shared" si="1660"/>
        <v>-142.1985160036142</v>
      </c>
      <c r="KQ503" s="546">
        <f t="shared" si="1661"/>
        <v>-203.55999296971049</v>
      </c>
      <c r="KR503" s="548">
        <f t="shared" si="1662"/>
        <v>3.899397986261584</v>
      </c>
      <c r="KS503" s="548">
        <f t="shared" si="1663"/>
        <v>2.7239567012383721</v>
      </c>
      <c r="KT503" s="473">
        <f t="shared" ref="KT503:KT550" si="1697">KT502</f>
        <v>389.37465324503302</v>
      </c>
      <c r="KU503" s="663">
        <f t="shared" si="1685"/>
        <v>7.2936921163490238</v>
      </c>
      <c r="KV503" s="117"/>
    </row>
    <row r="504" spans="1:310" s="26" customFormat="1" ht="15">
      <c r="A504" s="561">
        <f t="shared" si="1664"/>
        <v>5004</v>
      </c>
      <c r="B504" s="561">
        <f t="shared" si="1686"/>
        <v>4</v>
      </c>
      <c r="C504" s="561">
        <f t="shared" si="1687"/>
        <v>5</v>
      </c>
      <c r="D504" s="561" t="s">
        <v>741</v>
      </c>
      <c r="E504" s="115">
        <f>INDEX(Input!$1:$1048576,E$93,$C504*2+MIN($B504,1)+5)</f>
        <v>750</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1.9E-2</v>
      </c>
      <c r="W504" s="863">
        <f>INDEX(Input!$1:$1048576,W$93,$C504*2+MIN($B504,1)+5)</f>
        <v>3.9E-2</v>
      </c>
      <c r="X504" s="476" t="str">
        <f>INDEX(Input!$1:$1048576,X$93,$C504*2+MIN($B504,1)+5)</f>
        <v>Y</v>
      </c>
      <c r="Y504" s="150">
        <f>INDEX(Input!$1:$1048576,Y$93,$C504*2+MIN($B504,1)+5)</f>
        <v>-951.3618966787526</v>
      </c>
      <c r="Z504" s="30">
        <f>INDEX(Input!$1:$1048576,Z$93,$C504*2+MIN($B504,1)+5)</f>
        <v>0</v>
      </c>
      <c r="AA504" s="115">
        <f>INDEX(Input!$1:$1048576,AA$93,$C504*2+MIN($B504,1)+5)</f>
        <v>0</v>
      </c>
      <c r="AB504" s="118">
        <f>INDEX(Input!$1:$1048576,AB$93,$C504*2+MIN($B504,1)+5)</f>
        <v>0.43</v>
      </c>
      <c r="AC504" s="115">
        <f>INDEX(Input!$1:$1048576,AC$93,$C504*2+MIN($B504,1)+5)</f>
        <v>1000</v>
      </c>
      <c r="AD504" s="118">
        <f>INDEX(Input!$1:$1048576,AD$93,$C504*2+MIN($B504,1)+5)</f>
        <v>0.35</v>
      </c>
      <c r="AE504" s="115">
        <f>INDEX(Input!$1:$1048576,AE$93,$C504*2+MIN($B504,1)+5)</f>
        <v>0</v>
      </c>
      <c r="AF504" s="118">
        <f>INDEX(Input!$1:$1048576,AF$93,$C504*2+MIN($B504,1)+5)</f>
        <v>1</v>
      </c>
      <c r="AG504" s="115">
        <f>INDEX(Input!$1:$1048576,AG$93,$C504*2+MIN($B504,1)+5)</f>
        <v>500</v>
      </c>
      <c r="AH504" s="118">
        <f>INDEX(Input!$1:$1048576,AH$93,$C504*2+MIN($B504,1)+5)</f>
        <v>1</v>
      </c>
      <c r="AI504" s="115">
        <f>INDEX(Input!$1:$1048576,AI$93,$C504*2+MIN($B504,1)+5)</f>
        <v>500</v>
      </c>
      <c r="AJ504" s="118">
        <f>INDEX(Input!$1:$1048576,AJ$93,$C504*2+MIN($B504,1)+5)</f>
        <v>0.35</v>
      </c>
      <c r="AK504" s="150">
        <f>ROUND(INDEX(Input!$1:$1048576,AK$93,$C503*2+MIN($B504,1)+5)+(Y504-VLOOKUP($C504*1000+1,$A:$HH,Y$92,FALSE)),0)</f>
        <v>4739</v>
      </c>
      <c r="AL504" s="150">
        <f>ROUND(INDEX(Input!$1:$1048576,AL$93,$C503*2+MIN($B504,1)+5)-(Y504-VLOOKUP($C504*1000+1,$A:$HH,Y$92,FALSE))/36,0)</f>
        <v>4739</v>
      </c>
      <c r="AM504" s="32" t="str">
        <f t="shared" si="1665"/>
        <v>3.5/4/4.5/4.5</v>
      </c>
      <c r="AN504" s="32" t="str">
        <f t="shared" si="1666"/>
        <v>$500 + 0/0/0/1.9/3.9</v>
      </c>
      <c r="AO504" s="32" t="str">
        <f t="shared" si="1667"/>
        <v>0/0/0/1.9/3.9</v>
      </c>
      <c r="AP504" s="32" t="str">
        <f t="shared" si="1621"/>
        <v>0/0.9/1.9/3.9</v>
      </c>
      <c r="AQ504" s="536">
        <f t="shared" si="1620"/>
        <v>850.4413717862426</v>
      </c>
      <c r="AR504" s="32"/>
      <c r="AS504" s="302"/>
      <c r="AT504" s="3">
        <f t="shared" si="1688"/>
        <v>4</v>
      </c>
      <c r="AU504" s="41" t="s">
        <v>121</v>
      </c>
      <c r="AV504" s="41" t="s">
        <v>116</v>
      </c>
      <c r="AW504" s="41" t="str">
        <f>INDEX(Input!$1:$1048576,AW$93,$C504*2+6)</f>
        <v>Kia</v>
      </c>
      <c r="AX504" s="41" t="str">
        <f>INDEX(Input!$1:$1048576,AX$93,$C504*2+6)</f>
        <v>Kia-LR - R2</v>
      </c>
      <c r="AY504" s="41" t="str">
        <f>IF(LEN(D504)=0,"",INDEX(Input!$1:$1048576,AY$93,$C504*2+6))</f>
        <v>Compact Conventional/Sporty Car (43)</v>
      </c>
      <c r="AZ504" s="41" t="str">
        <f>INDEX(Input!$1:$1048576,AZ$93,$C504*2+6)</f>
        <v>Kia Forte</v>
      </c>
      <c r="BA504" s="3">
        <f>INDEX(Input!$1:$1048576,BA$93,$C504*2+6)</f>
        <v>2020</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19695</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622"/>
        <v>1100</v>
      </c>
      <c r="CJ504" s="16" t="str">
        <f>INDEX(Input!$1:$1048576,CJ$93,$C504*2+6)</f>
        <v>N</v>
      </c>
      <c r="CK504" s="1">
        <f t="shared" si="1623"/>
        <v>3.4999999999999996E-2</v>
      </c>
      <c r="CL504" s="1">
        <f t="shared" si="1624"/>
        <v>0.04</v>
      </c>
      <c r="CM504" s="1">
        <f t="shared" si="1625"/>
        <v>4.4499999999999998E-2</v>
      </c>
      <c r="CN504" s="1">
        <f t="shared" si="1626"/>
        <v>4.4499999999999998E-2</v>
      </c>
      <c r="CO504" s="1" t="str">
        <f t="shared" si="1627"/>
        <v>Market</v>
      </c>
      <c r="CP504" s="304">
        <f t="shared" si="1628"/>
        <v>850</v>
      </c>
      <c r="CQ504" s="1">
        <f t="shared" si="1629"/>
        <v>0</v>
      </c>
      <c r="CR504" s="1">
        <f t="shared" si="1630"/>
        <v>0</v>
      </c>
      <c r="CS504" s="1">
        <f t="shared" si="1631"/>
        <v>0</v>
      </c>
      <c r="CT504" s="1">
        <f t="shared" si="1632"/>
        <v>1.9E-2</v>
      </c>
      <c r="CU504" s="1">
        <f t="shared" si="1633"/>
        <v>3.9E-2</v>
      </c>
      <c r="CV504" s="304">
        <f t="shared" si="1634"/>
        <v>-776.3618966787526</v>
      </c>
      <c r="CW504" s="20" t="s">
        <v>122</v>
      </c>
      <c r="CX504" s="20" t="s">
        <v>122</v>
      </c>
      <c r="CY504" s="20" t="s">
        <v>122</v>
      </c>
      <c r="CZ504" s="20" t="s">
        <v>122</v>
      </c>
      <c r="DA504" s="20" t="s">
        <v>122</v>
      </c>
      <c r="DB504" s="503">
        <f t="shared" si="1635"/>
        <v>500</v>
      </c>
      <c r="DC504" s="127">
        <v>0</v>
      </c>
      <c r="DD504" s="127">
        <v>0</v>
      </c>
      <c r="DE504" s="127">
        <v>0</v>
      </c>
      <c r="DF504" s="127">
        <v>0</v>
      </c>
      <c r="DG504" s="127">
        <v>0</v>
      </c>
      <c r="DH504" s="127">
        <v>0</v>
      </c>
      <c r="DI504" s="127">
        <v>0</v>
      </c>
      <c r="DJ504" s="127">
        <v>0</v>
      </c>
      <c r="DK504" s="127">
        <v>0</v>
      </c>
      <c r="DL504" s="127">
        <v>0</v>
      </c>
      <c r="DM504" s="304">
        <f>INDEX(Input!$1:$1048576,DM$93,$C504*2+6)</f>
        <v>20731.578947368424</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4.2897836892239742E-2</v>
      </c>
      <c r="DZ504" s="7">
        <v>0</v>
      </c>
      <c r="EA504" s="7">
        <v>0.7624223058958487</v>
      </c>
      <c r="EB504" s="7">
        <v>0</v>
      </c>
      <c r="EC504" s="7">
        <v>0</v>
      </c>
      <c r="ED504" s="7">
        <v>0</v>
      </c>
      <c r="EE504" s="7">
        <v>0</v>
      </c>
      <c r="EF504" s="7">
        <v>0</v>
      </c>
      <c r="EG504" s="7">
        <v>0</v>
      </c>
      <c r="EH504" s="7">
        <v>1.4440397699594543E-2</v>
      </c>
      <c r="EI504" s="7">
        <v>1.8189443481916211E-2</v>
      </c>
      <c r="EJ504" s="7">
        <v>0.26747205394979323</v>
      </c>
      <c r="EK504" s="7">
        <v>0.65351073300862228</v>
      </c>
      <c r="EL504" s="7">
        <v>4.638737186007378E-2</v>
      </c>
      <c r="EM504" s="7">
        <v>7.7947279662171257E-2</v>
      </c>
      <c r="EN504" s="7">
        <v>4.7002099852200031E-2</v>
      </c>
      <c r="EO504" s="7">
        <v>0.58328643543211256</v>
      </c>
      <c r="EP504" s="7">
        <v>0.24981820310434658</v>
      </c>
      <c r="EQ504" s="7">
        <v>7.2833480156488911E-2</v>
      </c>
      <c r="ER504" s="7">
        <v>4.7059781454851859E-2</v>
      </c>
      <c r="ES504" s="7">
        <v>0.11673257754974016</v>
      </c>
      <c r="ET504" s="7">
        <v>0.19467985721191158</v>
      </c>
      <c r="EU504" s="6">
        <v>1200</v>
      </c>
      <c r="EV504" s="6">
        <v>0</v>
      </c>
      <c r="EW504" s="6">
        <v>1200</v>
      </c>
      <c r="EX504" s="6">
        <v>0</v>
      </c>
      <c r="EY504" s="6">
        <v>2731.5230399313764</v>
      </c>
      <c r="EZ504" s="6">
        <v>-2048.0908300335955</v>
      </c>
      <c r="FA504" s="6">
        <v>0</v>
      </c>
      <c r="FB504" s="6">
        <v>0</v>
      </c>
      <c r="FC504" s="6">
        <v>0</v>
      </c>
      <c r="FD504" s="6">
        <v>0</v>
      </c>
      <c r="FE504" s="6">
        <v>0</v>
      </c>
      <c r="FF504" s="6">
        <v>0</v>
      </c>
      <c r="FG504" s="6">
        <v>0</v>
      </c>
      <c r="FH504" s="6">
        <v>1153.9855686370483</v>
      </c>
      <c r="FI504" s="6">
        <v>1531.4299904380621</v>
      </c>
      <c r="FJ504" s="6">
        <v>2070.7205842538219</v>
      </c>
      <c r="FK504" s="6">
        <v>1746.9903521590434</v>
      </c>
      <c r="FL504" s="6">
        <v>893.91433563489386</v>
      </c>
      <c r="FM504" s="6">
        <v>1781.5230399313764</v>
      </c>
      <c r="FN504" s="6">
        <v>0</v>
      </c>
      <c r="FO504" s="6">
        <v>0</v>
      </c>
      <c r="FP504" s="6">
        <v>0</v>
      </c>
      <c r="FQ504" s="6">
        <v>0</v>
      </c>
      <c r="FR504" s="6">
        <v>0</v>
      </c>
      <c r="FS504" s="6">
        <v>0</v>
      </c>
      <c r="FT504" s="7">
        <v>0.80532014278808839</v>
      </c>
      <c r="FU504" s="7">
        <v>7.7947279662171257E-2</v>
      </c>
      <c r="FV504" s="7">
        <v>0.11673257754974016</v>
      </c>
      <c r="FW504" s="6">
        <v>1200</v>
      </c>
      <c r="FX504" s="6">
        <v>2731.5230399313764</v>
      </c>
      <c r="FY504" s="6">
        <v>-2048.0908300335955</v>
      </c>
      <c r="FZ504" s="6">
        <v>2411.9063952864503</v>
      </c>
      <c r="GA504" s="6">
        <v>940.22003999709295</v>
      </c>
      <c r="GB504" s="6">
        <v>18754.779960002907</v>
      </c>
      <c r="GC504" s="7">
        <v>7.6138913542514425E-2</v>
      </c>
      <c r="GD504" s="7">
        <v>6.3136992418927965E-2</v>
      </c>
      <c r="GE504" s="7"/>
      <c r="GF504" s="7"/>
      <c r="GG504" s="7">
        <v>-0.17076578215588079</v>
      </c>
      <c r="GH504" s="42">
        <v>2.28529133770409</v>
      </c>
      <c r="GI504" s="6">
        <v>9558.3772416895972</v>
      </c>
      <c r="GJ504" s="14">
        <v>0.51074630601039539</v>
      </c>
      <c r="GK504" s="14">
        <v>0.50829519786160959</v>
      </c>
      <c r="GL504" s="14">
        <v>0.48925369398960428</v>
      </c>
      <c r="GM504" s="14">
        <v>0.49170480213839035</v>
      </c>
      <c r="GO504" s="5">
        <v>338.16872463277008</v>
      </c>
      <c r="GP504" s="5">
        <v>315.27501390194027</v>
      </c>
      <c r="GQ504" s="5">
        <v>519.39401419935825</v>
      </c>
      <c r="GR504" s="5">
        <v>400.22503305126548</v>
      </c>
      <c r="GS504" s="5">
        <v>330.05398937228341</v>
      </c>
      <c r="GT504" s="5">
        <v>280.96783041547633</v>
      </c>
      <c r="GU504" s="5">
        <v>254.29573314828914</v>
      </c>
      <c r="GV504" s="39" t="s">
        <v>392</v>
      </c>
      <c r="GW504" s="5">
        <v>465.98611111111109</v>
      </c>
      <c r="GX504" s="5">
        <v>349.48958333333331</v>
      </c>
      <c r="GY504" s="5">
        <v>279.59166666666664</v>
      </c>
      <c r="GZ504" s="5">
        <v>246.7101413400797</v>
      </c>
      <c r="HA504" s="5">
        <v>228.52966821545914</v>
      </c>
      <c r="HB504" s="39">
        <v>259.69761914945735</v>
      </c>
      <c r="HC504" s="5">
        <v>372.71959881396975</v>
      </c>
      <c r="HD504" s="5">
        <v>297.48387091145639</v>
      </c>
      <c r="HE504" s="5">
        <v>294.24828827868106</v>
      </c>
      <c r="HF504" s="5">
        <v>265.06527478663213</v>
      </c>
      <c r="HG504" s="5">
        <v>246.83000845283692</v>
      </c>
      <c r="HH504" s="39">
        <v>295.46688179276231</v>
      </c>
      <c r="HI504" s="16"/>
      <c r="HJ504" s="19" t="str">
        <f t="shared" si="1689"/>
        <v>On</v>
      </c>
      <c r="HK504" s="1" t="str">
        <f t="shared" si="1689"/>
        <v>On</v>
      </c>
      <c r="HL504" s="16"/>
      <c r="HM504" s="639">
        <f t="shared" si="1636"/>
        <v>5.1181272167489952E-2</v>
      </c>
      <c r="HN504" s="639">
        <f t="shared" si="1637"/>
        <v>4.2792051795134348E-3</v>
      </c>
      <c r="HO504" s="639">
        <f t="shared" si="1638"/>
        <v>7.4145241462331068E-3</v>
      </c>
      <c r="HP504" s="644">
        <f>(FT504*$GD504-HM504)/$JF504*INDEX(Input!$1:$1048576,$JG$93,$C504*2+6)</f>
        <v>-3.9626093653194618</v>
      </c>
      <c r="HQ504" s="644">
        <f>(FU504*$GD504-HN504)/$JF504*INDEX(Input!$1:$1048576,$JG$93,$C504*2+6)</f>
        <v>7.5781549880576513</v>
      </c>
      <c r="HR504" s="644">
        <f>(FV504*$GD504-HO504)/$JF504*INDEX(Input!$1:$1048576,$JG$93,$C504*2+6)</f>
        <v>-0.52374025898047516</v>
      </c>
      <c r="HS504" s="644">
        <f t="shared" si="1639"/>
        <v>-0.10474805179609503</v>
      </c>
      <c r="HT504" s="644">
        <f t="shared" si="1640"/>
        <v>27.346880591195667</v>
      </c>
      <c r="HU504" s="644">
        <f t="shared" si="1641"/>
        <v>0.10474805179609503</v>
      </c>
      <c r="HV504" s="648">
        <f t="shared" si="1642"/>
        <v>0</v>
      </c>
      <c r="HW504" s="648">
        <f t="shared" si="1643"/>
        <v>0</v>
      </c>
      <c r="HX504" s="648">
        <f t="shared" si="1644"/>
        <v>0</v>
      </c>
      <c r="HY504" s="644">
        <f>INDEX(Input!$1:$1048576,HY$93,$C504*2+6)*INDEX(Input!$1:$1048576,$JG$93,$C504*2+6)</f>
        <v>345</v>
      </c>
      <c r="HZ504" s="644">
        <f>INDEX(Input!$1:$1048576,HZ$93,$C504*2+6)*INDEX(Input!$1:$1048576,$JG$93,$C504*2+6)</f>
        <v>299</v>
      </c>
      <c r="IA504" s="644">
        <f>INDEX(Input!$1:$1048576,IA$93,$C504*2+6)*INDEX(Input!$1:$1048576,$JG$93,$C504*2+6)</f>
        <v>98</v>
      </c>
      <c r="IB504" s="644">
        <f t="shared" si="1668"/>
        <v>340.93264258288445</v>
      </c>
      <c r="IC504" s="644">
        <f t="shared" si="1669"/>
        <v>333.92503557925329</v>
      </c>
      <c r="ID504" s="644">
        <f>IF(AND(INDEX(Input!$1:$1048576,IA$93,$C504*2+7)="TOS",Y504&lt;=INDEX(Y:Y,MATCH(C504*1000+2,A:A))),0,1)*MAX(IA504+HR504+HU504+HX504,0%)</f>
        <v>97.581007792815612</v>
      </c>
      <c r="IE504" s="128">
        <f t="shared" si="1690"/>
        <v>0.44137178624267759</v>
      </c>
      <c r="IF504" s="128">
        <f t="shared" si="1691"/>
        <v>0.43229973025810742</v>
      </c>
      <c r="IG504" s="128">
        <f t="shared" si="1646"/>
        <v>0.12632848349921497</v>
      </c>
      <c r="IH504" s="21"/>
      <c r="II504" s="19">
        <f t="shared" si="1647"/>
        <v>1200</v>
      </c>
      <c r="IJ504" s="19">
        <f t="shared" si="1648"/>
        <v>2231.5440334087361</v>
      </c>
      <c r="IK504" s="19">
        <f t="shared" si="1649"/>
        <v>-2048.0908300335955</v>
      </c>
      <c r="IL504" s="19">
        <f t="shared" si="1671"/>
        <v>0</v>
      </c>
      <c r="IM504" s="19">
        <f t="shared" si="1650"/>
        <v>499.97900652264025</v>
      </c>
      <c r="IN504" s="19">
        <f t="shared" si="1651"/>
        <v>0</v>
      </c>
      <c r="IO504" s="39">
        <f t="shared" si="1652"/>
        <v>0</v>
      </c>
      <c r="IP504" s="39">
        <f t="shared" si="1653"/>
        <v>0</v>
      </c>
      <c r="IQ504" s="39">
        <f t="shared" si="1654"/>
        <v>0</v>
      </c>
      <c r="IR504" s="39">
        <v>0</v>
      </c>
      <c r="IS504" s="39">
        <v>0</v>
      </c>
      <c r="IT504" s="39">
        <v>0</v>
      </c>
      <c r="IU504" s="39">
        <v>0</v>
      </c>
      <c r="IV504" s="39">
        <v>0</v>
      </c>
      <c r="IW504" s="39">
        <v>0</v>
      </c>
      <c r="IX504" s="39">
        <f>INDEX(Input!$1:$1048576,IX$93,$C504*2+6)+INDEX(Input!$1:$1048576,IX$94,$C504*2+6)</f>
        <v>1600</v>
      </c>
      <c r="IY504" s="39">
        <f>INDEX(Input!$1:$1048576,IY$93,$C504*2+6)+INDEX(Input!$1:$1048576,IY$94,$C504*2+6)</f>
        <v>2503.5492916397525</v>
      </c>
      <c r="IZ504" s="39">
        <f>INDEX(Input!$1:$1048576,IZ$93,$C504*2+6)+INDEX(Input!$1:$1048576,IZ$94,$C504*2+6)</f>
        <v>5413.7109265464023</v>
      </c>
      <c r="JA504" s="19">
        <f t="shared" si="1672"/>
        <v>1600</v>
      </c>
      <c r="JB504" s="19">
        <f t="shared" si="1673"/>
        <v>3003.5282981623927</v>
      </c>
      <c r="JC504" s="19">
        <f t="shared" si="1674"/>
        <v>5413.7109265464023</v>
      </c>
      <c r="JD504" s="19">
        <f t="shared" si="1675"/>
        <v>2688.5252225602158</v>
      </c>
      <c r="JE504" s="21"/>
      <c r="JF504" s="1">
        <f t="shared" si="1655"/>
        <v>6.2875001493236493E-2</v>
      </c>
      <c r="JG504" s="15">
        <f>INDEX(Input!$1:$1048576,JG$93,$C504*2+6)/(1+VLOOKUP(C504*1000+INDEX(Input!$1:$1048576,JG$93+1,$C504*2+6),$A:$KK,$JK$92,FALSE))</f>
        <v>742</v>
      </c>
      <c r="JH504" s="1">
        <f t="shared" si="1676"/>
        <v>4.166853589969966E-3</v>
      </c>
      <c r="JI504" s="1">
        <f t="shared" si="1677"/>
        <v>3.6855634219940252E-2</v>
      </c>
      <c r="JJ504" s="1">
        <f t="shared" si="1678"/>
        <v>0</v>
      </c>
      <c r="JK504" s="1">
        <f t="shared" si="1679"/>
        <v>4.1022487809910219E-2</v>
      </c>
      <c r="JL504" s="15">
        <f t="shared" si="1680"/>
        <v>30.438685954953382</v>
      </c>
      <c r="JM504" s="15">
        <f t="shared" si="1681"/>
        <v>772.43868595495337</v>
      </c>
      <c r="JN504" s="21"/>
      <c r="JO504" s="19">
        <f>INDEX(Input!$1:$1048576,JO$93,$C504*2+6)</f>
        <v>5908.5</v>
      </c>
      <c r="JP504" s="19">
        <f>INDEX(Input!$1:$1048576,JP$93,$C504*2+6)</f>
        <v>2467.7963733178344</v>
      </c>
      <c r="JQ504" s="39">
        <f t="shared" si="1692"/>
        <v>3219.9747774397842</v>
      </c>
      <c r="JR504" s="39">
        <f t="shared" si="1693"/>
        <v>220.72884924238133</v>
      </c>
      <c r="JS504" s="39">
        <f t="shared" si="1694"/>
        <v>2.0767208900711616</v>
      </c>
      <c r="JT504" s="39">
        <f t="shared" si="1682"/>
        <v>0.2456159810693285</v>
      </c>
      <c r="JU504" s="385">
        <f>(JQ504*JM504-INDEX(Input!$1:$1048576,Input!A$18,$C504*2+6)*JL504*INDEX(Input!$1:$1048576,Input!A$19,$C504*2+6))/1000000</f>
        <v>2.4872330858936804</v>
      </c>
      <c r="JV504" s="39">
        <f t="shared" si="1658"/>
        <v>-6.5769005104486133E-2</v>
      </c>
      <c r="JW504" s="1">
        <f>JV504/(JU504-JV504)</f>
        <v>-2.5761438009152562E-2</v>
      </c>
      <c r="JX504" s="19">
        <f t="shared" ref="JX504:JX550" si="1698">IF(JL504=0,0,JT504/JL504)*1000000</f>
        <v>8069.2044798786283</v>
      </c>
      <c r="JZ504" s="468">
        <f>(HZ504+HQ504)/SUM(HP504:HR504,HY504:IA504)*IM504</f>
        <v>205.72316088973722</v>
      </c>
      <c r="KA504" s="469">
        <f>JH504/(JZ504/BX504)</f>
        <v>0.39891561601293896</v>
      </c>
      <c r="KB504" s="469">
        <f t="shared" si="1695"/>
        <v>2.4623520912331753</v>
      </c>
      <c r="KC504" s="469">
        <f>MIN(KE503+0.5,KE503*1.1)</f>
        <v>3.6065436501782466</v>
      </c>
      <c r="KD504" s="469">
        <f>KC504+2</f>
        <v>5.6065436501782466</v>
      </c>
      <c r="KE504" s="469">
        <f>MIN(MAX(KA504,KC504),KD504)</f>
        <v>3.6065436501782466</v>
      </c>
      <c r="KF504" s="470">
        <f>A504</f>
        <v>5004</v>
      </c>
      <c r="KG504" s="471">
        <f>IF(HK504="Off",0,(JH504/KA504*KE504-JH504)/MAX(IL504:IN504)*1000)</f>
        <v>6.7013057710474694E-2</v>
      </c>
      <c r="KH504" s="472"/>
      <c r="KI504" s="473">
        <f t="shared" si="1696"/>
        <v>-4.0673574171155451</v>
      </c>
      <c r="KJ504" s="473">
        <f t="shared" si="1683"/>
        <v>34.92503557925329</v>
      </c>
      <c r="KK504" s="473">
        <f t="shared" si="1684"/>
        <v>-0.41899220718438812</v>
      </c>
      <c r="KL504" s="472" t="str">
        <f>IF(OR(KI504&gt;0,KK504&gt;0),"Error - Adjust TR","ok")</f>
        <v>ok</v>
      </c>
      <c r="KN504" s="544">
        <f t="shared" ref="KN504:KN550" si="1699">KM504+(KN503-KM503)</f>
        <v>5002</v>
      </c>
      <c r="KO504" s="541">
        <f t="shared" si="1659"/>
        <v>-3.2698867132526455E-2</v>
      </c>
      <c r="KP504" s="546">
        <f t="shared" si="1660"/>
        <v>-174.39979298243398</v>
      </c>
      <c r="KQ504" s="546">
        <f t="shared" si="1661"/>
        <v>-170.24722359149337</v>
      </c>
      <c r="KR504" s="548">
        <f t="shared" si="1662"/>
        <v>3.1566870486578877</v>
      </c>
      <c r="KS504" s="548">
        <f t="shared" si="1663"/>
        <v>3.2336830885257029</v>
      </c>
      <c r="KT504" s="473">
        <f t="shared" si="1697"/>
        <v>389.37465324503302</v>
      </c>
      <c r="KU504" s="663">
        <f t="shared" si="1685"/>
        <v>7.206855429578483</v>
      </c>
      <c r="KV504" s="117"/>
    </row>
    <row r="505" spans="1:310" s="26" customFormat="1" ht="15">
      <c r="A505" s="561">
        <f t="shared" si="1664"/>
        <v>5005</v>
      </c>
      <c r="B505" s="561">
        <f t="shared" si="1686"/>
        <v>5</v>
      </c>
      <c r="C505" s="561">
        <f t="shared" si="1687"/>
        <v>5</v>
      </c>
      <c r="D505" s="561" t="s">
        <v>568</v>
      </c>
      <c r="E505" s="115">
        <f>INDEX(Input!$1:$1048576,E$93,$C505*2+MIN($B505,1)+5)</f>
        <v>750</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1.9E-2</v>
      </c>
      <c r="W505" s="862">
        <f>INDEX(Input!$1:$1048576,W$93,$C505*2+MIN($B505,1)+5)</f>
        <v>3.9E-2</v>
      </c>
      <c r="X505" s="118" t="str">
        <f>INDEX(Input!$1:$1048576,X$93,$C505*2+MIN($B505,1)+5)</f>
        <v>Y</v>
      </c>
      <c r="Y505" s="475">
        <f>INDEX(Input!$1:$1048576,Y$93,$C505*2+MIN($B505,1)+5)+500</f>
        <v>-451.3618966787526</v>
      </c>
      <c r="Z505" s="30">
        <f>INDEX(Input!$1:$1048576,Z$93,$C505*2+MIN($B505,1)+5)</f>
        <v>0</v>
      </c>
      <c r="AA505" s="115">
        <f>INDEX(Input!$1:$1048576,AA$93,$C505*2+MIN($B505,1)+5)</f>
        <v>0</v>
      </c>
      <c r="AB505" s="118">
        <f>INDEX(Input!$1:$1048576,AB$93,$C505*2+MIN($B505,1)+5)</f>
        <v>0.43</v>
      </c>
      <c r="AC505" s="115">
        <f>INDEX(Input!$1:$1048576,AC$93,$C505*2+MIN($B505,1)+5)</f>
        <v>1000</v>
      </c>
      <c r="AD505" s="118">
        <f>INDEX(Input!$1:$1048576,AD$93,$C505*2+MIN($B505,1)+5)</f>
        <v>0.35</v>
      </c>
      <c r="AE505" s="115">
        <f>INDEX(Input!$1:$1048576,AE$93,$C505*2+MIN($B505,1)+5)</f>
        <v>0</v>
      </c>
      <c r="AF505" s="118">
        <f>INDEX(Input!$1:$1048576,AF$93,$C505*2+MIN($B505,1)+5)</f>
        <v>1</v>
      </c>
      <c r="AG505" s="115">
        <f>INDEX(Input!$1:$1048576,AG$93,$C505*2+MIN($B505,1)+5)</f>
        <v>500</v>
      </c>
      <c r="AH505" s="118">
        <f>INDEX(Input!$1:$1048576,AH$93,$C505*2+MIN($B505,1)+5)</f>
        <v>1</v>
      </c>
      <c r="AI505" s="115">
        <f>INDEX(Input!$1:$1048576,AI$93,$C505*2+MIN($B505,1)+5)</f>
        <v>500</v>
      </c>
      <c r="AJ505" s="118">
        <f>INDEX(Input!$1:$1048576,AJ$93,$C505*2+MIN($B505,1)+5)</f>
        <v>0.35</v>
      </c>
      <c r="AK505" s="150">
        <f>ROUND(INDEX(Input!$1:$1048576,AK$93,$C504*2+MIN($B505,1)+5)+(Y505-VLOOKUP($C505*1000+1,$A:$HH,Y$92,FALSE)),0)</f>
        <v>5239</v>
      </c>
      <c r="AL505" s="150">
        <f>ROUND(INDEX(Input!$1:$1048576,AL$93,$C504*2+MIN($B505,1)+5)-(Y505-VLOOKUP($C505*1000+1,$A:$HH,Y$92,FALSE))/36,0)</f>
        <v>4725</v>
      </c>
      <c r="AM505" s="32" t="str">
        <f t="shared" si="1665"/>
        <v>std/std/std/std</v>
      </c>
      <c r="AN505" s="32" t="str">
        <f t="shared" si="1666"/>
        <v>$0 + 0/0/0/1.9/3.9</v>
      </c>
      <c r="AO505" s="32" t="str">
        <f t="shared" si="1667"/>
        <v>0/0/0/1.9/3.9</v>
      </c>
      <c r="AP505" s="32" t="str">
        <f t="shared" si="1621"/>
        <v>0/0.9/1.9/3.9</v>
      </c>
      <c r="AQ505" s="536">
        <f t="shared" si="1620"/>
        <v>850.45107637171589</v>
      </c>
      <c r="AR505" s="32"/>
      <c r="AS505" s="302"/>
      <c r="AT505" s="3">
        <f t="shared" si="1688"/>
        <v>5</v>
      </c>
      <c r="AU505" s="41" t="s">
        <v>121</v>
      </c>
      <c r="AV505" s="41" t="s">
        <v>116</v>
      </c>
      <c r="AW505" s="41" t="str">
        <f>INDEX(Input!$1:$1048576,AW$93,$C505*2+6)</f>
        <v>Kia</v>
      </c>
      <c r="AX505" s="41" t="str">
        <f>INDEX(Input!$1:$1048576,AX$93,$C505*2+6)</f>
        <v>Kia-LR - R2</v>
      </c>
      <c r="AY505" s="41" t="str">
        <f>IF(LEN(D505)=0,"",INDEX(Input!$1:$1048576,AY$93,$C505*2+6))</f>
        <v>Compact Conventional/Sporty Car (43)</v>
      </c>
      <c r="AZ505" s="41" t="str">
        <f>INDEX(Input!$1:$1048576,AZ$93,$C505*2+6)</f>
        <v>Kia Forte</v>
      </c>
      <c r="BA505" s="3">
        <f>INDEX(Input!$1:$1048576,BA$93,$C505*2+6)</f>
        <v>2020</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19695</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622"/>
        <v>1100</v>
      </c>
      <c r="CJ505" s="16" t="str">
        <f>INDEX(Input!$1:$1048576,CJ$93,$C505*2+6)</f>
        <v>N</v>
      </c>
      <c r="CK505" s="1" t="str">
        <f t="shared" si="1623"/>
        <v>Market</v>
      </c>
      <c r="CL505" s="1" t="str">
        <f t="shared" si="1624"/>
        <v>Market</v>
      </c>
      <c r="CM505" s="1" t="str">
        <f t="shared" si="1625"/>
        <v>Market</v>
      </c>
      <c r="CN505" s="1" t="str">
        <f t="shared" si="1626"/>
        <v>Market</v>
      </c>
      <c r="CO505" s="1" t="str">
        <f t="shared" si="1627"/>
        <v>Market</v>
      </c>
      <c r="CP505" s="304">
        <f t="shared" si="1628"/>
        <v>350</v>
      </c>
      <c r="CQ505" s="1">
        <f t="shared" si="1629"/>
        <v>0</v>
      </c>
      <c r="CR505" s="1">
        <f t="shared" si="1630"/>
        <v>0</v>
      </c>
      <c r="CS505" s="1">
        <f t="shared" si="1631"/>
        <v>0</v>
      </c>
      <c r="CT505" s="1">
        <f t="shared" si="1632"/>
        <v>1.9E-2</v>
      </c>
      <c r="CU505" s="1">
        <f t="shared" si="1633"/>
        <v>3.9E-2</v>
      </c>
      <c r="CV505" s="304">
        <f t="shared" si="1634"/>
        <v>-276.3618966787526</v>
      </c>
      <c r="CW505" s="20" t="s">
        <v>122</v>
      </c>
      <c r="CX505" s="20" t="s">
        <v>122</v>
      </c>
      <c r="CY505" s="20" t="s">
        <v>122</v>
      </c>
      <c r="CZ505" s="20" t="s">
        <v>122</v>
      </c>
      <c r="DA505" s="20" t="s">
        <v>122</v>
      </c>
      <c r="DB505" s="503">
        <f t="shared" si="1635"/>
        <v>500</v>
      </c>
      <c r="DC505" s="127">
        <v>0</v>
      </c>
      <c r="DD505" s="127">
        <v>0</v>
      </c>
      <c r="DE505" s="127">
        <v>0</v>
      </c>
      <c r="DF505" s="127">
        <v>0</v>
      </c>
      <c r="DG505" s="127">
        <v>0</v>
      </c>
      <c r="DH505" s="127">
        <v>0</v>
      </c>
      <c r="DI505" s="127">
        <v>0</v>
      </c>
      <c r="DJ505" s="127">
        <v>0</v>
      </c>
      <c r="DK505" s="127">
        <v>0</v>
      </c>
      <c r="DL505" s="127">
        <v>0</v>
      </c>
      <c r="DM505" s="304">
        <f>INDEX(Input!$1:$1048576,DM$93,$C505*2+6)</f>
        <v>20731.578947368424</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4.2743987710081199E-2</v>
      </c>
      <c r="DZ505" s="7">
        <v>0</v>
      </c>
      <c r="EA505" s="7">
        <v>0.7607895386005864</v>
      </c>
      <c r="EB505" s="7">
        <v>0</v>
      </c>
      <c r="EC505" s="7">
        <v>0</v>
      </c>
      <c r="ED505" s="7">
        <v>0</v>
      </c>
      <c r="EE505" s="7">
        <v>0</v>
      </c>
      <c r="EF505" s="7">
        <v>0</v>
      </c>
      <c r="EG505" s="7">
        <v>0</v>
      </c>
      <c r="EH505" s="7">
        <v>1.4439354889730983E-2</v>
      </c>
      <c r="EI505" s="7">
        <v>1.8187760367497717E-2</v>
      </c>
      <c r="EJ505" s="7">
        <v>0.26745308665005069</v>
      </c>
      <c r="EK505" s="7">
        <v>0.6535349267031505</v>
      </c>
      <c r="EL505" s="7">
        <v>4.638487138956969E-2</v>
      </c>
      <c r="EM505" s="7">
        <v>6.7103880016268894E-2</v>
      </c>
      <c r="EN505" s="7">
        <v>4.7605551787884386E-2</v>
      </c>
      <c r="EO505" s="7">
        <v>0.58220286055005022</v>
      </c>
      <c r="EP505" s="7">
        <v>0.25175614054038037</v>
      </c>
      <c r="EQ505" s="7">
        <v>7.1866883589678299E-2</v>
      </c>
      <c r="ER505" s="7">
        <v>4.6568563532006217E-2</v>
      </c>
      <c r="ES505" s="7">
        <v>0.12936259367306349</v>
      </c>
      <c r="ET505" s="7">
        <v>0.19646647368933243</v>
      </c>
      <c r="EU505" s="6">
        <v>1200</v>
      </c>
      <c r="EV505" s="6">
        <v>0</v>
      </c>
      <c r="EW505" s="6">
        <v>1200</v>
      </c>
      <c r="EX505" s="6">
        <v>0</v>
      </c>
      <c r="EY505" s="6">
        <v>2231.5199991488366</v>
      </c>
      <c r="EZ505" s="6">
        <v>-1548.0908300335955</v>
      </c>
      <c r="FA505" s="6">
        <v>0</v>
      </c>
      <c r="FB505" s="6">
        <v>0</v>
      </c>
      <c r="FC505" s="6">
        <v>0</v>
      </c>
      <c r="FD505" s="6">
        <v>0</v>
      </c>
      <c r="FE505" s="6">
        <v>0</v>
      </c>
      <c r="FF505" s="6">
        <v>0</v>
      </c>
      <c r="FG505" s="6">
        <v>0</v>
      </c>
      <c r="FH505" s="6">
        <v>1153.9845443808852</v>
      </c>
      <c r="FI505" s="6">
        <v>1531.4299904380609</v>
      </c>
      <c r="FJ505" s="6">
        <v>2070.7205842538215</v>
      </c>
      <c r="FK505" s="6">
        <v>1746.9903521590436</v>
      </c>
      <c r="FL505" s="6">
        <v>893.91433563489375</v>
      </c>
      <c r="FM505" s="6">
        <v>1781.5199991488366</v>
      </c>
      <c r="FN505" s="6">
        <v>0</v>
      </c>
      <c r="FO505" s="6">
        <v>0</v>
      </c>
      <c r="FP505" s="6">
        <v>0</v>
      </c>
      <c r="FQ505" s="6">
        <v>0</v>
      </c>
      <c r="FR505" s="6">
        <v>0</v>
      </c>
      <c r="FS505" s="6">
        <v>0</v>
      </c>
      <c r="FT505" s="7">
        <v>0.80353352631066755</v>
      </c>
      <c r="FU505" s="7">
        <v>6.7103880016268894E-2</v>
      </c>
      <c r="FV505" s="7">
        <v>0.12936259367306349</v>
      </c>
      <c r="FW505" s="6">
        <v>1200</v>
      </c>
      <c r="FX505" s="6">
        <v>2231.5199991488366</v>
      </c>
      <c r="FY505" s="6">
        <v>-1548.0908300335955</v>
      </c>
      <c r="FZ505" s="6">
        <v>2411.9063952864503</v>
      </c>
      <c r="GA505" s="6">
        <v>913.71883683495753</v>
      </c>
      <c r="GB505" s="6">
        <v>18781.281163165044</v>
      </c>
      <c r="GC505" s="7">
        <v>7.6138913542514425E-2</v>
      </c>
      <c r="GD505" s="7">
        <v>6.3239641903020949E-2</v>
      </c>
      <c r="GE505" s="7"/>
      <c r="GF505" s="7"/>
      <c r="GG505" s="7">
        <v>-0.16941759527854025</v>
      </c>
      <c r="GH505" s="42">
        <v>2.2271440716405353</v>
      </c>
      <c r="GI505" s="6">
        <v>9756.8827123953197</v>
      </c>
      <c r="GJ505" s="14">
        <v>0.51074630601039572</v>
      </c>
      <c r="GK505" s="14">
        <v>0.50829519786161004</v>
      </c>
      <c r="GL505" s="14">
        <v>0.48925369398960428</v>
      </c>
      <c r="GM505" s="14">
        <v>0.49170480213839052</v>
      </c>
      <c r="GO505" s="5">
        <v>338.16872463277008</v>
      </c>
      <c r="GP505" s="5">
        <v>315.27501390194027</v>
      </c>
      <c r="GQ505" s="5">
        <v>527.27910984145694</v>
      </c>
      <c r="GR505" s="5">
        <v>404.20319246551543</v>
      </c>
      <c r="GS505" s="5">
        <v>334.50205195691484</v>
      </c>
      <c r="GT505" s="5">
        <v>289.18266033348181</v>
      </c>
      <c r="GU505" s="5">
        <v>254.29573314828914</v>
      </c>
      <c r="GV505" s="39" t="s">
        <v>392</v>
      </c>
      <c r="GW505" s="5">
        <v>479.875</v>
      </c>
      <c r="GX505" s="5">
        <v>359.90625</v>
      </c>
      <c r="GY505" s="5">
        <v>287.92500000000001</v>
      </c>
      <c r="GZ505" s="5">
        <v>254.06342861438094</v>
      </c>
      <c r="HA505" s="5">
        <v>235.34107974463737</v>
      </c>
      <c r="HB505" s="39">
        <v>267.43699394527823</v>
      </c>
      <c r="HC505" s="5">
        <v>350.84459881396981</v>
      </c>
      <c r="HD505" s="5">
        <v>282.55331535590079</v>
      </c>
      <c r="HE505" s="5">
        <v>280.38610879150156</v>
      </c>
      <c r="HF505" s="5">
        <v>253.50277478663213</v>
      </c>
      <c r="HG505" s="5">
        <v>237.24667511950355</v>
      </c>
      <c r="HH505" s="39">
        <v>281.06111505523864</v>
      </c>
      <c r="HI505" s="16"/>
      <c r="HJ505" s="19" t="str">
        <f t="shared" si="1689"/>
        <v>On</v>
      </c>
      <c r="HK505" s="1" t="str">
        <f t="shared" si="1689"/>
        <v>On</v>
      </c>
      <c r="HL505" s="16"/>
      <c r="HM505" s="639">
        <f t="shared" si="1636"/>
        <v>5.1181272167489952E-2</v>
      </c>
      <c r="HN505" s="639">
        <f t="shared" si="1637"/>
        <v>4.2792051795134348E-3</v>
      </c>
      <c r="HO505" s="639">
        <f t="shared" si="1638"/>
        <v>7.4145241462331068E-3</v>
      </c>
      <c r="HP505" s="644">
        <f>(FT505*$GD505-HM505)/$JF505*INDEX(Input!$1:$1048576,$JG$93,$C505*2+6)</f>
        <v>-4.3204131339181613</v>
      </c>
      <c r="HQ505" s="644">
        <f>(FU505*$GD505-HN505)/$JF505*INDEX(Input!$1:$1048576,$JG$93,$C505*2+6)</f>
        <v>-0.41988450756488915</v>
      </c>
      <c r="HR505" s="644">
        <f>(FV505*$GD505-HO505)/$JF505*INDEX(Input!$1:$1048576,$JG$93,$C505*2+6)</f>
        <v>9.0434893334811228</v>
      </c>
      <c r="HS505" s="644">
        <f t="shared" si="1639"/>
        <v>5.0352952183813801E-6</v>
      </c>
      <c r="HT505" s="644">
        <f t="shared" si="1640"/>
        <v>-1.3145792663193708E-3</v>
      </c>
      <c r="HU505" s="644">
        <f t="shared" si="1641"/>
        <v>8.9573450321090515</v>
      </c>
      <c r="HV505" s="648">
        <f t="shared" si="1642"/>
        <v>0</v>
      </c>
      <c r="HW505" s="648">
        <f t="shared" si="1643"/>
        <v>0</v>
      </c>
      <c r="HX505" s="648">
        <f t="shared" si="1644"/>
        <v>0</v>
      </c>
      <c r="HY505" s="644">
        <f>INDEX(Input!$1:$1048576,HY$93,$C505*2+6)*INDEX(Input!$1:$1048576,$JG$93,$C505*2+6)</f>
        <v>345</v>
      </c>
      <c r="HZ505" s="644">
        <f>INDEX(Input!$1:$1048576,HZ$93,$C505*2+6)*INDEX(Input!$1:$1048576,$JG$93,$C505*2+6)</f>
        <v>299</v>
      </c>
      <c r="IA505" s="644">
        <f>INDEX(Input!$1:$1048576,IA$93,$C505*2+6)*INDEX(Input!$1:$1048576,$JG$93,$C505*2+6)</f>
        <v>98</v>
      </c>
      <c r="IB505" s="644">
        <f t="shared" si="1668"/>
        <v>340.67959190137708</v>
      </c>
      <c r="IC505" s="644">
        <f t="shared" si="1669"/>
        <v>298.57880091316878</v>
      </c>
      <c r="ID505" s="644">
        <f>IF(AND(INDEX(Input!$1:$1048576,IA$93,$C505*2+7)="TOS",Y505&lt;=INDEX(Y:Y,MATCH(C505*1000+2,A:A))),0,1)*MAX(IA505+HR505+HU505+HX505,0%)</f>
        <v>116.00083436559017</v>
      </c>
      <c r="IE505" s="128">
        <f t="shared" ref="IE505:IE506" si="1700">IB505/SUM($IB505:$ID505)</f>
        <v>0.45107637171590881</v>
      </c>
      <c r="IF505" s="128">
        <f t="shared" si="1691"/>
        <v>0.39533287402254413</v>
      </c>
      <c r="IG505" s="128">
        <f t="shared" si="1646"/>
        <v>0.15359075426154697</v>
      </c>
      <c r="IH505" s="21"/>
      <c r="II505" s="19">
        <f t="shared" si="1647"/>
        <v>1200</v>
      </c>
      <c r="IJ505" s="19">
        <f t="shared" si="1648"/>
        <v>2231.5440334087361</v>
      </c>
      <c r="IK505" s="19">
        <f t="shared" si="1649"/>
        <v>-2048.0908300335955</v>
      </c>
      <c r="IL505" s="19">
        <f t="shared" si="1671"/>
        <v>0</v>
      </c>
      <c r="IM505" s="19">
        <f t="shared" si="1650"/>
        <v>-2.403425989950847E-2</v>
      </c>
      <c r="IN505" s="19">
        <f t="shared" si="1651"/>
        <v>500</v>
      </c>
      <c r="IO505" s="39">
        <f t="shared" si="1652"/>
        <v>0</v>
      </c>
      <c r="IP505" s="39">
        <f t="shared" si="1653"/>
        <v>0</v>
      </c>
      <c r="IQ505" s="39">
        <f t="shared" si="1654"/>
        <v>0</v>
      </c>
      <c r="IR505" s="39">
        <v>0</v>
      </c>
      <c r="IS505" s="39">
        <v>0</v>
      </c>
      <c r="IT505" s="39">
        <v>0</v>
      </c>
      <c r="IU505" s="39">
        <v>0</v>
      </c>
      <c r="IV505" s="39">
        <v>0</v>
      </c>
      <c r="IW505" s="39">
        <v>0</v>
      </c>
      <c r="IX505" s="39">
        <f>INDEX(Input!$1:$1048576,IX$93,$C505*2+6)+INDEX(Input!$1:$1048576,IX$94,$C505*2+6)</f>
        <v>1600</v>
      </c>
      <c r="IY505" s="39">
        <f>INDEX(Input!$1:$1048576,IY$93,$C505*2+6)+INDEX(Input!$1:$1048576,IY$94,$C505*2+6)</f>
        <v>2503.5492916397525</v>
      </c>
      <c r="IZ505" s="39">
        <f>INDEX(Input!$1:$1048576,IZ$93,$C505*2+6)+INDEX(Input!$1:$1048576,IZ$94,$C505*2+6)</f>
        <v>5413.7109265464023</v>
      </c>
      <c r="JA505" s="19">
        <f t="shared" si="1672"/>
        <v>1600</v>
      </c>
      <c r="JB505" s="19">
        <f t="shared" si="1673"/>
        <v>2503.525257379853</v>
      </c>
      <c r="JC505" s="19">
        <f t="shared" si="1674"/>
        <v>5913.7109265464023</v>
      </c>
      <c r="JD505" s="19">
        <f t="shared" si="1675"/>
        <v>2619.7393516264747</v>
      </c>
      <c r="JE505" s="21"/>
      <c r="JF505" s="1">
        <f t="shared" si="1655"/>
        <v>6.2875001493236493E-2</v>
      </c>
      <c r="JG505" s="15">
        <f>INDEX(Input!$1:$1048576,JG$93,$C505*2+6)/(1+VLOOKUP(C505*1000+INDEX(Input!$1:$1048576,JG$93+1,$C505*2+6),$A:$KK,$JK$92,FALSE))</f>
        <v>742</v>
      </c>
      <c r="JH505" s="1">
        <f t="shared" si="1676"/>
        <v>5.7994497196739514E-3</v>
      </c>
      <c r="JI505" s="1">
        <f t="shared" si="1677"/>
        <v>1.2070128690212872E-2</v>
      </c>
      <c r="JJ505" s="1">
        <f t="shared" si="1678"/>
        <v>0</v>
      </c>
      <c r="JK505" s="1">
        <f>SUM(JH505:JJ505)</f>
        <v>1.7869578409886823E-2</v>
      </c>
      <c r="JL505" s="15">
        <f t="shared" si="1680"/>
        <v>13.259227180136023</v>
      </c>
      <c r="JM505" s="15">
        <f t="shared" si="1681"/>
        <v>755.25922718013601</v>
      </c>
      <c r="JN505" s="21"/>
      <c r="JO505" s="19">
        <f>INDEX(Input!$1:$1048576,JO$93,$C505*2+6)</f>
        <v>5908.5</v>
      </c>
      <c r="JP505" s="19">
        <f>INDEX(Input!$1:$1048576,JP$93,$C505*2+6)</f>
        <v>2467.7963733178344</v>
      </c>
      <c r="JQ505" s="39">
        <f t="shared" si="1692"/>
        <v>3288.7606483735253</v>
      </c>
      <c r="JR505" s="39">
        <f t="shared" si="1693"/>
        <v>151.94297830864025</v>
      </c>
      <c r="JS505" s="39">
        <f t="shared" si="1694"/>
        <v>1.9785823181228019</v>
      </c>
      <c r="JT505" s="39">
        <f t="shared" si="1682"/>
        <v>0.14747740912096877</v>
      </c>
      <c r="JU505" s="385">
        <f>(JQ505*JM505-INDEX(Input!$1:$1048576,Input!A$18,$C505*2+6)*JL505*INDEX(Input!$1:$1048576,Input!A$19,$C505*2+6))/1000000</f>
        <v>2.4838668256710315</v>
      </c>
      <c r="JV505" s="39">
        <f t="shared" si="1658"/>
        <v>-6.9135265327135098E-2</v>
      </c>
      <c r="JW505" s="1">
        <f t="shared" ref="JW505" si="1701">JV505/(JU505-JV505)</f>
        <v>-2.7079987741061646E-2</v>
      </c>
      <c r="JX505" s="19">
        <f t="shared" si="1698"/>
        <v>11122.624804400994</v>
      </c>
      <c r="JZ505" s="468">
        <f>(IA505+HR505)/SUM(HP505:HR505,HY505:IA505)*IN505</f>
        <v>71.715819069991554</v>
      </c>
      <c r="KA505" s="469">
        <f>JH505/(JZ505/BX505)</f>
        <v>1.5926773717456189</v>
      </c>
      <c r="KB505" s="469">
        <f>KB504</f>
        <v>2.4623520912331753</v>
      </c>
      <c r="KC505" s="469">
        <f>MIN(KE504+1)</f>
        <v>4.6065436501782466</v>
      </c>
      <c r="KD505" s="469">
        <f>KC505+2</f>
        <v>6.6065436501782466</v>
      </c>
      <c r="KE505" s="469">
        <f>MIN(MAX(KA505,KC505),KD505)</f>
        <v>4.6065436501782466</v>
      </c>
      <c r="KF505" s="470">
        <f>A505</f>
        <v>5005</v>
      </c>
      <c r="KG505" s="471">
        <f>(JH505/KA505*KE505-JH505)/MAX(IL505:IN505)*1000</f>
        <v>2.1948909746151116E-2</v>
      </c>
      <c r="KH505" s="472"/>
      <c r="KI505" s="473">
        <f t="shared" si="1696"/>
        <v>-4.3204080986229769</v>
      </c>
      <c r="KJ505" s="473">
        <f t="shared" si="1683"/>
        <v>-0.42119908683122276</v>
      </c>
      <c r="KK505" s="473">
        <f t="shared" si="1684"/>
        <v>18.000834365590151</v>
      </c>
      <c r="KL505" s="472" t="str">
        <f>IF(OR(KI505&gt;0,KJ505&gt;0),"Error - Adjust TR","ok")</f>
        <v>ok</v>
      </c>
      <c r="KN505" s="544">
        <f t="shared" si="1699"/>
        <v>5002</v>
      </c>
      <c r="KO505" s="541">
        <f t="shared" si="1659"/>
        <v>-5.4212173284958087E-2</v>
      </c>
      <c r="KP505" s="546">
        <f t="shared" si="1660"/>
        <v>-311.70873533199301</v>
      </c>
      <c r="KQ505" s="546">
        <f t="shared" si="1661"/>
        <v>-239.03309452523445</v>
      </c>
      <c r="KR505" s="548">
        <f t="shared" si="1662"/>
        <v>2.9281453554456398</v>
      </c>
      <c r="KS505" s="548">
        <f t="shared" si="1663"/>
        <v>3.8184188989690453</v>
      </c>
      <c r="KT505" s="473">
        <f t="shared" si="1697"/>
        <v>389.37465324503302</v>
      </c>
      <c r="KU505" s="663">
        <f t="shared" si="1685"/>
        <v>7.0643894143333315</v>
      </c>
      <c r="KV505" s="117"/>
    </row>
    <row r="506" spans="1:310" s="26" customFormat="1" ht="15">
      <c r="A506" s="561">
        <f t="shared" si="1664"/>
        <v>5006</v>
      </c>
      <c r="B506" s="561">
        <f t="shared" si="1686"/>
        <v>6</v>
      </c>
      <c r="C506" s="561">
        <f t="shared" si="1687"/>
        <v>5</v>
      </c>
      <c r="D506" s="561" t="s">
        <v>742</v>
      </c>
      <c r="E506" s="115">
        <f>INDEX(Input!$1:$1048576,E$93,$C506*2+MIN($B506,1)+5)</f>
        <v>750</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1.9E-2</v>
      </c>
      <c r="W506" s="862">
        <f>INDEX(Input!$1:$1048576,W$93,$C506*2+MIN($B506,1)+5)</f>
        <v>3.9E-2</v>
      </c>
      <c r="X506" s="118" t="str">
        <f>INDEX(Input!$1:$1048576,X$93,$C506*2+MIN($B506,1)+5)</f>
        <v>Y</v>
      </c>
      <c r="Y506" s="150">
        <f>INDEX(Input!$1:$1048576,Y$93,$C506*2+MIN($B506,1)+5)</f>
        <v>-951.3618966787526</v>
      </c>
      <c r="Z506" s="477">
        <f>INDEX(Input!$1:$1048576,Z$93,$C506*2+MIN($B506,1)+5)+500</f>
        <v>500</v>
      </c>
      <c r="AA506" s="115">
        <f>INDEX(Input!$1:$1048576,AA$93,$C506*2+MIN($B506,1)+5)</f>
        <v>0</v>
      </c>
      <c r="AB506" s="118">
        <f>INDEX(Input!$1:$1048576,AB$93,$C506*2+MIN($B506,1)+5)</f>
        <v>0.43</v>
      </c>
      <c r="AC506" s="115">
        <f>INDEX(Input!$1:$1048576,AC$93,$C506*2+MIN($B506,1)+5)</f>
        <v>1000</v>
      </c>
      <c r="AD506" s="118">
        <f>INDEX(Input!$1:$1048576,AD$93,$C506*2+MIN($B506,1)+5)</f>
        <v>0.35</v>
      </c>
      <c r="AE506" s="115">
        <f>INDEX(Input!$1:$1048576,AE$93,$C506*2+MIN($B506,1)+5)</f>
        <v>0</v>
      </c>
      <c r="AF506" s="118">
        <f>INDEX(Input!$1:$1048576,AF$93,$C506*2+MIN($B506,1)+5)</f>
        <v>1</v>
      </c>
      <c r="AG506" s="115">
        <f>INDEX(Input!$1:$1048576,AG$93,$C506*2+MIN($B506,1)+5)</f>
        <v>500</v>
      </c>
      <c r="AH506" s="118">
        <f>INDEX(Input!$1:$1048576,AH$93,$C506*2+MIN($B506,1)+5)</f>
        <v>1</v>
      </c>
      <c r="AI506" s="115">
        <f>INDEX(Input!$1:$1048576,AI$93,$C506*2+MIN($B506,1)+5)</f>
        <v>500</v>
      </c>
      <c r="AJ506" s="118">
        <f>INDEX(Input!$1:$1048576,AJ$93,$C506*2+MIN($B506,1)+5)</f>
        <v>0.35</v>
      </c>
      <c r="AK506" s="150">
        <f>ROUND(INDEX(Input!$1:$1048576,AK$93,$C505*2+MIN($B506,1)+5)+(Y506-VLOOKUP($C506*1000+1,$A:$HH,Y$92,FALSE)),0)</f>
        <v>4739</v>
      </c>
      <c r="AL506" s="150">
        <f>ROUND(INDEX(Input!$1:$1048576,AL$93,$C505*2+MIN($B506,1)+5)-(Y506-VLOOKUP($C506*1000+1,$A:$HH,Y$92,FALSE))/36,0)</f>
        <v>4739</v>
      </c>
      <c r="AM506" s="32" t="str">
        <f t="shared" si="1665"/>
        <v>std/std/std/std</v>
      </c>
      <c r="AN506" s="32" t="str">
        <f t="shared" si="1666"/>
        <v>$0 + 0/0/0/1.9/3.9</v>
      </c>
      <c r="AO506" s="32" t="str">
        <f t="shared" si="1667"/>
        <v>0/0/0/1.9/3.9</v>
      </c>
      <c r="AP506" s="32" t="str">
        <f t="shared" si="1621"/>
        <v>0/0.9/1.9/3.9</v>
      </c>
      <c r="AQ506" s="536">
        <f t="shared" si="1620"/>
        <v>850.46123153941653</v>
      </c>
      <c r="AR506" s="32"/>
      <c r="AS506" s="302"/>
      <c r="AT506" s="3">
        <f t="shared" si="1688"/>
        <v>6</v>
      </c>
      <c r="AU506" s="41" t="s">
        <v>121</v>
      </c>
      <c r="AV506" s="41" t="s">
        <v>116</v>
      </c>
      <c r="AW506" s="41" t="str">
        <f>INDEX(Input!$1:$1048576,AW$93,$C506*2+6)</f>
        <v>Kia</v>
      </c>
      <c r="AX506" s="41" t="str">
        <f>INDEX(Input!$1:$1048576,AX$93,$C506*2+6)</f>
        <v>Kia-LR - R2</v>
      </c>
      <c r="AY506" s="41" t="str">
        <f>IF(LEN(D506)=0,"",INDEX(Input!$1:$1048576,AY$93,$C506*2+6))</f>
        <v>Compact Conventional/Sporty Car (43)</v>
      </c>
      <c r="AZ506" s="41" t="str">
        <f>INDEX(Input!$1:$1048576,AZ$93,$C506*2+6)</f>
        <v>Kia Forte</v>
      </c>
      <c r="BA506" s="3">
        <f>INDEX(Input!$1:$1048576,BA$93,$C506*2+6)</f>
        <v>2020</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19695</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622"/>
        <v>1100</v>
      </c>
      <c r="CJ506" s="16" t="str">
        <f>INDEX(Input!$1:$1048576,CJ$93,$C506*2+6)</f>
        <v>N</v>
      </c>
      <c r="CK506" s="1" t="str">
        <f t="shared" si="1623"/>
        <v>Market</v>
      </c>
      <c r="CL506" s="1" t="str">
        <f t="shared" si="1624"/>
        <v>Market</v>
      </c>
      <c r="CM506" s="1" t="str">
        <f t="shared" si="1625"/>
        <v>Market</v>
      </c>
      <c r="CN506" s="1" t="str">
        <f t="shared" si="1626"/>
        <v>Market</v>
      </c>
      <c r="CO506" s="1" t="str">
        <f t="shared" si="1627"/>
        <v>Market</v>
      </c>
      <c r="CP506" s="304">
        <f t="shared" si="1628"/>
        <v>350</v>
      </c>
      <c r="CQ506" s="1">
        <f t="shared" si="1629"/>
        <v>0</v>
      </c>
      <c r="CR506" s="1">
        <f t="shared" si="1630"/>
        <v>0</v>
      </c>
      <c r="CS506" s="1">
        <f t="shared" si="1631"/>
        <v>0</v>
      </c>
      <c r="CT506" s="1">
        <f t="shared" si="1632"/>
        <v>1.9E-2</v>
      </c>
      <c r="CU506" s="1">
        <f t="shared" si="1633"/>
        <v>3.9E-2</v>
      </c>
      <c r="CV506" s="304">
        <f t="shared" si="1634"/>
        <v>-776.3618966787526</v>
      </c>
      <c r="CW506" s="20" t="s">
        <v>122</v>
      </c>
      <c r="CX506" s="20" t="s">
        <v>122</v>
      </c>
      <c r="CY506" s="20" t="s">
        <v>122</v>
      </c>
      <c r="CZ506" s="20" t="s">
        <v>122</v>
      </c>
      <c r="DA506" s="20" t="s">
        <v>122</v>
      </c>
      <c r="DB506" s="503">
        <f t="shared" si="1635"/>
        <v>1000</v>
      </c>
      <c r="DC506" s="127">
        <v>0</v>
      </c>
      <c r="DD506" s="127">
        <v>0</v>
      </c>
      <c r="DE506" s="127">
        <v>0</v>
      </c>
      <c r="DF506" s="127">
        <v>0</v>
      </c>
      <c r="DG506" s="127">
        <v>0</v>
      </c>
      <c r="DH506" s="127">
        <v>0</v>
      </c>
      <c r="DI506" s="127">
        <v>0</v>
      </c>
      <c r="DJ506" s="127">
        <v>0</v>
      </c>
      <c r="DK506" s="127">
        <v>0</v>
      </c>
      <c r="DL506" s="127">
        <v>0</v>
      </c>
      <c r="DM506" s="304">
        <f>INDEX(Input!$1:$1048576,DM$93,$C506*2+6)</f>
        <v>20731.578947368424</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4.3807397485465631E-2</v>
      </c>
      <c r="DZ506" s="7">
        <v>0</v>
      </c>
      <c r="EA506" s="7">
        <v>0.77365058050811375</v>
      </c>
      <c r="EB506" s="7">
        <v>0</v>
      </c>
      <c r="EC506" s="7">
        <v>0</v>
      </c>
      <c r="ED506" s="7">
        <v>0</v>
      </c>
      <c r="EE506" s="7">
        <v>0</v>
      </c>
      <c r="EF506" s="7">
        <v>0</v>
      </c>
      <c r="EG506" s="7">
        <v>0</v>
      </c>
      <c r="EH506" s="7">
        <v>1.4446006703212019E-2</v>
      </c>
      <c r="EI506" s="7">
        <v>1.8188651819491263E-2</v>
      </c>
      <c r="EJ506" s="7">
        <v>0.26764171702487433</v>
      </c>
      <c r="EK506" s="7">
        <v>0.653346738935766</v>
      </c>
      <c r="EL506" s="7">
        <v>4.6376885516656426E-2</v>
      </c>
      <c r="EM506" s="7">
        <v>6.8452452874449995E-2</v>
      </c>
      <c r="EN506" s="7">
        <v>4.7605190350146327E-2</v>
      </c>
      <c r="EO506" s="7">
        <v>0.58219661090232755</v>
      </c>
      <c r="EP506" s="7">
        <v>0.25175245813782965</v>
      </c>
      <c r="EQ506" s="7">
        <v>7.1865940008144044E-2</v>
      </c>
      <c r="ER506" s="7">
        <v>4.6579800601552028E-2</v>
      </c>
      <c r="ES506" s="7">
        <v>0.11408956913197062</v>
      </c>
      <c r="ET506" s="7">
        <v>0.18254202200642061</v>
      </c>
      <c r="EU506" s="6">
        <v>1700</v>
      </c>
      <c r="EV506" s="6">
        <v>0</v>
      </c>
      <c r="EW506" s="6">
        <v>1700</v>
      </c>
      <c r="EX506" s="6">
        <v>0</v>
      </c>
      <c r="EY506" s="6">
        <v>2731.5837863303941</v>
      </c>
      <c r="EZ506" s="6">
        <v>-1548.0908300335955</v>
      </c>
      <c r="FA506" s="6">
        <v>0</v>
      </c>
      <c r="FB506" s="6">
        <v>0</v>
      </c>
      <c r="FC506" s="6">
        <v>0</v>
      </c>
      <c r="FD506" s="6">
        <v>0</v>
      </c>
      <c r="FE506" s="6">
        <v>0</v>
      </c>
      <c r="FF506" s="6">
        <v>0</v>
      </c>
      <c r="FG506" s="6">
        <v>0</v>
      </c>
      <c r="FH506" s="6">
        <v>1153.9877283488452</v>
      </c>
      <c r="FI506" s="6">
        <v>1531.4299904380614</v>
      </c>
      <c r="FJ506" s="6">
        <v>2070.7205842538224</v>
      </c>
      <c r="FK506" s="6">
        <v>1746.9903521590434</v>
      </c>
      <c r="FL506" s="6">
        <v>893.91433563489352</v>
      </c>
      <c r="FM506" s="6">
        <v>1781.5837863303941</v>
      </c>
      <c r="FN506" s="6">
        <v>0</v>
      </c>
      <c r="FO506" s="6">
        <v>0</v>
      </c>
      <c r="FP506" s="6">
        <v>0</v>
      </c>
      <c r="FQ506" s="6">
        <v>0</v>
      </c>
      <c r="FR506" s="6">
        <v>0</v>
      </c>
      <c r="FS506" s="6">
        <v>0</v>
      </c>
      <c r="FT506" s="7">
        <v>0.81745797799357933</v>
      </c>
      <c r="FU506" s="7">
        <v>6.8452452874449995E-2</v>
      </c>
      <c r="FV506" s="7">
        <v>0.11408956913197062</v>
      </c>
      <c r="FW506" s="6">
        <v>1700.0000000000002</v>
      </c>
      <c r="FX506" s="6">
        <v>2731.5837863303941</v>
      </c>
      <c r="FY506" s="6">
        <v>-1548.0908300335955</v>
      </c>
      <c r="FZ506" s="6">
        <v>2411.9063952864503</v>
      </c>
      <c r="GA506" s="6">
        <v>1400.0411572197902</v>
      </c>
      <c r="GB506" s="6">
        <v>18294.958842780208</v>
      </c>
      <c r="GC506" s="7">
        <v>7.6138913542514425E-2</v>
      </c>
      <c r="GD506" s="7">
        <v>6.6805450627868634E-2</v>
      </c>
      <c r="GE506" s="7"/>
      <c r="GF506" s="7"/>
      <c r="GG506" s="7">
        <v>-0.12258466111989073</v>
      </c>
      <c r="GH506" s="42">
        <v>2.3859945078943379</v>
      </c>
      <c r="GI506" s="6">
        <v>9654.4608278589385</v>
      </c>
      <c r="GJ506" s="14">
        <v>0.51074630601039561</v>
      </c>
      <c r="GK506" s="14">
        <v>0.50829519786160959</v>
      </c>
      <c r="GL506" s="14">
        <v>0.48925369398960428</v>
      </c>
      <c r="GM506" s="14">
        <v>0.4917048021383903</v>
      </c>
      <c r="GO506" s="5">
        <v>338.16872463277008</v>
      </c>
      <c r="GP506" s="5">
        <v>305.73596776409454</v>
      </c>
      <c r="GQ506" s="5">
        <v>527.27910984145694</v>
      </c>
      <c r="GR506" s="5">
        <v>404.20319246551543</v>
      </c>
      <c r="GS506" s="5">
        <v>334.50205195691484</v>
      </c>
      <c r="GT506" s="5">
        <v>289.18266033348181</v>
      </c>
      <c r="GU506" s="5">
        <v>254.29573314828914</v>
      </c>
      <c r="GV506" s="39" t="s">
        <v>392</v>
      </c>
      <c r="GW506" s="5">
        <v>465.98611111111109</v>
      </c>
      <c r="GX506" s="5">
        <v>349.48958333333331</v>
      </c>
      <c r="GY506" s="5">
        <v>279.59166666666664</v>
      </c>
      <c r="GZ506" s="5">
        <v>246.7101413400797</v>
      </c>
      <c r="HA506" s="5">
        <v>228.52966821545914</v>
      </c>
      <c r="HB506" s="39">
        <v>259.7045371299277</v>
      </c>
      <c r="HC506" s="5">
        <v>350.84459881396981</v>
      </c>
      <c r="HD506" s="5">
        <v>282.55331535590079</v>
      </c>
      <c r="HE506" s="5">
        <v>280.38610879150156</v>
      </c>
      <c r="HF506" s="5">
        <v>253.50277478663213</v>
      </c>
      <c r="HG506" s="5">
        <v>237.24667511950355</v>
      </c>
      <c r="HH506" s="39">
        <v>281.06061665040505</v>
      </c>
      <c r="HI506" s="16"/>
      <c r="HJ506" s="19" t="str">
        <f t="shared" si="1689"/>
        <v>On</v>
      </c>
      <c r="HK506" s="1" t="str">
        <f t="shared" si="1689"/>
        <v>On</v>
      </c>
      <c r="HL506" s="16"/>
      <c r="HM506" s="639">
        <f t="shared" si="1636"/>
        <v>5.1181272167489952E-2</v>
      </c>
      <c r="HN506" s="639">
        <f t="shared" si="1637"/>
        <v>4.2792051795134348E-3</v>
      </c>
      <c r="HO506" s="639">
        <f t="shared" si="1638"/>
        <v>7.4145241462331068E-3</v>
      </c>
      <c r="HP506" s="644">
        <f>(FT506*$GD506-HM506)/$JF506*INDEX(Input!$1:$1048576,$JG$93,$C506*2+6)</f>
        <v>40.470731522575981</v>
      </c>
      <c r="HQ506" s="644">
        <f>(FU506*$GD506-HN506)/$JF506*INDEX(Input!$1:$1048576,$JG$93,$C506*2+6)</f>
        <v>3.4670933850081362</v>
      </c>
      <c r="HR506" s="644">
        <f>(FV506*$GD506-HO506)/$JF506*INDEX(Input!$1:$1048576,$JG$93,$C506*2+6)</f>
        <v>2.4461621879989193</v>
      </c>
      <c r="HS506" s="644">
        <f t="shared" si="1639"/>
        <v>-9.3707486994928555</v>
      </c>
      <c r="HT506" s="644">
        <f t="shared" si="1640"/>
        <v>26.226122901407162</v>
      </c>
      <c r="HU506" s="644">
        <f t="shared" si="1641"/>
        <v>10.186191124203059</v>
      </c>
      <c r="HV506" s="648">
        <f t="shared" si="1642"/>
        <v>0</v>
      </c>
      <c r="HW506" s="648">
        <f t="shared" si="1643"/>
        <v>0</v>
      </c>
      <c r="HX506" s="648">
        <f t="shared" si="1644"/>
        <v>0</v>
      </c>
      <c r="HY506" s="644">
        <f>INDEX(Input!$1:$1048576,HY$93,$C506*2+6)*INDEX(Input!$1:$1048576,$JG$93,$C506*2+6)</f>
        <v>345</v>
      </c>
      <c r="HZ506" s="644">
        <f>INDEX(Input!$1:$1048576,HZ$93,$C506*2+6)*INDEX(Input!$1:$1048576,$JG$93,$C506*2+6)</f>
        <v>299</v>
      </c>
      <c r="IA506" s="644">
        <f>INDEX(Input!$1:$1048576,IA$93,$C506*2+6)*INDEX(Input!$1:$1048576,$JG$93,$C506*2+6)</f>
        <v>98</v>
      </c>
      <c r="IB506" s="644">
        <f t="shared" si="1668"/>
        <v>376.09998282308305</v>
      </c>
      <c r="IC506" s="644">
        <f t="shared" si="1669"/>
        <v>328.69321628641529</v>
      </c>
      <c r="ID506" s="644">
        <f>IF(AND(INDEX(Input!$1:$1048576,IA$93,$C506*2+7)="TOS",Y506&lt;=INDEX(Y:Y,MATCH(C506*1000+2,A:A))),0,1)*MAX(IA506+HR506+HU506+HX506,0%)</f>
        <v>110.63235331220199</v>
      </c>
      <c r="IE506" s="128">
        <f t="shared" si="1700"/>
        <v>0.46123153941658868</v>
      </c>
      <c r="IF506" s="128">
        <f t="shared" si="1691"/>
        <v>0.40309408419964549</v>
      </c>
      <c r="IG506" s="128">
        <f t="shared" si="1646"/>
        <v>0.13567437638376587</v>
      </c>
      <c r="IH506" s="21"/>
      <c r="II506" s="19">
        <f t="shared" si="1647"/>
        <v>1200</v>
      </c>
      <c r="IJ506" s="19">
        <f t="shared" si="1648"/>
        <v>2231.5440334087361</v>
      </c>
      <c r="IK506" s="19">
        <f t="shared" si="1649"/>
        <v>-2048.0908300335955</v>
      </c>
      <c r="IL506" s="19">
        <f t="shared" si="1671"/>
        <v>500.00000000000023</v>
      </c>
      <c r="IM506" s="19">
        <f t="shared" si="1650"/>
        <v>500.03975292165796</v>
      </c>
      <c r="IN506" s="19">
        <f t="shared" si="1651"/>
        <v>500</v>
      </c>
      <c r="IO506" s="39">
        <f t="shared" si="1652"/>
        <v>0</v>
      </c>
      <c r="IP506" s="39">
        <f t="shared" si="1653"/>
        <v>0</v>
      </c>
      <c r="IQ506" s="39">
        <f t="shared" si="1654"/>
        <v>0</v>
      </c>
      <c r="IR506" s="39">
        <v>0</v>
      </c>
      <c r="IS506" s="39">
        <v>0</v>
      </c>
      <c r="IT506" s="39">
        <v>0</v>
      </c>
      <c r="IU506" s="39">
        <v>0</v>
      </c>
      <c r="IV506" s="39">
        <v>0</v>
      </c>
      <c r="IW506" s="39">
        <v>0</v>
      </c>
      <c r="IX506" s="39">
        <f>INDEX(Input!$1:$1048576,IX$93,$C506*2+6)+INDEX(Input!$1:$1048576,IX$94,$C506*2+6)</f>
        <v>1600</v>
      </c>
      <c r="IY506" s="39">
        <f>INDEX(Input!$1:$1048576,IY$93,$C506*2+6)+INDEX(Input!$1:$1048576,IY$94,$C506*2+6)</f>
        <v>2503.5492916397525</v>
      </c>
      <c r="IZ506" s="39">
        <f>INDEX(Input!$1:$1048576,IZ$93,$C506*2+6)+INDEX(Input!$1:$1048576,IZ$94,$C506*2+6)</f>
        <v>5413.7109265464023</v>
      </c>
      <c r="JA506" s="19">
        <f t="shared" si="1672"/>
        <v>2100</v>
      </c>
      <c r="JB506" s="19">
        <f t="shared" si="1673"/>
        <v>3003.5890445614104</v>
      </c>
      <c r="JC506" s="19">
        <f t="shared" si="1674"/>
        <v>5913.7109265464023</v>
      </c>
      <c r="JD506" s="19">
        <f t="shared" si="1675"/>
        <v>2981.6542500774513</v>
      </c>
      <c r="JE506" s="21"/>
      <c r="JF506" s="1">
        <f t="shared" si="1655"/>
        <v>6.2875001493236493E-2</v>
      </c>
      <c r="JG506" s="15">
        <f>INDEX(Input!$1:$1048576,JG$93,$C506*2+6)/(1+VLOOKUP(C506*1000+INDEX(Input!$1:$1048576,JG$93+1,$C506*2+6),$A:$KK,$JK$92,FALSE))</f>
        <v>742</v>
      </c>
      <c r="JH506" s="1">
        <f t="shared" si="1676"/>
        <v>6.2512111988656388E-2</v>
      </c>
      <c r="JI506" s="1">
        <f t="shared" si="1677"/>
        <v>3.6444158121451978E-2</v>
      </c>
      <c r="JJ506" s="1">
        <f t="shared" si="1678"/>
        <v>0</v>
      </c>
      <c r="JK506" s="1">
        <f t="shared" ref="JK506:JK507" si="1702">SUM(JH506:JJ506)</f>
        <v>9.8956270110108366E-2</v>
      </c>
      <c r="JL506" s="15">
        <f t="shared" si="1680"/>
        <v>73.425552421700402</v>
      </c>
      <c r="JM506" s="15">
        <f>JG506+JL506</f>
        <v>815.42555242170044</v>
      </c>
      <c r="JN506" s="21"/>
      <c r="JO506" s="19">
        <f>INDEX(Input!$1:$1048576,JO$93,$C506*2+6)</f>
        <v>5908.5</v>
      </c>
      <c r="JP506" s="19">
        <f>INDEX(Input!$1:$1048576,JP$93,$C506*2+6)</f>
        <v>2467.7963733178344</v>
      </c>
      <c r="JQ506" s="39">
        <f t="shared" si="1692"/>
        <v>2926.8457499225487</v>
      </c>
      <c r="JR506" s="39">
        <f>JD506-JP506</f>
        <v>513.85787675961683</v>
      </c>
      <c r="JS506" s="39">
        <f t="shared" si="1694"/>
        <v>2.4313170639999164</v>
      </c>
      <c r="JT506" s="39">
        <f t="shared" si="1682"/>
        <v>0.60021215499808334</v>
      </c>
      <c r="JU506" s="385">
        <f>(JQ506*JM506-INDEX(Input!$1:$1048576,Input!A$18,$C506*2+6)*JL506*INDEX(Input!$1:$1048576,Input!A$19,$C506*2+6))/1000000</f>
        <v>2.3866248124837006</v>
      </c>
      <c r="JV506" s="39">
        <f t="shared" si="1658"/>
        <v>-0.16637727851446593</v>
      </c>
      <c r="JW506" s="1">
        <f>JV506/(JU506-JV506)</f>
        <v>-6.5169268408008296E-2</v>
      </c>
      <c r="JX506" s="19">
        <f t="shared" si="1698"/>
        <v>8174.4315868530657</v>
      </c>
      <c r="JZ506" s="468">
        <f>DB506-DB501</f>
        <v>500</v>
      </c>
      <c r="KA506" s="469">
        <f>JH506/(JZ506/BX506)</f>
        <v>2.4623520912331753</v>
      </c>
      <c r="KB506" s="469">
        <f t="shared" si="1695"/>
        <v>2.4623520912331753</v>
      </c>
      <c r="KI506" s="473">
        <f t="shared" si="1696"/>
        <v>31.09998282308311</v>
      </c>
      <c r="KJ506" s="473">
        <f t="shared" si="1683"/>
        <v>29.69321628641535</v>
      </c>
      <c r="KK506" s="473">
        <f t="shared" si="1684"/>
        <v>12.632353312201985</v>
      </c>
      <c r="KN506" s="544">
        <f t="shared" si="1699"/>
        <v>5002</v>
      </c>
      <c r="KO506" s="541">
        <f t="shared" si="1659"/>
        <v>2.1132259386339003E-2</v>
      </c>
      <c r="KP506" s="546">
        <f t="shared" si="1660"/>
        <v>110.17741166740497</v>
      </c>
      <c r="KQ506" s="546">
        <f t="shared" si="1661"/>
        <v>122.88180392574213</v>
      </c>
      <c r="KR506" s="548">
        <f t="shared" si="1662"/>
        <v>3.2292238705822358</v>
      </c>
      <c r="KS506" s="548">
        <f t="shared" si="1663"/>
        <v>2.8953638080569961</v>
      </c>
      <c r="KT506" s="473">
        <f t="shared" si="1697"/>
        <v>389.37465324503302</v>
      </c>
      <c r="KU506" s="663">
        <f t="shared" si="1685"/>
        <v>7.2275794267914595</v>
      </c>
      <c r="KV506" s="117"/>
    </row>
    <row r="507" spans="1:310" s="26" customFormat="1" ht="15">
      <c r="A507" s="561">
        <f t="shared" si="1664"/>
        <v>5007</v>
      </c>
      <c r="B507" s="561">
        <f t="shared" si="1686"/>
        <v>7</v>
      </c>
      <c r="C507" s="561">
        <f t="shared" si="1687"/>
        <v>5</v>
      </c>
      <c r="D507" s="561" t="s">
        <v>634</v>
      </c>
      <c r="E507" s="475">
        <f>INDEX(Input!$1:$1048576,E$93,$C507*2+MIN($B507,1)+5)</f>
        <v>750</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1.9E-2</v>
      </c>
      <c r="W507" s="863">
        <f>IFERROR(MAX(0,INDEX(Input!$1:$1048576,W$93,$C507*2+MIN($B507,1)+5)-0%),"Market")</f>
        <v>3.9E-2</v>
      </c>
      <c r="X507" s="476" t="str">
        <f>INDEX(Input!$1:$1048576,X$93,$C507*2+MIN($B507,1)+5)</f>
        <v>Y</v>
      </c>
      <c r="Y507" s="475">
        <f>INDEX(Input!$1:$1048576,Y$93,$C507*2+MIN($B507,1)+5)</f>
        <v>-951.3618966787526</v>
      </c>
      <c r="Z507" s="477">
        <f>INDEX(Input!$1:$1048576,Z$93,$C507*2+MIN($B507,1)+5)</f>
        <v>0</v>
      </c>
      <c r="AA507" s="475">
        <f>INDEX(Input!$1:$1048576,AA$93,$C507*2+MIN($B507,1)+5)</f>
        <v>0</v>
      </c>
      <c r="AB507" s="476">
        <f>INDEX(Input!$1:$1048576,AB$93,$C507*2+MIN($B507,1)+5)</f>
        <v>0.43</v>
      </c>
      <c r="AC507" s="475">
        <f>INDEX(Input!$1:$1048576,AC$93,$C507*2+MIN($B507,1)+5)</f>
        <v>1000</v>
      </c>
      <c r="AD507" s="476">
        <f>INDEX(Input!$1:$1048576,AD$93,$C507*2+MIN($B507,1)+5)</f>
        <v>0.35</v>
      </c>
      <c r="AE507" s="475">
        <f>INDEX(Input!$1:$1048576,AE$93,$C507*2+MIN($B507,1)+5)</f>
        <v>0</v>
      </c>
      <c r="AF507" s="476">
        <f>INDEX(Input!$1:$1048576,AF$93,$C507*2+MIN($B507,1)+5)</f>
        <v>1</v>
      </c>
      <c r="AG507" s="475">
        <f>INDEX(Input!$1:$1048576,AG$93,$C507*2+MIN($B507,1)+5)</f>
        <v>500</v>
      </c>
      <c r="AH507" s="476">
        <f>INDEX(Input!$1:$1048576,AH$93,$C507*2+MIN($B507,1)+5)</f>
        <v>1</v>
      </c>
      <c r="AI507" s="475">
        <f>INDEX(Input!$1:$1048576,AI$93,$C507*2+MIN($B507,1)+5)</f>
        <v>500</v>
      </c>
      <c r="AJ507" s="476">
        <f>INDEX(Input!$1:$1048576,AJ$93,$C507*2+MIN($B507,1)+5)</f>
        <v>0.35</v>
      </c>
      <c r="AK507" s="150">
        <f>ROUND(INDEX(Input!$1:$1048576,AK$93,$C506*2+MIN($B507,1)+5)+(Y507-VLOOKUP($C507*1000+1,$A:$HH,Y$92,FALSE)),0)</f>
        <v>4739</v>
      </c>
      <c r="AL507" s="150">
        <f>ROUND(INDEX(Input!$1:$1048576,AL$93,$C506*2+MIN($B507,1)+5)-(Y507-VLOOKUP($C507*1000+1,$A:$HH,Y$92,FALSE))/36,0)</f>
        <v>4739</v>
      </c>
      <c r="AM507" s="32" t="str">
        <f t="shared" si="1665"/>
        <v>std/std/std/std</v>
      </c>
      <c r="AN507" s="32" t="str">
        <f t="shared" si="1666"/>
        <v>$0 + 0/0/0/1.9/3.9</v>
      </c>
      <c r="AO507" s="32" t="str">
        <f t="shared" si="1667"/>
        <v>0/0/0/1.9/3.9</v>
      </c>
      <c r="AP507" s="32" t="str">
        <f t="shared" si="1621"/>
        <v>0/0.9/1.9/3.9</v>
      </c>
      <c r="AQ507" s="536">
        <f t="shared" si="1620"/>
        <v>850.46495956873309</v>
      </c>
      <c r="AR507" s="32"/>
      <c r="AS507" s="302"/>
      <c r="AT507" s="3">
        <f t="shared" si="1688"/>
        <v>7</v>
      </c>
      <c r="AU507" s="41" t="s">
        <v>121</v>
      </c>
      <c r="AV507" s="41" t="s">
        <v>116</v>
      </c>
      <c r="AW507" s="41" t="str">
        <f>INDEX(Input!$1:$1048576,AW$93,$C507*2+6)</f>
        <v>Kia</v>
      </c>
      <c r="AX507" s="41" t="str">
        <f>INDEX(Input!$1:$1048576,AX$93,$C507*2+6)</f>
        <v>Kia-LR - R2</v>
      </c>
      <c r="AY507" s="41" t="str">
        <f>IF(LEN(D507)=0,"",INDEX(Input!$1:$1048576,AY$93,$C507*2+6))</f>
        <v>Compact Conventional/Sporty Car (43)</v>
      </c>
      <c r="AZ507" s="41" t="str">
        <f>INDEX(Input!$1:$1048576,AZ$93,$C507*2+6)</f>
        <v>Kia Forte</v>
      </c>
      <c r="BA507" s="3">
        <f>INDEX(Input!$1:$1048576,BA$93,$C507*2+6)</f>
        <v>2020</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19695</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622"/>
        <v>1100</v>
      </c>
      <c r="CJ507" s="16" t="str">
        <f>INDEX(Input!$1:$1048576,CJ$93,$C507*2+6)</f>
        <v>N</v>
      </c>
      <c r="CK507" s="1" t="str">
        <f t="shared" si="1623"/>
        <v>Market</v>
      </c>
      <c r="CL507" s="1" t="str">
        <f t="shared" si="1624"/>
        <v>Market</v>
      </c>
      <c r="CM507" s="1" t="str">
        <f t="shared" si="1625"/>
        <v>Market</v>
      </c>
      <c r="CN507" s="1" t="str">
        <f t="shared" si="1626"/>
        <v>Market</v>
      </c>
      <c r="CO507" s="1" t="str">
        <f t="shared" si="1627"/>
        <v>Market</v>
      </c>
      <c r="CP507" s="304">
        <f t="shared" si="1628"/>
        <v>350</v>
      </c>
      <c r="CQ507" s="1">
        <f t="shared" si="1629"/>
        <v>0</v>
      </c>
      <c r="CR507" s="1">
        <f t="shared" si="1630"/>
        <v>0</v>
      </c>
      <c r="CS507" s="1">
        <f t="shared" si="1631"/>
        <v>0</v>
      </c>
      <c r="CT507" s="1">
        <f t="shared" si="1632"/>
        <v>1.9E-2</v>
      </c>
      <c r="CU507" s="1">
        <f t="shared" si="1633"/>
        <v>3.9E-2</v>
      </c>
      <c r="CV507" s="304">
        <f t="shared" si="1634"/>
        <v>-776.3618966787526</v>
      </c>
      <c r="CW507" s="20" t="s">
        <v>122</v>
      </c>
      <c r="CX507" s="20" t="s">
        <v>122</v>
      </c>
      <c r="CY507" s="20" t="s">
        <v>122</v>
      </c>
      <c r="CZ507" s="20" t="s">
        <v>122</v>
      </c>
      <c r="DA507" s="20" t="s">
        <v>122</v>
      </c>
      <c r="DB507" s="503">
        <f t="shared" si="1635"/>
        <v>500</v>
      </c>
      <c r="DC507" s="127">
        <v>0</v>
      </c>
      <c r="DD507" s="127">
        <v>0</v>
      </c>
      <c r="DE507" s="127">
        <v>0</v>
      </c>
      <c r="DF507" s="127">
        <v>0</v>
      </c>
      <c r="DG507" s="127">
        <v>0</v>
      </c>
      <c r="DH507" s="127">
        <v>0</v>
      </c>
      <c r="DI507" s="127">
        <v>0</v>
      </c>
      <c r="DJ507" s="127">
        <v>0</v>
      </c>
      <c r="DK507" s="127">
        <v>0</v>
      </c>
      <c r="DL507" s="127">
        <v>0</v>
      </c>
      <c r="DM507" s="304">
        <f>INDEX(Input!$1:$1048576,DM$93,$C507*2+6)</f>
        <v>20731.578947368424</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4.3302865817760272E-2</v>
      </c>
      <c r="DZ507" s="7">
        <v>0</v>
      </c>
      <c r="EA507" s="7">
        <v>0.77071337198695056</v>
      </c>
      <c r="EB507" s="7">
        <v>0</v>
      </c>
      <c r="EC507" s="7">
        <v>0</v>
      </c>
      <c r="ED507" s="7">
        <v>0</v>
      </c>
      <c r="EE507" s="7">
        <v>0</v>
      </c>
      <c r="EF507" s="7">
        <v>0</v>
      </c>
      <c r="EG507" s="7">
        <v>0</v>
      </c>
      <c r="EH507" s="7">
        <v>1.4442177616033731E-2</v>
      </c>
      <c r="EI507" s="7">
        <v>1.8189250312730821E-2</v>
      </c>
      <c r="EJ507" s="7">
        <v>0.26752662049105314</v>
      </c>
      <c r="EK507" s="7">
        <v>0.65345966200797001</v>
      </c>
      <c r="EL507" s="7">
        <v>4.6382289572212278E-2</v>
      </c>
      <c r="EM507" s="7">
        <v>6.8058927680085257E-2</v>
      </c>
      <c r="EN507" s="7">
        <v>4.7002537465381848E-2</v>
      </c>
      <c r="EO507" s="7">
        <v>0.58328600386721985</v>
      </c>
      <c r="EP507" s="7">
        <v>0.24981490953312291</v>
      </c>
      <c r="EQ507" s="7">
        <v>7.2832868412001844E-2</v>
      </c>
      <c r="ER507" s="7">
        <v>4.7063680722273217E-2</v>
      </c>
      <c r="ES507" s="7">
        <v>0.11792483451520383</v>
      </c>
      <c r="ET507" s="7">
        <v>0.18598376219528912</v>
      </c>
      <c r="EU507" s="6">
        <v>1200</v>
      </c>
      <c r="EV507" s="6">
        <v>0</v>
      </c>
      <c r="EW507" s="6">
        <v>1200</v>
      </c>
      <c r="EX507" s="6">
        <v>0</v>
      </c>
      <c r="EY507" s="6">
        <v>2231.5440334087361</v>
      </c>
      <c r="EZ507" s="6">
        <v>-2048.0908300335955</v>
      </c>
      <c r="FA507" s="6">
        <v>0</v>
      </c>
      <c r="FB507" s="6">
        <v>0</v>
      </c>
      <c r="FC507" s="6">
        <v>0</v>
      </c>
      <c r="FD507" s="6">
        <v>0</v>
      </c>
      <c r="FE507" s="6">
        <v>0</v>
      </c>
      <c r="FF507" s="6">
        <v>0</v>
      </c>
      <c r="FG507" s="6">
        <v>0</v>
      </c>
      <c r="FH507" s="6">
        <v>1153.9860477720313</v>
      </c>
      <c r="FI507" s="6">
        <v>1531.4299904380616</v>
      </c>
      <c r="FJ507" s="6">
        <v>2070.7205842538228</v>
      </c>
      <c r="FK507" s="6">
        <v>1746.9903521590436</v>
      </c>
      <c r="FL507" s="6">
        <v>893.91433563489386</v>
      </c>
      <c r="FM507" s="6">
        <v>1781.5440334087361</v>
      </c>
      <c r="FN507" s="6">
        <v>0</v>
      </c>
      <c r="FO507" s="6">
        <v>0</v>
      </c>
      <c r="FP507" s="6">
        <v>0</v>
      </c>
      <c r="FQ507" s="6">
        <v>0</v>
      </c>
      <c r="FR507" s="6">
        <v>0</v>
      </c>
      <c r="FS507" s="6">
        <v>0</v>
      </c>
      <c r="FT507" s="7">
        <v>0.81401623780471088</v>
      </c>
      <c r="FU507" s="7">
        <v>6.8058927680085257E-2</v>
      </c>
      <c r="FV507" s="7">
        <v>0.11792483451520383</v>
      </c>
      <c r="FW507" s="6">
        <v>1200</v>
      </c>
      <c r="FX507" s="6">
        <v>2231.5440334087361</v>
      </c>
      <c r="FY507" s="6">
        <v>-2048.0908300335955</v>
      </c>
      <c r="FZ507" s="6">
        <v>2411.9063952864503</v>
      </c>
      <c r="GA507" s="6">
        <v>887.17520714652585</v>
      </c>
      <c r="GB507" s="6">
        <v>18807.824792853473</v>
      </c>
      <c r="GC507" s="7">
        <v>7.6138913542514425E-2</v>
      </c>
      <c r="GD507" s="7">
        <v>6.2875001493236493E-2</v>
      </c>
      <c r="GE507" s="7"/>
      <c r="GF507" s="7"/>
      <c r="GG507" s="7">
        <v>-0.1742067417585573</v>
      </c>
      <c r="GH507" s="42">
        <v>2.2502338809770075</v>
      </c>
      <c r="GI507" s="6">
        <v>9639.5987514266508</v>
      </c>
      <c r="GJ507" s="14">
        <v>0.51074630601039539</v>
      </c>
      <c r="GK507" s="14">
        <v>0.50829519786160959</v>
      </c>
      <c r="GL507" s="14">
        <v>0.48925369398960428</v>
      </c>
      <c r="GM507" s="14">
        <v>0.49170480213839046</v>
      </c>
      <c r="GO507" s="5">
        <v>338.16872463277008</v>
      </c>
      <c r="GP507" s="5">
        <v>315.27501390194027</v>
      </c>
      <c r="GQ507" s="5">
        <v>527.27910984145694</v>
      </c>
      <c r="GR507" s="5">
        <v>404.20319246551543</v>
      </c>
      <c r="GS507" s="5">
        <v>334.50205195691484</v>
      </c>
      <c r="GT507" s="5">
        <v>289.18266033348181</v>
      </c>
      <c r="GU507" s="5">
        <v>254.29573314828914</v>
      </c>
      <c r="GV507" s="39" t="s">
        <v>392</v>
      </c>
      <c r="GW507" s="5">
        <v>479.875</v>
      </c>
      <c r="GX507" s="5">
        <v>359.90625</v>
      </c>
      <c r="GY507" s="5">
        <v>287.92500000000001</v>
      </c>
      <c r="GZ507" s="5">
        <v>254.06342861438094</v>
      </c>
      <c r="HA507" s="5">
        <v>235.34107974463737</v>
      </c>
      <c r="HB507" s="39">
        <v>267.44032735863919</v>
      </c>
      <c r="HC507" s="5">
        <v>372.71959881396975</v>
      </c>
      <c r="HD507" s="5">
        <v>297.48387091145639</v>
      </c>
      <c r="HE507" s="5">
        <v>294.24828827868106</v>
      </c>
      <c r="HF507" s="5">
        <v>265.06527478663213</v>
      </c>
      <c r="HG507" s="5">
        <v>246.83000845283692</v>
      </c>
      <c r="HH507" s="39">
        <v>295.46674769247215</v>
      </c>
      <c r="HI507" s="16"/>
      <c r="HJ507" s="19" t="str">
        <f t="shared" si="1689"/>
        <v>On</v>
      </c>
      <c r="HK507" s="1" t="str">
        <f t="shared" si="1689"/>
        <v>On</v>
      </c>
      <c r="HL507" s="16"/>
      <c r="HM507" s="639">
        <f t="shared" si="1636"/>
        <v>5.1181272167489952E-2</v>
      </c>
      <c r="HN507" s="639">
        <f t="shared" si="1637"/>
        <v>4.2792051795134348E-3</v>
      </c>
      <c r="HO507" s="639">
        <f t="shared" si="1638"/>
        <v>7.4145241462331068E-3</v>
      </c>
      <c r="HP507" s="644">
        <f>(FT507*$GD507-HM507)/$JF507*INDEX(Input!$1:$1048576,$JG$93,$C507*2+6)</f>
        <v>0</v>
      </c>
      <c r="HQ507" s="644">
        <f>(FU507*$GD507-HN507)/$JF507*INDEX(Input!$1:$1048576,$JG$93,$C507*2+6)</f>
        <v>0</v>
      </c>
      <c r="HR507" s="644">
        <f>(FV507*$GD507-HO507)/$JF507*INDEX(Input!$1:$1048576,$JG$93,$C507*2+6)</f>
        <v>0</v>
      </c>
      <c r="HS507" s="644">
        <f t="shared" si="1639"/>
        <v>0</v>
      </c>
      <c r="HT507" s="644">
        <f t="shared" si="1640"/>
        <v>0</v>
      </c>
      <c r="HU507" s="644">
        <f t="shared" si="1641"/>
        <v>0</v>
      </c>
      <c r="HV507" s="648">
        <f t="shared" si="1642"/>
        <v>0</v>
      </c>
      <c r="HW507" s="648">
        <f t="shared" si="1643"/>
        <v>0</v>
      </c>
      <c r="HX507" s="648">
        <f t="shared" si="1644"/>
        <v>0</v>
      </c>
      <c r="HY507" s="644">
        <f>INDEX(Input!$1:$1048576,HY$93,$C507*2+6)*INDEX(Input!$1:$1048576,$JG$93,$C507*2+6)</f>
        <v>345</v>
      </c>
      <c r="HZ507" s="644">
        <f>INDEX(Input!$1:$1048576,HZ$93,$C507*2+6)*INDEX(Input!$1:$1048576,$JG$93,$C507*2+6)</f>
        <v>299</v>
      </c>
      <c r="IA507" s="644">
        <f>INDEX(Input!$1:$1048576,IA$93,$C507*2+6)*INDEX(Input!$1:$1048576,$JG$93,$C507*2+6)</f>
        <v>98</v>
      </c>
      <c r="IB507" s="644">
        <f t="shared" si="1668"/>
        <v>345</v>
      </c>
      <c r="IC507" s="644">
        <f t="shared" si="1669"/>
        <v>299</v>
      </c>
      <c r="ID507" s="644">
        <f>IF(AND(INDEX(Input!$1:$1048576,IA$93,$C507*2+7)="TOS",Y507&lt;=INDEX(Y:Y,MATCH(C507*1000+2,A:A))),0,1)*MAX(IA507+HR507+HU507+HX507,0%)</f>
        <v>98</v>
      </c>
      <c r="IE507" s="128">
        <f t="shared" ref="IE507" si="1703">IB507/SUM($IB507:$ID507)</f>
        <v>0.46495956873315364</v>
      </c>
      <c r="IF507" s="128">
        <f t="shared" si="1691"/>
        <v>0.40296495956873313</v>
      </c>
      <c r="IG507" s="128">
        <f t="shared" si="1646"/>
        <v>0.13207547169811321</v>
      </c>
      <c r="IH507" s="21"/>
      <c r="II507" s="19">
        <f t="shared" si="1647"/>
        <v>1200</v>
      </c>
      <c r="IJ507" s="19">
        <f t="shared" si="1648"/>
        <v>2231.5440334087361</v>
      </c>
      <c r="IK507" s="19">
        <f t="shared" si="1649"/>
        <v>-2048.0908300335955</v>
      </c>
      <c r="IL507" s="19">
        <f t="shared" si="1671"/>
        <v>0</v>
      </c>
      <c r="IM507" s="19">
        <f t="shared" si="1650"/>
        <v>0</v>
      </c>
      <c r="IN507" s="19">
        <f t="shared" si="1651"/>
        <v>0</v>
      </c>
      <c r="IO507" s="39">
        <f t="shared" si="1652"/>
        <v>0</v>
      </c>
      <c r="IP507" s="39">
        <f t="shared" si="1653"/>
        <v>0</v>
      </c>
      <c r="IQ507" s="39">
        <f t="shared" si="1654"/>
        <v>0</v>
      </c>
      <c r="IR507" s="39">
        <v>0</v>
      </c>
      <c r="IS507" s="39">
        <v>0</v>
      </c>
      <c r="IT507" s="39">
        <v>0</v>
      </c>
      <c r="IU507" s="39">
        <v>0</v>
      </c>
      <c r="IV507" s="39">
        <v>0</v>
      </c>
      <c r="IW507" s="39">
        <v>0</v>
      </c>
      <c r="IX507" s="39">
        <f>INDEX(Input!$1:$1048576,IX$93,$C507*2+6)+INDEX(Input!$1:$1048576,IX$94,$C507*2+6)</f>
        <v>1600</v>
      </c>
      <c r="IY507" s="39">
        <f>INDEX(Input!$1:$1048576,IY$93,$C507*2+6)+INDEX(Input!$1:$1048576,IY$94,$C507*2+6)</f>
        <v>2503.5492916397525</v>
      </c>
      <c r="IZ507" s="39">
        <f>INDEX(Input!$1:$1048576,IZ$93,$C507*2+6)+INDEX(Input!$1:$1048576,IZ$94,$C507*2+6)</f>
        <v>5413.7109265464023</v>
      </c>
      <c r="JA507" s="19">
        <f t="shared" si="1672"/>
        <v>1600</v>
      </c>
      <c r="JB507" s="19">
        <f t="shared" si="1673"/>
        <v>2503.5492916397525</v>
      </c>
      <c r="JC507" s="19">
        <f t="shared" si="1674"/>
        <v>5413.7109265464023</v>
      </c>
      <c r="JD507" s="19">
        <f t="shared" si="1675"/>
        <v>2467.7963733178349</v>
      </c>
      <c r="JE507" s="21"/>
      <c r="JF507" s="1">
        <f t="shared" si="1655"/>
        <v>6.2875001493236493E-2</v>
      </c>
      <c r="JG507" s="15">
        <f>INDEX(Input!$1:$1048576,JG$93,$C507*2+6)/(1+VLOOKUP(C507*1000+INDEX(Input!$1:$1048576,JG$93+1,$C507*2+6),$A:$KK,$JK$92,FALSE))</f>
        <v>742</v>
      </c>
      <c r="JH507" s="1">
        <f t="shared" si="1676"/>
        <v>0</v>
      </c>
      <c r="JI507" s="1">
        <f t="shared" si="1677"/>
        <v>0</v>
      </c>
      <c r="JJ507" s="1">
        <f t="shared" si="1678"/>
        <v>0</v>
      </c>
      <c r="JK507" s="1">
        <f t="shared" si="1702"/>
        <v>0</v>
      </c>
      <c r="JL507" s="15">
        <f t="shared" si="1680"/>
        <v>0</v>
      </c>
      <c r="JM507" s="15">
        <f>JG507+JL507</f>
        <v>742</v>
      </c>
      <c r="JN507" s="21"/>
      <c r="JO507" s="19">
        <f>INDEX(Input!$1:$1048576,JO$93,$C507*2+6)</f>
        <v>5908.5</v>
      </c>
      <c r="JP507" s="19">
        <f>INDEX(Input!$1:$1048576,JP$93,$C507*2+6)</f>
        <v>2467.7963733178344</v>
      </c>
      <c r="JQ507" s="39">
        <f t="shared" si="1692"/>
        <v>3440.7036266821651</v>
      </c>
      <c r="JR507" s="39">
        <f>JD507-JP507</f>
        <v>0</v>
      </c>
      <c r="JS507" s="39">
        <f t="shared" si="1694"/>
        <v>1.8311049090018334</v>
      </c>
      <c r="JT507" s="39">
        <f t="shared" si="1682"/>
        <v>4.6566128730773924E-16</v>
      </c>
      <c r="JU507" s="385">
        <f>(JQ507*JM507-INDEX(Input!$1:$1048576,Input!A$18,$C507*2+6)*JL507*INDEX(Input!$1:$1048576,Input!A$19,$C507*2+6))/1000000</f>
        <v>2.5530020909981666</v>
      </c>
      <c r="JV507" s="39">
        <f t="shared" si="1658"/>
        <v>0</v>
      </c>
      <c r="JW507" s="1">
        <f>JV507/(JU507-JV507)</f>
        <v>0</v>
      </c>
      <c r="JX507" s="19">
        <f t="shared" si="1698"/>
        <v>0</v>
      </c>
      <c r="JZ507" s="468"/>
      <c r="KA507" s="469"/>
      <c r="KB507" s="469">
        <f t="shared" si="1695"/>
        <v>2.4623520912331753</v>
      </c>
      <c r="KI507" s="473">
        <f t="shared" si="1696"/>
        <v>0</v>
      </c>
      <c r="KJ507" s="473">
        <f t="shared" si="1683"/>
        <v>0</v>
      </c>
      <c r="KK507" s="473">
        <f t="shared" si="1684"/>
        <v>0</v>
      </c>
      <c r="KN507" s="544">
        <f t="shared" si="1699"/>
        <v>5002</v>
      </c>
      <c r="KO507" s="541">
        <f t="shared" si="1659"/>
        <v>-7.0816294369904331E-2</v>
      </c>
      <c r="KP507" s="546">
        <f t="shared" si="1660"/>
        <v>-390.1085258057999</v>
      </c>
      <c r="KQ507" s="546">
        <f t="shared" si="1661"/>
        <v>-390.97607283387424</v>
      </c>
      <c r="KR507" s="548">
        <f t="shared" si="1662"/>
        <v>3.0562757993285792</v>
      </c>
      <c r="KS507" s="548">
        <f t="shared" si="1663"/>
        <v>3.0494941490668004</v>
      </c>
      <c r="KT507" s="473">
        <f t="shared" si="1697"/>
        <v>389.37465324503302</v>
      </c>
      <c r="KU507" s="663">
        <f t="shared" si="1685"/>
        <v>7.227580426791457</v>
      </c>
      <c r="KV507" s="117"/>
    </row>
    <row r="508" spans="1:310" s="26" customFormat="1" ht="15">
      <c r="A508" s="561">
        <f t="shared" si="1664"/>
        <v>5008</v>
      </c>
      <c r="B508" s="561">
        <f t="shared" si="1686"/>
        <v>8</v>
      </c>
      <c r="C508" s="561">
        <f t="shared" si="1687"/>
        <v>5</v>
      </c>
      <c r="D508" s="561" t="s">
        <v>569</v>
      </c>
      <c r="E508" s="475">
        <f>INDEX(Input!$1:$1048576,E$93,$C508*2+MIN($B508,2)+5)</f>
        <v>1250</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1.9E-2</v>
      </c>
      <c r="W508" s="863">
        <f>IFERROR(MAX(0,INDEX(Input!$1:$1048576,W$93,$C508*2+MIN($B508,2)+5)-0%,),"Market")</f>
        <v>3.9E-2</v>
      </c>
      <c r="X508" s="476" t="str">
        <f>INDEX(Input!$1:$1048576,X$93,$C508*2+MIN($B508,2)+5)</f>
        <v>Y</v>
      </c>
      <c r="Y508" s="475">
        <f>INDEX(Input!$1:$1048576,Y$93,$C508*2+MIN($B508,2)+5)</f>
        <v>-1098.3618966787526</v>
      </c>
      <c r="Z508" s="477">
        <f>INDEX(Input!$1:$1048576,Z$93,$C508*2+MIN($B508,2)+5)</f>
        <v>0</v>
      </c>
      <c r="AA508" s="475">
        <f>INDEX(Input!$1:$1048576,AA$93,$C508*2+MIN($B508,2)+5)</f>
        <v>500</v>
      </c>
      <c r="AB508" s="476">
        <f>INDEX(Input!$1:$1048576,AB$93,$C508*2+MIN($B508,2)+5)</f>
        <v>0.43</v>
      </c>
      <c r="AC508" s="475">
        <f>INDEX(Input!$1:$1048576,AC$93,$C508*2+MIN($B508,2)+5)</f>
        <v>0</v>
      </c>
      <c r="AD508" s="476">
        <f>INDEX(Input!$1:$1048576,AD$93,$C508*2+MIN($B508,2)+5)</f>
        <v>0.35</v>
      </c>
      <c r="AE508" s="475">
        <f>INDEX(Input!$1:$1048576,AE$93,$C508*2+MIN($B508,2)+5)</f>
        <v>0</v>
      </c>
      <c r="AF508" s="476">
        <f>INDEX(Input!$1:$1048576,AF$93,$C508*2+MIN($B508,2)+5)</f>
        <v>1</v>
      </c>
      <c r="AG508" s="475">
        <f>INDEX(Input!$1:$1048576,AG$93,$C508*2+MIN($B508,2)+5)</f>
        <v>0</v>
      </c>
      <c r="AH508" s="476">
        <f>INDEX(Input!$1:$1048576,AH$93,$C508*2+MIN($B508,2)+5)</f>
        <v>1</v>
      </c>
      <c r="AI508" s="475">
        <f>INDEX(Input!$1:$1048576,AI$93,$C508*2+MIN($B508,2)+5)</f>
        <v>0</v>
      </c>
      <c r="AJ508" s="476">
        <f>INDEX(Input!$1:$1048576,AJ$93,$C508*2+MIN($B508,2)+5)</f>
        <v>0.35</v>
      </c>
      <c r="AK508" s="150">
        <f>ROUND(INDEX(Input!$1:$1048576,AK$93,$C507*2+MIN($B508,1)+5)+(Y508-VLOOKUP($C508*1000+1,$A:$HH,Y$92,FALSE)),0)</f>
        <v>4592</v>
      </c>
      <c r="AL508" s="150">
        <f>ROUND(INDEX(Input!$1:$1048576,AL$93,$C507*2+MIN($B508,1)+5)-(Y508-VLOOKUP($C508*1000+1,$A:$HH,Y$92,FALSE))/36,0)</f>
        <v>4743</v>
      </c>
      <c r="AM508" s="32" t="str">
        <f t="shared" si="1665"/>
        <v>std/std/std/std</v>
      </c>
      <c r="AN508" s="32" t="str">
        <f t="shared" si="1666"/>
        <v>$0 + 0/0/0/1.9/3.9</v>
      </c>
      <c r="AO508" s="32" t="str">
        <f t="shared" si="1667"/>
        <v>0/0/0/1.9/3.9</v>
      </c>
      <c r="AP508" s="32" t="str">
        <f t="shared" si="1621"/>
        <v>0/0.9/1.9/3.9</v>
      </c>
      <c r="AQ508" s="536">
        <f t="shared" si="1620"/>
        <v>0.46376516349881025</v>
      </c>
      <c r="AR508" s="32"/>
      <c r="AS508" s="302"/>
      <c r="AT508" s="3">
        <f t="shared" si="1688"/>
        <v>8</v>
      </c>
      <c r="AU508" s="41" t="s">
        <v>121</v>
      </c>
      <c r="AV508" s="41" t="s">
        <v>116</v>
      </c>
      <c r="AW508" s="41" t="str">
        <f>INDEX(Input!$1:$1048576,AW$93,$C508*2+6)</f>
        <v>Kia</v>
      </c>
      <c r="AX508" s="41" t="str">
        <f>INDEX(Input!$1:$1048576,AX$93,$C508*2+6)</f>
        <v>Kia-LR - R2</v>
      </c>
      <c r="AY508" s="41" t="str">
        <f>IF(LEN(D508)=0,"",INDEX(Input!$1:$1048576,AY$93,$C508*2+6))</f>
        <v>Compact Conventional/Sporty Car (43)</v>
      </c>
      <c r="AZ508" s="41" t="str">
        <f>INDEX(Input!$1:$1048576,AZ$93,$C508*2+6)</f>
        <v>Kia Forte</v>
      </c>
      <c r="BA508" s="3">
        <f>INDEX(Input!$1:$1048576,BA$93,$C508*2+6)</f>
        <v>2020</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19695</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622"/>
        <v>1250</v>
      </c>
      <c r="CJ508" s="16" t="str">
        <f>INDEX(Input!$1:$1048576,CJ$93,$C508*2+6)</f>
        <v>N</v>
      </c>
      <c r="CK508" s="1" t="str">
        <f t="shared" si="1623"/>
        <v>Market</v>
      </c>
      <c r="CL508" s="1" t="str">
        <f t="shared" si="1624"/>
        <v>Market</v>
      </c>
      <c r="CM508" s="1" t="str">
        <f t="shared" si="1625"/>
        <v>Market</v>
      </c>
      <c r="CN508" s="1" t="str">
        <f t="shared" si="1626"/>
        <v>Market</v>
      </c>
      <c r="CO508" s="1" t="str">
        <f t="shared" si="1627"/>
        <v>Market</v>
      </c>
      <c r="CP508" s="304">
        <f t="shared" si="1628"/>
        <v>215</v>
      </c>
      <c r="CQ508" s="1">
        <f t="shared" si="1629"/>
        <v>0</v>
      </c>
      <c r="CR508" s="1">
        <f t="shared" si="1630"/>
        <v>0</v>
      </c>
      <c r="CS508" s="1">
        <f t="shared" si="1631"/>
        <v>0</v>
      </c>
      <c r="CT508" s="1">
        <f t="shared" si="1632"/>
        <v>1.9E-2</v>
      </c>
      <c r="CU508" s="1">
        <f t="shared" si="1633"/>
        <v>3.9E-2</v>
      </c>
      <c r="CV508" s="304">
        <f t="shared" si="1634"/>
        <v>-1098.3618966787526</v>
      </c>
      <c r="CW508" s="20" t="s">
        <v>122</v>
      </c>
      <c r="CX508" s="20" t="s">
        <v>122</v>
      </c>
      <c r="CY508" s="20" t="s">
        <v>122</v>
      </c>
      <c r="CZ508" s="20" t="s">
        <v>122</v>
      </c>
      <c r="DA508" s="20" t="s">
        <v>122</v>
      </c>
      <c r="DB508" s="503">
        <f t="shared" si="1635"/>
        <v>0</v>
      </c>
      <c r="DC508" s="127">
        <v>0</v>
      </c>
      <c r="DD508" s="127">
        <v>0</v>
      </c>
      <c r="DE508" s="127">
        <v>0</v>
      </c>
      <c r="DF508" s="127">
        <v>0</v>
      </c>
      <c r="DG508" s="127">
        <v>0</v>
      </c>
      <c r="DH508" s="127">
        <v>0</v>
      </c>
      <c r="DI508" s="127">
        <v>0</v>
      </c>
      <c r="DJ508" s="127">
        <v>0</v>
      </c>
      <c r="DK508" s="127">
        <v>0</v>
      </c>
      <c r="DL508" s="127">
        <v>0</v>
      </c>
      <c r="DM508" s="304">
        <f>INDEX(Input!$1:$1048576,DM$93,$C508*2+6)</f>
        <v>20731.578947368424</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4.3787186210480132E-2</v>
      </c>
      <c r="DZ508" s="7">
        <v>0</v>
      </c>
      <c r="EA508" s="7">
        <v>0.77449468726689064</v>
      </c>
      <c r="EB508" s="7">
        <v>0</v>
      </c>
      <c r="EC508" s="7">
        <v>0</v>
      </c>
      <c r="ED508" s="7">
        <v>0</v>
      </c>
      <c r="EE508" s="7">
        <v>0</v>
      </c>
      <c r="EF508" s="7">
        <v>0</v>
      </c>
      <c r="EG508" s="7">
        <v>0</v>
      </c>
      <c r="EH508" s="7">
        <v>1.444564245154017E-2</v>
      </c>
      <c r="EI508" s="7">
        <v>1.8188991628259862E-2</v>
      </c>
      <c r="EJ508" s="7">
        <v>0.26762911402340145</v>
      </c>
      <c r="EK508" s="7">
        <v>0.65335865198351217</v>
      </c>
      <c r="EL508" s="7">
        <v>4.6377599913286438E-2</v>
      </c>
      <c r="EM508" s="7">
        <v>6.8511608393119788E-2</v>
      </c>
      <c r="EN508" s="7">
        <v>4.7388854629482856E-2</v>
      </c>
      <c r="EO508" s="7">
        <v>0.58258099994699164</v>
      </c>
      <c r="EP508" s="7">
        <v>0.25106743422072464</v>
      </c>
      <c r="EQ508" s="7">
        <v>7.2208499252815098E-2</v>
      </c>
      <c r="ER508" s="7">
        <v>4.6754211949986031E-2</v>
      </c>
      <c r="ES508" s="7">
        <v>0.11320651812950946</v>
      </c>
      <c r="ET508" s="7">
        <v>0.18171812652262925</v>
      </c>
      <c r="EU508" s="6">
        <v>1600</v>
      </c>
      <c r="EV508" s="6">
        <v>0</v>
      </c>
      <c r="EW508" s="6">
        <v>1600</v>
      </c>
      <c r="EX508" s="6">
        <v>0</v>
      </c>
      <c r="EY508" s="6">
        <v>2631.5792379167751</v>
      </c>
      <c r="EZ508" s="6">
        <v>-1723.0908300335955</v>
      </c>
      <c r="FA508" s="6">
        <v>0</v>
      </c>
      <c r="FB508" s="6">
        <v>0</v>
      </c>
      <c r="FC508" s="6">
        <v>0</v>
      </c>
      <c r="FD508" s="6">
        <v>0</v>
      </c>
      <c r="FE508" s="6">
        <v>0</v>
      </c>
      <c r="FF508" s="6">
        <v>0</v>
      </c>
      <c r="FG508" s="6">
        <v>0</v>
      </c>
      <c r="FH508" s="6">
        <v>1153.9876065617864</v>
      </c>
      <c r="FI508" s="6">
        <v>1531.4299904380621</v>
      </c>
      <c r="FJ508" s="6">
        <v>2070.7205842538224</v>
      </c>
      <c r="FK508" s="6">
        <v>1746.9903521590434</v>
      </c>
      <c r="FL508" s="6">
        <v>893.91433563489363</v>
      </c>
      <c r="FM508" s="6">
        <v>1781.5792379167749</v>
      </c>
      <c r="FN508" s="6">
        <v>0</v>
      </c>
      <c r="FO508" s="6">
        <v>0</v>
      </c>
      <c r="FP508" s="6">
        <v>0</v>
      </c>
      <c r="FQ508" s="6">
        <v>0</v>
      </c>
      <c r="FR508" s="6">
        <v>0</v>
      </c>
      <c r="FS508" s="6">
        <v>0</v>
      </c>
      <c r="FT508" s="7">
        <v>0.8182818734773708</v>
      </c>
      <c r="FU508" s="7">
        <v>6.8511608393119788E-2</v>
      </c>
      <c r="FV508" s="7">
        <v>0.11320651812950946</v>
      </c>
      <c r="FW508" s="6">
        <v>1599.9999999999998</v>
      </c>
      <c r="FX508" s="6">
        <v>2631.5792379167751</v>
      </c>
      <c r="FY508" s="6">
        <v>-1723.0908300335955</v>
      </c>
      <c r="FZ508" s="6">
        <v>2411.9063952864503</v>
      </c>
      <c r="GA508" s="6">
        <v>1294.479610478422</v>
      </c>
      <c r="GB508" s="6">
        <v>18400.520389521578</v>
      </c>
      <c r="GC508" s="7">
        <v>7.6138913542514425E-2</v>
      </c>
      <c r="GD508" s="7">
        <v>6.5947618320524606E-2</v>
      </c>
      <c r="GE508" s="7"/>
      <c r="GF508" s="7"/>
      <c r="GG508" s="7">
        <v>-0.13385133498522023</v>
      </c>
      <c r="GH508" s="42">
        <v>2.3591720534842975</v>
      </c>
      <c r="GI508" s="6">
        <v>9642.7473728538516</v>
      </c>
      <c r="GJ508" s="14">
        <v>0.5107463060103955</v>
      </c>
      <c r="GK508" s="14">
        <v>0.50829519786160959</v>
      </c>
      <c r="GL508" s="14">
        <v>0.48925369398960417</v>
      </c>
      <c r="GM508" s="14">
        <v>0.49170480213839041</v>
      </c>
      <c r="GO508" s="5">
        <v>338.16872463277008</v>
      </c>
      <c r="GP508" s="5">
        <v>307.64377699166363</v>
      </c>
      <c r="GQ508" s="5">
        <v>527.27910984145694</v>
      </c>
      <c r="GR508" s="5">
        <v>404.20319246551543</v>
      </c>
      <c r="GS508" s="5">
        <v>334.50205195691484</v>
      </c>
      <c r="GT508" s="5">
        <v>289.18266033348181</v>
      </c>
      <c r="GU508" s="5">
        <v>254.29573314828914</v>
      </c>
      <c r="GV508" s="39" t="s">
        <v>392</v>
      </c>
      <c r="GW508" s="5">
        <v>468.76388888888891</v>
      </c>
      <c r="GX508" s="5">
        <v>351.57291666666669</v>
      </c>
      <c r="GY508" s="5">
        <v>281.25833333333333</v>
      </c>
      <c r="GZ508" s="5">
        <v>248.18079879493993</v>
      </c>
      <c r="HA508" s="5">
        <v>229.8919505212948</v>
      </c>
      <c r="HB508" s="39">
        <v>261.2521799861687</v>
      </c>
      <c r="HC508" s="5">
        <v>358.50084881396981</v>
      </c>
      <c r="HD508" s="5">
        <v>287.77900980034525</v>
      </c>
      <c r="HE508" s="5">
        <v>285.23787161201437</v>
      </c>
      <c r="HF508" s="5">
        <v>257.54964978663213</v>
      </c>
      <c r="HG508" s="5">
        <v>240.60084178617024</v>
      </c>
      <c r="HH508" s="39">
        <v>286.10384491683709</v>
      </c>
      <c r="HI508" s="16"/>
      <c r="HJ508" s="19" t="str">
        <f t="shared" si="1689"/>
        <v>On</v>
      </c>
      <c r="HK508" s="1" t="str">
        <f t="shared" si="1689"/>
        <v>On</v>
      </c>
      <c r="HL508" s="16"/>
      <c r="HM508" s="639">
        <f t="shared" si="1636"/>
        <v>5.1181272167489952E-2</v>
      </c>
      <c r="HN508" s="639">
        <f t="shared" si="1637"/>
        <v>4.2792051795134348E-3</v>
      </c>
      <c r="HO508" s="639">
        <f t="shared" si="1638"/>
        <v>7.4145241462331068E-3</v>
      </c>
      <c r="HP508" s="644">
        <f>(FT508*$GD508-HM508)/$JF508*INDEX(Input!$1:$1048576,$JG$93,$C508*2+6)</f>
        <v>32.836446605828279</v>
      </c>
      <c r="HQ508" s="644">
        <f>(FU508*$GD508-HN508)/$JF508*INDEX(Input!$1:$1048576,$JG$93,$C508*2+6)</f>
        <v>2.820157200941992</v>
      </c>
      <c r="HR508" s="644">
        <f>(FV508*$GD508-HO508)/$JF508*INDEX(Input!$1:$1048576,$JG$93,$C508*2+6)</f>
        <v>0.60393904336440785</v>
      </c>
      <c r="HS508" s="644">
        <f t="shared" si="1639"/>
        <v>-7.4965996723657122</v>
      </c>
      <c r="HT508" s="644">
        <f t="shared" si="1640"/>
        <v>20.981084406451348</v>
      </c>
      <c r="HU508" s="644">
        <f t="shared" si="1641"/>
        <v>6.8053511020232413</v>
      </c>
      <c r="HV508" s="648">
        <f t="shared" si="1642"/>
        <v>0</v>
      </c>
      <c r="HW508" s="648">
        <f t="shared" si="1643"/>
        <v>0</v>
      </c>
      <c r="HX508" s="648">
        <f t="shared" si="1644"/>
        <v>0</v>
      </c>
      <c r="HY508" s="644">
        <f>INDEX(Input!$1:$1048576,HY$93,$C508*2+6)*INDEX(Input!$1:$1048576,$JG$93,$C508*2+6)</f>
        <v>345</v>
      </c>
      <c r="HZ508" s="644">
        <f>INDEX(Input!$1:$1048576,HZ$93,$C508*2+6)*INDEX(Input!$1:$1048576,$JG$93,$C508*2+6)</f>
        <v>299</v>
      </c>
      <c r="IA508" s="644">
        <f>INDEX(Input!$1:$1048576,IA$93,$C508*2+6)*INDEX(Input!$1:$1048576,$JG$93,$C508*2+6)</f>
        <v>98</v>
      </c>
      <c r="IB508" s="644">
        <f t="shared" si="1668"/>
        <v>370.33984693346258</v>
      </c>
      <c r="IC508" s="644">
        <f t="shared" si="1669"/>
        <v>322.80124160739337</v>
      </c>
      <c r="ID508" s="644">
        <f>IF(AND(INDEX(Input!$1:$1048576,IA$93,$C508*2+7)="TOS",Y508&lt;=INDEX(Y:Y,MATCH(C508*1000+2,A:A))),0,1)*MAX(IA508+HR508+HU508+HX508,0%)</f>
        <v>105.40929014538764</v>
      </c>
      <c r="IE508" s="128">
        <f t="shared" ref="IE508:IE511" si="1704">IB508/SUM($IB508:$ID508)</f>
        <v>0.46376516349881025</v>
      </c>
      <c r="IF508" s="128">
        <f t="shared" si="1691"/>
        <v>0.40423403485007225</v>
      </c>
      <c r="IG508" s="128">
        <f t="shared" si="1646"/>
        <v>0.13200080165111755</v>
      </c>
      <c r="IH508" s="21"/>
      <c r="II508" s="19">
        <f t="shared" si="1647"/>
        <v>1200</v>
      </c>
      <c r="IJ508" s="19">
        <f t="shared" si="1648"/>
        <v>2231.5440334087361</v>
      </c>
      <c r="IK508" s="19">
        <f t="shared" si="1649"/>
        <v>-2048.0908300335955</v>
      </c>
      <c r="IL508" s="19">
        <f t="shared" si="1671"/>
        <v>399.99999999999977</v>
      </c>
      <c r="IM508" s="19">
        <f t="shared" si="1650"/>
        <v>400.03520450803899</v>
      </c>
      <c r="IN508" s="19">
        <f t="shared" si="1651"/>
        <v>325</v>
      </c>
      <c r="IO508" s="39">
        <f t="shared" si="1652"/>
        <v>0</v>
      </c>
      <c r="IP508" s="39">
        <f t="shared" si="1653"/>
        <v>0</v>
      </c>
      <c r="IQ508" s="39">
        <f t="shared" si="1654"/>
        <v>0</v>
      </c>
      <c r="IR508" s="39">
        <v>0</v>
      </c>
      <c r="IS508" s="39">
        <v>0</v>
      </c>
      <c r="IT508" s="39">
        <v>0</v>
      </c>
      <c r="IU508" s="39">
        <v>0</v>
      </c>
      <c r="IV508" s="39">
        <v>0</v>
      </c>
      <c r="IW508" s="39">
        <v>0</v>
      </c>
      <c r="IX508" s="39">
        <f>INDEX(Input!$1:$1048576,IX$93,$C508*2+6)+INDEX(Input!$1:$1048576,IX$94,$C508*2+6)</f>
        <v>1600</v>
      </c>
      <c r="IY508" s="39">
        <f>INDEX(Input!$1:$1048576,IY$93,$C508*2+6)+INDEX(Input!$1:$1048576,IY$94,$C508*2+6)</f>
        <v>2503.5492916397525</v>
      </c>
      <c r="IZ508" s="39">
        <f>INDEX(Input!$1:$1048576,IZ$93,$C508*2+6)+INDEX(Input!$1:$1048576,IZ$94,$C508*2+6)</f>
        <v>5413.7109265464023</v>
      </c>
      <c r="JA508" s="19">
        <f t="shared" si="1672"/>
        <v>1999.9999999999998</v>
      </c>
      <c r="JB508" s="19">
        <f t="shared" si="1673"/>
        <v>2903.5844961477915</v>
      </c>
      <c r="JC508" s="19">
        <f t="shared" si="1674"/>
        <v>5738.7109265464023</v>
      </c>
      <c r="JD508" s="19">
        <f t="shared" si="1675"/>
        <v>2858.7724461517091</v>
      </c>
      <c r="JE508" s="21"/>
      <c r="JF508" s="1">
        <f t="shared" si="1655"/>
        <v>6.2875001493236493E-2</v>
      </c>
      <c r="JG508" s="15">
        <f>INDEX(Input!$1:$1048576,JG$93,$C508*2+6)/(1+VLOOKUP(C508*1000+INDEX(Input!$1:$1048576,JG$93+1,$C508*2+6),$A:$KK,$JK$92,FALSE))</f>
        <v>742</v>
      </c>
      <c r="JH508" s="1">
        <f t="shared" si="1676"/>
        <v>4.886865613225698E-2</v>
      </c>
      <c r="JI508" s="1">
        <f t="shared" si="1677"/>
        <v>2.7344792231952665E-2</v>
      </c>
      <c r="JJ508" s="1">
        <f t="shared" si="1678"/>
        <v>0</v>
      </c>
      <c r="JK508" s="1">
        <f t="shared" ref="JK508:JK511" si="1705">SUM(JH508:JJ508)</f>
        <v>7.6213448364209652E-2</v>
      </c>
      <c r="JL508" s="15">
        <f t="shared" si="1680"/>
        <v>56.550378686243562</v>
      </c>
      <c r="JM508" s="15">
        <f t="shared" ref="JM508:JM550" si="1706">JG508+JL508</f>
        <v>798.55037868624356</v>
      </c>
      <c r="JN508" s="21"/>
      <c r="JO508" s="19">
        <f>INDEX(Input!$1:$1048576,JO$93,$C508*2+6)</f>
        <v>5908.5</v>
      </c>
      <c r="JP508" s="19">
        <f>INDEX(Input!$1:$1048576,JP$93,$C508*2+6)</f>
        <v>2467.7963733178344</v>
      </c>
      <c r="JQ508" s="39">
        <f t="shared" si="1692"/>
        <v>3049.7275538482909</v>
      </c>
      <c r="JR508" s="39">
        <f>JD508-JP508</f>
        <v>390.9760728338747</v>
      </c>
      <c r="JS508" s="39">
        <f t="shared" si="1694"/>
        <v>2.282873819452246</v>
      </c>
      <c r="JT508" s="39">
        <f t="shared" si="1682"/>
        <v>0.45176891045041312</v>
      </c>
      <c r="JU508" s="385">
        <f>(JQ508*JM508-INDEX(Input!$1:$1048576,Input!A$18,$C508*2+6)*JL508*INDEX(Input!$1:$1048576,Input!A$19,$C508*2+6))/1000000</f>
        <v>2.4353610930154241</v>
      </c>
      <c r="JV508" s="39">
        <f t="shared" si="1658"/>
        <v>-0.11764099798274241</v>
      </c>
      <c r="JW508" s="1">
        <f t="shared" ref="JW508:JW550" si="1707">JV508/(JU508-JV508)</f>
        <v>-4.6079475766017654E-2</v>
      </c>
      <c r="JX508" s="19">
        <f t="shared" si="1698"/>
        <v>7988.7866526402295</v>
      </c>
      <c r="JZ508" s="341"/>
      <c r="KA508" s="342"/>
      <c r="KB508" s="469">
        <f t="shared" si="1695"/>
        <v>2.4623520912331753</v>
      </c>
      <c r="KI508" s="473">
        <f t="shared" si="1696"/>
        <v>25.339846933462582</v>
      </c>
      <c r="KJ508" s="473">
        <f t="shared" si="1683"/>
        <v>23.801241607393365</v>
      </c>
      <c r="KK508" s="473">
        <f t="shared" si="1684"/>
        <v>7.4092901453876436</v>
      </c>
      <c r="KN508" s="544">
        <f t="shared" si="1699"/>
        <v>5002</v>
      </c>
      <c r="KO508" s="541">
        <f t="shared" si="1659"/>
        <v>0</v>
      </c>
      <c r="KP508" s="546">
        <f t="shared" si="1660"/>
        <v>0</v>
      </c>
      <c r="KQ508" s="546">
        <f t="shared" si="1661"/>
        <v>0</v>
      </c>
      <c r="KR508" s="548" t="e">
        <f t="shared" si="1662"/>
        <v>#DIV/0!</v>
      </c>
      <c r="KS508" s="548" t="e">
        <f t="shared" si="1663"/>
        <v>#DIV/0!</v>
      </c>
      <c r="KT508" s="473">
        <f>KT507</f>
        <v>389.37465324503302</v>
      </c>
      <c r="KU508" s="663">
        <f t="shared" si="1685"/>
        <v>7.2396748467032479</v>
      </c>
      <c r="KV508" s="117"/>
    </row>
    <row r="509" spans="1:310" s="26" customFormat="1" ht="15">
      <c r="A509" s="561">
        <f t="shared" si="1664"/>
        <v>5009</v>
      </c>
      <c r="B509" s="561">
        <f t="shared" si="1686"/>
        <v>9</v>
      </c>
      <c r="C509" s="561">
        <f t="shared" si="1687"/>
        <v>5</v>
      </c>
      <c r="D509" s="561" t="str">
        <f t="shared" ref="D509:D518" si="1708">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1500</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1.9E-2</v>
      </c>
      <c r="W509" s="862">
        <f>INDEX(Input!$1:$1048576,W$93,$C509*2+MIN($B509,2)+5)</f>
        <v>3.9E-2</v>
      </c>
      <c r="X509" s="118" t="str">
        <f>INDEX(Input!$1:$1048576,X$93,$C509*2+MIN($B509,2)+5)</f>
        <v>Y</v>
      </c>
      <c r="Y509" s="150">
        <f>INDEX(Input!$1:$1048576,Y$93,$C509*2+MIN($B509,2)+5)</f>
        <v>-1098.3618966787526</v>
      </c>
      <c r="Z509" s="30">
        <f>INDEX(Input!$1:$1048576,Z$93,$C509*2+MIN($B509,2)+5)</f>
        <v>0</v>
      </c>
      <c r="AA509" s="115">
        <f>INDEX(Input!$1:$1048576,AA$93,$C509*2+MIN($B509,2)+5)</f>
        <v>500</v>
      </c>
      <c r="AB509" s="118">
        <f>INDEX(Input!$1:$1048576,AB$93,$C509*2+MIN($B509,2)+5)</f>
        <v>0.43</v>
      </c>
      <c r="AC509" s="115">
        <f>INDEX(Input!$1:$1048576,AC$93,$C509*2+MIN($B509,2)+5)</f>
        <v>0</v>
      </c>
      <c r="AD509" s="118">
        <f>INDEX(Input!$1:$1048576,AD$93,$C509*2+MIN($B509,2)+5)</f>
        <v>0.35</v>
      </c>
      <c r="AE509" s="115">
        <f>INDEX(Input!$1:$1048576,AE$93,$C509*2+MIN($B509,2)+5)</f>
        <v>0</v>
      </c>
      <c r="AF509" s="118">
        <f>INDEX(Input!$1:$1048576,AF$93,$C509*2+MIN($B509,2)+5)</f>
        <v>1</v>
      </c>
      <c r="AG509" s="115">
        <f>INDEX(Input!$1:$1048576,AG$93,$C509*2+MIN($B509,2)+5)</f>
        <v>0</v>
      </c>
      <c r="AH509" s="118">
        <f>INDEX(Input!$1:$1048576,AH$93,$C509*2+MIN($B509,2)+5)</f>
        <v>1</v>
      </c>
      <c r="AI509" s="115">
        <f>INDEX(Input!$1:$1048576,AI$93,$C509*2+MIN($B509,2)+5)</f>
        <v>0</v>
      </c>
      <c r="AJ509" s="118">
        <f>INDEX(Input!$1:$1048576,AJ$93,$C509*2+MIN($B509,2)+5)</f>
        <v>0.35</v>
      </c>
      <c r="AK509" s="150">
        <f>ROUND(INDEX(Input!$1:$1048576,AK$93,$C508*2+MIN($B509,1)+5)+(Y509-VLOOKUP($C509*1000+1,$A:$HH,Y$92,FALSE)),0)</f>
        <v>4592</v>
      </c>
      <c r="AL509" s="150">
        <f>ROUND(INDEX(Input!$1:$1048576,AL$93,$C508*2+MIN($B509,1)+5)-(Y509-VLOOKUP($C509*1000+1,$A:$HH,Y$92,FALSE))/36,0)</f>
        <v>4743</v>
      </c>
      <c r="AM509" s="32" t="str">
        <f t="shared" si="1665"/>
        <v>std/std/std/std</v>
      </c>
      <c r="AN509" s="32" t="str">
        <f t="shared" si="1666"/>
        <v>$0 + 0/0/0/1.9/3.9</v>
      </c>
      <c r="AO509" s="32" t="str">
        <f t="shared" si="1667"/>
        <v>0/0/0/1.9/3.9</v>
      </c>
      <c r="AP509" s="32" t="str">
        <f t="shared" si="1621"/>
        <v>0/0.9/1.9/3.9</v>
      </c>
      <c r="AQ509" s="536">
        <f t="shared" si="1620"/>
        <v>0.47981323434444451</v>
      </c>
      <c r="AR509" s="32"/>
      <c r="AS509" s="302"/>
      <c r="AT509" s="3">
        <f t="shared" si="1688"/>
        <v>9</v>
      </c>
      <c r="AU509" s="41" t="s">
        <v>121</v>
      </c>
      <c r="AV509" s="41" t="s">
        <v>116</v>
      </c>
      <c r="AW509" s="41" t="str">
        <f>INDEX(Input!$1:$1048576,AW$93,$C509*2+6)</f>
        <v>Kia</v>
      </c>
      <c r="AX509" s="41" t="str">
        <f>INDEX(Input!$1:$1048576,AX$93,$C509*2+6)</f>
        <v>Kia-LR - R2</v>
      </c>
      <c r="AY509" s="41" t="str">
        <f>IF(LEN(D509)=0,"",INDEX(Input!$1:$1048576,AY$93,$C509*2+6))</f>
        <v>Compact Conventional/Sporty Car (43)</v>
      </c>
      <c r="AZ509" s="41" t="str">
        <f>INDEX(Input!$1:$1048576,AZ$93,$C509*2+6)</f>
        <v>Kia Forte</v>
      </c>
      <c r="BA509" s="3">
        <f>INDEX(Input!$1:$1048576,BA$93,$C509*2+6)</f>
        <v>2020</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19695</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622"/>
        <v>1500</v>
      </c>
      <c r="CJ509" s="16" t="str">
        <f>INDEX(Input!$1:$1048576,CJ$93,$C509*2+6)</f>
        <v>N</v>
      </c>
      <c r="CK509" s="1" t="str">
        <f t="shared" si="1623"/>
        <v>Market</v>
      </c>
      <c r="CL509" s="1" t="str">
        <f t="shared" si="1624"/>
        <v>Market</v>
      </c>
      <c r="CM509" s="1" t="str">
        <f t="shared" si="1625"/>
        <v>Market</v>
      </c>
      <c r="CN509" s="1" t="str">
        <f t="shared" si="1626"/>
        <v>Market</v>
      </c>
      <c r="CO509" s="1" t="str">
        <f t="shared" si="1627"/>
        <v>Market</v>
      </c>
      <c r="CP509" s="304">
        <f t="shared" si="1628"/>
        <v>215</v>
      </c>
      <c r="CQ509" s="1">
        <f t="shared" si="1629"/>
        <v>0</v>
      </c>
      <c r="CR509" s="1">
        <f t="shared" si="1630"/>
        <v>0</v>
      </c>
      <c r="CS509" s="1">
        <f t="shared" si="1631"/>
        <v>0</v>
      </c>
      <c r="CT509" s="1">
        <f t="shared" si="1632"/>
        <v>1.9E-2</v>
      </c>
      <c r="CU509" s="1">
        <f t="shared" si="1633"/>
        <v>3.9E-2</v>
      </c>
      <c r="CV509" s="304">
        <f t="shared" si="1634"/>
        <v>-1098.3618966787526</v>
      </c>
      <c r="CW509" s="20" t="s">
        <v>122</v>
      </c>
      <c r="CX509" s="20" t="s">
        <v>122</v>
      </c>
      <c r="CY509" s="20" t="s">
        <v>122</v>
      </c>
      <c r="CZ509" s="20" t="s">
        <v>122</v>
      </c>
      <c r="DA509" s="20" t="s">
        <v>122</v>
      </c>
      <c r="DB509" s="503">
        <f t="shared" si="1635"/>
        <v>0</v>
      </c>
      <c r="DC509" s="127">
        <v>0</v>
      </c>
      <c r="DD509" s="127">
        <v>0</v>
      </c>
      <c r="DE509" s="127">
        <v>0</v>
      </c>
      <c r="DF509" s="127">
        <v>0</v>
      </c>
      <c r="DG509" s="127">
        <v>0</v>
      </c>
      <c r="DH509" s="127">
        <v>0</v>
      </c>
      <c r="DI509" s="127">
        <v>0</v>
      </c>
      <c r="DJ509" s="127">
        <v>0</v>
      </c>
      <c r="DK509" s="127">
        <v>0</v>
      </c>
      <c r="DL509" s="127">
        <v>0</v>
      </c>
      <c r="DM509" s="304">
        <f>INDEX(Input!$1:$1048576,DM$93,$C509*2+6)</f>
        <v>20731.578947368424</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4.4482688729769918E-2</v>
      </c>
      <c r="DZ509" s="7">
        <v>0</v>
      </c>
      <c r="EA509" s="7">
        <v>0.78423143814210317</v>
      </c>
      <c r="EB509" s="7">
        <v>0</v>
      </c>
      <c r="EC509" s="7">
        <v>0</v>
      </c>
      <c r="ED509" s="7">
        <v>0</v>
      </c>
      <c r="EE509" s="7">
        <v>0</v>
      </c>
      <c r="EF509" s="7">
        <v>0</v>
      </c>
      <c r="EG509" s="7">
        <v>0</v>
      </c>
      <c r="EH509" s="7">
        <v>1.4449619898155484E-2</v>
      </c>
      <c r="EI509" s="7">
        <v>1.8189256129275546E-2</v>
      </c>
      <c r="EJ509" s="7">
        <v>0.26774423632792171</v>
      </c>
      <c r="EK509" s="7">
        <v>0.65324553373871941</v>
      </c>
      <c r="EL509" s="7">
        <v>4.6371353905927538E-2</v>
      </c>
      <c r="EM509" s="7">
        <v>6.4573313872912153E-2</v>
      </c>
      <c r="EN509" s="7">
        <v>4.7388948993336927E-2</v>
      </c>
      <c r="EO509" s="7">
        <v>0.58257796683823293</v>
      </c>
      <c r="EP509" s="7">
        <v>0.25106388889958464</v>
      </c>
      <c r="EQ509" s="7">
        <v>7.2207727176192074E-2</v>
      </c>
      <c r="ER509" s="7">
        <v>4.6761468092653351E-2</v>
      </c>
      <c r="ES509" s="7">
        <v>0.10671255925521478</v>
      </c>
      <c r="ET509" s="7">
        <v>0.17128587312812693</v>
      </c>
      <c r="EU509" s="6">
        <v>1850</v>
      </c>
      <c r="EV509" s="6">
        <v>0</v>
      </c>
      <c r="EW509" s="6">
        <v>1850</v>
      </c>
      <c r="EX509" s="6">
        <v>0</v>
      </c>
      <c r="EY509" s="6">
        <v>2631.6194439164142</v>
      </c>
      <c r="EZ509" s="6">
        <v>-1723.0908300335955</v>
      </c>
      <c r="FA509" s="6">
        <v>0</v>
      </c>
      <c r="FB509" s="6">
        <v>0</v>
      </c>
      <c r="FC509" s="6">
        <v>0</v>
      </c>
      <c r="FD509" s="6">
        <v>0</v>
      </c>
      <c r="FE509" s="6">
        <v>0</v>
      </c>
      <c r="FF509" s="6">
        <v>0</v>
      </c>
      <c r="FG509" s="6">
        <v>0</v>
      </c>
      <c r="FH509" s="6">
        <v>1153.9893203022843</v>
      </c>
      <c r="FI509" s="6">
        <v>1531.4299904380618</v>
      </c>
      <c r="FJ509" s="6">
        <v>2070.7205842538215</v>
      </c>
      <c r="FK509" s="6">
        <v>1746.9903521590445</v>
      </c>
      <c r="FL509" s="6">
        <v>893.9143356348934</v>
      </c>
      <c r="FM509" s="6">
        <v>1781.6194439164142</v>
      </c>
      <c r="FN509" s="6">
        <v>0</v>
      </c>
      <c r="FO509" s="6">
        <v>0</v>
      </c>
      <c r="FP509" s="6">
        <v>0</v>
      </c>
      <c r="FQ509" s="6">
        <v>0</v>
      </c>
      <c r="FR509" s="6">
        <v>0</v>
      </c>
      <c r="FS509" s="6">
        <v>0</v>
      </c>
      <c r="FT509" s="7">
        <v>0.82871412687187307</v>
      </c>
      <c r="FU509" s="7">
        <v>6.4573313872912153E-2</v>
      </c>
      <c r="FV509" s="7">
        <v>0.10671255925521478</v>
      </c>
      <c r="FW509" s="6">
        <v>1850</v>
      </c>
      <c r="FX509" s="6">
        <v>2631.6194439164142</v>
      </c>
      <c r="FY509" s="6">
        <v>-1723.0908300335955</v>
      </c>
      <c r="FZ509" s="6">
        <v>2411.9063952864503</v>
      </c>
      <c r="GA509" s="6">
        <v>1519.178090756961</v>
      </c>
      <c r="GB509" s="6">
        <v>18175.821909243037</v>
      </c>
      <c r="GC509" s="7">
        <v>7.6138913542514425E-2</v>
      </c>
      <c r="GD509" s="7">
        <v>6.7673753046554402E-2</v>
      </c>
      <c r="GE509" s="7"/>
      <c r="GF509" s="7"/>
      <c r="GG509" s="7">
        <v>-0.11118047397975082</v>
      </c>
      <c r="GH509" s="42">
        <v>2.45281730614027</v>
      </c>
      <c r="GI509" s="6">
        <v>9548.7202628121104</v>
      </c>
      <c r="GJ509" s="14">
        <v>0.51074630601039561</v>
      </c>
      <c r="GK509" s="14">
        <v>0.50829519786160959</v>
      </c>
      <c r="GL509" s="14">
        <v>0.48925369398960433</v>
      </c>
      <c r="GM509" s="14">
        <v>0.49170480213839046</v>
      </c>
      <c r="GO509" s="5">
        <v>338.16872463277008</v>
      </c>
      <c r="GP509" s="5">
        <v>302.87425392274076</v>
      </c>
      <c r="GQ509" s="5">
        <v>527.27910984145694</v>
      </c>
      <c r="GR509" s="5">
        <v>404.20319246551543</v>
      </c>
      <c r="GS509" s="5">
        <v>334.50205195691484</v>
      </c>
      <c r="GT509" s="5">
        <v>289.18266033348181</v>
      </c>
      <c r="GU509" s="5">
        <v>254.29573314828914</v>
      </c>
      <c r="GV509" s="39" t="s">
        <v>392</v>
      </c>
      <c r="GW509" s="5">
        <v>468.76388888888891</v>
      </c>
      <c r="GX509" s="5">
        <v>351.57291666666669</v>
      </c>
      <c r="GY509" s="5">
        <v>281.25833333333333</v>
      </c>
      <c r="GZ509" s="5">
        <v>248.18079879493993</v>
      </c>
      <c r="HA509" s="5">
        <v>229.8919505212948</v>
      </c>
      <c r="HB509" s="39">
        <v>261.2570068852387</v>
      </c>
      <c r="HC509" s="5">
        <v>358.50084881396981</v>
      </c>
      <c r="HD509" s="5">
        <v>287.77900980034525</v>
      </c>
      <c r="HE509" s="5">
        <v>285.23787161201437</v>
      </c>
      <c r="HF509" s="5">
        <v>257.54964978663213</v>
      </c>
      <c r="HG509" s="5">
        <v>240.60084178617024</v>
      </c>
      <c r="HH509" s="39">
        <v>286.10354160743753</v>
      </c>
      <c r="HI509" s="16"/>
      <c r="HJ509" s="19" t="str">
        <f t="shared" si="1689"/>
        <v>On</v>
      </c>
      <c r="HK509" s="1" t="str">
        <f t="shared" si="1689"/>
        <v>On</v>
      </c>
      <c r="HL509" s="16"/>
      <c r="HM509" s="639">
        <f t="shared" si="1636"/>
        <v>5.1181272167489952E-2</v>
      </c>
      <c r="HN509" s="639">
        <f t="shared" si="1637"/>
        <v>4.2792051795134348E-3</v>
      </c>
      <c r="HO509" s="639">
        <f t="shared" si="1638"/>
        <v>7.4145241462331068E-3</v>
      </c>
      <c r="HP509" s="644">
        <f>(FT509*$GD509-HM509)/$JF509*INDEX(Input!$1:$1048576,$JG$93,$C509*2+6)</f>
        <v>57.836736065242995</v>
      </c>
      <c r="HQ509" s="644">
        <f>(FU509*$GD509-HN509)/$JF509*INDEX(Input!$1:$1048576,$JG$93,$C509*2+6)</f>
        <v>1.0705253209677286</v>
      </c>
      <c r="HR509" s="644">
        <f>(FV509*$GD509-HO509)/$JF509*INDEX(Input!$1:$1048576,$JG$93,$C509*2+6)</f>
        <v>-2.2762702450827068</v>
      </c>
      <c r="HS509" s="644">
        <f t="shared" si="1639"/>
        <v>-12.129602056233905</v>
      </c>
      <c r="HT509" s="644">
        <f t="shared" si="1640"/>
        <v>20.421243376960405</v>
      </c>
      <c r="HU509" s="644">
        <f t="shared" si="1641"/>
        <v>7.3673996645443962</v>
      </c>
      <c r="HV509" s="648">
        <f t="shared" si="1642"/>
        <v>0</v>
      </c>
      <c r="HW509" s="648">
        <f t="shared" si="1643"/>
        <v>0</v>
      </c>
      <c r="HX509" s="648">
        <f t="shared" si="1644"/>
        <v>0</v>
      </c>
      <c r="HY509" s="644">
        <f>INDEX(Input!$1:$1048576,HY$93,$C509*2+6)*INDEX(Input!$1:$1048576,$JG$93,$C509*2+6)</f>
        <v>345</v>
      </c>
      <c r="HZ509" s="644">
        <f>INDEX(Input!$1:$1048576,HZ$93,$C509*2+6)*INDEX(Input!$1:$1048576,$JG$93,$C509*2+6)</f>
        <v>299</v>
      </c>
      <c r="IA509" s="644">
        <f>INDEX(Input!$1:$1048576,IA$93,$C509*2+6)*INDEX(Input!$1:$1048576,$JG$93,$C509*2+6)</f>
        <v>98</v>
      </c>
      <c r="IB509" s="644">
        <f t="shared" si="1668"/>
        <v>390.70713400900911</v>
      </c>
      <c r="IC509" s="644">
        <f t="shared" si="1669"/>
        <v>320.49176869792814</v>
      </c>
      <c r="ID509" s="644">
        <f>IF(AND(INDEX(Input!$1:$1048576,IA$93,$C509*2+7)="TOS",Y509&lt;=INDEX(Y:Y,MATCH(C509*1000+2,A:A))),0,1)*MAX(IA509+HR509+HU509+HX509,0%)</f>
        <v>103.09112941946168</v>
      </c>
      <c r="IE509" s="128">
        <f t="shared" si="1704"/>
        <v>0.47981323434444451</v>
      </c>
      <c r="IF509" s="128">
        <f t="shared" si="1691"/>
        <v>0.39358429558693098</v>
      </c>
      <c r="IG509" s="128">
        <f t="shared" si="1646"/>
        <v>0.12660247006862446</v>
      </c>
      <c r="IH509" s="21"/>
      <c r="II509" s="19">
        <f t="shared" si="1647"/>
        <v>1200</v>
      </c>
      <c r="IJ509" s="19">
        <f t="shared" si="1648"/>
        <v>2231.5440334087361</v>
      </c>
      <c r="IK509" s="19">
        <f t="shared" si="1649"/>
        <v>-2048.0908300335955</v>
      </c>
      <c r="IL509" s="19">
        <f t="shared" si="1671"/>
        <v>650</v>
      </c>
      <c r="IM509" s="19">
        <f t="shared" si="1650"/>
        <v>400.07541050767804</v>
      </c>
      <c r="IN509" s="19">
        <f t="shared" si="1651"/>
        <v>325</v>
      </c>
      <c r="IO509" s="39">
        <f t="shared" si="1652"/>
        <v>0</v>
      </c>
      <c r="IP509" s="39">
        <f t="shared" si="1653"/>
        <v>0</v>
      </c>
      <c r="IQ509" s="39">
        <f t="shared" si="1654"/>
        <v>0</v>
      </c>
      <c r="IR509" s="39">
        <v>0</v>
      </c>
      <c r="IS509" s="39">
        <v>0</v>
      </c>
      <c r="IT509" s="39">
        <v>0</v>
      </c>
      <c r="IU509" s="39">
        <v>0</v>
      </c>
      <c r="IV509" s="39">
        <v>0</v>
      </c>
      <c r="IW509" s="39">
        <v>0</v>
      </c>
      <c r="IX509" s="39">
        <f>INDEX(Input!$1:$1048576,IX$93,$C509*2+6)+INDEX(Input!$1:$1048576,IX$94,$C509*2+6)</f>
        <v>1600</v>
      </c>
      <c r="IY509" s="39">
        <f>INDEX(Input!$1:$1048576,IY$93,$C509*2+6)+INDEX(Input!$1:$1048576,IY$94,$C509*2+6)</f>
        <v>2503.5492916397525</v>
      </c>
      <c r="IZ509" s="39">
        <f>INDEX(Input!$1:$1048576,IZ$93,$C509*2+6)+INDEX(Input!$1:$1048576,IZ$94,$C509*2+6)</f>
        <v>5413.7109265464023</v>
      </c>
      <c r="JA509" s="19">
        <f t="shared" si="1672"/>
        <v>2250</v>
      </c>
      <c r="JB509" s="19">
        <f t="shared" si="1673"/>
        <v>2903.6247021474305</v>
      </c>
      <c r="JC509" s="19">
        <f t="shared" si="1674"/>
        <v>5738.7109265464023</v>
      </c>
      <c r="JD509" s="19">
        <f t="shared" si="1675"/>
        <v>2948.9358386290878</v>
      </c>
      <c r="JE509" s="21"/>
      <c r="JF509" s="1">
        <f t="shared" si="1655"/>
        <v>6.2875001493236493E-2</v>
      </c>
      <c r="JG509" s="15">
        <f>INDEX(Input!$1:$1048576,JG$93,$C509*2+6)/(1+VLOOKUP(C509*1000+INDEX(Input!$1:$1048576,JG$93+1,$C509*2+6),$A:$KK,$JK$92,FALSE))</f>
        <v>742</v>
      </c>
      <c r="JH509" s="1">
        <f t="shared" si="1676"/>
        <v>7.6322090486695443E-2</v>
      </c>
      <c r="JI509" s="1">
        <f t="shared" si="1677"/>
        <v>2.1103828821119806E-2</v>
      </c>
      <c r="JJ509" s="1">
        <f t="shared" si="1678"/>
        <v>0</v>
      </c>
      <c r="JK509" s="1">
        <f t="shared" si="1705"/>
        <v>9.7425919307815245E-2</v>
      </c>
      <c r="JL509" s="15">
        <f t="shared" si="1680"/>
        <v>72.290032126398913</v>
      </c>
      <c r="JM509" s="15">
        <f t="shared" si="1706"/>
        <v>814.29003212639896</v>
      </c>
      <c r="JN509" s="21"/>
      <c r="JO509" s="19">
        <f>INDEX(Input!$1:$1048576,JO$93,$C509*2+6)</f>
        <v>5908.5</v>
      </c>
      <c r="JP509" s="19">
        <f>INDEX(Input!$1:$1048576,JP$93,$C509*2+6)</f>
        <v>2467.7963733178344</v>
      </c>
      <c r="JQ509" s="39">
        <f t="shared" si="1692"/>
        <v>2959.5641613709122</v>
      </c>
      <c r="JR509" s="39">
        <f t="shared" ref="JR509:JR550" si="1709">JD509-JP509</f>
        <v>481.13946531125339</v>
      </c>
      <c r="JS509" s="39">
        <f t="shared" si="1694"/>
        <v>2.4012890587759692</v>
      </c>
      <c r="JT509" s="39">
        <f t="shared" si="1682"/>
        <v>0.57018414977413623</v>
      </c>
      <c r="JU509" s="385">
        <f>(JQ509*JM509-INDEX(Input!$1:$1048576,Input!A$18,$C509*2+6)*JL509*INDEX(Input!$1:$1048576,Input!A$19,$C509*2+6))/1000000</f>
        <v>2.4099435960428588</v>
      </c>
      <c r="JV509" s="39">
        <f t="shared" si="1658"/>
        <v>-0.14305849495530776</v>
      </c>
      <c r="JW509" s="1">
        <f t="shared" si="1707"/>
        <v>-5.6035400620990126E-2</v>
      </c>
      <c r="JX509" s="19">
        <f t="shared" si="1698"/>
        <v>7887.4518796335697</v>
      </c>
      <c r="JZ509" s="341"/>
      <c r="KA509" s="342"/>
      <c r="KB509" s="469">
        <f t="shared" si="1695"/>
        <v>2.4623520912331753</v>
      </c>
      <c r="KI509" s="473">
        <f t="shared" si="1696"/>
        <v>45.70713400900911</v>
      </c>
      <c r="KJ509" s="473">
        <f t="shared" si="1683"/>
        <v>21.491768697928137</v>
      </c>
      <c r="KK509" s="473">
        <f t="shared" si="1684"/>
        <v>5.0911294194616801</v>
      </c>
      <c r="KN509" s="544">
        <f t="shared" si="1699"/>
        <v>5002</v>
      </c>
      <c r="KO509" s="541">
        <f t="shared" si="1659"/>
        <v>1.971028235695016E-2</v>
      </c>
      <c r="KP509" s="546">
        <f t="shared" si="1660"/>
        <v>119.96913303615754</v>
      </c>
      <c r="KQ509" s="546">
        <f t="shared" si="1661"/>
        <v>90.163392477378693</v>
      </c>
      <c r="KR509" s="548">
        <f t="shared" si="1662"/>
        <v>2.7661015005601373</v>
      </c>
      <c r="KS509" s="548">
        <f t="shared" si="1663"/>
        <v>3.6805048012747741</v>
      </c>
      <c r="KT509" s="473">
        <f t="shared" si="1697"/>
        <v>389.37465324503302</v>
      </c>
      <c r="KU509" s="663">
        <f t="shared" si="1685"/>
        <v>7.2882954637322444</v>
      </c>
      <c r="KV509" s="117" t="e">
        <f>RANK(KU509,$KU$109:$KU$200)</f>
        <v>#N/A</v>
      </c>
    </row>
    <row r="510" spans="1:310" s="26" customFormat="1" ht="15">
      <c r="A510" s="561">
        <f t="shared" si="1664"/>
        <v>5010</v>
      </c>
      <c r="B510" s="561">
        <f t="shared" si="1686"/>
        <v>10</v>
      </c>
      <c r="C510" s="561">
        <f t="shared" si="1687"/>
        <v>5</v>
      </c>
      <c r="D510" s="561" t="str">
        <f t="shared" si="1708"/>
        <v xml:space="preserve">500 CC, </v>
      </c>
      <c r="E510" s="475">
        <f>INDEX(Input!$1:$1048576,E$93,$C510*2+MIN($B510,2)+5)+IF(OR(BX510&gt;50000,INDEX(Input!$1:$1048576,E$93,$C510*2+MIN($B510,2)+5)&gt;0),0,250)+IF(BX510&gt;50000,500,250)*2</f>
        <v>1750</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1.9E-2</v>
      </c>
      <c r="W510" s="862">
        <f>INDEX(Input!$1:$1048576,W$93,$C510*2+MIN($B510,2)+5)</f>
        <v>3.9E-2</v>
      </c>
      <c r="X510" s="118" t="str">
        <f>INDEX(Input!$1:$1048576,X$93,$C510*2+MIN($B510,2)+5)</f>
        <v>Y</v>
      </c>
      <c r="Y510" s="150">
        <f>INDEX(Input!$1:$1048576,Y$93,$C510*2+MIN($B510,2)+5)</f>
        <v>-1098.3618966787526</v>
      </c>
      <c r="Z510" s="30">
        <f>INDEX(Input!$1:$1048576,Z$93,$C510*2+MIN($B510,2)+5)</f>
        <v>0</v>
      </c>
      <c r="AA510" s="115">
        <f>INDEX(Input!$1:$1048576,AA$93,$C510*2+MIN($B510,2)+5)</f>
        <v>500</v>
      </c>
      <c r="AB510" s="118">
        <f>INDEX(Input!$1:$1048576,AB$93,$C510*2+MIN($B510,2)+5)</f>
        <v>0.43</v>
      </c>
      <c r="AC510" s="115">
        <f>INDEX(Input!$1:$1048576,AC$93,$C510*2+MIN($B510,2)+5)</f>
        <v>0</v>
      </c>
      <c r="AD510" s="118">
        <f>INDEX(Input!$1:$1048576,AD$93,$C510*2+MIN($B510,2)+5)</f>
        <v>0.35</v>
      </c>
      <c r="AE510" s="115">
        <f>INDEX(Input!$1:$1048576,AE$93,$C510*2+MIN($B510,2)+5)</f>
        <v>0</v>
      </c>
      <c r="AF510" s="118">
        <f>INDEX(Input!$1:$1048576,AF$93,$C510*2+MIN($B510,2)+5)</f>
        <v>1</v>
      </c>
      <c r="AG510" s="115">
        <f>INDEX(Input!$1:$1048576,AG$93,$C510*2+MIN($B510,2)+5)</f>
        <v>0</v>
      </c>
      <c r="AH510" s="118">
        <f>INDEX(Input!$1:$1048576,AH$93,$C510*2+MIN($B510,2)+5)</f>
        <v>1</v>
      </c>
      <c r="AI510" s="115">
        <f>INDEX(Input!$1:$1048576,AI$93,$C510*2+MIN($B510,2)+5)</f>
        <v>0</v>
      </c>
      <c r="AJ510" s="118">
        <f>INDEX(Input!$1:$1048576,AJ$93,$C510*2+MIN($B510,2)+5)</f>
        <v>0.35</v>
      </c>
      <c r="AK510" s="150">
        <f>ROUND(INDEX(Input!$1:$1048576,AK$93,$C509*2+MIN($B510,1)+5)+(Y510-VLOOKUP($C510*1000+1,$A:$HH,Y$92,FALSE)),0)</f>
        <v>4592</v>
      </c>
      <c r="AL510" s="150">
        <f>ROUND(INDEX(Input!$1:$1048576,AL$93,$C509*2+MIN($B510,1)+5)-(Y510-VLOOKUP($C510*1000+1,$A:$HH,Y$92,FALSE))/36,0)</f>
        <v>4743</v>
      </c>
      <c r="AM510" s="32" t="str">
        <f t="shared" si="1665"/>
        <v>std/std/std/std</v>
      </c>
      <c r="AN510" s="32" t="str">
        <f t="shared" si="1666"/>
        <v>$0 + 0/0/0/1.9/3.9</v>
      </c>
      <c r="AO510" s="32" t="str">
        <f t="shared" si="1667"/>
        <v>0/0/0/1.9/3.9</v>
      </c>
      <c r="AP510" s="32" t="str">
        <f t="shared" si="1621"/>
        <v>0/0.9/1.9/3.9</v>
      </c>
      <c r="AQ510" s="536">
        <f t="shared" si="1620"/>
        <v>0.49559619118550502</v>
      </c>
      <c r="AR510" s="32"/>
      <c r="AS510" s="302"/>
      <c r="AT510" s="3">
        <f t="shared" si="1688"/>
        <v>10</v>
      </c>
      <c r="AU510" s="41" t="s">
        <v>121</v>
      </c>
      <c r="AV510" s="41" t="s">
        <v>116</v>
      </c>
      <c r="AW510" s="41" t="str">
        <f>INDEX(Input!$1:$1048576,AW$93,$C510*2+6)</f>
        <v>Kia</v>
      </c>
      <c r="AX510" s="41" t="str">
        <f>INDEX(Input!$1:$1048576,AX$93,$C510*2+6)</f>
        <v>Kia-LR - R2</v>
      </c>
      <c r="AY510" s="41" t="str">
        <f>IF(LEN(D510)=0,"",INDEX(Input!$1:$1048576,AY$93,$C510*2+6))</f>
        <v>Compact Conventional/Sporty Car (43)</v>
      </c>
      <c r="AZ510" s="41" t="str">
        <f>INDEX(Input!$1:$1048576,AZ$93,$C510*2+6)</f>
        <v>Kia Forte</v>
      </c>
      <c r="BA510" s="3">
        <f>INDEX(Input!$1:$1048576,BA$93,$C510*2+6)</f>
        <v>2020</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19695</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622"/>
        <v>1750</v>
      </c>
      <c r="CJ510" s="16" t="str">
        <f>INDEX(Input!$1:$1048576,CJ$93,$C510*2+6)</f>
        <v>N</v>
      </c>
      <c r="CK510" s="1" t="str">
        <f t="shared" si="1623"/>
        <v>Market</v>
      </c>
      <c r="CL510" s="1" t="str">
        <f t="shared" si="1624"/>
        <v>Market</v>
      </c>
      <c r="CM510" s="1" t="str">
        <f t="shared" si="1625"/>
        <v>Market</v>
      </c>
      <c r="CN510" s="1" t="str">
        <f t="shared" si="1626"/>
        <v>Market</v>
      </c>
      <c r="CO510" s="1" t="str">
        <f t="shared" si="1627"/>
        <v>Market</v>
      </c>
      <c r="CP510" s="304">
        <f t="shared" si="1628"/>
        <v>215</v>
      </c>
      <c r="CQ510" s="1">
        <f t="shared" si="1629"/>
        <v>0</v>
      </c>
      <c r="CR510" s="1">
        <f t="shared" si="1630"/>
        <v>0</v>
      </c>
      <c r="CS510" s="1">
        <f t="shared" si="1631"/>
        <v>0</v>
      </c>
      <c r="CT510" s="1">
        <f t="shared" si="1632"/>
        <v>1.9E-2</v>
      </c>
      <c r="CU510" s="1">
        <f t="shared" si="1633"/>
        <v>3.9E-2</v>
      </c>
      <c r="CV510" s="304">
        <f t="shared" si="1634"/>
        <v>-1098.3618966787526</v>
      </c>
      <c r="CW510" s="20" t="s">
        <v>122</v>
      </c>
      <c r="CX510" s="20" t="s">
        <v>122</v>
      </c>
      <c r="CY510" s="20" t="s">
        <v>122</v>
      </c>
      <c r="CZ510" s="20" t="s">
        <v>122</v>
      </c>
      <c r="DA510" s="20" t="s">
        <v>122</v>
      </c>
      <c r="DB510" s="503">
        <f t="shared" si="1635"/>
        <v>0</v>
      </c>
      <c r="DC510" s="127">
        <v>0</v>
      </c>
      <c r="DD510" s="127">
        <v>0</v>
      </c>
      <c r="DE510" s="127">
        <v>0</v>
      </c>
      <c r="DF510" s="127">
        <v>0</v>
      </c>
      <c r="DG510" s="127">
        <v>0</v>
      </c>
      <c r="DH510" s="127">
        <v>0</v>
      </c>
      <c r="DI510" s="127">
        <v>0</v>
      </c>
      <c r="DJ510" s="127">
        <v>0</v>
      </c>
      <c r="DK510" s="127">
        <v>0</v>
      </c>
      <c r="DL510" s="127">
        <v>0</v>
      </c>
      <c r="DM510" s="304">
        <f>INDEX(Input!$1:$1048576,DM$93,$C510*2+6)</f>
        <v>20731.578947368424</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4.5158090078853262E-2</v>
      </c>
      <c r="DZ510" s="7">
        <v>0</v>
      </c>
      <c r="EA510" s="7">
        <v>0.79350980502365509</v>
      </c>
      <c r="EB510" s="7">
        <v>0</v>
      </c>
      <c r="EC510" s="7">
        <v>0</v>
      </c>
      <c r="ED510" s="7">
        <v>0</v>
      </c>
      <c r="EE510" s="7">
        <v>0</v>
      </c>
      <c r="EF510" s="7">
        <v>0</v>
      </c>
      <c r="EG510" s="7">
        <v>0</v>
      </c>
      <c r="EH510" s="7">
        <v>1.445346568485679E-2</v>
      </c>
      <c r="EI510" s="7">
        <v>1.8189465813768596E-2</v>
      </c>
      <c r="EJ510" s="7">
        <v>0.26785582305271916</v>
      </c>
      <c r="EK510" s="7">
        <v>0.65313597319309225</v>
      </c>
      <c r="EL510" s="7">
        <v>4.6365272255563014E-2</v>
      </c>
      <c r="EM510" s="7">
        <v>6.0816399718164854E-2</v>
      </c>
      <c r="EN510" s="7">
        <v>4.7389080988855907E-2</v>
      </c>
      <c r="EO510" s="7">
        <v>0.58257512282467494</v>
      </c>
      <c r="EP510" s="7">
        <v>0.25106027906675527</v>
      </c>
      <c r="EQ510" s="7">
        <v>7.2206952695977517E-2</v>
      </c>
      <c r="ER510" s="7">
        <v>4.6768564423736184E-2</v>
      </c>
      <c r="ES510" s="7">
        <v>0.10051570517932686</v>
      </c>
      <c r="ET510" s="7">
        <v>0.16133210489749161</v>
      </c>
      <c r="EU510" s="6">
        <v>2100</v>
      </c>
      <c r="EV510" s="6">
        <v>0</v>
      </c>
      <c r="EW510" s="6">
        <v>2100</v>
      </c>
      <c r="EX510" s="6">
        <v>0</v>
      </c>
      <c r="EY510" s="6">
        <v>2631.6584540979375</v>
      </c>
      <c r="EZ510" s="6">
        <v>-1723.0908300335955</v>
      </c>
      <c r="FA510" s="6">
        <v>0</v>
      </c>
      <c r="FB510" s="6">
        <v>0</v>
      </c>
      <c r="FC510" s="6">
        <v>0</v>
      </c>
      <c r="FD510" s="6">
        <v>0</v>
      </c>
      <c r="FE510" s="6">
        <v>0</v>
      </c>
      <c r="FF510" s="6">
        <v>0</v>
      </c>
      <c r="FG510" s="6">
        <v>0</v>
      </c>
      <c r="FH510" s="6">
        <v>1153.9909690615978</v>
      </c>
      <c r="FI510" s="6">
        <v>1531.4299904380614</v>
      </c>
      <c r="FJ510" s="6">
        <v>2070.7205842538224</v>
      </c>
      <c r="FK510" s="6">
        <v>1746.9903521590443</v>
      </c>
      <c r="FL510" s="6">
        <v>893.91433563489409</v>
      </c>
      <c r="FM510" s="6">
        <v>1781.6584540979375</v>
      </c>
      <c r="FN510" s="6">
        <v>0</v>
      </c>
      <c r="FO510" s="6">
        <v>0</v>
      </c>
      <c r="FP510" s="6">
        <v>0</v>
      </c>
      <c r="FQ510" s="6">
        <v>0</v>
      </c>
      <c r="FR510" s="6">
        <v>0</v>
      </c>
      <c r="FS510" s="6">
        <v>0</v>
      </c>
      <c r="FT510" s="7">
        <v>0.83866789510250839</v>
      </c>
      <c r="FU510" s="7">
        <v>6.0816399718164854E-2</v>
      </c>
      <c r="FV510" s="7">
        <v>0.10051570517932686</v>
      </c>
      <c r="FW510" s="6">
        <v>2100</v>
      </c>
      <c r="FX510" s="6">
        <v>2631.6584540979375</v>
      </c>
      <c r="FY510" s="6">
        <v>-1723.0908300335955</v>
      </c>
      <c r="FZ510" s="6">
        <v>2411.9063952864503</v>
      </c>
      <c r="GA510" s="6">
        <v>1748.0528823125169</v>
      </c>
      <c r="GB510" s="6">
        <v>17946.947117687483</v>
      </c>
      <c r="GC510" s="7">
        <v>7.6138913542514425E-2</v>
      </c>
      <c r="GD510" s="7">
        <v>6.9462120206239597E-2</v>
      </c>
      <c r="GE510" s="7"/>
      <c r="GF510" s="7"/>
      <c r="GG510" s="7">
        <v>-8.7692259130367572E-2</v>
      </c>
      <c r="GH510" s="42">
        <v>2.6016267291190864</v>
      </c>
      <c r="GI510" s="6">
        <v>9318.3164330213276</v>
      </c>
      <c r="GJ510" s="14">
        <v>0.51074630601039539</v>
      </c>
      <c r="GK510" s="14">
        <v>0.50829519786160959</v>
      </c>
      <c r="GL510" s="14">
        <v>0.4892536939896045</v>
      </c>
      <c r="GM510" s="14">
        <v>0.49170480213839024</v>
      </c>
      <c r="GO510" s="5">
        <v>338.16872463277008</v>
      </c>
      <c r="GP510" s="5">
        <v>298.1047308538179</v>
      </c>
      <c r="GQ510" s="5">
        <v>527.27910984145694</v>
      </c>
      <c r="GR510" s="5">
        <v>404.20319246551543</v>
      </c>
      <c r="GS510" s="5">
        <v>334.50205195691484</v>
      </c>
      <c r="GT510" s="5">
        <v>289.18266033348181</v>
      </c>
      <c r="GU510" s="5">
        <v>254.29573314828914</v>
      </c>
      <c r="GV510" s="39" t="s">
        <v>392</v>
      </c>
      <c r="GW510" s="5">
        <v>468.76388888888891</v>
      </c>
      <c r="GX510" s="5">
        <v>351.57291666666669</v>
      </c>
      <c r="GY510" s="5">
        <v>281.25833333333333</v>
      </c>
      <c r="GZ510" s="5">
        <v>248.18079879493993</v>
      </c>
      <c r="HA510" s="5">
        <v>229.8919505212948</v>
      </c>
      <c r="HB510" s="39">
        <v>261.26167912060123</v>
      </c>
      <c r="HC510" s="5">
        <v>358.50084881396981</v>
      </c>
      <c r="HD510" s="5">
        <v>287.77900980034525</v>
      </c>
      <c r="HE510" s="5">
        <v>285.23787161201437</v>
      </c>
      <c r="HF510" s="5">
        <v>257.54964978663213</v>
      </c>
      <c r="HG510" s="5">
        <v>240.60084178617024</v>
      </c>
      <c r="HH510" s="39">
        <v>286.10324873562848</v>
      </c>
      <c r="HI510" s="16"/>
      <c r="HJ510" s="19" t="str">
        <f t="shared" si="1689"/>
        <v>On</v>
      </c>
      <c r="HK510" s="1" t="str">
        <f t="shared" si="1689"/>
        <v>On</v>
      </c>
      <c r="HL510" s="16"/>
      <c r="HM510" s="639">
        <f t="shared" si="1636"/>
        <v>5.1181272167489952E-2</v>
      </c>
      <c r="HN510" s="639">
        <f t="shared" si="1637"/>
        <v>4.2792051795134348E-3</v>
      </c>
      <c r="HO510" s="639">
        <f t="shared" si="1638"/>
        <v>7.4145241462331068E-3</v>
      </c>
      <c r="HP510" s="644">
        <f>(FT510*$GD510-HM510)/$JF510*INDEX(Input!$1:$1048576,$JG$93,$C510*2+6)</f>
        <v>83.486096746870132</v>
      </c>
      <c r="HQ510" s="644">
        <f>(FU510*$GD510-HN510)/$JF510*INDEX(Input!$1:$1048576,$JG$93,$C510*2+6)</f>
        <v>-0.64634083459701674</v>
      </c>
      <c r="HR510" s="644">
        <f>(FV510*$GD510-HO510)/$JF510*INDEX(Input!$1:$1048576,$JG$93,$C510*2+6)</f>
        <v>-5.1038995469404416</v>
      </c>
      <c r="HS510" s="644">
        <f t="shared" si="1639"/>
        <v>-16.762604189572336</v>
      </c>
      <c r="HT510" s="644">
        <f t="shared" si="1640"/>
        <v>19.861336940932802</v>
      </c>
      <c r="HU510" s="644">
        <f t="shared" si="1641"/>
        <v>7.9294479765357959</v>
      </c>
      <c r="HV510" s="648">
        <f t="shared" si="1642"/>
        <v>0</v>
      </c>
      <c r="HW510" s="648">
        <f t="shared" si="1643"/>
        <v>0</v>
      </c>
      <c r="HX510" s="648">
        <f t="shared" si="1644"/>
        <v>0</v>
      </c>
      <c r="HY510" s="644">
        <f>INDEX(Input!$1:$1048576,HY$93,$C510*2+6)*INDEX(Input!$1:$1048576,$JG$93,$C510*2+6)</f>
        <v>345</v>
      </c>
      <c r="HZ510" s="644">
        <f>INDEX(Input!$1:$1048576,HZ$93,$C510*2+6)*INDEX(Input!$1:$1048576,$JG$93,$C510*2+6)</f>
        <v>299</v>
      </c>
      <c r="IA510" s="644">
        <f>INDEX(Input!$1:$1048576,IA$93,$C510*2+6)*INDEX(Input!$1:$1048576,$JG$93,$C510*2+6)</f>
        <v>98</v>
      </c>
      <c r="IB510" s="644">
        <f t="shared" si="1668"/>
        <v>411.72349255729779</v>
      </c>
      <c r="IC510" s="644">
        <f t="shared" si="1669"/>
        <v>318.21499610633578</v>
      </c>
      <c r="ID510" s="644">
        <f>IF(AND(INDEX(Input!$1:$1048576,IA$93,$C510*2+7)="TOS",Y510&lt;=INDEX(Y:Y,MATCH(C510*1000+2,A:A))),0,1)*MAX(IA510+HR510+HU510+HX510,0%)</f>
        <v>100.82554842959536</v>
      </c>
      <c r="IE510" s="128">
        <f t="shared" si="1704"/>
        <v>0.49559619118550502</v>
      </c>
      <c r="IF510" s="128">
        <f t="shared" si="1691"/>
        <v>0.38303896401166138</v>
      </c>
      <c r="IG510" s="128">
        <f t="shared" si="1646"/>
        <v>0.12136484480283377</v>
      </c>
      <c r="IH510" s="21"/>
      <c r="II510" s="19">
        <f t="shared" si="1647"/>
        <v>1200</v>
      </c>
      <c r="IJ510" s="19">
        <f t="shared" si="1648"/>
        <v>2231.5440334087361</v>
      </c>
      <c r="IK510" s="19">
        <f t="shared" si="1649"/>
        <v>-2048.0908300335955</v>
      </c>
      <c r="IL510" s="19">
        <f t="shared" si="1671"/>
        <v>900</v>
      </c>
      <c r="IM510" s="19">
        <f t="shared" si="1650"/>
        <v>400.11442068920132</v>
      </c>
      <c r="IN510" s="19">
        <f t="shared" si="1651"/>
        <v>325</v>
      </c>
      <c r="IO510" s="39">
        <f t="shared" si="1652"/>
        <v>0</v>
      </c>
      <c r="IP510" s="39">
        <f t="shared" si="1653"/>
        <v>0</v>
      </c>
      <c r="IQ510" s="39">
        <f t="shared" si="1654"/>
        <v>0</v>
      </c>
      <c r="IR510" s="39">
        <v>0</v>
      </c>
      <c r="IS510" s="39">
        <v>0</v>
      </c>
      <c r="IT510" s="39">
        <v>0</v>
      </c>
      <c r="IU510" s="39">
        <v>0</v>
      </c>
      <c r="IV510" s="39">
        <v>0</v>
      </c>
      <c r="IW510" s="39">
        <v>0</v>
      </c>
      <c r="IX510" s="39">
        <f>INDEX(Input!$1:$1048576,IX$93,$C510*2+6)+INDEX(Input!$1:$1048576,IX$94,$C510*2+6)</f>
        <v>1600</v>
      </c>
      <c r="IY510" s="39">
        <f>INDEX(Input!$1:$1048576,IY$93,$C510*2+6)+INDEX(Input!$1:$1048576,IY$94,$C510*2+6)</f>
        <v>2503.5492916397525</v>
      </c>
      <c r="IZ510" s="39">
        <f>INDEX(Input!$1:$1048576,IZ$93,$C510*2+6)+INDEX(Input!$1:$1048576,IZ$94,$C510*2+6)</f>
        <v>5413.7109265464023</v>
      </c>
      <c r="JA510" s="19">
        <f t="shared" si="1672"/>
        <v>2500</v>
      </c>
      <c r="JB510" s="19">
        <f t="shared" si="1673"/>
        <v>2903.6637123289538</v>
      </c>
      <c r="JC510" s="19">
        <f t="shared" si="1674"/>
        <v>5738.7109265464023</v>
      </c>
      <c r="JD510" s="19">
        <f t="shared" si="1675"/>
        <v>3047.6845791411306</v>
      </c>
      <c r="JE510" s="21"/>
      <c r="JF510" s="1">
        <f t="shared" si="1655"/>
        <v>6.2875001493236493E-2</v>
      </c>
      <c r="JG510" s="15">
        <f>INDEX(Input!$1:$1048576,JG$93,$C510*2+6)/(1+VLOOKUP(C510*1000+INDEX(Input!$1:$1048576,JG$93+1,$C510*2+6),$A:$KK,$JK$92,FALSE))</f>
        <v>742</v>
      </c>
      <c r="JH510" s="1">
        <f t="shared" si="1676"/>
        <v>0.10476530507457235</v>
      </c>
      <c r="JI510" s="1">
        <f t="shared" si="1677"/>
        <v>1.4862777261315716E-2</v>
      </c>
      <c r="JJ510" s="1">
        <f t="shared" si="1678"/>
        <v>0</v>
      </c>
      <c r="JK510" s="1">
        <f t="shared" si="1705"/>
        <v>0.11962808233588806</v>
      </c>
      <c r="JL510" s="15">
        <f t="shared" si="1680"/>
        <v>88.76403709322895</v>
      </c>
      <c r="JM510" s="15">
        <f t="shared" si="1706"/>
        <v>830.76403709322892</v>
      </c>
      <c r="JN510" s="21"/>
      <c r="JO510" s="19">
        <f>INDEX(Input!$1:$1048576,JO$93,$C510*2+6)</f>
        <v>5908.5</v>
      </c>
      <c r="JP510" s="19">
        <f>INDEX(Input!$1:$1048576,JP$93,$C510*2+6)</f>
        <v>2467.7963733178344</v>
      </c>
      <c r="JQ510" s="39">
        <f t="shared" si="1692"/>
        <v>2860.8154208588694</v>
      </c>
      <c r="JR510" s="39">
        <f t="shared" si="1709"/>
        <v>579.88820582329618</v>
      </c>
      <c r="JS510" s="39">
        <f t="shared" si="1694"/>
        <v>2.531906744754064</v>
      </c>
      <c r="JT510" s="39">
        <f t="shared" si="1682"/>
        <v>0.70080183575223087</v>
      </c>
      <c r="JU510" s="385">
        <f>(JQ510*JM510-INDEX(Input!$1:$1048576,Input!A$18,$C510*2+6)*JL510*INDEX(Input!$1:$1048576,Input!A$19,$C510*2+6))/1000000</f>
        <v>2.376662568411279</v>
      </c>
      <c r="JV510" s="39">
        <f t="shared" si="1658"/>
        <v>-0.17633952258688756</v>
      </c>
      <c r="JW510" s="1">
        <f t="shared" si="1707"/>
        <v>-6.9071436803227512E-2</v>
      </c>
      <c r="JX510" s="19">
        <f t="shared" si="1698"/>
        <v>7895.1099871243814</v>
      </c>
      <c r="JZ510" s="341"/>
      <c r="KA510" s="342"/>
      <c r="KB510" s="469">
        <f t="shared" si="1695"/>
        <v>2.4623520912331753</v>
      </c>
      <c r="KI510" s="473">
        <f t="shared" si="1696"/>
        <v>66.723492557297845</v>
      </c>
      <c r="KJ510" s="473">
        <f t="shared" si="1683"/>
        <v>19.214996106335832</v>
      </c>
      <c r="KK510" s="473">
        <f t="shared" si="1684"/>
        <v>2.8255484295953721</v>
      </c>
      <c r="KN510" s="544">
        <f t="shared" si="1699"/>
        <v>5002</v>
      </c>
      <c r="KO510" s="541">
        <f t="shared" si="1659"/>
        <v>4.0340170472378256E-2</v>
      </c>
      <c r="KP510" s="546">
        <f t="shared" si="1660"/>
        <v>247.82843847671799</v>
      </c>
      <c r="KQ510" s="546">
        <f t="shared" si="1661"/>
        <v>188.91213298942148</v>
      </c>
      <c r="KR510" s="548">
        <f t="shared" si="1662"/>
        <v>2.7405099019650909</v>
      </c>
      <c r="KS510" s="548">
        <f t="shared" si="1663"/>
        <v>3.5951967662766471</v>
      </c>
      <c r="KT510" s="473">
        <f t="shared" si="1697"/>
        <v>389.37465324503302</v>
      </c>
      <c r="KU510" s="663">
        <f t="shared" si="1685"/>
        <v>7.3255589342901226</v>
      </c>
      <c r="KV510" s="117" t="e">
        <f t="shared" ref="KV510:KV511" si="1710">RANK(KU510,$KU$109:$KU$200)</f>
        <v>#N/A</v>
      </c>
    </row>
    <row r="511" spans="1:310" s="26" customFormat="1" ht="15">
      <c r="A511" s="561">
        <f t="shared" si="1664"/>
        <v>5011</v>
      </c>
      <c r="B511" s="561">
        <f t="shared" si="1686"/>
        <v>11</v>
      </c>
      <c r="C511" s="561">
        <f t="shared" si="1687"/>
        <v>5</v>
      </c>
      <c r="D511" s="561" t="str">
        <f t="shared" si="1708"/>
        <v xml:space="preserve">750 CC, </v>
      </c>
      <c r="E511" s="475">
        <f>INDEX(Input!$1:$1048576,E$93,$C511*2+MIN($B511,2)+5)+IF(OR(BX511&gt;50000,INDEX(Input!$1:$1048576,E$93,$C511*2+MIN($B511,2)+5)&gt;0),0,250)+IF(BX511&gt;50000,500,250)*3</f>
        <v>2000</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1.9E-2</v>
      </c>
      <c r="W511" s="862">
        <f>INDEX(Input!$1:$1048576,W$93,$C511*2+MIN($B511,2)+5)</f>
        <v>3.9E-2</v>
      </c>
      <c r="X511" s="118" t="str">
        <f>INDEX(Input!$1:$1048576,X$93,$C511*2+MIN($B511,2)+5)</f>
        <v>Y</v>
      </c>
      <c r="Y511" s="150">
        <f>INDEX(Input!$1:$1048576,Y$93,$C511*2+MIN($B511,2)+5)</f>
        <v>-1098.3618966787526</v>
      </c>
      <c r="Z511" s="30">
        <f>INDEX(Input!$1:$1048576,Z$93,$C511*2+MIN($B511,2)+5)</f>
        <v>0</v>
      </c>
      <c r="AA511" s="115">
        <f>INDEX(Input!$1:$1048576,AA$93,$C511*2+MIN($B511,2)+5)</f>
        <v>500</v>
      </c>
      <c r="AB511" s="118">
        <f>INDEX(Input!$1:$1048576,AB$93,$C511*2+MIN($B511,2)+5)</f>
        <v>0.43</v>
      </c>
      <c r="AC511" s="115">
        <f>INDEX(Input!$1:$1048576,AC$93,$C511*2+MIN($B511,2)+5)</f>
        <v>0</v>
      </c>
      <c r="AD511" s="118">
        <f>INDEX(Input!$1:$1048576,AD$93,$C511*2+MIN($B511,2)+5)</f>
        <v>0.35</v>
      </c>
      <c r="AE511" s="115">
        <f>INDEX(Input!$1:$1048576,AE$93,$C511*2+MIN($B511,2)+5)</f>
        <v>0</v>
      </c>
      <c r="AF511" s="118">
        <f>INDEX(Input!$1:$1048576,AF$93,$C511*2+MIN($B511,2)+5)</f>
        <v>1</v>
      </c>
      <c r="AG511" s="115">
        <f>INDEX(Input!$1:$1048576,AG$93,$C511*2+MIN($B511,2)+5)</f>
        <v>0</v>
      </c>
      <c r="AH511" s="118">
        <f>INDEX(Input!$1:$1048576,AH$93,$C511*2+MIN($B511,2)+5)</f>
        <v>1</v>
      </c>
      <c r="AI511" s="115">
        <f>INDEX(Input!$1:$1048576,AI$93,$C511*2+MIN($B511,2)+5)</f>
        <v>0</v>
      </c>
      <c r="AJ511" s="118">
        <f>INDEX(Input!$1:$1048576,AJ$93,$C511*2+MIN($B511,2)+5)</f>
        <v>0.35</v>
      </c>
      <c r="AK511" s="150">
        <f>ROUND(INDEX(Input!$1:$1048576,AK$93,$C510*2+MIN($B511,1)+5)+(Y511-VLOOKUP($C511*1000+1,$A:$HH,Y$92,FALSE)),0)</f>
        <v>4592</v>
      </c>
      <c r="AL511" s="150">
        <f>ROUND(INDEX(Input!$1:$1048576,AL$93,$C510*2+MIN($B511,1)+5)-(Y511-VLOOKUP($C511*1000+1,$A:$HH,Y$92,FALSE))/36,0)</f>
        <v>4743</v>
      </c>
      <c r="AM511" s="32" t="str">
        <f t="shared" si="1665"/>
        <v>std/std/std/std</v>
      </c>
      <c r="AN511" s="32" t="str">
        <f t="shared" si="1666"/>
        <v>$0 + 0/0/0/1.9/3.9</v>
      </c>
      <c r="AO511" s="32" t="str">
        <f t="shared" si="1667"/>
        <v>0/0/0/1.9/3.9</v>
      </c>
      <c r="AP511" s="32" t="str">
        <f t="shared" si="1621"/>
        <v>0/0.9/1.9/3.9</v>
      </c>
      <c r="AQ511" s="536">
        <f t="shared" si="1620"/>
        <v>0.51109288773553452</v>
      </c>
      <c r="AR511" s="32"/>
      <c r="AS511" s="302"/>
      <c r="AT511" s="3">
        <f t="shared" si="1688"/>
        <v>11</v>
      </c>
      <c r="AU511" s="41" t="s">
        <v>121</v>
      </c>
      <c r="AV511" s="41" t="s">
        <v>116</v>
      </c>
      <c r="AW511" s="41" t="str">
        <f>INDEX(Input!$1:$1048576,AW$93,$C511*2+6)</f>
        <v>Kia</v>
      </c>
      <c r="AX511" s="41" t="str">
        <f>INDEX(Input!$1:$1048576,AX$93,$C511*2+6)</f>
        <v>Kia-LR - R2</v>
      </c>
      <c r="AY511" s="41" t="str">
        <f>IF(LEN(D511)=0,"",INDEX(Input!$1:$1048576,AY$93,$C511*2+6))</f>
        <v>Compact Conventional/Sporty Car (43)</v>
      </c>
      <c r="AZ511" s="41" t="str">
        <f>INDEX(Input!$1:$1048576,AZ$93,$C511*2+6)</f>
        <v>Kia Forte</v>
      </c>
      <c r="BA511" s="3">
        <f>INDEX(Input!$1:$1048576,BA$93,$C511*2+6)</f>
        <v>2020</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19695</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622"/>
        <v>2000</v>
      </c>
      <c r="CJ511" s="16" t="str">
        <f>INDEX(Input!$1:$1048576,CJ$93,$C511*2+6)</f>
        <v>N</v>
      </c>
      <c r="CK511" s="1" t="str">
        <f t="shared" si="1623"/>
        <v>Market</v>
      </c>
      <c r="CL511" s="1" t="str">
        <f t="shared" si="1624"/>
        <v>Market</v>
      </c>
      <c r="CM511" s="1" t="str">
        <f t="shared" si="1625"/>
        <v>Market</v>
      </c>
      <c r="CN511" s="1" t="str">
        <f t="shared" si="1626"/>
        <v>Market</v>
      </c>
      <c r="CO511" s="1" t="str">
        <f t="shared" si="1627"/>
        <v>Market</v>
      </c>
      <c r="CP511" s="304">
        <f t="shared" si="1628"/>
        <v>215</v>
      </c>
      <c r="CQ511" s="1">
        <f t="shared" si="1629"/>
        <v>0</v>
      </c>
      <c r="CR511" s="1">
        <f t="shared" si="1630"/>
        <v>0</v>
      </c>
      <c r="CS511" s="1">
        <f t="shared" si="1631"/>
        <v>0</v>
      </c>
      <c r="CT511" s="1">
        <f t="shared" si="1632"/>
        <v>1.9E-2</v>
      </c>
      <c r="CU511" s="1">
        <f t="shared" si="1633"/>
        <v>3.9E-2</v>
      </c>
      <c r="CV511" s="304">
        <f t="shared" si="1634"/>
        <v>-1098.3618966787526</v>
      </c>
      <c r="CW511" s="20" t="s">
        <v>122</v>
      </c>
      <c r="CX511" s="20" t="s">
        <v>122</v>
      </c>
      <c r="CY511" s="20" t="s">
        <v>122</v>
      </c>
      <c r="CZ511" s="20" t="s">
        <v>122</v>
      </c>
      <c r="DA511" s="20" t="s">
        <v>122</v>
      </c>
      <c r="DB511" s="503">
        <f t="shared" si="1635"/>
        <v>0</v>
      </c>
      <c r="DC511" s="127">
        <v>0</v>
      </c>
      <c r="DD511" s="127">
        <v>0</v>
      </c>
      <c r="DE511" s="127">
        <v>0</v>
      </c>
      <c r="DF511" s="127">
        <v>0</v>
      </c>
      <c r="DG511" s="127">
        <v>0</v>
      </c>
      <c r="DH511" s="127">
        <v>0</v>
      </c>
      <c r="DI511" s="127">
        <v>0</v>
      </c>
      <c r="DJ511" s="127">
        <v>0</v>
      </c>
      <c r="DK511" s="127">
        <v>0</v>
      </c>
      <c r="DL511" s="127">
        <v>0</v>
      </c>
      <c r="DM511" s="304">
        <f>INDEX(Input!$1:$1048576,DM$93,$C511*2+6)</f>
        <v>20731.578947368424</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4.5813571875922506E-2</v>
      </c>
      <c r="DZ511" s="7">
        <v>0</v>
      </c>
      <c r="EA511" s="7">
        <v>0.80233792779646718</v>
      </c>
      <c r="EB511" s="7">
        <v>0</v>
      </c>
      <c r="EC511" s="7">
        <v>0</v>
      </c>
      <c r="ED511" s="7">
        <v>0</v>
      </c>
      <c r="EE511" s="7">
        <v>0</v>
      </c>
      <c r="EF511" s="7">
        <v>0</v>
      </c>
      <c r="EG511" s="7">
        <v>0</v>
      </c>
      <c r="EH511" s="7">
        <v>1.4457185354944443E-2</v>
      </c>
      <c r="EI511" s="7">
        <v>1.8189621896980927E-2</v>
      </c>
      <c r="EJ511" s="7">
        <v>0.26796402928085933</v>
      </c>
      <c r="EK511" s="7">
        <v>0.65302981591959464</v>
      </c>
      <c r="EL511" s="7">
        <v>4.6359347547620736E-2</v>
      </c>
      <c r="EM511" s="7">
        <v>5.7237607646175019E-2</v>
      </c>
      <c r="EN511" s="7">
        <v>4.7389249989326171E-2</v>
      </c>
      <c r="EO511" s="7">
        <v>0.5825724618301904</v>
      </c>
      <c r="EP511" s="7">
        <v>0.25105660297290333</v>
      </c>
      <c r="EQ511" s="7">
        <v>7.2206175212903345E-2</v>
      </c>
      <c r="ER511" s="7">
        <v>4.6775509994676931E-2</v>
      </c>
      <c r="ES511" s="7">
        <v>9.4610892681435174E-2</v>
      </c>
      <c r="ET511" s="7">
        <v>0.15184850032761021</v>
      </c>
      <c r="EU511" s="6">
        <v>2350</v>
      </c>
      <c r="EV511" s="6">
        <v>0</v>
      </c>
      <c r="EW511" s="6">
        <v>2350</v>
      </c>
      <c r="EX511" s="6">
        <v>0</v>
      </c>
      <c r="EY511" s="6">
        <v>2631.6963214798106</v>
      </c>
      <c r="EZ511" s="6">
        <v>-1723.0908300335955</v>
      </c>
      <c r="FA511" s="6">
        <v>0</v>
      </c>
      <c r="FB511" s="6">
        <v>0</v>
      </c>
      <c r="FC511" s="6">
        <v>0</v>
      </c>
      <c r="FD511" s="6">
        <v>0</v>
      </c>
      <c r="FE511" s="6">
        <v>0</v>
      </c>
      <c r="FF511" s="6">
        <v>0</v>
      </c>
      <c r="FG511" s="6">
        <v>0</v>
      </c>
      <c r="FH511" s="6">
        <v>1153.9925555179814</v>
      </c>
      <c r="FI511" s="6">
        <v>1531.4299904380612</v>
      </c>
      <c r="FJ511" s="6">
        <v>2070.7205842538215</v>
      </c>
      <c r="FK511" s="6">
        <v>1746.9903521590434</v>
      </c>
      <c r="FL511" s="6">
        <v>893.91433563489375</v>
      </c>
      <c r="FM511" s="6">
        <v>1781.6963214798106</v>
      </c>
      <c r="FN511" s="6">
        <v>0</v>
      </c>
      <c r="FO511" s="6">
        <v>0</v>
      </c>
      <c r="FP511" s="6">
        <v>0</v>
      </c>
      <c r="FQ511" s="6">
        <v>0</v>
      </c>
      <c r="FR511" s="6">
        <v>0</v>
      </c>
      <c r="FS511" s="6">
        <v>0</v>
      </c>
      <c r="FT511" s="7">
        <v>0.84815149967238967</v>
      </c>
      <c r="FU511" s="7">
        <v>5.7237607646175019E-2</v>
      </c>
      <c r="FV511" s="7">
        <v>9.4610892681435174E-2</v>
      </c>
      <c r="FW511" s="6">
        <v>2350</v>
      </c>
      <c r="FX511" s="6">
        <v>2631.6963214798106</v>
      </c>
      <c r="FY511" s="6">
        <v>-1723.0908300335955</v>
      </c>
      <c r="FZ511" s="6">
        <v>2411.9063952864503</v>
      </c>
      <c r="GA511" s="6">
        <v>1980.7648641221854</v>
      </c>
      <c r="GB511" s="6">
        <v>17714.235135877814</v>
      </c>
      <c r="GC511" s="7">
        <v>7.6138913542514425E-2</v>
      </c>
      <c r="GD511" s="7">
        <v>7.1314001836464996E-2</v>
      </c>
      <c r="GE511" s="7"/>
      <c r="GF511" s="7"/>
      <c r="GG511" s="7">
        <v>-6.3369852307589014E-2</v>
      </c>
      <c r="GH511" s="42">
        <v>2.8948017089136586</v>
      </c>
      <c r="GI511" s="6">
        <v>8784.3396787132024</v>
      </c>
      <c r="GJ511" s="14">
        <v>0.51074630601039539</v>
      </c>
      <c r="GK511" s="14">
        <v>0.50829519786160982</v>
      </c>
      <c r="GL511" s="14">
        <v>0.48925369398960444</v>
      </c>
      <c r="GM511" s="14">
        <v>0.4917048021383903</v>
      </c>
      <c r="GO511" s="5">
        <v>338.16872463277008</v>
      </c>
      <c r="GP511" s="5">
        <v>293.33520778489498</v>
      </c>
      <c r="GQ511" s="5">
        <v>527.27910984145694</v>
      </c>
      <c r="GR511" s="5">
        <v>404.20319246551543</v>
      </c>
      <c r="GS511" s="5">
        <v>334.50205195691484</v>
      </c>
      <c r="GT511" s="5">
        <v>289.18266033348181</v>
      </c>
      <c r="GU511" s="5">
        <v>254.29573314828914</v>
      </c>
      <c r="GV511" s="39" t="s">
        <v>392</v>
      </c>
      <c r="GW511" s="5">
        <v>468.76388888888891</v>
      </c>
      <c r="GX511" s="5">
        <v>351.57291666666669</v>
      </c>
      <c r="GY511" s="5">
        <v>281.25833333333333</v>
      </c>
      <c r="GZ511" s="5">
        <v>248.18079879493993</v>
      </c>
      <c r="HA511" s="5">
        <v>229.8919505212948</v>
      </c>
      <c r="HB511" s="39">
        <v>261.26620330603043</v>
      </c>
      <c r="HC511" s="5">
        <v>358.50084881396981</v>
      </c>
      <c r="HD511" s="5">
        <v>287.77900980034525</v>
      </c>
      <c r="HE511" s="5">
        <v>285.23787161201437</v>
      </c>
      <c r="HF511" s="5">
        <v>257.54964978663213</v>
      </c>
      <c r="HG511" s="5">
        <v>240.60084178617024</v>
      </c>
      <c r="HH511" s="39">
        <v>286.10296585261807</v>
      </c>
      <c r="HI511" s="16"/>
      <c r="HJ511" s="19" t="str">
        <f t="shared" si="1689"/>
        <v>On</v>
      </c>
      <c r="HK511" s="1" t="str">
        <f t="shared" si="1689"/>
        <v>On</v>
      </c>
      <c r="HL511" s="16"/>
      <c r="HM511" s="639">
        <f t="shared" si="1636"/>
        <v>5.1181272167489952E-2</v>
      </c>
      <c r="HN511" s="639">
        <f t="shared" si="1637"/>
        <v>4.2792051795134348E-3</v>
      </c>
      <c r="HO511" s="639">
        <f t="shared" si="1638"/>
        <v>7.4145241462331068E-3</v>
      </c>
      <c r="HP511" s="644">
        <f>(FT511*$GD511-HM511)/$JF511*INDEX(Input!$1:$1048576,$JG$93,$C511*2+6)</f>
        <v>109.79599953649569</v>
      </c>
      <c r="HQ511" s="644">
        <f>(FU511*$GD511-HN511)/$JF511*INDEX(Input!$1:$1048576,$JG$93,$C511*2+6)</f>
        <v>-2.3291107750261286</v>
      </c>
      <c r="HR511" s="644">
        <f>(FV511*$GD511-HO511)/$JF511*INDEX(Input!$1:$1048576,$JG$93,$C511*2+6)</f>
        <v>-7.8766206745714467</v>
      </c>
      <c r="HS511" s="644">
        <f t="shared" si="1639"/>
        <v>-21.395606083488637</v>
      </c>
      <c r="HT511" s="644">
        <f t="shared" si="1640"/>
        <v>19.30136799826959</v>
      </c>
      <c r="HU511" s="644">
        <f t="shared" si="1641"/>
        <v>8.4914960491050682</v>
      </c>
      <c r="HV511" s="648">
        <f t="shared" si="1642"/>
        <v>0</v>
      </c>
      <c r="HW511" s="648">
        <f t="shared" si="1643"/>
        <v>0</v>
      </c>
      <c r="HX511" s="648">
        <f t="shared" si="1644"/>
        <v>0</v>
      </c>
      <c r="HY511" s="644">
        <f>INDEX(Input!$1:$1048576,HY$93,$C511*2+6)*INDEX(Input!$1:$1048576,$JG$93,$C511*2+6)</f>
        <v>345</v>
      </c>
      <c r="HZ511" s="644">
        <f>INDEX(Input!$1:$1048576,HZ$93,$C511*2+6)*INDEX(Input!$1:$1048576,$JG$93,$C511*2+6)</f>
        <v>299</v>
      </c>
      <c r="IA511" s="644">
        <f>INDEX(Input!$1:$1048576,IA$93,$C511*2+6)*INDEX(Input!$1:$1048576,$JG$93,$C511*2+6)</f>
        <v>98</v>
      </c>
      <c r="IB511" s="644">
        <f t="shared" si="1668"/>
        <v>433.40039345300704</v>
      </c>
      <c r="IC511" s="644">
        <f t="shared" si="1669"/>
        <v>315.97225722324345</v>
      </c>
      <c r="ID511" s="644">
        <f>IF(AND(INDEX(Input!$1:$1048576,IA$93,$C511*2+7)="TOS",Y511&lt;=INDEX(Y:Y,MATCH(C511*1000+2,A:A))),0,1)*MAX(IA511+HR511+HU511+HX511,0%)</f>
        <v>98.614875374533625</v>
      </c>
      <c r="IE511" s="128">
        <f t="shared" si="1704"/>
        <v>0.51109288773553452</v>
      </c>
      <c r="IF511" s="128">
        <f t="shared" si="1691"/>
        <v>0.37261427499385241</v>
      </c>
      <c r="IG511" s="128">
        <f t="shared" si="1646"/>
        <v>0.1162928372706131</v>
      </c>
      <c r="IH511" s="21"/>
      <c r="II511" s="19">
        <f t="shared" si="1647"/>
        <v>1200</v>
      </c>
      <c r="IJ511" s="19">
        <f t="shared" si="1648"/>
        <v>2231.5440334087361</v>
      </c>
      <c r="IK511" s="19">
        <f t="shared" si="1649"/>
        <v>-2048.0908300335955</v>
      </c>
      <c r="IL511" s="19">
        <f t="shared" si="1671"/>
        <v>1150</v>
      </c>
      <c r="IM511" s="19">
        <f t="shared" si="1650"/>
        <v>400.15228807107451</v>
      </c>
      <c r="IN511" s="19">
        <f t="shared" si="1651"/>
        <v>325</v>
      </c>
      <c r="IO511" s="39">
        <f t="shared" si="1652"/>
        <v>0</v>
      </c>
      <c r="IP511" s="39">
        <f t="shared" si="1653"/>
        <v>0</v>
      </c>
      <c r="IQ511" s="39">
        <f t="shared" si="1654"/>
        <v>0</v>
      </c>
      <c r="IR511" s="39">
        <v>0</v>
      </c>
      <c r="IS511" s="39">
        <v>0</v>
      </c>
      <c r="IT511" s="39">
        <v>0</v>
      </c>
      <c r="IU511" s="39">
        <v>0</v>
      </c>
      <c r="IV511" s="39">
        <v>0</v>
      </c>
      <c r="IW511" s="39">
        <v>0</v>
      </c>
      <c r="IX511" s="39">
        <f>INDEX(Input!$1:$1048576,IX$93,$C511*2+6)+INDEX(Input!$1:$1048576,IX$94,$C511*2+6)</f>
        <v>1600</v>
      </c>
      <c r="IY511" s="39">
        <f>INDEX(Input!$1:$1048576,IY$93,$C511*2+6)+INDEX(Input!$1:$1048576,IY$94,$C511*2+6)</f>
        <v>2503.5492916397525</v>
      </c>
      <c r="IZ511" s="39">
        <f>INDEX(Input!$1:$1048576,IZ$93,$C511*2+6)+INDEX(Input!$1:$1048576,IZ$94,$C511*2+6)</f>
        <v>5413.7109265464023</v>
      </c>
      <c r="JA511" s="19">
        <f t="shared" si="1672"/>
        <v>2750</v>
      </c>
      <c r="JB511" s="19">
        <f t="shared" si="1673"/>
        <v>2903.701579710827</v>
      </c>
      <c r="JC511" s="19">
        <f t="shared" si="1674"/>
        <v>5738.7109265464023</v>
      </c>
      <c r="JD511" s="19">
        <f t="shared" si="1675"/>
        <v>3154.8370761191236</v>
      </c>
      <c r="JE511" s="21"/>
      <c r="JF511" s="1">
        <f t="shared" si="1655"/>
        <v>6.2875001493236493E-2</v>
      </c>
      <c r="JG511" s="15">
        <f>INDEX(Input!$1:$1048576,JG$93,$C511*2+6)/(1+VLOOKUP(C511*1000+INDEX(Input!$1:$1048576,JG$93+1,$C511*2+6),$A:$KK,$JK$92,FALSE))</f>
        <v>742</v>
      </c>
      <c r="JH511" s="1">
        <f t="shared" si="1676"/>
        <v>0.13421869014406754</v>
      </c>
      <c r="JI511" s="1">
        <f t="shared" si="1677"/>
        <v>8.6216414607628317E-3</v>
      </c>
      <c r="JJ511" s="1">
        <f t="shared" si="1678"/>
        <v>0</v>
      </c>
      <c r="JK511" s="1">
        <f t="shared" si="1705"/>
        <v>0.14284033160483037</v>
      </c>
      <c r="JL511" s="15">
        <f t="shared" si="1680"/>
        <v>105.98752605078413</v>
      </c>
      <c r="JM511" s="15">
        <f t="shared" si="1706"/>
        <v>847.98752605078414</v>
      </c>
      <c r="JN511" s="21"/>
      <c r="JO511" s="19">
        <f>INDEX(Input!$1:$1048576,JO$93,$C511*2+6)</f>
        <v>5908.5</v>
      </c>
      <c r="JP511" s="19">
        <f>INDEX(Input!$1:$1048576,JP$93,$C511*2+6)</f>
        <v>2467.7963733178344</v>
      </c>
      <c r="JQ511" s="39">
        <f t="shared" si="1692"/>
        <v>2753.6629238808764</v>
      </c>
      <c r="JR511" s="39">
        <f t="shared" si="1709"/>
        <v>687.04070280128917</v>
      </c>
      <c r="JS511" s="39">
        <f t="shared" si="1694"/>
        <v>2.6752624872715449</v>
      </c>
      <c r="JT511" s="39">
        <f t="shared" si="1682"/>
        <v>0.84415757826971194</v>
      </c>
      <c r="JU511" s="385">
        <f>(JQ511*JM511-INDEX(Input!$1:$1048576,Input!A$18,$C511*2+6)*JL511*INDEX(Input!$1:$1048576,Input!A$19,$C511*2+6))/1000000</f>
        <v>2.3350718103995134</v>
      </c>
      <c r="JV511" s="39">
        <f t="shared" si="1658"/>
        <v>-0.21793028059865316</v>
      </c>
      <c r="JW511" s="1">
        <f t="shared" si="1707"/>
        <v>-8.5362358835141927E-2</v>
      </c>
      <c r="JX511" s="19">
        <f t="shared" si="1698"/>
        <v>7964.688013051953</v>
      </c>
      <c r="JZ511" s="341"/>
      <c r="KA511" s="342"/>
      <c r="KB511" s="469">
        <f t="shared" si="1695"/>
        <v>2.4623520912331753</v>
      </c>
      <c r="KI511" s="473">
        <f t="shared" si="1696"/>
        <v>88.400393453007098</v>
      </c>
      <c r="KJ511" s="473">
        <f t="shared" si="1683"/>
        <v>16.972257223243446</v>
      </c>
      <c r="KK511" s="473">
        <f t="shared" si="1684"/>
        <v>0.61487537453362506</v>
      </c>
      <c r="KN511" s="544">
        <f t="shared" si="1699"/>
        <v>5002</v>
      </c>
      <c r="KO511" s="541">
        <f t="shared" si="1659"/>
        <v>6.1908614264103656E-2</v>
      </c>
      <c r="KP511" s="546">
        <f t="shared" si="1660"/>
        <v>383.36329280860519</v>
      </c>
      <c r="KQ511" s="546">
        <f t="shared" si="1661"/>
        <v>296.06462996741448</v>
      </c>
      <c r="KR511" s="548">
        <f t="shared" si="1662"/>
        <v>2.7188505964086684</v>
      </c>
      <c r="KS511" s="548">
        <f t="shared" si="1663"/>
        <v>3.5205404894484897</v>
      </c>
      <c r="KT511" s="473">
        <f t="shared" si="1697"/>
        <v>389.37465324503302</v>
      </c>
      <c r="KU511" s="663">
        <f t="shared" si="1685"/>
        <v>7.3528932740370614</v>
      </c>
      <c r="KV511" s="117" t="e">
        <f t="shared" si="1710"/>
        <v>#N/A</v>
      </c>
    </row>
    <row r="512" spans="1:310" s="26" customFormat="1" ht="15">
      <c r="A512" s="561">
        <f t="shared" si="1664"/>
        <v>5012</v>
      </c>
      <c r="B512" s="561">
        <f t="shared" si="1686"/>
        <v>12</v>
      </c>
      <c r="C512" s="561">
        <f t="shared" si="1687"/>
        <v>5</v>
      </c>
      <c r="D512" s="561" t="str">
        <f t="shared" si="1708"/>
        <v xml:space="preserve">1000 CC, </v>
      </c>
      <c r="E512" s="475">
        <f>INDEX(Input!$1:$1048576,E$93,$C512*2+MIN($B512,2)+5)+IF(OR(BX512&gt;50000,INDEX(Input!$1:$1048576,E$93,$C512*2+MIN($B512,2)+5)&gt;0),0,250)+IF(BX512&gt;50000,500,250)*4</f>
        <v>2250</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1.9E-2</v>
      </c>
      <c r="W512" s="862">
        <f>INDEX(Input!$1:$1048576,W$93,$C512*2+MIN($B512,2)+5)</f>
        <v>3.9E-2</v>
      </c>
      <c r="X512" s="118" t="str">
        <f>INDEX(Input!$1:$1048576,X$93,$C512*2+MIN($B512,2)+5)</f>
        <v>Y</v>
      </c>
      <c r="Y512" s="150">
        <f>INDEX(Input!$1:$1048576,Y$93,$C512*2+MIN($B512,2)+5)</f>
        <v>-1098.3618966787526</v>
      </c>
      <c r="Z512" s="30">
        <f>INDEX(Input!$1:$1048576,Z$93,$C512*2+MIN($B512,2)+5)</f>
        <v>0</v>
      </c>
      <c r="AA512" s="115">
        <f>INDEX(Input!$1:$1048576,AA$93,$C512*2+MIN($B512,2)+5)</f>
        <v>500</v>
      </c>
      <c r="AB512" s="118">
        <f>INDEX(Input!$1:$1048576,AB$93,$C512*2+MIN($B512,2)+5)</f>
        <v>0.43</v>
      </c>
      <c r="AC512" s="115">
        <f>INDEX(Input!$1:$1048576,AC$93,$C512*2+MIN($B512,2)+5)</f>
        <v>0</v>
      </c>
      <c r="AD512" s="118">
        <f>INDEX(Input!$1:$1048576,AD$93,$C512*2+MIN($B512,2)+5)</f>
        <v>0.35</v>
      </c>
      <c r="AE512" s="115">
        <f>INDEX(Input!$1:$1048576,AE$93,$C512*2+MIN($B512,2)+5)</f>
        <v>0</v>
      </c>
      <c r="AF512" s="118">
        <f>INDEX(Input!$1:$1048576,AF$93,$C512*2+MIN($B512,2)+5)</f>
        <v>1</v>
      </c>
      <c r="AG512" s="115">
        <f>INDEX(Input!$1:$1048576,AG$93,$C512*2+MIN($B512,2)+5)</f>
        <v>0</v>
      </c>
      <c r="AH512" s="118">
        <f>INDEX(Input!$1:$1048576,AH$93,$C512*2+MIN($B512,2)+5)</f>
        <v>1</v>
      </c>
      <c r="AI512" s="115">
        <f>INDEX(Input!$1:$1048576,AI$93,$C512*2+MIN($B512,2)+5)</f>
        <v>0</v>
      </c>
      <c r="AJ512" s="118">
        <f>INDEX(Input!$1:$1048576,AJ$93,$C512*2+MIN($B512,2)+5)</f>
        <v>0.35</v>
      </c>
      <c r="AK512" s="150">
        <f>ROUND(INDEX(Input!$1:$1048576,AK$93,$C511*2+MIN($B512,1)+5)+(Y512-VLOOKUP($C512*1000+1,$A:$HH,Y$92,FALSE)),0)</f>
        <v>4592</v>
      </c>
      <c r="AL512" s="150">
        <f>ROUND(INDEX(Input!$1:$1048576,AL$93,$C511*2+MIN($B512,1)+5)-(Y512-VLOOKUP($C512*1000+1,$A:$HH,Y$92,FALSE))/36,0)</f>
        <v>4743</v>
      </c>
      <c r="AM512" s="32" t="str">
        <f t="shared" si="1665"/>
        <v>std/std/std/std</v>
      </c>
      <c r="AN512" s="32" t="str">
        <f t="shared" si="1666"/>
        <v>$0 + 0/0/0/1.9/3.9</v>
      </c>
      <c r="AO512" s="32" t="str">
        <f t="shared" si="1667"/>
        <v>0/0/0/1.9/3.9</v>
      </c>
      <c r="AP512" s="32" t="str">
        <f t="shared" si="1621"/>
        <v>0/0.9/1.9/3.9</v>
      </c>
      <c r="AQ512" s="536">
        <f t="shared" si="1620"/>
        <v>0.52628477646554184</v>
      </c>
      <c r="AR512" s="32"/>
      <c r="AS512" s="302"/>
      <c r="AT512" s="3">
        <f t="shared" si="1688"/>
        <v>12</v>
      </c>
      <c r="AU512" s="41" t="s">
        <v>121</v>
      </c>
      <c r="AV512" s="41" t="s">
        <v>116</v>
      </c>
      <c r="AW512" s="41" t="str">
        <f>INDEX(Input!$1:$1048576,AW$93,$C512*2+6)</f>
        <v>Kia</v>
      </c>
      <c r="AX512" s="41" t="str">
        <f>INDEX(Input!$1:$1048576,AX$93,$C512*2+6)</f>
        <v>Kia-LR - R2</v>
      </c>
      <c r="AY512" s="41" t="str">
        <f>IF(LEN(D512)=0,"",INDEX(Input!$1:$1048576,AY$93,$C512*2+6))</f>
        <v>Compact Conventional/Sporty Car (43)</v>
      </c>
      <c r="AZ512" s="41" t="str">
        <f>INDEX(Input!$1:$1048576,AZ$93,$C512*2+6)</f>
        <v>Kia Forte</v>
      </c>
      <c r="BA512" s="3">
        <f>INDEX(Input!$1:$1048576,BA$93,$C512*2+6)</f>
        <v>2020</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19695</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622"/>
        <v>2250</v>
      </c>
      <c r="CJ512" s="16" t="str">
        <f>INDEX(Input!$1:$1048576,CJ$93,$C512*2+6)</f>
        <v>N</v>
      </c>
      <c r="CK512" s="1" t="str">
        <f t="shared" si="1623"/>
        <v>Market</v>
      </c>
      <c r="CL512" s="1" t="str">
        <f t="shared" si="1624"/>
        <v>Market</v>
      </c>
      <c r="CM512" s="1" t="str">
        <f t="shared" si="1625"/>
        <v>Market</v>
      </c>
      <c r="CN512" s="1" t="str">
        <f t="shared" si="1626"/>
        <v>Market</v>
      </c>
      <c r="CO512" s="1" t="str">
        <f t="shared" si="1627"/>
        <v>Market</v>
      </c>
      <c r="CP512" s="304">
        <f t="shared" si="1628"/>
        <v>215</v>
      </c>
      <c r="CQ512" s="1">
        <f t="shared" si="1629"/>
        <v>0</v>
      </c>
      <c r="CR512" s="1">
        <f t="shared" si="1630"/>
        <v>0</v>
      </c>
      <c r="CS512" s="1">
        <f t="shared" si="1631"/>
        <v>0</v>
      </c>
      <c r="CT512" s="1">
        <f t="shared" si="1632"/>
        <v>1.9E-2</v>
      </c>
      <c r="CU512" s="1">
        <f t="shared" si="1633"/>
        <v>3.9E-2</v>
      </c>
      <c r="CV512" s="304">
        <f t="shared" si="1634"/>
        <v>-1098.3618966787526</v>
      </c>
      <c r="CW512" s="20" t="s">
        <v>122</v>
      </c>
      <c r="CX512" s="20" t="s">
        <v>122</v>
      </c>
      <c r="CY512" s="20" t="s">
        <v>122</v>
      </c>
      <c r="CZ512" s="20" t="s">
        <v>122</v>
      </c>
      <c r="DA512" s="20" t="s">
        <v>122</v>
      </c>
      <c r="DB512" s="503">
        <f t="shared" si="1635"/>
        <v>0</v>
      </c>
      <c r="DC512" s="127">
        <v>0</v>
      </c>
      <c r="DD512" s="127">
        <v>0</v>
      </c>
      <c r="DE512" s="127">
        <v>0</v>
      </c>
      <c r="DF512" s="127">
        <v>0</v>
      </c>
      <c r="DG512" s="127">
        <v>0</v>
      </c>
      <c r="DH512" s="127">
        <v>0</v>
      </c>
      <c r="DI512" s="127">
        <v>0</v>
      </c>
      <c r="DJ512" s="127">
        <v>0</v>
      </c>
      <c r="DK512" s="127">
        <v>0</v>
      </c>
      <c r="DL512" s="127">
        <v>0</v>
      </c>
      <c r="DM512" s="304">
        <f>INDEX(Input!$1:$1048576,DM$93,$C512*2+6)</f>
        <v>20731.578947368424</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4.6449397692634412E-2</v>
      </c>
      <c r="DZ512" s="7">
        <v>0</v>
      </c>
      <c r="EA512" s="7">
        <v>0.81072535835527815</v>
      </c>
      <c r="EB512" s="7">
        <v>0</v>
      </c>
      <c r="EC512" s="7">
        <v>0</v>
      </c>
      <c r="ED512" s="7">
        <v>0</v>
      </c>
      <c r="EE512" s="7">
        <v>0</v>
      </c>
      <c r="EF512" s="7">
        <v>0</v>
      </c>
      <c r="EG512" s="7">
        <v>0</v>
      </c>
      <c r="EH512" s="7">
        <v>1.4460784531470742E-2</v>
      </c>
      <c r="EI512" s="7">
        <v>1.8189725606050859E-2</v>
      </c>
      <c r="EJ512" s="7">
        <v>0.26806901234285263</v>
      </c>
      <c r="EK512" s="7">
        <v>0.65292690523507657</v>
      </c>
      <c r="EL512" s="7">
        <v>4.6353572284549123E-2</v>
      </c>
      <c r="EM512" s="7">
        <v>5.3833126316401622E-2</v>
      </c>
      <c r="EN512" s="7">
        <v>4.7389455366426067E-2</v>
      </c>
      <c r="EO512" s="7">
        <v>0.58256997771630747</v>
      </c>
      <c r="EP512" s="7">
        <v>0.25105285881910094</v>
      </c>
      <c r="EQ512" s="7">
        <v>7.2205394115951629E-2</v>
      </c>
      <c r="ER512" s="7">
        <v>4.6782313982214281E-2</v>
      </c>
      <c r="ES512" s="7">
        <v>8.8992117635685888E-2</v>
      </c>
      <c r="ET512" s="7">
        <v>0.14282524395208746</v>
      </c>
      <c r="EU512" s="6">
        <v>2600</v>
      </c>
      <c r="EV512" s="6">
        <v>0</v>
      </c>
      <c r="EW512" s="6">
        <v>2600</v>
      </c>
      <c r="EX512" s="6">
        <v>0</v>
      </c>
      <c r="EY512" s="6">
        <v>2631.7330998295711</v>
      </c>
      <c r="EZ512" s="6">
        <v>-1723.0908300335955</v>
      </c>
      <c r="FA512" s="6">
        <v>0</v>
      </c>
      <c r="FB512" s="6">
        <v>0</v>
      </c>
      <c r="FC512" s="6">
        <v>0</v>
      </c>
      <c r="FD512" s="6">
        <v>0</v>
      </c>
      <c r="FE512" s="6">
        <v>0</v>
      </c>
      <c r="FF512" s="6">
        <v>0</v>
      </c>
      <c r="FG512" s="6">
        <v>0</v>
      </c>
      <c r="FH512" s="6">
        <v>1153.9940823808129</v>
      </c>
      <c r="FI512" s="6">
        <v>1531.4299904380612</v>
      </c>
      <c r="FJ512" s="6">
        <v>2070.7205842538219</v>
      </c>
      <c r="FK512" s="6">
        <v>1746.9903521590431</v>
      </c>
      <c r="FL512" s="6">
        <v>893.91433563489431</v>
      </c>
      <c r="FM512" s="6">
        <v>1781.7330998295708</v>
      </c>
      <c r="FN512" s="6">
        <v>0</v>
      </c>
      <c r="FO512" s="6">
        <v>0</v>
      </c>
      <c r="FP512" s="6">
        <v>0</v>
      </c>
      <c r="FQ512" s="6">
        <v>0</v>
      </c>
      <c r="FR512" s="6">
        <v>0</v>
      </c>
      <c r="FS512" s="6">
        <v>0</v>
      </c>
      <c r="FT512" s="7">
        <v>0.8571747560479126</v>
      </c>
      <c r="FU512" s="7">
        <v>5.3833126316401622E-2</v>
      </c>
      <c r="FV512" s="7">
        <v>8.8992117635685888E-2</v>
      </c>
      <c r="FW512" s="6">
        <v>2600</v>
      </c>
      <c r="FX512" s="6">
        <v>2631.7330998295706</v>
      </c>
      <c r="FY512" s="6">
        <v>-1723.0908300335955</v>
      </c>
      <c r="FZ512" s="6">
        <v>2411.9063952864503</v>
      </c>
      <c r="GA512" s="6">
        <v>2216.9872842754316</v>
      </c>
      <c r="GB512" s="6">
        <v>17478.01271572457</v>
      </c>
      <c r="GC512" s="7">
        <v>7.6138913542514425E-2</v>
      </c>
      <c r="GD512" s="7">
        <v>7.323068101355619E-2</v>
      </c>
      <c r="GE512" s="7"/>
      <c r="GF512" s="7"/>
      <c r="GG512" s="7">
        <v>-3.8196401730034364E-2</v>
      </c>
      <c r="GH512" s="42">
        <v>3.859437528578205</v>
      </c>
      <c r="GI512" s="6">
        <v>7320.0625003304358</v>
      </c>
      <c r="GJ512" s="14">
        <v>0.51074630601039517</v>
      </c>
      <c r="GK512" s="14">
        <v>0.50829519786160948</v>
      </c>
      <c r="GL512" s="14">
        <v>0.48925369398960411</v>
      </c>
      <c r="GM512" s="14">
        <v>0.49170480213839002</v>
      </c>
      <c r="GO512" s="5">
        <v>338.16872463277008</v>
      </c>
      <c r="GP512" s="5">
        <v>288.56568471597211</v>
      </c>
      <c r="GQ512" s="5">
        <v>527.27910984145694</v>
      </c>
      <c r="GR512" s="5">
        <v>404.20319246551543</v>
      </c>
      <c r="GS512" s="5">
        <v>334.50205195691484</v>
      </c>
      <c r="GT512" s="5">
        <v>289.18266033348181</v>
      </c>
      <c r="GU512" s="5">
        <v>254.29573314828914</v>
      </c>
      <c r="GV512" s="39" t="s">
        <v>392</v>
      </c>
      <c r="GW512" s="5">
        <v>468.76388888888891</v>
      </c>
      <c r="GX512" s="5">
        <v>351.57291666666669</v>
      </c>
      <c r="GY512" s="5">
        <v>281.25833333333333</v>
      </c>
      <c r="GZ512" s="5">
        <v>248.18079879493993</v>
      </c>
      <c r="HA512" s="5">
        <v>229.8919505212948</v>
      </c>
      <c r="HB512" s="39">
        <v>261.27058614997981</v>
      </c>
      <c r="HC512" s="5">
        <v>358.50084881396981</v>
      </c>
      <c r="HD512" s="5">
        <v>287.77900980034525</v>
      </c>
      <c r="HE512" s="5">
        <v>285.23787161201437</v>
      </c>
      <c r="HF512" s="5">
        <v>257.54964978663213</v>
      </c>
      <c r="HG512" s="5">
        <v>240.60084178617024</v>
      </c>
      <c r="HH512" s="39">
        <v>286.10269250407032</v>
      </c>
      <c r="HI512" s="16"/>
      <c r="HJ512" s="19" t="str">
        <f t="shared" si="1689"/>
        <v>On</v>
      </c>
      <c r="HK512" s="1" t="str">
        <f t="shared" si="1689"/>
        <v>On</v>
      </c>
      <c r="HL512" s="16"/>
      <c r="HM512" s="639">
        <f t="shared" si="1636"/>
        <v>5.1181272167489952E-2</v>
      </c>
      <c r="HN512" s="639">
        <f t="shared" si="1637"/>
        <v>4.2792051795134348E-3</v>
      </c>
      <c r="HO512" s="639">
        <f t="shared" si="1638"/>
        <v>7.4145241462331068E-3</v>
      </c>
      <c r="HP512" s="644">
        <f>(FT512*$GD512-HM512)/$JF512*INDEX(Input!$1:$1048576,$JG$93,$C512*2+6)</f>
        <v>136.77840585572886</v>
      </c>
      <c r="HQ512" s="644">
        <f>(FU512*$GD512-HN512)/$JF512*INDEX(Input!$1:$1048576,$JG$93,$C512*2+6)</f>
        <v>-3.9766322599071788</v>
      </c>
      <c r="HR512" s="644">
        <f>(FV512*$GD512-HO512)/$JF512*INDEX(Input!$1:$1048576,$JG$93,$C512*2+6)</f>
        <v>-10.592405459205741</v>
      </c>
      <c r="HS512" s="644">
        <f t="shared" si="1639"/>
        <v>-26.028607749247378</v>
      </c>
      <c r="HT512" s="644">
        <f t="shared" si="1640"/>
        <v>18.741339489843075</v>
      </c>
      <c r="HU512" s="644">
        <f t="shared" si="1641"/>
        <v>9.05354389351678</v>
      </c>
      <c r="HV512" s="648">
        <f t="shared" si="1642"/>
        <v>0</v>
      </c>
      <c r="HW512" s="648">
        <f t="shared" si="1643"/>
        <v>0</v>
      </c>
      <c r="HX512" s="648">
        <f t="shared" si="1644"/>
        <v>0</v>
      </c>
      <c r="HY512" s="644">
        <f>INDEX(Input!$1:$1048576,HY$93,$C512*2+6)*INDEX(Input!$1:$1048576,$JG$93,$C512*2+6)</f>
        <v>345</v>
      </c>
      <c r="HZ512" s="644">
        <f>INDEX(Input!$1:$1048576,HZ$93,$C512*2+6)*INDEX(Input!$1:$1048576,$JG$93,$C512*2+6)</f>
        <v>299</v>
      </c>
      <c r="IA512" s="644">
        <f>INDEX(Input!$1:$1048576,IA$93,$C512*2+6)*INDEX(Input!$1:$1048576,$JG$93,$C512*2+6)</f>
        <v>98</v>
      </c>
      <c r="IB512" s="644">
        <f t="shared" si="1668"/>
        <v>455.74979810648153</v>
      </c>
      <c r="IC512" s="644">
        <f t="shared" si="1669"/>
        <v>313.76470722993588</v>
      </c>
      <c r="ID512" s="644">
        <f>IF(AND(INDEX(Input!$1:$1048576,IA$93,$C512*2+7)="TOS",Y512&lt;=INDEX(Y:Y,MATCH(C512*1000+2,A:A))),0,1)*MAX(IA512+HR512+HU512+HX512,0%)</f>
        <v>96.461138434311039</v>
      </c>
      <c r="IE512" s="128">
        <f t="shared" ref="IE512" si="1711">IB512/SUM($IB512:$ID512)</f>
        <v>0.52628477646554184</v>
      </c>
      <c r="IF512" s="128">
        <f t="shared" si="1691"/>
        <v>0.36232509480717767</v>
      </c>
      <c r="IG512" s="128">
        <f t="shared" si="1646"/>
        <v>0.11139012872728049</v>
      </c>
      <c r="IH512" s="21"/>
      <c r="II512" s="19">
        <f t="shared" si="1647"/>
        <v>1200</v>
      </c>
      <c r="IJ512" s="19">
        <f t="shared" si="1648"/>
        <v>2231.5440334087361</v>
      </c>
      <c r="IK512" s="19">
        <f t="shared" si="1649"/>
        <v>-2048.0908300335955</v>
      </c>
      <c r="IL512" s="19">
        <f t="shared" si="1671"/>
        <v>1400</v>
      </c>
      <c r="IM512" s="19">
        <f t="shared" si="1650"/>
        <v>400.18906642083448</v>
      </c>
      <c r="IN512" s="19">
        <f t="shared" si="1651"/>
        <v>325</v>
      </c>
      <c r="IO512" s="39">
        <f t="shared" si="1652"/>
        <v>0</v>
      </c>
      <c r="IP512" s="39">
        <f t="shared" si="1653"/>
        <v>0</v>
      </c>
      <c r="IQ512" s="39">
        <f t="shared" si="1654"/>
        <v>0</v>
      </c>
      <c r="IR512" s="39">
        <v>0</v>
      </c>
      <c r="IS512" s="39">
        <v>0</v>
      </c>
      <c r="IT512" s="39">
        <v>0</v>
      </c>
      <c r="IU512" s="39">
        <v>0</v>
      </c>
      <c r="IV512" s="39">
        <v>0</v>
      </c>
      <c r="IW512" s="39">
        <v>0</v>
      </c>
      <c r="IX512" s="39">
        <f>INDEX(Input!$1:$1048576,IX$93,$C512*2+6)+INDEX(Input!$1:$1048576,IX$94,$C512*2+6)</f>
        <v>1600</v>
      </c>
      <c r="IY512" s="39">
        <f>INDEX(Input!$1:$1048576,IY$93,$C512*2+6)+INDEX(Input!$1:$1048576,IY$94,$C512*2+6)</f>
        <v>2503.5492916397525</v>
      </c>
      <c r="IZ512" s="39">
        <f>INDEX(Input!$1:$1048576,IZ$93,$C512*2+6)+INDEX(Input!$1:$1048576,IZ$94,$C512*2+6)</f>
        <v>5413.7109265464023</v>
      </c>
      <c r="JA512" s="19">
        <f t="shared" si="1672"/>
        <v>3000</v>
      </c>
      <c r="JB512" s="19">
        <f t="shared" si="1673"/>
        <v>2903.738358060587</v>
      </c>
      <c r="JC512" s="19">
        <f t="shared" si="1674"/>
        <v>5738.7109265464023</v>
      </c>
      <c r="JD512" s="19">
        <f t="shared" si="1675"/>
        <v>3270.1873541128207</v>
      </c>
      <c r="JE512" s="21"/>
      <c r="JF512" s="1">
        <f t="shared" si="1655"/>
        <v>6.2875001493236493E-2</v>
      </c>
      <c r="JG512" s="15">
        <f>INDEX(Input!$1:$1048576,JG$93,$C512*2+6)/(1+VLOOKUP(C512*1000+INDEX(Input!$1:$1048576,JG$93+1,$C512*2+6),$A:$KK,$JK$92,FALSE))</f>
        <v>742</v>
      </c>
      <c r="JH512" s="1">
        <f t="shared" si="1676"/>
        <v>0.16470265247522364</v>
      </c>
      <c r="JI512" s="1">
        <f t="shared" si="1677"/>
        <v>2.3804253829009117E-3</v>
      </c>
      <c r="JJ512" s="1">
        <f t="shared" si="1678"/>
        <v>0</v>
      </c>
      <c r="JK512" s="1">
        <f t="shared" ref="JK512" si="1712">SUM(JH512:JJ512)</f>
        <v>0.16708307785812457</v>
      </c>
      <c r="JL512" s="15">
        <f t="shared" si="1680"/>
        <v>123.97564377072842</v>
      </c>
      <c r="JM512" s="15">
        <f t="shared" si="1706"/>
        <v>865.97564377072842</v>
      </c>
      <c r="JN512" s="21"/>
      <c r="JO512" s="19">
        <f>INDEX(Input!$1:$1048576,JO$93,$C512*2+6)</f>
        <v>5908.5</v>
      </c>
      <c r="JP512" s="19">
        <f>INDEX(Input!$1:$1048576,JP$93,$C512*2+6)</f>
        <v>2467.7963733178344</v>
      </c>
      <c r="JQ512" s="39">
        <f t="shared" si="1692"/>
        <v>2638.3126458871793</v>
      </c>
      <c r="JR512" s="39">
        <f t="shared" si="1709"/>
        <v>802.39098079498626</v>
      </c>
      <c r="JS512" s="39">
        <f t="shared" si="1694"/>
        <v>2.8319025992287448</v>
      </c>
      <c r="JT512" s="39">
        <f t="shared" si="1682"/>
        <v>1.0007976902269118</v>
      </c>
      <c r="JU512" s="385">
        <f>(JQ512*JM512-INDEX(Input!$1:$1048576,Input!A$18,$C512*2+6)*JL512*INDEX(Input!$1:$1048576,Input!A$19,$C512*2+6))/1000000</f>
        <v>2.2847144919906039</v>
      </c>
      <c r="JV512" s="39">
        <f t="shared" si="1658"/>
        <v>-0.2682875990075626</v>
      </c>
      <c r="JW512" s="1">
        <f t="shared" si="1707"/>
        <v>-0.10508710508053998</v>
      </c>
      <c r="JX512" s="19">
        <f t="shared" si="1698"/>
        <v>8072.5347317229052</v>
      </c>
      <c r="JZ512" s="341"/>
      <c r="KA512" s="342"/>
      <c r="KB512" s="469">
        <f t="shared" si="1695"/>
        <v>2.4623520912331753</v>
      </c>
      <c r="KI512" s="473">
        <f t="shared" si="1696"/>
        <v>110.74979810648148</v>
      </c>
      <c r="KJ512" s="473">
        <f t="shared" si="1683"/>
        <v>14.76470722993588</v>
      </c>
      <c r="KK512" s="473">
        <f t="shared" si="1684"/>
        <v>-1.5388615656889613</v>
      </c>
      <c r="KN512" s="544">
        <f t="shared" si="1699"/>
        <v>5002</v>
      </c>
      <c r="KO512" s="541">
        <f t="shared" si="1659"/>
        <v>8.4434579062389714E-2</v>
      </c>
      <c r="KP512" s="546">
        <f t="shared" si="1660"/>
        <v>526.34052449768285</v>
      </c>
      <c r="KQ512" s="546">
        <f t="shared" si="1661"/>
        <v>411.41490796111157</v>
      </c>
      <c r="KR512" s="548">
        <f t="shared" si="1662"/>
        <v>2.7008366643713484</v>
      </c>
      <c r="KS512" s="548">
        <f t="shared" si="1663"/>
        <v>3.4552947863575199</v>
      </c>
      <c r="KT512" s="473">
        <f t="shared" si="1697"/>
        <v>389.37465324503302</v>
      </c>
      <c r="KU512" s="663">
        <f t="shared" si="1685"/>
        <v>7.3717622592406986</v>
      </c>
      <c r="KV512" s="117" t="e">
        <f>RANK(KU512,$KU$109:$KU$200)</f>
        <v>#N/A</v>
      </c>
    </row>
    <row r="513" spans="1:308" s="26" customFormat="1" ht="15">
      <c r="A513" s="561">
        <f t="shared" si="1664"/>
        <v>5013</v>
      </c>
      <c r="B513" s="561">
        <f t="shared" si="1686"/>
        <v>13</v>
      </c>
      <c r="C513" s="561">
        <f t="shared" si="1687"/>
        <v>5</v>
      </c>
      <c r="D513" s="561" t="str">
        <f t="shared" si="1708"/>
        <v xml:space="preserve">0/0/0.9/3.9, </v>
      </c>
      <c r="E513" s="115">
        <f>INDEX(Input!$1:$1048576,E$93,$C513*2+MIN($B513,2)+5)</f>
        <v>1250</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8.9999999999999993E-3</v>
      </c>
      <c r="W513" s="863">
        <f>IFERROR(MAX(0,INDEX(Input!$1:$1048576,W$93,$C513*2+MIN($B513,2)+5)-0%,),"Market")</f>
        <v>3.9E-2</v>
      </c>
      <c r="X513" s="476" t="str">
        <f>INDEX(Input!$1:$1048576,X$93,$C513*2+MIN($B513,2)+5)</f>
        <v>Y</v>
      </c>
      <c r="Y513" s="150">
        <f>INDEX(Input!$1:$1048576,Y$93,$C513*2+MIN($B513,2)+5)</f>
        <v>-1098.3618966787526</v>
      </c>
      <c r="Z513" s="30">
        <f>INDEX(Input!$1:$1048576,Z$93,$C513*2+MIN($B513,2)+5)</f>
        <v>0</v>
      </c>
      <c r="AA513" s="475">
        <f>INDEX(Input!$1:$1048576,AA$93,$C513*2+MIN($B513,2)+5)</f>
        <v>500</v>
      </c>
      <c r="AB513" s="118">
        <f>INDEX(Input!$1:$1048576,AB$93,$C513*2+MIN($B513,2)+5)</f>
        <v>0.43</v>
      </c>
      <c r="AC513" s="115">
        <f>INDEX(Input!$1:$1048576,AC$93,$C513*2+MIN($B513,2)+5)</f>
        <v>0</v>
      </c>
      <c r="AD513" s="118">
        <f>INDEX(Input!$1:$1048576,AD$93,$C513*2+MIN($B513,2)+5)</f>
        <v>0.35</v>
      </c>
      <c r="AE513" s="115">
        <f>INDEX(Input!$1:$1048576,AE$93,$C513*2+MIN($B513,2)+5)</f>
        <v>0</v>
      </c>
      <c r="AF513" s="118">
        <f>INDEX(Input!$1:$1048576,AF$93,$C513*2+MIN($B513,2)+5)</f>
        <v>1</v>
      </c>
      <c r="AG513" s="115">
        <f>INDEX(Input!$1:$1048576,AG$93,$C513*2+MIN($B513,2)+5)</f>
        <v>0</v>
      </c>
      <c r="AH513" s="118">
        <f>INDEX(Input!$1:$1048576,AH$93,$C513*2+MIN($B513,2)+5)</f>
        <v>1</v>
      </c>
      <c r="AI513" s="115">
        <f>INDEX(Input!$1:$1048576,AI$93,$C513*2+MIN($B513,2)+5)</f>
        <v>0</v>
      </c>
      <c r="AJ513" s="118">
        <f>INDEX(Input!$1:$1048576,AJ$93,$C513*2+MIN($B513,2)+5)</f>
        <v>0.35</v>
      </c>
      <c r="AK513" s="150">
        <f>ROUND(INDEX(Input!$1:$1048576,AK$93,$C512*2+MIN($B513,1)+5)+(Y513-VLOOKUP($C513*1000+1,$A:$HH,Y$92,FALSE)),0)</f>
        <v>4592</v>
      </c>
      <c r="AL513" s="150">
        <f>ROUND(INDEX(Input!$1:$1048576,AL$93,$C512*2+MIN($B513,1)+5)-(Y513-VLOOKUP($C513*1000+1,$A:$HH,Y$92,FALSE))/36,0)</f>
        <v>4743</v>
      </c>
      <c r="AM513" s="32" t="str">
        <f t="shared" si="1665"/>
        <v>std/std/std/std</v>
      </c>
      <c r="AN513" s="32" t="str">
        <f t="shared" si="1666"/>
        <v>$0 + 0/0/0/0.9/3.9</v>
      </c>
      <c r="AO513" s="32" t="str">
        <f t="shared" si="1667"/>
        <v>0/0/0/0.9/3.9</v>
      </c>
      <c r="AP513" s="32" t="str">
        <f t="shared" si="1621"/>
        <v>0/0/0.9/3.9</v>
      </c>
      <c r="AQ513" s="536">
        <f t="shared" si="1620"/>
        <v>0.43692469992035787</v>
      </c>
      <c r="AR513" s="32"/>
      <c r="AS513" s="302"/>
      <c r="AT513" s="3">
        <f t="shared" si="1688"/>
        <v>13</v>
      </c>
      <c r="AU513" s="41" t="s">
        <v>121</v>
      </c>
      <c r="AV513" s="41" t="s">
        <v>116</v>
      </c>
      <c r="AW513" s="41" t="str">
        <f>INDEX(Input!$1:$1048576,AW$93,$C513*2+6)</f>
        <v>Kia</v>
      </c>
      <c r="AX513" s="41" t="str">
        <f>INDEX(Input!$1:$1048576,AX$93,$C513*2+6)</f>
        <v>Kia-LR - R2</v>
      </c>
      <c r="AY513" s="41" t="str">
        <f>IF(LEN(D513)=0,"",INDEX(Input!$1:$1048576,AY$93,$C513*2+6))</f>
        <v>Compact Conventional/Sporty Car (43)</v>
      </c>
      <c r="AZ513" s="41" t="str">
        <f>INDEX(Input!$1:$1048576,AZ$93,$C513*2+6)</f>
        <v>Kia Forte</v>
      </c>
      <c r="BA513" s="3">
        <f>INDEX(Input!$1:$1048576,BA$93,$C513*2+6)</f>
        <v>2020</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19695</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622"/>
        <v>1250</v>
      </c>
      <c r="CJ513" s="16" t="str">
        <f>INDEX(Input!$1:$1048576,CJ$93,$C513*2+6)</f>
        <v>N</v>
      </c>
      <c r="CK513" s="1" t="str">
        <f t="shared" si="1623"/>
        <v>Market</v>
      </c>
      <c r="CL513" s="1" t="str">
        <f t="shared" si="1624"/>
        <v>Market</v>
      </c>
      <c r="CM513" s="1" t="str">
        <f t="shared" si="1625"/>
        <v>Market</v>
      </c>
      <c r="CN513" s="1" t="str">
        <f t="shared" si="1626"/>
        <v>Market</v>
      </c>
      <c r="CO513" s="1" t="str">
        <f t="shared" si="1627"/>
        <v>Market</v>
      </c>
      <c r="CP513" s="304">
        <f t="shared" si="1628"/>
        <v>215</v>
      </c>
      <c r="CQ513" s="1">
        <f t="shared" si="1629"/>
        <v>0</v>
      </c>
      <c r="CR513" s="1">
        <f t="shared" si="1630"/>
        <v>0</v>
      </c>
      <c r="CS513" s="1">
        <f t="shared" si="1631"/>
        <v>0</v>
      </c>
      <c r="CT513" s="1">
        <f t="shared" si="1632"/>
        <v>8.9999999999999993E-3</v>
      </c>
      <c r="CU513" s="1">
        <f t="shared" si="1633"/>
        <v>3.9E-2</v>
      </c>
      <c r="CV513" s="304">
        <f t="shared" si="1634"/>
        <v>-1098.3618966787526</v>
      </c>
      <c r="CW513" s="20" t="s">
        <v>122</v>
      </c>
      <c r="CX513" s="20" t="s">
        <v>122</v>
      </c>
      <c r="CY513" s="20" t="s">
        <v>122</v>
      </c>
      <c r="CZ513" s="20" t="s">
        <v>122</v>
      </c>
      <c r="DA513" s="20" t="s">
        <v>122</v>
      </c>
      <c r="DB513" s="503">
        <f t="shared" si="1635"/>
        <v>0</v>
      </c>
      <c r="DC513" s="127">
        <v>0</v>
      </c>
      <c r="DD513" s="127">
        <v>0</v>
      </c>
      <c r="DE513" s="127">
        <v>0</v>
      </c>
      <c r="DF513" s="127">
        <v>0</v>
      </c>
      <c r="DG513" s="127">
        <v>0</v>
      </c>
      <c r="DH513" s="127">
        <v>0</v>
      </c>
      <c r="DI513" s="127">
        <v>0</v>
      </c>
      <c r="DJ513" s="127">
        <v>0</v>
      </c>
      <c r="DK513" s="127">
        <v>0</v>
      </c>
      <c r="DL513" s="127">
        <v>0</v>
      </c>
      <c r="DM513" s="304">
        <f>INDEX(Input!$1:$1048576,DM$93,$C513*2+6)</f>
        <v>20731.578947368424</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4.2660858655637304E-2</v>
      </c>
      <c r="DZ513" s="7">
        <v>0</v>
      </c>
      <c r="EA513" s="7">
        <v>0.75460772851436575</v>
      </c>
      <c r="EB513" s="7">
        <v>0</v>
      </c>
      <c r="EC513" s="7">
        <v>0</v>
      </c>
      <c r="ED513" s="7">
        <v>0</v>
      </c>
      <c r="EE513" s="7">
        <v>0</v>
      </c>
      <c r="EF513" s="7">
        <v>0</v>
      </c>
      <c r="EG513" s="7">
        <v>0</v>
      </c>
      <c r="EH513" s="7">
        <v>1.0389982675459304E-2</v>
      </c>
      <c r="EI513" s="7">
        <v>1.3086226189349444E-2</v>
      </c>
      <c r="EJ513" s="7">
        <v>0.19246019031837105</v>
      </c>
      <c r="EK513" s="7">
        <v>0.75069406082154522</v>
      </c>
      <c r="EL513" s="7">
        <v>3.3369539995274873E-2</v>
      </c>
      <c r="EM513" s="7">
        <v>9.2622670790468764E-2</v>
      </c>
      <c r="EN513" s="7">
        <v>4.7387774965257923E-2</v>
      </c>
      <c r="EO513" s="7">
        <v>0.58258163411302</v>
      </c>
      <c r="EP513" s="7">
        <v>0.25107513069620879</v>
      </c>
      <c r="EQ513" s="7">
        <v>7.2209891682056729E-2</v>
      </c>
      <c r="ER513" s="7">
        <v>4.674556854345685E-2</v>
      </c>
      <c r="ES513" s="7">
        <v>0.11010874203952835</v>
      </c>
      <c r="ET513" s="7">
        <v>0.20273141282999696</v>
      </c>
      <c r="EU513" s="6">
        <v>1600</v>
      </c>
      <c r="EV513" s="6">
        <v>0</v>
      </c>
      <c r="EW513" s="6">
        <v>1600</v>
      </c>
      <c r="EX513" s="6">
        <v>0</v>
      </c>
      <c r="EY513" s="6">
        <v>2975.9107218438712</v>
      </c>
      <c r="EZ513" s="6">
        <v>-1723.0908300335955</v>
      </c>
      <c r="FA513" s="6">
        <v>0</v>
      </c>
      <c r="FB513" s="6">
        <v>0</v>
      </c>
      <c r="FC513" s="6">
        <v>0</v>
      </c>
      <c r="FD513" s="6">
        <v>0</v>
      </c>
      <c r="FE513" s="6">
        <v>0</v>
      </c>
      <c r="FF513" s="6">
        <v>0</v>
      </c>
      <c r="FG513" s="6">
        <v>0</v>
      </c>
      <c r="FH513" s="6">
        <v>1153.9862001754002</v>
      </c>
      <c r="FI513" s="6">
        <v>1531.4299904380618</v>
      </c>
      <c r="FJ513" s="6">
        <v>2070.7205842538228</v>
      </c>
      <c r="FK513" s="6">
        <v>2218.639369850101</v>
      </c>
      <c r="FL513" s="6">
        <v>893.91433563489409</v>
      </c>
      <c r="FM513" s="6">
        <v>2125.9107218438712</v>
      </c>
      <c r="FN513" s="6">
        <v>0</v>
      </c>
      <c r="FO513" s="6">
        <v>0</v>
      </c>
      <c r="FP513" s="6">
        <v>0</v>
      </c>
      <c r="FQ513" s="6">
        <v>0</v>
      </c>
      <c r="FR513" s="6">
        <v>0</v>
      </c>
      <c r="FS513" s="6">
        <v>0</v>
      </c>
      <c r="FT513" s="7">
        <v>0.79726858717000304</v>
      </c>
      <c r="FU513" s="7">
        <v>9.2622670790468764E-2</v>
      </c>
      <c r="FV513" s="7">
        <v>0.11010874203952835</v>
      </c>
      <c r="FW513" s="6">
        <v>1599.9999999999998</v>
      </c>
      <c r="FX513" s="6">
        <v>2975.9107218438712</v>
      </c>
      <c r="FY513" s="6">
        <v>-1723.0908300335955</v>
      </c>
      <c r="FZ513" s="6">
        <v>2411.9063952864503</v>
      </c>
      <c r="GA513" s="6">
        <v>1361.5391748483298</v>
      </c>
      <c r="GB513" s="6">
        <v>18333.460825151669</v>
      </c>
      <c r="GC513" s="7">
        <v>7.6138913542514425E-2</v>
      </c>
      <c r="GD513" s="7">
        <v>6.6705137840561632E-2</v>
      </c>
      <c r="GE513" s="7"/>
      <c r="GF513" s="7"/>
      <c r="GG513" s="7">
        <v>-0.12390215808221593</v>
      </c>
      <c r="GH513" s="42">
        <v>2.3232379647295014</v>
      </c>
      <c r="GI513" s="6">
        <v>9838.931632703212</v>
      </c>
      <c r="GJ513" s="14">
        <v>0.51074630601039539</v>
      </c>
      <c r="GK513" s="14">
        <v>0.50829519786160959</v>
      </c>
      <c r="GL513" s="14">
        <v>0.48925369398960428</v>
      </c>
      <c r="GM513" s="14">
        <v>0.49170480213839002</v>
      </c>
      <c r="GO513" s="5">
        <v>338.16872463277008</v>
      </c>
      <c r="GP513" s="5">
        <v>307.64377699166363</v>
      </c>
      <c r="GQ513" s="5">
        <v>527.27910984145694</v>
      </c>
      <c r="GR513" s="5">
        <v>404.20319246551543</v>
      </c>
      <c r="GS513" s="5">
        <v>334.50205195691484</v>
      </c>
      <c r="GT513" s="5">
        <v>289.18266033348181</v>
      </c>
      <c r="GU513" s="5">
        <v>254.29573314828914</v>
      </c>
      <c r="GV513" s="39" t="s">
        <v>392</v>
      </c>
      <c r="GW513" s="5">
        <v>468.76388888888891</v>
      </c>
      <c r="GX513" s="5">
        <v>351.57291666666669</v>
      </c>
      <c r="GY513" s="5">
        <v>281.25833333333333</v>
      </c>
      <c r="GZ513" s="5">
        <v>240.8550698915011</v>
      </c>
      <c r="HA513" s="5">
        <v>229.8919505212948</v>
      </c>
      <c r="HB513" s="39">
        <v>252.08210287976712</v>
      </c>
      <c r="HC513" s="5">
        <v>358.50084881396981</v>
      </c>
      <c r="HD513" s="5">
        <v>287.77900980034525</v>
      </c>
      <c r="HE513" s="5">
        <v>285.23787161201437</v>
      </c>
      <c r="HF513" s="5">
        <v>257.54964978663213</v>
      </c>
      <c r="HG513" s="5">
        <v>240.60084178617024</v>
      </c>
      <c r="HH513" s="39">
        <v>286.10411469103042</v>
      </c>
      <c r="HI513" s="16"/>
      <c r="HJ513" s="19" t="str">
        <f t="shared" si="1689"/>
        <v>On</v>
      </c>
      <c r="HK513" s="1" t="str">
        <f t="shared" si="1689"/>
        <v>On</v>
      </c>
      <c r="HL513" s="16"/>
      <c r="HM513" s="639">
        <f t="shared" si="1636"/>
        <v>5.1181272167489952E-2</v>
      </c>
      <c r="HN513" s="639">
        <f t="shared" si="1637"/>
        <v>4.2792051795134348E-3</v>
      </c>
      <c r="HO513" s="639">
        <f t="shared" si="1638"/>
        <v>7.4145241462331068E-3</v>
      </c>
      <c r="HP513" s="644">
        <f>(FT513*$GD513-HM513)/$JF513*INDEX(Input!$1:$1048576,$JG$93,$C513*2+6)</f>
        <v>23.609924147688531</v>
      </c>
      <c r="HQ513" s="644">
        <f>(FU513*$GD513-HN513)/$JF513*INDEX(Input!$1:$1048576,$JG$93,$C513*2+6)</f>
        <v>22.412858462581397</v>
      </c>
      <c r="HR513" s="644">
        <f>(FV513*$GD513-HO513)/$JF513*INDEX(Input!$1:$1048576,$JG$93,$C513*2+6)</f>
        <v>-0.82260603419505862</v>
      </c>
      <c r="HS513" s="644">
        <f t="shared" si="1639"/>
        <v>-7.5687388054950722</v>
      </c>
      <c r="HT513" s="644">
        <f t="shared" si="1640"/>
        <v>39.814659120387084</v>
      </c>
      <c r="HU513" s="644">
        <f t="shared" si="1641"/>
        <v>6.8774902351526013</v>
      </c>
      <c r="HV513" s="648">
        <f t="shared" si="1642"/>
        <v>0</v>
      </c>
      <c r="HW513" s="648">
        <f t="shared" si="1643"/>
        <v>0</v>
      </c>
      <c r="HX513" s="648">
        <f t="shared" si="1644"/>
        <v>0</v>
      </c>
      <c r="HY513" s="644">
        <f>INDEX(Input!$1:$1048576,HY$93,$C513*2+6)*INDEX(Input!$1:$1048576,$JG$93,$C513*2+6)</f>
        <v>345</v>
      </c>
      <c r="HZ513" s="644">
        <f>INDEX(Input!$1:$1048576,HZ$93,$C513*2+6)*INDEX(Input!$1:$1048576,$JG$93,$C513*2+6)</f>
        <v>299</v>
      </c>
      <c r="IA513" s="644">
        <f>INDEX(Input!$1:$1048576,IA$93,$C513*2+6)*INDEX(Input!$1:$1048576,$JG$93,$C513*2+6)</f>
        <v>98</v>
      </c>
      <c r="IB513" s="644">
        <f t="shared" si="1668"/>
        <v>361.04118534219344</v>
      </c>
      <c r="IC513" s="644">
        <f t="shared" si="1669"/>
        <v>361.22751758296852</v>
      </c>
      <c r="ID513" s="644">
        <f>IF(AND(INDEX(Input!$1:$1048576,IA$93,$C513*2+7)="TOS",Y513&lt;=INDEX(Y:Y,MATCH(C513*1000+2,A:A))),0,1)*MAX(IA513+HR513+HU513+HX513,0%)</f>
        <v>104.05488420095755</v>
      </c>
      <c r="IE513" s="128">
        <f t="shared" ref="IE513:IE514" si="1713">IB513/SUM($IB513:$ID513)</f>
        <v>0.43692469992035787</v>
      </c>
      <c r="IF513" s="128">
        <f t="shared" si="1691"/>
        <v>0.43715019540866062</v>
      </c>
      <c r="IG513" s="128">
        <f t="shared" si="1646"/>
        <v>0.12592510467098156</v>
      </c>
      <c r="IH513" s="21"/>
      <c r="II513" s="19">
        <f t="shared" si="1647"/>
        <v>1200</v>
      </c>
      <c r="IJ513" s="19">
        <f t="shared" si="1648"/>
        <v>2231.5440334087361</v>
      </c>
      <c r="IK513" s="19">
        <f t="shared" si="1649"/>
        <v>-2048.0908300335955</v>
      </c>
      <c r="IL513" s="19">
        <f t="shared" si="1671"/>
        <v>399.99999999999977</v>
      </c>
      <c r="IM513" s="19">
        <f t="shared" si="1650"/>
        <v>744.36668843513507</v>
      </c>
      <c r="IN513" s="19">
        <f t="shared" si="1651"/>
        <v>325</v>
      </c>
      <c r="IO513" s="39">
        <f t="shared" si="1652"/>
        <v>0</v>
      </c>
      <c r="IP513" s="39">
        <f t="shared" si="1653"/>
        <v>0</v>
      </c>
      <c r="IQ513" s="39">
        <f t="shared" si="1654"/>
        <v>0</v>
      </c>
      <c r="IR513" s="39">
        <v>0</v>
      </c>
      <c r="IS513" s="39">
        <v>0</v>
      </c>
      <c r="IT513" s="39">
        <v>0</v>
      </c>
      <c r="IU513" s="39">
        <v>0</v>
      </c>
      <c r="IV513" s="39">
        <v>0</v>
      </c>
      <c r="IW513" s="39">
        <v>0</v>
      </c>
      <c r="IX513" s="39">
        <f>INDEX(Input!$1:$1048576,IX$93,$C513*2+6)+INDEX(Input!$1:$1048576,IX$94,$C513*2+6)</f>
        <v>1600</v>
      </c>
      <c r="IY513" s="39">
        <f>INDEX(Input!$1:$1048576,IY$93,$C513*2+6)+INDEX(Input!$1:$1048576,IY$94,$C513*2+6)</f>
        <v>2503.5492916397525</v>
      </c>
      <c r="IZ513" s="39">
        <f>INDEX(Input!$1:$1048576,IZ$93,$C513*2+6)+INDEX(Input!$1:$1048576,IZ$94,$C513*2+6)</f>
        <v>5413.7109265464023</v>
      </c>
      <c r="JA513" s="19">
        <f t="shared" si="1672"/>
        <v>1999.9999999999998</v>
      </c>
      <c r="JB513" s="19">
        <f t="shared" si="1673"/>
        <v>3247.9159800748876</v>
      </c>
      <c r="JC513" s="19">
        <f t="shared" si="1674"/>
        <v>5738.7109265464023</v>
      </c>
      <c r="JD513" s="19">
        <f t="shared" si="1675"/>
        <v>3016.3242793032255</v>
      </c>
      <c r="JE513" s="21"/>
      <c r="JF513" s="1">
        <f t="shared" si="1655"/>
        <v>6.2875001493236493E-2</v>
      </c>
      <c r="JG513" s="15">
        <f>INDEX(Input!$1:$1048576,JG$93,$C513*2+6)/(1+VLOOKUP(C513*1000+INDEX(Input!$1:$1048576,JG$93+1,$C513*2+6),$A:$KK,$JK$92,FALSE))</f>
        <v>742</v>
      </c>
      <c r="JH513" s="1">
        <f t="shared" si="1676"/>
        <v>6.0916680021664241E-2</v>
      </c>
      <c r="JI513" s="1">
        <f t="shared" si="1677"/>
        <v>5.2726968396286537E-2</v>
      </c>
      <c r="JJ513" s="1">
        <f>SUM(HV513:HX513)/SUM(HY513:IA513)</f>
        <v>0</v>
      </c>
      <c r="JK513" s="1">
        <f t="shared" ref="JK513:JK514" si="1714">SUM(JH513:JJ513)</f>
        <v>0.11364364841795077</v>
      </c>
      <c r="JL513" s="15">
        <f t="shared" si="1680"/>
        <v>84.323587126119477</v>
      </c>
      <c r="JM513" s="15">
        <f t="shared" si="1706"/>
        <v>826.32358712611949</v>
      </c>
      <c r="JN513" s="21"/>
      <c r="JO513" s="19">
        <f>INDEX(Input!$1:$1048576,JO$93,$C513*2+6)</f>
        <v>5908.5</v>
      </c>
      <c r="JP513" s="19">
        <f>INDEX(Input!$1:$1048576,JP$93,$C513*2+6)</f>
        <v>2467.7963733178344</v>
      </c>
      <c r="JQ513" s="39">
        <f t="shared" si="1692"/>
        <v>2892.1757206967745</v>
      </c>
      <c r="JR513" s="39">
        <f t="shared" si="1709"/>
        <v>548.52790598539104</v>
      </c>
      <c r="JS513" s="39">
        <f t="shared" si="1694"/>
        <v>2.4924598984094484</v>
      </c>
      <c r="JT513" s="39">
        <f t="shared" si="1682"/>
        <v>0.6613549894076155</v>
      </c>
      <c r="JU513" s="385">
        <f>(JQ513*JM513-INDEX(Input!$1:$1048576,Input!A$18,$C513*2+6)*JL513*INDEX(Input!$1:$1048576,Input!A$19,$C513*2+6))/1000000</f>
        <v>2.3898730161252288</v>
      </c>
      <c r="JV513" s="39">
        <f>JU513-(JO513-JP513)*JG513/1000000</f>
        <v>-0.16312907487293771</v>
      </c>
      <c r="JW513" s="1">
        <f t="shared" si="1707"/>
        <v>-6.3896960934002961E-2</v>
      </c>
      <c r="JX513" s="19">
        <f t="shared" si="1698"/>
        <v>7843.060428850742</v>
      </c>
      <c r="JZ513" s="341"/>
      <c r="KA513" s="342"/>
      <c r="KB513" s="469">
        <f t="shared" si="1695"/>
        <v>2.4623520912331753</v>
      </c>
      <c r="KI513" s="473">
        <f t="shared" si="1696"/>
        <v>16.041185342193444</v>
      </c>
      <c r="KJ513" s="473">
        <f t="shared" si="1683"/>
        <v>62.227517582968517</v>
      </c>
      <c r="KK513" s="473">
        <f t="shared" si="1684"/>
        <v>6.0548842009575452</v>
      </c>
      <c r="KN513" s="544">
        <f t="shared" si="1699"/>
        <v>5002</v>
      </c>
      <c r="KO513" s="541">
        <f t="shared" si="1659"/>
        <v>3.4779531988410994E-2</v>
      </c>
      <c r="KP513" s="546">
        <f t="shared" si="1660"/>
        <v>150.52457548408415</v>
      </c>
      <c r="KQ513" s="546">
        <f t="shared" si="1661"/>
        <v>157.55183315151635</v>
      </c>
      <c r="KR513" s="548">
        <f t="shared" si="1662"/>
        <v>3.8901030804444781</v>
      </c>
      <c r="KS513" s="548">
        <f t="shared" si="1663"/>
        <v>3.7165934731467609</v>
      </c>
      <c r="KT513" s="473">
        <f t="shared" si="1697"/>
        <v>389.37465324503302</v>
      </c>
      <c r="KU513" s="663">
        <f t="shared" si="1685"/>
        <v>7.3272621982731732</v>
      </c>
      <c r="KV513" s="117" t="e">
        <f>RANK(KU513,$KU$109:$KU$200)</f>
        <v>#N/A</v>
      </c>
    </row>
    <row r="514" spans="1:308" s="26" customFormat="1" ht="15">
      <c r="A514" s="561">
        <f t="shared" si="1664"/>
        <v>5014</v>
      </c>
      <c r="B514" s="561">
        <f t="shared" si="1686"/>
        <v>14</v>
      </c>
      <c r="C514" s="561">
        <f t="shared" si="1687"/>
        <v>5</v>
      </c>
      <c r="D514" s="561" t="str">
        <f t="shared" si="1708"/>
        <v xml:space="preserve">0/0/0/3.9, </v>
      </c>
      <c r="E514" s="115">
        <f>INDEX(Input!$1:$1048576,E$93,$C514*2+MIN($B514,2)+5)</f>
        <v>1250</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63">
        <f>IFERROR(MAX(0,INDEX(Input!$1:$1048576,W$93,$C514*2+MIN($B514,2)+5)-0%,),"Market")</f>
        <v>3.9E-2</v>
      </c>
      <c r="X514" s="476" t="str">
        <f>INDEX(Input!$1:$1048576,X$93,$C514*2+MIN($B514,2)+5)</f>
        <v>Y</v>
      </c>
      <c r="Y514" s="150">
        <f>INDEX(Input!$1:$1048576,Y$93,$C514*2+MIN($B514,2)+5)</f>
        <v>-1098.3618966787526</v>
      </c>
      <c r="Z514" s="30">
        <f>INDEX(Input!$1:$1048576,Z$93,$C514*2+MIN($B514,2)+5)</f>
        <v>0</v>
      </c>
      <c r="AA514" s="475">
        <f>INDEX(Input!$1:$1048576,AA$93,$C514*2+MIN($B514,2)+5)</f>
        <v>500</v>
      </c>
      <c r="AB514" s="118">
        <f>INDEX(Input!$1:$1048576,AB$93,$C514*2+MIN($B514,2)+5)</f>
        <v>0.43</v>
      </c>
      <c r="AC514" s="115">
        <f>INDEX(Input!$1:$1048576,AC$93,$C514*2+MIN($B514,2)+5)</f>
        <v>0</v>
      </c>
      <c r="AD514" s="118">
        <f>INDEX(Input!$1:$1048576,AD$93,$C514*2+MIN($B514,2)+5)</f>
        <v>0.35</v>
      </c>
      <c r="AE514" s="115">
        <f>INDEX(Input!$1:$1048576,AE$93,$C514*2+MIN($B514,2)+5)</f>
        <v>0</v>
      </c>
      <c r="AF514" s="118">
        <f>INDEX(Input!$1:$1048576,AF$93,$C514*2+MIN($B514,2)+5)</f>
        <v>1</v>
      </c>
      <c r="AG514" s="115">
        <f>INDEX(Input!$1:$1048576,AG$93,$C514*2+MIN($B514,2)+5)</f>
        <v>0</v>
      </c>
      <c r="AH514" s="118">
        <f>INDEX(Input!$1:$1048576,AH$93,$C514*2+MIN($B514,2)+5)</f>
        <v>1</v>
      </c>
      <c r="AI514" s="115">
        <f>INDEX(Input!$1:$1048576,AI$93,$C514*2+MIN($B514,2)+5)</f>
        <v>0</v>
      </c>
      <c r="AJ514" s="118">
        <f>INDEX(Input!$1:$1048576,AJ$93,$C514*2+MIN($B514,2)+5)</f>
        <v>0.35</v>
      </c>
      <c r="AK514" s="150">
        <f>ROUND(INDEX(Input!$1:$1048576,AK$93,$C513*2+MIN($B514,1)+5)+(Y514-VLOOKUP($C514*1000+1,$A:$HH,Y$92,FALSE)),0)</f>
        <v>4592</v>
      </c>
      <c r="AL514" s="150">
        <f>ROUND(INDEX(Input!$1:$1048576,AL$93,$C513*2+MIN($B514,1)+5)-(Y514-VLOOKUP($C514*1000+1,$A:$HH,Y$92,FALSE))/36,0)</f>
        <v>4743</v>
      </c>
      <c r="AM514" s="32" t="str">
        <f t="shared" si="1665"/>
        <v>std/std/std/std</v>
      </c>
      <c r="AN514" s="32" t="str">
        <f t="shared" si="1666"/>
        <v>$0 + 0/0/0/0/3.9</v>
      </c>
      <c r="AO514" s="32" t="str">
        <f t="shared" si="1667"/>
        <v>0/0/0/0/3.9</v>
      </c>
      <c r="AP514" s="32" t="str">
        <f t="shared" si="1621"/>
        <v>0/0/0/3.9</v>
      </c>
      <c r="AQ514" s="536">
        <f t="shared" si="1620"/>
        <v>0.40601158049080949</v>
      </c>
      <c r="AR514" s="32"/>
      <c r="AS514" s="302"/>
      <c r="AT514" s="3">
        <f t="shared" si="1688"/>
        <v>14</v>
      </c>
      <c r="AU514" s="41" t="s">
        <v>121</v>
      </c>
      <c r="AV514" s="41" t="s">
        <v>116</v>
      </c>
      <c r="AW514" s="41" t="str">
        <f>INDEX(Input!$1:$1048576,AW$93,$C514*2+6)</f>
        <v>Kia</v>
      </c>
      <c r="AX514" s="41" t="str">
        <f>INDEX(Input!$1:$1048576,AX$93,$C514*2+6)</f>
        <v>Kia-LR - R2</v>
      </c>
      <c r="AY514" s="41" t="str">
        <f>IF(LEN(D514)=0,"",INDEX(Input!$1:$1048576,AY$93,$C514*2+6))</f>
        <v>Compact Conventional/Sporty Car (43)</v>
      </c>
      <c r="AZ514" s="41" t="str">
        <f>INDEX(Input!$1:$1048576,AZ$93,$C514*2+6)</f>
        <v>Kia Forte</v>
      </c>
      <c r="BA514" s="3">
        <f>INDEX(Input!$1:$1048576,BA$93,$C514*2+6)</f>
        <v>2020</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19695</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622"/>
        <v>1250</v>
      </c>
      <c r="CJ514" s="16" t="str">
        <f>INDEX(Input!$1:$1048576,CJ$93,$C514*2+6)</f>
        <v>N</v>
      </c>
      <c r="CK514" s="1" t="str">
        <f t="shared" si="1623"/>
        <v>Market</v>
      </c>
      <c r="CL514" s="1" t="str">
        <f t="shared" si="1624"/>
        <v>Market</v>
      </c>
      <c r="CM514" s="1" t="str">
        <f t="shared" si="1625"/>
        <v>Market</v>
      </c>
      <c r="CN514" s="1" t="str">
        <f t="shared" si="1626"/>
        <v>Market</v>
      </c>
      <c r="CO514" s="1" t="str">
        <f t="shared" si="1627"/>
        <v>Market</v>
      </c>
      <c r="CP514" s="304">
        <f t="shared" si="1628"/>
        <v>215</v>
      </c>
      <c r="CQ514" s="1">
        <f t="shared" si="1629"/>
        <v>0</v>
      </c>
      <c r="CR514" s="1">
        <f t="shared" si="1630"/>
        <v>0</v>
      </c>
      <c r="CS514" s="1">
        <f t="shared" si="1631"/>
        <v>0</v>
      </c>
      <c r="CT514" s="1">
        <f t="shared" si="1632"/>
        <v>0</v>
      </c>
      <c r="CU514" s="1">
        <f t="shared" si="1633"/>
        <v>3.9E-2</v>
      </c>
      <c r="CV514" s="304">
        <f t="shared" si="1634"/>
        <v>-1098.3618966787526</v>
      </c>
      <c r="CW514" s="20" t="s">
        <v>122</v>
      </c>
      <c r="CX514" s="20" t="s">
        <v>122</v>
      </c>
      <c r="CY514" s="20" t="s">
        <v>122</v>
      </c>
      <c r="CZ514" s="20" t="s">
        <v>122</v>
      </c>
      <c r="DA514" s="20" t="s">
        <v>122</v>
      </c>
      <c r="DB514" s="503">
        <f t="shared" si="1635"/>
        <v>0</v>
      </c>
      <c r="DC514" s="127">
        <v>0</v>
      </c>
      <c r="DD514" s="127">
        <v>0</v>
      </c>
      <c r="DE514" s="127">
        <v>0</v>
      </c>
      <c r="DF514" s="127">
        <v>0</v>
      </c>
      <c r="DG514" s="127">
        <v>0</v>
      </c>
      <c r="DH514" s="127">
        <v>0</v>
      </c>
      <c r="DI514" s="127">
        <v>0</v>
      </c>
      <c r="DJ514" s="127">
        <v>0</v>
      </c>
      <c r="DK514" s="127">
        <v>0</v>
      </c>
      <c r="DL514" s="127">
        <v>0</v>
      </c>
      <c r="DM514" s="304">
        <f>INDEX(Input!$1:$1048576,DM$93,$C514*2+6)</f>
        <v>20731.578947368424</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4.1199756236939659E-2</v>
      </c>
      <c r="DZ514" s="7">
        <v>0</v>
      </c>
      <c r="EA514" s="7">
        <v>0.72851135179831183</v>
      </c>
      <c r="EB514" s="7">
        <v>0</v>
      </c>
      <c r="EC514" s="7">
        <v>0</v>
      </c>
      <c r="ED514" s="7">
        <v>0</v>
      </c>
      <c r="EE514" s="7">
        <v>0</v>
      </c>
      <c r="EF514" s="7">
        <v>0</v>
      </c>
      <c r="EG514" s="7">
        <v>0</v>
      </c>
      <c r="EH514" s="7">
        <v>7.4656964997244788E-3</v>
      </c>
      <c r="EI514" s="7">
        <v>9.4065637271825049E-3</v>
      </c>
      <c r="EJ514" s="7">
        <v>0.13826338806957911</v>
      </c>
      <c r="EK514" s="7">
        <v>0.82087513900822406</v>
      </c>
      <c r="EL514" s="7">
        <v>2.3989212695289721E-2</v>
      </c>
      <c r="EM514" s="7">
        <v>0.12417889697965592</v>
      </c>
      <c r="EN514" s="7">
        <v>4.7386465804219208E-2</v>
      </c>
      <c r="EO514" s="7">
        <v>0.5825825482257635</v>
      </c>
      <c r="EP514" s="7">
        <v>0.25108460318484083</v>
      </c>
      <c r="EQ514" s="7">
        <v>7.2211611792884725E-2</v>
      </c>
      <c r="ER514" s="7">
        <v>4.6734770992290925E-2</v>
      </c>
      <c r="ES514" s="7">
        <v>0.10610999498509258</v>
      </c>
      <c r="ET514" s="7">
        <v>0.23028889196474853</v>
      </c>
      <c r="EU514" s="6">
        <v>1600</v>
      </c>
      <c r="EV514" s="6">
        <v>0</v>
      </c>
      <c r="EW514" s="6">
        <v>1600</v>
      </c>
      <c r="EX514" s="6">
        <v>0</v>
      </c>
      <c r="EY514" s="6">
        <v>3344.1006765400334</v>
      </c>
      <c r="EZ514" s="6">
        <v>-1723.0908300335955</v>
      </c>
      <c r="FA514" s="6">
        <v>0</v>
      </c>
      <c r="FB514" s="6">
        <v>0</v>
      </c>
      <c r="FC514" s="6">
        <v>0</v>
      </c>
      <c r="FD514" s="6">
        <v>0</v>
      </c>
      <c r="FE514" s="6">
        <v>0</v>
      </c>
      <c r="FF514" s="6">
        <v>0</v>
      </c>
      <c r="FG514" s="6">
        <v>0</v>
      </c>
      <c r="FH514" s="6">
        <v>1153.9844222642637</v>
      </c>
      <c r="FI514" s="6">
        <v>1531.4299904380625</v>
      </c>
      <c r="FJ514" s="6">
        <v>2070.7205842538219</v>
      </c>
      <c r="FK514" s="6">
        <v>2635.3956133202919</v>
      </c>
      <c r="FL514" s="6">
        <v>893.91433563489375</v>
      </c>
      <c r="FM514" s="6">
        <v>2494.1006765400334</v>
      </c>
      <c r="FN514" s="6">
        <v>0</v>
      </c>
      <c r="FO514" s="6">
        <v>0</v>
      </c>
      <c r="FP514" s="6">
        <v>0</v>
      </c>
      <c r="FQ514" s="6">
        <v>0</v>
      </c>
      <c r="FR514" s="6">
        <v>0</v>
      </c>
      <c r="FS514" s="6">
        <v>0</v>
      </c>
      <c r="FT514" s="7">
        <v>0.76971110803525145</v>
      </c>
      <c r="FU514" s="7">
        <v>0.12417889697965592</v>
      </c>
      <c r="FV514" s="7">
        <v>0.10610999498509258</v>
      </c>
      <c r="FW514" s="6">
        <v>1600</v>
      </c>
      <c r="FX514" s="6">
        <v>3344.1006765400334</v>
      </c>
      <c r="FY514" s="6">
        <v>-1723.0908300335955</v>
      </c>
      <c r="FZ514" s="6">
        <v>2411.9063952864503</v>
      </c>
      <c r="GA514" s="6">
        <v>1463.9673469243412</v>
      </c>
      <c r="GB514" s="6">
        <v>18231.032653075657</v>
      </c>
      <c r="GC514" s="7">
        <v>7.6138913542514425E-2</v>
      </c>
      <c r="GD514" s="7">
        <v>6.7730892716039923E-2</v>
      </c>
      <c r="GE514" s="7"/>
      <c r="GF514" s="7"/>
      <c r="GG514" s="7">
        <v>-0.11043000793253549</v>
      </c>
      <c r="GH514" s="42">
        <v>2.2943658772040325</v>
      </c>
      <c r="GI514" s="6">
        <v>10048.03852566798</v>
      </c>
      <c r="GJ514" s="14">
        <v>0.51074630601039561</v>
      </c>
      <c r="GK514" s="14">
        <v>0.50829519786160959</v>
      </c>
      <c r="GL514" s="14">
        <v>0.48925369398960433</v>
      </c>
      <c r="GM514" s="14">
        <v>0.49170480213839002</v>
      </c>
      <c r="GO514" s="5">
        <v>338.16872463277008</v>
      </c>
      <c r="GP514" s="5">
        <v>307.64377699166363</v>
      </c>
      <c r="GQ514" s="5">
        <v>527.27910984145694</v>
      </c>
      <c r="GR514" s="5">
        <v>404.20319246551543</v>
      </c>
      <c r="GS514" s="5">
        <v>334.50205195691484</v>
      </c>
      <c r="GT514" s="5">
        <v>289.18266033348181</v>
      </c>
      <c r="GU514" s="5">
        <v>254.29573314828914</v>
      </c>
      <c r="GV514" s="39" t="s">
        <v>392</v>
      </c>
      <c r="GW514" s="5">
        <v>468.76388888888891</v>
      </c>
      <c r="GX514" s="5">
        <v>351.57291666666669</v>
      </c>
      <c r="GY514" s="5">
        <v>281.25833333333333</v>
      </c>
      <c r="GZ514" s="5">
        <v>234.38194444444446</v>
      </c>
      <c r="HA514" s="5">
        <v>229.8919505212948</v>
      </c>
      <c r="HB514" s="39">
        <v>243.6077101841627</v>
      </c>
      <c r="HC514" s="5">
        <v>358.50084881396981</v>
      </c>
      <c r="HD514" s="5">
        <v>287.77900980034525</v>
      </c>
      <c r="HE514" s="5">
        <v>285.23787161201437</v>
      </c>
      <c r="HF514" s="5">
        <v>257.54964978663213</v>
      </c>
      <c r="HG514" s="5">
        <v>240.60084178617024</v>
      </c>
      <c r="HH514" s="39">
        <v>286.10445544468485</v>
      </c>
      <c r="HI514" s="16"/>
      <c r="HJ514" s="19" t="str">
        <f t="shared" si="1689"/>
        <v>On</v>
      </c>
      <c r="HK514" s="1" t="str">
        <f t="shared" si="1689"/>
        <v>On</v>
      </c>
      <c r="HL514" s="16"/>
      <c r="HM514" s="639">
        <f t="shared" si="1636"/>
        <v>5.1181272167489952E-2</v>
      </c>
      <c r="HN514" s="639">
        <f t="shared" si="1637"/>
        <v>4.2792051795134348E-3</v>
      </c>
      <c r="HO514" s="639">
        <f t="shared" si="1638"/>
        <v>7.4145241462331068E-3</v>
      </c>
      <c r="HP514" s="644">
        <f>(FT514*$GD514-HM514)/$JF514*INDEX(Input!$1:$1048576,$JG$93,$C514*2+6)</f>
        <v>11.234125353664945</v>
      </c>
      <c r="HQ514" s="644">
        <f>(FU514*$GD514-HN514)/$JF514*INDEX(Input!$1:$1048576,$JG$93,$C514*2+6)</f>
        <v>48.757127082268696</v>
      </c>
      <c r="HR514" s="644">
        <f>(FV514*$GD514-HO514)/$JF514*INDEX(Input!$1:$1048576,$JG$93,$C514*2+6)</f>
        <v>-2.6859450522395742</v>
      </c>
      <c r="HS514" s="644">
        <f t="shared" si="1639"/>
        <v>-7.6458764051586119</v>
      </c>
      <c r="HT514" s="644">
        <f t="shared" si="1640"/>
        <v>59.953198128219888</v>
      </c>
      <c r="HU514" s="644">
        <f t="shared" si="1641"/>
        <v>6.9546278348161366</v>
      </c>
      <c r="HV514" s="648">
        <f t="shared" si="1642"/>
        <v>0</v>
      </c>
      <c r="HW514" s="648">
        <f t="shared" si="1643"/>
        <v>0</v>
      </c>
      <c r="HX514" s="648">
        <f t="shared" si="1644"/>
        <v>0</v>
      </c>
      <c r="HY514" s="644">
        <f>INDEX(Input!$1:$1048576,HY$93,$C514*2+6)*INDEX(Input!$1:$1048576,$JG$93,$C514*2+6)</f>
        <v>345</v>
      </c>
      <c r="HZ514" s="644">
        <f>INDEX(Input!$1:$1048576,HZ$93,$C514*2+6)*INDEX(Input!$1:$1048576,$JG$93,$C514*2+6)</f>
        <v>299</v>
      </c>
      <c r="IA514" s="644">
        <f>INDEX(Input!$1:$1048576,IA$93,$C514*2+6)*INDEX(Input!$1:$1048576,$JG$93,$C514*2+6)</f>
        <v>98</v>
      </c>
      <c r="IB514" s="644">
        <f t="shared" si="1668"/>
        <v>348.58824894850636</v>
      </c>
      <c r="IC514" s="644">
        <f t="shared" si="1669"/>
        <v>407.71032521048858</v>
      </c>
      <c r="ID514" s="644">
        <f>IF(AND(INDEX(Input!$1:$1048576,IA$93,$C514*2+7)="TOS",Y514&lt;=INDEX(Y:Y,MATCH(C514*1000+2,A:A))),0,1)*MAX(IA514+HR514+HU514+HX514,0%)</f>
        <v>102.26868278257656</v>
      </c>
      <c r="IE514" s="128">
        <f t="shared" si="1713"/>
        <v>0.40601158049080949</v>
      </c>
      <c r="IF514" s="128">
        <f t="shared" si="1691"/>
        <v>0.47487290240120894</v>
      </c>
      <c r="IG514" s="128">
        <f t="shared" si="1646"/>
        <v>0.11911551710798156</v>
      </c>
      <c r="IH514" s="21"/>
      <c r="II514" s="19">
        <f t="shared" si="1647"/>
        <v>1200</v>
      </c>
      <c r="IJ514" s="19">
        <f t="shared" si="1648"/>
        <v>2231.5440334087361</v>
      </c>
      <c r="IK514" s="19">
        <f t="shared" si="1649"/>
        <v>-2048.0908300335955</v>
      </c>
      <c r="IL514" s="19">
        <f t="shared" si="1671"/>
        <v>400</v>
      </c>
      <c r="IM514" s="19">
        <f t="shared" si="1650"/>
        <v>1112.5566431312973</v>
      </c>
      <c r="IN514" s="19">
        <f t="shared" si="1651"/>
        <v>325</v>
      </c>
      <c r="IO514" s="39">
        <f t="shared" si="1652"/>
        <v>0</v>
      </c>
      <c r="IP514" s="39">
        <f t="shared" si="1653"/>
        <v>0</v>
      </c>
      <c r="IQ514" s="39">
        <f t="shared" si="1654"/>
        <v>0</v>
      </c>
      <c r="IR514" s="39">
        <v>0</v>
      </c>
      <c r="IS514" s="39">
        <v>0</v>
      </c>
      <c r="IT514" s="39">
        <v>0</v>
      </c>
      <c r="IU514" s="39">
        <v>0</v>
      </c>
      <c r="IV514" s="39">
        <v>0</v>
      </c>
      <c r="IW514" s="39">
        <v>0</v>
      </c>
      <c r="IX514" s="39">
        <f>INDEX(Input!$1:$1048576,IX$93,$C514*2+6)+INDEX(Input!$1:$1048576,IX$94,$C514*2+6)</f>
        <v>1600</v>
      </c>
      <c r="IY514" s="39">
        <f>INDEX(Input!$1:$1048576,IY$93,$C514*2+6)+INDEX(Input!$1:$1048576,IY$94,$C514*2+6)</f>
        <v>2503.5492916397525</v>
      </c>
      <c r="IZ514" s="39">
        <f>INDEX(Input!$1:$1048576,IZ$93,$C514*2+6)+INDEX(Input!$1:$1048576,IZ$94,$C514*2+6)</f>
        <v>5413.7109265464023</v>
      </c>
      <c r="JA514" s="19">
        <f t="shared" si="1672"/>
        <v>2000</v>
      </c>
      <c r="JB514" s="19">
        <f t="shared" si="1673"/>
        <v>3616.1059347710498</v>
      </c>
      <c r="JC514" s="19">
        <f t="shared" si="1674"/>
        <v>5738.7109265464023</v>
      </c>
      <c r="JD514" s="19">
        <f t="shared" si="1675"/>
        <v>3212.7834011653831</v>
      </c>
      <c r="JE514" s="21"/>
      <c r="JF514" s="1">
        <f t="shared" si="1655"/>
        <v>6.2875001493236493E-2</v>
      </c>
      <c r="JG514" s="15">
        <f>INDEX(Input!$1:$1048576,JG$93,$C514*2+6)/(1+VLOOKUP(C514*1000+INDEX(Input!$1:$1048576,JG$93+1,$C514*2+6),$A:$KK,$JK$92,FALSE))</f>
        <v>742</v>
      </c>
      <c r="JH514" s="1">
        <f t="shared" si="1676"/>
        <v>7.7230872484762889E-2</v>
      </c>
      <c r="JI514" s="1">
        <f t="shared" si="1677"/>
        <v>7.9867856547004609E-2</v>
      </c>
      <c r="JJ514" s="1">
        <f t="shared" ref="JJ514:JJ550" si="1715">SUM(HV514:HX514)/SUM(HY514:IA514)</f>
        <v>0</v>
      </c>
      <c r="JK514" s="1">
        <f t="shared" si="1714"/>
        <v>0.1570987290317675</v>
      </c>
      <c r="JL514" s="15">
        <f t="shared" si="1680"/>
        <v>116.56725694157149</v>
      </c>
      <c r="JM514" s="15">
        <f t="shared" si="1706"/>
        <v>858.56725694157149</v>
      </c>
      <c r="JN514" s="21"/>
      <c r="JO514" s="19">
        <f>INDEX(Input!$1:$1048576,JO$93,$C514*2+6)</f>
        <v>5908.5</v>
      </c>
      <c r="JP514" s="19">
        <f>INDEX(Input!$1:$1048576,JP$93,$C514*2+6)</f>
        <v>2467.7963733178344</v>
      </c>
      <c r="JQ514" s="39">
        <f t="shared" si="1692"/>
        <v>2695.7165988346169</v>
      </c>
      <c r="JR514" s="39">
        <f t="shared" si="1709"/>
        <v>744.98702784754869</v>
      </c>
      <c r="JS514" s="39">
        <f t="shared" si="1694"/>
        <v>2.7583906318859754</v>
      </c>
      <c r="JT514" s="39">
        <f t="shared" si="1682"/>
        <v>0.92728572288414257</v>
      </c>
      <c r="JU514" s="385">
        <f>(JQ514*JM514-INDEX(Input!$1:$1048576,Input!A$18,$C514*2+6)*JL514*INDEX(Input!$1:$1048576,Input!A$19,$C514*2+6))/1000000</f>
        <v>2.3144540057532996</v>
      </c>
      <c r="JV514" s="39">
        <f t="shared" ref="JV514:JV550" si="1716">JU514-(JO514-JP514)*JG514/1000000</f>
        <v>-0.23854808524486693</v>
      </c>
      <c r="JW514" s="1">
        <f t="shared" si="1707"/>
        <v>-9.3438264733892162E-2</v>
      </c>
      <c r="JX514" s="19">
        <f t="shared" si="1698"/>
        <v>7954.9416123683677</v>
      </c>
      <c r="JZ514" s="341"/>
      <c r="KA514" s="342"/>
      <c r="KB514" s="469">
        <f t="shared" si="1695"/>
        <v>2.4623520912331753</v>
      </c>
      <c r="KI514" s="473">
        <f t="shared" si="1696"/>
        <v>3.5882489485063616</v>
      </c>
      <c r="KJ514" s="473">
        <f t="shared" si="1683"/>
        <v>108.71032521048858</v>
      </c>
      <c r="KK514" s="473">
        <f t="shared" si="1684"/>
        <v>4.2686827825765619</v>
      </c>
      <c r="KN514" s="544">
        <f t="shared" si="1699"/>
        <v>5002</v>
      </c>
      <c r="KO514" s="541">
        <f t="shared" si="1659"/>
        <v>7.5157284821611769E-2</v>
      </c>
      <c r="KP514" s="546">
        <f t="shared" si="1660"/>
        <v>338.35712358211163</v>
      </c>
      <c r="KQ514" s="546">
        <f t="shared" si="1661"/>
        <v>354.01095501367399</v>
      </c>
      <c r="KR514" s="548">
        <f t="shared" si="1662"/>
        <v>3.7397325529603291</v>
      </c>
      <c r="KS514" s="548">
        <f t="shared" si="1663"/>
        <v>3.5743672100123796</v>
      </c>
      <c r="KT514" s="473">
        <f t="shared" si="1697"/>
        <v>389.37465324503302</v>
      </c>
      <c r="KU514" s="663">
        <f t="shared" si="1685"/>
        <v>7.386842529722963</v>
      </c>
      <c r="KV514" s="117" t="e">
        <f t="shared" ref="KV514:KV518" si="1717">RANK(KU514,$KU$109:$KU$200)</f>
        <v>#N/A</v>
      </c>
    </row>
    <row r="515" spans="1:308" s="26" customFormat="1" ht="15">
      <c r="A515" s="561">
        <f t="shared" si="1664"/>
        <v>5015</v>
      </c>
      <c r="B515" s="561">
        <f t="shared" si="1686"/>
        <v>15</v>
      </c>
      <c r="C515" s="561">
        <f t="shared" si="1687"/>
        <v>5</v>
      </c>
      <c r="D515" s="561" t="str">
        <f t="shared" si="1708"/>
        <v xml:space="preserve">500 Combo, </v>
      </c>
      <c r="E515" s="115">
        <f>INDEX(Input!$1:$1048576,E$93,$C515*2+MIN($B515,2)+5)</f>
        <v>1250</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1.9E-2</v>
      </c>
      <c r="W515" s="863">
        <f>IFERROR(MAX(0,INDEX(Input!$1:$1048576,W$93,$C515*2+MIN($B515,2)+5)-0%,),"Market")</f>
        <v>3.9E-2</v>
      </c>
      <c r="X515" s="476" t="str">
        <f>INDEX(Input!$1:$1048576,X$93,$C515*2+MIN($B515,2)+5)</f>
        <v>Y</v>
      </c>
      <c r="Y515" s="150">
        <f>INDEX(Input!$1:$1048576,Y$93,$C515*2+MIN($B515,2)+5)</f>
        <v>-1098.3618966787526</v>
      </c>
      <c r="Z515" s="30">
        <f>INDEX(Input!$1:$1048576,Z$93,$C515*2+MIN($B515,2)+5)</f>
        <v>0</v>
      </c>
      <c r="AA515" s="475">
        <f>INDEX(Input!$1:$1048576,AA$93,$C515*2+MIN($B515,2)+5)</f>
        <v>500</v>
      </c>
      <c r="AB515" s="118">
        <f>INDEX(Input!$1:$1048576,AB$93,$C515*2+MIN($B515,2)+5)</f>
        <v>0.43</v>
      </c>
      <c r="AC515" s="115">
        <f>INDEX(Input!$1:$1048576,AC$93,$C515*2+MIN($B515,2)+5)</f>
        <v>0</v>
      </c>
      <c r="AD515" s="118">
        <f>INDEX(Input!$1:$1048576,AD$93,$C515*2+MIN($B515,2)+5)</f>
        <v>0.35</v>
      </c>
      <c r="AE515" s="115">
        <f>INDEX(Input!$1:$1048576,AE$93,$C515*2+MIN($B515,2)+5)</f>
        <v>0</v>
      </c>
      <c r="AF515" s="118">
        <f>INDEX(Input!$1:$1048576,AF$93,$C515*2+MIN($B515,2)+5)</f>
        <v>1</v>
      </c>
      <c r="AG515" s="115">
        <f>INDEX(Input!$1:$1048576,AG$93,$C515*2+MIN($B515,2)+5)</f>
        <v>0</v>
      </c>
      <c r="AH515" s="118">
        <f>INDEX(Input!$1:$1048576,AH$93,$C515*2+MIN($B515,2)+5)</f>
        <v>1</v>
      </c>
      <c r="AI515" s="115">
        <f>INDEX(Input!$1:$1048576,AI$93,$C515*2+MIN($B515,2)+5)</f>
        <v>0</v>
      </c>
      <c r="AJ515" s="118">
        <f>INDEX(Input!$1:$1048576,AJ$93,$C515*2+MIN($B515,2)+5)</f>
        <v>0.35</v>
      </c>
      <c r="AK515" s="150">
        <f>ROUND(INDEX(Input!$1:$1048576,AK$93,$C514*2+MIN($B515,1)+5)+(Y515-VLOOKUP($C515*1000+1,$A:$HH,Y$92,FALSE)),0)</f>
        <v>4592</v>
      </c>
      <c r="AL515" s="150">
        <f>ROUND(INDEX(Input!$1:$1048576,AL$93,$C514*2+MIN($B515,1)+5)-(Y515-VLOOKUP($C515*1000+1,$A:$HH,Y$92,FALSE))/36,0)</f>
        <v>4743</v>
      </c>
      <c r="AM515" s="32" t="str">
        <f t="shared" si="1665"/>
        <v>std/std/std/std</v>
      </c>
      <c r="AN515" s="32" t="str">
        <f t="shared" si="1666"/>
        <v>$500 + 0/0/0/1.9/3.9</v>
      </c>
      <c r="AO515" s="32" t="str">
        <f t="shared" si="1667"/>
        <v>0/0/0/1.9/3.9</v>
      </c>
      <c r="AP515" s="32" t="str">
        <f t="shared" si="1621"/>
        <v>0/0.9/1.9/3.9</v>
      </c>
      <c r="AQ515" s="536">
        <f t="shared" si="1620"/>
        <v>0.44144310723289082</v>
      </c>
      <c r="AR515" s="32"/>
      <c r="AS515" s="302"/>
      <c r="AT515" s="3">
        <f t="shared" si="1688"/>
        <v>15</v>
      </c>
      <c r="AU515" s="41" t="s">
        <v>121</v>
      </c>
      <c r="AV515" s="41" t="s">
        <v>116</v>
      </c>
      <c r="AW515" s="41" t="str">
        <f>INDEX(Input!$1:$1048576,AW$93,$C515*2+6)</f>
        <v>Kia</v>
      </c>
      <c r="AX515" s="41" t="str">
        <f>INDEX(Input!$1:$1048576,AX$93,$C515*2+6)</f>
        <v>Kia-LR - R2</v>
      </c>
      <c r="AY515" s="41" t="str">
        <f>IF(LEN(D515)=0,"",INDEX(Input!$1:$1048576,AY$93,$C515*2+6))</f>
        <v>Compact Conventional/Sporty Car (43)</v>
      </c>
      <c r="AZ515" s="41" t="str">
        <f>INDEX(Input!$1:$1048576,AZ$93,$C515*2+6)</f>
        <v>Kia Forte</v>
      </c>
      <c r="BA515" s="3">
        <f>INDEX(Input!$1:$1048576,BA$93,$C515*2+6)</f>
        <v>2020</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19695</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622"/>
        <v>1250</v>
      </c>
      <c r="CJ515" s="16" t="str">
        <f>INDEX(Input!$1:$1048576,CJ$93,$C515*2+6)</f>
        <v>N</v>
      </c>
      <c r="CK515" s="1" t="str">
        <f t="shared" si="1623"/>
        <v>Market</v>
      </c>
      <c r="CL515" s="1" t="str">
        <f t="shared" si="1624"/>
        <v>Market</v>
      </c>
      <c r="CM515" s="1" t="str">
        <f t="shared" si="1625"/>
        <v>Market</v>
      </c>
      <c r="CN515" s="1" t="str">
        <f t="shared" si="1626"/>
        <v>Market</v>
      </c>
      <c r="CO515" s="1" t="str">
        <f t="shared" si="1627"/>
        <v>Market</v>
      </c>
      <c r="CP515" s="304">
        <f t="shared" si="1628"/>
        <v>715</v>
      </c>
      <c r="CQ515" s="1">
        <f t="shared" si="1629"/>
        <v>0</v>
      </c>
      <c r="CR515" s="1">
        <f t="shared" si="1630"/>
        <v>0</v>
      </c>
      <c r="CS515" s="1">
        <f t="shared" si="1631"/>
        <v>0</v>
      </c>
      <c r="CT515" s="1">
        <f t="shared" si="1632"/>
        <v>1.9E-2</v>
      </c>
      <c r="CU515" s="1">
        <f t="shared" si="1633"/>
        <v>3.9E-2</v>
      </c>
      <c r="CV515" s="304">
        <f t="shared" si="1634"/>
        <v>-1098.3618966787526</v>
      </c>
      <c r="CW515" s="20" t="s">
        <v>122</v>
      </c>
      <c r="CX515" s="20" t="s">
        <v>122</v>
      </c>
      <c r="CY515" s="20" t="s">
        <v>122</v>
      </c>
      <c r="CZ515" s="20" t="s">
        <v>122</v>
      </c>
      <c r="DA515" s="20" t="s">
        <v>122</v>
      </c>
      <c r="DB515" s="503">
        <f t="shared" si="1635"/>
        <v>0</v>
      </c>
      <c r="DC515" s="127">
        <v>0</v>
      </c>
      <c r="DD515" s="127">
        <v>0</v>
      </c>
      <c r="DE515" s="127">
        <v>0</v>
      </c>
      <c r="DF515" s="127">
        <v>0</v>
      </c>
      <c r="DG515" s="127">
        <v>0</v>
      </c>
      <c r="DH515" s="127">
        <v>0</v>
      </c>
      <c r="DI515" s="127">
        <v>0</v>
      </c>
      <c r="DJ515" s="127">
        <v>0</v>
      </c>
      <c r="DK515" s="127">
        <v>0</v>
      </c>
      <c r="DL515" s="127">
        <v>0</v>
      </c>
      <c r="DM515" s="304">
        <f>INDEX(Input!$1:$1048576,DM$93,$C515*2+6)</f>
        <v>20731.578947368424</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4.3374799374253627E-2</v>
      </c>
      <c r="DZ515" s="7">
        <v>0</v>
      </c>
      <c r="EA515" s="7">
        <v>0.76611124937700703</v>
      </c>
      <c r="EB515" s="7">
        <v>0</v>
      </c>
      <c r="EC515" s="7">
        <v>0</v>
      </c>
      <c r="ED515" s="7">
        <v>0</v>
      </c>
      <c r="EE515" s="7">
        <v>0</v>
      </c>
      <c r="EF515" s="7">
        <v>0</v>
      </c>
      <c r="EG515" s="7">
        <v>0</v>
      </c>
      <c r="EH515" s="7">
        <v>1.4443852351764102E-2</v>
      </c>
      <c r="EI515" s="7">
        <v>1.818918419432957E-2</v>
      </c>
      <c r="EJ515" s="7">
        <v>0.26757426442874427</v>
      </c>
      <c r="EK515" s="7">
        <v>0.6534100211945939</v>
      </c>
      <c r="EL515" s="7">
        <v>4.6382677830568035E-2</v>
      </c>
      <c r="EM515" s="7">
        <v>7.8460085466390675E-2</v>
      </c>
      <c r="EN515" s="7">
        <v>4.7388413260555956E-2</v>
      </c>
      <c r="EO515" s="7">
        <v>0.58258142115257316</v>
      </c>
      <c r="EP515" s="7">
        <v>0.25107073679951203</v>
      </c>
      <c r="EQ515" s="7">
        <v>7.2209103854948109E-2</v>
      </c>
      <c r="ER515" s="7">
        <v>4.6750324932411207E-2</v>
      </c>
      <c r="ES515" s="7">
        <v>0.11205386578234856</v>
      </c>
      <c r="ET515" s="7">
        <v>0.19051395124873935</v>
      </c>
      <c r="EU515" s="6">
        <v>1600</v>
      </c>
      <c r="EV515" s="6">
        <v>0</v>
      </c>
      <c r="EW515" s="6">
        <v>1600</v>
      </c>
      <c r="EX515" s="6">
        <v>0</v>
      </c>
      <c r="EY515" s="6">
        <v>3131.5581626052408</v>
      </c>
      <c r="EZ515" s="6">
        <v>-1723.0908300335955</v>
      </c>
      <c r="FA515" s="6">
        <v>0</v>
      </c>
      <c r="FB515" s="6">
        <v>0</v>
      </c>
      <c r="FC515" s="6">
        <v>0</v>
      </c>
      <c r="FD515" s="6">
        <v>0</v>
      </c>
      <c r="FE515" s="6">
        <v>0</v>
      </c>
      <c r="FF515" s="6">
        <v>0</v>
      </c>
      <c r="FG515" s="6">
        <v>0</v>
      </c>
      <c r="FH515" s="6">
        <v>1153.9871209192477</v>
      </c>
      <c r="FI515" s="6">
        <v>1531.4299904380623</v>
      </c>
      <c r="FJ515" s="6">
        <v>2070.7205842538215</v>
      </c>
      <c r="FK515" s="6">
        <v>1746.9903521590443</v>
      </c>
      <c r="FL515" s="6">
        <v>893.91433563489363</v>
      </c>
      <c r="FM515" s="6">
        <v>1781.5581626052408</v>
      </c>
      <c r="FN515" s="6">
        <v>0</v>
      </c>
      <c r="FO515" s="6">
        <v>0</v>
      </c>
      <c r="FP515" s="6">
        <v>0</v>
      </c>
      <c r="FQ515" s="6">
        <v>0</v>
      </c>
      <c r="FR515" s="6">
        <v>0</v>
      </c>
      <c r="FS515" s="6">
        <v>0</v>
      </c>
      <c r="FT515" s="7">
        <v>0.80948604875126062</v>
      </c>
      <c r="FU515" s="7">
        <v>7.8460085466390675E-2</v>
      </c>
      <c r="FV515" s="7">
        <v>0.11205386578234856</v>
      </c>
      <c r="FW515" s="6">
        <v>1600</v>
      </c>
      <c r="FX515" s="6">
        <v>3131.5581626052408</v>
      </c>
      <c r="FY515" s="6">
        <v>-1723.0908300335955</v>
      </c>
      <c r="FZ515" s="6">
        <v>2411.9063952864503</v>
      </c>
      <c r="GA515" s="6">
        <v>1347.8010104836173</v>
      </c>
      <c r="GB515" s="6">
        <v>18347.198989516382</v>
      </c>
      <c r="GC515" s="7">
        <v>7.6138913542514425E-2</v>
      </c>
      <c r="GD515" s="7">
        <v>6.6223211134354143E-2</v>
      </c>
      <c r="GE515" s="7"/>
      <c r="GF515" s="7"/>
      <c r="GG515" s="7">
        <v>-0.13023172970052369</v>
      </c>
      <c r="GH515" s="42">
        <v>2.4103946404961238</v>
      </c>
      <c r="GI515" s="6">
        <v>9518.6621919315821</v>
      </c>
      <c r="GJ515" s="14">
        <v>0.5107463060103955</v>
      </c>
      <c r="GK515" s="14">
        <v>0.5082951978616097</v>
      </c>
      <c r="GL515" s="14">
        <v>0.48925369398960428</v>
      </c>
      <c r="GM515" s="14">
        <v>0.4917048021383903</v>
      </c>
      <c r="GO515" s="5">
        <v>338.16872463277008</v>
      </c>
      <c r="GP515" s="5">
        <v>307.64377699166363</v>
      </c>
      <c r="GQ515" s="5">
        <v>527.27910984145694</v>
      </c>
      <c r="GR515" s="5">
        <v>404.20319246551543</v>
      </c>
      <c r="GS515" s="5">
        <v>334.50205195691484</v>
      </c>
      <c r="GT515" s="5">
        <v>289.18266033348181</v>
      </c>
      <c r="GU515" s="5">
        <v>254.29573314828914</v>
      </c>
      <c r="GV515" s="39" t="s">
        <v>392</v>
      </c>
      <c r="GW515" s="5">
        <v>454.875</v>
      </c>
      <c r="GX515" s="5">
        <v>341.15625</v>
      </c>
      <c r="GY515" s="5">
        <v>272.92500000000001</v>
      </c>
      <c r="GZ515" s="5">
        <v>240.82751152063875</v>
      </c>
      <c r="HA515" s="5">
        <v>223.08053899211657</v>
      </c>
      <c r="HB515" s="39">
        <v>253.50938950530318</v>
      </c>
      <c r="HC515" s="5">
        <v>358.50084881396981</v>
      </c>
      <c r="HD515" s="5">
        <v>287.77900980034525</v>
      </c>
      <c r="HE515" s="5">
        <v>285.23787161201437</v>
      </c>
      <c r="HF515" s="5">
        <v>257.54964978663213</v>
      </c>
      <c r="HG515" s="5">
        <v>240.60084178617024</v>
      </c>
      <c r="HH515" s="39">
        <v>286.10397041573856</v>
      </c>
      <c r="HI515" s="16"/>
      <c r="HJ515" s="19" t="str">
        <f t="shared" si="1689"/>
        <v>On</v>
      </c>
      <c r="HK515" s="1" t="str">
        <f t="shared" si="1689"/>
        <v>On</v>
      </c>
      <c r="HL515" s="16"/>
      <c r="HM515" s="639">
        <f t="shared" si="1636"/>
        <v>5.1181272167489952E-2</v>
      </c>
      <c r="HN515" s="639">
        <f t="shared" si="1637"/>
        <v>4.2792051795134348E-3</v>
      </c>
      <c r="HO515" s="639">
        <f t="shared" si="1638"/>
        <v>7.4145241462331068E-3</v>
      </c>
      <c r="HP515" s="644">
        <f>(FT515*$GD515-HM515)/$JF515*INDEX(Input!$1:$1048576,$JG$93,$C515*2+6)</f>
        <v>28.623714074321231</v>
      </c>
      <c r="HQ515" s="644">
        <f>(FU515*$GD515-HN515)/$JF515*INDEX(Input!$1:$1048576,$JG$93,$C515*2+6)</f>
        <v>10.817841976921638</v>
      </c>
      <c r="HR515" s="644">
        <f>(FV515*$GD515-HO515)/$JF515*INDEX(Input!$1:$1048576,$JG$93,$C515*2+6)</f>
        <v>7.1310663782718206E-2</v>
      </c>
      <c r="HS515" s="644">
        <f t="shared" si="1639"/>
        <v>-7.6013477070171511</v>
      </c>
      <c r="HT515" s="644">
        <f t="shared" si="1640"/>
        <v>48.327960521640286</v>
      </c>
      <c r="HU515" s="644">
        <f t="shared" si="1641"/>
        <v>6.9100991366746767</v>
      </c>
      <c r="HV515" s="648">
        <f t="shared" si="1642"/>
        <v>0</v>
      </c>
      <c r="HW515" s="648">
        <f t="shared" si="1643"/>
        <v>0</v>
      </c>
      <c r="HX515" s="648">
        <f t="shared" si="1644"/>
        <v>0</v>
      </c>
      <c r="HY515" s="644">
        <f>INDEX(Input!$1:$1048576,HY$93,$C515*2+6)*INDEX(Input!$1:$1048576,$JG$93,$C515*2+6)</f>
        <v>345</v>
      </c>
      <c r="HZ515" s="644">
        <f>INDEX(Input!$1:$1048576,HZ$93,$C515*2+6)*INDEX(Input!$1:$1048576,$JG$93,$C515*2+6)</f>
        <v>299</v>
      </c>
      <c r="IA515" s="644">
        <f>INDEX(Input!$1:$1048576,IA$93,$C515*2+6)*INDEX(Input!$1:$1048576,$JG$93,$C515*2+6)</f>
        <v>98</v>
      </c>
      <c r="IB515" s="644">
        <f t="shared" si="1668"/>
        <v>366.02236636730402</v>
      </c>
      <c r="IC515" s="644">
        <f t="shared" si="1669"/>
        <v>358.14580249856192</v>
      </c>
      <c r="ID515" s="644">
        <f>IF(AND(INDEX(Input!$1:$1048576,IA$93,$C515*2+7)="TOS",Y515&lt;=INDEX(Y:Y,MATCH(C515*1000+2,A:A))),0,1)*MAX(IA515+HR515+HU515+HX515,0%)</f>
        <v>104.9814098004574</v>
      </c>
      <c r="IE515" s="128">
        <f t="shared" ref="IE515" si="1718">IB515/SUM($IB515:$ID515)</f>
        <v>0.44144310723289082</v>
      </c>
      <c r="IF515" s="128">
        <f t="shared" si="1691"/>
        <v>0.4319435379496121</v>
      </c>
      <c r="IG515" s="128">
        <f t="shared" si="1646"/>
        <v>0.12661335481749708</v>
      </c>
      <c r="IH515" s="21"/>
      <c r="II515" s="19">
        <f t="shared" si="1647"/>
        <v>1200</v>
      </c>
      <c r="IJ515" s="19">
        <f t="shared" si="1648"/>
        <v>2231.5440334087361</v>
      </c>
      <c r="IK515" s="19">
        <f t="shared" si="1649"/>
        <v>-2048.0908300335955</v>
      </c>
      <c r="IL515" s="19">
        <f t="shared" si="1671"/>
        <v>400</v>
      </c>
      <c r="IM515" s="19">
        <f t="shared" si="1650"/>
        <v>900.01412919650465</v>
      </c>
      <c r="IN515" s="19">
        <f t="shared" si="1651"/>
        <v>325</v>
      </c>
      <c r="IO515" s="39">
        <f t="shared" si="1652"/>
        <v>0</v>
      </c>
      <c r="IP515" s="39">
        <f t="shared" si="1653"/>
        <v>0</v>
      </c>
      <c r="IQ515" s="39">
        <f t="shared" si="1654"/>
        <v>0</v>
      </c>
      <c r="IR515" s="39">
        <v>0</v>
      </c>
      <c r="IS515" s="39">
        <v>0</v>
      </c>
      <c r="IT515" s="39">
        <v>0</v>
      </c>
      <c r="IU515" s="39">
        <v>0</v>
      </c>
      <c r="IV515" s="39">
        <v>0</v>
      </c>
      <c r="IW515" s="39">
        <v>0</v>
      </c>
      <c r="IX515" s="39">
        <f>INDEX(Input!$1:$1048576,IX$93,$C515*2+6)+INDEX(Input!$1:$1048576,IX$94,$C515*2+6)</f>
        <v>1600</v>
      </c>
      <c r="IY515" s="39">
        <f>INDEX(Input!$1:$1048576,IY$93,$C515*2+6)+INDEX(Input!$1:$1048576,IY$94,$C515*2+6)</f>
        <v>2503.5492916397525</v>
      </c>
      <c r="IZ515" s="39">
        <f>INDEX(Input!$1:$1048576,IZ$93,$C515*2+6)+INDEX(Input!$1:$1048576,IZ$94,$C515*2+6)</f>
        <v>5413.7109265464023</v>
      </c>
      <c r="JA515" s="19">
        <f t="shared" si="1672"/>
        <v>2000</v>
      </c>
      <c r="JB515" s="19">
        <f t="shared" si="1673"/>
        <v>3403.5634208362571</v>
      </c>
      <c r="JC515" s="19">
        <f t="shared" si="1674"/>
        <v>5738.7109265464023</v>
      </c>
      <c r="JD515" s="19">
        <f t="shared" si="1675"/>
        <v>3079.6308828355459</v>
      </c>
      <c r="JE515" s="21"/>
      <c r="JF515" s="1">
        <f t="shared" si="1655"/>
        <v>6.2875001493236493E-2</v>
      </c>
      <c r="JG515" s="15">
        <f>INDEX(Input!$1:$1048576,JG$93,$C515*2+6)/(1+VLOOKUP(C515*1000+INDEX(Input!$1:$1048576,JG$93+1,$C515*2+6),$A:$KK,$JK$92,FALSE))</f>
        <v>742</v>
      </c>
      <c r="JH515" s="1">
        <f t="shared" si="1676"/>
        <v>5.3251841933996749E-2</v>
      </c>
      <c r="JI515" s="1">
        <f t="shared" si="1677"/>
        <v>6.4200420419538828E-2</v>
      </c>
      <c r="JJ515" s="1">
        <f t="shared" si="1715"/>
        <v>0</v>
      </c>
      <c r="JK515" s="1">
        <f t="shared" ref="JK515:JK550" si="1719">SUM(JH515:JJ515)</f>
        <v>0.11745226235353558</v>
      </c>
      <c r="JL515" s="15">
        <f t="shared" si="1680"/>
        <v>87.149578666323393</v>
      </c>
      <c r="JM515" s="15">
        <f t="shared" si="1706"/>
        <v>829.14957866632335</v>
      </c>
      <c r="JN515" s="21"/>
      <c r="JO515" s="19">
        <f>INDEX(Input!$1:$1048576,JO$93,$C515*2+6)</f>
        <v>5908.5</v>
      </c>
      <c r="JP515" s="19">
        <f>INDEX(Input!$1:$1048576,JP$93,$C515*2+6)</f>
        <v>2467.7963733178344</v>
      </c>
      <c r="JQ515" s="39">
        <f t="shared" si="1692"/>
        <v>2828.8691171644541</v>
      </c>
      <c r="JR515" s="39">
        <f t="shared" si="1709"/>
        <v>611.83450951771147</v>
      </c>
      <c r="JS515" s="39">
        <f t="shared" si="1694"/>
        <v>2.5534746489508904</v>
      </c>
      <c r="JT515" s="39">
        <f t="shared" si="1682"/>
        <v>0.72236973994905707</v>
      </c>
      <c r="JU515" s="385">
        <f>(JQ515*JM515-INDEX(Input!$1:$1048576,Input!A$18,$C515*2+6)*JL515*INDEX(Input!$1:$1048576,Input!A$19,$C515*2+6))/1000000</f>
        <v>2.3455556365990811</v>
      </c>
      <c r="JV515" s="39">
        <f t="shared" si="1716"/>
        <v>-0.20744645439908549</v>
      </c>
      <c r="JW515" s="1">
        <f t="shared" si="1707"/>
        <v>-8.1255888951496547E-2</v>
      </c>
      <c r="JX515" s="19">
        <f t="shared" si="1698"/>
        <v>8288.8494815890299</v>
      </c>
      <c r="JZ515" s="341"/>
      <c r="KA515" s="342"/>
      <c r="KB515" s="469">
        <f t="shared" si="1695"/>
        <v>2.4623520912331753</v>
      </c>
      <c r="KI515" s="473">
        <f t="shared" ref="KI515" si="1720">$JM515*IE515-$JG515*HY515/SUM($HY515:$IA515)</f>
        <v>21.022366367304016</v>
      </c>
      <c r="KJ515" s="473">
        <f t="shared" si="1683"/>
        <v>59.14580249856192</v>
      </c>
      <c r="KK515" s="473">
        <f t="shared" si="1684"/>
        <v>6.9814098004574134</v>
      </c>
      <c r="KN515" s="544">
        <f t="shared" si="1699"/>
        <v>5002</v>
      </c>
      <c r="KO515" s="541">
        <f t="shared" si="1659"/>
        <v>3.8318433998391965E-2</v>
      </c>
      <c r="KP515" s="546">
        <f t="shared" si="1660"/>
        <v>215.96266563017863</v>
      </c>
      <c r="KQ515" s="546">
        <f t="shared" si="1661"/>
        <v>220.85843668383677</v>
      </c>
      <c r="KR515" s="548">
        <f t="shared" si="1662"/>
        <v>2.9872657499458661</v>
      </c>
      <c r="KS515" s="548">
        <f t="shared" si="1663"/>
        <v>2.9210470018293733</v>
      </c>
      <c r="KT515" s="473">
        <f t="shared" si="1697"/>
        <v>389.37465324503302</v>
      </c>
      <c r="KU515" s="663">
        <f t="shared" si="1685"/>
        <v>7.2230564217699191</v>
      </c>
      <c r="KV515" s="117" t="e">
        <f t="shared" si="1717"/>
        <v>#N/A</v>
      </c>
    </row>
    <row r="516" spans="1:308" s="26" customFormat="1" ht="15">
      <c r="A516" s="561">
        <f t="shared" si="1664"/>
        <v>5016</v>
      </c>
      <c r="B516" s="561">
        <f t="shared" si="1686"/>
        <v>16</v>
      </c>
      <c r="C516" s="561">
        <f t="shared" si="1687"/>
        <v>5</v>
      </c>
      <c r="D516" s="561" t="str">
        <f t="shared" si="1708"/>
        <v xml:space="preserve">-360 Lease, </v>
      </c>
      <c r="E516" s="115">
        <f>INDEX(Input!$1:$1048576,E$93,$C516*2+MIN($B516,2)+5)</f>
        <v>1250</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1.9E-2</v>
      </c>
      <c r="W516" s="862">
        <f>INDEX(Input!$1:$1048576,W$93,$C516*2+MIN($B516,2)+5)</f>
        <v>3.9E-2</v>
      </c>
      <c r="X516" s="118" t="str">
        <f>INDEX(Input!$1:$1048576,X$93,$C516*2+MIN($B516,2)+5)</f>
        <v>Y</v>
      </c>
      <c r="Y516" s="475">
        <f>INDEX(Input!$1:$1048576,Y$93,$C516*2+MIN($B516,2)+5)-360</f>
        <v>-1458.3618966787526</v>
      </c>
      <c r="Z516" s="30">
        <f>INDEX(Input!$1:$1048576,Z$93,$C516*2+MIN($B516,2)+5)</f>
        <v>0</v>
      </c>
      <c r="AA516" s="115">
        <f>INDEX(Input!$1:$1048576,AA$93,$C516*2+MIN($B516,2)+5)</f>
        <v>500</v>
      </c>
      <c r="AB516" s="118">
        <f>INDEX(Input!$1:$1048576,AB$93,$C516*2+MIN($B516,2)+5)</f>
        <v>0.43</v>
      </c>
      <c r="AC516" s="115">
        <f>INDEX(Input!$1:$1048576,AC$93,$C516*2+MIN($B516,2)+5)</f>
        <v>0</v>
      </c>
      <c r="AD516" s="118">
        <f>INDEX(Input!$1:$1048576,AD$93,$C516*2+MIN($B516,2)+5)</f>
        <v>0.35</v>
      </c>
      <c r="AE516" s="115">
        <f>INDEX(Input!$1:$1048576,AE$93,$C516*2+MIN($B516,2)+5)</f>
        <v>0</v>
      </c>
      <c r="AF516" s="118">
        <f>INDEX(Input!$1:$1048576,AF$93,$C516*2+MIN($B516,2)+5)</f>
        <v>1</v>
      </c>
      <c r="AG516" s="115">
        <f>INDEX(Input!$1:$1048576,AG$93,$C516*2+MIN($B516,2)+5)</f>
        <v>0</v>
      </c>
      <c r="AH516" s="118">
        <f>INDEX(Input!$1:$1048576,AH$93,$C516*2+MIN($B516,2)+5)</f>
        <v>1</v>
      </c>
      <c r="AI516" s="115">
        <f>INDEX(Input!$1:$1048576,AI$93,$C516*2+MIN($B516,2)+5)</f>
        <v>0</v>
      </c>
      <c r="AJ516" s="118">
        <f>INDEX(Input!$1:$1048576,AJ$93,$C516*2+MIN($B516,2)+5)</f>
        <v>0.35</v>
      </c>
      <c r="AK516" s="150">
        <f>ROUND(INDEX(Input!$1:$1048576,AK$93,$C515*2+MIN($B516,1)+5)+(Y516-VLOOKUP($C516*1000+1,$A:$HH,Y$92,FALSE)),0)</f>
        <v>4232</v>
      </c>
      <c r="AL516" s="150">
        <f>ROUND(INDEX(Input!$1:$1048576,AL$93,$C515*2+MIN($B516,1)+5)-(Y516-VLOOKUP($C516*1000+1,$A:$HH,Y$92,FALSE))/36,0)</f>
        <v>4753</v>
      </c>
      <c r="AM516" s="32" t="str">
        <f t="shared" si="1665"/>
        <v>std/std/std/std</v>
      </c>
      <c r="AN516" s="32" t="str">
        <f t="shared" si="1666"/>
        <v>$0 + 0/0/0/1.9/3.9</v>
      </c>
      <c r="AO516" s="32" t="str">
        <f t="shared" si="1667"/>
        <v>0/0/0/1.9/3.9</v>
      </c>
      <c r="AP516" s="32" t="str">
        <f t="shared" si="1621"/>
        <v>0/0.9/1.9/3.9</v>
      </c>
      <c r="AQ516" s="536">
        <f t="shared" si="1620"/>
        <v>0.4729184774410839</v>
      </c>
      <c r="AR516" s="32"/>
      <c r="AS516" s="302"/>
      <c r="AT516" s="3">
        <f t="shared" si="1688"/>
        <v>16</v>
      </c>
      <c r="AU516" s="41" t="s">
        <v>121</v>
      </c>
      <c r="AV516" s="41" t="s">
        <v>116</v>
      </c>
      <c r="AW516" s="41" t="str">
        <f>INDEX(Input!$1:$1048576,AW$93,$C516*2+6)</f>
        <v>Kia</v>
      </c>
      <c r="AX516" s="41" t="str">
        <f>INDEX(Input!$1:$1048576,AX$93,$C516*2+6)</f>
        <v>Kia-LR - R2</v>
      </c>
      <c r="AY516" s="41" t="str">
        <f>IF(LEN(D516)=0,"",INDEX(Input!$1:$1048576,AY$93,$C516*2+6))</f>
        <v>Compact Conventional/Sporty Car (43)</v>
      </c>
      <c r="AZ516" s="41" t="str">
        <f>INDEX(Input!$1:$1048576,AZ$93,$C516*2+6)</f>
        <v>Kia Forte</v>
      </c>
      <c r="BA516" s="3">
        <f>INDEX(Input!$1:$1048576,BA$93,$C516*2+6)</f>
        <v>2020</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19695</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622"/>
        <v>1250</v>
      </c>
      <c r="CJ516" s="16" t="str">
        <f>INDEX(Input!$1:$1048576,CJ$93,$C516*2+6)</f>
        <v>N</v>
      </c>
      <c r="CK516" s="1" t="str">
        <f t="shared" si="1623"/>
        <v>Market</v>
      </c>
      <c r="CL516" s="1" t="str">
        <f t="shared" si="1624"/>
        <v>Market</v>
      </c>
      <c r="CM516" s="1" t="str">
        <f t="shared" si="1625"/>
        <v>Market</v>
      </c>
      <c r="CN516" s="1" t="str">
        <f t="shared" si="1626"/>
        <v>Market</v>
      </c>
      <c r="CO516" s="1" t="str">
        <f t="shared" si="1627"/>
        <v>Market</v>
      </c>
      <c r="CP516" s="304">
        <f t="shared" si="1628"/>
        <v>215</v>
      </c>
      <c r="CQ516" s="1">
        <f t="shared" si="1629"/>
        <v>0</v>
      </c>
      <c r="CR516" s="1">
        <f t="shared" si="1630"/>
        <v>0</v>
      </c>
      <c r="CS516" s="1">
        <f t="shared" si="1631"/>
        <v>0</v>
      </c>
      <c r="CT516" s="1">
        <f t="shared" si="1632"/>
        <v>1.9E-2</v>
      </c>
      <c r="CU516" s="1">
        <f t="shared" si="1633"/>
        <v>3.9E-2</v>
      </c>
      <c r="CV516" s="304">
        <f t="shared" si="1634"/>
        <v>-1458.3618966787526</v>
      </c>
      <c r="CW516" s="20" t="s">
        <v>122</v>
      </c>
      <c r="CX516" s="20" t="s">
        <v>122</v>
      </c>
      <c r="CY516" s="20" t="s">
        <v>122</v>
      </c>
      <c r="CZ516" s="20" t="s">
        <v>122</v>
      </c>
      <c r="DA516" s="20" t="s">
        <v>122</v>
      </c>
      <c r="DB516" s="503">
        <f t="shared" si="1635"/>
        <v>0</v>
      </c>
      <c r="DC516" s="127">
        <v>0</v>
      </c>
      <c r="DD516" s="127">
        <v>0</v>
      </c>
      <c r="DE516" s="127">
        <v>0</v>
      </c>
      <c r="DF516" s="127">
        <v>0</v>
      </c>
      <c r="DG516" s="127">
        <v>0</v>
      </c>
      <c r="DH516" s="127">
        <v>0</v>
      </c>
      <c r="DI516" s="127">
        <v>0</v>
      </c>
      <c r="DJ516" s="127">
        <v>0</v>
      </c>
      <c r="DK516" s="127">
        <v>0</v>
      </c>
      <c r="DL516" s="127">
        <v>0</v>
      </c>
      <c r="DM516" s="304">
        <f>INDEX(Input!$1:$1048576,DM$93,$C516*2+6)</f>
        <v>20731.578947368424</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4.4149548104389792E-2</v>
      </c>
      <c r="DZ516" s="7">
        <v>0</v>
      </c>
      <c r="EA516" s="7">
        <v>0.78088936784820207</v>
      </c>
      <c r="EB516" s="7">
        <v>0</v>
      </c>
      <c r="EC516" s="7">
        <v>0</v>
      </c>
      <c r="ED516" s="7">
        <v>0</v>
      </c>
      <c r="EE516" s="7">
        <v>0</v>
      </c>
      <c r="EF516" s="7">
        <v>0</v>
      </c>
      <c r="EG516" s="7">
        <v>0</v>
      </c>
      <c r="EH516" s="7">
        <v>1.4447437489433515E-2</v>
      </c>
      <c r="EI516" s="7">
        <v>1.8189950974868575E-2</v>
      </c>
      <c r="EJ516" s="7">
        <v>0.26767581060905854</v>
      </c>
      <c r="EK516" s="7">
        <v>0.65331084121987337</v>
      </c>
      <c r="EL516" s="7">
        <v>4.6375959706765967E-2</v>
      </c>
      <c r="EM516" s="7">
        <v>6.9128816858699427E-2</v>
      </c>
      <c r="EN516" s="7">
        <v>4.6961830221672989E-2</v>
      </c>
      <c r="EO516" s="7">
        <v>0.58335582168053668</v>
      </c>
      <c r="EP516" s="7">
        <v>0.24967797832978805</v>
      </c>
      <c r="EQ516" s="7">
        <v>7.2898316417769241E-2</v>
      </c>
      <c r="ER516" s="7">
        <v>4.7106053350232727E-2</v>
      </c>
      <c r="ES516" s="7">
        <v>0.10583226718870867</v>
      </c>
      <c r="ET516" s="7">
        <v>0.17496108404740815</v>
      </c>
      <c r="EU516" s="6">
        <v>1600</v>
      </c>
      <c r="EV516" s="6">
        <v>0</v>
      </c>
      <c r="EW516" s="6">
        <v>1600</v>
      </c>
      <c r="EX516" s="6">
        <v>0</v>
      </c>
      <c r="EY516" s="6">
        <v>2631.594496787839</v>
      </c>
      <c r="EZ516" s="6">
        <v>-2083.0908300335955</v>
      </c>
      <c r="FA516" s="6">
        <v>0</v>
      </c>
      <c r="FB516" s="6">
        <v>0</v>
      </c>
      <c r="FC516" s="6">
        <v>0</v>
      </c>
      <c r="FD516" s="6">
        <v>0</v>
      </c>
      <c r="FE516" s="6">
        <v>0</v>
      </c>
      <c r="FF516" s="6">
        <v>0</v>
      </c>
      <c r="FG516" s="6">
        <v>0</v>
      </c>
      <c r="FH516" s="6">
        <v>1153.988562662679</v>
      </c>
      <c r="FI516" s="6">
        <v>1531.4299904380605</v>
      </c>
      <c r="FJ516" s="6">
        <v>2070.7205842538215</v>
      </c>
      <c r="FK516" s="6">
        <v>1746.9903521590441</v>
      </c>
      <c r="FL516" s="6">
        <v>893.91433563489409</v>
      </c>
      <c r="FM516" s="6">
        <v>1781.594496787839</v>
      </c>
      <c r="FN516" s="6">
        <v>0</v>
      </c>
      <c r="FO516" s="6">
        <v>0</v>
      </c>
      <c r="FP516" s="6">
        <v>0</v>
      </c>
      <c r="FQ516" s="6">
        <v>0</v>
      </c>
      <c r="FR516" s="6">
        <v>0</v>
      </c>
      <c r="FS516" s="6">
        <v>0</v>
      </c>
      <c r="FT516" s="7">
        <v>0.82503891595259182</v>
      </c>
      <c r="FU516" s="7">
        <v>6.9128816858699427E-2</v>
      </c>
      <c r="FV516" s="7">
        <v>0.10583226718870867</v>
      </c>
      <c r="FW516" s="6">
        <v>1600.0000000000002</v>
      </c>
      <c r="FX516" s="6">
        <v>2631.594496787839</v>
      </c>
      <c r="FY516" s="6">
        <v>-2083.0908300335955</v>
      </c>
      <c r="FZ516" s="6">
        <v>2411.9063952864503</v>
      </c>
      <c r="GA516" s="6">
        <v>1281.5230542364905</v>
      </c>
      <c r="GB516" s="6">
        <v>18413.476945763508</v>
      </c>
      <c r="GC516" s="7">
        <v>7.6138913542514425E-2</v>
      </c>
      <c r="GD516" s="7">
        <v>6.570722297199931E-2</v>
      </c>
      <c r="GE516" s="7"/>
      <c r="GF516" s="7"/>
      <c r="GG516" s="7">
        <v>-0.13700866068558057</v>
      </c>
      <c r="GH516" s="42">
        <v>2.3871420200656051</v>
      </c>
      <c r="GI516" s="6">
        <v>9531.9747803800092</v>
      </c>
      <c r="GJ516" s="14">
        <v>0.51074630601039539</v>
      </c>
      <c r="GK516" s="14">
        <v>0.50829519786160959</v>
      </c>
      <c r="GL516" s="14">
        <v>0.48925369398960417</v>
      </c>
      <c r="GM516" s="14">
        <v>0.4917048021383903</v>
      </c>
      <c r="GO516" s="5">
        <v>338.16872463277008</v>
      </c>
      <c r="GP516" s="5">
        <v>307.64377699166363</v>
      </c>
      <c r="GQ516" s="5">
        <v>527.27910984145694</v>
      </c>
      <c r="GR516" s="5">
        <v>404.20319246551543</v>
      </c>
      <c r="GS516" s="5">
        <v>334.50205195691484</v>
      </c>
      <c r="GT516" s="5">
        <v>289.18266033348181</v>
      </c>
      <c r="GU516" s="5">
        <v>254.29573314828914</v>
      </c>
      <c r="GV516" s="39" t="s">
        <v>392</v>
      </c>
      <c r="GW516" s="5">
        <v>468.76388888888891</v>
      </c>
      <c r="GX516" s="5">
        <v>351.57291666666669</v>
      </c>
      <c r="GY516" s="5">
        <v>281.25833333333333</v>
      </c>
      <c r="GZ516" s="5">
        <v>248.18079879493993</v>
      </c>
      <c r="HA516" s="5">
        <v>229.8919505212948</v>
      </c>
      <c r="HB516" s="39">
        <v>261.25424973546473</v>
      </c>
      <c r="HC516" s="5">
        <v>374.25084881396981</v>
      </c>
      <c r="HD516" s="5">
        <v>298.52900980034525</v>
      </c>
      <c r="HE516" s="5">
        <v>295.2186408427836</v>
      </c>
      <c r="HF516" s="5">
        <v>265.87464978663218</v>
      </c>
      <c r="HG516" s="5">
        <v>247.50084178617021</v>
      </c>
      <c r="HH516" s="39">
        <v>296.47433624578639</v>
      </c>
      <c r="HI516" s="16"/>
      <c r="HJ516" s="19" t="str">
        <f t="shared" si="1689"/>
        <v>On</v>
      </c>
      <c r="HK516" s="1" t="str">
        <f t="shared" si="1689"/>
        <v>On</v>
      </c>
      <c r="HL516" s="16"/>
      <c r="HM516" s="639">
        <f t="shared" si="1636"/>
        <v>5.1181272167489952E-2</v>
      </c>
      <c r="HN516" s="639">
        <f t="shared" si="1637"/>
        <v>4.2792051795134348E-3</v>
      </c>
      <c r="HO516" s="639">
        <f t="shared" si="1638"/>
        <v>7.4145241462331068E-3</v>
      </c>
      <c r="HP516" s="644">
        <f>(FT516*$GD516-HM516)/$JF516*INDEX(Input!$1:$1048576,$JG$93,$C516*2+6)</f>
        <v>35.754590513701345</v>
      </c>
      <c r="HQ516" s="644">
        <f>(FU516*$GD516-HN516)/$JF516*INDEX(Input!$1:$1048576,$JG$93,$C516*2+6)</f>
        <v>3.1043910750575261</v>
      </c>
      <c r="HR516" s="644">
        <f>(FV516*$GD516-HO516)/$JF516*INDEX(Input!$1:$1048576,$JG$93,$C516*2+6)</f>
        <v>-5.4353905377420633</v>
      </c>
      <c r="HS516" s="644">
        <f t="shared" si="1639"/>
        <v>-7.4966028691739783</v>
      </c>
      <c r="HT516" s="644">
        <f t="shared" si="1640"/>
        <v>20.981919006543542</v>
      </c>
      <c r="HU516" s="644">
        <f t="shared" si="1641"/>
        <v>0.3560622503004236</v>
      </c>
      <c r="HV516" s="648">
        <f t="shared" si="1642"/>
        <v>0</v>
      </c>
      <c r="HW516" s="648">
        <f t="shared" si="1643"/>
        <v>0</v>
      </c>
      <c r="HX516" s="648">
        <f t="shared" si="1644"/>
        <v>0</v>
      </c>
      <c r="HY516" s="644">
        <f>INDEX(Input!$1:$1048576,HY$93,$C516*2+6)*INDEX(Input!$1:$1048576,$JG$93,$C516*2+6)</f>
        <v>345</v>
      </c>
      <c r="HZ516" s="644">
        <f>INDEX(Input!$1:$1048576,HZ$93,$C516*2+6)*INDEX(Input!$1:$1048576,$JG$93,$C516*2+6)</f>
        <v>299</v>
      </c>
      <c r="IA516" s="644">
        <f>INDEX(Input!$1:$1048576,IA$93,$C516*2+6)*INDEX(Input!$1:$1048576,$JG$93,$C516*2+6)</f>
        <v>98</v>
      </c>
      <c r="IB516" s="644">
        <f t="shared" si="1668"/>
        <v>373.25798764452742</v>
      </c>
      <c r="IC516" s="644">
        <f t="shared" si="1669"/>
        <v>323.08631008160108</v>
      </c>
      <c r="ID516" s="644">
        <f>IF(AND(INDEX(Input!$1:$1048576,IA$93,$C516*2+7)="TOS",Y516&lt;=INDEX(Y:Y,MATCH(C516*1000+2,A:A))),0,1)*MAX(IA516+HR516+HU516+HX516,0%)</f>
        <v>92.920671712558359</v>
      </c>
      <c r="IE516" s="128">
        <f t="shared" ref="IE516:IE518" si="1721">IB516/SUM($IB516:$ID516)</f>
        <v>0.4729184774410839</v>
      </c>
      <c r="IF516" s="128">
        <f t="shared" si="1691"/>
        <v>0.40935088036578526</v>
      </c>
      <c r="IG516" s="128">
        <f t="shared" si="1646"/>
        <v>0.1177306421931308</v>
      </c>
      <c r="IH516" s="21"/>
      <c r="II516" s="19">
        <f t="shared" si="1647"/>
        <v>1200</v>
      </c>
      <c r="IJ516" s="19">
        <f t="shared" si="1648"/>
        <v>2231.5440334087361</v>
      </c>
      <c r="IK516" s="19">
        <f t="shared" si="1649"/>
        <v>-2048.0908300335955</v>
      </c>
      <c r="IL516" s="19">
        <f t="shared" si="1671"/>
        <v>400.00000000000023</v>
      </c>
      <c r="IM516" s="19">
        <f t="shared" si="1650"/>
        <v>400.05046337910289</v>
      </c>
      <c r="IN516" s="19">
        <f t="shared" si="1651"/>
        <v>-35</v>
      </c>
      <c r="IO516" s="39">
        <f t="shared" si="1652"/>
        <v>0</v>
      </c>
      <c r="IP516" s="39">
        <f t="shared" si="1653"/>
        <v>0</v>
      </c>
      <c r="IQ516" s="39">
        <f t="shared" si="1654"/>
        <v>0</v>
      </c>
      <c r="IR516" s="39">
        <v>0</v>
      </c>
      <c r="IS516" s="39">
        <v>0</v>
      </c>
      <c r="IT516" s="39">
        <v>0</v>
      </c>
      <c r="IU516" s="39">
        <v>0</v>
      </c>
      <c r="IV516" s="39">
        <v>0</v>
      </c>
      <c r="IW516" s="39">
        <v>0</v>
      </c>
      <c r="IX516" s="39">
        <f>INDEX(Input!$1:$1048576,IX$93,$C516*2+6)+INDEX(Input!$1:$1048576,IX$94,$C516*2+6)</f>
        <v>1600</v>
      </c>
      <c r="IY516" s="39">
        <f>INDEX(Input!$1:$1048576,IY$93,$C516*2+6)+INDEX(Input!$1:$1048576,IY$94,$C516*2+6)</f>
        <v>2503.5492916397525</v>
      </c>
      <c r="IZ516" s="39">
        <f>INDEX(Input!$1:$1048576,IZ$93,$C516*2+6)+INDEX(Input!$1:$1048576,IZ$94,$C516*2+6)</f>
        <v>5413.7109265464023</v>
      </c>
      <c r="JA516" s="19">
        <f t="shared" si="1672"/>
        <v>2000.0000000000002</v>
      </c>
      <c r="JB516" s="19">
        <f t="shared" si="1673"/>
        <v>2903.5997550188554</v>
      </c>
      <c r="JC516" s="19">
        <f t="shared" si="1674"/>
        <v>5378.7109265464023</v>
      </c>
      <c r="JD516" s="19">
        <f t="shared" si="1675"/>
        <v>2767.6671623825323</v>
      </c>
      <c r="JE516" s="21"/>
      <c r="JF516" s="1">
        <f t="shared" si="1655"/>
        <v>6.2875001493236493E-2</v>
      </c>
      <c r="JG516" s="15">
        <f>INDEX(Input!$1:$1048576,JG$93,$C516*2+6)/(1+VLOOKUP(C516*1000+INDEX(Input!$1:$1048576,JG$93+1,$C516*2+6),$A:$KK,$JK$92,FALSE))</f>
        <v>742</v>
      </c>
      <c r="JH516" s="1">
        <f t="shared" si="1676"/>
        <v>4.5045270958243677E-2</v>
      </c>
      <c r="JI516" s="1">
        <f t="shared" si="1677"/>
        <v>1.8654148770444728E-2</v>
      </c>
      <c r="JJ516" s="1">
        <f t="shared" si="1715"/>
        <v>0</v>
      </c>
      <c r="JK516" s="1">
        <f t="shared" si="1719"/>
        <v>6.3699419728688408E-2</v>
      </c>
      <c r="JL516" s="15">
        <f t="shared" si="1680"/>
        <v>47.264969438686798</v>
      </c>
      <c r="JM516" s="15">
        <f t="shared" si="1706"/>
        <v>789.26496943868676</v>
      </c>
      <c r="JN516" s="21"/>
      <c r="JO516" s="19">
        <f>INDEX(Input!$1:$1048576,JO$93,$C516*2+6)</f>
        <v>5908.5</v>
      </c>
      <c r="JP516" s="19">
        <f>INDEX(Input!$1:$1048576,JP$93,$C516*2+6)</f>
        <v>2467.7963733178344</v>
      </c>
      <c r="JQ516" s="39">
        <f t="shared" si="1692"/>
        <v>3140.8328376174677</v>
      </c>
      <c r="JR516" s="39">
        <f t="shared" si="1709"/>
        <v>299.87078906469787</v>
      </c>
      <c r="JS516" s="39">
        <f t="shared" si="1694"/>
        <v>2.1844227383343062</v>
      </c>
      <c r="JT516" s="39">
        <f t="shared" si="1682"/>
        <v>0.35331782933247297</v>
      </c>
      <c r="JU516" s="385">
        <f>(JQ516*JM516-INDEX(Input!$1:$1048576,Input!A$18,$C516*2+6)*JL516*INDEX(Input!$1:$1048576,Input!A$19,$C516*2+6))/1000000</f>
        <v>2.4789493335941746</v>
      </c>
      <c r="JV516" s="39">
        <f t="shared" si="1716"/>
        <v>-7.4052757403991976E-2</v>
      </c>
      <c r="JW516" s="1">
        <f t="shared" si="1707"/>
        <v>-2.9006148355734018E-2</v>
      </c>
      <c r="JX516" s="19">
        <f t="shared" si="1698"/>
        <v>7475.2577549173066</v>
      </c>
      <c r="JZ516" s="341"/>
      <c r="KA516" s="342"/>
      <c r="KB516" s="469">
        <f t="shared" si="1695"/>
        <v>2.4623520912331753</v>
      </c>
      <c r="KI516" s="473">
        <f t="shared" ref="KI516:KI532" si="1722">$JM516*IE516-$JG516*HY516/SUM($HY516:$IA516)</f>
        <v>28.257987644527361</v>
      </c>
      <c r="KJ516" s="473">
        <f t="shared" ref="KJ516:KJ532" si="1723">$JM516*IF516-$JG516*HZ516/SUM($HY516:$IA516)</f>
        <v>24.086310081601027</v>
      </c>
      <c r="KK516" s="473">
        <f t="shared" si="1684"/>
        <v>-5.0793282874416548</v>
      </c>
      <c r="KN516" s="544">
        <f t="shared" si="1699"/>
        <v>5002</v>
      </c>
      <c r="KO516" s="541">
        <f t="shared" si="1659"/>
        <v>-1.1627831499914754E-2</v>
      </c>
      <c r="KP516" s="546">
        <f t="shared" si="1660"/>
        <v>-42.376784957223478</v>
      </c>
      <c r="KQ516" s="546">
        <f t="shared" si="1661"/>
        <v>-91.105283769176822</v>
      </c>
      <c r="KR516" s="548">
        <f t="shared" si="1662"/>
        <v>4.6197184918106782</v>
      </c>
      <c r="KS516" s="548">
        <f t="shared" si="1663"/>
        <v>2.1488195743549543</v>
      </c>
      <c r="KT516" s="473">
        <f t="shared" si="1697"/>
        <v>389.37465324503302</v>
      </c>
      <c r="KU516" s="663">
        <f t="shared" si="1685"/>
        <v>7.3082986290397365</v>
      </c>
      <c r="KV516" s="117" t="e">
        <f t="shared" si="1717"/>
        <v>#N/A</v>
      </c>
    </row>
    <row r="517" spans="1:308" s="26" customFormat="1" ht="15">
      <c r="A517" s="561">
        <f t="shared" si="1664"/>
        <v>5017</v>
      </c>
      <c r="B517" s="561">
        <f t="shared" si="1686"/>
        <v>17</v>
      </c>
      <c r="C517" s="561">
        <f t="shared" si="1687"/>
        <v>5</v>
      </c>
      <c r="D517" s="561" t="str">
        <f t="shared" si="1708"/>
        <v xml:space="preserve">360 Lease, </v>
      </c>
      <c r="E517" s="115">
        <f>INDEX(Input!$1:$1048576,E$93,$C517*2+MIN($B517,2)+5)</f>
        <v>1250</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1.9E-2</v>
      </c>
      <c r="W517" s="862">
        <f>INDEX(Input!$1:$1048576,W$93,$C517*2+MIN($B517,2)+5)</f>
        <v>3.9E-2</v>
      </c>
      <c r="X517" s="118" t="str">
        <f>INDEX(Input!$1:$1048576,X$93,$C517*2+MIN($B517,2)+5)</f>
        <v>Y</v>
      </c>
      <c r="Y517" s="475">
        <f>INDEX(Input!$1:$1048576,Y$93,$C517*2+MIN($B517,2)+5)+360</f>
        <v>-738.3618966787526</v>
      </c>
      <c r="Z517" s="30">
        <f>INDEX(Input!$1:$1048576,Z$93,$C517*2+MIN($B517,2)+5)</f>
        <v>0</v>
      </c>
      <c r="AA517" s="115">
        <f>INDEX(Input!$1:$1048576,AA$93,$C517*2+MIN($B517,2)+5)</f>
        <v>500</v>
      </c>
      <c r="AB517" s="118">
        <f>INDEX(Input!$1:$1048576,AB$93,$C517*2+MIN($B517,2)+5)</f>
        <v>0.43</v>
      </c>
      <c r="AC517" s="115">
        <f>INDEX(Input!$1:$1048576,AC$93,$C517*2+MIN($B517,2)+5)</f>
        <v>0</v>
      </c>
      <c r="AD517" s="118">
        <f>INDEX(Input!$1:$1048576,AD$93,$C517*2+MIN($B517,2)+5)</f>
        <v>0.35</v>
      </c>
      <c r="AE517" s="115">
        <f>INDEX(Input!$1:$1048576,AE$93,$C517*2+MIN($B517,2)+5)</f>
        <v>0</v>
      </c>
      <c r="AF517" s="118">
        <f>INDEX(Input!$1:$1048576,AF$93,$C517*2+MIN($B517,2)+5)</f>
        <v>1</v>
      </c>
      <c r="AG517" s="115">
        <f>INDEX(Input!$1:$1048576,AG$93,$C517*2+MIN($B517,2)+5)</f>
        <v>0</v>
      </c>
      <c r="AH517" s="118">
        <f>INDEX(Input!$1:$1048576,AH$93,$C517*2+MIN($B517,2)+5)</f>
        <v>1</v>
      </c>
      <c r="AI517" s="115">
        <f>INDEX(Input!$1:$1048576,AI$93,$C517*2+MIN($B517,2)+5)</f>
        <v>0</v>
      </c>
      <c r="AJ517" s="118">
        <f>INDEX(Input!$1:$1048576,AJ$93,$C517*2+MIN($B517,2)+5)</f>
        <v>0.35</v>
      </c>
      <c r="AK517" s="150">
        <f>ROUND(INDEX(Input!$1:$1048576,AK$93,$C516*2+MIN($B517,1)+5)+(Y517-VLOOKUP($C517*1000+1,$A:$HH,Y$92,FALSE)),0)</f>
        <v>4952</v>
      </c>
      <c r="AL517" s="150">
        <f>ROUND(INDEX(Input!$1:$1048576,AL$93,$C516*2+MIN($B517,1)+5)-(Y517-VLOOKUP($C517*1000+1,$A:$HH,Y$92,FALSE))/36,0)</f>
        <v>4733</v>
      </c>
      <c r="AM517" s="32" t="str">
        <f t="shared" si="1665"/>
        <v>std/std/std/std</v>
      </c>
      <c r="AN517" s="32" t="str">
        <f t="shared" si="1666"/>
        <v>$0 + 0/0/0/1.9/3.9</v>
      </c>
      <c r="AO517" s="32" t="str">
        <f t="shared" si="1667"/>
        <v>0/0/0/1.9/3.9</v>
      </c>
      <c r="AP517" s="32" t="str">
        <f t="shared" si="1621"/>
        <v>0/0.9/1.9/3.9</v>
      </c>
      <c r="AQ517" s="536">
        <f t="shared" si="1620"/>
        <v>0.4543421857084734</v>
      </c>
      <c r="AR517" s="32"/>
      <c r="AS517" s="302"/>
      <c r="AT517" s="3">
        <f t="shared" si="1688"/>
        <v>17</v>
      </c>
      <c r="AU517" s="41" t="s">
        <v>121</v>
      </c>
      <c r="AV517" s="41" t="s">
        <v>116</v>
      </c>
      <c r="AW517" s="41" t="str">
        <f>INDEX(Input!$1:$1048576,AW$93,$C517*2+6)</f>
        <v>Kia</v>
      </c>
      <c r="AX517" s="41" t="str">
        <f>INDEX(Input!$1:$1048576,AX$93,$C517*2+6)</f>
        <v>Kia-LR - R2</v>
      </c>
      <c r="AY517" s="41" t="str">
        <f>IF(LEN(D517)=0,"",INDEX(Input!$1:$1048576,AY$93,$C517*2+6))</f>
        <v>Compact Conventional/Sporty Car (43)</v>
      </c>
      <c r="AZ517" s="41" t="str">
        <f>INDEX(Input!$1:$1048576,AZ$93,$C517*2+6)</f>
        <v>Kia Forte</v>
      </c>
      <c r="BA517" s="3">
        <f>INDEX(Input!$1:$1048576,BA$93,$C517*2+6)</f>
        <v>2020</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19695</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622"/>
        <v>1250</v>
      </c>
      <c r="CJ517" s="16" t="str">
        <f>INDEX(Input!$1:$1048576,CJ$93,$C517*2+6)</f>
        <v>N</v>
      </c>
      <c r="CK517" s="1" t="str">
        <f t="shared" si="1623"/>
        <v>Market</v>
      </c>
      <c r="CL517" s="1" t="str">
        <f t="shared" si="1624"/>
        <v>Market</v>
      </c>
      <c r="CM517" s="1" t="str">
        <f t="shared" si="1625"/>
        <v>Market</v>
      </c>
      <c r="CN517" s="1" t="str">
        <f t="shared" si="1626"/>
        <v>Market</v>
      </c>
      <c r="CO517" s="1" t="str">
        <f t="shared" si="1627"/>
        <v>Market</v>
      </c>
      <c r="CP517" s="304">
        <f t="shared" si="1628"/>
        <v>215</v>
      </c>
      <c r="CQ517" s="1">
        <f t="shared" si="1629"/>
        <v>0</v>
      </c>
      <c r="CR517" s="1">
        <f t="shared" si="1630"/>
        <v>0</v>
      </c>
      <c r="CS517" s="1">
        <f t="shared" si="1631"/>
        <v>0</v>
      </c>
      <c r="CT517" s="1">
        <f t="shared" si="1632"/>
        <v>1.9E-2</v>
      </c>
      <c r="CU517" s="1">
        <f t="shared" si="1633"/>
        <v>3.9E-2</v>
      </c>
      <c r="CV517" s="304">
        <f t="shared" si="1634"/>
        <v>-738.3618966787526</v>
      </c>
      <c r="CW517" s="20" t="s">
        <v>122</v>
      </c>
      <c r="CX517" s="20" t="s">
        <v>122</v>
      </c>
      <c r="CY517" s="20" t="s">
        <v>122</v>
      </c>
      <c r="CZ517" s="20" t="s">
        <v>122</v>
      </c>
      <c r="DA517" s="20" t="s">
        <v>122</v>
      </c>
      <c r="DB517" s="503">
        <f t="shared" si="1635"/>
        <v>0</v>
      </c>
      <c r="DC517" s="127">
        <v>0</v>
      </c>
      <c r="DD517" s="127">
        <v>0</v>
      </c>
      <c r="DE517" s="127">
        <v>0</v>
      </c>
      <c r="DF517" s="127">
        <v>0</v>
      </c>
      <c r="DG517" s="127">
        <v>0</v>
      </c>
      <c r="DH517" s="127">
        <v>0</v>
      </c>
      <c r="DI517" s="127">
        <v>0</v>
      </c>
      <c r="DJ517" s="127">
        <v>0</v>
      </c>
      <c r="DK517" s="127">
        <v>0</v>
      </c>
      <c r="DL517" s="127">
        <v>0</v>
      </c>
      <c r="DM517" s="304">
        <f>INDEX(Input!$1:$1048576,DM$93,$C517*2+6)</f>
        <v>20731.578947368424</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4.339394321682008E-2</v>
      </c>
      <c r="DZ517" s="7">
        <v>0</v>
      </c>
      <c r="EA517" s="7">
        <v>0.76755495193654166</v>
      </c>
      <c r="EB517" s="7">
        <v>0</v>
      </c>
      <c r="EC517" s="7">
        <v>0</v>
      </c>
      <c r="ED517" s="7">
        <v>0</v>
      </c>
      <c r="EE517" s="7">
        <v>0</v>
      </c>
      <c r="EF517" s="7">
        <v>0</v>
      </c>
      <c r="EG517" s="7">
        <v>0</v>
      </c>
      <c r="EH517" s="7">
        <v>1.4443681650555953E-2</v>
      </c>
      <c r="EI517" s="7">
        <v>1.8187947163374678E-2</v>
      </c>
      <c r="EJ517" s="7">
        <v>0.26757808550730194</v>
      </c>
      <c r="EK517" s="7">
        <v>0.65341089261344243</v>
      </c>
      <c r="EL517" s="7">
        <v>4.637939306532516E-2</v>
      </c>
      <c r="EM517" s="7">
        <v>6.7842439563085249E-2</v>
      </c>
      <c r="EN517" s="7">
        <v>4.7840636238328994E-2</v>
      </c>
      <c r="EO517" s="7">
        <v>0.58178785752621143</v>
      </c>
      <c r="EP517" s="7">
        <v>0.25248574656876221</v>
      </c>
      <c r="EQ517" s="7">
        <v>7.14990287081987E-2</v>
      </c>
      <c r="ER517" s="7">
        <v>4.6386730958498927E-2</v>
      </c>
      <c r="ES517" s="7">
        <v>0.12120866528355308</v>
      </c>
      <c r="ET517" s="7">
        <v>0.18905110484663823</v>
      </c>
      <c r="EU517" s="6">
        <v>1600</v>
      </c>
      <c r="EV517" s="6">
        <v>0</v>
      </c>
      <c r="EW517" s="6">
        <v>1600</v>
      </c>
      <c r="EX517" s="6">
        <v>0</v>
      </c>
      <c r="EY517" s="6">
        <v>2631.562561570282</v>
      </c>
      <c r="EZ517" s="6">
        <v>-1363.0908300335955</v>
      </c>
      <c r="FA517" s="6">
        <v>0</v>
      </c>
      <c r="FB517" s="6">
        <v>0</v>
      </c>
      <c r="FC517" s="6">
        <v>0</v>
      </c>
      <c r="FD517" s="6">
        <v>0</v>
      </c>
      <c r="FE517" s="6">
        <v>0</v>
      </c>
      <c r="FF517" s="6">
        <v>0</v>
      </c>
      <c r="FG517" s="6">
        <v>0</v>
      </c>
      <c r="FH517" s="6">
        <v>1153.9865622483671</v>
      </c>
      <c r="FI517" s="6">
        <v>1531.4299904380623</v>
      </c>
      <c r="FJ517" s="6">
        <v>2070.7205842538224</v>
      </c>
      <c r="FK517" s="6">
        <v>1746.9903521590434</v>
      </c>
      <c r="FL517" s="6">
        <v>893.91433563489397</v>
      </c>
      <c r="FM517" s="6">
        <v>1781.5625615702818</v>
      </c>
      <c r="FN517" s="6">
        <v>0</v>
      </c>
      <c r="FO517" s="6">
        <v>0</v>
      </c>
      <c r="FP517" s="6">
        <v>0</v>
      </c>
      <c r="FQ517" s="6">
        <v>0</v>
      </c>
      <c r="FR517" s="6">
        <v>0</v>
      </c>
      <c r="FS517" s="6">
        <v>0</v>
      </c>
      <c r="FT517" s="7">
        <v>0.81094889515336177</v>
      </c>
      <c r="FU517" s="7">
        <v>6.7842439563085249E-2</v>
      </c>
      <c r="FV517" s="7">
        <v>0.12120866528355308</v>
      </c>
      <c r="FW517" s="6">
        <v>1600</v>
      </c>
      <c r="FX517" s="6">
        <v>2631.562561570282</v>
      </c>
      <c r="FY517" s="6">
        <v>-1363.0908300335955</v>
      </c>
      <c r="FZ517" s="6">
        <v>2411.9063952864503</v>
      </c>
      <c r="GA517" s="6">
        <v>1310.831436116566</v>
      </c>
      <c r="GB517" s="6">
        <v>18384.168563883435</v>
      </c>
      <c r="GC517" s="7">
        <v>7.6138913542514425E-2</v>
      </c>
      <c r="GD517" s="7">
        <v>6.6211855762410621E-2</v>
      </c>
      <c r="GE517" s="7"/>
      <c r="GF517" s="7"/>
      <c r="GG517" s="7">
        <v>-0.13038086988936001</v>
      </c>
      <c r="GH517" s="42">
        <v>2.3321311697133535</v>
      </c>
      <c r="GI517" s="6">
        <v>9755.896729086664</v>
      </c>
      <c r="GJ517" s="14">
        <v>0.51074630601039539</v>
      </c>
      <c r="GK517" s="14">
        <v>0.50829519786160959</v>
      </c>
      <c r="GL517" s="14">
        <v>0.48925369398960455</v>
      </c>
      <c r="GM517" s="14">
        <v>0.49170480213839007</v>
      </c>
      <c r="GO517" s="5">
        <v>338.16872463277008</v>
      </c>
      <c r="GP517" s="5">
        <v>307.64377699166363</v>
      </c>
      <c r="GQ517" s="5">
        <v>527.27910984145694</v>
      </c>
      <c r="GR517" s="5">
        <v>404.20319246551543</v>
      </c>
      <c r="GS517" s="5">
        <v>334.50205195691484</v>
      </c>
      <c r="GT517" s="5">
        <v>289.18266033348181</v>
      </c>
      <c r="GU517" s="5">
        <v>254.29573314828914</v>
      </c>
      <c r="GV517" s="39" t="s">
        <v>392</v>
      </c>
      <c r="GW517" s="5">
        <v>468.76388888888891</v>
      </c>
      <c r="GX517" s="5">
        <v>351.57291666666669</v>
      </c>
      <c r="GY517" s="5">
        <v>281.25833333333333</v>
      </c>
      <c r="GZ517" s="5">
        <v>248.18079879493993</v>
      </c>
      <c r="HA517" s="5">
        <v>229.8919505212948</v>
      </c>
      <c r="HB517" s="39">
        <v>261.24991878500271</v>
      </c>
      <c r="HC517" s="5">
        <v>342.75084881396981</v>
      </c>
      <c r="HD517" s="5">
        <v>277.02900980034525</v>
      </c>
      <c r="HE517" s="5">
        <v>275.25710238124515</v>
      </c>
      <c r="HF517" s="5">
        <v>249.22464978663214</v>
      </c>
      <c r="HG517" s="5">
        <v>233.7008417861702</v>
      </c>
      <c r="HH517" s="39">
        <v>275.7279662185162</v>
      </c>
      <c r="HI517" s="16"/>
      <c r="HJ517" s="19" t="str">
        <f t="shared" si="1689"/>
        <v>On</v>
      </c>
      <c r="HK517" s="1" t="str">
        <f t="shared" si="1689"/>
        <v>On</v>
      </c>
      <c r="HL517" s="16"/>
      <c r="HM517" s="639">
        <f t="shared" si="1636"/>
        <v>5.1181272167489952E-2</v>
      </c>
      <c r="HN517" s="639">
        <f t="shared" si="1637"/>
        <v>4.2792051795134348E-3</v>
      </c>
      <c r="HO517" s="639">
        <f t="shared" si="1638"/>
        <v>7.4145241462331068E-3</v>
      </c>
      <c r="HP517" s="644">
        <f>(FT517*$GD517-HM517)/$JF517*INDEX(Input!$1:$1048576,$JG$93,$C517*2+6)</f>
        <v>29.658274587013487</v>
      </c>
      <c r="HQ517" s="644">
        <f>(FU517*$GD517-HN517)/$JF517*INDEX(Input!$1:$1048576,$JG$93,$C517*2+6)</f>
        <v>2.510923732151968</v>
      </c>
      <c r="HR517" s="644">
        <f>(FV517*$GD517-HO517)/$JF517*INDEX(Input!$1:$1048576,$JG$93,$C517*2+6)</f>
        <v>7.2096614649340225</v>
      </c>
      <c r="HS517" s="644">
        <f t="shared" si="1639"/>
        <v>-7.4965961785894111</v>
      </c>
      <c r="HT517" s="644">
        <f t="shared" si="1640"/>
        <v>20.980172276041277</v>
      </c>
      <c r="HU517" s="644">
        <f t="shared" si="1641"/>
        <v>13.254639656778011</v>
      </c>
      <c r="HV517" s="648">
        <f t="shared" si="1642"/>
        <v>0</v>
      </c>
      <c r="HW517" s="648">
        <f t="shared" si="1643"/>
        <v>0</v>
      </c>
      <c r="HX517" s="648">
        <f t="shared" si="1644"/>
        <v>0</v>
      </c>
      <c r="HY517" s="644">
        <f>INDEX(Input!$1:$1048576,HY$93,$C517*2+6)*INDEX(Input!$1:$1048576,$JG$93,$C517*2+6)</f>
        <v>345</v>
      </c>
      <c r="HZ517" s="644">
        <f>INDEX(Input!$1:$1048576,HZ$93,$C517*2+6)*INDEX(Input!$1:$1048576,$JG$93,$C517*2+6)</f>
        <v>299</v>
      </c>
      <c r="IA517" s="644">
        <f>INDEX(Input!$1:$1048576,IA$93,$C517*2+6)*INDEX(Input!$1:$1048576,$JG$93,$C517*2+6)</f>
        <v>98</v>
      </c>
      <c r="IB517" s="644">
        <f t="shared" si="1668"/>
        <v>367.16167840842405</v>
      </c>
      <c r="IC517" s="644">
        <f t="shared" si="1669"/>
        <v>322.49109600819327</v>
      </c>
      <c r="ID517" s="644">
        <f>IF(AND(INDEX(Input!$1:$1048576,IA$93,$C517*2+7)="TOS",Y517&lt;=INDEX(Y:Y,MATCH(C517*1000+2,A:A))),0,1)*MAX(IA517+HR517+HU517+HX517,0%)</f>
        <v>118.46430112171203</v>
      </c>
      <c r="IE517" s="128">
        <f t="shared" si="1721"/>
        <v>0.4543421857084734</v>
      </c>
      <c r="IF517" s="128">
        <f t="shared" si="1691"/>
        <v>0.39906482089041984</v>
      </c>
      <c r="IG517" s="128">
        <f t="shared" si="1646"/>
        <v>0.14659299340110679</v>
      </c>
      <c r="IH517" s="21"/>
      <c r="II517" s="19">
        <f t="shared" si="1647"/>
        <v>1200</v>
      </c>
      <c r="IJ517" s="19">
        <f t="shared" si="1648"/>
        <v>2231.5440334087361</v>
      </c>
      <c r="IK517" s="19">
        <f t="shared" si="1649"/>
        <v>-2048.0908300335955</v>
      </c>
      <c r="IL517" s="19">
        <f t="shared" si="1671"/>
        <v>400</v>
      </c>
      <c r="IM517" s="19">
        <f t="shared" si="1650"/>
        <v>400.01852816154587</v>
      </c>
      <c r="IN517" s="19">
        <f t="shared" si="1651"/>
        <v>685</v>
      </c>
      <c r="IO517" s="39">
        <f t="shared" si="1652"/>
        <v>0</v>
      </c>
      <c r="IP517" s="39">
        <f t="shared" si="1653"/>
        <v>0</v>
      </c>
      <c r="IQ517" s="39">
        <f t="shared" si="1654"/>
        <v>0</v>
      </c>
      <c r="IR517" s="39">
        <v>0</v>
      </c>
      <c r="IS517" s="39">
        <v>0</v>
      </c>
      <c r="IT517" s="39">
        <v>0</v>
      </c>
      <c r="IU517" s="39">
        <v>0</v>
      </c>
      <c r="IV517" s="39">
        <v>0</v>
      </c>
      <c r="IW517" s="39">
        <v>0</v>
      </c>
      <c r="IX517" s="39">
        <f>INDEX(Input!$1:$1048576,IX$93,$C517*2+6)+INDEX(Input!$1:$1048576,IX$94,$C517*2+6)</f>
        <v>1600</v>
      </c>
      <c r="IY517" s="39">
        <f>INDEX(Input!$1:$1048576,IY$93,$C517*2+6)+INDEX(Input!$1:$1048576,IY$94,$C517*2+6)</f>
        <v>2503.5492916397525</v>
      </c>
      <c r="IZ517" s="39">
        <f>INDEX(Input!$1:$1048576,IZ$93,$C517*2+6)+INDEX(Input!$1:$1048576,IZ$94,$C517*2+6)</f>
        <v>5413.7109265464023</v>
      </c>
      <c r="JA517" s="19">
        <f t="shared" si="1672"/>
        <v>2000</v>
      </c>
      <c r="JB517" s="19">
        <f t="shared" si="1673"/>
        <v>2903.5678198012984</v>
      </c>
      <c r="JC517" s="19">
        <f t="shared" si="1674"/>
        <v>6098.7109265464023</v>
      </c>
      <c r="JD517" s="19">
        <f t="shared" si="1675"/>
        <v>2961.4244339796132</v>
      </c>
      <c r="JE517" s="21"/>
      <c r="JF517" s="1">
        <f t="shared" si="1655"/>
        <v>6.2875001493236493E-2</v>
      </c>
      <c r="JG517" s="15">
        <f>INDEX(Input!$1:$1048576,JG$93,$C517*2+6)/(1+VLOOKUP(C517*1000+INDEX(Input!$1:$1048576,JG$93+1,$C517*2+6),$A:$KK,$JK$92,FALSE))</f>
        <v>742</v>
      </c>
      <c r="JH517" s="1">
        <f t="shared" si="1676"/>
        <v>5.3071239601212232E-2</v>
      </c>
      <c r="JI517" s="1">
        <f t="shared" si="1677"/>
        <v>3.6035331205161558E-2</v>
      </c>
      <c r="JJ517" s="1">
        <f t="shared" si="1715"/>
        <v>0</v>
      </c>
      <c r="JK517" s="1">
        <f t="shared" si="1719"/>
        <v>8.9106570806373797E-2</v>
      </c>
      <c r="JL517" s="15">
        <f t="shared" si="1680"/>
        <v>66.11707553832936</v>
      </c>
      <c r="JM517" s="15">
        <f t="shared" si="1706"/>
        <v>808.11707553832935</v>
      </c>
      <c r="JN517" s="21"/>
      <c r="JO517" s="19">
        <f>INDEX(Input!$1:$1048576,JO$93,$C517*2+6)</f>
        <v>5908.5</v>
      </c>
      <c r="JP517" s="19">
        <f>INDEX(Input!$1:$1048576,JP$93,$C517*2+6)</f>
        <v>2467.7963733178344</v>
      </c>
      <c r="JQ517" s="39">
        <f t="shared" si="1692"/>
        <v>2947.0755660203868</v>
      </c>
      <c r="JR517" s="39">
        <f t="shared" si="1709"/>
        <v>493.62806066177882</v>
      </c>
      <c r="JS517" s="39">
        <f t="shared" si="1694"/>
        <v>2.3931776530153575</v>
      </c>
      <c r="JT517" s="39">
        <f t="shared" si="1682"/>
        <v>0.56207274401352436</v>
      </c>
      <c r="JU517" s="385">
        <f>(JQ517*JM517-INDEX(Input!$1:$1048576,Input!A$18,$C517*2+6)*JL517*INDEX(Input!$1:$1048576,Input!A$19,$C517*2+6))/1000000</f>
        <v>2.3815820878028617</v>
      </c>
      <c r="JV517" s="39">
        <f t="shared" si="1716"/>
        <v>-0.17142000319530482</v>
      </c>
      <c r="JW517" s="1">
        <f t="shared" si="1707"/>
        <v>-6.7144482098047728E-2</v>
      </c>
      <c r="JX517" s="19">
        <f t="shared" si="1698"/>
        <v>8501.1737049331514</v>
      </c>
      <c r="JZ517" s="341"/>
      <c r="KA517" s="342"/>
      <c r="KB517" s="469">
        <f t="shared" si="1695"/>
        <v>2.4623520912331753</v>
      </c>
      <c r="KI517" s="473">
        <f t="shared" si="1722"/>
        <v>22.161678408424052</v>
      </c>
      <c r="KJ517" s="473">
        <f t="shared" si="1723"/>
        <v>23.491096008193267</v>
      </c>
      <c r="KK517" s="473">
        <f t="shared" si="1684"/>
        <v>20.464301121712026</v>
      </c>
      <c r="KN517" s="544">
        <f t="shared" si="1699"/>
        <v>5002</v>
      </c>
      <c r="KO517" s="541">
        <f t="shared" si="1659"/>
        <v>1.1980079287952528E-2</v>
      </c>
      <c r="KP517" s="546">
        <f t="shared" si="1660"/>
        <v>52.766822681172165</v>
      </c>
      <c r="KQ517" s="546">
        <f t="shared" si="1661"/>
        <v>102.65198782790412</v>
      </c>
      <c r="KR517" s="548">
        <f t="shared" si="1662"/>
        <v>3.8224651543607586</v>
      </c>
      <c r="KS517" s="548">
        <f t="shared" si="1663"/>
        <v>1.9648849016276444</v>
      </c>
      <c r="KT517" s="473">
        <f t="shared" si="1697"/>
        <v>389.37465324503302</v>
      </c>
      <c r="KU517" s="663">
        <f t="shared" si="1685"/>
        <v>7.1521340522594707</v>
      </c>
      <c r="KV517" s="117" t="e">
        <f t="shared" si="1717"/>
        <v>#N/A</v>
      </c>
    </row>
    <row r="518" spans="1:308" s="26" customFormat="1" ht="15">
      <c r="A518" s="561">
        <f t="shared" si="1664"/>
        <v>5018</v>
      </c>
      <c r="B518" s="561">
        <f t="shared" si="1686"/>
        <v>18</v>
      </c>
      <c r="C518" s="561">
        <f t="shared" si="1687"/>
        <v>5</v>
      </c>
      <c r="D518" s="561" t="str">
        <f t="shared" si="1708"/>
        <v xml:space="preserve">720 Lease, </v>
      </c>
      <c r="E518" s="115">
        <f>INDEX(Input!$1:$1048576,E$93,$C518*2+MIN($B518,2)+5)</f>
        <v>1250</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1.9E-2</v>
      </c>
      <c r="W518" s="862">
        <f>INDEX(Input!$1:$1048576,W$93,$C518*2+MIN($B518,2)+5)</f>
        <v>3.9E-2</v>
      </c>
      <c r="X518" s="118" t="str">
        <f>INDEX(Input!$1:$1048576,X$93,$C518*2+MIN($B518,2)+5)</f>
        <v>Y</v>
      </c>
      <c r="Y518" s="475">
        <f>INDEX(Input!$1:$1048576,Y$93,$C518*2+MIN($B518,2)+5)+720</f>
        <v>-378.3618966787526</v>
      </c>
      <c r="Z518" s="30">
        <f>INDEX(Input!$1:$1048576,Z$93,$C518*2+MIN($B518,2)+5)</f>
        <v>0</v>
      </c>
      <c r="AA518" s="115">
        <f>INDEX(Input!$1:$1048576,AA$93,$C518*2+MIN($B518,2)+5)</f>
        <v>500</v>
      </c>
      <c r="AB518" s="118">
        <f>INDEX(Input!$1:$1048576,AB$93,$C518*2+MIN($B518,2)+5)</f>
        <v>0.43</v>
      </c>
      <c r="AC518" s="115">
        <f>INDEX(Input!$1:$1048576,AC$93,$C518*2+MIN($B518,2)+5)</f>
        <v>0</v>
      </c>
      <c r="AD518" s="118">
        <f>INDEX(Input!$1:$1048576,AD$93,$C518*2+MIN($B518,2)+5)</f>
        <v>0.35</v>
      </c>
      <c r="AE518" s="115">
        <f>INDEX(Input!$1:$1048576,AE$93,$C518*2+MIN($B518,2)+5)</f>
        <v>0</v>
      </c>
      <c r="AF518" s="118">
        <f>INDEX(Input!$1:$1048576,AF$93,$C518*2+MIN($B518,2)+5)</f>
        <v>1</v>
      </c>
      <c r="AG518" s="115">
        <f>INDEX(Input!$1:$1048576,AG$93,$C518*2+MIN($B518,2)+5)</f>
        <v>0</v>
      </c>
      <c r="AH518" s="118">
        <f>INDEX(Input!$1:$1048576,AH$93,$C518*2+MIN($B518,2)+5)</f>
        <v>1</v>
      </c>
      <c r="AI518" s="115">
        <f>INDEX(Input!$1:$1048576,AI$93,$C518*2+MIN($B518,2)+5)</f>
        <v>0</v>
      </c>
      <c r="AJ518" s="118">
        <f>INDEX(Input!$1:$1048576,AJ$93,$C518*2+MIN($B518,2)+5)</f>
        <v>0.35</v>
      </c>
      <c r="AK518" s="150">
        <f>ROUND(INDEX(Input!$1:$1048576,AK$93,$C517*2+MIN($B518,1)+5)+(Y518-VLOOKUP($C518*1000+1,$A:$HH,Y$92,FALSE)),0)</f>
        <v>5312</v>
      </c>
      <c r="AL518" s="150">
        <f>ROUND(INDEX(Input!$1:$1048576,AL$93,$C517*2+MIN($B518,1)+5)-(Y518-VLOOKUP($C518*1000+1,$A:$HH,Y$92,FALSE))/36,0)</f>
        <v>4723</v>
      </c>
      <c r="AM518" s="32" t="str">
        <f t="shared" si="1665"/>
        <v>std/std/std/std</v>
      </c>
      <c r="AN518" s="32" t="str">
        <f t="shared" si="1666"/>
        <v>$0 + 0/0/0/1.9/3.9</v>
      </c>
      <c r="AO518" s="32" t="str">
        <f t="shared" si="1667"/>
        <v>0/0/0/1.9/3.9</v>
      </c>
      <c r="AP518" s="32" t="str">
        <f t="shared" si="1621"/>
        <v>0/0.9/1.9/3.9</v>
      </c>
      <c r="AQ518" s="536">
        <f t="shared" si="1620"/>
        <v>0.44461771915434872</v>
      </c>
      <c r="AR518" s="32"/>
      <c r="AS518" s="302"/>
      <c r="AT518" s="3">
        <f t="shared" si="1688"/>
        <v>18</v>
      </c>
      <c r="AU518" s="41" t="s">
        <v>121</v>
      </c>
      <c r="AV518" s="41" t="s">
        <v>116</v>
      </c>
      <c r="AW518" s="41" t="str">
        <f>INDEX(Input!$1:$1048576,AW$93,$C518*2+6)</f>
        <v>Kia</v>
      </c>
      <c r="AX518" s="41" t="str">
        <f>INDEX(Input!$1:$1048576,AX$93,$C518*2+6)</f>
        <v>Kia-LR - R2</v>
      </c>
      <c r="AY518" s="41" t="str">
        <f>IF(LEN(D518)=0,"",INDEX(Input!$1:$1048576,AY$93,$C518*2+6))</f>
        <v>Compact Conventional/Sporty Car (43)</v>
      </c>
      <c r="AZ518" s="41" t="str">
        <f>INDEX(Input!$1:$1048576,AZ$93,$C518*2+6)</f>
        <v>Kia Forte</v>
      </c>
      <c r="BA518" s="3">
        <f>INDEX(Input!$1:$1048576,BA$93,$C518*2+6)</f>
        <v>2020</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19695</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622"/>
        <v>1250</v>
      </c>
      <c r="CJ518" s="16" t="str">
        <f>INDEX(Input!$1:$1048576,CJ$93,$C518*2+6)</f>
        <v>N</v>
      </c>
      <c r="CK518" s="1" t="str">
        <f t="shared" si="1623"/>
        <v>Market</v>
      </c>
      <c r="CL518" s="1" t="str">
        <f t="shared" si="1624"/>
        <v>Market</v>
      </c>
      <c r="CM518" s="1" t="str">
        <f t="shared" si="1625"/>
        <v>Market</v>
      </c>
      <c r="CN518" s="1" t="str">
        <f t="shared" si="1626"/>
        <v>Market</v>
      </c>
      <c r="CO518" s="1" t="str">
        <f t="shared" si="1627"/>
        <v>Market</v>
      </c>
      <c r="CP518" s="304">
        <f t="shared" si="1628"/>
        <v>215</v>
      </c>
      <c r="CQ518" s="1">
        <f t="shared" si="1629"/>
        <v>0</v>
      </c>
      <c r="CR518" s="1">
        <f t="shared" si="1630"/>
        <v>0</v>
      </c>
      <c r="CS518" s="1">
        <f t="shared" si="1631"/>
        <v>0</v>
      </c>
      <c r="CT518" s="1">
        <f t="shared" si="1632"/>
        <v>1.9E-2</v>
      </c>
      <c r="CU518" s="1">
        <f t="shared" si="1633"/>
        <v>3.9E-2</v>
      </c>
      <c r="CV518" s="304">
        <f t="shared" si="1634"/>
        <v>-378.3618966787526</v>
      </c>
      <c r="CW518" s="20" t="s">
        <v>122</v>
      </c>
      <c r="CX518" s="20" t="s">
        <v>122</v>
      </c>
      <c r="CY518" s="20" t="s">
        <v>122</v>
      </c>
      <c r="CZ518" s="20" t="s">
        <v>122</v>
      </c>
      <c r="DA518" s="20" t="s">
        <v>122</v>
      </c>
      <c r="DB518" s="503">
        <f t="shared" si="1635"/>
        <v>0</v>
      </c>
      <c r="DC518" s="127">
        <v>0</v>
      </c>
      <c r="DD518" s="127">
        <v>0</v>
      </c>
      <c r="DE518" s="127">
        <v>0</v>
      </c>
      <c r="DF518" s="127">
        <v>0</v>
      </c>
      <c r="DG518" s="127">
        <v>0</v>
      </c>
      <c r="DH518" s="127">
        <v>0</v>
      </c>
      <c r="DI518" s="127">
        <v>0</v>
      </c>
      <c r="DJ518" s="127">
        <v>0</v>
      </c>
      <c r="DK518" s="127">
        <v>0</v>
      </c>
      <c r="DL518" s="127">
        <v>0</v>
      </c>
      <c r="DM518" s="304">
        <f>INDEX(Input!$1:$1048576,DM$93,$C518*2+6)</f>
        <v>20731.578947368424</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4.2966923745845903E-2</v>
      </c>
      <c r="DZ518" s="7">
        <v>0</v>
      </c>
      <c r="EA518" s="7">
        <v>0.76001903919345348</v>
      </c>
      <c r="EB518" s="7">
        <v>0</v>
      </c>
      <c r="EC518" s="7">
        <v>0</v>
      </c>
      <c r="ED518" s="7">
        <v>0</v>
      </c>
      <c r="EE518" s="7">
        <v>0</v>
      </c>
      <c r="EF518" s="7">
        <v>0</v>
      </c>
      <c r="EG518" s="7">
        <v>0</v>
      </c>
      <c r="EH518" s="7">
        <v>1.4441537223519841E-2</v>
      </c>
      <c r="EI518" s="7">
        <v>1.8186809017890465E-2</v>
      </c>
      <c r="EJ518" s="7">
        <v>0.26752225478797409</v>
      </c>
      <c r="EK518" s="7">
        <v>0.65346804308392026</v>
      </c>
      <c r="EL518" s="7">
        <v>4.6381355886694883E-2</v>
      </c>
      <c r="EM518" s="7">
        <v>6.7116555074106105E-2</v>
      </c>
      <c r="EN518" s="7">
        <v>4.8319405010361714E-2</v>
      </c>
      <c r="EO518" s="7">
        <v>0.58097531441366146</v>
      </c>
      <c r="EP518" s="7">
        <v>0.25393368886486944</v>
      </c>
      <c r="EQ518" s="7">
        <v>7.0768891209643525E-2</v>
      </c>
      <c r="ER518" s="7">
        <v>4.6002700501463926E-2</v>
      </c>
      <c r="ES518" s="7">
        <v>0.12989748198659445</v>
      </c>
      <c r="ET518" s="7">
        <v>0.19701403706070056</v>
      </c>
      <c r="EU518" s="6">
        <v>1600</v>
      </c>
      <c r="EV518" s="6">
        <v>0</v>
      </c>
      <c r="EW518" s="6">
        <v>1600</v>
      </c>
      <c r="EX518" s="6">
        <v>0</v>
      </c>
      <c r="EY518" s="6">
        <v>2631.5443135425826</v>
      </c>
      <c r="EZ518" s="6">
        <v>-1003.0908300335955</v>
      </c>
      <c r="FA518" s="6">
        <v>0</v>
      </c>
      <c r="FB518" s="6">
        <v>0</v>
      </c>
      <c r="FC518" s="6">
        <v>0</v>
      </c>
      <c r="FD518" s="6">
        <v>0</v>
      </c>
      <c r="FE518" s="6">
        <v>0</v>
      </c>
      <c r="FF518" s="6">
        <v>0</v>
      </c>
      <c r="FG518" s="6">
        <v>0</v>
      </c>
      <c r="FH518" s="6">
        <v>1153.9854202266847</v>
      </c>
      <c r="FI518" s="6">
        <v>1531.4299904380609</v>
      </c>
      <c r="FJ518" s="6">
        <v>2070.7205842538215</v>
      </c>
      <c r="FK518" s="6">
        <v>1746.9903521590438</v>
      </c>
      <c r="FL518" s="6">
        <v>893.91433563489363</v>
      </c>
      <c r="FM518" s="6">
        <v>1781.5443135425826</v>
      </c>
      <c r="FN518" s="6">
        <v>0</v>
      </c>
      <c r="FO518" s="6">
        <v>0</v>
      </c>
      <c r="FP518" s="6">
        <v>0</v>
      </c>
      <c r="FQ518" s="6">
        <v>0</v>
      </c>
      <c r="FR518" s="6">
        <v>0</v>
      </c>
      <c r="FS518" s="6">
        <v>0</v>
      </c>
      <c r="FT518" s="7">
        <v>0.80298596293929936</v>
      </c>
      <c r="FU518" s="7">
        <v>6.7116555074106105E-2</v>
      </c>
      <c r="FV518" s="7">
        <v>0.12989748198659445</v>
      </c>
      <c r="FW518" s="6">
        <v>1600.0000000000002</v>
      </c>
      <c r="FX518" s="6">
        <v>2631.5443135425826</v>
      </c>
      <c r="FY518" s="6">
        <v>-1003.0908300335955</v>
      </c>
      <c r="FZ518" s="6">
        <v>2411.9063952864503</v>
      </c>
      <c r="GA518" s="6">
        <v>1331.0987565275036</v>
      </c>
      <c r="GB518" s="6">
        <v>18363.901243472497</v>
      </c>
      <c r="GC518" s="7">
        <v>7.6138913542514425E-2</v>
      </c>
      <c r="GD518" s="7">
        <v>6.650283025054185E-2</v>
      </c>
      <c r="GE518" s="7"/>
      <c r="GF518" s="7"/>
      <c r="GG518" s="7">
        <v>-0.12655924340963942</v>
      </c>
      <c r="GH518" s="42">
        <v>2.3062237992830945</v>
      </c>
      <c r="GI518" s="6">
        <v>9871.0331749141005</v>
      </c>
      <c r="GJ518" s="14">
        <v>0.51074630601039539</v>
      </c>
      <c r="GK518" s="14">
        <v>0.5082951978616097</v>
      </c>
      <c r="GL518" s="14">
        <v>0.48925369398960433</v>
      </c>
      <c r="GM518" s="14">
        <v>0.49170480213839046</v>
      </c>
      <c r="GO518" s="5">
        <v>338.16872463277008</v>
      </c>
      <c r="GP518" s="5">
        <v>307.64377699166363</v>
      </c>
      <c r="GQ518" s="5">
        <v>527.27910984145694</v>
      </c>
      <c r="GR518" s="5">
        <v>404.20319246551543</v>
      </c>
      <c r="GS518" s="5">
        <v>334.50205195691484</v>
      </c>
      <c r="GT518" s="5">
        <v>289.18266033348181</v>
      </c>
      <c r="GU518" s="5">
        <v>254.29573314828914</v>
      </c>
      <c r="GV518" s="39" t="s">
        <v>392</v>
      </c>
      <c r="GW518" s="5">
        <v>468.76388888888891</v>
      </c>
      <c r="GX518" s="5">
        <v>351.57291666666669</v>
      </c>
      <c r="GY518" s="5">
        <v>281.25833333333333</v>
      </c>
      <c r="GZ518" s="5">
        <v>248.18079879493993</v>
      </c>
      <c r="HA518" s="5">
        <v>229.8919505212948</v>
      </c>
      <c r="HB518" s="39">
        <v>261.24744544509929</v>
      </c>
      <c r="HC518" s="5">
        <v>327.00084881396981</v>
      </c>
      <c r="HD518" s="5">
        <v>266.27900980034525</v>
      </c>
      <c r="HE518" s="5">
        <v>265.27633315047592</v>
      </c>
      <c r="HF518" s="5">
        <v>240.89964978663215</v>
      </c>
      <c r="HG518" s="5">
        <v>226.80084178617022</v>
      </c>
      <c r="HH518" s="39">
        <v>265.34626804489517</v>
      </c>
      <c r="HI518" s="16"/>
      <c r="HJ518" s="19" t="str">
        <f t="shared" si="1689"/>
        <v>On</v>
      </c>
      <c r="HK518" s="1" t="str">
        <f t="shared" si="1689"/>
        <v>On</v>
      </c>
      <c r="HL518" s="16"/>
      <c r="HM518" s="639">
        <f t="shared" si="1636"/>
        <v>5.1181272167489952E-2</v>
      </c>
      <c r="HN518" s="639">
        <f t="shared" si="1637"/>
        <v>4.2792051795134348E-3</v>
      </c>
      <c r="HO518" s="639">
        <f t="shared" si="1638"/>
        <v>7.4145241462331068E-3</v>
      </c>
      <c r="HP518" s="644">
        <f>(FT518*$GD518-HM518)/$JF518*INDEX(Input!$1:$1048576,$JG$93,$C518*2+6)</f>
        <v>26.193537802052255</v>
      </c>
      <c r="HQ518" s="644">
        <f>(FU518*$GD518-HN518)/$JF518*INDEX(Input!$1:$1048576,$JG$93,$C518*2+6)</f>
        <v>2.1742008496619638</v>
      </c>
      <c r="HR518" s="644">
        <f>(FV518*$GD518-HO518)/$JF518*INDEX(Input!$1:$1048576,$JG$93,$C518*2+6)</f>
        <v>14.44496709764686</v>
      </c>
      <c r="HS518" s="644">
        <f t="shared" si="1639"/>
        <v>-7.4965923555381959</v>
      </c>
      <c r="HT518" s="644">
        <f t="shared" si="1640"/>
        <v>20.979174180865257</v>
      </c>
      <c r="HU518" s="644">
        <f t="shared" si="1641"/>
        <v>19.703927882257865</v>
      </c>
      <c r="HV518" s="648">
        <f t="shared" si="1642"/>
        <v>0</v>
      </c>
      <c r="HW518" s="648">
        <f t="shared" si="1643"/>
        <v>0</v>
      </c>
      <c r="HX518" s="648">
        <f t="shared" si="1644"/>
        <v>0</v>
      </c>
      <c r="HY518" s="644">
        <f>INDEX(Input!$1:$1048576,HY$93,$C518*2+6)*INDEX(Input!$1:$1048576,$JG$93,$C518*2+6)</f>
        <v>345</v>
      </c>
      <c r="HZ518" s="644">
        <f>INDEX(Input!$1:$1048576,HZ$93,$C518*2+6)*INDEX(Input!$1:$1048576,$JG$93,$C518*2+6)</f>
        <v>299</v>
      </c>
      <c r="IA518" s="644">
        <f>INDEX(Input!$1:$1048576,IA$93,$C518*2+6)*INDEX(Input!$1:$1048576,$JG$93,$C518*2+6)</f>
        <v>98</v>
      </c>
      <c r="IB518" s="644">
        <f t="shared" si="1668"/>
        <v>363.69694544651406</v>
      </c>
      <c r="IC518" s="644">
        <f t="shared" si="1669"/>
        <v>322.15337503052723</v>
      </c>
      <c r="ID518" s="644">
        <f>IF(AND(INDEX(Input!$1:$1048576,IA$93,$C518*2+7)="TOS",Y518&lt;=INDEX(Y:Y,MATCH(C518*1000+2,A:A))),0,1)*MAX(IA518+HR518+HU518+HX518,0%)</f>
        <v>132.14889497990472</v>
      </c>
      <c r="IE518" s="128">
        <f t="shared" si="1721"/>
        <v>0.44461771915434872</v>
      </c>
      <c r="IF518" s="128">
        <f t="shared" si="1691"/>
        <v>0.39383090954502653</v>
      </c>
      <c r="IG518" s="128">
        <f t="shared" si="1646"/>
        <v>0.16155137130062461</v>
      </c>
      <c r="IH518" s="21"/>
      <c r="II518" s="19">
        <f t="shared" si="1647"/>
        <v>1200</v>
      </c>
      <c r="IJ518" s="19">
        <f t="shared" si="1648"/>
        <v>2231.5440334087361</v>
      </c>
      <c r="IK518" s="19">
        <f t="shared" si="1649"/>
        <v>-2048.0908300335955</v>
      </c>
      <c r="IL518" s="19">
        <f t="shared" si="1671"/>
        <v>400.00000000000023</v>
      </c>
      <c r="IM518" s="19">
        <f t="shared" si="1650"/>
        <v>400.00028013384645</v>
      </c>
      <c r="IN518" s="19">
        <f t="shared" si="1651"/>
        <v>1045</v>
      </c>
      <c r="IO518" s="39">
        <f t="shared" si="1652"/>
        <v>0</v>
      </c>
      <c r="IP518" s="39">
        <f t="shared" si="1653"/>
        <v>0</v>
      </c>
      <c r="IQ518" s="39">
        <f t="shared" si="1654"/>
        <v>0</v>
      </c>
      <c r="IR518" s="39">
        <v>0</v>
      </c>
      <c r="IS518" s="39">
        <v>0</v>
      </c>
      <c r="IT518" s="39">
        <v>0</v>
      </c>
      <c r="IU518" s="39">
        <v>0</v>
      </c>
      <c r="IV518" s="39">
        <v>0</v>
      </c>
      <c r="IW518" s="39">
        <v>0</v>
      </c>
      <c r="IX518" s="39">
        <f>INDEX(Input!$1:$1048576,IX$93,$C518*2+6)+INDEX(Input!$1:$1048576,IX$94,$C518*2+6)</f>
        <v>1600</v>
      </c>
      <c r="IY518" s="39">
        <f>INDEX(Input!$1:$1048576,IY$93,$C518*2+6)+INDEX(Input!$1:$1048576,IY$94,$C518*2+6)</f>
        <v>2503.5492916397525</v>
      </c>
      <c r="IZ518" s="39">
        <f>INDEX(Input!$1:$1048576,IZ$93,$C518*2+6)+INDEX(Input!$1:$1048576,IZ$94,$C518*2+6)</f>
        <v>5413.7109265464023</v>
      </c>
      <c r="JA518" s="19">
        <f t="shared" si="1672"/>
        <v>2000.0000000000002</v>
      </c>
      <c r="JB518" s="19">
        <f t="shared" si="1673"/>
        <v>2903.5495717735989</v>
      </c>
      <c r="JC518" s="19">
        <f t="shared" si="1674"/>
        <v>6458.7109265464023</v>
      </c>
      <c r="JD518" s="19">
        <f t="shared" si="1675"/>
        <v>3076.1566140872656</v>
      </c>
      <c r="JE518" s="21"/>
      <c r="JF518" s="1">
        <f t="shared" si="1655"/>
        <v>6.2875001493236493E-2</v>
      </c>
      <c r="JG518" s="15">
        <f>INDEX(Input!$1:$1048576,JG$93,$C518*2+6)/(1+VLOOKUP(C518*1000+INDEX(Input!$1:$1048576,JG$93+1,$C518*2+6),$A:$KK,$JK$92,FALSE))</f>
        <v>742</v>
      </c>
      <c r="JH518" s="1">
        <f t="shared" si="1676"/>
        <v>5.7699064352238649E-2</v>
      </c>
      <c r="JI518" s="1">
        <f t="shared" si="1677"/>
        <v>4.4725754322890734E-2</v>
      </c>
      <c r="JJ518" s="1">
        <f t="shared" si="1715"/>
        <v>0</v>
      </c>
      <c r="JK518" s="1">
        <f t="shared" si="1719"/>
        <v>0.10242481867512938</v>
      </c>
      <c r="JL518" s="15">
        <f t="shared" si="1680"/>
        <v>75.999215456946004</v>
      </c>
      <c r="JM518" s="15">
        <f t="shared" si="1706"/>
        <v>817.99921545694599</v>
      </c>
      <c r="JN518" s="21"/>
      <c r="JO518" s="19">
        <f>INDEX(Input!$1:$1048576,JO$93,$C518*2+6)</f>
        <v>5908.5</v>
      </c>
      <c r="JP518" s="19">
        <f>INDEX(Input!$1:$1048576,JP$93,$C518*2+6)</f>
        <v>2467.7963733178344</v>
      </c>
      <c r="JQ518" s="39">
        <f t="shared" si="1692"/>
        <v>2832.3433859127344</v>
      </c>
      <c r="JR518" s="39">
        <f t="shared" si="1709"/>
        <v>608.36024076943113</v>
      </c>
      <c r="JS518" s="39">
        <f t="shared" si="1694"/>
        <v>2.5162936969460783</v>
      </c>
      <c r="JT518" s="39">
        <f t="shared" si="1682"/>
        <v>0.68518878794424543</v>
      </c>
      <c r="JU518" s="385">
        <f>(JQ518*JM518-INDEX(Input!$1:$1048576,Input!A$18,$C518*2+6)*JL518*INDEX(Input!$1:$1048576,Input!A$19,$C518*2+6))/1000000</f>
        <v>2.3168546675812869</v>
      </c>
      <c r="JV518" s="39">
        <f t="shared" si="1716"/>
        <v>-0.23614742341687966</v>
      </c>
      <c r="JW518" s="1">
        <f t="shared" si="1707"/>
        <v>-9.2497935763362932E-2</v>
      </c>
      <c r="JX518" s="19">
        <f t="shared" si="1698"/>
        <v>9015.7350154806372</v>
      </c>
      <c r="JZ518" s="341"/>
      <c r="KA518" s="342"/>
      <c r="KB518" s="469">
        <f t="shared" si="1695"/>
        <v>2.4623520912331753</v>
      </c>
      <c r="KI518" s="473">
        <f t="shared" si="1722"/>
        <v>18.696945446514007</v>
      </c>
      <c r="KJ518" s="473">
        <f t="shared" si="1723"/>
        <v>23.153375030527172</v>
      </c>
      <c r="KK518" s="473">
        <f t="shared" si="1684"/>
        <v>34.148894979904696</v>
      </c>
      <c r="KN518" s="544">
        <f t="shared" si="1699"/>
        <v>5002</v>
      </c>
      <c r="KO518" s="541">
        <f t="shared" si="1659"/>
        <v>2.435517819514299E-2</v>
      </c>
      <c r="KP518" s="546">
        <f t="shared" si="1660"/>
        <v>116.30323303839637</v>
      </c>
      <c r="KQ518" s="546">
        <f t="shared" si="1661"/>
        <v>217.38416793555643</v>
      </c>
      <c r="KR518" s="548">
        <f t="shared" si="1662"/>
        <v>3.5256915177291566</v>
      </c>
      <c r="KS518" s="548">
        <f t="shared" si="1663"/>
        <v>1.8862888042955854</v>
      </c>
      <c r="KT518" s="473">
        <f t="shared" si="1697"/>
        <v>389.37465324503302</v>
      </c>
      <c r="KU518" s="663">
        <f t="shared" si="1685"/>
        <v>7.0478723404519821</v>
      </c>
      <c r="KV518" s="117" t="e">
        <f t="shared" si="1717"/>
        <v>#N/A</v>
      </c>
    </row>
    <row r="519" spans="1:308" s="26" customFormat="1" ht="15">
      <c r="A519" s="561">
        <f t="shared" si="1664"/>
        <v>5019</v>
      </c>
      <c r="B519" s="561">
        <f t="shared" si="1686"/>
        <v>19</v>
      </c>
      <c r="C519" s="561">
        <f t="shared" si="1687"/>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v>
      </c>
      <c r="E519" s="475">
        <f>INDEX(Input!$1:$1048576,E$93,$C519*2+MIN($B519,2)+5)</f>
        <v>1250</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1.9E-2</v>
      </c>
      <c r="W519" s="863">
        <f>IFERROR(MAX(0,INDEX(Input!$1:$1048576,W$93,$C519*2+MIN($B519,2)+5)-0%,),"Market")</f>
        <v>3.9E-2</v>
      </c>
      <c r="X519" s="476" t="str">
        <f>INDEX(Input!$1:$1048576,X$93,$C519*2+MIN($B519,2)+5)</f>
        <v>Y</v>
      </c>
      <c r="Y519" s="475">
        <f>INDEX(Input!$1:$1048576,Y$93,$C519*2+MIN($B519,2)+5)</f>
        <v>-1098.3618966787526</v>
      </c>
      <c r="Z519" s="477">
        <f>INDEX(Input!$1:$1048576,Z$93,$C519*2+MIN($B519,2)+5)</f>
        <v>0</v>
      </c>
      <c r="AA519" s="475">
        <f>INDEX(Input!$1:$1048576,AA$93,$C519*2+MIN($B519,2)+5)</f>
        <v>500</v>
      </c>
      <c r="AB519" s="476">
        <f>INDEX(Input!$1:$1048576,AB$93,$C519*2+MIN($B519,2)+5)</f>
        <v>0.43</v>
      </c>
      <c r="AC519" s="475">
        <f>INDEX(Input!$1:$1048576,AC$93,$C519*2+MIN($B519,2)+5)-AC$102</f>
        <v>0</v>
      </c>
      <c r="AD519" s="476">
        <f>INDEX(Input!$1:$1048576,AD$93,$C519*2+MIN($B519,2)+5)</f>
        <v>0.35</v>
      </c>
      <c r="AE519" s="475">
        <f>INDEX(Input!$1:$1048576,AE$93,$C519*2+MIN($B519,2)+5)-AE$102</f>
        <v>0</v>
      </c>
      <c r="AF519" s="476">
        <f>INDEX(Input!$1:$1048576,AF$93,$C519*2+MIN($B519,2)+5)</f>
        <v>1</v>
      </c>
      <c r="AG519" s="475">
        <f>INDEX(Input!$1:$1048576,AG$93,$C519*2+MIN($B519,2)+5)</f>
        <v>0</v>
      </c>
      <c r="AH519" s="476">
        <f>INDEX(Input!$1:$1048576,AH$93,$C519*2+MIN($B519,2)+5)</f>
        <v>1</v>
      </c>
      <c r="AI519" s="475">
        <f>INDEX(Input!$1:$1048576,AI$93,$C519*2+MIN($B519,2)+5)-AI$102</f>
        <v>0</v>
      </c>
      <c r="AJ519" s="476">
        <f>INDEX(Input!$1:$1048576,AJ$93,$C519*2+MIN($B519,2)+5)</f>
        <v>0.35</v>
      </c>
      <c r="AK519" s="150">
        <f>ROUND(INDEX(Input!$1:$1048576,AK$93,$C518*2+MIN($B519,1)+5)+(Y519-VLOOKUP($C519*1000+1,$A:$HH,Y$92,FALSE)),0)</f>
        <v>4592</v>
      </c>
      <c r="AL519" s="150">
        <f>ROUND(INDEX(Input!$1:$1048576,AL$93,$C518*2+MIN($B519,1)+5)-(Y519-VLOOKUP($C519*1000+1,$A:$HH,Y$92,FALSE))/36,0)</f>
        <v>4743</v>
      </c>
      <c r="AM519" s="32" t="str">
        <f t="shared" si="1665"/>
        <v>std/std/std/std</v>
      </c>
      <c r="AN519" s="32" t="str">
        <f t="shared" si="1666"/>
        <v>$0 + 0/0/0/1.9/3.9</v>
      </c>
      <c r="AO519" s="32" t="str">
        <f t="shared" si="1667"/>
        <v>0/0/0/1.9/3.9</v>
      </c>
      <c r="AP519" s="32" t="str">
        <f t="shared" si="1621"/>
        <v>0/0.9/1.9/3.9</v>
      </c>
      <c r="AQ519" s="536">
        <f t="shared" si="1620"/>
        <v>0.46177836579528975</v>
      </c>
      <c r="AR519" s="32"/>
      <c r="AS519" s="302"/>
      <c r="AT519" s="3">
        <f t="shared" si="1688"/>
        <v>19</v>
      </c>
      <c r="AU519" s="41" t="s">
        <v>121</v>
      </c>
      <c r="AV519" s="41" t="s">
        <v>116</v>
      </c>
      <c r="AW519" s="41" t="str">
        <f>INDEX(Input!$1:$1048576,AW$93,$C519*2+6)</f>
        <v>Kia</v>
      </c>
      <c r="AX519" s="41" t="str">
        <f>INDEX(Input!$1:$1048576,AX$93,$C519*2+6)</f>
        <v>Kia-LR - R2</v>
      </c>
      <c r="AY519" s="41" t="str">
        <f>IF(LEN(D519)=0,"",INDEX(Input!$1:$1048576,AY$93,$C519*2+6))</f>
        <v>Compact Conventional/Sporty Car (43)</v>
      </c>
      <c r="AZ519" s="41" t="str">
        <f>INDEX(Input!$1:$1048576,AZ$93,$C519*2+6)</f>
        <v>Kia Forte</v>
      </c>
      <c r="BA519" s="3">
        <f>INDEX(Input!$1:$1048576,BA$93,$C519*2+6)</f>
        <v>2020</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19695</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622"/>
        <v>1250</v>
      </c>
      <c r="CJ519" s="16" t="str">
        <f>INDEX(Input!$1:$1048576,CJ$93,$C519*2+6)</f>
        <v>N</v>
      </c>
      <c r="CK519" s="1" t="str">
        <f t="shared" si="1623"/>
        <v>Market</v>
      </c>
      <c r="CL519" s="1" t="str">
        <f t="shared" si="1624"/>
        <v>Market</v>
      </c>
      <c r="CM519" s="1" t="str">
        <f t="shared" si="1625"/>
        <v>Market</v>
      </c>
      <c r="CN519" s="1" t="str">
        <f t="shared" si="1626"/>
        <v>Market</v>
      </c>
      <c r="CO519" s="1" t="str">
        <f t="shared" si="1627"/>
        <v>Market</v>
      </c>
      <c r="CP519" s="304">
        <f t="shared" si="1628"/>
        <v>215</v>
      </c>
      <c r="CQ519" s="1">
        <f t="shared" si="1629"/>
        <v>0</v>
      </c>
      <c r="CR519" s="1">
        <f t="shared" si="1630"/>
        <v>0</v>
      </c>
      <c r="CS519" s="1">
        <f t="shared" si="1631"/>
        <v>0</v>
      </c>
      <c r="CT519" s="1">
        <f t="shared" si="1632"/>
        <v>1.9E-2</v>
      </c>
      <c r="CU519" s="1">
        <f t="shared" si="1633"/>
        <v>3.9E-2</v>
      </c>
      <c r="CV519" s="304">
        <f t="shared" si="1634"/>
        <v>-1098.3618966787526</v>
      </c>
      <c r="CW519" s="20" t="s">
        <v>122</v>
      </c>
      <c r="CX519" s="20" t="s">
        <v>122</v>
      </c>
      <c r="CY519" s="20" t="s">
        <v>122</v>
      </c>
      <c r="CZ519" s="20" t="s">
        <v>122</v>
      </c>
      <c r="DA519" s="20" t="s">
        <v>122</v>
      </c>
      <c r="DB519" s="503">
        <f t="shared" si="1635"/>
        <v>0</v>
      </c>
      <c r="DC519" s="127">
        <v>0</v>
      </c>
      <c r="DD519" s="127">
        <v>0</v>
      </c>
      <c r="DE519" s="127">
        <v>0</v>
      </c>
      <c r="DF519" s="127">
        <v>0</v>
      </c>
      <c r="DG519" s="127">
        <v>0</v>
      </c>
      <c r="DH519" s="127">
        <v>0</v>
      </c>
      <c r="DI519" s="127">
        <v>0</v>
      </c>
      <c r="DJ519" s="127">
        <v>0</v>
      </c>
      <c r="DK519" s="127">
        <v>0</v>
      </c>
      <c r="DL519" s="127">
        <v>0</v>
      </c>
      <c r="DM519" s="304">
        <f>INDEX(Input!$1:$1048576,DM$93,$C519*2+6)</f>
        <v>20731.578947368424</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4.3247119211766938E-2</v>
      </c>
      <c r="DZ519" s="7">
        <v>0</v>
      </c>
      <c r="EA519" s="7">
        <v>0.76912703093412849</v>
      </c>
      <c r="EB519" s="7">
        <v>0</v>
      </c>
      <c r="EC519" s="7">
        <v>0</v>
      </c>
      <c r="ED519" s="7">
        <v>0</v>
      </c>
      <c r="EE519" s="7">
        <v>0</v>
      </c>
      <c r="EF519" s="7">
        <v>0</v>
      </c>
      <c r="EG519" s="7">
        <v>0</v>
      </c>
      <c r="EH519" s="7">
        <v>1.4442027104537411E-2</v>
      </c>
      <c r="EI519" s="7">
        <v>1.818891135696446E-2</v>
      </c>
      <c r="EJ519" s="7">
        <v>0.26752422081370458</v>
      </c>
      <c r="EK519" s="7">
        <v>0.65346260353819041</v>
      </c>
      <c r="EL519" s="7">
        <v>4.638223718660308E-2</v>
      </c>
      <c r="EM519" s="7">
        <v>6.7917075787123582E-2</v>
      </c>
      <c r="EN519" s="7">
        <v>4.7178516880651646E-2</v>
      </c>
      <c r="EO519" s="7">
        <v>0.5829640748581455</v>
      </c>
      <c r="EP519" s="7">
        <v>0.25039112294350002</v>
      </c>
      <c r="EQ519" s="7">
        <v>7.2546899769533171E-2</v>
      </c>
      <c r="ER519" s="7">
        <v>4.6919385548169705E-2</v>
      </c>
      <c r="ES519" s="7">
        <v>0.11970877406698098</v>
      </c>
      <c r="ET519" s="7">
        <v>0.1876258498541046</v>
      </c>
      <c r="EU519" s="6">
        <v>1250</v>
      </c>
      <c r="EV519" s="6">
        <v>0</v>
      </c>
      <c r="EW519" s="6">
        <v>1250</v>
      </c>
      <c r="EX519" s="6">
        <v>0</v>
      </c>
      <c r="EY519" s="6">
        <v>2281.5434618964464</v>
      </c>
      <c r="EZ519" s="6">
        <v>-1898.0908300335955</v>
      </c>
      <c r="FA519" s="6">
        <v>0</v>
      </c>
      <c r="FB519" s="6">
        <v>0</v>
      </c>
      <c r="FC519" s="6">
        <v>0</v>
      </c>
      <c r="FD519" s="6">
        <v>0</v>
      </c>
      <c r="FE519" s="6">
        <v>0</v>
      </c>
      <c r="FF519" s="6">
        <v>0</v>
      </c>
      <c r="FG519" s="6">
        <v>0</v>
      </c>
      <c r="FH519" s="6">
        <v>1153.985931965366</v>
      </c>
      <c r="FI519" s="6">
        <v>1531.4299904380614</v>
      </c>
      <c r="FJ519" s="6">
        <v>2070.7205842538224</v>
      </c>
      <c r="FK519" s="6">
        <v>1746.9903521590427</v>
      </c>
      <c r="FL519" s="6">
        <v>893.91433563489397</v>
      </c>
      <c r="FM519" s="6">
        <v>1781.5434618964466</v>
      </c>
      <c r="FN519" s="6">
        <v>0</v>
      </c>
      <c r="FO519" s="6">
        <v>0</v>
      </c>
      <c r="FP519" s="6">
        <v>0</v>
      </c>
      <c r="FQ519" s="6">
        <v>0</v>
      </c>
      <c r="FR519" s="6">
        <v>0</v>
      </c>
      <c r="FS519" s="6">
        <v>0</v>
      </c>
      <c r="FT519" s="7">
        <v>0.81237415014589542</v>
      </c>
      <c r="FU519" s="7">
        <v>6.7917075787123582E-2</v>
      </c>
      <c r="FV519" s="7">
        <v>0.11970877406698098</v>
      </c>
      <c r="FW519" s="6">
        <v>1250</v>
      </c>
      <c r="FX519" s="6">
        <v>2281.5434618964464</v>
      </c>
      <c r="FY519" s="6">
        <v>-1898.0908300335955</v>
      </c>
      <c r="FZ519" s="6">
        <v>2411.9063952864503</v>
      </c>
      <c r="GA519" s="6">
        <v>943.20532156450656</v>
      </c>
      <c r="GB519" s="6">
        <v>18751.794678435494</v>
      </c>
      <c r="GC519" s="7">
        <v>7.6138913542514425E-2</v>
      </c>
      <c r="GD519" s="7">
        <v>6.3327192905729607E-2</v>
      </c>
      <c r="GE519" s="7"/>
      <c r="GF519" s="7"/>
      <c r="GG519" s="7">
        <v>-0.16826771017202671</v>
      </c>
      <c r="GH519" s="42">
        <v>2.2564377538308262</v>
      </c>
      <c r="GI519" s="6">
        <v>9671.564863751375</v>
      </c>
      <c r="GJ519" s="14">
        <v>0.5107463060103955</v>
      </c>
      <c r="GK519" s="14">
        <v>0.50829519786160993</v>
      </c>
      <c r="GL519" s="14">
        <v>0.48925369398960444</v>
      </c>
      <c r="GM519" s="14">
        <v>0.49170480213839041</v>
      </c>
      <c r="GO519" s="5">
        <v>338.16872463277008</v>
      </c>
      <c r="GP519" s="5">
        <v>314.32110928815564</v>
      </c>
      <c r="GQ519" s="5">
        <v>527.27910984145694</v>
      </c>
      <c r="GR519" s="5">
        <v>404.20319246551543</v>
      </c>
      <c r="GS519" s="5">
        <v>334.50205195691484</v>
      </c>
      <c r="GT519" s="5">
        <v>289.18266033348181</v>
      </c>
      <c r="GU519" s="5">
        <v>254.29573314828914</v>
      </c>
      <c r="GV519" s="39" t="s">
        <v>392</v>
      </c>
      <c r="GW519" s="5">
        <v>478.48611111111109</v>
      </c>
      <c r="GX519" s="5">
        <v>358.86458333333331</v>
      </c>
      <c r="GY519" s="5">
        <v>287.09166666666664</v>
      </c>
      <c r="GZ519" s="5">
        <v>253.32809988695078</v>
      </c>
      <c r="HA519" s="5">
        <v>234.65993859171959</v>
      </c>
      <c r="HB519" s="39">
        <v>266.66613253978761</v>
      </c>
      <c r="HC519" s="5">
        <v>366.15709881396975</v>
      </c>
      <c r="HD519" s="5">
        <v>293.00470424478971</v>
      </c>
      <c r="HE519" s="5">
        <v>290.08963443252719</v>
      </c>
      <c r="HF519" s="5">
        <v>261.59652478663213</v>
      </c>
      <c r="HG519" s="5">
        <v>243.95500845283692</v>
      </c>
      <c r="HH519" s="39">
        <v>291.14607048810325</v>
      </c>
      <c r="HI519" s="16"/>
      <c r="HJ519" s="19" t="str">
        <f t="shared" ref="HJ519:HK519" si="1724">HJ518</f>
        <v>On</v>
      </c>
      <c r="HK519" s="1" t="str">
        <f t="shared" si="1724"/>
        <v>On</v>
      </c>
      <c r="HL519" s="16"/>
      <c r="HM519" s="639">
        <f t="shared" si="1636"/>
        <v>5.1181272167489952E-2</v>
      </c>
      <c r="HN519" s="639">
        <f t="shared" si="1637"/>
        <v>4.2792051795134348E-3</v>
      </c>
      <c r="HO519" s="639">
        <f t="shared" si="1638"/>
        <v>7.4145241462331068E-3</v>
      </c>
      <c r="HP519" s="644">
        <f>(FT519*$GD519-HM519)/$JF519*INDEX(Input!$1:$1048576,$JG$93,$C519*2+6)</f>
        <v>3.116722693647128</v>
      </c>
      <c r="HQ519" s="644">
        <f>(FU519*$GD519-HN519)/$JF519*INDEX(Input!$1:$1048576,$JG$93,$C519*2+6)</f>
        <v>0.25717843833738974</v>
      </c>
      <c r="HR519" s="644">
        <f>(FV519*$GD519-HO519)/$JF519*INDEX(Input!$1:$1048576,$JG$93,$C519*2+6)</f>
        <v>1.9624968020335227</v>
      </c>
      <c r="HS519" s="644">
        <f t="shared" ref="HS519" si="1725">IF(AND(HJ519="On",HK519="On"),IL519/1000*INDEX(KG:KG,MATCH(C519*1000+3,$KF:$KF,0))*SUM(HY519:IA519)*1.1
+INDEX(HR:HR,MATCH(C519*1000+4,$KF:$KF,0))/INDEX(IM:IM,MATCH(C519*1000+4,$KF:$KF,0))*IM519*20%,0)</f>
        <v>-0.93707391737147205</v>
      </c>
      <c r="HT519" s="644">
        <f t="shared" si="1640"/>
        <v>2.6223635978618502</v>
      </c>
      <c r="HU519" s="644">
        <f t="shared" si="1641"/>
        <v>2.8100881733233471</v>
      </c>
      <c r="HV519" s="648">
        <f t="shared" si="1642"/>
        <v>0</v>
      </c>
      <c r="HW519" s="648">
        <f t="shared" si="1643"/>
        <v>0</v>
      </c>
      <c r="HX519" s="648">
        <f t="shared" si="1644"/>
        <v>0</v>
      </c>
      <c r="HY519" s="644">
        <f>INDEX(Input!$1:$1048576,HY$93,$C519*2+6)*INDEX(Input!$1:$1048576,$JG$93,$C519*2+6)</f>
        <v>345</v>
      </c>
      <c r="HZ519" s="644">
        <f>INDEX(Input!$1:$1048576,HZ$93,$C519*2+6)*INDEX(Input!$1:$1048576,$JG$93,$C519*2+6)</f>
        <v>299</v>
      </c>
      <c r="IA519" s="644">
        <f>INDEX(Input!$1:$1048576,IA$93,$C519*2+6)*INDEX(Input!$1:$1048576,$JG$93,$C519*2+6)</f>
        <v>98</v>
      </c>
      <c r="IB519" s="644">
        <f t="shared" si="1668"/>
        <v>347.17964877627554</v>
      </c>
      <c r="IC519" s="644">
        <f t="shared" si="1669"/>
        <v>301.87954203619927</v>
      </c>
      <c r="ID519" s="644">
        <f>IF(AND(INDEX(Input!$1:$1048576,IA$93,$C519*2+7)="TOS",Y519&lt;=INDEX(Y:Y,MATCH(C519*1000+2,A:A))),0,1)*MAX(IA519+HR519+HU519+HX519,0%)</f>
        <v>102.77258497535688</v>
      </c>
      <c r="IE519" s="128">
        <f t="shared" ref="IE519" si="1726">IB519/SUM($IB519:$ID519)</f>
        <v>0.46177836579528975</v>
      </c>
      <c r="IF519" s="128">
        <f t="shared" ref="IF519" si="1727">IC519/SUM($IB519:$ID519)</f>
        <v>0.40152538341421506</v>
      </c>
      <c r="IG519" s="128">
        <f t="shared" si="1646"/>
        <v>0.13669625079049533</v>
      </c>
      <c r="IH519" s="21"/>
      <c r="II519" s="19">
        <f t="shared" si="1647"/>
        <v>1200</v>
      </c>
      <c r="IJ519" s="19">
        <f t="shared" si="1648"/>
        <v>2231.5440334087361</v>
      </c>
      <c r="IK519" s="19">
        <f t="shared" si="1649"/>
        <v>-2048.0908300335955</v>
      </c>
      <c r="IL519" s="19">
        <f t="shared" si="1671"/>
        <v>50</v>
      </c>
      <c r="IM519" s="19">
        <f t="shared" si="1650"/>
        <v>49.999428487710247</v>
      </c>
      <c r="IN519" s="19">
        <f t="shared" si="1651"/>
        <v>150</v>
      </c>
      <c r="IO519" s="39">
        <f t="shared" si="1652"/>
        <v>0</v>
      </c>
      <c r="IP519" s="39">
        <f t="shared" si="1653"/>
        <v>0</v>
      </c>
      <c r="IQ519" s="39">
        <f t="shared" si="1654"/>
        <v>0</v>
      </c>
      <c r="IR519" s="39">
        <v>0</v>
      </c>
      <c r="IS519" s="39">
        <v>0</v>
      </c>
      <c r="IT519" s="39">
        <v>0</v>
      </c>
      <c r="IU519" s="39">
        <v>0</v>
      </c>
      <c r="IV519" s="39">
        <v>0</v>
      </c>
      <c r="IW519" s="39">
        <v>0</v>
      </c>
      <c r="IX519" s="39">
        <f>INDEX(Input!$1:$1048576,IX$93,$C519*2+6)+INDEX(Input!$1:$1048576,IX$94,$C519*2+6)</f>
        <v>1600</v>
      </c>
      <c r="IY519" s="39">
        <f>INDEX(Input!$1:$1048576,IY$93,$C519*2+6)+INDEX(Input!$1:$1048576,IY$94,$C519*2+6)</f>
        <v>2503.5492916397525</v>
      </c>
      <c r="IZ519" s="39">
        <f>INDEX(Input!$1:$1048576,IZ$93,$C519*2+6)+INDEX(Input!$1:$1048576,IZ$94,$C519*2+6)</f>
        <v>5413.7109265464023</v>
      </c>
      <c r="JA519" s="19">
        <f t="shared" si="1672"/>
        <v>1650</v>
      </c>
      <c r="JB519" s="19">
        <f t="shared" si="1673"/>
        <v>2553.5487201274627</v>
      </c>
      <c r="JC519" s="19">
        <f t="shared" si="1674"/>
        <v>5563.7109265464023</v>
      </c>
      <c r="JD519" s="19">
        <f t="shared" si="1675"/>
        <v>2547.787356619292</v>
      </c>
      <c r="JE519" s="21"/>
      <c r="JF519" s="1">
        <f t="shared" si="1655"/>
        <v>6.2875001493236493E-2</v>
      </c>
      <c r="JG519" s="15">
        <f>INDEX(Input!$1:$1048576,JG$93,$C519*2+6)/(1+VLOOKUP(C519*1000+INDEX(Input!$1:$1048576,JG$93+1,$C519*2+6),$A:$KK,$JK$92,FALSE))</f>
        <v>742</v>
      </c>
      <c r="JH519" s="1">
        <f t="shared" si="1676"/>
        <v>7.1919109622884643E-3</v>
      </c>
      <c r="JI519" s="1">
        <f t="shared" si="1677"/>
        <v>6.0584607194255052E-3</v>
      </c>
      <c r="JJ519" s="1">
        <f t="shared" ref="JJ519" si="1728">SUM(HV519:HX519)/SUM(HY519:IA519)</f>
        <v>0</v>
      </c>
      <c r="JK519" s="1">
        <f t="shared" ref="JK519" si="1729">SUM(JH519:JJ519)</f>
        <v>1.325037168171397E-2</v>
      </c>
      <c r="JL519" s="15">
        <f t="shared" si="1680"/>
        <v>9.8317757878317664</v>
      </c>
      <c r="JM519" s="15">
        <f t="shared" si="1706"/>
        <v>751.83177578783182</v>
      </c>
      <c r="JN519" s="21"/>
      <c r="JO519" s="19">
        <f>INDEX(Input!$1:$1048576,JO$93,$C519*2+6)</f>
        <v>5908.5</v>
      </c>
      <c r="JP519" s="19">
        <f>INDEX(Input!$1:$1048576,JP$93,$C519*2+6)</f>
        <v>2467.7963733178344</v>
      </c>
      <c r="JQ519" s="39">
        <f t="shared" si="1692"/>
        <v>3360.712643380708</v>
      </c>
      <c r="JR519" s="39">
        <f t="shared" si="1709"/>
        <v>79.990983301457618</v>
      </c>
      <c r="JS519" s="39">
        <f t="shared" si="1694"/>
        <v>1.9155074926568683</v>
      </c>
      <c r="JT519" s="39">
        <f t="shared" si="1682"/>
        <v>8.4402583655035127E-2</v>
      </c>
      <c r="JU519" s="385">
        <f>(JQ519*JM519-INDEX(Input!$1:$1048576,Input!A$18,$C519*2+6)*JL519*INDEX(Input!$1:$1048576,Input!A$19,$C519*2+6))/1000000</f>
        <v>2.526690554585536</v>
      </c>
      <c r="JV519" s="39">
        <f t="shared" si="1716"/>
        <v>-2.631153641263051E-2</v>
      </c>
      <c r="JW519" s="1">
        <f t="shared" si="1707"/>
        <v>-1.0306116279890429E-2</v>
      </c>
      <c r="JX519" s="19">
        <f t="shared" si="1698"/>
        <v>8584.6733567190822</v>
      </c>
      <c r="JZ519" s="341"/>
      <c r="KA519" s="342"/>
      <c r="KB519" s="469">
        <f t="shared" si="1695"/>
        <v>2.4623520912331753</v>
      </c>
      <c r="KI519" s="473">
        <f t="shared" si="1722"/>
        <v>2.1796487762756556</v>
      </c>
      <c r="KJ519" s="473">
        <f t="shared" si="1723"/>
        <v>2.8795420361993251</v>
      </c>
      <c r="KK519" s="473">
        <f t="shared" si="1684"/>
        <v>4.7725849753569065</v>
      </c>
      <c r="KN519" s="544">
        <f t="shared" si="1699"/>
        <v>5002</v>
      </c>
      <c r="KO519" s="541">
        <f t="shared" si="1659"/>
        <v>-5.8504264909713166E-2</v>
      </c>
      <c r="KP519" s="546">
        <f t="shared" si="1660"/>
        <v>-326.09252109194279</v>
      </c>
      <c r="KQ519" s="546">
        <f t="shared" si="1661"/>
        <v>-310.98508953241708</v>
      </c>
      <c r="KR519" s="548">
        <f t="shared" si="1662"/>
        <v>3.0205878797595336</v>
      </c>
      <c r="KS519" s="548">
        <f t="shared" si="1663"/>
        <v>3.1673258623798972</v>
      </c>
      <c r="KT519" s="473">
        <f t="shared" si="1697"/>
        <v>389.37465324503302</v>
      </c>
      <c r="KU519" s="663">
        <f t="shared" si="1685"/>
        <v>7.1958634729680782</v>
      </c>
      <c r="KV519" s="117"/>
    </row>
    <row r="520" spans="1:308" s="26" customFormat="1" ht="15">
      <c r="A520" s="561">
        <f t="shared" si="1664"/>
        <v>5020</v>
      </c>
      <c r="B520" s="561">
        <f t="shared" si="1686"/>
        <v>20</v>
      </c>
      <c r="C520" s="561">
        <f t="shared" si="1687"/>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0.9/1.9/2.9/3.9, </v>
      </c>
      <c r="E520" s="475">
        <f>INDEX(Input!$1:$1048576,E$93,$C520*2+MIN($B520,2)+5)</f>
        <v>1250</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IFERROR(MAX(0,INDEX(Input!$1:$1048576,U$93,$C520*2+MIN($B520,2)+5)+0.9%,),"Market")</f>
        <v>9.0000000000000011E-3</v>
      </c>
      <c r="V520" s="478">
        <f>IFERROR(MAX(0,INDEX(Input!$1:$1048576,V$93,$C520*2+MIN($B520,2)+5)+1%,),"Market")</f>
        <v>2.8999999999999998E-2</v>
      </c>
      <c r="W520" s="478">
        <f>IFERROR(MAX(0,INDEX(Input!$1:$1048576,W$93,$C520*2+MIN($B520,2)+5)+0%,),"Market")</f>
        <v>3.9E-2</v>
      </c>
      <c r="X520" s="476" t="str">
        <f>INDEX(Input!$1:$1048576,X$93,$C520*2+MIN($B520,2)+5)</f>
        <v>Y</v>
      </c>
      <c r="Y520" s="475">
        <f>INDEX(Input!$1:$1048576,Y$93,$C520*2+MIN($B520,2)+5)</f>
        <v>-1098.3618966787526</v>
      </c>
      <c r="Z520" s="477">
        <f>INDEX(Input!$1:$1048576,Z$93,$C520*2+MIN($B520,2)+5)</f>
        <v>0</v>
      </c>
      <c r="AA520" s="475">
        <f>INDEX(Input!$1:$1048576,AA$93,$C520*2+MIN($B520,2)+5)</f>
        <v>500</v>
      </c>
      <c r="AB520" s="476">
        <f>INDEX(Input!$1:$1048576,AB$93,$C520*2+MIN($B520,2)+5)</f>
        <v>0.43</v>
      </c>
      <c r="AC520" s="475">
        <f>INDEX(Input!$1:$1048576,AC$93,$C520*2+MIN($B520,2)+5)</f>
        <v>0</v>
      </c>
      <c r="AD520" s="476">
        <f>INDEX(Input!$1:$1048576,AD$93,$C520*2+MIN($B520,2)+5)</f>
        <v>0.35</v>
      </c>
      <c r="AE520" s="475">
        <f>INDEX(Input!$1:$1048576,AE$93,$C520*2+MIN($B520,2)+5)</f>
        <v>0</v>
      </c>
      <c r="AF520" s="476">
        <f>INDEX(Input!$1:$1048576,AF$93,$C520*2+MIN($B520,2)+5)</f>
        <v>1</v>
      </c>
      <c r="AG520" s="475">
        <f>INDEX(Input!$1:$1048576,AG$93,$C520*2+MIN($B520,2)+5)</f>
        <v>0</v>
      </c>
      <c r="AH520" s="476">
        <f>INDEX(Input!$1:$1048576,AH$93,$C520*2+MIN($B520,2)+5)</f>
        <v>1</v>
      </c>
      <c r="AI520" s="475">
        <f>INDEX(Input!$1:$1048576,AI$93,$C520*2+MIN($B520,2)+5)</f>
        <v>0</v>
      </c>
      <c r="AJ520" s="476">
        <f>INDEX(Input!$1:$1048576,AJ$93,$C520*2+MIN($B520,2)+5)</f>
        <v>0.35</v>
      </c>
      <c r="AK520" s="150">
        <f>ROUND(INDEX(Input!$1:$1048576,AK$93,$C519*2+MIN($B520,1)+5)+(Y520-VLOOKUP($C520*1000+1,$A:$HH,Y$92,FALSE)),0)</f>
        <v>4592</v>
      </c>
      <c r="AL520" s="150">
        <f>ROUND(INDEX(Input!$1:$1048576,AL$93,$C519*2+MIN($B520,1)+5)-(Y520-VLOOKUP($C520*1000+1,$A:$HH,Y$92,FALSE))/36,0)</f>
        <v>4743</v>
      </c>
      <c r="AM520" s="32" t="str">
        <f t="shared" si="1665"/>
        <v>std/std/std/std</v>
      </c>
      <c r="AN520" s="32" t="str">
        <f t="shared" si="1666"/>
        <v>$0 + 0/0/0.9/2.9/3.9</v>
      </c>
      <c r="AO520" s="32" t="str">
        <f t="shared" si="1667"/>
        <v>0/0/0.9/2.9/3.9</v>
      </c>
      <c r="AP520" s="32" t="str">
        <f t="shared" si="1621"/>
        <v>0.9/1.9/2.9/3.9</v>
      </c>
      <c r="AQ520" s="536">
        <f t="shared" si="1620"/>
        <v>0.4919845966434756</v>
      </c>
      <c r="AR520" s="32"/>
      <c r="AS520" s="302"/>
      <c r="AT520" s="3">
        <f t="shared" si="1688"/>
        <v>20</v>
      </c>
      <c r="AU520" s="41" t="s">
        <v>121</v>
      </c>
      <c r="AV520" s="41" t="s">
        <v>116</v>
      </c>
      <c r="AW520" s="41" t="str">
        <f>INDEX(Input!$1:$1048576,AW$93,$C520*2+6)</f>
        <v>Kia</v>
      </c>
      <c r="AX520" s="41" t="str">
        <f>INDEX(Input!$1:$1048576,AX$93,$C520*2+6)</f>
        <v>Kia-LR - R2</v>
      </c>
      <c r="AY520" s="41" t="str">
        <f>IF(LEN(D520)=0,"",INDEX(Input!$1:$1048576,AY$93,$C520*2+6))</f>
        <v>Compact Conventional/Sporty Car (43)</v>
      </c>
      <c r="AZ520" s="41" t="str">
        <f>INDEX(Input!$1:$1048576,AZ$93,$C520*2+6)</f>
        <v>Kia Forte</v>
      </c>
      <c r="BA520" s="3">
        <f>INDEX(Input!$1:$1048576,BA$93,$C520*2+6)</f>
        <v>2020</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19695</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622"/>
        <v>1250</v>
      </c>
      <c r="CJ520" s="16" t="str">
        <f>INDEX(Input!$1:$1048576,CJ$93,$C520*2+6)</f>
        <v>N</v>
      </c>
      <c r="CK520" s="1" t="str">
        <f t="shared" si="1623"/>
        <v>Market</v>
      </c>
      <c r="CL520" s="1" t="str">
        <f t="shared" si="1624"/>
        <v>Market</v>
      </c>
      <c r="CM520" s="1" t="str">
        <f t="shared" si="1625"/>
        <v>Market</v>
      </c>
      <c r="CN520" s="1" t="str">
        <f t="shared" si="1626"/>
        <v>Market</v>
      </c>
      <c r="CO520" s="1" t="str">
        <f t="shared" si="1627"/>
        <v>Market</v>
      </c>
      <c r="CP520" s="304">
        <f t="shared" si="1628"/>
        <v>215</v>
      </c>
      <c r="CQ520" s="1">
        <f t="shared" si="1629"/>
        <v>0</v>
      </c>
      <c r="CR520" s="1">
        <f t="shared" si="1630"/>
        <v>0</v>
      </c>
      <c r="CS520" s="1">
        <f t="shared" si="1631"/>
        <v>9.0000000000000011E-3</v>
      </c>
      <c r="CT520" s="1">
        <f t="shared" si="1632"/>
        <v>2.8999999999999998E-2</v>
      </c>
      <c r="CU520" s="1">
        <f t="shared" si="1633"/>
        <v>3.9E-2</v>
      </c>
      <c r="CV520" s="304">
        <f t="shared" si="1634"/>
        <v>-1098.3618966787526</v>
      </c>
      <c r="CW520" s="20" t="s">
        <v>122</v>
      </c>
      <c r="CX520" s="20" t="s">
        <v>122</v>
      </c>
      <c r="CY520" s="20" t="s">
        <v>122</v>
      </c>
      <c r="CZ520" s="20" t="s">
        <v>122</v>
      </c>
      <c r="DA520" s="20" t="s">
        <v>122</v>
      </c>
      <c r="DB520" s="503">
        <f t="shared" si="1635"/>
        <v>0</v>
      </c>
      <c r="DC520" s="127">
        <v>0</v>
      </c>
      <c r="DD520" s="127">
        <v>0</v>
      </c>
      <c r="DE520" s="127">
        <v>0</v>
      </c>
      <c r="DF520" s="127">
        <v>0</v>
      </c>
      <c r="DG520" s="127">
        <v>0</v>
      </c>
      <c r="DH520" s="127">
        <v>0</v>
      </c>
      <c r="DI520" s="127">
        <v>0</v>
      </c>
      <c r="DJ520" s="127">
        <v>0</v>
      </c>
      <c r="DK520" s="127">
        <v>0</v>
      </c>
      <c r="DL520" s="127">
        <v>0</v>
      </c>
      <c r="DM520" s="304">
        <f>INDEX(Input!$1:$1048576,DM$93,$C520*2+6)</f>
        <v>20731.578947368424</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4.4790205217601325E-2</v>
      </c>
      <c r="DZ520" s="7">
        <v>0</v>
      </c>
      <c r="EA520" s="7">
        <v>0.79164192384240162</v>
      </c>
      <c r="EB520" s="7">
        <v>0</v>
      </c>
      <c r="EC520" s="7">
        <v>0</v>
      </c>
      <c r="ED520" s="7">
        <v>0</v>
      </c>
      <c r="EE520" s="7">
        <v>0</v>
      </c>
      <c r="EF520" s="7">
        <v>0</v>
      </c>
      <c r="EG520" s="7">
        <v>0</v>
      </c>
      <c r="EH520" s="7">
        <v>2.1325319988710897E-2</v>
      </c>
      <c r="EI520" s="7">
        <v>2.6843479170466037E-2</v>
      </c>
      <c r="EJ520" s="7">
        <v>0.28847069002497405</v>
      </c>
      <c r="EK520" s="7">
        <v>0.59492197324057838</v>
      </c>
      <c r="EL520" s="7">
        <v>6.8438537575270644E-2</v>
      </c>
      <c r="EM520" s="7">
        <v>4.7567458750382118E-2</v>
      </c>
      <c r="EN520" s="7">
        <v>4.7389875296199944E-2</v>
      </c>
      <c r="EO520" s="7">
        <v>0.58258015687168341</v>
      </c>
      <c r="EP520" s="7">
        <v>0.25105992334296967</v>
      </c>
      <c r="EQ520" s="7">
        <v>7.2207129713611429E-2</v>
      </c>
      <c r="ER520" s="7">
        <v>4.6762914775535271E-2</v>
      </c>
      <c r="ES520" s="7">
        <v>0.11600041218961506</v>
      </c>
      <c r="ET520" s="7">
        <v>0.163567870939997</v>
      </c>
      <c r="EU520" s="6">
        <v>1600</v>
      </c>
      <c r="EV520" s="6">
        <v>0</v>
      </c>
      <c r="EW520" s="6">
        <v>1600</v>
      </c>
      <c r="EX520" s="6">
        <v>0</v>
      </c>
      <c r="EY520" s="6">
        <v>2223.5379045053742</v>
      </c>
      <c r="EZ520" s="6">
        <v>-1723.0908300335955</v>
      </c>
      <c r="FA520" s="6">
        <v>0</v>
      </c>
      <c r="FB520" s="6">
        <v>0</v>
      </c>
      <c r="FC520" s="6">
        <v>0</v>
      </c>
      <c r="FD520" s="6">
        <v>0</v>
      </c>
      <c r="FE520" s="6">
        <v>0</v>
      </c>
      <c r="FF520" s="6">
        <v>0</v>
      </c>
      <c r="FG520" s="6">
        <v>0</v>
      </c>
      <c r="FH520" s="6">
        <v>1153.9890693284972</v>
      </c>
      <c r="FI520" s="6">
        <v>1531.4299904380614</v>
      </c>
      <c r="FJ520" s="6">
        <v>1709.9775738488452</v>
      </c>
      <c r="FK520" s="6">
        <v>1266.3227157028184</v>
      </c>
      <c r="FL520" s="6">
        <v>893.91433563489386</v>
      </c>
      <c r="FM520" s="6">
        <v>1373.5379045053739</v>
      </c>
      <c r="FN520" s="6">
        <v>0</v>
      </c>
      <c r="FO520" s="6">
        <v>0</v>
      </c>
      <c r="FP520" s="6">
        <v>0</v>
      </c>
      <c r="FQ520" s="6">
        <v>0</v>
      </c>
      <c r="FR520" s="6">
        <v>0</v>
      </c>
      <c r="FS520" s="6">
        <v>0</v>
      </c>
      <c r="FT520" s="7">
        <v>0.83643212906000297</v>
      </c>
      <c r="FU520" s="7">
        <v>4.7567458750382118E-2</v>
      </c>
      <c r="FV520" s="7">
        <v>0.11600041218961506</v>
      </c>
      <c r="FW520" s="6">
        <v>1600</v>
      </c>
      <c r="FX520" s="6">
        <v>2223.5379045053742</v>
      </c>
      <c r="FY520" s="6">
        <v>-1723.0908300335955</v>
      </c>
      <c r="FZ520" s="6">
        <v>2411.9063952864503</v>
      </c>
      <c r="GA520" s="6">
        <v>1244.1802075244323</v>
      </c>
      <c r="GB520" s="6">
        <v>18450.819792475566</v>
      </c>
      <c r="GC520" s="7">
        <v>7.6138913542514425E-2</v>
      </c>
      <c r="GD520" s="7">
        <v>6.5294043272201868E-2</v>
      </c>
      <c r="GE520" s="7"/>
      <c r="GF520" s="7"/>
      <c r="GG520" s="7">
        <v>-0.14243531678787352</v>
      </c>
      <c r="GH520" s="42">
        <v>2.4023299242038409</v>
      </c>
      <c r="GI520" s="6">
        <v>9442.471292179318</v>
      </c>
      <c r="GJ520" s="14">
        <v>0.51074630601039561</v>
      </c>
      <c r="GK520" s="14">
        <v>0.5082951978616097</v>
      </c>
      <c r="GL520" s="14">
        <v>0.48925369398960417</v>
      </c>
      <c r="GM520" s="14">
        <v>0.49170480213839018</v>
      </c>
      <c r="GO520" s="5">
        <v>338.16872463277008</v>
      </c>
      <c r="GP520" s="5">
        <v>307.64377699166363</v>
      </c>
      <c r="GQ520" s="5">
        <v>527.27910984145694</v>
      </c>
      <c r="GR520" s="5">
        <v>404.20319246551543</v>
      </c>
      <c r="GS520" s="5">
        <v>334.50205195691484</v>
      </c>
      <c r="GT520" s="5">
        <v>289.18266033348181</v>
      </c>
      <c r="GU520" s="5">
        <v>254.29573314828914</v>
      </c>
      <c r="GV520" s="39" t="s">
        <v>392</v>
      </c>
      <c r="GW520" s="5">
        <v>468.76388888888891</v>
      </c>
      <c r="GX520" s="5">
        <v>351.57291666666669</v>
      </c>
      <c r="GY520" s="5">
        <v>287.73954748358943</v>
      </c>
      <c r="GZ520" s="5">
        <v>255.64660634518972</v>
      </c>
      <c r="HA520" s="5">
        <v>229.8919505212948</v>
      </c>
      <c r="HB520" s="39">
        <v>270.26165839835613</v>
      </c>
      <c r="HC520" s="5">
        <v>358.50084881396981</v>
      </c>
      <c r="HD520" s="5">
        <v>287.77900980034525</v>
      </c>
      <c r="HE520" s="5">
        <v>285.23787161201437</v>
      </c>
      <c r="HF520" s="5">
        <v>257.54964978663213</v>
      </c>
      <c r="HG520" s="5">
        <v>240.60084178617024</v>
      </c>
      <c r="HH520" s="39">
        <v>286.10356700337013</v>
      </c>
      <c r="HI520" s="16"/>
      <c r="HJ520" s="19" t="str">
        <f t="shared" ref="HJ520:HK520" si="1730">HJ519</f>
        <v>On</v>
      </c>
      <c r="HK520" s="1" t="str">
        <f t="shared" si="1730"/>
        <v>On</v>
      </c>
      <c r="HL520" s="16"/>
      <c r="HM520" s="639">
        <f t="shared" si="1636"/>
        <v>5.1181272167489952E-2</v>
      </c>
      <c r="HN520" s="639">
        <f t="shared" si="1637"/>
        <v>4.2792051795134348E-3</v>
      </c>
      <c r="HO520" s="639">
        <f t="shared" si="1638"/>
        <v>7.4145241462331068E-3</v>
      </c>
      <c r="HP520" s="644">
        <f>(FT520*$GD520-HM520)/$JF520*INDEX(Input!$1:$1048576,$JG$93,$C520*2+6)</f>
        <v>40.51070263261068</v>
      </c>
      <c r="HQ520" s="644">
        <f>(FU520*$GD520-HN520)/$JF520*INDEX(Input!$1:$1048576,$JG$93,$C520*2+6)</f>
        <v>-13.846734214002277</v>
      </c>
      <c r="HR520" s="644">
        <f>(FV520*$GD520-HO520)/$JF520*INDEX(Input!$1:$1048576,$JG$93,$C520*2+6)</f>
        <v>1.8836094321117851</v>
      </c>
      <c r="HS520" s="644">
        <f t="shared" ref="HS520" si="1731">IF(AND(HJ520="On",HK520="On"),IL520/1000*INDEX(KG:KG,MATCH(C520*1000+3,$KF:$KF,0))*SUM(HY520:IA520)*1.1
+INDEX(HR:HR,MATCH(C520*1000+4,$KF:$KF,0))/INDEX(IM:IM,MATCH(C520*1000+4,$KF:$KF,0))*IM520*20%,0)</f>
        <v>-7.4111130135869949</v>
      </c>
      <c r="HT520" s="644">
        <f t="shared" si="1640"/>
        <v>-1.337167911145809</v>
      </c>
      <c r="HU520" s="644">
        <f t="shared" si="1641"/>
        <v>6.7198644432445205</v>
      </c>
      <c r="HV520" s="648">
        <f t="shared" si="1642"/>
        <v>0</v>
      </c>
      <c r="HW520" s="648">
        <f t="shared" si="1643"/>
        <v>0</v>
      </c>
      <c r="HX520" s="648">
        <f t="shared" si="1644"/>
        <v>0</v>
      </c>
      <c r="HY520" s="644">
        <f>INDEX(Input!$1:$1048576,HY$93,$C520*2+6)*INDEX(Input!$1:$1048576,$JG$93,$C520*2+6)</f>
        <v>345</v>
      </c>
      <c r="HZ520" s="644">
        <f>INDEX(Input!$1:$1048576,HZ$93,$C520*2+6)*INDEX(Input!$1:$1048576,$JG$93,$C520*2+6)</f>
        <v>299</v>
      </c>
      <c r="IA520" s="644">
        <f>INDEX(Input!$1:$1048576,IA$93,$C520*2+6)*INDEX(Input!$1:$1048576,$JG$93,$C520*2+6)</f>
        <v>98</v>
      </c>
      <c r="IB520" s="644">
        <f t="shared" si="1668"/>
        <v>378.09958961902367</v>
      </c>
      <c r="IC520" s="644">
        <f t="shared" si="1669"/>
        <v>283.81609787485195</v>
      </c>
      <c r="ID520" s="644">
        <f>IF(AND(INDEX(Input!$1:$1048576,IA$93,$C520*2+7)="TOS",Y520&lt;=INDEX(Y:Y,MATCH(C520*1000+2,A:A))),0,1)*MAX(IA520+HR520+HU520+HX520,0%)</f>
        <v>106.6034738753563</v>
      </c>
      <c r="IE520" s="128">
        <f t="shared" ref="IE520" si="1732">IB520/SUM($IB520:$ID520)</f>
        <v>0.4919845966434756</v>
      </c>
      <c r="IF520" s="128">
        <f t="shared" ref="IF520" si="1733">IC520/SUM($IB520:$ID520)</f>
        <v>0.36930256542880613</v>
      </c>
      <c r="IG520" s="128">
        <f t="shared" si="1646"/>
        <v>0.13871283792771838</v>
      </c>
      <c r="IH520" s="21"/>
      <c r="II520" s="19">
        <f t="shared" si="1647"/>
        <v>1200</v>
      </c>
      <c r="IJ520" s="19">
        <f t="shared" si="1648"/>
        <v>2231.5440334087361</v>
      </c>
      <c r="IK520" s="19">
        <f t="shared" si="1649"/>
        <v>-2048.0908300335955</v>
      </c>
      <c r="IL520" s="19">
        <f t="shared" si="1671"/>
        <v>400</v>
      </c>
      <c r="IM520" s="19">
        <f t="shared" si="1650"/>
        <v>-8.0061289033619687</v>
      </c>
      <c r="IN520" s="19">
        <f t="shared" si="1651"/>
        <v>325</v>
      </c>
      <c r="IO520" s="39">
        <f t="shared" si="1652"/>
        <v>0</v>
      </c>
      <c r="IP520" s="39">
        <f t="shared" si="1653"/>
        <v>0</v>
      </c>
      <c r="IQ520" s="39">
        <f t="shared" si="1654"/>
        <v>0</v>
      </c>
      <c r="IR520" s="39">
        <v>0</v>
      </c>
      <c r="IS520" s="39">
        <v>0</v>
      </c>
      <c r="IT520" s="39">
        <v>0</v>
      </c>
      <c r="IU520" s="39">
        <v>0</v>
      </c>
      <c r="IV520" s="39">
        <v>0</v>
      </c>
      <c r="IW520" s="39">
        <v>0</v>
      </c>
      <c r="IX520" s="39">
        <f>INDEX(Input!$1:$1048576,IX$93,$C520*2+6)+INDEX(Input!$1:$1048576,IX$94,$C520*2+6)</f>
        <v>1600</v>
      </c>
      <c r="IY520" s="39">
        <f>INDEX(Input!$1:$1048576,IY$93,$C520*2+6)+INDEX(Input!$1:$1048576,IY$94,$C520*2+6)</f>
        <v>2503.5492916397525</v>
      </c>
      <c r="IZ520" s="39">
        <f>INDEX(Input!$1:$1048576,IZ$93,$C520*2+6)+INDEX(Input!$1:$1048576,IZ$94,$C520*2+6)</f>
        <v>5413.7109265464023</v>
      </c>
      <c r="JA520" s="19">
        <f t="shared" si="1672"/>
        <v>2000</v>
      </c>
      <c r="JB520" s="19">
        <f t="shared" si="1673"/>
        <v>2495.5431627363905</v>
      </c>
      <c r="JC520" s="19">
        <f t="shared" si="1674"/>
        <v>5738.7109265464023</v>
      </c>
      <c r="JD520" s="19">
        <f t="shared" si="1675"/>
        <v>2701.6125640918744</v>
      </c>
      <c r="JE520" s="21"/>
      <c r="JF520" s="1">
        <f t="shared" si="1655"/>
        <v>6.2875001493236493E-2</v>
      </c>
      <c r="JG520" s="15">
        <f>INDEX(Input!$1:$1048576,JG$93,$C520*2+6)/(1+VLOOKUP(C520*1000+INDEX(Input!$1:$1048576,JG$93+1,$C520*2+6),$A:$KK,$JK$92,FALSE))</f>
        <v>742</v>
      </c>
      <c r="JH520" s="1">
        <f t="shared" si="1676"/>
        <v>3.8473824596657942E-2</v>
      </c>
      <c r="JI520" s="1">
        <f t="shared" si="1677"/>
        <v>-2.7337149346203277E-3</v>
      </c>
      <c r="JJ520" s="1">
        <f t="shared" ref="JJ520" si="1734">SUM(HV520:HX520)/SUM(HY520:IA520)</f>
        <v>0</v>
      </c>
      <c r="JK520" s="1">
        <f t="shared" ref="JK520" si="1735">SUM(JH520:JJ520)</f>
        <v>3.5740109662037611E-2</v>
      </c>
      <c r="JL520" s="15">
        <f t="shared" si="1680"/>
        <v>26.519161369231906</v>
      </c>
      <c r="JM520" s="15">
        <f t="shared" si="1706"/>
        <v>768.51916136923194</v>
      </c>
      <c r="JN520" s="21"/>
      <c r="JO520" s="19">
        <f>INDEX(Input!$1:$1048576,JO$93,$C520*2+6)</f>
        <v>5908.5</v>
      </c>
      <c r="JP520" s="19">
        <f>INDEX(Input!$1:$1048576,JP$93,$C520*2+6)</f>
        <v>2467.7963733178344</v>
      </c>
      <c r="JQ520" s="39">
        <f t="shared" si="1692"/>
        <v>3206.8874359081256</v>
      </c>
      <c r="JR520" s="39">
        <f t="shared" si="1709"/>
        <v>233.81619077404002</v>
      </c>
      <c r="JS520" s="39">
        <f t="shared" si="1694"/>
        <v>2.0762410221004677</v>
      </c>
      <c r="JT520" s="39">
        <f t="shared" si="1682"/>
        <v>0.24513611309863464</v>
      </c>
      <c r="JU520" s="385">
        <f>(JQ520*JM520-INDEX(Input!$1:$1048576,Input!A$18,$C520*2+6)*JL520*INDEX(Input!$1:$1048576,Input!A$19,$C520*2+6))/1000000</f>
        <v>2.4645544428496393</v>
      </c>
      <c r="JV520" s="39">
        <f t="shared" si="1716"/>
        <v>-8.8447648148527236E-2</v>
      </c>
      <c r="JW520" s="1">
        <f t="shared" si="1707"/>
        <v>-3.4644565494243752E-2</v>
      </c>
      <c r="JX520" s="19">
        <f t="shared" si="1698"/>
        <v>9243.7354894279106</v>
      </c>
      <c r="JZ520" s="341"/>
      <c r="KA520" s="342"/>
      <c r="KB520" s="469">
        <f t="shared" si="1695"/>
        <v>2.4623520912331753</v>
      </c>
      <c r="KI520" s="473">
        <f t="shared" si="1722"/>
        <v>33.099589619023732</v>
      </c>
      <c r="KJ520" s="473">
        <f t="shared" si="1723"/>
        <v>-15.183902125147995</v>
      </c>
      <c r="KK520" s="473">
        <f t="shared" si="1684"/>
        <v>8.6034738753563147</v>
      </c>
      <c r="KN520" s="544">
        <f t="shared" si="1699"/>
        <v>5002</v>
      </c>
      <c r="KO520" s="541">
        <f t="shared" si="1659"/>
        <v>-3.7607166834506156E-2</v>
      </c>
      <c r="KP520" s="546">
        <f t="shared" si="1660"/>
        <v>-150.69071122982109</v>
      </c>
      <c r="KQ520" s="546">
        <f t="shared" si="1661"/>
        <v>-157.15988205983467</v>
      </c>
      <c r="KR520" s="548">
        <f t="shared" si="1662"/>
        <v>4.2017375411788596</v>
      </c>
      <c r="KS520" s="548">
        <f t="shared" si="1663"/>
        <v>4.0287814560730029</v>
      </c>
      <c r="KT520" s="473">
        <f t="shared" si="1697"/>
        <v>389.37465324503302</v>
      </c>
      <c r="KU520" s="663">
        <f t="shared" si="1685"/>
        <v>7.0985759573408531</v>
      </c>
      <c r="KV520" s="117"/>
    </row>
    <row r="521" spans="1:308" s="26" customFormat="1" ht="15">
      <c r="A521" s="561">
        <f t="shared" si="1664"/>
        <v>5021</v>
      </c>
      <c r="B521" s="561">
        <f t="shared" si="1686"/>
        <v>21</v>
      </c>
      <c r="C521" s="561">
        <f t="shared" si="1687"/>
        <v>5</v>
      </c>
      <c r="D521" s="561" t="str">
        <f t="shared" ref="D521:D552" si="1736">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0/0/0.9/3.9, </v>
      </c>
      <c r="E521" s="475">
        <f>INDEX(Input!$1:$1048576,E$93,$C521*2+MIN($B521,2)+5)
+INDEX(Scenarios!E$121:E$200,MATCH($B521,Scenarios!$B$121:$B$200,0))</f>
        <v>1250</v>
      </c>
      <c r="F521" s="475">
        <f>INDEX(Input!$1:$1048576,F$93,$C521*2+MIN($B521,2)+5)
+INDEX(Scenarios!F$121:F$200,MATCH($B521,Scenarios!$B$121:$B$200,0))</f>
        <v>0</v>
      </c>
      <c r="G521" s="475">
        <f>INDEX(Input!$1:$1048576,G$93,$C521*2+MIN($B521,2)+5)
+INDEX(Scenarios!G$121:G$200,MATCH($B521,Scenarios!$B$121:$B$200,0))</f>
        <v>0</v>
      </c>
      <c r="H521" s="475">
        <f>INDEX(Input!$1:$1048576,H$93,$C521*2+MIN($B521,2)+5)
+INDEX(Scenarios!H$121:H$200,MATCH($B521,Scenarios!$B$121:$B$200,0))</f>
        <v>0</v>
      </c>
      <c r="I521" s="476">
        <f>INDEX(Input!$1:$1048576,I$93,$C521*2+MIN($B521,2)+5)</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+INDEX(Scenarios!Q$121:Q$200,MATCH($B521,Scenarios!$B$121:$B$200,0))</f>
        <v>0</v>
      </c>
      <c r="R521" s="478">
        <f>IFERROR(MAX(0,INDEX(Input!$1:$1048576,R$93,$C521*2+MIN($B521,2)+5)
+INDEX(Scenarios!R$121:R$200,MATCH($B521,Scenarios!$B$121:$B$200,0)),),"Market")</f>
        <v>0</v>
      </c>
      <c r="S521" s="478">
        <f>IFERROR(MAX(0,INDEX(Input!$1:$1048576,S$93,$C521*2+MIN($B521,2)+5)
+INDEX(Scenarios!S$121:S$200,MATCH($B521,Scenarios!$B$121:$B$200,0)),),"Market")</f>
        <v>0</v>
      </c>
      <c r="T521" s="478">
        <f>IFERROR(MAX(0,INDEX(Input!$1:$1048576,T$93,$C521*2+MIN($B521,2)+5)
+INDEX(Scenarios!T$121:T$200,MATCH($B521,Scenarios!$B$121:$B$200,0)),),"Market")</f>
        <v>0</v>
      </c>
      <c r="U521" s="478">
        <f>IFERROR(MAX(0,INDEX(Input!$1:$1048576,U$93,$C521*2+MIN($B521,2)+5)
+INDEX(Scenarios!U$121:U$200,MATCH($B521,Scenarios!$B$121:$B$200,0)),),"Market")</f>
        <v>0</v>
      </c>
      <c r="V521" s="478">
        <f>IFERROR(MAX(0,INDEX(Input!$1:$1048576,V$93,$C521*2+MIN($B521,2)+5)
+INDEX(Scenarios!V$121:V$200,MATCH($B521,Scenarios!$B$121:$B$200,0)),),"Market")</f>
        <v>8.9999999999999993E-3</v>
      </c>
      <c r="W521" s="863">
        <f>IFERROR(MAX(0,INDEX(Input!$1:$1048576,W$93,$C521*2+MIN($B521,2)+5)-0%,),"Market")</f>
        <v>3.9E-2</v>
      </c>
      <c r="X521" s="476" t="str">
        <f>INDEX(Input!$1:$1048576,X$93,$C521*2+MIN($B521,2)+5)</f>
        <v>Y</v>
      </c>
      <c r="Y521" s="475">
        <f>INDEX(Input!$1:$1048576,Y$93,$C521*2+MIN($B521,2)+5)
++INDEX(Scenarios!Y$121:Y$200,MATCH($B521,Scenarios!$B$121:$B$200,0))</f>
        <v>-1098.3618966787526</v>
      </c>
      <c r="Z521" s="477">
        <f>INDEX(Input!$1:$1048576,Z$93,$C521*2+MIN($B521,2)+5)
+INDEX(Scenarios!Z$121:Z$200,MATCH($B521,Scenarios!$B$121:$B$200,0))</f>
        <v>0</v>
      </c>
      <c r="AA521" s="475">
        <f>INDEX(Input!$1:$1048576,AA$93,$C521*2+MIN($B521,2)+5)</f>
        <v>500</v>
      </c>
      <c r="AB521" s="476">
        <f>INDEX(Input!$1:$1048576,AB$93,$C521*2+MIN($B521,2)+5)</f>
        <v>0.43</v>
      </c>
      <c r="AC521" s="475">
        <f>INDEX(Input!$1:$1048576,AC$93,$C521*2+MIN($B521,2)+5)
+INDEX(Scenarios!AC$121:AC$200,MATCH($B521,Scenarios!$B$121:$B$200,0))</f>
        <v>0</v>
      </c>
      <c r="AD521" s="476">
        <f>INDEX(Input!$1:$1048576,AD$93,$C521*2+MIN($B521,2)+5)</f>
        <v>0.35</v>
      </c>
      <c r="AE521" s="475">
        <f>INDEX(Input!$1:$1048576,AE$93,$C521*2+MIN($B521,2)+5)
+INDEX(Scenarios!AE$121:AE$200,MATCH($B521,Scenarios!$B$121:$B$200,0))</f>
        <v>0</v>
      </c>
      <c r="AF521" s="476">
        <f>INDEX(Input!$1:$1048576,AF$93,$C521*2+MIN($B521,2)+5)</f>
        <v>1</v>
      </c>
      <c r="AG521" s="475">
        <f>INDEX(Input!$1:$1048576,AG$93,$C521*2+MIN($B521,2)+5)
+INDEX(Scenarios!AG$121:AG$200,MATCH($B521,Scenarios!$B$121:$B$200,0))</f>
        <v>0</v>
      </c>
      <c r="AH521" s="476">
        <f>INDEX(Input!$1:$1048576,AH$93,$C521*2+MIN($B521,2)+5)</f>
        <v>1</v>
      </c>
      <c r="AI521" s="475">
        <f>INDEX(Input!$1:$1048576,AI$93,$C521*2+MIN($B521,2)+5)
+INDEX(Scenarios!AI$121:AI$200,MATCH($B521,Scenarios!$B$121:$B$200,0))</f>
        <v>0</v>
      </c>
      <c r="AJ521" s="476">
        <f>INDEX(Input!$1:$1048576,AJ$93,$C521*2+MIN($B521,2)+5)</f>
        <v>0.35</v>
      </c>
      <c r="AK521" s="150">
        <f>ROUND(INDEX(Input!$1:$1048576,AK$93,$C520*2+MIN($B521,1)+5)+(Y521-VLOOKUP($C521*1000+1,$A:$HH,Y$92,FALSE)),0)</f>
        <v>4592</v>
      </c>
      <c r="AL521" s="150">
        <f>ROUND(INDEX(Input!$1:$1048576,AL$93,$C520*2+MIN($B521,1)+5)-(Y521-VLOOKUP($C521*1000+1,$A:$HH,Y$92,FALSE))/36,0)</f>
        <v>4743</v>
      </c>
      <c r="AM521" s="32" t="str">
        <f t="shared" si="1665"/>
        <v>std/std/std/std</v>
      </c>
      <c r="AN521" s="32" t="str">
        <f t="shared" si="1666"/>
        <v>$0 + 0/0/0/0.9/3.9</v>
      </c>
      <c r="AO521" s="32" t="str">
        <f t="shared" si="1667"/>
        <v>0/0/0/0.9/3.9</v>
      </c>
      <c r="AP521" s="32" t="str">
        <f t="shared" si="1621"/>
        <v>0/0/0.9/3.9</v>
      </c>
      <c r="AQ521" s="536">
        <f t="shared" si="1620"/>
        <v>0.43692469992035787</v>
      </c>
      <c r="AR521" s="32"/>
      <c r="AS521" s="302"/>
      <c r="AT521" s="3">
        <f t="shared" si="1688"/>
        <v>21</v>
      </c>
      <c r="AU521" s="41" t="s">
        <v>121</v>
      </c>
      <c r="AV521" s="41" t="s">
        <v>116</v>
      </c>
      <c r="AW521" s="41" t="str">
        <f>INDEX(Input!$1:$1048576,AW$93,$C521*2+6)</f>
        <v>Kia</v>
      </c>
      <c r="AX521" s="41" t="str">
        <f>INDEX(Input!$1:$1048576,AX$93,$C521*2+6)</f>
        <v>Kia-LR - R2</v>
      </c>
      <c r="AY521" s="41" t="str">
        <f>IF(LEN(D521)=0,"",INDEX(Input!$1:$1048576,AY$93,$C521*2+6))</f>
        <v>Compact Conventional/Sporty Car (43)</v>
      </c>
      <c r="AZ521" s="41" t="str">
        <f>INDEX(Input!$1:$1048576,AZ$93,$C521*2+6)</f>
        <v>Kia Forte</v>
      </c>
      <c r="BA521" s="3">
        <f>INDEX(Input!$1:$1048576,BA$93,$C521*2+6)</f>
        <v>2020</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19695</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622"/>
        <v>1250</v>
      </c>
      <c r="CJ521" s="16" t="str">
        <f>INDEX(Input!$1:$1048576,CJ$93,$C521*2+6)</f>
        <v>N</v>
      </c>
      <c r="CK521" s="1" t="str">
        <f t="shared" si="1623"/>
        <v>Market</v>
      </c>
      <c r="CL521" s="1" t="str">
        <f t="shared" si="1624"/>
        <v>Market</v>
      </c>
      <c r="CM521" s="1" t="str">
        <f t="shared" si="1625"/>
        <v>Market</v>
      </c>
      <c r="CN521" s="1" t="str">
        <f t="shared" si="1626"/>
        <v>Market</v>
      </c>
      <c r="CO521" s="1" t="str">
        <f t="shared" si="1627"/>
        <v>Market</v>
      </c>
      <c r="CP521" s="304">
        <f t="shared" si="1628"/>
        <v>215</v>
      </c>
      <c r="CQ521" s="1">
        <f t="shared" si="1629"/>
        <v>0</v>
      </c>
      <c r="CR521" s="1">
        <f t="shared" si="1630"/>
        <v>0</v>
      </c>
      <c r="CS521" s="1">
        <f t="shared" si="1631"/>
        <v>0</v>
      </c>
      <c r="CT521" s="1">
        <f t="shared" si="1632"/>
        <v>8.9999999999999993E-3</v>
      </c>
      <c r="CU521" s="1">
        <f t="shared" si="1633"/>
        <v>3.9E-2</v>
      </c>
      <c r="CV521" s="304">
        <f t="shared" si="1634"/>
        <v>-1098.3618966787526</v>
      </c>
      <c r="CW521" s="20" t="s">
        <v>122</v>
      </c>
      <c r="CX521" s="20" t="s">
        <v>122</v>
      </c>
      <c r="CY521" s="20" t="s">
        <v>122</v>
      </c>
      <c r="CZ521" s="20" t="s">
        <v>122</v>
      </c>
      <c r="DA521" s="20" t="s">
        <v>122</v>
      </c>
      <c r="DB521" s="503">
        <f t="shared" si="1635"/>
        <v>0</v>
      </c>
      <c r="DC521" s="127">
        <v>0</v>
      </c>
      <c r="DD521" s="127">
        <v>0</v>
      </c>
      <c r="DE521" s="127">
        <v>0</v>
      </c>
      <c r="DF521" s="127">
        <v>0</v>
      </c>
      <c r="DG521" s="127">
        <v>0</v>
      </c>
      <c r="DH521" s="127">
        <v>0</v>
      </c>
      <c r="DI521" s="127">
        <v>0</v>
      </c>
      <c r="DJ521" s="127">
        <v>0</v>
      </c>
      <c r="DK521" s="127">
        <v>0</v>
      </c>
      <c r="DL521" s="127">
        <v>0</v>
      </c>
      <c r="DM521" s="304">
        <f>INDEX(Input!$1:$1048576,DM$93,$C521*2+6)</f>
        <v>20731.578947368424</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4.2660858655637304E-2</v>
      </c>
      <c r="DZ521" s="7">
        <v>0</v>
      </c>
      <c r="EA521" s="7">
        <v>0.75460772851436575</v>
      </c>
      <c r="EB521" s="7">
        <v>0</v>
      </c>
      <c r="EC521" s="7">
        <v>0</v>
      </c>
      <c r="ED521" s="7">
        <v>0</v>
      </c>
      <c r="EE521" s="7">
        <v>0</v>
      </c>
      <c r="EF521" s="7">
        <v>0</v>
      </c>
      <c r="EG521" s="7">
        <v>0</v>
      </c>
      <c r="EH521" s="7">
        <v>1.0389982675459304E-2</v>
      </c>
      <c r="EI521" s="7">
        <v>1.3086226189349444E-2</v>
      </c>
      <c r="EJ521" s="7">
        <v>0.19246019031837105</v>
      </c>
      <c r="EK521" s="7">
        <v>0.75069406082154522</v>
      </c>
      <c r="EL521" s="7">
        <v>3.3369539995274873E-2</v>
      </c>
      <c r="EM521" s="7">
        <v>9.2622670790468764E-2</v>
      </c>
      <c r="EN521" s="7">
        <v>4.7387774965257923E-2</v>
      </c>
      <c r="EO521" s="7">
        <v>0.58258163411302</v>
      </c>
      <c r="EP521" s="7">
        <v>0.25107513069620879</v>
      </c>
      <c r="EQ521" s="7">
        <v>7.2209891682056729E-2</v>
      </c>
      <c r="ER521" s="7">
        <v>4.674556854345685E-2</v>
      </c>
      <c r="ES521" s="7">
        <v>0.11010874203952835</v>
      </c>
      <c r="ET521" s="7">
        <v>0.20273141282999696</v>
      </c>
      <c r="EU521" s="6">
        <v>1600</v>
      </c>
      <c r="EV521" s="6">
        <v>0</v>
      </c>
      <c r="EW521" s="6">
        <v>1600</v>
      </c>
      <c r="EX521" s="6">
        <v>0</v>
      </c>
      <c r="EY521" s="6">
        <v>2975.9107218438712</v>
      </c>
      <c r="EZ521" s="6">
        <v>-1723.0908300335955</v>
      </c>
      <c r="FA521" s="6">
        <v>0</v>
      </c>
      <c r="FB521" s="6">
        <v>0</v>
      </c>
      <c r="FC521" s="6">
        <v>0</v>
      </c>
      <c r="FD521" s="6">
        <v>0</v>
      </c>
      <c r="FE521" s="6">
        <v>0</v>
      </c>
      <c r="FF521" s="6">
        <v>0</v>
      </c>
      <c r="FG521" s="6">
        <v>0</v>
      </c>
      <c r="FH521" s="6">
        <v>1153.9862001754002</v>
      </c>
      <c r="FI521" s="6">
        <v>1531.4299904380618</v>
      </c>
      <c r="FJ521" s="6">
        <v>2070.7205842538228</v>
      </c>
      <c r="FK521" s="6">
        <v>2218.639369850101</v>
      </c>
      <c r="FL521" s="6">
        <v>893.91433563489409</v>
      </c>
      <c r="FM521" s="6">
        <v>2125.9107218438712</v>
      </c>
      <c r="FN521" s="6">
        <v>0</v>
      </c>
      <c r="FO521" s="6">
        <v>0</v>
      </c>
      <c r="FP521" s="6">
        <v>0</v>
      </c>
      <c r="FQ521" s="6">
        <v>0</v>
      </c>
      <c r="FR521" s="6">
        <v>0</v>
      </c>
      <c r="FS521" s="6">
        <v>0</v>
      </c>
      <c r="FT521" s="7">
        <v>0.79726858717000304</v>
      </c>
      <c r="FU521" s="7">
        <v>9.2622670790468764E-2</v>
      </c>
      <c r="FV521" s="7">
        <v>0.11010874203952835</v>
      </c>
      <c r="FW521" s="6">
        <v>1599.9999999999998</v>
      </c>
      <c r="FX521" s="6">
        <v>2975.9107218438712</v>
      </c>
      <c r="FY521" s="6">
        <v>-1723.0908300335955</v>
      </c>
      <c r="FZ521" s="6">
        <v>2411.9063952864503</v>
      </c>
      <c r="GA521" s="6">
        <v>1361.5391748483298</v>
      </c>
      <c r="GB521" s="6">
        <v>18333.460825151669</v>
      </c>
      <c r="GC521" s="7">
        <v>7.6138913542514425E-2</v>
      </c>
      <c r="GD521" s="7">
        <v>6.6705137840561632E-2</v>
      </c>
      <c r="GE521" s="7"/>
      <c r="GF521" s="7"/>
      <c r="GG521" s="7">
        <v>-0.12390215808221593</v>
      </c>
      <c r="GH521" s="42">
        <v>2.3232379647295014</v>
      </c>
      <c r="GI521" s="6">
        <v>9838.931632703212</v>
      </c>
      <c r="GJ521" s="14">
        <v>0.51074630601039539</v>
      </c>
      <c r="GK521" s="14">
        <v>0.50829519786160959</v>
      </c>
      <c r="GL521" s="14">
        <v>0.48925369398960428</v>
      </c>
      <c r="GM521" s="14">
        <v>0.49170480213839002</v>
      </c>
      <c r="GO521" s="5">
        <v>338.16872463277008</v>
      </c>
      <c r="GP521" s="5">
        <v>307.64377699166363</v>
      </c>
      <c r="GQ521" s="5">
        <v>527.27910984145694</v>
      </c>
      <c r="GR521" s="5">
        <v>404.20319246551543</v>
      </c>
      <c r="GS521" s="5">
        <v>334.50205195691484</v>
      </c>
      <c r="GT521" s="5">
        <v>289.18266033348181</v>
      </c>
      <c r="GU521" s="5">
        <v>254.29573314828914</v>
      </c>
      <c r="GV521" s="39" t="s">
        <v>392</v>
      </c>
      <c r="GW521" s="5">
        <v>468.76388888888891</v>
      </c>
      <c r="GX521" s="5">
        <v>351.57291666666669</v>
      </c>
      <c r="GY521" s="5">
        <v>281.25833333333333</v>
      </c>
      <c r="GZ521" s="5">
        <v>240.8550698915011</v>
      </c>
      <c r="HA521" s="5">
        <v>229.8919505212948</v>
      </c>
      <c r="HB521" s="39">
        <v>252.08210287976712</v>
      </c>
      <c r="HC521" s="5">
        <v>358.50084881396981</v>
      </c>
      <c r="HD521" s="5">
        <v>287.77900980034525</v>
      </c>
      <c r="HE521" s="5">
        <v>285.23787161201437</v>
      </c>
      <c r="HF521" s="5">
        <v>257.54964978663213</v>
      </c>
      <c r="HG521" s="5">
        <v>240.60084178617024</v>
      </c>
      <c r="HH521" s="39">
        <v>286.10411469103042</v>
      </c>
      <c r="HI521" s="16"/>
      <c r="HJ521" s="19" t="str">
        <f t="shared" ref="HJ521:HK534" si="1737">HJ520</f>
        <v>On</v>
      </c>
      <c r="HK521" s="1" t="str">
        <f t="shared" si="1737"/>
        <v>On</v>
      </c>
      <c r="HL521" s="16"/>
      <c r="HM521" s="639">
        <f t="shared" si="1636"/>
        <v>5.1181272167489952E-2</v>
      </c>
      <c r="HN521" s="639">
        <f t="shared" si="1637"/>
        <v>4.2792051795134348E-3</v>
      </c>
      <c r="HO521" s="639">
        <f t="shared" si="1638"/>
        <v>7.4145241462331068E-3</v>
      </c>
      <c r="HP521" s="644">
        <f>(FT521*$GD521-HM521)/$JF521*INDEX(Input!$1:$1048576,$JG$93,$C521*2+6)</f>
        <v>23.609924147688531</v>
      </c>
      <c r="HQ521" s="644">
        <f>(FU521*$GD521-HN521)/$JF521*INDEX(Input!$1:$1048576,$JG$93,$C521*2+6)</f>
        <v>22.412858462581397</v>
      </c>
      <c r="HR521" s="644">
        <f>(FV521*$GD521-HO521)/$JF521*INDEX(Input!$1:$1048576,$JG$93,$C521*2+6)</f>
        <v>-0.82260603419505862</v>
      </c>
      <c r="HS521" s="644">
        <f t="shared" si="1639"/>
        <v>-7.5687388054950722</v>
      </c>
      <c r="HT521" s="644">
        <f t="shared" si="1640"/>
        <v>39.814659120387084</v>
      </c>
      <c r="HU521" s="644">
        <f t="shared" si="1641"/>
        <v>6.8774902351526013</v>
      </c>
      <c r="HV521" s="648">
        <f t="shared" si="1642"/>
        <v>0</v>
      </c>
      <c r="HW521" s="648">
        <f t="shared" si="1643"/>
        <v>0</v>
      </c>
      <c r="HX521" s="648">
        <f t="shared" si="1644"/>
        <v>0</v>
      </c>
      <c r="HY521" s="644">
        <f>INDEX(Input!$1:$1048576,HY$93,$C521*2+6)*INDEX(Input!$1:$1048576,$JG$93,$C521*2+6)</f>
        <v>345</v>
      </c>
      <c r="HZ521" s="644">
        <f>INDEX(Input!$1:$1048576,HZ$93,$C521*2+6)*INDEX(Input!$1:$1048576,$JG$93,$C521*2+6)</f>
        <v>299</v>
      </c>
      <c r="IA521" s="644">
        <f>INDEX(Input!$1:$1048576,IA$93,$C521*2+6)*INDEX(Input!$1:$1048576,$JG$93,$C521*2+6)</f>
        <v>98</v>
      </c>
      <c r="IB521" s="644">
        <f t="shared" si="1668"/>
        <v>361.04118534219344</v>
      </c>
      <c r="IC521" s="644">
        <f t="shared" si="1669"/>
        <v>361.22751758296852</v>
      </c>
      <c r="ID521" s="644">
        <f>IF(AND(INDEX(Input!$1:$1048576,IA$93,$C521*2+7)="TOS",Y521&lt;=INDEX(Y:Y,MATCH(C521*1000+2,A:A))),0,1)*MAX(IA521+HR521+HU521+HX521,0%)</f>
        <v>104.05488420095755</v>
      </c>
      <c r="IE521" s="128">
        <f t="shared" ref="IE521:IE532" si="1738">IB521/SUM($IB521:$ID521)</f>
        <v>0.43692469992035787</v>
      </c>
      <c r="IF521" s="128">
        <f t="shared" si="1691"/>
        <v>0.43715019540866062</v>
      </c>
      <c r="IG521" s="128">
        <f t="shared" si="1646"/>
        <v>0.12592510467098156</v>
      </c>
      <c r="IH521" s="21"/>
      <c r="II521" s="19">
        <f t="shared" si="1647"/>
        <v>1200</v>
      </c>
      <c r="IJ521" s="19">
        <f t="shared" si="1648"/>
        <v>2231.5440334087361</v>
      </c>
      <c r="IK521" s="19">
        <f t="shared" si="1649"/>
        <v>-2048.0908300335955</v>
      </c>
      <c r="IL521" s="19">
        <f t="shared" si="1671"/>
        <v>399.99999999999977</v>
      </c>
      <c r="IM521" s="19">
        <f t="shared" si="1650"/>
        <v>744.36668843513507</v>
      </c>
      <c r="IN521" s="19">
        <f t="shared" si="1651"/>
        <v>325</v>
      </c>
      <c r="IO521" s="39">
        <f t="shared" si="1652"/>
        <v>0</v>
      </c>
      <c r="IP521" s="39">
        <f t="shared" si="1653"/>
        <v>0</v>
      </c>
      <c r="IQ521" s="39">
        <f t="shared" si="1654"/>
        <v>0</v>
      </c>
      <c r="IR521" s="39">
        <v>0</v>
      </c>
      <c r="IS521" s="39">
        <v>0</v>
      </c>
      <c r="IT521" s="39">
        <v>0</v>
      </c>
      <c r="IU521" s="39">
        <v>0</v>
      </c>
      <c r="IV521" s="39">
        <v>0</v>
      </c>
      <c r="IW521" s="39">
        <v>0</v>
      </c>
      <c r="IX521" s="39">
        <f>INDEX(Input!$1:$1048576,IX$93,$C521*2+6)+INDEX(Input!$1:$1048576,IX$94,$C521*2+6)</f>
        <v>1600</v>
      </c>
      <c r="IY521" s="39">
        <f>INDEX(Input!$1:$1048576,IY$93,$C521*2+6)+INDEX(Input!$1:$1048576,IY$94,$C521*2+6)</f>
        <v>2503.5492916397525</v>
      </c>
      <c r="IZ521" s="39">
        <f>INDEX(Input!$1:$1048576,IZ$93,$C521*2+6)+INDEX(Input!$1:$1048576,IZ$94,$C521*2+6)</f>
        <v>5413.7109265464023</v>
      </c>
      <c r="JA521" s="19">
        <f t="shared" si="1672"/>
        <v>1999.9999999999998</v>
      </c>
      <c r="JB521" s="19">
        <f t="shared" si="1673"/>
        <v>3247.9159800748876</v>
      </c>
      <c r="JC521" s="19">
        <f t="shared" si="1674"/>
        <v>5738.7109265464023</v>
      </c>
      <c r="JD521" s="19">
        <f t="shared" si="1675"/>
        <v>3016.3242793032255</v>
      </c>
      <c r="JE521" s="21"/>
      <c r="JF521" s="1">
        <f t="shared" si="1655"/>
        <v>6.2875001493236493E-2</v>
      </c>
      <c r="JG521" s="15">
        <f>INDEX(Input!$1:$1048576,JG$93,$C521*2+6)/(1+VLOOKUP(C521*1000+INDEX(Input!$1:$1048576,JG$93+1,$C521*2+6),$A:$KK,$JK$92,FALSE))</f>
        <v>742</v>
      </c>
      <c r="JH521" s="1">
        <f t="shared" si="1676"/>
        <v>6.0916680021664241E-2</v>
      </c>
      <c r="JI521" s="1">
        <f t="shared" si="1677"/>
        <v>5.2726968396286537E-2</v>
      </c>
      <c r="JJ521" s="1">
        <f t="shared" si="1715"/>
        <v>0</v>
      </c>
      <c r="JK521" s="1">
        <f t="shared" si="1719"/>
        <v>0.11364364841795077</v>
      </c>
      <c r="JL521" s="15">
        <f t="shared" si="1680"/>
        <v>84.323587126119477</v>
      </c>
      <c r="JM521" s="15">
        <f t="shared" si="1706"/>
        <v>826.32358712611949</v>
      </c>
      <c r="JN521" s="21"/>
      <c r="JO521" s="19">
        <f>INDEX(Input!$1:$1048576,JO$93,$C521*2+6)</f>
        <v>5908.5</v>
      </c>
      <c r="JP521" s="19">
        <f>INDEX(Input!$1:$1048576,JP$93,$C521*2+6)</f>
        <v>2467.7963733178344</v>
      </c>
      <c r="JQ521" s="39">
        <f t="shared" si="1692"/>
        <v>2892.1757206967745</v>
      </c>
      <c r="JR521" s="39">
        <f t="shared" si="1709"/>
        <v>548.52790598539104</v>
      </c>
      <c r="JS521" s="39">
        <f t="shared" si="1694"/>
        <v>2.4924598984094484</v>
      </c>
      <c r="JT521" s="39">
        <f t="shared" si="1682"/>
        <v>0.6613549894076155</v>
      </c>
      <c r="JU521" s="385">
        <f>(JQ521*JM521-INDEX(Input!$1:$1048576,Input!A$18,$C521*2+6)*JL521*INDEX(Input!$1:$1048576,Input!A$19,$C521*2+6))/1000000</f>
        <v>2.3898730161252288</v>
      </c>
      <c r="JV521" s="39">
        <f t="shared" si="1716"/>
        <v>-0.16312907487293771</v>
      </c>
      <c r="JW521" s="1">
        <f t="shared" si="1707"/>
        <v>-6.3896960934002961E-2</v>
      </c>
      <c r="JX521" s="19">
        <f t="shared" si="1698"/>
        <v>7843.060428850742</v>
      </c>
      <c r="JZ521" s="341"/>
      <c r="KA521" s="342"/>
      <c r="KB521" s="469">
        <f t="shared" si="1695"/>
        <v>2.4623520912331753</v>
      </c>
      <c r="KI521" s="473">
        <f t="shared" si="1722"/>
        <v>16.041185342193444</v>
      </c>
      <c r="KJ521" s="473">
        <f t="shared" si="1723"/>
        <v>62.227517582968517</v>
      </c>
      <c r="KK521" s="473">
        <f t="shared" si="1684"/>
        <v>6.0548842009575452</v>
      </c>
      <c r="KN521" s="544">
        <f t="shared" si="1699"/>
        <v>5002</v>
      </c>
      <c r="KO521" s="541">
        <f t="shared" si="1659"/>
        <v>3.4779531988410994E-2</v>
      </c>
      <c r="KP521" s="546">
        <f t="shared" si="1660"/>
        <v>150.52457548408415</v>
      </c>
      <c r="KQ521" s="546">
        <f t="shared" si="1661"/>
        <v>157.55183315151635</v>
      </c>
      <c r="KR521" s="548">
        <f t="shared" si="1662"/>
        <v>3.8901030804444781</v>
      </c>
      <c r="KS521" s="548">
        <f t="shared" si="1663"/>
        <v>3.7165934731467609</v>
      </c>
      <c r="KT521" s="473">
        <f t="shared" si="1697"/>
        <v>389.37465324503302</v>
      </c>
      <c r="KU521" s="663">
        <f t="shared" si="1685"/>
        <v>7.3272701982731734</v>
      </c>
      <c r="KV521" s="117"/>
    </row>
    <row r="522" spans="1:308" s="26" customFormat="1" ht="15">
      <c r="A522" s="561">
        <f t="shared" si="1664"/>
        <v>5022</v>
      </c>
      <c r="B522" s="561">
        <f t="shared" si="1686"/>
        <v>22</v>
      </c>
      <c r="C522" s="561">
        <f t="shared" si="1687"/>
        <v>5</v>
      </c>
      <c r="D522" s="561" t="str">
        <f t="shared" si="1736"/>
        <v xml:space="preserve">0/1.9/2.9/3.9, </v>
      </c>
      <c r="E522" s="475">
        <f>INDEX(Input!$1:$1048576,E$93,$C522*2+MIN($B522,2)+5)
+INDEX(Scenarios!E$121:E$200,MATCH($B522,Scenarios!$B$121:$B$200,0))</f>
        <v>1250</v>
      </c>
      <c r="F522" s="475">
        <f>INDEX(Input!$1:$1048576,F$93,$C522*2+MIN($B522,2)+5)
+INDEX(Scenarios!F$121:F$200,MATCH($B522,Scenarios!$B$121:$B$200,0))</f>
        <v>0</v>
      </c>
      <c r="G522" s="475">
        <f>INDEX(Input!$1:$1048576,G$93,$C522*2+MIN($B522,2)+5)
+INDEX(Scenarios!G$121:G$200,MATCH($B522,Scenarios!$B$121:$B$200,0))</f>
        <v>0</v>
      </c>
      <c r="H522" s="475">
        <f>INDEX(Input!$1:$1048576,H$93,$C522*2+MIN($B522,2)+5)
+INDEX(Scenarios!H$121:H$200,MATCH($B522,Scenarios!$B$121:$B$200,0))</f>
        <v>0</v>
      </c>
      <c r="I522" s="476">
        <f>INDEX(Input!$1:$1048576,I$93,$C522*2+MIN($B522,2)+5)</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+INDEX(Scenarios!Q$121:Q$200,MATCH($B522,Scenarios!$B$121:$B$200,0))</f>
        <v>0</v>
      </c>
      <c r="R522" s="478">
        <f>IFERROR(MAX(0,INDEX(Input!$1:$1048576,R$93,$C522*2+MIN($B522,2)+5)
+INDEX(Scenarios!R$121:R$200,MATCH($B522,Scenarios!$B$121:$B$200,0)),),"Market")</f>
        <v>0</v>
      </c>
      <c r="S522" s="478">
        <f>IFERROR(MAX(0,INDEX(Input!$1:$1048576,S$93,$C522*2+MIN($B522,2)+5)
+INDEX(Scenarios!S$121:S$200,MATCH($B522,Scenarios!$B$121:$B$200,0)),),"Market")</f>
        <v>0</v>
      </c>
      <c r="T522" s="478">
        <f>IFERROR(MAX(0,INDEX(Input!$1:$1048576,T$93,$C522*2+MIN($B522,2)+5)
+INDEX(Scenarios!T$121:T$200,MATCH($B522,Scenarios!$B$121:$B$200,0)),),"Market")</f>
        <v>0</v>
      </c>
      <c r="U522" s="478">
        <f>IFERROR(MAX(0,INDEX(Input!$1:$1048576,U$93,$C522*2+MIN($B522,2)+5)
+INDEX(Scenarios!U$121:U$200,MATCH($B522,Scenarios!$B$121:$B$200,0)),),"Market")</f>
        <v>0</v>
      </c>
      <c r="V522" s="478">
        <f>IFERROR(MAX(0,INDEX(Input!$1:$1048576,V$93,$C522*2+MIN($B522,2)+5)
+INDEX(Scenarios!V$121:V$200,MATCH($B522,Scenarios!$B$121:$B$200,0)),),"Market")</f>
        <v>2.8999999999999998E-2</v>
      </c>
      <c r="W522" s="863">
        <f>IFERROR(MAX(0,INDEX(Input!$1:$1048576,W$93,$C522*2+MIN($B522,2)+5)-0%,),"Market")</f>
        <v>3.9E-2</v>
      </c>
      <c r="X522" s="476" t="str">
        <f>INDEX(Input!$1:$1048576,X$93,$C522*2+MIN($B522,2)+5)</f>
        <v>Y</v>
      </c>
      <c r="Y522" s="475">
        <f>INDEX(Input!$1:$1048576,Y$93,$C522*2+MIN($B522,2)+5)
++INDEX(Scenarios!Y$121:Y$200,MATCH($B522,Scenarios!$B$121:$B$200,0))</f>
        <v>-1098.3618966787526</v>
      </c>
      <c r="Z522" s="477">
        <f>INDEX(Input!$1:$1048576,Z$93,$C522*2+MIN($B522,2)+5)
+INDEX(Scenarios!Z$121:Z$200,MATCH($B522,Scenarios!$B$121:$B$200,0))</f>
        <v>0</v>
      </c>
      <c r="AA522" s="475">
        <f>INDEX(Input!$1:$1048576,AA$93,$C522*2+MIN($B522,2)+5)</f>
        <v>500</v>
      </c>
      <c r="AB522" s="476">
        <f>INDEX(Input!$1:$1048576,AB$93,$C522*2+MIN($B522,2)+5)</f>
        <v>0.43</v>
      </c>
      <c r="AC522" s="475">
        <f>INDEX(Input!$1:$1048576,AC$93,$C522*2+MIN($B522,2)+5)
+INDEX(Scenarios!AC$121:AC$200,MATCH($B522,Scenarios!$B$121:$B$200,0))</f>
        <v>0</v>
      </c>
      <c r="AD522" s="476">
        <f>INDEX(Input!$1:$1048576,AD$93,$C522*2+MIN($B522,2)+5)</f>
        <v>0.35</v>
      </c>
      <c r="AE522" s="475">
        <f>INDEX(Input!$1:$1048576,AE$93,$C522*2+MIN($B522,2)+5)
+INDEX(Scenarios!AE$121:AE$200,MATCH($B522,Scenarios!$B$121:$B$200,0))</f>
        <v>0</v>
      </c>
      <c r="AF522" s="476">
        <f>INDEX(Input!$1:$1048576,AF$93,$C522*2+MIN($B522,2)+5)</f>
        <v>1</v>
      </c>
      <c r="AG522" s="475">
        <f>INDEX(Input!$1:$1048576,AG$93,$C522*2+MIN($B522,2)+5)
+INDEX(Scenarios!AG$121:AG$200,MATCH($B522,Scenarios!$B$121:$B$200,0))</f>
        <v>0</v>
      </c>
      <c r="AH522" s="476">
        <f>INDEX(Input!$1:$1048576,AH$93,$C522*2+MIN($B522,2)+5)</f>
        <v>1</v>
      </c>
      <c r="AI522" s="475">
        <f>INDEX(Input!$1:$1048576,AI$93,$C522*2+MIN($B522,2)+5)
+INDEX(Scenarios!AI$121:AI$200,MATCH($B522,Scenarios!$B$121:$B$200,0))</f>
        <v>0</v>
      </c>
      <c r="AJ522" s="476">
        <f>INDEX(Input!$1:$1048576,AJ$93,$C522*2+MIN($B522,2)+5)</f>
        <v>0.35</v>
      </c>
      <c r="AK522" s="150">
        <f>ROUND(INDEX(Input!$1:$1048576,AK$93,$C521*2+MIN($B522,1)+5)+(Y522-VLOOKUP($C522*1000+1,$A:$HH,Y$92,FALSE)),0)</f>
        <v>4592</v>
      </c>
      <c r="AL522" s="150">
        <f>ROUND(INDEX(Input!$1:$1048576,AL$93,$C521*2+MIN($B522,1)+5)-(Y522-VLOOKUP($C522*1000+1,$A:$HH,Y$92,FALSE))/36,0)</f>
        <v>4743</v>
      </c>
      <c r="AM522" s="32" t="str">
        <f t="shared" si="1665"/>
        <v>std/std/std/std</v>
      </c>
      <c r="AN522" s="32" t="str">
        <f t="shared" si="1666"/>
        <v>$0 + 0/0/0/2.9/3.9</v>
      </c>
      <c r="AO522" s="32" t="str">
        <f t="shared" si="1667"/>
        <v>0/0/0/2.9/3.9</v>
      </c>
      <c r="AP522" s="32" t="str">
        <f t="shared" si="1621"/>
        <v>0/1.9/2.9/3.9</v>
      </c>
      <c r="AQ522" s="536">
        <f t="shared" si="1620"/>
        <v>0.48304396798895238</v>
      </c>
      <c r="AR522" s="32"/>
      <c r="AS522" s="302"/>
      <c r="AT522" s="3">
        <f t="shared" si="1688"/>
        <v>22</v>
      </c>
      <c r="AU522" s="41" t="s">
        <v>121</v>
      </c>
      <c r="AV522" s="41" t="s">
        <v>116</v>
      </c>
      <c r="AW522" s="41" t="str">
        <f>INDEX(Input!$1:$1048576,AW$93,$C522*2+6)</f>
        <v>Kia</v>
      </c>
      <c r="AX522" s="41" t="str">
        <f>INDEX(Input!$1:$1048576,AX$93,$C522*2+6)</f>
        <v>Kia-LR - R2</v>
      </c>
      <c r="AY522" s="41" t="str">
        <f>IF(LEN(D522)=0,"",INDEX(Input!$1:$1048576,AY$93,$C522*2+6))</f>
        <v>Compact Conventional/Sporty Car (43)</v>
      </c>
      <c r="AZ522" s="41" t="str">
        <f>INDEX(Input!$1:$1048576,AZ$93,$C522*2+6)</f>
        <v>Kia Forte</v>
      </c>
      <c r="BA522" s="3">
        <f>INDEX(Input!$1:$1048576,BA$93,$C522*2+6)</f>
        <v>2020</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19695</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622"/>
        <v>1250</v>
      </c>
      <c r="CJ522" s="16" t="str">
        <f>INDEX(Input!$1:$1048576,CJ$93,$C522*2+6)</f>
        <v>N</v>
      </c>
      <c r="CK522" s="1" t="str">
        <f t="shared" si="1623"/>
        <v>Market</v>
      </c>
      <c r="CL522" s="1" t="str">
        <f t="shared" si="1624"/>
        <v>Market</v>
      </c>
      <c r="CM522" s="1" t="str">
        <f t="shared" si="1625"/>
        <v>Market</v>
      </c>
      <c r="CN522" s="1" t="str">
        <f t="shared" si="1626"/>
        <v>Market</v>
      </c>
      <c r="CO522" s="1" t="str">
        <f t="shared" si="1627"/>
        <v>Market</v>
      </c>
      <c r="CP522" s="304">
        <f t="shared" si="1628"/>
        <v>215</v>
      </c>
      <c r="CQ522" s="1">
        <f t="shared" si="1629"/>
        <v>0</v>
      </c>
      <c r="CR522" s="1">
        <f t="shared" si="1630"/>
        <v>0</v>
      </c>
      <c r="CS522" s="1">
        <f t="shared" si="1631"/>
        <v>0</v>
      </c>
      <c r="CT522" s="1">
        <f t="shared" si="1632"/>
        <v>2.8999999999999998E-2</v>
      </c>
      <c r="CU522" s="1">
        <f t="shared" si="1633"/>
        <v>3.9E-2</v>
      </c>
      <c r="CV522" s="304">
        <f t="shared" si="1634"/>
        <v>-1098.3618966787526</v>
      </c>
      <c r="CW522" s="20" t="s">
        <v>122</v>
      </c>
      <c r="CX522" s="20" t="s">
        <v>122</v>
      </c>
      <c r="CY522" s="20" t="s">
        <v>122</v>
      </c>
      <c r="CZ522" s="20" t="s">
        <v>122</v>
      </c>
      <c r="DA522" s="20" t="s">
        <v>122</v>
      </c>
      <c r="DB522" s="503">
        <f t="shared" si="1635"/>
        <v>0</v>
      </c>
      <c r="DC522" s="127">
        <v>0</v>
      </c>
      <c r="DD522" s="127">
        <v>0</v>
      </c>
      <c r="DE522" s="127">
        <v>0</v>
      </c>
      <c r="DF522" s="127">
        <v>0</v>
      </c>
      <c r="DG522" s="127">
        <v>0</v>
      </c>
      <c r="DH522" s="127">
        <v>0</v>
      </c>
      <c r="DI522" s="127">
        <v>0</v>
      </c>
      <c r="DJ522" s="127">
        <v>0</v>
      </c>
      <c r="DK522" s="127">
        <v>0</v>
      </c>
      <c r="DL522" s="127">
        <v>0</v>
      </c>
      <c r="DM522" s="304">
        <f>INDEX(Input!$1:$1048576,DM$93,$C522*2+6)</f>
        <v>20731.578947368424</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4.4563970191505153E-2</v>
      </c>
      <c r="DZ522" s="7">
        <v>0</v>
      </c>
      <c r="EA522" s="7">
        <v>0.78773662976668202</v>
      </c>
      <c r="EB522" s="7">
        <v>0</v>
      </c>
      <c r="EC522" s="7">
        <v>0</v>
      </c>
      <c r="ED522" s="7">
        <v>0</v>
      </c>
      <c r="EE522" s="7">
        <v>0</v>
      </c>
      <c r="EF522" s="7">
        <v>0</v>
      </c>
      <c r="EG522" s="7">
        <v>0</v>
      </c>
      <c r="EH522" s="7">
        <v>1.9268559114327913E-2</v>
      </c>
      <c r="EI522" s="7">
        <v>2.4256593023508913E-2</v>
      </c>
      <c r="EJ522" s="7">
        <v>0.35702259651287638</v>
      </c>
      <c r="EK522" s="7">
        <v>0.53760711648932158</v>
      </c>
      <c r="EL522" s="7">
        <v>6.1845134859965907E-2</v>
      </c>
      <c r="EM522" s="7">
        <v>5.2347100011533032E-2</v>
      </c>
      <c r="EN522" s="7">
        <v>4.73896513496007E-2</v>
      </c>
      <c r="EO522" s="7">
        <v>0.58258060728999417</v>
      </c>
      <c r="EP522" s="7">
        <v>0.25106182739400623</v>
      </c>
      <c r="EQ522" s="7">
        <v>7.2207488183124557E-2</v>
      </c>
      <c r="ER522" s="7">
        <v>4.6760425783274294E-2</v>
      </c>
      <c r="ES522" s="7">
        <v>0.1153523000302798</v>
      </c>
      <c r="ET522" s="7">
        <v>0.16769940004181291</v>
      </c>
      <c r="EU522" s="6">
        <v>1600</v>
      </c>
      <c r="EV522" s="6">
        <v>0</v>
      </c>
      <c r="EW522" s="6">
        <v>1600</v>
      </c>
      <c r="EX522" s="6">
        <v>0</v>
      </c>
      <c r="EY522" s="6">
        <v>2384.7453677264721</v>
      </c>
      <c r="EZ522" s="6">
        <v>-1723.0908300335955</v>
      </c>
      <c r="FA522" s="6">
        <v>0</v>
      </c>
      <c r="FB522" s="6">
        <v>0</v>
      </c>
      <c r="FC522" s="6">
        <v>0</v>
      </c>
      <c r="FD522" s="6">
        <v>0</v>
      </c>
      <c r="FE522" s="6">
        <v>0</v>
      </c>
      <c r="FF522" s="6">
        <v>0</v>
      </c>
      <c r="FG522" s="6">
        <v>0</v>
      </c>
      <c r="FH522" s="6">
        <v>1153.9886067770221</v>
      </c>
      <c r="FI522" s="6">
        <v>1531.4299904380621</v>
      </c>
      <c r="FJ522" s="6">
        <v>2070.7205842538224</v>
      </c>
      <c r="FK522" s="6">
        <v>1266.3227157028182</v>
      </c>
      <c r="FL522" s="6">
        <v>893.91433563489329</v>
      </c>
      <c r="FM522" s="6">
        <v>1534.7453677264721</v>
      </c>
      <c r="FN522" s="6">
        <v>0</v>
      </c>
      <c r="FO522" s="6">
        <v>0</v>
      </c>
      <c r="FP522" s="6">
        <v>0</v>
      </c>
      <c r="FQ522" s="6">
        <v>0</v>
      </c>
      <c r="FR522" s="6">
        <v>0</v>
      </c>
      <c r="FS522" s="6">
        <v>0</v>
      </c>
      <c r="FT522" s="7">
        <v>0.83230059995818717</v>
      </c>
      <c r="FU522" s="7">
        <v>5.2347100011533032E-2</v>
      </c>
      <c r="FV522" s="7">
        <v>0.1153523000302798</v>
      </c>
      <c r="FW522" s="6">
        <v>1600</v>
      </c>
      <c r="FX522" s="6">
        <v>2384.7453677264721</v>
      </c>
      <c r="FY522" s="6">
        <v>-1723.0908300335955</v>
      </c>
      <c r="FZ522" s="6">
        <v>2411.9063952864503</v>
      </c>
      <c r="GA522" s="6">
        <v>1257.7529737940581</v>
      </c>
      <c r="GB522" s="6">
        <v>18437.247026205943</v>
      </c>
      <c r="GC522" s="7">
        <v>7.6138913542514425E-2</v>
      </c>
      <c r="GD522" s="7">
        <v>6.5440942657577147E-2</v>
      </c>
      <c r="GE522" s="7"/>
      <c r="GF522" s="7"/>
      <c r="GG522" s="7">
        <v>-0.14050595664152402</v>
      </c>
      <c r="GH522" s="42">
        <v>2.3976576809663395</v>
      </c>
      <c r="GI522" s="6">
        <v>9472.0198211207498</v>
      </c>
      <c r="GJ522" s="14">
        <v>0.5107463060103955</v>
      </c>
      <c r="GK522" s="14">
        <v>0.50829519786160982</v>
      </c>
      <c r="GL522" s="14">
        <v>0.48925369398960433</v>
      </c>
      <c r="GM522" s="14">
        <v>0.49170480213839013</v>
      </c>
      <c r="GO522" s="5">
        <v>338.16872463277008</v>
      </c>
      <c r="GP522" s="5">
        <v>307.64377699166363</v>
      </c>
      <c r="GQ522" s="5">
        <v>527.27910984145694</v>
      </c>
      <c r="GR522" s="5">
        <v>404.20319246551543</v>
      </c>
      <c r="GS522" s="5">
        <v>334.50205195691484</v>
      </c>
      <c r="GT522" s="5">
        <v>289.18266033348181</v>
      </c>
      <c r="GU522" s="5">
        <v>254.29573314828914</v>
      </c>
      <c r="GV522" s="39" t="s">
        <v>392</v>
      </c>
      <c r="GW522" s="5">
        <v>468.76388888888891</v>
      </c>
      <c r="GX522" s="5">
        <v>351.57291666666669</v>
      </c>
      <c r="GY522" s="5">
        <v>281.25833333333333</v>
      </c>
      <c r="GZ522" s="5">
        <v>255.64660634518972</v>
      </c>
      <c r="HA522" s="5">
        <v>229.8919505212948</v>
      </c>
      <c r="HB522" s="39">
        <v>269.63107987966811</v>
      </c>
      <c r="HC522" s="5">
        <v>358.50084881396981</v>
      </c>
      <c r="HD522" s="5">
        <v>287.77900980034525</v>
      </c>
      <c r="HE522" s="5">
        <v>285.23787161201437</v>
      </c>
      <c r="HF522" s="5">
        <v>257.54964978663213</v>
      </c>
      <c r="HG522" s="5">
        <v>240.60084178617024</v>
      </c>
      <c r="HH522" s="39">
        <v>286.1036529167892</v>
      </c>
      <c r="HI522" s="16"/>
      <c r="HJ522" s="19" t="str">
        <f t="shared" si="1737"/>
        <v>On</v>
      </c>
      <c r="HK522" s="1" t="str">
        <f t="shared" si="1737"/>
        <v>On</v>
      </c>
      <c r="HL522" s="16"/>
      <c r="HM522" s="639">
        <f t="shared" si="1636"/>
        <v>5.1181272167489952E-2</v>
      </c>
      <c r="HN522" s="639">
        <f t="shared" si="1637"/>
        <v>4.2792051795134348E-3</v>
      </c>
      <c r="HO522" s="639">
        <f t="shared" si="1638"/>
        <v>7.4145241462331068E-3</v>
      </c>
      <c r="HP522" s="644">
        <f>(FT522*$GD522-HM522)/$JF522*INDEX(Input!$1:$1048576,$JG$93,$C522*2+6)</f>
        <v>38.770029168061654</v>
      </c>
      <c r="HQ522" s="644">
        <f>(FU522*$GD522-HN522)/$JF522*INDEX(Input!$1:$1048576,$JG$93,$C522*2+6)</f>
        <v>-10.073044916259244</v>
      </c>
      <c r="HR522" s="644">
        <f>(FV522*$GD522-HO522)/$JF522*INDEX(Input!$1:$1048576,$JG$93,$C522*2+6)</f>
        <v>1.5841815330695614</v>
      </c>
      <c r="HS522" s="644">
        <f t="shared" si="1639"/>
        <v>-7.4448867670588541</v>
      </c>
      <c r="HT522" s="644">
        <f t="shared" si="1640"/>
        <v>7.4802447993962744</v>
      </c>
      <c r="HU522" s="644">
        <f t="shared" si="1641"/>
        <v>6.7536381967163797</v>
      </c>
      <c r="HV522" s="648">
        <f t="shared" si="1642"/>
        <v>0</v>
      </c>
      <c r="HW522" s="648">
        <f t="shared" si="1643"/>
        <v>0</v>
      </c>
      <c r="HX522" s="648">
        <f t="shared" si="1644"/>
        <v>0</v>
      </c>
      <c r="HY522" s="644">
        <f>INDEX(Input!$1:$1048576,HY$93,$C522*2+6)*INDEX(Input!$1:$1048576,$JG$93,$C522*2+6)</f>
        <v>345</v>
      </c>
      <c r="HZ522" s="644">
        <f>INDEX(Input!$1:$1048576,HZ$93,$C522*2+6)*INDEX(Input!$1:$1048576,$JG$93,$C522*2+6)</f>
        <v>299</v>
      </c>
      <c r="IA522" s="644">
        <f>INDEX(Input!$1:$1048576,IA$93,$C522*2+6)*INDEX(Input!$1:$1048576,$JG$93,$C522*2+6)</f>
        <v>98</v>
      </c>
      <c r="IB522" s="644">
        <f t="shared" si="1668"/>
        <v>376.32514240100267</v>
      </c>
      <c r="IC522" s="644">
        <f t="shared" si="1669"/>
        <v>296.40719988313708</v>
      </c>
      <c r="ID522" s="644">
        <f>IF(AND(INDEX(Input!$1:$1048576,IA$93,$C522*2+7)="TOS",Y522&lt;=INDEX(Y:Y,MATCH(C522*1000+2,A:A))),0,1)*MAX(IA522+HR522+HU522+HX522,0%)</f>
        <v>106.33781972978595</v>
      </c>
      <c r="IE522" s="128">
        <f t="shared" si="1738"/>
        <v>0.48304396798895238</v>
      </c>
      <c r="IF522" s="128">
        <f t="shared" si="1691"/>
        <v>0.38046278029300123</v>
      </c>
      <c r="IG522" s="128">
        <f t="shared" si="1646"/>
        <v>0.13649325171804638</v>
      </c>
      <c r="IH522" s="21"/>
      <c r="II522" s="19">
        <f t="shared" si="1647"/>
        <v>1200</v>
      </c>
      <c r="IJ522" s="19">
        <f t="shared" si="1648"/>
        <v>2231.5440334087361</v>
      </c>
      <c r="IK522" s="19">
        <f t="shared" si="1649"/>
        <v>-2048.0908300335955</v>
      </c>
      <c r="IL522" s="19">
        <f t="shared" si="1671"/>
        <v>400</v>
      </c>
      <c r="IM522" s="19">
        <f t="shared" si="1650"/>
        <v>153.20133431773593</v>
      </c>
      <c r="IN522" s="19">
        <f t="shared" si="1651"/>
        <v>325</v>
      </c>
      <c r="IO522" s="39">
        <f t="shared" si="1652"/>
        <v>0</v>
      </c>
      <c r="IP522" s="39">
        <f t="shared" si="1653"/>
        <v>0</v>
      </c>
      <c r="IQ522" s="39">
        <f t="shared" si="1654"/>
        <v>0</v>
      </c>
      <c r="IR522" s="39">
        <v>0</v>
      </c>
      <c r="IS522" s="39">
        <v>0</v>
      </c>
      <c r="IT522" s="39">
        <v>0</v>
      </c>
      <c r="IU522" s="39">
        <v>0</v>
      </c>
      <c r="IV522" s="39">
        <v>0</v>
      </c>
      <c r="IW522" s="39">
        <v>0</v>
      </c>
      <c r="IX522" s="39">
        <f>INDEX(Input!$1:$1048576,IX$93,$C522*2+6)+INDEX(Input!$1:$1048576,IX$94,$C522*2+6)</f>
        <v>1600</v>
      </c>
      <c r="IY522" s="39">
        <f>INDEX(Input!$1:$1048576,IY$93,$C522*2+6)+INDEX(Input!$1:$1048576,IY$94,$C522*2+6)</f>
        <v>2503.5492916397525</v>
      </c>
      <c r="IZ522" s="39">
        <f>INDEX(Input!$1:$1048576,IZ$93,$C522*2+6)+INDEX(Input!$1:$1048576,IZ$94,$C522*2+6)</f>
        <v>5413.7109265464023</v>
      </c>
      <c r="JA522" s="19">
        <f t="shared" si="1672"/>
        <v>2000</v>
      </c>
      <c r="JB522" s="19">
        <f t="shared" si="1673"/>
        <v>2656.7506259574884</v>
      </c>
      <c r="JC522" s="19">
        <f t="shared" si="1674"/>
        <v>5738.7109265464023</v>
      </c>
      <c r="JD522" s="19">
        <f t="shared" si="1675"/>
        <v>2760.1779807090634</v>
      </c>
      <c r="JE522" s="21"/>
      <c r="JF522" s="1">
        <f t="shared" si="1655"/>
        <v>6.2875001493236493E-2</v>
      </c>
      <c r="JG522" s="15">
        <f>INDEX(Input!$1:$1048576,JG$93,$C522*2+6)/(1+VLOOKUP(C522*1000+INDEX(Input!$1:$1048576,JG$93+1,$C522*2+6),$A:$KK,$JK$92,FALSE))</f>
        <v>742</v>
      </c>
      <c r="JH522" s="1">
        <f t="shared" si="1676"/>
        <v>4.0810196475568696E-2</v>
      </c>
      <c r="JI522" s="1">
        <f t="shared" si="1677"/>
        <v>9.1495906051938004E-3</v>
      </c>
      <c r="JJ522" s="1">
        <f t="shared" si="1715"/>
        <v>0</v>
      </c>
      <c r="JK522" s="1">
        <f t="shared" si="1719"/>
        <v>4.9959787080762499E-2</v>
      </c>
      <c r="JL522" s="15">
        <f t="shared" si="1680"/>
        <v>37.070162013925774</v>
      </c>
      <c r="JM522" s="15">
        <f t="shared" si="1706"/>
        <v>779.07016201392582</v>
      </c>
      <c r="JN522" s="21"/>
      <c r="JO522" s="19">
        <f>INDEX(Input!$1:$1048576,JO$93,$C522*2+6)</f>
        <v>5908.5</v>
      </c>
      <c r="JP522" s="19">
        <f>INDEX(Input!$1:$1048576,JP$93,$C522*2+6)</f>
        <v>2467.7963733178344</v>
      </c>
      <c r="JQ522" s="39">
        <f t="shared" si="1692"/>
        <v>3148.3220192909366</v>
      </c>
      <c r="JR522" s="39">
        <f t="shared" si="1709"/>
        <v>292.38160739122895</v>
      </c>
      <c r="JS522" s="39">
        <f t="shared" si="1694"/>
        <v>2.1503723066182805</v>
      </c>
      <c r="JT522" s="39">
        <f t="shared" si="1682"/>
        <v>0.31926739761644762</v>
      </c>
      <c r="JU522" s="385">
        <f>(JQ522*JM522-INDEX(Input!$1:$1048576,Input!A$18,$C522*2+6)*JL522*INDEX(Input!$1:$1048576,Input!A$19,$C522*2+6))/1000000</f>
        <v>2.4527637456410001</v>
      </c>
      <c r="JV522" s="39">
        <f t="shared" si="1716"/>
        <v>-0.10023834535716647</v>
      </c>
      <c r="JW522" s="1">
        <f t="shared" si="1707"/>
        <v>-3.9262931162729886E-2</v>
      </c>
      <c r="JX522" s="19">
        <f t="shared" si="1698"/>
        <v>8612.5169211969351</v>
      </c>
      <c r="JZ522" s="341"/>
      <c r="KA522" s="342"/>
      <c r="KB522" s="469">
        <f t="shared" si="1695"/>
        <v>2.4623520912331753</v>
      </c>
      <c r="KI522" s="473">
        <f t="shared" si="1722"/>
        <v>31.325142401002722</v>
      </c>
      <c r="KJ522" s="473">
        <f t="shared" si="1723"/>
        <v>-2.5928001168628612</v>
      </c>
      <c r="KK522" s="473">
        <f t="shared" si="1684"/>
        <v>8.3378197297859487</v>
      </c>
      <c r="KN522" s="544">
        <f t="shared" si="1699"/>
        <v>5002</v>
      </c>
      <c r="KO522" s="541">
        <f t="shared" si="1659"/>
        <v>-2.4394474277710687E-2</v>
      </c>
      <c r="KP522" s="546">
        <f t="shared" si="1660"/>
        <v>-93.911100523084343</v>
      </c>
      <c r="KQ522" s="546">
        <f t="shared" si="1661"/>
        <v>-98.594465442645742</v>
      </c>
      <c r="KR522" s="548">
        <f t="shared" si="1662"/>
        <v>4.3734012029289229</v>
      </c>
      <c r="KS522" s="548">
        <f t="shared" si="1663"/>
        <v>4.1656589764154086</v>
      </c>
      <c r="KT522" s="473">
        <f t="shared" si="1697"/>
        <v>389.37465324503302</v>
      </c>
      <c r="KU522" s="663">
        <f t="shared" si="1685"/>
        <v>7.1413112083492249</v>
      </c>
      <c r="KV522" s="117"/>
    </row>
    <row r="523" spans="1:308" s="26" customFormat="1" ht="15">
      <c r="A523" s="561">
        <f t="shared" si="1664"/>
        <v>5023</v>
      </c>
      <c r="B523" s="561">
        <f t="shared" si="1686"/>
        <v>23</v>
      </c>
      <c r="C523" s="561">
        <f t="shared" si="1687"/>
        <v>5</v>
      </c>
      <c r="D523" s="561" t="str">
        <f t="shared" si="1736"/>
        <v xml:space="preserve">0/0/0.9/3.9, </v>
      </c>
      <c r="E523" s="475">
        <f>INDEX(Input!$1:$1048576,E$93,$C523*2+MIN($B523,2)+5)
+INDEX(Scenarios!E$121:E$200,MATCH($B523,Scenarios!$B$121:$B$200,0))</f>
        <v>1250</v>
      </c>
      <c r="F523" s="475">
        <f>INDEX(Input!$1:$1048576,F$93,$C523*2+MIN($B523,2)+5)
+INDEX(Scenarios!F$121:F$200,MATCH($B523,Scenarios!$B$121:$B$200,0))</f>
        <v>0</v>
      </c>
      <c r="G523" s="475">
        <f>INDEX(Input!$1:$1048576,G$93,$C523*2+MIN($B523,2)+5)
+INDEX(Scenarios!G$121:G$200,MATCH($B523,Scenarios!$B$121:$B$200,0))</f>
        <v>0</v>
      </c>
      <c r="H523" s="475">
        <f>INDEX(Input!$1:$1048576,H$93,$C523*2+MIN($B523,2)+5)
+INDEX(Scenarios!H$121:H$200,MATCH($B523,Scenarios!$B$121:$B$200,0))</f>
        <v>0</v>
      </c>
      <c r="I523" s="476">
        <f>INDEX(Input!$1:$1048576,I$93,$C523*2+MIN($B523,2)+5)</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+INDEX(Scenarios!Q$121:Q$200,MATCH($B523,Scenarios!$B$121:$B$200,0))</f>
        <v>0</v>
      </c>
      <c r="R523" s="478">
        <f>IFERROR(MAX(0,INDEX(Input!$1:$1048576,R$93,$C523*2+MIN($B523,2)+5)
+INDEX(Scenarios!R$121:R$200,MATCH($B523,Scenarios!$B$121:$B$200,0)),),"Market")</f>
        <v>0</v>
      </c>
      <c r="S523" s="478">
        <f>IFERROR(MAX(0,INDEX(Input!$1:$1048576,S$93,$C523*2+MIN($B523,2)+5)
+INDEX(Scenarios!S$121:S$200,MATCH($B523,Scenarios!$B$121:$B$200,0)),),"Market")</f>
        <v>0</v>
      </c>
      <c r="T523" s="478">
        <f>IFERROR(MAX(0,INDEX(Input!$1:$1048576,T$93,$C523*2+MIN($B523,2)+5)
+INDEX(Scenarios!T$121:T$200,MATCH($B523,Scenarios!$B$121:$B$200,0)),),"Market")</f>
        <v>0</v>
      </c>
      <c r="U523" s="478">
        <f>IFERROR(MAX(0,INDEX(Input!$1:$1048576,U$93,$C523*2+MIN($B523,2)+5)
+INDEX(Scenarios!U$121:U$200,MATCH($B523,Scenarios!$B$121:$B$200,0)),),"Market")</f>
        <v>0</v>
      </c>
      <c r="V523" s="478">
        <f>IFERROR(MAX(0,INDEX(Input!$1:$1048576,V$93,$C523*2+MIN($B523,2)+5)
+INDEX(Scenarios!V$121:V$200,MATCH($B523,Scenarios!$B$121:$B$200,0)),),"Market")</f>
        <v>8.9999999999999993E-3</v>
      </c>
      <c r="W523" s="863">
        <f>IFERROR(MAX(0,INDEX(Input!$1:$1048576,W$93,$C523*2+MIN($B523,2)+5)-0%,),"Market")</f>
        <v>3.9E-2</v>
      </c>
      <c r="X523" s="476" t="str">
        <f>INDEX(Input!$1:$1048576,X$93,$C523*2+MIN($B523,2)+5)</f>
        <v>Y</v>
      </c>
      <c r="Y523" s="475">
        <f>INDEX(Input!$1:$1048576,Y$93,$C523*2+MIN($B523,2)+5)
++INDEX(Scenarios!Y$121:Y$200,MATCH($B523,Scenarios!$B$121:$B$200,0))</f>
        <v>-1098.3618966787526</v>
      </c>
      <c r="Z523" s="477">
        <f>INDEX(Input!$1:$1048576,Z$93,$C523*2+MIN($B523,2)+5)
+INDEX(Scenarios!Z$121:Z$200,MATCH($B523,Scenarios!$B$121:$B$200,0))</f>
        <v>0</v>
      </c>
      <c r="AA523" s="475">
        <f>INDEX(Input!$1:$1048576,AA$93,$C523*2+MIN($B523,2)+5)</f>
        <v>500</v>
      </c>
      <c r="AB523" s="476">
        <f>INDEX(Input!$1:$1048576,AB$93,$C523*2+MIN($B523,2)+5)</f>
        <v>0.43</v>
      </c>
      <c r="AC523" s="475">
        <f>INDEX(Input!$1:$1048576,AC$93,$C523*2+MIN($B523,2)+5)
+INDEX(Scenarios!AC$121:AC$200,MATCH($B523,Scenarios!$B$121:$B$200,0))</f>
        <v>0</v>
      </c>
      <c r="AD523" s="476">
        <f>INDEX(Input!$1:$1048576,AD$93,$C523*2+MIN($B523,2)+5)</f>
        <v>0.35</v>
      </c>
      <c r="AE523" s="475">
        <f>INDEX(Input!$1:$1048576,AE$93,$C523*2+MIN($B523,2)+5)
+INDEX(Scenarios!AE$121:AE$200,MATCH($B523,Scenarios!$B$121:$B$200,0))</f>
        <v>0</v>
      </c>
      <c r="AF523" s="476">
        <f>INDEX(Input!$1:$1048576,AF$93,$C523*2+MIN($B523,2)+5)</f>
        <v>1</v>
      </c>
      <c r="AG523" s="475">
        <f>INDEX(Input!$1:$1048576,AG$93,$C523*2+MIN($B523,2)+5)
+INDEX(Scenarios!AG$121:AG$200,MATCH($B523,Scenarios!$B$121:$B$200,0))</f>
        <v>0</v>
      </c>
      <c r="AH523" s="476">
        <f>INDEX(Input!$1:$1048576,AH$93,$C523*2+MIN($B523,2)+5)</f>
        <v>1</v>
      </c>
      <c r="AI523" s="475">
        <f>INDEX(Input!$1:$1048576,AI$93,$C523*2+MIN($B523,2)+5)
+INDEX(Scenarios!AI$121:AI$200,MATCH($B523,Scenarios!$B$121:$B$200,0))</f>
        <v>0</v>
      </c>
      <c r="AJ523" s="476">
        <f>INDEX(Input!$1:$1048576,AJ$93,$C523*2+MIN($B523,2)+5)</f>
        <v>0.35</v>
      </c>
      <c r="AK523" s="150">
        <f>ROUND(INDEX(Input!$1:$1048576,AK$93,$C522*2+MIN($B523,1)+5)+(Y523-VLOOKUP($C523*1000+1,$A:$HH,Y$92,FALSE)),0)</f>
        <v>4592</v>
      </c>
      <c r="AL523" s="150">
        <f>ROUND(INDEX(Input!$1:$1048576,AL$93,$C522*2+MIN($B523,1)+5)-(Y523-VLOOKUP($C523*1000+1,$A:$HH,Y$92,FALSE))/36,0)</f>
        <v>4743</v>
      </c>
      <c r="AM523" s="32" t="str">
        <f t="shared" si="1665"/>
        <v>std/std/std/std</v>
      </c>
      <c r="AN523" s="32" t="str">
        <f t="shared" si="1666"/>
        <v>$0 + 0/0/0/0.9/3.9</v>
      </c>
      <c r="AO523" s="32" t="str">
        <f t="shared" si="1667"/>
        <v>0/0/0/0.9/3.9</v>
      </c>
      <c r="AP523" s="32" t="str">
        <f t="shared" si="1621"/>
        <v>0/0/0.9/3.9</v>
      </c>
      <c r="AQ523" s="536">
        <f t="shared" si="1620"/>
        <v>0.43692469992035787</v>
      </c>
      <c r="AR523" s="32"/>
      <c r="AS523" s="302"/>
      <c r="AT523" s="3">
        <f t="shared" si="1688"/>
        <v>23</v>
      </c>
      <c r="AU523" s="41" t="s">
        <v>121</v>
      </c>
      <c r="AV523" s="41" t="s">
        <v>116</v>
      </c>
      <c r="AW523" s="41" t="str">
        <f>INDEX(Input!$1:$1048576,AW$93,$C523*2+6)</f>
        <v>Kia</v>
      </c>
      <c r="AX523" s="41" t="str">
        <f>INDEX(Input!$1:$1048576,AX$93,$C523*2+6)</f>
        <v>Kia-LR - R2</v>
      </c>
      <c r="AY523" s="41" t="str">
        <f>IF(LEN(D523)=0,"",INDEX(Input!$1:$1048576,AY$93,$C523*2+6))</f>
        <v>Compact Conventional/Sporty Car (43)</v>
      </c>
      <c r="AZ523" s="41" t="str">
        <f>INDEX(Input!$1:$1048576,AZ$93,$C523*2+6)</f>
        <v>Kia Forte</v>
      </c>
      <c r="BA523" s="3">
        <f>INDEX(Input!$1:$1048576,BA$93,$C523*2+6)</f>
        <v>2020</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19695</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622"/>
        <v>1250</v>
      </c>
      <c r="CJ523" s="16" t="str">
        <f>INDEX(Input!$1:$1048576,CJ$93,$C523*2+6)</f>
        <v>N</v>
      </c>
      <c r="CK523" s="1" t="str">
        <f t="shared" si="1623"/>
        <v>Market</v>
      </c>
      <c r="CL523" s="1" t="str">
        <f t="shared" si="1624"/>
        <v>Market</v>
      </c>
      <c r="CM523" s="1" t="str">
        <f t="shared" si="1625"/>
        <v>Market</v>
      </c>
      <c r="CN523" s="1" t="str">
        <f t="shared" si="1626"/>
        <v>Market</v>
      </c>
      <c r="CO523" s="1" t="str">
        <f t="shared" si="1627"/>
        <v>Market</v>
      </c>
      <c r="CP523" s="304">
        <f t="shared" si="1628"/>
        <v>215</v>
      </c>
      <c r="CQ523" s="1">
        <f t="shared" si="1629"/>
        <v>0</v>
      </c>
      <c r="CR523" s="1">
        <f t="shared" si="1630"/>
        <v>0</v>
      </c>
      <c r="CS523" s="1">
        <f t="shared" si="1631"/>
        <v>0</v>
      </c>
      <c r="CT523" s="1">
        <f t="shared" si="1632"/>
        <v>8.9999999999999993E-3</v>
      </c>
      <c r="CU523" s="1">
        <f t="shared" si="1633"/>
        <v>3.9E-2</v>
      </c>
      <c r="CV523" s="304">
        <f t="shared" si="1634"/>
        <v>-1098.3618966787526</v>
      </c>
      <c r="CW523" s="20" t="s">
        <v>122</v>
      </c>
      <c r="CX523" s="20" t="s">
        <v>122</v>
      </c>
      <c r="CY523" s="20" t="s">
        <v>122</v>
      </c>
      <c r="CZ523" s="20" t="s">
        <v>122</v>
      </c>
      <c r="DA523" s="20" t="s">
        <v>122</v>
      </c>
      <c r="DB523" s="503">
        <f t="shared" si="1635"/>
        <v>0</v>
      </c>
      <c r="DC523" s="127">
        <v>0</v>
      </c>
      <c r="DD523" s="127">
        <v>0</v>
      </c>
      <c r="DE523" s="127">
        <v>0</v>
      </c>
      <c r="DF523" s="127">
        <v>0</v>
      </c>
      <c r="DG523" s="127">
        <v>0</v>
      </c>
      <c r="DH523" s="127">
        <v>0</v>
      </c>
      <c r="DI523" s="127">
        <v>0</v>
      </c>
      <c r="DJ523" s="127">
        <v>0</v>
      </c>
      <c r="DK523" s="127">
        <v>0</v>
      </c>
      <c r="DL523" s="127">
        <v>0</v>
      </c>
      <c r="DM523" s="304">
        <f>INDEX(Input!$1:$1048576,DM$93,$C523*2+6)</f>
        <v>20731.578947368424</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4.2660858655637304E-2</v>
      </c>
      <c r="DZ523" s="7">
        <v>0</v>
      </c>
      <c r="EA523" s="7">
        <v>0.75460772851436575</v>
      </c>
      <c r="EB523" s="7">
        <v>0</v>
      </c>
      <c r="EC523" s="7">
        <v>0</v>
      </c>
      <c r="ED523" s="7">
        <v>0</v>
      </c>
      <c r="EE523" s="7">
        <v>0</v>
      </c>
      <c r="EF523" s="7">
        <v>0</v>
      </c>
      <c r="EG523" s="7">
        <v>0</v>
      </c>
      <c r="EH523" s="7">
        <v>1.0389982675459304E-2</v>
      </c>
      <c r="EI523" s="7">
        <v>1.3086226189349444E-2</v>
      </c>
      <c r="EJ523" s="7">
        <v>0.19246019031837105</v>
      </c>
      <c r="EK523" s="7">
        <v>0.75069406082154522</v>
      </c>
      <c r="EL523" s="7">
        <v>3.3369539995274873E-2</v>
      </c>
      <c r="EM523" s="7">
        <v>9.2622670790468764E-2</v>
      </c>
      <c r="EN523" s="7">
        <v>4.7387774965257923E-2</v>
      </c>
      <c r="EO523" s="7">
        <v>0.58258163411302</v>
      </c>
      <c r="EP523" s="7">
        <v>0.25107513069620879</v>
      </c>
      <c r="EQ523" s="7">
        <v>7.2209891682056729E-2</v>
      </c>
      <c r="ER523" s="7">
        <v>4.674556854345685E-2</v>
      </c>
      <c r="ES523" s="7">
        <v>0.11010874203952835</v>
      </c>
      <c r="ET523" s="7">
        <v>0.20273141282999696</v>
      </c>
      <c r="EU523" s="6">
        <v>1600</v>
      </c>
      <c r="EV523" s="6">
        <v>0</v>
      </c>
      <c r="EW523" s="6">
        <v>1600</v>
      </c>
      <c r="EX523" s="6">
        <v>0</v>
      </c>
      <c r="EY523" s="6">
        <v>2975.9107218438712</v>
      </c>
      <c r="EZ523" s="6">
        <v>-1723.0908300335955</v>
      </c>
      <c r="FA523" s="6">
        <v>0</v>
      </c>
      <c r="FB523" s="6">
        <v>0</v>
      </c>
      <c r="FC523" s="6">
        <v>0</v>
      </c>
      <c r="FD523" s="6">
        <v>0</v>
      </c>
      <c r="FE523" s="6">
        <v>0</v>
      </c>
      <c r="FF523" s="6">
        <v>0</v>
      </c>
      <c r="FG523" s="6">
        <v>0</v>
      </c>
      <c r="FH523" s="6">
        <v>1153.9862001754002</v>
      </c>
      <c r="FI523" s="6">
        <v>1531.4299904380618</v>
      </c>
      <c r="FJ523" s="6">
        <v>2070.7205842538228</v>
      </c>
      <c r="FK523" s="6">
        <v>2218.639369850101</v>
      </c>
      <c r="FL523" s="6">
        <v>893.91433563489409</v>
      </c>
      <c r="FM523" s="6">
        <v>2125.9107218438712</v>
      </c>
      <c r="FN523" s="6">
        <v>0</v>
      </c>
      <c r="FO523" s="6">
        <v>0</v>
      </c>
      <c r="FP523" s="6">
        <v>0</v>
      </c>
      <c r="FQ523" s="6">
        <v>0</v>
      </c>
      <c r="FR523" s="6">
        <v>0</v>
      </c>
      <c r="FS523" s="6">
        <v>0</v>
      </c>
      <c r="FT523" s="7">
        <v>0.79726858717000304</v>
      </c>
      <c r="FU523" s="7">
        <v>9.2622670790468764E-2</v>
      </c>
      <c r="FV523" s="7">
        <v>0.11010874203952835</v>
      </c>
      <c r="FW523" s="6">
        <v>1599.9999999999998</v>
      </c>
      <c r="FX523" s="6">
        <v>2975.9107218438712</v>
      </c>
      <c r="FY523" s="6">
        <v>-1723.0908300335955</v>
      </c>
      <c r="FZ523" s="6">
        <v>2411.9063952864503</v>
      </c>
      <c r="GA523" s="6">
        <v>1361.5391748483298</v>
      </c>
      <c r="GB523" s="6">
        <v>18333.460825151669</v>
      </c>
      <c r="GC523" s="7">
        <v>7.6138913542514425E-2</v>
      </c>
      <c r="GD523" s="7">
        <v>6.6705137840561632E-2</v>
      </c>
      <c r="GE523" s="7"/>
      <c r="GF523" s="7"/>
      <c r="GG523" s="7">
        <v>-0.12390215808221593</v>
      </c>
      <c r="GH523" s="42">
        <v>2.3232379647295014</v>
      </c>
      <c r="GI523" s="6">
        <v>9838.931632703212</v>
      </c>
      <c r="GJ523" s="14">
        <v>0.51074630601039539</v>
      </c>
      <c r="GK523" s="14">
        <v>0.50829519786160959</v>
      </c>
      <c r="GL523" s="14">
        <v>0.48925369398960428</v>
      </c>
      <c r="GM523" s="14">
        <v>0.49170480213839002</v>
      </c>
      <c r="GO523" s="5">
        <v>338.16872463277008</v>
      </c>
      <c r="GP523" s="5">
        <v>307.64377699166363</v>
      </c>
      <c r="GQ523" s="5">
        <v>527.27910984145694</v>
      </c>
      <c r="GR523" s="5">
        <v>404.20319246551543</v>
      </c>
      <c r="GS523" s="5">
        <v>334.50205195691484</v>
      </c>
      <c r="GT523" s="5">
        <v>289.18266033348181</v>
      </c>
      <c r="GU523" s="5">
        <v>254.29573314828914</v>
      </c>
      <c r="GV523" s="39" t="s">
        <v>392</v>
      </c>
      <c r="GW523" s="5">
        <v>468.76388888888891</v>
      </c>
      <c r="GX523" s="5">
        <v>351.57291666666669</v>
      </c>
      <c r="GY523" s="5">
        <v>281.25833333333333</v>
      </c>
      <c r="GZ523" s="5">
        <v>240.8550698915011</v>
      </c>
      <c r="HA523" s="5">
        <v>229.8919505212948</v>
      </c>
      <c r="HB523" s="39">
        <v>252.08210287976712</v>
      </c>
      <c r="HC523" s="5">
        <v>358.50084881396981</v>
      </c>
      <c r="HD523" s="5">
        <v>287.77900980034525</v>
      </c>
      <c r="HE523" s="5">
        <v>285.23787161201437</v>
      </c>
      <c r="HF523" s="5">
        <v>257.54964978663213</v>
      </c>
      <c r="HG523" s="5">
        <v>240.60084178617024</v>
      </c>
      <c r="HH523" s="39">
        <v>286.10411469103042</v>
      </c>
      <c r="HI523" s="16"/>
      <c r="HJ523" s="19" t="str">
        <f t="shared" si="1737"/>
        <v>On</v>
      </c>
      <c r="HK523" s="1" t="str">
        <f t="shared" si="1737"/>
        <v>On</v>
      </c>
      <c r="HL523" s="16"/>
      <c r="HM523" s="639">
        <f t="shared" si="1636"/>
        <v>5.1181272167489952E-2</v>
      </c>
      <c r="HN523" s="639">
        <f t="shared" si="1637"/>
        <v>4.2792051795134348E-3</v>
      </c>
      <c r="HO523" s="639">
        <f t="shared" si="1638"/>
        <v>7.4145241462331068E-3</v>
      </c>
      <c r="HP523" s="644">
        <f>(FT523*$GD523-HM523)/$JF523*INDEX(Input!$1:$1048576,$JG$93,$C523*2+6)</f>
        <v>23.609924147688531</v>
      </c>
      <c r="HQ523" s="644">
        <f>(FU523*$GD523-HN523)/$JF523*INDEX(Input!$1:$1048576,$JG$93,$C523*2+6)</f>
        <v>22.412858462581397</v>
      </c>
      <c r="HR523" s="644">
        <f>(FV523*$GD523-HO523)/$JF523*INDEX(Input!$1:$1048576,$JG$93,$C523*2+6)</f>
        <v>-0.82260603419505862</v>
      </c>
      <c r="HS523" s="644">
        <f t="shared" si="1639"/>
        <v>-7.5687388054950722</v>
      </c>
      <c r="HT523" s="644">
        <f t="shared" si="1640"/>
        <v>39.814659120387084</v>
      </c>
      <c r="HU523" s="644">
        <f t="shared" si="1641"/>
        <v>6.8774902351526013</v>
      </c>
      <c r="HV523" s="648">
        <f t="shared" si="1642"/>
        <v>0</v>
      </c>
      <c r="HW523" s="648">
        <f t="shared" si="1643"/>
        <v>0</v>
      </c>
      <c r="HX523" s="648">
        <f t="shared" si="1644"/>
        <v>0</v>
      </c>
      <c r="HY523" s="644">
        <f>INDEX(Input!$1:$1048576,HY$93,$C523*2+6)*INDEX(Input!$1:$1048576,$JG$93,$C523*2+6)</f>
        <v>345</v>
      </c>
      <c r="HZ523" s="644">
        <f>INDEX(Input!$1:$1048576,HZ$93,$C523*2+6)*INDEX(Input!$1:$1048576,$JG$93,$C523*2+6)</f>
        <v>299</v>
      </c>
      <c r="IA523" s="644">
        <f>INDEX(Input!$1:$1048576,IA$93,$C523*2+6)*INDEX(Input!$1:$1048576,$JG$93,$C523*2+6)</f>
        <v>98</v>
      </c>
      <c r="IB523" s="644">
        <f t="shared" si="1668"/>
        <v>361.04118534219344</v>
      </c>
      <c r="IC523" s="644">
        <f t="shared" si="1669"/>
        <v>361.22751758296852</v>
      </c>
      <c r="ID523" s="644">
        <f>IF(AND(INDEX(Input!$1:$1048576,IA$93,$C523*2+7)="TOS",Y523&lt;=INDEX(Y:Y,MATCH(C523*1000+2,A:A))),0,1)*MAX(IA523+HR523+HU523+HX523,0%)</f>
        <v>104.05488420095755</v>
      </c>
      <c r="IE523" s="128">
        <f t="shared" si="1738"/>
        <v>0.43692469992035787</v>
      </c>
      <c r="IF523" s="128">
        <f t="shared" si="1691"/>
        <v>0.43715019540866062</v>
      </c>
      <c r="IG523" s="128">
        <f t="shared" si="1646"/>
        <v>0.12592510467098156</v>
      </c>
      <c r="IH523" s="21"/>
      <c r="II523" s="19">
        <f t="shared" si="1647"/>
        <v>1200</v>
      </c>
      <c r="IJ523" s="19">
        <f t="shared" si="1648"/>
        <v>2231.5440334087361</v>
      </c>
      <c r="IK523" s="19">
        <f t="shared" si="1649"/>
        <v>-2048.0908300335955</v>
      </c>
      <c r="IL523" s="19">
        <f t="shared" si="1671"/>
        <v>399.99999999999977</v>
      </c>
      <c r="IM523" s="19">
        <f t="shared" si="1650"/>
        <v>744.36668843513507</v>
      </c>
      <c r="IN523" s="19">
        <f t="shared" si="1651"/>
        <v>325</v>
      </c>
      <c r="IO523" s="39">
        <f t="shared" si="1652"/>
        <v>0</v>
      </c>
      <c r="IP523" s="39">
        <f t="shared" si="1653"/>
        <v>0</v>
      </c>
      <c r="IQ523" s="39">
        <f t="shared" si="1654"/>
        <v>0</v>
      </c>
      <c r="IR523" s="39">
        <v>0</v>
      </c>
      <c r="IS523" s="39">
        <v>0</v>
      </c>
      <c r="IT523" s="39">
        <v>0</v>
      </c>
      <c r="IU523" s="39">
        <v>0</v>
      </c>
      <c r="IV523" s="39">
        <v>0</v>
      </c>
      <c r="IW523" s="39">
        <v>0</v>
      </c>
      <c r="IX523" s="39">
        <f>INDEX(Input!$1:$1048576,IX$93,$C523*2+6)+INDEX(Input!$1:$1048576,IX$94,$C523*2+6)</f>
        <v>1600</v>
      </c>
      <c r="IY523" s="39">
        <f>INDEX(Input!$1:$1048576,IY$93,$C523*2+6)+INDEX(Input!$1:$1048576,IY$94,$C523*2+6)</f>
        <v>2503.5492916397525</v>
      </c>
      <c r="IZ523" s="39">
        <f>INDEX(Input!$1:$1048576,IZ$93,$C523*2+6)+INDEX(Input!$1:$1048576,IZ$94,$C523*2+6)</f>
        <v>5413.7109265464023</v>
      </c>
      <c r="JA523" s="19">
        <f t="shared" si="1672"/>
        <v>1999.9999999999998</v>
      </c>
      <c r="JB523" s="19">
        <f t="shared" si="1673"/>
        <v>3247.9159800748876</v>
      </c>
      <c r="JC523" s="19">
        <f t="shared" si="1674"/>
        <v>5738.7109265464023</v>
      </c>
      <c r="JD523" s="19">
        <f t="shared" si="1675"/>
        <v>3016.3242793032255</v>
      </c>
      <c r="JE523" s="21"/>
      <c r="JF523" s="1">
        <f t="shared" si="1655"/>
        <v>6.2875001493236493E-2</v>
      </c>
      <c r="JG523" s="15">
        <f>INDEX(Input!$1:$1048576,JG$93,$C523*2+6)/(1+VLOOKUP(C523*1000+INDEX(Input!$1:$1048576,JG$93+1,$C523*2+6),$A:$KK,$JK$92,FALSE))</f>
        <v>742</v>
      </c>
      <c r="JH523" s="1">
        <f t="shared" si="1676"/>
        <v>6.0916680021664241E-2</v>
      </c>
      <c r="JI523" s="1">
        <f t="shared" si="1677"/>
        <v>5.2726968396286537E-2</v>
      </c>
      <c r="JJ523" s="1">
        <f t="shared" si="1715"/>
        <v>0</v>
      </c>
      <c r="JK523" s="1">
        <f t="shared" si="1719"/>
        <v>0.11364364841795077</v>
      </c>
      <c r="JL523" s="15">
        <f t="shared" si="1680"/>
        <v>84.323587126119477</v>
      </c>
      <c r="JM523" s="15">
        <f t="shared" si="1706"/>
        <v>826.32358712611949</v>
      </c>
      <c r="JN523" s="21"/>
      <c r="JO523" s="19">
        <f>INDEX(Input!$1:$1048576,JO$93,$C523*2+6)</f>
        <v>5908.5</v>
      </c>
      <c r="JP523" s="19">
        <f>INDEX(Input!$1:$1048576,JP$93,$C523*2+6)</f>
        <v>2467.7963733178344</v>
      </c>
      <c r="JQ523" s="39">
        <f t="shared" si="1692"/>
        <v>2892.1757206967745</v>
      </c>
      <c r="JR523" s="39">
        <f t="shared" si="1709"/>
        <v>548.52790598539104</v>
      </c>
      <c r="JS523" s="39">
        <f t="shared" si="1694"/>
        <v>2.4924598984094484</v>
      </c>
      <c r="JT523" s="39">
        <f t="shared" si="1682"/>
        <v>0.6613549894076155</v>
      </c>
      <c r="JU523" s="385">
        <f>(JQ523*JM523-INDEX(Input!$1:$1048576,Input!A$18,$C523*2+6)*JL523*INDEX(Input!$1:$1048576,Input!A$19,$C523*2+6))/1000000</f>
        <v>2.3898730161252288</v>
      </c>
      <c r="JV523" s="39">
        <f t="shared" si="1716"/>
        <v>-0.16312907487293771</v>
      </c>
      <c r="JW523" s="1">
        <f t="shared" si="1707"/>
        <v>-6.3896960934002961E-2</v>
      </c>
      <c r="JX523" s="19">
        <f t="shared" si="1698"/>
        <v>7843.060428850742</v>
      </c>
      <c r="JZ523" s="341"/>
      <c r="KA523" s="342"/>
      <c r="KB523" s="469">
        <f t="shared" si="1695"/>
        <v>2.4623520912331753</v>
      </c>
      <c r="KI523" s="473">
        <f t="shared" si="1722"/>
        <v>16.041185342193444</v>
      </c>
      <c r="KJ523" s="473">
        <f t="shared" si="1723"/>
        <v>62.227517582968517</v>
      </c>
      <c r="KK523" s="473">
        <f t="shared" si="1684"/>
        <v>6.0548842009575452</v>
      </c>
      <c r="KN523" s="544">
        <f t="shared" si="1699"/>
        <v>5002</v>
      </c>
      <c r="KO523" s="541">
        <f t="shared" si="1659"/>
        <v>3.4779531988410994E-2</v>
      </c>
      <c r="KP523" s="546">
        <f t="shared" si="1660"/>
        <v>150.52457548408415</v>
      </c>
      <c r="KQ523" s="546">
        <f t="shared" si="1661"/>
        <v>157.55183315151635</v>
      </c>
      <c r="KR523" s="548">
        <f t="shared" si="1662"/>
        <v>3.8901030804444781</v>
      </c>
      <c r="KS523" s="548">
        <f t="shared" si="1663"/>
        <v>3.7165934731467609</v>
      </c>
      <c r="KT523" s="473">
        <f t="shared" si="1697"/>
        <v>389.37465324503302</v>
      </c>
      <c r="KU523" s="663">
        <f t="shared" si="1685"/>
        <v>7.3272721982731728</v>
      </c>
      <c r="KV523" s="117"/>
    </row>
    <row r="524" spans="1:308" s="26" customFormat="1" ht="15">
      <c r="A524" s="561">
        <f t="shared" si="1664"/>
        <v>5024</v>
      </c>
      <c r="B524" s="561">
        <f t="shared" si="1686"/>
        <v>24</v>
      </c>
      <c r="C524" s="561">
        <f t="shared" si="1687"/>
        <v>5</v>
      </c>
      <c r="D524" s="561" t="str">
        <f t="shared" si="1736"/>
        <v xml:space="preserve">0/0/0/3.9, </v>
      </c>
      <c r="E524" s="475">
        <f>INDEX(Input!$1:$1048576,E$93,$C524*2+MIN($B524,2)+5)
+INDEX(Scenarios!E$121:E$200,MATCH($B524,Scenarios!$B$121:$B$200,0))</f>
        <v>1250</v>
      </c>
      <c r="F524" s="475">
        <f>INDEX(Input!$1:$1048576,F$93,$C524*2+MIN($B524,2)+5)
+INDEX(Scenarios!F$121:F$200,MATCH($B524,Scenarios!$B$121:$B$200,0))</f>
        <v>0</v>
      </c>
      <c r="G524" s="475">
        <f>INDEX(Input!$1:$1048576,G$93,$C524*2+MIN($B524,2)+5)
+INDEX(Scenarios!G$121:G$200,MATCH($B524,Scenarios!$B$121:$B$200,0))</f>
        <v>0</v>
      </c>
      <c r="H524" s="475">
        <f>INDEX(Input!$1:$1048576,H$93,$C524*2+MIN($B524,2)+5)
+INDEX(Scenarios!H$121:H$200,MATCH($B524,Scenarios!$B$121:$B$200,0))</f>
        <v>0</v>
      </c>
      <c r="I524" s="476">
        <f>INDEX(Input!$1:$1048576,I$93,$C524*2+MIN($B524,2)+5)</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+INDEX(Scenarios!Q$121:Q$200,MATCH($B524,Scenarios!$B$121:$B$200,0))</f>
        <v>0</v>
      </c>
      <c r="R524" s="478">
        <f>IFERROR(MAX(0,INDEX(Input!$1:$1048576,R$93,$C524*2+MIN($B524,2)+5)
+INDEX(Scenarios!R$121:R$200,MATCH($B524,Scenarios!$B$121:$B$200,0)),),"Market")</f>
        <v>0</v>
      </c>
      <c r="S524" s="478">
        <f>IFERROR(MAX(0,INDEX(Input!$1:$1048576,S$93,$C524*2+MIN($B524,2)+5)
+INDEX(Scenarios!S$121:S$200,MATCH($B524,Scenarios!$B$121:$B$200,0)),),"Market")</f>
        <v>0</v>
      </c>
      <c r="T524" s="478">
        <f>IFERROR(MAX(0,INDEX(Input!$1:$1048576,T$93,$C524*2+MIN($B524,2)+5)
+INDEX(Scenarios!T$121:T$200,MATCH($B524,Scenarios!$B$121:$B$200,0)),),"Market")</f>
        <v>0</v>
      </c>
      <c r="U524" s="478">
        <f>IFERROR(MAX(0,INDEX(Input!$1:$1048576,U$93,$C524*2+MIN($B524,2)+5)
+INDEX(Scenarios!U$121:U$200,MATCH($B524,Scenarios!$B$121:$B$200,0)),),"Market")</f>
        <v>0</v>
      </c>
      <c r="V524" s="478">
        <f>IFERROR(MAX(0,INDEX(Input!$1:$1048576,V$93,$C524*2+MIN($B524,2)+5)
+INDEX(Scenarios!V$121:V$200,MATCH($B524,Scenarios!$B$121:$B$200,0)),),"Market")</f>
        <v>0</v>
      </c>
      <c r="W524" s="863">
        <f>IFERROR(MAX(0,INDEX(Input!$1:$1048576,W$93,$C524*2+MIN($B524,2)+5)-0%,),"Market")</f>
        <v>3.9E-2</v>
      </c>
      <c r="X524" s="476" t="str">
        <f>INDEX(Input!$1:$1048576,X$93,$C524*2+MIN($B524,2)+5)</f>
        <v>Y</v>
      </c>
      <c r="Y524" s="475">
        <f>INDEX(Input!$1:$1048576,Y$93,$C524*2+MIN($B524,2)+5)
++INDEX(Scenarios!Y$121:Y$200,MATCH($B524,Scenarios!$B$121:$B$200,0))</f>
        <v>-1098.3618966787526</v>
      </c>
      <c r="Z524" s="477">
        <f>INDEX(Input!$1:$1048576,Z$93,$C524*2+MIN($B524,2)+5)
+INDEX(Scenarios!Z$121:Z$200,MATCH($B524,Scenarios!$B$121:$B$200,0))</f>
        <v>0</v>
      </c>
      <c r="AA524" s="475">
        <f>INDEX(Input!$1:$1048576,AA$93,$C524*2+MIN($B524,2)+5)</f>
        <v>500</v>
      </c>
      <c r="AB524" s="476">
        <f>INDEX(Input!$1:$1048576,AB$93,$C524*2+MIN($B524,2)+5)</f>
        <v>0.43</v>
      </c>
      <c r="AC524" s="475">
        <f>INDEX(Input!$1:$1048576,AC$93,$C524*2+MIN($B524,2)+5)
+INDEX(Scenarios!AC$121:AC$200,MATCH($B524,Scenarios!$B$121:$B$200,0))</f>
        <v>0</v>
      </c>
      <c r="AD524" s="476">
        <f>INDEX(Input!$1:$1048576,AD$93,$C524*2+MIN($B524,2)+5)</f>
        <v>0.35</v>
      </c>
      <c r="AE524" s="475">
        <f>INDEX(Input!$1:$1048576,AE$93,$C524*2+MIN($B524,2)+5)
+INDEX(Scenarios!AE$121:AE$200,MATCH($B524,Scenarios!$B$121:$B$200,0))</f>
        <v>0</v>
      </c>
      <c r="AF524" s="476">
        <f>INDEX(Input!$1:$1048576,AF$93,$C524*2+MIN($B524,2)+5)</f>
        <v>1</v>
      </c>
      <c r="AG524" s="475">
        <f>INDEX(Input!$1:$1048576,AG$93,$C524*2+MIN($B524,2)+5)
+INDEX(Scenarios!AG$121:AG$200,MATCH($B524,Scenarios!$B$121:$B$200,0))</f>
        <v>0</v>
      </c>
      <c r="AH524" s="476">
        <f>INDEX(Input!$1:$1048576,AH$93,$C524*2+MIN($B524,2)+5)</f>
        <v>1</v>
      </c>
      <c r="AI524" s="475">
        <f>INDEX(Input!$1:$1048576,AI$93,$C524*2+MIN($B524,2)+5)
+INDEX(Scenarios!AI$121:AI$200,MATCH($B524,Scenarios!$B$121:$B$200,0))</f>
        <v>0</v>
      </c>
      <c r="AJ524" s="476">
        <f>INDEX(Input!$1:$1048576,AJ$93,$C524*2+MIN($B524,2)+5)</f>
        <v>0.35</v>
      </c>
      <c r="AK524" s="150">
        <f>ROUND(INDEX(Input!$1:$1048576,AK$93,$C523*2+MIN($B524,1)+5)+(Y524-VLOOKUP($C524*1000+1,$A:$HH,Y$92,FALSE)),0)</f>
        <v>4592</v>
      </c>
      <c r="AL524" s="150">
        <f>ROUND(INDEX(Input!$1:$1048576,AL$93,$C523*2+MIN($B524,1)+5)-(Y524-VLOOKUP($C524*1000+1,$A:$HH,Y$92,FALSE))/36,0)</f>
        <v>4743</v>
      </c>
      <c r="AM524" s="32" t="str">
        <f t="shared" si="1665"/>
        <v>std/std/std/std</v>
      </c>
      <c r="AN524" s="32" t="str">
        <f t="shared" si="1666"/>
        <v>$0 + 0/0/0/0/3.9</v>
      </c>
      <c r="AO524" s="32" t="str">
        <f t="shared" si="1667"/>
        <v>0/0/0/0/3.9</v>
      </c>
      <c r="AP524" s="32" t="str">
        <f t="shared" si="1621"/>
        <v>0/0/0/3.9</v>
      </c>
      <c r="AQ524" s="536">
        <f t="shared" si="1620"/>
        <v>0.40601158049080949</v>
      </c>
      <c r="AR524" s="32"/>
      <c r="AS524" s="302"/>
      <c r="AT524" s="3">
        <f t="shared" si="1688"/>
        <v>24</v>
      </c>
      <c r="AU524" s="41" t="s">
        <v>121</v>
      </c>
      <c r="AV524" s="41" t="s">
        <v>116</v>
      </c>
      <c r="AW524" s="41" t="str">
        <f>INDEX(Input!$1:$1048576,AW$93,$C524*2+6)</f>
        <v>Kia</v>
      </c>
      <c r="AX524" s="41" t="str">
        <f>INDEX(Input!$1:$1048576,AX$93,$C524*2+6)</f>
        <v>Kia-LR - R2</v>
      </c>
      <c r="AY524" s="41" t="str">
        <f>IF(LEN(D524)=0,"",INDEX(Input!$1:$1048576,AY$93,$C524*2+6))</f>
        <v>Compact Conventional/Sporty Car (43)</v>
      </c>
      <c r="AZ524" s="41" t="str">
        <f>INDEX(Input!$1:$1048576,AZ$93,$C524*2+6)</f>
        <v>Kia Forte</v>
      </c>
      <c r="BA524" s="3">
        <f>INDEX(Input!$1:$1048576,BA$93,$C524*2+6)</f>
        <v>2020</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19695</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622"/>
        <v>1250</v>
      </c>
      <c r="CJ524" s="16" t="str">
        <f>INDEX(Input!$1:$1048576,CJ$93,$C524*2+6)</f>
        <v>N</v>
      </c>
      <c r="CK524" s="1" t="str">
        <f t="shared" si="1623"/>
        <v>Market</v>
      </c>
      <c r="CL524" s="1" t="str">
        <f t="shared" si="1624"/>
        <v>Market</v>
      </c>
      <c r="CM524" s="1" t="str">
        <f t="shared" si="1625"/>
        <v>Market</v>
      </c>
      <c r="CN524" s="1" t="str">
        <f t="shared" si="1626"/>
        <v>Market</v>
      </c>
      <c r="CO524" s="1" t="str">
        <f t="shared" si="1627"/>
        <v>Market</v>
      </c>
      <c r="CP524" s="304">
        <f t="shared" si="1628"/>
        <v>215</v>
      </c>
      <c r="CQ524" s="1">
        <f t="shared" si="1629"/>
        <v>0</v>
      </c>
      <c r="CR524" s="1">
        <f t="shared" si="1630"/>
        <v>0</v>
      </c>
      <c r="CS524" s="1">
        <f t="shared" si="1631"/>
        <v>0</v>
      </c>
      <c r="CT524" s="1">
        <f t="shared" si="1632"/>
        <v>0</v>
      </c>
      <c r="CU524" s="1">
        <f t="shared" si="1633"/>
        <v>3.9E-2</v>
      </c>
      <c r="CV524" s="304">
        <f t="shared" si="1634"/>
        <v>-1098.3618966787526</v>
      </c>
      <c r="CW524" s="20" t="s">
        <v>122</v>
      </c>
      <c r="CX524" s="20" t="s">
        <v>122</v>
      </c>
      <c r="CY524" s="20" t="s">
        <v>122</v>
      </c>
      <c r="CZ524" s="20" t="s">
        <v>122</v>
      </c>
      <c r="DA524" s="20" t="s">
        <v>122</v>
      </c>
      <c r="DB524" s="503">
        <f t="shared" si="1635"/>
        <v>0</v>
      </c>
      <c r="DC524" s="127">
        <v>0</v>
      </c>
      <c r="DD524" s="127">
        <v>0</v>
      </c>
      <c r="DE524" s="127">
        <v>0</v>
      </c>
      <c r="DF524" s="127">
        <v>0</v>
      </c>
      <c r="DG524" s="127">
        <v>0</v>
      </c>
      <c r="DH524" s="127">
        <v>0</v>
      </c>
      <c r="DI524" s="127">
        <v>0</v>
      </c>
      <c r="DJ524" s="127">
        <v>0</v>
      </c>
      <c r="DK524" s="127">
        <v>0</v>
      </c>
      <c r="DL524" s="127">
        <v>0</v>
      </c>
      <c r="DM524" s="304">
        <f>INDEX(Input!$1:$1048576,DM$93,$C524*2+6)</f>
        <v>20731.578947368424</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4.1199756236939659E-2</v>
      </c>
      <c r="DZ524" s="7">
        <v>0</v>
      </c>
      <c r="EA524" s="7">
        <v>0.72851135179831183</v>
      </c>
      <c r="EB524" s="7">
        <v>0</v>
      </c>
      <c r="EC524" s="7">
        <v>0</v>
      </c>
      <c r="ED524" s="7">
        <v>0</v>
      </c>
      <c r="EE524" s="7">
        <v>0</v>
      </c>
      <c r="EF524" s="7">
        <v>0</v>
      </c>
      <c r="EG524" s="7">
        <v>0</v>
      </c>
      <c r="EH524" s="7">
        <v>7.4656964997244788E-3</v>
      </c>
      <c r="EI524" s="7">
        <v>9.4065637271825049E-3</v>
      </c>
      <c r="EJ524" s="7">
        <v>0.13826338806957911</v>
      </c>
      <c r="EK524" s="7">
        <v>0.82087513900822406</v>
      </c>
      <c r="EL524" s="7">
        <v>2.3989212695289721E-2</v>
      </c>
      <c r="EM524" s="7">
        <v>0.12417889697965592</v>
      </c>
      <c r="EN524" s="7">
        <v>4.7386465804219208E-2</v>
      </c>
      <c r="EO524" s="7">
        <v>0.5825825482257635</v>
      </c>
      <c r="EP524" s="7">
        <v>0.25108460318484083</v>
      </c>
      <c r="EQ524" s="7">
        <v>7.2211611792884725E-2</v>
      </c>
      <c r="ER524" s="7">
        <v>4.6734770992290925E-2</v>
      </c>
      <c r="ES524" s="7">
        <v>0.10610999498509258</v>
      </c>
      <c r="ET524" s="7">
        <v>0.23028889196474853</v>
      </c>
      <c r="EU524" s="6">
        <v>1600</v>
      </c>
      <c r="EV524" s="6">
        <v>0</v>
      </c>
      <c r="EW524" s="6">
        <v>1600</v>
      </c>
      <c r="EX524" s="6">
        <v>0</v>
      </c>
      <c r="EY524" s="6">
        <v>3344.1006765400334</v>
      </c>
      <c r="EZ524" s="6">
        <v>-1723.0908300335955</v>
      </c>
      <c r="FA524" s="6">
        <v>0</v>
      </c>
      <c r="FB524" s="6">
        <v>0</v>
      </c>
      <c r="FC524" s="6">
        <v>0</v>
      </c>
      <c r="FD524" s="6">
        <v>0</v>
      </c>
      <c r="FE524" s="6">
        <v>0</v>
      </c>
      <c r="FF524" s="6">
        <v>0</v>
      </c>
      <c r="FG524" s="6">
        <v>0</v>
      </c>
      <c r="FH524" s="6">
        <v>1153.9844222642637</v>
      </c>
      <c r="FI524" s="6">
        <v>1531.4299904380625</v>
      </c>
      <c r="FJ524" s="6">
        <v>2070.7205842538219</v>
      </c>
      <c r="FK524" s="6">
        <v>2635.3956133202919</v>
      </c>
      <c r="FL524" s="6">
        <v>893.91433563489375</v>
      </c>
      <c r="FM524" s="6">
        <v>2494.1006765400334</v>
      </c>
      <c r="FN524" s="6">
        <v>0</v>
      </c>
      <c r="FO524" s="6">
        <v>0</v>
      </c>
      <c r="FP524" s="6">
        <v>0</v>
      </c>
      <c r="FQ524" s="6">
        <v>0</v>
      </c>
      <c r="FR524" s="6">
        <v>0</v>
      </c>
      <c r="FS524" s="6">
        <v>0</v>
      </c>
      <c r="FT524" s="7">
        <v>0.76971110803525145</v>
      </c>
      <c r="FU524" s="7">
        <v>0.12417889697965592</v>
      </c>
      <c r="FV524" s="7">
        <v>0.10610999498509258</v>
      </c>
      <c r="FW524" s="6">
        <v>1600</v>
      </c>
      <c r="FX524" s="6">
        <v>3344.1006765400334</v>
      </c>
      <c r="FY524" s="6">
        <v>-1723.0908300335955</v>
      </c>
      <c r="FZ524" s="6">
        <v>2411.9063952864503</v>
      </c>
      <c r="GA524" s="6">
        <v>1463.9673469243412</v>
      </c>
      <c r="GB524" s="6">
        <v>18231.032653075657</v>
      </c>
      <c r="GC524" s="7">
        <v>7.6138913542514425E-2</v>
      </c>
      <c r="GD524" s="7">
        <v>6.7730892716039923E-2</v>
      </c>
      <c r="GE524" s="7"/>
      <c r="GF524" s="7"/>
      <c r="GG524" s="7">
        <v>-0.11043000793253549</v>
      </c>
      <c r="GH524" s="42">
        <v>2.2943658772040325</v>
      </c>
      <c r="GI524" s="6">
        <v>10048.03852566798</v>
      </c>
      <c r="GJ524" s="14">
        <v>0.51074630601039561</v>
      </c>
      <c r="GK524" s="14">
        <v>0.50829519786160959</v>
      </c>
      <c r="GL524" s="14">
        <v>0.48925369398960433</v>
      </c>
      <c r="GM524" s="14">
        <v>0.49170480213839002</v>
      </c>
      <c r="GO524" s="5">
        <v>338.16872463277008</v>
      </c>
      <c r="GP524" s="5">
        <v>307.64377699166363</v>
      </c>
      <c r="GQ524" s="5">
        <v>527.27910984145694</v>
      </c>
      <c r="GR524" s="5">
        <v>404.20319246551543</v>
      </c>
      <c r="GS524" s="5">
        <v>334.50205195691484</v>
      </c>
      <c r="GT524" s="5">
        <v>289.18266033348181</v>
      </c>
      <c r="GU524" s="5">
        <v>254.29573314828914</v>
      </c>
      <c r="GV524" s="39" t="s">
        <v>392</v>
      </c>
      <c r="GW524" s="5">
        <v>468.76388888888891</v>
      </c>
      <c r="GX524" s="5">
        <v>351.57291666666669</v>
      </c>
      <c r="GY524" s="5">
        <v>281.25833333333333</v>
      </c>
      <c r="GZ524" s="5">
        <v>234.38194444444446</v>
      </c>
      <c r="HA524" s="5">
        <v>229.8919505212948</v>
      </c>
      <c r="HB524" s="39">
        <v>243.6077101841627</v>
      </c>
      <c r="HC524" s="5">
        <v>358.50084881396981</v>
      </c>
      <c r="HD524" s="5">
        <v>287.77900980034525</v>
      </c>
      <c r="HE524" s="5">
        <v>285.23787161201437</v>
      </c>
      <c r="HF524" s="5">
        <v>257.54964978663213</v>
      </c>
      <c r="HG524" s="5">
        <v>240.60084178617024</v>
      </c>
      <c r="HH524" s="39">
        <v>286.10445544468485</v>
      </c>
      <c r="HI524" s="16"/>
      <c r="HJ524" s="19" t="str">
        <f t="shared" si="1737"/>
        <v>On</v>
      </c>
      <c r="HK524" s="1" t="str">
        <f t="shared" si="1737"/>
        <v>On</v>
      </c>
      <c r="HL524" s="16"/>
      <c r="HM524" s="639">
        <f t="shared" si="1636"/>
        <v>5.1181272167489952E-2</v>
      </c>
      <c r="HN524" s="639">
        <f t="shared" si="1637"/>
        <v>4.2792051795134348E-3</v>
      </c>
      <c r="HO524" s="639">
        <f t="shared" si="1638"/>
        <v>7.4145241462331068E-3</v>
      </c>
      <c r="HP524" s="644">
        <f>(FT524*$GD524-HM524)/$JF524*INDEX(Input!$1:$1048576,$JG$93,$C524*2+6)</f>
        <v>11.234125353664945</v>
      </c>
      <c r="HQ524" s="644">
        <f>(FU524*$GD524-HN524)/$JF524*INDEX(Input!$1:$1048576,$JG$93,$C524*2+6)</f>
        <v>48.757127082268696</v>
      </c>
      <c r="HR524" s="644">
        <f>(FV524*$GD524-HO524)/$JF524*INDEX(Input!$1:$1048576,$JG$93,$C524*2+6)</f>
        <v>-2.6859450522395742</v>
      </c>
      <c r="HS524" s="644">
        <f t="shared" si="1639"/>
        <v>-7.6458764051586119</v>
      </c>
      <c r="HT524" s="644">
        <f t="shared" si="1640"/>
        <v>59.953198128219888</v>
      </c>
      <c r="HU524" s="644">
        <f t="shared" si="1641"/>
        <v>6.9546278348161366</v>
      </c>
      <c r="HV524" s="648">
        <f t="shared" si="1642"/>
        <v>0</v>
      </c>
      <c r="HW524" s="648">
        <f t="shared" si="1643"/>
        <v>0</v>
      </c>
      <c r="HX524" s="648">
        <f t="shared" si="1644"/>
        <v>0</v>
      </c>
      <c r="HY524" s="644">
        <f>INDEX(Input!$1:$1048576,HY$93,$C524*2+6)*INDEX(Input!$1:$1048576,$JG$93,$C524*2+6)</f>
        <v>345</v>
      </c>
      <c r="HZ524" s="644">
        <f>INDEX(Input!$1:$1048576,HZ$93,$C524*2+6)*INDEX(Input!$1:$1048576,$JG$93,$C524*2+6)</f>
        <v>299</v>
      </c>
      <c r="IA524" s="644">
        <f>INDEX(Input!$1:$1048576,IA$93,$C524*2+6)*INDEX(Input!$1:$1048576,$JG$93,$C524*2+6)</f>
        <v>98</v>
      </c>
      <c r="IB524" s="644">
        <f t="shared" si="1668"/>
        <v>348.58824894850636</v>
      </c>
      <c r="IC524" s="644">
        <f t="shared" si="1669"/>
        <v>407.71032521048858</v>
      </c>
      <c r="ID524" s="644">
        <f>IF(AND(INDEX(Input!$1:$1048576,IA$93,$C524*2+7)="TOS",Y524&lt;=INDEX(Y:Y,MATCH(C524*1000+2,A:A))),0,1)*MAX(IA524+HR524+HU524+HX524,0%)</f>
        <v>102.26868278257656</v>
      </c>
      <c r="IE524" s="128">
        <f t="shared" si="1738"/>
        <v>0.40601158049080949</v>
      </c>
      <c r="IF524" s="128">
        <f t="shared" si="1691"/>
        <v>0.47487290240120894</v>
      </c>
      <c r="IG524" s="128">
        <f t="shared" si="1646"/>
        <v>0.11911551710798156</v>
      </c>
      <c r="IH524" s="21"/>
      <c r="II524" s="19">
        <f t="shared" si="1647"/>
        <v>1200</v>
      </c>
      <c r="IJ524" s="19">
        <f t="shared" si="1648"/>
        <v>2231.5440334087361</v>
      </c>
      <c r="IK524" s="19">
        <f t="shared" si="1649"/>
        <v>-2048.0908300335955</v>
      </c>
      <c r="IL524" s="19">
        <f t="shared" si="1671"/>
        <v>400</v>
      </c>
      <c r="IM524" s="19">
        <f t="shared" si="1650"/>
        <v>1112.5566431312973</v>
      </c>
      <c r="IN524" s="19">
        <f t="shared" si="1651"/>
        <v>325</v>
      </c>
      <c r="IO524" s="39">
        <f t="shared" si="1652"/>
        <v>0</v>
      </c>
      <c r="IP524" s="39">
        <f t="shared" si="1653"/>
        <v>0</v>
      </c>
      <c r="IQ524" s="39">
        <f t="shared" si="1654"/>
        <v>0</v>
      </c>
      <c r="IR524" s="39">
        <v>0</v>
      </c>
      <c r="IS524" s="39">
        <v>0</v>
      </c>
      <c r="IT524" s="39">
        <v>0</v>
      </c>
      <c r="IU524" s="39">
        <v>0</v>
      </c>
      <c r="IV524" s="39">
        <v>0</v>
      </c>
      <c r="IW524" s="39">
        <v>0</v>
      </c>
      <c r="IX524" s="39">
        <f>INDEX(Input!$1:$1048576,IX$93,$C524*2+6)+INDEX(Input!$1:$1048576,IX$94,$C524*2+6)</f>
        <v>1600</v>
      </c>
      <c r="IY524" s="39">
        <f>INDEX(Input!$1:$1048576,IY$93,$C524*2+6)+INDEX(Input!$1:$1048576,IY$94,$C524*2+6)</f>
        <v>2503.5492916397525</v>
      </c>
      <c r="IZ524" s="39">
        <f>INDEX(Input!$1:$1048576,IZ$93,$C524*2+6)+INDEX(Input!$1:$1048576,IZ$94,$C524*2+6)</f>
        <v>5413.7109265464023</v>
      </c>
      <c r="JA524" s="19">
        <f t="shared" si="1672"/>
        <v>2000</v>
      </c>
      <c r="JB524" s="19">
        <f t="shared" si="1673"/>
        <v>3616.1059347710498</v>
      </c>
      <c r="JC524" s="19">
        <f t="shared" si="1674"/>
        <v>5738.7109265464023</v>
      </c>
      <c r="JD524" s="19">
        <f t="shared" si="1675"/>
        <v>3212.7834011653831</v>
      </c>
      <c r="JE524" s="21"/>
      <c r="JF524" s="1">
        <f t="shared" si="1655"/>
        <v>6.2875001493236493E-2</v>
      </c>
      <c r="JG524" s="15">
        <f>INDEX(Input!$1:$1048576,JG$93,$C524*2+6)/(1+VLOOKUP(C524*1000+INDEX(Input!$1:$1048576,JG$93+1,$C524*2+6),$A:$KK,$JK$92,FALSE))</f>
        <v>742</v>
      </c>
      <c r="JH524" s="1">
        <f t="shared" si="1676"/>
        <v>7.7230872484762889E-2</v>
      </c>
      <c r="JI524" s="1">
        <f t="shared" si="1677"/>
        <v>7.9867856547004609E-2</v>
      </c>
      <c r="JJ524" s="1">
        <f t="shared" si="1715"/>
        <v>0</v>
      </c>
      <c r="JK524" s="1">
        <f t="shared" si="1719"/>
        <v>0.1570987290317675</v>
      </c>
      <c r="JL524" s="15">
        <f t="shared" si="1680"/>
        <v>116.56725694157149</v>
      </c>
      <c r="JM524" s="15">
        <f t="shared" si="1706"/>
        <v>858.56725694157149</v>
      </c>
      <c r="JN524" s="21"/>
      <c r="JO524" s="19">
        <f>INDEX(Input!$1:$1048576,JO$93,$C524*2+6)</f>
        <v>5908.5</v>
      </c>
      <c r="JP524" s="19">
        <f>INDEX(Input!$1:$1048576,JP$93,$C524*2+6)</f>
        <v>2467.7963733178344</v>
      </c>
      <c r="JQ524" s="39">
        <f t="shared" si="1692"/>
        <v>2695.7165988346169</v>
      </c>
      <c r="JR524" s="39">
        <f t="shared" si="1709"/>
        <v>744.98702784754869</v>
      </c>
      <c r="JS524" s="39">
        <f t="shared" si="1694"/>
        <v>2.7583906318859754</v>
      </c>
      <c r="JT524" s="39">
        <f t="shared" si="1682"/>
        <v>0.92728572288414257</v>
      </c>
      <c r="JU524" s="385">
        <f>(JQ524*JM524-INDEX(Input!$1:$1048576,Input!A$18,$C524*2+6)*JL524*INDEX(Input!$1:$1048576,Input!A$19,$C524*2+6))/1000000</f>
        <v>2.3144540057532996</v>
      </c>
      <c r="JV524" s="39">
        <f t="shared" si="1716"/>
        <v>-0.23854808524486693</v>
      </c>
      <c r="JW524" s="1">
        <f t="shared" si="1707"/>
        <v>-9.3438264733892162E-2</v>
      </c>
      <c r="JX524" s="19">
        <f t="shared" si="1698"/>
        <v>7954.9416123683677</v>
      </c>
      <c r="JZ524" s="341"/>
      <c r="KA524" s="342"/>
      <c r="KB524" s="469">
        <f t="shared" si="1695"/>
        <v>2.4623520912331753</v>
      </c>
      <c r="KI524" s="473">
        <f t="shared" si="1722"/>
        <v>3.5882489485063616</v>
      </c>
      <c r="KJ524" s="473">
        <f t="shared" si="1723"/>
        <v>108.71032521048858</v>
      </c>
      <c r="KK524" s="473">
        <f t="shared" si="1684"/>
        <v>4.2686827825765619</v>
      </c>
      <c r="KN524" s="544">
        <f t="shared" si="1699"/>
        <v>5002</v>
      </c>
      <c r="KO524" s="541">
        <f t="shared" si="1659"/>
        <v>7.5157284821611769E-2</v>
      </c>
      <c r="KP524" s="546">
        <f t="shared" si="1660"/>
        <v>338.35712358211163</v>
      </c>
      <c r="KQ524" s="546">
        <f t="shared" si="1661"/>
        <v>354.01095501367399</v>
      </c>
      <c r="KR524" s="548">
        <f t="shared" si="1662"/>
        <v>3.7397325529603291</v>
      </c>
      <c r="KS524" s="548">
        <f t="shared" si="1663"/>
        <v>3.5743672100123796</v>
      </c>
      <c r="KT524" s="473">
        <f t="shared" si="1697"/>
        <v>389.37465324503302</v>
      </c>
      <c r="KU524" s="663">
        <f t="shared" si="1685"/>
        <v>7.3868525297229626</v>
      </c>
      <c r="KV524" s="117"/>
    </row>
    <row r="525" spans="1:308" s="26" customFormat="1" ht="15">
      <c r="A525" s="561">
        <f t="shared" si="1664"/>
        <v>5025</v>
      </c>
      <c r="B525" s="561">
        <f t="shared" si="1686"/>
        <v>25</v>
      </c>
      <c r="C525" s="561">
        <f t="shared" si="1687"/>
        <v>5</v>
      </c>
      <c r="D525" s="561" t="str">
        <f t="shared" si="1736"/>
        <v xml:space="preserve">0.9/1.9/2.9/3.9, </v>
      </c>
      <c r="E525" s="475">
        <f>INDEX(Input!$1:$1048576,E$93,$C525*2+MIN($B525,2)+5)
+INDEX(Scenarios!E$121:E$200,MATCH($B525,Scenarios!$B$121:$B$200,0))</f>
        <v>1250</v>
      </c>
      <c r="F525" s="475">
        <f>INDEX(Input!$1:$1048576,F$93,$C525*2+MIN($B525,2)+5)
+INDEX(Scenarios!F$121:F$200,MATCH($B525,Scenarios!$B$121:$B$200,0))</f>
        <v>0</v>
      </c>
      <c r="G525" s="475">
        <f>INDEX(Input!$1:$1048576,G$93,$C525*2+MIN($B525,2)+5)
+INDEX(Scenarios!G$121:G$200,MATCH($B525,Scenarios!$B$121:$B$200,0))</f>
        <v>0</v>
      </c>
      <c r="H525" s="475">
        <f>INDEX(Input!$1:$1048576,H$93,$C525*2+MIN($B525,2)+5)
+INDEX(Scenarios!H$121:H$200,MATCH($B525,Scenarios!$B$121:$B$200,0))</f>
        <v>0</v>
      </c>
      <c r="I525" s="476">
        <f>INDEX(Input!$1:$1048576,I$93,$C525*2+MIN($B525,2)+5)</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+INDEX(Scenarios!Q$121:Q$200,MATCH($B525,Scenarios!$B$121:$B$200,0))</f>
        <v>0</v>
      </c>
      <c r="R525" s="478">
        <f>IFERROR(MAX(0,INDEX(Input!$1:$1048576,R$93,$C525*2+MIN($B525,2)+5)
+INDEX(Scenarios!R$121:R$200,MATCH($B525,Scenarios!$B$121:$B$200,0)),),"Market")</f>
        <v>9.0000000000000011E-3</v>
      </c>
      <c r="S525" s="478">
        <f>IFERROR(MAX(0,INDEX(Input!$1:$1048576,S$93,$C525*2+MIN($B525,2)+5)
+INDEX(Scenarios!S$121:S$200,MATCH($B525,Scenarios!$B$121:$B$200,0)),),"Market")</f>
        <v>9.0000000000000011E-3</v>
      </c>
      <c r="T525" s="478">
        <f>IFERROR(MAX(0,INDEX(Input!$1:$1048576,T$93,$C525*2+MIN($B525,2)+5)
+INDEX(Scenarios!T$121:T$200,MATCH($B525,Scenarios!$B$121:$B$200,0)),),"Market")</f>
        <v>9.0000000000000011E-3</v>
      </c>
      <c r="U525" s="478">
        <f>IFERROR(MAX(0,INDEX(Input!$1:$1048576,U$93,$C525*2+MIN($B525,2)+5)
+INDEX(Scenarios!U$121:U$200,MATCH($B525,Scenarios!$B$121:$B$200,0)),),"Market")</f>
        <v>9.0000000000000011E-3</v>
      </c>
      <c r="V525" s="478">
        <f>IFERROR(MAX(0,INDEX(Input!$1:$1048576,V$93,$C525*2+MIN($B525,2)+5)
+INDEX(Scenarios!V$121:V$200,MATCH($B525,Scenarios!$B$121:$B$200,0)),),"Market")</f>
        <v>2.8999999999999998E-2</v>
      </c>
      <c r="W525" s="863">
        <f>IFERROR(MAX(0,INDEX(Input!$1:$1048576,W$93,$C525*2+MIN($B525,2)+5)-0%,),"Market")</f>
        <v>3.9E-2</v>
      </c>
      <c r="X525" s="476" t="str">
        <f>INDEX(Input!$1:$1048576,X$93,$C525*2+MIN($B525,2)+5)</f>
        <v>Y</v>
      </c>
      <c r="Y525" s="475">
        <f>INDEX(Input!$1:$1048576,Y$93,$C525*2+MIN($B525,2)+5)
++INDEX(Scenarios!Y$121:Y$200,MATCH($B525,Scenarios!$B$121:$B$200,0))</f>
        <v>-1098.3618966787526</v>
      </c>
      <c r="Z525" s="477">
        <f>INDEX(Input!$1:$1048576,Z$93,$C525*2+MIN($B525,2)+5)
+INDEX(Scenarios!Z$121:Z$200,MATCH($B525,Scenarios!$B$121:$B$200,0))</f>
        <v>0</v>
      </c>
      <c r="AA525" s="475">
        <f>INDEX(Input!$1:$1048576,AA$93,$C525*2+MIN($B525,2)+5)</f>
        <v>500</v>
      </c>
      <c r="AB525" s="476">
        <f>INDEX(Input!$1:$1048576,AB$93,$C525*2+MIN($B525,2)+5)</f>
        <v>0.43</v>
      </c>
      <c r="AC525" s="475">
        <f>INDEX(Input!$1:$1048576,AC$93,$C525*2+MIN($B525,2)+5)
+INDEX(Scenarios!AC$121:AC$200,MATCH($B525,Scenarios!$B$121:$B$200,0))</f>
        <v>0</v>
      </c>
      <c r="AD525" s="476">
        <f>INDEX(Input!$1:$1048576,AD$93,$C525*2+MIN($B525,2)+5)</f>
        <v>0.35</v>
      </c>
      <c r="AE525" s="475">
        <f>INDEX(Input!$1:$1048576,AE$93,$C525*2+MIN($B525,2)+5)
+INDEX(Scenarios!AE$121:AE$200,MATCH($B525,Scenarios!$B$121:$B$200,0))</f>
        <v>0</v>
      </c>
      <c r="AF525" s="476">
        <f>INDEX(Input!$1:$1048576,AF$93,$C525*2+MIN($B525,2)+5)</f>
        <v>1</v>
      </c>
      <c r="AG525" s="475">
        <f>INDEX(Input!$1:$1048576,AG$93,$C525*2+MIN($B525,2)+5)
+INDEX(Scenarios!AG$121:AG$200,MATCH($B525,Scenarios!$B$121:$B$200,0))</f>
        <v>0</v>
      </c>
      <c r="AH525" s="476">
        <f>INDEX(Input!$1:$1048576,AH$93,$C525*2+MIN($B525,2)+5)</f>
        <v>1</v>
      </c>
      <c r="AI525" s="475">
        <f>INDEX(Input!$1:$1048576,AI$93,$C525*2+MIN($B525,2)+5)
+INDEX(Scenarios!AI$121:AI$200,MATCH($B525,Scenarios!$B$121:$B$200,0))</f>
        <v>0</v>
      </c>
      <c r="AJ525" s="476">
        <f>INDEX(Input!$1:$1048576,AJ$93,$C525*2+MIN($B525,2)+5)</f>
        <v>0.35</v>
      </c>
      <c r="AK525" s="150">
        <f>ROUND(INDEX(Input!$1:$1048576,AK$93,$C524*2+MIN($B525,1)+5)+(Y525-VLOOKUP($C525*1000+1,$A:$HH,Y$92,FALSE)),0)</f>
        <v>4592</v>
      </c>
      <c r="AL525" s="150">
        <f>ROUND(INDEX(Input!$1:$1048576,AL$93,$C524*2+MIN($B525,1)+5)-(Y525-VLOOKUP($C525*1000+1,$A:$HH,Y$92,FALSE))/36,0)</f>
        <v>4743</v>
      </c>
      <c r="AM525" s="32" t="str">
        <f t="shared" si="1665"/>
        <v>std/std/std/std</v>
      </c>
      <c r="AN525" s="32" t="str">
        <f t="shared" si="1666"/>
        <v>$0 + 0.9/0.9/0.9/2.9/3.9</v>
      </c>
      <c r="AO525" s="32" t="str">
        <f t="shared" si="1667"/>
        <v>0.9/0.9/0.9/2.9/3.9</v>
      </c>
      <c r="AP525" s="32" t="str">
        <f t="shared" si="1621"/>
        <v>0.9/1.9/2.9/3.9</v>
      </c>
      <c r="AQ525" s="536">
        <f t="shared" si="1620"/>
        <v>0.49265576707711622</v>
      </c>
      <c r="AR525" s="32"/>
      <c r="AS525" s="302"/>
      <c r="AT525" s="3">
        <f t="shared" si="1688"/>
        <v>25</v>
      </c>
      <c r="AU525" s="41" t="s">
        <v>121</v>
      </c>
      <c r="AV525" s="41" t="s">
        <v>116</v>
      </c>
      <c r="AW525" s="41" t="str">
        <f>INDEX(Input!$1:$1048576,AW$93,$C525*2+6)</f>
        <v>Kia</v>
      </c>
      <c r="AX525" s="41" t="str">
        <f>INDEX(Input!$1:$1048576,AX$93,$C525*2+6)</f>
        <v>Kia-LR - R2</v>
      </c>
      <c r="AY525" s="41" t="str">
        <f>IF(LEN(D525)=0,"",INDEX(Input!$1:$1048576,AY$93,$C525*2+6))</f>
        <v>Compact Conventional/Sporty Car (43)</v>
      </c>
      <c r="AZ525" s="41" t="str">
        <f>INDEX(Input!$1:$1048576,AZ$93,$C525*2+6)</f>
        <v>Kia Forte</v>
      </c>
      <c r="BA525" s="3">
        <f>INDEX(Input!$1:$1048576,BA$93,$C525*2+6)</f>
        <v>2020</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19695</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622"/>
        <v>1250</v>
      </c>
      <c r="CJ525" s="16" t="str">
        <f>INDEX(Input!$1:$1048576,CJ$93,$C525*2+6)</f>
        <v>N</v>
      </c>
      <c r="CK525" s="1" t="str">
        <f t="shared" si="1623"/>
        <v>Market</v>
      </c>
      <c r="CL525" s="1" t="str">
        <f t="shared" si="1624"/>
        <v>Market</v>
      </c>
      <c r="CM525" s="1" t="str">
        <f t="shared" si="1625"/>
        <v>Market</v>
      </c>
      <c r="CN525" s="1" t="str">
        <f t="shared" si="1626"/>
        <v>Market</v>
      </c>
      <c r="CO525" s="1" t="str">
        <f t="shared" si="1627"/>
        <v>Market</v>
      </c>
      <c r="CP525" s="304">
        <f t="shared" si="1628"/>
        <v>215</v>
      </c>
      <c r="CQ525" s="1">
        <f t="shared" si="1629"/>
        <v>9.0000000000000011E-3</v>
      </c>
      <c r="CR525" s="1">
        <f t="shared" si="1630"/>
        <v>9.0000000000000011E-3</v>
      </c>
      <c r="CS525" s="1">
        <f t="shared" si="1631"/>
        <v>9.0000000000000011E-3</v>
      </c>
      <c r="CT525" s="1">
        <f t="shared" si="1632"/>
        <v>2.8999999999999998E-2</v>
      </c>
      <c r="CU525" s="1">
        <f t="shared" si="1633"/>
        <v>3.9E-2</v>
      </c>
      <c r="CV525" s="304">
        <f t="shared" si="1634"/>
        <v>-1098.3618966787526</v>
      </c>
      <c r="CW525" s="20" t="s">
        <v>122</v>
      </c>
      <c r="CX525" s="20" t="s">
        <v>122</v>
      </c>
      <c r="CY525" s="20" t="s">
        <v>122</v>
      </c>
      <c r="CZ525" s="20" t="s">
        <v>122</v>
      </c>
      <c r="DA525" s="20" t="s">
        <v>122</v>
      </c>
      <c r="DB525" s="503">
        <f t="shared" si="1635"/>
        <v>0</v>
      </c>
      <c r="DC525" s="127">
        <v>0</v>
      </c>
      <c r="DD525" s="127">
        <v>0</v>
      </c>
      <c r="DE525" s="127">
        <v>0</v>
      </c>
      <c r="DF525" s="127">
        <v>0</v>
      </c>
      <c r="DG525" s="127">
        <v>0</v>
      </c>
      <c r="DH525" s="127">
        <v>0</v>
      </c>
      <c r="DI525" s="127">
        <v>0</v>
      </c>
      <c r="DJ525" s="127">
        <v>0</v>
      </c>
      <c r="DK525" s="127">
        <v>0</v>
      </c>
      <c r="DL525" s="127">
        <v>0</v>
      </c>
      <c r="DM525" s="304">
        <f>INDEX(Input!$1:$1048576,DM$93,$C525*2+6)</f>
        <v>20731.578947368424</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4.4812044271460058E-2</v>
      </c>
      <c r="DZ525" s="7">
        <v>0</v>
      </c>
      <c r="EA525" s="7">
        <v>0.79199306779771772</v>
      </c>
      <c r="EB525" s="7">
        <v>0</v>
      </c>
      <c r="EC525" s="7">
        <v>0</v>
      </c>
      <c r="ED525" s="7">
        <v>0</v>
      </c>
      <c r="EE525" s="7">
        <v>0</v>
      </c>
      <c r="EF525" s="7">
        <v>0</v>
      </c>
      <c r="EG525" s="7">
        <v>0</v>
      </c>
      <c r="EH525" s="7">
        <v>1.7849510422960548E-2</v>
      </c>
      <c r="EI525" s="7">
        <v>2.1030901149310596E-2</v>
      </c>
      <c r="EJ525" s="7">
        <v>0.2912884654885653</v>
      </c>
      <c r="EK525" s="7">
        <v>0.60072499358316056</v>
      </c>
      <c r="EL525" s="7">
        <v>6.910612935600316E-2</v>
      </c>
      <c r="EM525" s="7">
        <v>4.7132730649552403E-2</v>
      </c>
      <c r="EN525" s="7">
        <v>4.7389876861226476E-2</v>
      </c>
      <c r="EO525" s="7">
        <v>0.58258008385648663</v>
      </c>
      <c r="EP525" s="7">
        <v>0.25105984263387815</v>
      </c>
      <c r="EQ525" s="7">
        <v>7.2207111948227529E-2</v>
      </c>
      <c r="ER525" s="7">
        <v>4.6763084700181132E-2</v>
      </c>
      <c r="ES525" s="7">
        <v>0.11606215728126988</v>
      </c>
      <c r="ET525" s="7">
        <v>0.16319488793082212</v>
      </c>
      <c r="EU525" s="6">
        <v>1600</v>
      </c>
      <c r="EV525" s="6">
        <v>0</v>
      </c>
      <c r="EW525" s="6">
        <v>1600</v>
      </c>
      <c r="EX525" s="6">
        <v>0</v>
      </c>
      <c r="EY525" s="6">
        <v>2213.0263076215497</v>
      </c>
      <c r="EZ525" s="6">
        <v>-1723.0908300335955</v>
      </c>
      <c r="FA525" s="6">
        <v>0</v>
      </c>
      <c r="FB525" s="6">
        <v>0</v>
      </c>
      <c r="FC525" s="6">
        <v>0</v>
      </c>
      <c r="FD525" s="6">
        <v>0</v>
      </c>
      <c r="FE525" s="6">
        <v>0</v>
      </c>
      <c r="FF525" s="6">
        <v>0</v>
      </c>
      <c r="FG525" s="6">
        <v>0</v>
      </c>
      <c r="FH525" s="6">
        <v>926.09710607062209</v>
      </c>
      <c r="FI525" s="6">
        <v>1232.1164465304232</v>
      </c>
      <c r="FJ525" s="6">
        <v>1709.9775738488456</v>
      </c>
      <c r="FK525" s="6">
        <v>1266.3227157028193</v>
      </c>
      <c r="FL525" s="6">
        <v>893.91433563489375</v>
      </c>
      <c r="FM525" s="6">
        <v>1363.0263076215494</v>
      </c>
      <c r="FN525" s="6">
        <v>0</v>
      </c>
      <c r="FO525" s="6">
        <v>0</v>
      </c>
      <c r="FP525" s="6">
        <v>0</v>
      </c>
      <c r="FQ525" s="6">
        <v>0</v>
      </c>
      <c r="FR525" s="6">
        <v>0</v>
      </c>
      <c r="FS525" s="6">
        <v>0</v>
      </c>
      <c r="FT525" s="7">
        <v>0.83680511206917774</v>
      </c>
      <c r="FU525" s="7">
        <v>4.7132730649552403E-2</v>
      </c>
      <c r="FV525" s="7">
        <v>0.11606215728126988</v>
      </c>
      <c r="FW525" s="6">
        <v>1600.0000000000002</v>
      </c>
      <c r="FX525" s="6">
        <v>2213.0263076215497</v>
      </c>
      <c r="FY525" s="6">
        <v>-1723.0908300335955</v>
      </c>
      <c r="FZ525" s="6">
        <v>2411.9063952864503</v>
      </c>
      <c r="GA525" s="6">
        <v>1243.2085132629115</v>
      </c>
      <c r="GB525" s="6">
        <v>18451.791486737089</v>
      </c>
      <c r="GC525" s="7">
        <v>7.6138913542514425E-2</v>
      </c>
      <c r="GD525" s="7">
        <v>6.5279997531731332E-2</v>
      </c>
      <c r="GE525" s="7"/>
      <c r="GF525" s="7"/>
      <c r="GG525" s="7">
        <v>-0.14261979197693297</v>
      </c>
      <c r="GH525" s="42">
        <v>2.4034413394522787</v>
      </c>
      <c r="GI525" s="6">
        <v>9437.7084899040328</v>
      </c>
      <c r="GJ525" s="14">
        <v>0.51074630601039561</v>
      </c>
      <c r="GK525" s="14">
        <v>0.50829519786160982</v>
      </c>
      <c r="GL525" s="14">
        <v>0.48925369398960428</v>
      </c>
      <c r="GM525" s="14">
        <v>0.49170480213839063</v>
      </c>
      <c r="GO525" s="5">
        <v>338.16872463277008</v>
      </c>
      <c r="GP525" s="5">
        <v>307.64377699166363</v>
      </c>
      <c r="GQ525" s="5">
        <v>527.27910984145694</v>
      </c>
      <c r="GR525" s="5">
        <v>404.20319246551543</v>
      </c>
      <c r="GS525" s="5">
        <v>334.50205195691484</v>
      </c>
      <c r="GT525" s="5">
        <v>289.18266033348181</v>
      </c>
      <c r="GU525" s="5">
        <v>254.29573314828914</v>
      </c>
      <c r="GV525" s="39" t="s">
        <v>392</v>
      </c>
      <c r="GW525" s="5">
        <v>475.29643226912253</v>
      </c>
      <c r="GX525" s="5">
        <v>358.07100736083845</v>
      </c>
      <c r="GY525" s="5">
        <v>287.73954748358943</v>
      </c>
      <c r="GZ525" s="5">
        <v>255.64660634518972</v>
      </c>
      <c r="HA525" s="5">
        <v>229.8919505212948</v>
      </c>
      <c r="HB525" s="39">
        <v>269.28982465579185</v>
      </c>
      <c r="HC525" s="5">
        <v>358.50084881396981</v>
      </c>
      <c r="HD525" s="5">
        <v>287.77900980034525</v>
      </c>
      <c r="HE525" s="5">
        <v>285.23787161201437</v>
      </c>
      <c r="HF525" s="5">
        <v>257.54964978663213</v>
      </c>
      <c r="HG525" s="5">
        <v>240.60084178617024</v>
      </c>
      <c r="HH525" s="39">
        <v>286.10355983944737</v>
      </c>
      <c r="HI525" s="16"/>
      <c r="HJ525" s="19" t="str">
        <f t="shared" si="1737"/>
        <v>On</v>
      </c>
      <c r="HK525" s="1" t="str">
        <f t="shared" si="1737"/>
        <v>On</v>
      </c>
      <c r="HL525" s="16"/>
      <c r="HM525" s="639">
        <f t="shared" si="1636"/>
        <v>5.1181272167489952E-2</v>
      </c>
      <c r="HN525" s="639">
        <f t="shared" si="1637"/>
        <v>4.2792051795134348E-3</v>
      </c>
      <c r="HO525" s="639">
        <f t="shared" si="1638"/>
        <v>7.4145241462331068E-3</v>
      </c>
      <c r="HP525" s="644">
        <f>(FT525*$GD525-HM525)/$JF525*INDEX(Input!$1:$1048576,$JG$93,$C525*2+6)</f>
        <v>40.659397910410995</v>
      </c>
      <c r="HQ525" s="644">
        <f>(FU525*$GD525-HN525)/$JF525*INDEX(Input!$1:$1048576,$JG$93,$C525*2+6)</f>
        <v>-14.189525455021549</v>
      </c>
      <c r="HR525" s="644">
        <f>(FV525*$GD525-HO525)/$JF525*INDEX(Input!$1:$1048576,$JG$93,$C525*2+6)</f>
        <v>1.9119489073524751</v>
      </c>
      <c r="HS525" s="644">
        <f t="shared" si="1639"/>
        <v>-7.408910782532331</v>
      </c>
      <c r="HT525" s="644">
        <f t="shared" si="1640"/>
        <v>-1.9121108208571918</v>
      </c>
      <c r="HU525" s="644">
        <f t="shared" si="1641"/>
        <v>6.7176622121898522</v>
      </c>
      <c r="HV525" s="648">
        <f t="shared" si="1642"/>
        <v>0</v>
      </c>
      <c r="HW525" s="648">
        <f t="shared" si="1643"/>
        <v>0</v>
      </c>
      <c r="HX525" s="648">
        <f t="shared" si="1644"/>
        <v>0</v>
      </c>
      <c r="HY525" s="644">
        <f>INDEX(Input!$1:$1048576,HY$93,$C525*2+6)*INDEX(Input!$1:$1048576,$JG$93,$C525*2+6)</f>
        <v>345</v>
      </c>
      <c r="HZ525" s="644">
        <f>INDEX(Input!$1:$1048576,HZ$93,$C525*2+6)*INDEX(Input!$1:$1048576,$JG$93,$C525*2+6)</f>
        <v>299</v>
      </c>
      <c r="IA525" s="644">
        <f>INDEX(Input!$1:$1048576,IA$93,$C525*2+6)*INDEX(Input!$1:$1048576,$JG$93,$C525*2+6)</f>
        <v>98</v>
      </c>
      <c r="IB525" s="644">
        <f t="shared" si="1668"/>
        <v>378.25048712787867</v>
      </c>
      <c r="IC525" s="644">
        <f t="shared" si="1669"/>
        <v>282.89836372412123</v>
      </c>
      <c r="ID525" s="644">
        <f>IF(AND(INDEX(Input!$1:$1048576,IA$93,$C525*2+7)="TOS",Y525&lt;=INDEX(Y:Y,MATCH(C525*1000+2,A:A))),0,1)*MAX(IA525+HR525+HU525+HX525,0%)</f>
        <v>106.62961111954233</v>
      </c>
      <c r="IE525" s="128">
        <f t="shared" si="1738"/>
        <v>0.49265576707711622</v>
      </c>
      <c r="IF525" s="128">
        <f t="shared" si="1691"/>
        <v>0.36846353178191504</v>
      </c>
      <c r="IG525" s="128">
        <f t="shared" si="1646"/>
        <v>0.13888070114096868</v>
      </c>
      <c r="IH525" s="21"/>
      <c r="II525" s="19">
        <f t="shared" si="1647"/>
        <v>1200</v>
      </c>
      <c r="IJ525" s="19">
        <f t="shared" si="1648"/>
        <v>2231.5440334087361</v>
      </c>
      <c r="IK525" s="19">
        <f t="shared" si="1649"/>
        <v>-2048.0908300335955</v>
      </c>
      <c r="IL525" s="19">
        <f t="shared" si="1671"/>
        <v>400.00000000000023</v>
      </c>
      <c r="IM525" s="19">
        <f t="shared" si="1650"/>
        <v>-18.517725787186464</v>
      </c>
      <c r="IN525" s="19">
        <f t="shared" si="1651"/>
        <v>325</v>
      </c>
      <c r="IO525" s="39">
        <f t="shared" si="1652"/>
        <v>0</v>
      </c>
      <c r="IP525" s="39">
        <f t="shared" si="1653"/>
        <v>0</v>
      </c>
      <c r="IQ525" s="39">
        <f t="shared" si="1654"/>
        <v>0</v>
      </c>
      <c r="IR525" s="39">
        <v>0</v>
      </c>
      <c r="IS525" s="39">
        <v>0</v>
      </c>
      <c r="IT525" s="39">
        <v>0</v>
      </c>
      <c r="IU525" s="39">
        <v>0</v>
      </c>
      <c r="IV525" s="39">
        <v>0</v>
      </c>
      <c r="IW525" s="39">
        <v>0</v>
      </c>
      <c r="IX525" s="39">
        <f>INDEX(Input!$1:$1048576,IX$93,$C525*2+6)+INDEX(Input!$1:$1048576,IX$94,$C525*2+6)</f>
        <v>1600</v>
      </c>
      <c r="IY525" s="39">
        <f>INDEX(Input!$1:$1048576,IY$93,$C525*2+6)+INDEX(Input!$1:$1048576,IY$94,$C525*2+6)</f>
        <v>2503.5492916397525</v>
      </c>
      <c r="IZ525" s="39">
        <f>INDEX(Input!$1:$1048576,IZ$93,$C525*2+6)+INDEX(Input!$1:$1048576,IZ$94,$C525*2+6)</f>
        <v>5413.7109265464023</v>
      </c>
      <c r="JA525" s="19">
        <f t="shared" si="1672"/>
        <v>2000.0000000000002</v>
      </c>
      <c r="JB525" s="19">
        <f t="shared" si="1673"/>
        <v>2485.031565852566</v>
      </c>
      <c r="JC525" s="19">
        <f t="shared" si="1674"/>
        <v>5738.7109265464023</v>
      </c>
      <c r="JD525" s="19">
        <f t="shared" si="1675"/>
        <v>2697.9512386219139</v>
      </c>
      <c r="JE525" s="21"/>
      <c r="JF525" s="1">
        <f t="shared" si="1655"/>
        <v>6.2875001493236493E-2</v>
      </c>
      <c r="JG525" s="15">
        <f>INDEX(Input!$1:$1048576,JG$93,$C525*2+6)/(1+VLOOKUP(C525*1000+INDEX(Input!$1:$1048576,JG$93+1,$C525*2+6),$A:$KK,$JK$92,FALSE))</f>
        <v>742</v>
      </c>
      <c r="JH525" s="1">
        <f t="shared" si="1676"/>
        <v>3.8250433103425768E-2</v>
      </c>
      <c r="JI525" s="1">
        <f t="shared" si="1677"/>
        <v>-3.5085706080858099E-3</v>
      </c>
      <c r="JJ525" s="1">
        <f t="shared" si="1715"/>
        <v>0</v>
      </c>
      <c r="JK525" s="1">
        <f t="shared" si="1719"/>
        <v>3.4741862495339962E-2</v>
      </c>
      <c r="JL525" s="15">
        <f t="shared" si="1680"/>
        <v>25.778461971542253</v>
      </c>
      <c r="JM525" s="15">
        <f t="shared" si="1706"/>
        <v>767.77846197154224</v>
      </c>
      <c r="JN525" s="21"/>
      <c r="JO525" s="19">
        <f>INDEX(Input!$1:$1048576,JO$93,$C525*2+6)</f>
        <v>5908.5</v>
      </c>
      <c r="JP525" s="19">
        <f>INDEX(Input!$1:$1048576,JP$93,$C525*2+6)</f>
        <v>2467.7963733178344</v>
      </c>
      <c r="JQ525" s="39">
        <f t="shared" si="1692"/>
        <v>3210.5487613780861</v>
      </c>
      <c r="JR525" s="39">
        <f t="shared" si="1709"/>
        <v>230.15486530407952</v>
      </c>
      <c r="JS525" s="39">
        <f t="shared" si="1694"/>
        <v>2.0714288524633502</v>
      </c>
      <c r="JT525" s="39">
        <f t="shared" si="1682"/>
        <v>0.24032394346151734</v>
      </c>
      <c r="JU525" s="385">
        <f>(JQ525*JM525-INDEX(Input!$1:$1048576,Input!A$18,$C525*2+6)*JL525*INDEX(Input!$1:$1048576,Input!A$19,$C525*2+6))/1000000</f>
        <v>2.4649901900955071</v>
      </c>
      <c r="JV525" s="39">
        <f t="shared" si="1716"/>
        <v>-8.8011900902659423E-2</v>
      </c>
      <c r="JW525" s="1">
        <f t="shared" si="1707"/>
        <v>-3.447388516170339E-2</v>
      </c>
      <c r="JX525" s="19">
        <f t="shared" si="1698"/>
        <v>9322.6641576529801</v>
      </c>
      <c r="JZ525" s="341"/>
      <c r="KA525" s="342"/>
      <c r="KB525" s="469">
        <f t="shared" si="1695"/>
        <v>2.4623520912331753</v>
      </c>
      <c r="KI525" s="473">
        <f t="shared" si="1722"/>
        <v>33.250487127878671</v>
      </c>
      <c r="KJ525" s="473">
        <f t="shared" si="1723"/>
        <v>-16.101636275878775</v>
      </c>
      <c r="KK525" s="473">
        <f t="shared" si="1684"/>
        <v>8.6296111195423464</v>
      </c>
      <c r="KN525" s="544">
        <f t="shared" si="1699"/>
        <v>5002</v>
      </c>
      <c r="KO525" s="541">
        <f t="shared" si="1659"/>
        <v>-3.8534721835993047E-2</v>
      </c>
      <c r="KP525" s="546">
        <f t="shared" si="1660"/>
        <v>-154.22149093424824</v>
      </c>
      <c r="KQ525" s="546">
        <f t="shared" si="1661"/>
        <v>-160.82120752979517</v>
      </c>
      <c r="KR525" s="548">
        <f t="shared" si="1662"/>
        <v>4.2068024477316852</v>
      </c>
      <c r="KS525" s="548">
        <f t="shared" si="1663"/>
        <v>4.0341653661245322</v>
      </c>
      <c r="KT525" s="473">
        <f t="shared" si="1697"/>
        <v>389.37465324503302</v>
      </c>
      <c r="KU525" s="663">
        <f t="shared" si="1685"/>
        <v>7.0943276299647255</v>
      </c>
      <c r="KV525" s="117"/>
    </row>
    <row r="526" spans="1:308" s="26" customFormat="1" ht="15">
      <c r="A526" s="561">
        <f t="shared" si="1664"/>
        <v>5026</v>
      </c>
      <c r="B526" s="561">
        <f t="shared" si="1686"/>
        <v>26</v>
      </c>
      <c r="C526" s="561">
        <f t="shared" si="1687"/>
        <v>5</v>
      </c>
      <c r="D526" s="561" t="str">
        <f t="shared" si="1736"/>
        <v xml:space="preserve">1.9/2.9/3.9/3.9, </v>
      </c>
      <c r="E526" s="475">
        <f>INDEX(Input!$1:$1048576,E$93,$C526*2+MIN($B526,2)+5)
+INDEX(Scenarios!E$121:E$200,MATCH($B526,Scenarios!$B$121:$B$200,0))</f>
        <v>1250</v>
      </c>
      <c r="F526" s="475">
        <f>INDEX(Input!$1:$1048576,F$93,$C526*2+MIN($B526,2)+5)
+INDEX(Scenarios!F$121:F$200,MATCH($B526,Scenarios!$B$121:$B$200,0))</f>
        <v>0</v>
      </c>
      <c r="G526" s="475">
        <f>INDEX(Input!$1:$1048576,G$93,$C526*2+MIN($B526,2)+5)
+INDEX(Scenarios!G$121:G$200,MATCH($B526,Scenarios!$B$121:$B$200,0))</f>
        <v>0</v>
      </c>
      <c r="H526" s="475">
        <f>INDEX(Input!$1:$1048576,H$93,$C526*2+MIN($B526,2)+5)
+INDEX(Scenarios!H$121:H$200,MATCH($B526,Scenarios!$B$121:$B$200,0))</f>
        <v>0</v>
      </c>
      <c r="I526" s="476">
        <f>INDEX(Input!$1:$1048576,I$93,$C526*2+MIN($B526,2)+5)</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+INDEX(Scenarios!Q$121:Q$200,MATCH($B526,Scenarios!$B$121:$B$200,0))</f>
        <v>0</v>
      </c>
      <c r="R526" s="478">
        <f>IFERROR(MAX(0,INDEX(Input!$1:$1048576,R$93,$C526*2+MIN($B526,2)+5)
+INDEX(Scenarios!R$121:R$200,MATCH($B526,Scenarios!$B$121:$B$200,0)),),"Market")</f>
        <v>1.9E-2</v>
      </c>
      <c r="S526" s="478">
        <f>IFERROR(MAX(0,INDEX(Input!$1:$1048576,S$93,$C526*2+MIN($B526,2)+5)
+INDEX(Scenarios!S$121:S$200,MATCH($B526,Scenarios!$B$121:$B$200,0)),),"Market")</f>
        <v>1.9E-2</v>
      </c>
      <c r="T526" s="478">
        <f>IFERROR(MAX(0,INDEX(Input!$1:$1048576,T$93,$C526*2+MIN($B526,2)+5)
+INDEX(Scenarios!T$121:T$200,MATCH($B526,Scenarios!$B$121:$B$200,0)),),"Market")</f>
        <v>1.9E-2</v>
      </c>
      <c r="U526" s="478">
        <f>IFERROR(MAX(0,INDEX(Input!$1:$1048576,U$93,$C526*2+MIN($B526,2)+5)
+INDEX(Scenarios!U$121:U$200,MATCH($B526,Scenarios!$B$121:$B$200,0)),),"Market")</f>
        <v>1.9E-2</v>
      </c>
      <c r="V526" s="478">
        <f>IFERROR(MAX(0,INDEX(Input!$1:$1048576,V$93,$C526*2+MIN($B526,2)+5)
+INDEX(Scenarios!V$121:V$200,MATCH($B526,Scenarios!$B$121:$B$200,0)),),"Market")</f>
        <v>3.9E-2</v>
      </c>
      <c r="W526" s="863">
        <f>IFERROR(MAX(0,INDEX(Input!$1:$1048576,W$93,$C526*2+MIN($B526,2)+5)-0%,),"Market")</f>
        <v>3.9E-2</v>
      </c>
      <c r="X526" s="476" t="str">
        <f>INDEX(Input!$1:$1048576,X$93,$C526*2+MIN($B526,2)+5)</f>
        <v>Y</v>
      </c>
      <c r="Y526" s="475">
        <f>INDEX(Input!$1:$1048576,Y$93,$C526*2+MIN($B526,2)+5)
++INDEX(Scenarios!Y$121:Y$200,MATCH($B526,Scenarios!$B$121:$B$200,0))</f>
        <v>-1098.3618966787526</v>
      </c>
      <c r="Z526" s="477">
        <f>INDEX(Input!$1:$1048576,Z$93,$C526*2+MIN($B526,2)+5)
+INDEX(Scenarios!Z$121:Z$200,MATCH($B526,Scenarios!$B$121:$B$200,0))</f>
        <v>0</v>
      </c>
      <c r="AA526" s="475">
        <f>INDEX(Input!$1:$1048576,AA$93,$C526*2+MIN($B526,2)+5)</f>
        <v>500</v>
      </c>
      <c r="AB526" s="476">
        <f>INDEX(Input!$1:$1048576,AB$93,$C526*2+MIN($B526,2)+5)</f>
        <v>0.43</v>
      </c>
      <c r="AC526" s="475">
        <f>INDEX(Input!$1:$1048576,AC$93,$C526*2+MIN($B526,2)+5)
+INDEX(Scenarios!AC$121:AC$200,MATCH($B526,Scenarios!$B$121:$B$200,0))</f>
        <v>0</v>
      </c>
      <c r="AD526" s="476">
        <f>INDEX(Input!$1:$1048576,AD$93,$C526*2+MIN($B526,2)+5)</f>
        <v>0.35</v>
      </c>
      <c r="AE526" s="475">
        <f>INDEX(Input!$1:$1048576,AE$93,$C526*2+MIN($B526,2)+5)
+INDEX(Scenarios!AE$121:AE$200,MATCH($B526,Scenarios!$B$121:$B$200,0))</f>
        <v>0</v>
      </c>
      <c r="AF526" s="476">
        <f>INDEX(Input!$1:$1048576,AF$93,$C526*2+MIN($B526,2)+5)</f>
        <v>1</v>
      </c>
      <c r="AG526" s="475">
        <f>INDEX(Input!$1:$1048576,AG$93,$C526*2+MIN($B526,2)+5)
+INDEX(Scenarios!AG$121:AG$200,MATCH($B526,Scenarios!$B$121:$B$200,0))</f>
        <v>0</v>
      </c>
      <c r="AH526" s="476">
        <f>INDEX(Input!$1:$1048576,AH$93,$C526*2+MIN($B526,2)+5)</f>
        <v>1</v>
      </c>
      <c r="AI526" s="475">
        <f>INDEX(Input!$1:$1048576,AI$93,$C526*2+MIN($B526,2)+5)
+INDEX(Scenarios!AI$121:AI$200,MATCH($B526,Scenarios!$B$121:$B$200,0))</f>
        <v>0</v>
      </c>
      <c r="AJ526" s="476">
        <f>INDEX(Input!$1:$1048576,AJ$93,$C526*2+MIN($B526,2)+5)</f>
        <v>0.35</v>
      </c>
      <c r="AK526" s="150">
        <f>ROUND(INDEX(Input!$1:$1048576,AK$93,$C525*2+MIN($B526,1)+5)+(Y526-VLOOKUP($C526*1000+1,$A:$HH,Y$92,FALSE)),0)</f>
        <v>4592</v>
      </c>
      <c r="AL526" s="150">
        <f>ROUND(INDEX(Input!$1:$1048576,AL$93,$C525*2+MIN($B526,1)+5)-(Y526-VLOOKUP($C526*1000+1,$A:$HH,Y$92,FALSE))/36,0)</f>
        <v>4743</v>
      </c>
      <c r="AM526" s="32" t="str">
        <f t="shared" si="1665"/>
        <v>std/std/std/std</v>
      </c>
      <c r="AN526" s="32" t="str">
        <f t="shared" si="1666"/>
        <v>$0 + 1.9/1.9/1.9/3.9/3.9</v>
      </c>
      <c r="AO526" s="32" t="str">
        <f t="shared" si="1667"/>
        <v>1.9/1.9/1.9/3.9/3.9</v>
      </c>
      <c r="AP526" s="32" t="str">
        <f t="shared" si="1621"/>
        <v>1.9/2.9/3.9/3.9</v>
      </c>
      <c r="AQ526" s="536">
        <f t="shared" si="1620"/>
        <v>0.51908955092096853</v>
      </c>
      <c r="AR526" s="32"/>
      <c r="AS526" s="302"/>
      <c r="AT526" s="3">
        <f t="shared" si="1688"/>
        <v>26</v>
      </c>
      <c r="AU526" s="41" t="s">
        <v>121</v>
      </c>
      <c r="AV526" s="41" t="s">
        <v>116</v>
      </c>
      <c r="AW526" s="41" t="str">
        <f>INDEX(Input!$1:$1048576,AW$93,$C526*2+6)</f>
        <v>Kia</v>
      </c>
      <c r="AX526" s="41" t="str">
        <f>INDEX(Input!$1:$1048576,AX$93,$C526*2+6)</f>
        <v>Kia-LR - R2</v>
      </c>
      <c r="AY526" s="41" t="str">
        <f>IF(LEN(D526)=0,"",INDEX(Input!$1:$1048576,AY$93,$C526*2+6))</f>
        <v>Compact Conventional/Sporty Car (43)</v>
      </c>
      <c r="AZ526" s="41" t="str">
        <f>INDEX(Input!$1:$1048576,AZ$93,$C526*2+6)</f>
        <v>Kia Forte</v>
      </c>
      <c r="BA526" s="3">
        <f>INDEX(Input!$1:$1048576,BA$93,$C526*2+6)</f>
        <v>2020</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19695</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622"/>
        <v>1250</v>
      </c>
      <c r="CJ526" s="16" t="str">
        <f>INDEX(Input!$1:$1048576,CJ$93,$C526*2+6)</f>
        <v>N</v>
      </c>
      <c r="CK526" s="1" t="str">
        <f t="shared" si="1623"/>
        <v>Market</v>
      </c>
      <c r="CL526" s="1" t="str">
        <f t="shared" si="1624"/>
        <v>Market</v>
      </c>
      <c r="CM526" s="1" t="str">
        <f t="shared" si="1625"/>
        <v>Market</v>
      </c>
      <c r="CN526" s="1" t="str">
        <f t="shared" si="1626"/>
        <v>Market</v>
      </c>
      <c r="CO526" s="1" t="str">
        <f t="shared" si="1627"/>
        <v>Market</v>
      </c>
      <c r="CP526" s="304">
        <f t="shared" si="1628"/>
        <v>215</v>
      </c>
      <c r="CQ526" s="1">
        <f t="shared" si="1629"/>
        <v>1.9E-2</v>
      </c>
      <c r="CR526" s="1">
        <f t="shared" si="1630"/>
        <v>1.9E-2</v>
      </c>
      <c r="CS526" s="1">
        <f t="shared" si="1631"/>
        <v>1.9E-2</v>
      </c>
      <c r="CT526" s="1">
        <f t="shared" si="1632"/>
        <v>3.9E-2</v>
      </c>
      <c r="CU526" s="1">
        <f t="shared" si="1633"/>
        <v>3.9E-2</v>
      </c>
      <c r="CV526" s="304">
        <f t="shared" si="1634"/>
        <v>-1098.3618966787526</v>
      </c>
      <c r="CW526" s="20" t="s">
        <v>122</v>
      </c>
      <c r="CX526" s="20" t="s">
        <v>122</v>
      </c>
      <c r="CY526" s="20" t="s">
        <v>122</v>
      </c>
      <c r="CZ526" s="20" t="s">
        <v>122</v>
      </c>
      <c r="DA526" s="20" t="s">
        <v>122</v>
      </c>
      <c r="DB526" s="503">
        <f t="shared" si="1635"/>
        <v>0</v>
      </c>
      <c r="DC526" s="127">
        <v>0</v>
      </c>
      <c r="DD526" s="127">
        <v>0</v>
      </c>
      <c r="DE526" s="127">
        <v>0</v>
      </c>
      <c r="DF526" s="127">
        <v>0</v>
      </c>
      <c r="DG526" s="127">
        <v>0</v>
      </c>
      <c r="DH526" s="127">
        <v>0</v>
      </c>
      <c r="DI526" s="127">
        <v>0</v>
      </c>
      <c r="DJ526" s="127">
        <v>0</v>
      </c>
      <c r="DK526" s="127">
        <v>0</v>
      </c>
      <c r="DL526" s="127">
        <v>0</v>
      </c>
      <c r="DM526" s="304">
        <f>INDEX(Input!$1:$1048576,DM$93,$C526*2+6)</f>
        <v>20731.578947368424</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4.5618351222729919E-2</v>
      </c>
      <c r="DZ526" s="7">
        <v>0</v>
      </c>
      <c r="EA526" s="7">
        <v>0.8050010949361831</v>
      </c>
      <c r="EB526" s="7">
        <v>0</v>
      </c>
      <c r="EC526" s="7">
        <v>0</v>
      </c>
      <c r="ED526" s="7">
        <v>0</v>
      </c>
      <c r="EE526" s="7">
        <v>0</v>
      </c>
      <c r="EF526" s="7">
        <v>0</v>
      </c>
      <c r="EG526" s="7">
        <v>0</v>
      </c>
      <c r="EH526" s="7">
        <v>2.2046412000928696E-2</v>
      </c>
      <c r="EI526" s="7">
        <v>2.4145234946286821E-2</v>
      </c>
      <c r="EJ526" s="7">
        <v>0.31537649842565801</v>
      </c>
      <c r="EK526" s="7">
        <v>0.53153256693533613</v>
      </c>
      <c r="EL526" s="7">
        <v>0.10689928769179</v>
      </c>
      <c r="EM526" s="7">
        <v>3.1059562162171348E-2</v>
      </c>
      <c r="EN526" s="7">
        <v>4.7390735674894657E-2</v>
      </c>
      <c r="EO526" s="7">
        <v>0.58257938803793319</v>
      </c>
      <c r="EP526" s="7">
        <v>0.25105353588649953</v>
      </c>
      <c r="EQ526" s="7">
        <v>7.2205962547726363E-2</v>
      </c>
      <c r="ER526" s="7">
        <v>4.6770377852945855E-2</v>
      </c>
      <c r="ES526" s="7">
        <v>0.11832099167891563</v>
      </c>
      <c r="ET526" s="7">
        <v>0.14938055384108687</v>
      </c>
      <c r="EU526" s="6">
        <v>1600</v>
      </c>
      <c r="EV526" s="6">
        <v>0</v>
      </c>
      <c r="EW526" s="6">
        <v>1600</v>
      </c>
      <c r="EX526" s="6">
        <v>0</v>
      </c>
      <c r="EY526" s="6">
        <v>1805.7221036223696</v>
      </c>
      <c r="EZ526" s="6">
        <v>-1723.0908300335955</v>
      </c>
      <c r="FA526" s="6">
        <v>0</v>
      </c>
      <c r="FB526" s="6">
        <v>0</v>
      </c>
      <c r="FC526" s="6">
        <v>0</v>
      </c>
      <c r="FD526" s="6">
        <v>0</v>
      </c>
      <c r="FE526" s="6">
        <v>0</v>
      </c>
      <c r="FF526" s="6">
        <v>0</v>
      </c>
      <c r="FG526" s="6">
        <v>0</v>
      </c>
      <c r="FH526" s="6">
        <v>671.12264907438089</v>
      </c>
      <c r="FI526" s="6">
        <v>895.45057223936283</v>
      </c>
      <c r="FJ526" s="6">
        <v>1302.9658415685938</v>
      </c>
      <c r="FK526" s="6">
        <v>776.66319621661683</v>
      </c>
      <c r="FL526" s="6">
        <v>893.91433563489386</v>
      </c>
      <c r="FM526" s="6">
        <v>955.72210362236945</v>
      </c>
      <c r="FN526" s="6">
        <v>0</v>
      </c>
      <c r="FO526" s="6">
        <v>0</v>
      </c>
      <c r="FP526" s="6">
        <v>0</v>
      </c>
      <c r="FQ526" s="6">
        <v>0</v>
      </c>
      <c r="FR526" s="6">
        <v>0</v>
      </c>
      <c r="FS526" s="6">
        <v>0</v>
      </c>
      <c r="FT526" s="7">
        <v>0.85061944615891305</v>
      </c>
      <c r="FU526" s="7">
        <v>3.1059562162171348E-2</v>
      </c>
      <c r="FV526" s="7">
        <v>0.11832099167891563</v>
      </c>
      <c r="FW526" s="6">
        <v>1600</v>
      </c>
      <c r="FX526" s="6">
        <v>1805.7221036223696</v>
      </c>
      <c r="FY526" s="6">
        <v>-1723.0908300335955</v>
      </c>
      <c r="FZ526" s="6">
        <v>2411.9063952864503</v>
      </c>
      <c r="GA526" s="6">
        <v>1213.1982360169059</v>
      </c>
      <c r="GB526" s="6">
        <v>18481.801763983094</v>
      </c>
      <c r="GC526" s="7">
        <v>7.6138913542514425E-2</v>
      </c>
      <c r="GD526" s="7">
        <v>6.4769678418489032E-2</v>
      </c>
      <c r="GE526" s="7"/>
      <c r="GF526" s="7"/>
      <c r="GG526" s="7">
        <v>-0.14932226630311768</v>
      </c>
      <c r="GH526" s="42">
        <v>2.453392856382989</v>
      </c>
      <c r="GI526" s="6">
        <v>9240.856728931949</v>
      </c>
      <c r="GJ526" s="14">
        <v>0.51074630601039572</v>
      </c>
      <c r="GK526" s="14">
        <v>0.5082951978616097</v>
      </c>
      <c r="GL526" s="14">
        <v>0.48925369398960461</v>
      </c>
      <c r="GM526" s="14">
        <v>0.49170480213839024</v>
      </c>
      <c r="GO526" s="5">
        <v>338.16872463277008</v>
      </c>
      <c r="GP526" s="5">
        <v>307.64377699166363</v>
      </c>
      <c r="GQ526" s="5">
        <v>527.27910984145694</v>
      </c>
      <c r="GR526" s="5">
        <v>404.20319246551543</v>
      </c>
      <c r="GS526" s="5">
        <v>334.50205195691484</v>
      </c>
      <c r="GT526" s="5">
        <v>289.18266033348181</v>
      </c>
      <c r="GU526" s="5">
        <v>254.29573314828914</v>
      </c>
      <c r="GV526" s="39" t="s">
        <v>392</v>
      </c>
      <c r="GW526" s="5">
        <v>482.62147721109295</v>
      </c>
      <c r="GX526" s="5">
        <v>365.38001635587005</v>
      </c>
      <c r="GY526" s="5">
        <v>295.0520389871549</v>
      </c>
      <c r="GZ526" s="5">
        <v>263.25207727846526</v>
      </c>
      <c r="HA526" s="5">
        <v>229.8919505212948</v>
      </c>
      <c r="HB526" s="39">
        <v>277.01707531948756</v>
      </c>
      <c r="HC526" s="5">
        <v>358.50084881396981</v>
      </c>
      <c r="HD526" s="5">
        <v>287.77900980034525</v>
      </c>
      <c r="HE526" s="5">
        <v>285.23787161201437</v>
      </c>
      <c r="HF526" s="5">
        <v>257.54964978663213</v>
      </c>
      <c r="HG526" s="5">
        <v>240.60084178617024</v>
      </c>
      <c r="HH526" s="39">
        <v>286.10332727070096</v>
      </c>
      <c r="HI526" s="16"/>
      <c r="HJ526" s="19" t="str">
        <f t="shared" si="1737"/>
        <v>On</v>
      </c>
      <c r="HK526" s="1" t="str">
        <f t="shared" si="1737"/>
        <v>On</v>
      </c>
      <c r="HL526" s="16"/>
      <c r="HM526" s="639">
        <f t="shared" si="1636"/>
        <v>5.1181272167489952E-2</v>
      </c>
      <c r="HN526" s="639">
        <f t="shared" si="1637"/>
        <v>4.2792051795134348E-3</v>
      </c>
      <c r="HO526" s="639">
        <f t="shared" si="1638"/>
        <v>7.4145241462331068E-3</v>
      </c>
      <c r="HP526" s="644">
        <f>(FT526*$GD526-HM526)/$JF526*INDEX(Input!$1:$1048576,$JG$93,$C526*2+6)</f>
        <v>46.17896122563927</v>
      </c>
      <c r="HQ526" s="644">
        <f>(FU526*$GD526-HN526)/$JF526*INDEX(Input!$1:$1048576,$JG$93,$C526*2+6)</f>
        <v>-26.759054572861935</v>
      </c>
      <c r="HR526" s="644">
        <f>(FV526*$GD526-HO526)/$JF526*INDEX(Input!$1:$1048576,$JG$93,$C526*2+6)</f>
        <v>2.9395405861799837</v>
      </c>
      <c r="HS526" s="644">
        <f t="shared" si="1639"/>
        <v>-7.3235785559774476</v>
      </c>
      <c r="HT526" s="644">
        <f t="shared" si="1640"/>
        <v>-24.190045065588723</v>
      </c>
      <c r="HU526" s="644">
        <f t="shared" si="1641"/>
        <v>6.6323299856349731</v>
      </c>
      <c r="HV526" s="648">
        <f t="shared" si="1642"/>
        <v>0</v>
      </c>
      <c r="HW526" s="648">
        <f t="shared" si="1643"/>
        <v>0</v>
      </c>
      <c r="HX526" s="648">
        <f t="shared" si="1644"/>
        <v>0</v>
      </c>
      <c r="HY526" s="644">
        <f>INDEX(Input!$1:$1048576,HY$93,$C526*2+6)*INDEX(Input!$1:$1048576,$JG$93,$C526*2+6)</f>
        <v>345</v>
      </c>
      <c r="HZ526" s="644">
        <f>INDEX(Input!$1:$1048576,HZ$93,$C526*2+6)*INDEX(Input!$1:$1048576,$JG$93,$C526*2+6)</f>
        <v>299</v>
      </c>
      <c r="IA526" s="644">
        <f>INDEX(Input!$1:$1048576,IA$93,$C526*2+6)*INDEX(Input!$1:$1048576,$JG$93,$C526*2+6)</f>
        <v>98</v>
      </c>
      <c r="IB526" s="644">
        <f t="shared" si="1668"/>
        <v>383.85538266966188</v>
      </c>
      <c r="IC526" s="644">
        <f t="shared" si="1669"/>
        <v>248.05090036154934</v>
      </c>
      <c r="ID526" s="644">
        <f>IF(AND(INDEX(Input!$1:$1048576,IA$93,$C526*2+7)="TOS",Y526&lt;=INDEX(Y:Y,MATCH(C526*1000+2,A:A))),0,1)*MAX(IA526+HR526+HU526+HX526,0%)</f>
        <v>107.57187057181496</v>
      </c>
      <c r="IE526" s="128">
        <f t="shared" si="1738"/>
        <v>0.51908955092096853</v>
      </c>
      <c r="IF526" s="128">
        <f t="shared" si="1691"/>
        <v>0.3354404713012123</v>
      </c>
      <c r="IG526" s="128">
        <f t="shared" si="1646"/>
        <v>0.14546997777781914</v>
      </c>
      <c r="IH526" s="21"/>
      <c r="II526" s="19">
        <f t="shared" si="1647"/>
        <v>1200</v>
      </c>
      <c r="IJ526" s="19">
        <f t="shared" si="1648"/>
        <v>2231.5440334087361</v>
      </c>
      <c r="IK526" s="19">
        <f t="shared" si="1649"/>
        <v>-2048.0908300335955</v>
      </c>
      <c r="IL526" s="19">
        <f t="shared" si="1671"/>
        <v>400</v>
      </c>
      <c r="IM526" s="19">
        <f t="shared" si="1650"/>
        <v>-425.82192978636658</v>
      </c>
      <c r="IN526" s="19">
        <f t="shared" si="1651"/>
        <v>325</v>
      </c>
      <c r="IO526" s="39">
        <f t="shared" si="1652"/>
        <v>0</v>
      </c>
      <c r="IP526" s="39">
        <f t="shared" si="1653"/>
        <v>0</v>
      </c>
      <c r="IQ526" s="39">
        <f t="shared" si="1654"/>
        <v>0</v>
      </c>
      <c r="IR526" s="39">
        <v>0</v>
      </c>
      <c r="IS526" s="39">
        <v>0</v>
      </c>
      <c r="IT526" s="39">
        <v>0</v>
      </c>
      <c r="IU526" s="39">
        <v>0</v>
      </c>
      <c r="IV526" s="39">
        <v>0</v>
      </c>
      <c r="IW526" s="39">
        <v>0</v>
      </c>
      <c r="IX526" s="39">
        <f>INDEX(Input!$1:$1048576,IX$93,$C526*2+6)+INDEX(Input!$1:$1048576,IX$94,$C526*2+6)</f>
        <v>1600</v>
      </c>
      <c r="IY526" s="39">
        <f>INDEX(Input!$1:$1048576,IY$93,$C526*2+6)+INDEX(Input!$1:$1048576,IY$94,$C526*2+6)</f>
        <v>2503.5492916397525</v>
      </c>
      <c r="IZ526" s="39">
        <f>INDEX(Input!$1:$1048576,IZ$93,$C526*2+6)+INDEX(Input!$1:$1048576,IZ$94,$C526*2+6)</f>
        <v>5413.7109265464023</v>
      </c>
      <c r="JA526" s="19">
        <f t="shared" si="1672"/>
        <v>2000</v>
      </c>
      <c r="JB526" s="19">
        <f t="shared" si="1673"/>
        <v>2077.7273618533859</v>
      </c>
      <c r="JC526" s="19">
        <f t="shared" si="1674"/>
        <v>5738.7109265464023</v>
      </c>
      <c r="JD526" s="19">
        <f t="shared" si="1675"/>
        <v>2569.9430982954946</v>
      </c>
      <c r="JE526" s="21"/>
      <c r="JF526" s="1">
        <f t="shared" si="1655"/>
        <v>6.2875001493236493E-2</v>
      </c>
      <c r="JG526" s="15">
        <f>INDEX(Input!$1:$1048576,JG$93,$C526*2+6)/(1+VLOOKUP(C526*1000+INDEX(Input!$1:$1048576,JG$93+1,$C526*2+6),$A:$KK,$JK$92,FALSE))</f>
        <v>742</v>
      </c>
      <c r="JH526" s="1">
        <f t="shared" si="1676"/>
        <v>3.0134025928513906E-2</v>
      </c>
      <c r="JI526" s="1">
        <f t="shared" si="1677"/>
        <v>-3.3532740749233424E-2</v>
      </c>
      <c r="JJ526" s="1">
        <f t="shared" si="1715"/>
        <v>0</v>
      </c>
      <c r="JK526" s="1">
        <f t="shared" si="1719"/>
        <v>-3.3987148207195172E-3</v>
      </c>
      <c r="JL526" s="15">
        <f t="shared" si="1680"/>
        <v>-2.5218463969738818</v>
      </c>
      <c r="JM526" s="15">
        <f t="shared" si="1706"/>
        <v>739.47815360302616</v>
      </c>
      <c r="JN526" s="21"/>
      <c r="JO526" s="19">
        <f>INDEX(Input!$1:$1048576,JO$93,$C526*2+6)</f>
        <v>5908.5</v>
      </c>
      <c r="JP526" s="19">
        <f>INDEX(Input!$1:$1048576,JP$93,$C526*2+6)</f>
        <v>2467.7963733178344</v>
      </c>
      <c r="JQ526" s="39">
        <f t="shared" si="1692"/>
        <v>3338.5569017045054</v>
      </c>
      <c r="JR526" s="39">
        <f t="shared" si="1709"/>
        <v>102.14672497766014</v>
      </c>
      <c r="JS526" s="39">
        <f t="shared" si="1694"/>
        <v>1.9004167771923925</v>
      </c>
      <c r="JT526" s="39">
        <f t="shared" si="1682"/>
        <v>6.9311868190559553E-2</v>
      </c>
      <c r="JU526" s="385">
        <f>(JQ526*JM526-INDEX(Input!$1:$1048576,Input!A$18,$C526*2+6)*JL526*INDEX(Input!$1:$1048576,Input!A$19,$C526*2+6))/1000000</f>
        <v>2.4687898933710875</v>
      </c>
      <c r="JV526" s="39">
        <f t="shared" si="1716"/>
        <v>-8.42121976270791E-2</v>
      </c>
      <c r="JW526" s="1">
        <f t="shared" si="1707"/>
        <v>-3.2985557639772248E-2</v>
      </c>
      <c r="JX526" s="19">
        <f t="shared" si="1698"/>
        <v>-27484.571730352458</v>
      </c>
      <c r="JZ526" s="341"/>
      <c r="KA526" s="342"/>
      <c r="KB526" s="469">
        <f t="shared" si="1695"/>
        <v>2.4623520912331753</v>
      </c>
      <c r="KI526" s="473">
        <f t="shared" si="1722"/>
        <v>38.855382669661822</v>
      </c>
      <c r="KJ526" s="473">
        <f t="shared" si="1723"/>
        <v>-50.949099638450633</v>
      </c>
      <c r="KK526" s="473">
        <f t="shared" si="1684"/>
        <v>9.5718705718149408</v>
      </c>
      <c r="KN526" s="544">
        <f t="shared" si="1699"/>
        <v>5002</v>
      </c>
      <c r="KO526" s="541">
        <f t="shared" si="1659"/>
        <v>-7.3974324801400315E-2</v>
      </c>
      <c r="KP526" s="546">
        <f t="shared" si="1660"/>
        <v>-277.02590635518385</v>
      </c>
      <c r="KQ526" s="546">
        <f t="shared" si="1661"/>
        <v>-288.82934785621455</v>
      </c>
      <c r="KR526" s="548">
        <f t="shared" si="1662"/>
        <v>4.4957837405351873</v>
      </c>
      <c r="KS526" s="548">
        <f t="shared" si="1663"/>
        <v>4.3120568416706391</v>
      </c>
      <c r="KT526" s="473">
        <f t="shared" si="1697"/>
        <v>389.37465324503302</v>
      </c>
      <c r="KU526" s="663">
        <f t="shared" si="1685"/>
        <v>6.8906928502878397</v>
      </c>
      <c r="KV526" s="117"/>
    </row>
    <row r="527" spans="1:308" s="26" customFormat="1" ht="15">
      <c r="A527" s="561">
        <f t="shared" si="1664"/>
        <v>5027</v>
      </c>
      <c r="B527" s="561">
        <f t="shared" si="1686"/>
        <v>27</v>
      </c>
      <c r="C527" s="561">
        <f t="shared" si="1687"/>
        <v>5</v>
      </c>
      <c r="D527" s="561" t="str">
        <f t="shared" si="1736"/>
        <v xml:space="preserve">750 Combo, </v>
      </c>
      <c r="E527" s="475">
        <f>INDEX(Input!$1:$1048576,E$93,$C527*2+MIN($B527,2)+5)
+INDEX(Scenarios!E$121:E$200,MATCH($B527,Scenarios!$B$121:$B$200,0))</f>
        <v>1250</v>
      </c>
      <c r="F527" s="475">
        <f>INDEX(Input!$1:$1048576,F$93,$C527*2+MIN($B527,2)+5)
+INDEX(Scenarios!F$121:F$200,MATCH($B527,Scenarios!$B$121:$B$200,0))</f>
        <v>0</v>
      </c>
      <c r="G527" s="475">
        <f>INDEX(Input!$1:$1048576,G$93,$C527*2+MIN($B527,2)+5)
+INDEX(Scenarios!G$121:G$200,MATCH($B527,Scenarios!$B$121:$B$200,0))</f>
        <v>0</v>
      </c>
      <c r="H527" s="475">
        <f>INDEX(Input!$1:$1048576,H$93,$C527*2+MIN($B527,2)+5)
+INDEX(Scenarios!H$121:H$200,MATCH($B527,Scenarios!$B$121:$B$200,0))</f>
        <v>0</v>
      </c>
      <c r="I527" s="476">
        <f>INDEX(Input!$1:$1048576,I$93,$C527*2+MIN($B527,2)+5)</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+INDEX(Scenarios!Q$121:Q$200,MATCH($B527,Scenarios!$B$121:$B$200,0))</f>
        <v>750</v>
      </c>
      <c r="R527" s="478">
        <f>IFERROR(MAX(0,INDEX(Input!$1:$1048576,R$93,$C527*2+MIN($B527,2)+5)
+INDEX(Scenarios!R$121:R$200,MATCH($B527,Scenarios!$B$121:$B$200,0)),),"Market")</f>
        <v>0</v>
      </c>
      <c r="S527" s="478">
        <f>IFERROR(MAX(0,INDEX(Input!$1:$1048576,S$93,$C527*2+MIN($B527,2)+5)
+INDEX(Scenarios!S$121:S$200,MATCH($B527,Scenarios!$B$121:$B$200,0)),),"Market")</f>
        <v>0</v>
      </c>
      <c r="T527" s="478">
        <f>IFERROR(MAX(0,INDEX(Input!$1:$1048576,T$93,$C527*2+MIN($B527,2)+5)
+INDEX(Scenarios!T$121:T$200,MATCH($B527,Scenarios!$B$121:$B$200,0)),),"Market")</f>
        <v>0</v>
      </c>
      <c r="U527" s="478">
        <f>IFERROR(MAX(0,INDEX(Input!$1:$1048576,U$93,$C527*2+MIN($B527,2)+5)
+INDEX(Scenarios!U$121:U$200,MATCH($B527,Scenarios!$B$121:$B$200,0)),),"Market")</f>
        <v>0</v>
      </c>
      <c r="V527" s="478">
        <f>IFERROR(MAX(0,INDEX(Input!$1:$1048576,V$93,$C527*2+MIN($B527,2)+5)
+INDEX(Scenarios!V$121:V$200,MATCH($B527,Scenarios!$B$121:$B$200,0)),),"Market")</f>
        <v>1.9E-2</v>
      </c>
      <c r="W527" s="863">
        <f>IFERROR(MAX(0,INDEX(Input!$1:$1048576,W$93,$C527*2+MIN($B527,2)+5)-0%,),"Market")</f>
        <v>3.9E-2</v>
      </c>
      <c r="X527" s="476" t="str">
        <f>INDEX(Input!$1:$1048576,X$93,$C527*2+MIN($B527,2)+5)</f>
        <v>Y</v>
      </c>
      <c r="Y527" s="475">
        <f>INDEX(Input!$1:$1048576,Y$93,$C527*2+MIN($B527,2)+5)
++INDEX(Scenarios!Y$121:Y$200,MATCH($B527,Scenarios!$B$121:$B$200,0))</f>
        <v>-1098.3618966787526</v>
      </c>
      <c r="Z527" s="477">
        <f>INDEX(Input!$1:$1048576,Z$93,$C527*2+MIN($B527,2)+5)
+INDEX(Scenarios!Z$121:Z$200,MATCH($B527,Scenarios!$B$121:$B$200,0))</f>
        <v>0</v>
      </c>
      <c r="AA527" s="475">
        <f>INDEX(Input!$1:$1048576,AA$93,$C527*2+MIN($B527,2)+5)</f>
        <v>500</v>
      </c>
      <c r="AB527" s="476">
        <f>INDEX(Input!$1:$1048576,AB$93,$C527*2+MIN($B527,2)+5)</f>
        <v>0.43</v>
      </c>
      <c r="AC527" s="475">
        <f>INDEX(Input!$1:$1048576,AC$93,$C527*2+MIN($B527,2)+5)
+INDEX(Scenarios!AC$121:AC$200,MATCH($B527,Scenarios!$B$121:$B$200,0))</f>
        <v>0</v>
      </c>
      <c r="AD527" s="476">
        <f>INDEX(Input!$1:$1048576,AD$93,$C527*2+MIN($B527,2)+5)</f>
        <v>0.35</v>
      </c>
      <c r="AE527" s="475">
        <f>INDEX(Input!$1:$1048576,AE$93,$C527*2+MIN($B527,2)+5)
+INDEX(Scenarios!AE$121:AE$200,MATCH($B527,Scenarios!$B$121:$B$200,0))</f>
        <v>0</v>
      </c>
      <c r="AF527" s="476">
        <f>INDEX(Input!$1:$1048576,AF$93,$C527*2+MIN($B527,2)+5)</f>
        <v>1</v>
      </c>
      <c r="AG527" s="475">
        <f>INDEX(Input!$1:$1048576,AG$93,$C527*2+MIN($B527,2)+5)
+INDEX(Scenarios!AG$121:AG$200,MATCH($B527,Scenarios!$B$121:$B$200,0))</f>
        <v>0</v>
      </c>
      <c r="AH527" s="476">
        <f>INDEX(Input!$1:$1048576,AH$93,$C527*2+MIN($B527,2)+5)</f>
        <v>1</v>
      </c>
      <c r="AI527" s="475">
        <f>INDEX(Input!$1:$1048576,AI$93,$C527*2+MIN($B527,2)+5)
+INDEX(Scenarios!AI$121:AI$200,MATCH($B527,Scenarios!$B$121:$B$200,0))</f>
        <v>0</v>
      </c>
      <c r="AJ527" s="476">
        <f>INDEX(Input!$1:$1048576,AJ$93,$C527*2+MIN($B527,2)+5)</f>
        <v>0.35</v>
      </c>
      <c r="AK527" s="150">
        <f>ROUND(INDEX(Input!$1:$1048576,AK$93,$C526*2+MIN($B527,1)+5)+(Y527-VLOOKUP($C527*1000+1,$A:$HH,Y$92,FALSE)),0)</f>
        <v>4592</v>
      </c>
      <c r="AL527" s="150">
        <f>ROUND(INDEX(Input!$1:$1048576,AL$93,$C526*2+MIN($B527,1)+5)-(Y527-VLOOKUP($C527*1000+1,$A:$HH,Y$92,FALSE))/36,0)</f>
        <v>4743</v>
      </c>
      <c r="AM527" s="32" t="str">
        <f t="shared" si="1665"/>
        <v>std/std/std/std</v>
      </c>
      <c r="AN527" s="32" t="str">
        <f t="shared" si="1666"/>
        <v>$750 + 0/0/0/1.9/3.9</v>
      </c>
      <c r="AO527" s="32" t="str">
        <f t="shared" si="1667"/>
        <v>0/0/0/1.9/3.9</v>
      </c>
      <c r="AP527" s="32" t="str">
        <f t="shared" si="1621"/>
        <v>0/0.9/1.9/3.9</v>
      </c>
      <c r="AQ527" s="536">
        <f t="shared" si="1620"/>
        <v>0.43054495700789669</v>
      </c>
      <c r="AR527" s="32"/>
      <c r="AS527" s="302"/>
      <c r="AT527" s="3">
        <f t="shared" si="1688"/>
        <v>27</v>
      </c>
      <c r="AU527" s="41" t="s">
        <v>121</v>
      </c>
      <c r="AV527" s="41" t="s">
        <v>116</v>
      </c>
      <c r="AW527" s="41" t="str">
        <f>INDEX(Input!$1:$1048576,AW$93,$C527*2+6)</f>
        <v>Kia</v>
      </c>
      <c r="AX527" s="41" t="str">
        <f>INDEX(Input!$1:$1048576,AX$93,$C527*2+6)</f>
        <v>Kia-LR - R2</v>
      </c>
      <c r="AY527" s="41" t="str">
        <f>IF(LEN(D527)=0,"",INDEX(Input!$1:$1048576,AY$93,$C527*2+6))</f>
        <v>Compact Conventional/Sporty Car (43)</v>
      </c>
      <c r="AZ527" s="41" t="str">
        <f>INDEX(Input!$1:$1048576,AZ$93,$C527*2+6)</f>
        <v>Kia Forte</v>
      </c>
      <c r="BA527" s="3">
        <f>INDEX(Input!$1:$1048576,BA$93,$C527*2+6)</f>
        <v>2020</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19695</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622"/>
        <v>1250</v>
      </c>
      <c r="CJ527" s="16" t="str">
        <f>INDEX(Input!$1:$1048576,CJ$93,$C527*2+6)</f>
        <v>N</v>
      </c>
      <c r="CK527" s="1" t="str">
        <f t="shared" si="1623"/>
        <v>Market</v>
      </c>
      <c r="CL527" s="1" t="str">
        <f t="shared" si="1624"/>
        <v>Market</v>
      </c>
      <c r="CM527" s="1" t="str">
        <f t="shared" si="1625"/>
        <v>Market</v>
      </c>
      <c r="CN527" s="1" t="str">
        <f t="shared" si="1626"/>
        <v>Market</v>
      </c>
      <c r="CO527" s="1" t="str">
        <f t="shared" si="1627"/>
        <v>Market</v>
      </c>
      <c r="CP527" s="304">
        <f t="shared" si="1628"/>
        <v>965</v>
      </c>
      <c r="CQ527" s="1">
        <f t="shared" si="1629"/>
        <v>0</v>
      </c>
      <c r="CR527" s="1">
        <f t="shared" si="1630"/>
        <v>0</v>
      </c>
      <c r="CS527" s="1">
        <f t="shared" si="1631"/>
        <v>0</v>
      </c>
      <c r="CT527" s="1">
        <f t="shared" si="1632"/>
        <v>1.9E-2</v>
      </c>
      <c r="CU527" s="1">
        <f t="shared" si="1633"/>
        <v>3.9E-2</v>
      </c>
      <c r="CV527" s="304">
        <f t="shared" si="1634"/>
        <v>-1098.3618966787526</v>
      </c>
      <c r="CW527" s="20" t="s">
        <v>122</v>
      </c>
      <c r="CX527" s="20" t="s">
        <v>122</v>
      </c>
      <c r="CY527" s="20" t="s">
        <v>122</v>
      </c>
      <c r="CZ527" s="20" t="s">
        <v>122</v>
      </c>
      <c r="DA527" s="20" t="s">
        <v>122</v>
      </c>
      <c r="DB527" s="503">
        <f t="shared" si="1635"/>
        <v>0</v>
      </c>
      <c r="DC527" s="127">
        <v>0</v>
      </c>
      <c r="DD527" s="127">
        <v>0</v>
      </c>
      <c r="DE527" s="127">
        <v>0</v>
      </c>
      <c r="DF527" s="127">
        <v>0</v>
      </c>
      <c r="DG527" s="127">
        <v>0</v>
      </c>
      <c r="DH527" s="127">
        <v>0</v>
      </c>
      <c r="DI527" s="127">
        <v>0</v>
      </c>
      <c r="DJ527" s="127">
        <v>0</v>
      </c>
      <c r="DK527" s="127">
        <v>0</v>
      </c>
      <c r="DL527" s="127">
        <v>0</v>
      </c>
      <c r="DM527" s="304">
        <f>INDEX(Input!$1:$1048576,DM$93,$C527*2+6)</f>
        <v>20731.578947368424</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4.3148488385237264E-2</v>
      </c>
      <c r="DZ527" s="7">
        <v>0</v>
      </c>
      <c r="EA527" s="7">
        <v>0.76151133164596052</v>
      </c>
      <c r="EB527" s="7">
        <v>0</v>
      </c>
      <c r="EC527" s="7">
        <v>0</v>
      </c>
      <c r="ED527" s="7">
        <v>0</v>
      </c>
      <c r="EE527" s="7">
        <v>0</v>
      </c>
      <c r="EF527" s="7">
        <v>0</v>
      </c>
      <c r="EG527" s="7">
        <v>0</v>
      </c>
      <c r="EH527" s="7">
        <v>1.4442873377312085E-2</v>
      </c>
      <c r="EI527" s="7">
        <v>1.8189296905778168E-2</v>
      </c>
      <c r="EJ527" s="7">
        <v>0.26754428500141175</v>
      </c>
      <c r="EK527" s="7">
        <v>0.65343818587985969</v>
      </c>
      <c r="EL527" s="7">
        <v>4.6385358835638241E-2</v>
      </c>
      <c r="EM527" s="7">
        <v>8.3918339685156482E-2</v>
      </c>
      <c r="EN527" s="7">
        <v>4.7388170880104656E-2</v>
      </c>
      <c r="EO527" s="7">
        <v>0.58258165549429752</v>
      </c>
      <c r="EP527" s="7">
        <v>0.25107255335796097</v>
      </c>
      <c r="EQ527" s="7">
        <v>7.220943653861403E-2</v>
      </c>
      <c r="ER527" s="7">
        <v>4.6748183729022841E-2</v>
      </c>
      <c r="ES527" s="7">
        <v>0.11142184028364562</v>
      </c>
      <c r="ET527" s="7">
        <v>0.19534017996880218</v>
      </c>
      <c r="EU527" s="6">
        <v>1600</v>
      </c>
      <c r="EV527" s="6">
        <v>0</v>
      </c>
      <c r="EW527" s="6">
        <v>1600</v>
      </c>
      <c r="EX527" s="6">
        <v>0</v>
      </c>
      <c r="EY527" s="6">
        <v>3381.5467224993654</v>
      </c>
      <c r="EZ527" s="6">
        <v>-1723.0908300335955</v>
      </c>
      <c r="FA527" s="6">
        <v>0</v>
      </c>
      <c r="FB527" s="6">
        <v>0</v>
      </c>
      <c r="FC527" s="6">
        <v>0</v>
      </c>
      <c r="FD527" s="6">
        <v>0</v>
      </c>
      <c r="FE527" s="6">
        <v>0</v>
      </c>
      <c r="FF527" s="6">
        <v>0</v>
      </c>
      <c r="FG527" s="6">
        <v>0</v>
      </c>
      <c r="FH527" s="6">
        <v>1153.9868441962958</v>
      </c>
      <c r="FI527" s="6">
        <v>1531.4299904380621</v>
      </c>
      <c r="FJ527" s="6">
        <v>2070.7205842538219</v>
      </c>
      <c r="FK527" s="6">
        <v>1746.9903521590438</v>
      </c>
      <c r="FL527" s="6">
        <v>893.91433563489352</v>
      </c>
      <c r="FM527" s="6">
        <v>1781.5467224993652</v>
      </c>
      <c r="FN527" s="6">
        <v>0</v>
      </c>
      <c r="FO527" s="6">
        <v>0</v>
      </c>
      <c r="FP527" s="6">
        <v>0</v>
      </c>
      <c r="FQ527" s="6">
        <v>0</v>
      </c>
      <c r="FR527" s="6">
        <v>0</v>
      </c>
      <c r="FS527" s="6">
        <v>0</v>
      </c>
      <c r="FT527" s="7">
        <v>0.80465982003119774</v>
      </c>
      <c r="FU527" s="7">
        <v>8.3918339685156482E-2</v>
      </c>
      <c r="FV527" s="7">
        <v>0.11142184028364562</v>
      </c>
      <c r="FW527" s="6">
        <v>1600</v>
      </c>
      <c r="FX527" s="6">
        <v>3381.5467224993654</v>
      </c>
      <c r="FY527" s="6">
        <v>-1723.0908300335955</v>
      </c>
      <c r="FZ527" s="6">
        <v>2411.9063952864503</v>
      </c>
      <c r="GA527" s="6">
        <v>1379.2395473116283</v>
      </c>
      <c r="GB527" s="6">
        <v>18315.760452688373</v>
      </c>
      <c r="GC527" s="7">
        <v>7.6138913542514425E-2</v>
      </c>
      <c r="GD527" s="7">
        <v>6.6376086630813749E-2</v>
      </c>
      <c r="GE527" s="7"/>
      <c r="GF527" s="7"/>
      <c r="GG527" s="7">
        <v>-0.12822387997760581</v>
      </c>
      <c r="GH527" s="42">
        <v>2.4454830917749368</v>
      </c>
      <c r="GI527" s="6">
        <v>9432.8630077401886</v>
      </c>
      <c r="GJ527" s="14">
        <v>0.5107463060103955</v>
      </c>
      <c r="GK527" s="14">
        <v>0.50829519786160982</v>
      </c>
      <c r="GL527" s="14">
        <v>0.48925369398960428</v>
      </c>
      <c r="GM527" s="14">
        <v>0.49170480213839046</v>
      </c>
      <c r="GO527" s="5">
        <v>338.16872463277008</v>
      </c>
      <c r="GP527" s="5">
        <v>307.64377699166363</v>
      </c>
      <c r="GQ527" s="5">
        <v>527.27910984145694</v>
      </c>
      <c r="GR527" s="5">
        <v>404.20319246551543</v>
      </c>
      <c r="GS527" s="5">
        <v>334.50205195691484</v>
      </c>
      <c r="GT527" s="5">
        <v>289.18266033348181</v>
      </c>
      <c r="GU527" s="5">
        <v>254.29573314828914</v>
      </c>
      <c r="GV527" s="39" t="s">
        <v>392</v>
      </c>
      <c r="GW527" s="5">
        <v>447.93055555555554</v>
      </c>
      <c r="GX527" s="5">
        <v>335.94791666666669</v>
      </c>
      <c r="GY527" s="5">
        <v>268.75833333333333</v>
      </c>
      <c r="GZ527" s="5">
        <v>237.15086788348813</v>
      </c>
      <c r="HA527" s="5">
        <v>219.67483322752744</v>
      </c>
      <c r="HB527" s="39">
        <v>249.63794568272192</v>
      </c>
      <c r="HC527" s="5">
        <v>358.50084881396981</v>
      </c>
      <c r="HD527" s="5">
        <v>287.77900980034525</v>
      </c>
      <c r="HE527" s="5">
        <v>285.23787161201437</v>
      </c>
      <c r="HF527" s="5">
        <v>257.54964978663213</v>
      </c>
      <c r="HG527" s="5">
        <v>240.60084178617024</v>
      </c>
      <c r="HH527" s="39">
        <v>286.10403961925999</v>
      </c>
      <c r="HI527" s="16"/>
      <c r="HJ527" s="19" t="str">
        <f t="shared" si="1737"/>
        <v>On</v>
      </c>
      <c r="HK527" s="1" t="str">
        <f t="shared" si="1737"/>
        <v>On</v>
      </c>
      <c r="HL527" s="16"/>
      <c r="HM527" s="639">
        <f t="shared" si="1636"/>
        <v>5.1181272167489952E-2</v>
      </c>
      <c r="HN527" s="639">
        <f t="shared" si="1637"/>
        <v>4.2792051795134348E-3</v>
      </c>
      <c r="HO527" s="639">
        <f t="shared" si="1638"/>
        <v>7.4145241462331068E-3</v>
      </c>
      <c r="HP527" s="644">
        <f>(FT527*$GD527-HM527)/$JF527*INDEX(Input!$1:$1048576,$JG$93,$C527*2+6)</f>
        <v>26.303651612046366</v>
      </c>
      <c r="HQ527" s="644">
        <f>(FU527*$GD527-HN527)/$JF527*INDEX(Input!$1:$1048576,$JG$93,$C527*2+6)</f>
        <v>15.234936060673125</v>
      </c>
      <c r="HR527" s="644">
        <f>(FV527*$GD527-HO527)/$JF527*INDEX(Input!$1:$1048576,$JG$93,$C527*2+6)</f>
        <v>-0.22160778585991187</v>
      </c>
      <c r="HS527" s="644">
        <f t="shared" si="1639"/>
        <v>-7.6537215352751486</v>
      </c>
      <c r="HT527" s="644">
        <f t="shared" si="1640"/>
        <v>62.001349218771551</v>
      </c>
      <c r="HU527" s="644">
        <f t="shared" si="1641"/>
        <v>6.9624729649326742</v>
      </c>
      <c r="HV527" s="648">
        <f t="shared" si="1642"/>
        <v>0</v>
      </c>
      <c r="HW527" s="648">
        <f t="shared" si="1643"/>
        <v>0</v>
      </c>
      <c r="HX527" s="648">
        <f t="shared" si="1644"/>
        <v>0</v>
      </c>
      <c r="HY527" s="644">
        <f>INDEX(Input!$1:$1048576,HY$93,$C527*2+6)*INDEX(Input!$1:$1048576,$JG$93,$C527*2+6)</f>
        <v>345</v>
      </c>
      <c r="HZ527" s="644">
        <f>INDEX(Input!$1:$1048576,HZ$93,$C527*2+6)*INDEX(Input!$1:$1048576,$JG$93,$C527*2+6)</f>
        <v>299</v>
      </c>
      <c r="IA527" s="644">
        <f>INDEX(Input!$1:$1048576,IA$93,$C527*2+6)*INDEX(Input!$1:$1048576,$JG$93,$C527*2+6)</f>
        <v>98</v>
      </c>
      <c r="IB527" s="644">
        <f t="shared" si="1668"/>
        <v>363.64993007677117</v>
      </c>
      <c r="IC527" s="644">
        <f t="shared" si="1669"/>
        <v>376.2362852794447</v>
      </c>
      <c r="ID527" s="644">
        <f>IF(AND(INDEX(Input!$1:$1048576,IA$93,$C527*2+7)="TOS",Y527&lt;=INDEX(Y:Y,MATCH(C527*1000+2,A:A))),0,1)*MAX(IA527+HR527+HU527+HX527,0%)</f>
        <v>104.74086517907276</v>
      </c>
      <c r="IE527" s="128">
        <f t="shared" si="1738"/>
        <v>0.43054495700789669</v>
      </c>
      <c r="IF527" s="128">
        <f t="shared" si="1691"/>
        <v>0.44544662839960347</v>
      </c>
      <c r="IG527" s="128">
        <f t="shared" si="1646"/>
        <v>0.12400841459249975</v>
      </c>
      <c r="IH527" s="21"/>
      <c r="II527" s="19">
        <f t="shared" si="1647"/>
        <v>1200</v>
      </c>
      <c r="IJ527" s="19">
        <f t="shared" si="1648"/>
        <v>2231.5440334087361</v>
      </c>
      <c r="IK527" s="19">
        <f t="shared" si="1649"/>
        <v>-2048.0908300335955</v>
      </c>
      <c r="IL527" s="19">
        <f t="shared" si="1671"/>
        <v>400</v>
      </c>
      <c r="IM527" s="19">
        <f t="shared" si="1650"/>
        <v>1150.0026890906292</v>
      </c>
      <c r="IN527" s="19">
        <f t="shared" si="1651"/>
        <v>325</v>
      </c>
      <c r="IO527" s="39">
        <f t="shared" si="1652"/>
        <v>0</v>
      </c>
      <c r="IP527" s="39">
        <f t="shared" si="1653"/>
        <v>0</v>
      </c>
      <c r="IQ527" s="39">
        <f t="shared" si="1654"/>
        <v>0</v>
      </c>
      <c r="IR527" s="39">
        <v>0</v>
      </c>
      <c r="IS527" s="39">
        <v>0</v>
      </c>
      <c r="IT527" s="39">
        <v>0</v>
      </c>
      <c r="IU527" s="39">
        <v>0</v>
      </c>
      <c r="IV527" s="39">
        <v>0</v>
      </c>
      <c r="IW527" s="39">
        <v>0</v>
      </c>
      <c r="IX527" s="39">
        <f>INDEX(Input!$1:$1048576,IX$93,$C527*2+6)+INDEX(Input!$1:$1048576,IX$94,$C527*2+6)</f>
        <v>1600</v>
      </c>
      <c r="IY527" s="39">
        <f>INDEX(Input!$1:$1048576,IY$93,$C527*2+6)+INDEX(Input!$1:$1048576,IY$94,$C527*2+6)</f>
        <v>2503.5492916397525</v>
      </c>
      <c r="IZ527" s="39">
        <f>INDEX(Input!$1:$1048576,IZ$93,$C527*2+6)+INDEX(Input!$1:$1048576,IZ$94,$C527*2+6)</f>
        <v>5413.7109265464023</v>
      </c>
      <c r="JA527" s="19">
        <f t="shared" si="1672"/>
        <v>2000</v>
      </c>
      <c r="JB527" s="19">
        <f t="shared" si="1673"/>
        <v>3653.5519807303817</v>
      </c>
      <c r="JC527" s="19">
        <f t="shared" si="1674"/>
        <v>5738.7109265464023</v>
      </c>
      <c r="JD527" s="19">
        <f t="shared" si="1675"/>
        <v>3200.2007693205096</v>
      </c>
      <c r="JE527" s="21"/>
      <c r="JF527" s="1">
        <f t="shared" si="1655"/>
        <v>6.2875001493236493E-2</v>
      </c>
      <c r="JG527" s="15">
        <f>INDEX(Input!$1:$1048576,JG$93,$C527*2+6)/(1+VLOOKUP(C527*1000+INDEX(Input!$1:$1048576,JG$93+1,$C527*2+6),$A:$KK,$JK$92,FALSE))</f>
        <v>742</v>
      </c>
      <c r="JH527" s="1">
        <f t="shared" si="1676"/>
        <v>5.5683261303045253E-2</v>
      </c>
      <c r="JI527" s="1">
        <f t="shared" si="1677"/>
        <v>8.2628167989796594E-2</v>
      </c>
      <c r="JJ527" s="1">
        <f t="shared" si="1715"/>
        <v>0</v>
      </c>
      <c r="JK527" s="1">
        <f t="shared" si="1719"/>
        <v>0.13831142929284185</v>
      </c>
      <c r="JL527" s="15">
        <f t="shared" si="1680"/>
        <v>102.62708053528866</v>
      </c>
      <c r="JM527" s="15">
        <f t="shared" si="1706"/>
        <v>844.62708053528866</v>
      </c>
      <c r="JN527" s="21"/>
      <c r="JO527" s="19">
        <f>INDEX(Input!$1:$1048576,JO$93,$C527*2+6)</f>
        <v>5908.5</v>
      </c>
      <c r="JP527" s="19">
        <f>INDEX(Input!$1:$1048576,JP$93,$C527*2+6)</f>
        <v>2467.7963733178344</v>
      </c>
      <c r="JQ527" s="39">
        <f t="shared" si="1692"/>
        <v>2708.2992306794904</v>
      </c>
      <c r="JR527" s="39">
        <f t="shared" si="1709"/>
        <v>732.40439600267518</v>
      </c>
      <c r="JS527" s="39">
        <f t="shared" si="1694"/>
        <v>2.7029762329179667</v>
      </c>
      <c r="JT527" s="39">
        <f t="shared" si="1682"/>
        <v>0.87187132391613376</v>
      </c>
      <c r="JU527" s="385">
        <f>(JQ527*JM527-INDEX(Input!$1:$1048576,Input!A$18,$C527*2+6)*JL527*INDEX(Input!$1:$1048576,Input!A$19,$C527*2+6))/1000000</f>
        <v>2.2875028724247866</v>
      </c>
      <c r="JV527" s="39">
        <f t="shared" si="1716"/>
        <v>-0.26549921857337999</v>
      </c>
      <c r="JW527" s="1">
        <f t="shared" si="1707"/>
        <v>-0.10399490839021434</v>
      </c>
      <c r="JX527" s="19">
        <f t="shared" si="1698"/>
        <v>8495.5288542612107</v>
      </c>
      <c r="JZ527" s="341"/>
      <c r="KA527" s="342"/>
      <c r="KB527" s="469">
        <f t="shared" si="1695"/>
        <v>2.4623520912331753</v>
      </c>
      <c r="KI527" s="473">
        <f t="shared" si="1722"/>
        <v>18.64993007677117</v>
      </c>
      <c r="KJ527" s="473">
        <f t="shared" si="1723"/>
        <v>77.236285279444701</v>
      </c>
      <c r="KK527" s="473">
        <f t="shared" si="1684"/>
        <v>6.7408651790727561</v>
      </c>
      <c r="KN527" s="544">
        <f t="shared" si="1699"/>
        <v>5002</v>
      </c>
      <c r="KO527" s="541">
        <f t="shared" si="1659"/>
        <v>5.7700432031413396E-2</v>
      </c>
      <c r="KP527" s="546">
        <f t="shared" si="1660"/>
        <v>334.07048741664653</v>
      </c>
      <c r="KQ527" s="546">
        <f t="shared" si="1661"/>
        <v>341.42832316880049</v>
      </c>
      <c r="KR527" s="548">
        <f t="shared" si="1662"/>
        <v>2.9079420069353472</v>
      </c>
      <c r="KS527" s="548">
        <f t="shared" si="1663"/>
        <v>2.8452753849479229</v>
      </c>
      <c r="KT527" s="473">
        <f t="shared" si="1697"/>
        <v>389.37465324503302</v>
      </c>
      <c r="KU527" s="663">
        <f t="shared" si="1685"/>
        <v>7.1955663516745609</v>
      </c>
      <c r="KV527" s="117"/>
    </row>
    <row r="528" spans="1:308" s="26" customFormat="1" ht="15">
      <c r="A528" s="561">
        <f t="shared" si="1664"/>
        <v>5028</v>
      </c>
      <c r="B528" s="561">
        <f t="shared" si="1686"/>
        <v>28</v>
      </c>
      <c r="C528" s="561">
        <f t="shared" si="1687"/>
        <v>5</v>
      </c>
      <c r="D528" s="561" t="str">
        <f t="shared" si="1736"/>
        <v xml:space="preserve">1000 Combo, </v>
      </c>
      <c r="E528" s="475">
        <f>INDEX(Input!$1:$1048576,E$93,$C528*2+MIN($B528,2)+5)
+INDEX(Scenarios!E$121:E$200,MATCH($B528,Scenarios!$B$121:$B$200,0))</f>
        <v>1250</v>
      </c>
      <c r="F528" s="475">
        <f>INDEX(Input!$1:$1048576,F$93,$C528*2+MIN($B528,2)+5)
+INDEX(Scenarios!F$121:F$200,MATCH($B528,Scenarios!$B$121:$B$200,0))</f>
        <v>0</v>
      </c>
      <c r="G528" s="475">
        <f>INDEX(Input!$1:$1048576,G$93,$C528*2+MIN($B528,2)+5)
+INDEX(Scenarios!G$121:G$200,MATCH($B528,Scenarios!$B$121:$B$200,0))</f>
        <v>0</v>
      </c>
      <c r="H528" s="475">
        <f>INDEX(Input!$1:$1048576,H$93,$C528*2+MIN($B528,2)+5)
+INDEX(Scenarios!H$121:H$200,MATCH($B528,Scenarios!$B$121:$B$200,0))</f>
        <v>0</v>
      </c>
      <c r="I528" s="476">
        <f>INDEX(Input!$1:$1048576,I$93,$C528*2+MIN($B528,2)+5)</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+INDEX(Scenarios!Q$121:Q$200,MATCH($B528,Scenarios!$B$121:$B$200,0))</f>
        <v>1000</v>
      </c>
      <c r="R528" s="478">
        <f>IFERROR(MAX(0,INDEX(Input!$1:$1048576,R$93,$C528*2+MIN($B528,2)+5)
+INDEX(Scenarios!R$121:R$200,MATCH($B528,Scenarios!$B$121:$B$200,0)),),"Market")</f>
        <v>0</v>
      </c>
      <c r="S528" s="478">
        <f>IFERROR(MAX(0,INDEX(Input!$1:$1048576,S$93,$C528*2+MIN($B528,2)+5)
+INDEX(Scenarios!S$121:S$200,MATCH($B528,Scenarios!$B$121:$B$200,0)),),"Market")</f>
        <v>0</v>
      </c>
      <c r="T528" s="478">
        <f>IFERROR(MAX(0,INDEX(Input!$1:$1048576,T$93,$C528*2+MIN($B528,2)+5)
+INDEX(Scenarios!T$121:T$200,MATCH($B528,Scenarios!$B$121:$B$200,0)),),"Market")</f>
        <v>0</v>
      </c>
      <c r="U528" s="478">
        <f>IFERROR(MAX(0,INDEX(Input!$1:$1048576,U$93,$C528*2+MIN($B528,2)+5)
+INDEX(Scenarios!U$121:U$200,MATCH($B528,Scenarios!$B$121:$B$200,0)),),"Market")</f>
        <v>0</v>
      </c>
      <c r="V528" s="478">
        <f>IFERROR(MAX(0,INDEX(Input!$1:$1048576,V$93,$C528*2+MIN($B528,2)+5)
+INDEX(Scenarios!V$121:V$200,MATCH($B528,Scenarios!$B$121:$B$200,0)),),"Market")</f>
        <v>1.9E-2</v>
      </c>
      <c r="W528" s="863">
        <f>IFERROR(MAX(0,INDEX(Input!$1:$1048576,W$93,$C528*2+MIN($B528,2)+5)-0%,),"Market")</f>
        <v>3.9E-2</v>
      </c>
      <c r="X528" s="476" t="str">
        <f>INDEX(Input!$1:$1048576,X$93,$C528*2+MIN($B528,2)+5)</f>
        <v>Y</v>
      </c>
      <c r="Y528" s="475">
        <f>INDEX(Input!$1:$1048576,Y$93,$C528*2+MIN($B528,2)+5)
++INDEX(Scenarios!Y$121:Y$200,MATCH($B528,Scenarios!$B$121:$B$200,0))</f>
        <v>-1098.3618966787526</v>
      </c>
      <c r="Z528" s="477">
        <f>INDEX(Input!$1:$1048576,Z$93,$C528*2+MIN($B528,2)+5)
+INDEX(Scenarios!Z$121:Z$200,MATCH($B528,Scenarios!$B$121:$B$200,0))</f>
        <v>0</v>
      </c>
      <c r="AA528" s="475">
        <f>INDEX(Input!$1:$1048576,AA$93,$C528*2+MIN($B528,2)+5)</f>
        <v>500</v>
      </c>
      <c r="AB528" s="476">
        <f>INDEX(Input!$1:$1048576,AB$93,$C528*2+MIN($B528,2)+5)</f>
        <v>0.43</v>
      </c>
      <c r="AC528" s="475">
        <f>INDEX(Input!$1:$1048576,AC$93,$C528*2+MIN($B528,2)+5)
+INDEX(Scenarios!AC$121:AC$200,MATCH($B528,Scenarios!$B$121:$B$200,0))</f>
        <v>0</v>
      </c>
      <c r="AD528" s="476">
        <f>INDEX(Input!$1:$1048576,AD$93,$C528*2+MIN($B528,2)+5)</f>
        <v>0.35</v>
      </c>
      <c r="AE528" s="475">
        <f>INDEX(Input!$1:$1048576,AE$93,$C528*2+MIN($B528,2)+5)
+INDEX(Scenarios!AE$121:AE$200,MATCH($B528,Scenarios!$B$121:$B$200,0))</f>
        <v>0</v>
      </c>
      <c r="AF528" s="476">
        <f>INDEX(Input!$1:$1048576,AF$93,$C528*2+MIN($B528,2)+5)</f>
        <v>1</v>
      </c>
      <c r="AG528" s="475">
        <f>INDEX(Input!$1:$1048576,AG$93,$C528*2+MIN($B528,2)+5)
+INDEX(Scenarios!AG$121:AG$200,MATCH($B528,Scenarios!$B$121:$B$200,0))</f>
        <v>0</v>
      </c>
      <c r="AH528" s="476">
        <f>INDEX(Input!$1:$1048576,AH$93,$C528*2+MIN($B528,2)+5)</f>
        <v>1</v>
      </c>
      <c r="AI528" s="475">
        <f>INDEX(Input!$1:$1048576,AI$93,$C528*2+MIN($B528,2)+5)
+INDEX(Scenarios!AI$121:AI$200,MATCH($B528,Scenarios!$B$121:$B$200,0))</f>
        <v>0</v>
      </c>
      <c r="AJ528" s="476">
        <f>INDEX(Input!$1:$1048576,AJ$93,$C528*2+MIN($B528,2)+5)</f>
        <v>0.35</v>
      </c>
      <c r="AK528" s="150">
        <f>ROUND(INDEX(Input!$1:$1048576,AK$93,$C527*2+MIN($B528,1)+5)+(Y528-VLOOKUP($C528*1000+1,$A:$HH,Y$92,FALSE)),0)</f>
        <v>4592</v>
      </c>
      <c r="AL528" s="150">
        <f>ROUND(INDEX(Input!$1:$1048576,AL$93,$C527*2+MIN($B528,1)+5)-(Y528-VLOOKUP($C528*1000+1,$A:$HH,Y$92,FALSE))/36,0)</f>
        <v>4743</v>
      </c>
      <c r="AM528" s="32" t="str">
        <f t="shared" si="1665"/>
        <v>std/std/std/std</v>
      </c>
      <c r="AN528" s="32" t="str">
        <f t="shared" si="1666"/>
        <v>$1000 + 0/0/0/1.9/3.9</v>
      </c>
      <c r="AO528" s="32" t="str">
        <f t="shared" si="1667"/>
        <v>0/0/0/1.9/3.9</v>
      </c>
      <c r="AP528" s="32" t="str">
        <f t="shared" si="1621"/>
        <v>0/0.9/1.9/3.9</v>
      </c>
      <c r="AQ528" s="536">
        <f t="shared" si="1620"/>
        <v>0.38064093587663611</v>
      </c>
      <c r="AR528" s="32"/>
      <c r="AS528" s="302"/>
      <c r="AT528" s="3">
        <f t="shared" si="1688"/>
        <v>28</v>
      </c>
      <c r="AU528" s="41" t="s">
        <v>121</v>
      </c>
      <c r="AV528" s="41" t="s">
        <v>116</v>
      </c>
      <c r="AW528" s="41" t="str">
        <f>INDEX(Input!$1:$1048576,AW$93,$C528*2+6)</f>
        <v>Kia</v>
      </c>
      <c r="AX528" s="41" t="str">
        <f>INDEX(Input!$1:$1048576,AX$93,$C528*2+6)</f>
        <v>Kia-LR - R2</v>
      </c>
      <c r="AY528" s="41" t="str">
        <f>IF(LEN(D528)=0,"",INDEX(Input!$1:$1048576,AY$93,$C528*2+6))</f>
        <v>Compact Conventional/Sporty Car (43)</v>
      </c>
      <c r="AZ528" s="41" t="str">
        <f>INDEX(Input!$1:$1048576,AZ$93,$C528*2+6)</f>
        <v>Kia Forte</v>
      </c>
      <c r="BA528" s="3">
        <f>INDEX(Input!$1:$1048576,BA$93,$C528*2+6)</f>
        <v>2020</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19695</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622"/>
        <v>1250</v>
      </c>
      <c r="CJ528" s="16" t="str">
        <f>INDEX(Input!$1:$1048576,CJ$93,$C528*2+6)</f>
        <v>N</v>
      </c>
      <c r="CK528" s="1" t="str">
        <f t="shared" si="1623"/>
        <v>Market</v>
      </c>
      <c r="CL528" s="1" t="str">
        <f t="shared" si="1624"/>
        <v>Market</v>
      </c>
      <c r="CM528" s="1" t="str">
        <f t="shared" si="1625"/>
        <v>Market</v>
      </c>
      <c r="CN528" s="1" t="str">
        <f t="shared" si="1626"/>
        <v>Market</v>
      </c>
      <c r="CO528" s="1" t="str">
        <f t="shared" si="1627"/>
        <v>Market</v>
      </c>
      <c r="CP528" s="304">
        <f t="shared" si="1628"/>
        <v>1215</v>
      </c>
      <c r="CQ528" s="1">
        <f t="shared" si="1629"/>
        <v>0</v>
      </c>
      <c r="CR528" s="1">
        <f t="shared" si="1630"/>
        <v>0</v>
      </c>
      <c r="CS528" s="1">
        <f t="shared" si="1631"/>
        <v>0</v>
      </c>
      <c r="CT528" s="1">
        <f t="shared" si="1632"/>
        <v>1.9E-2</v>
      </c>
      <c r="CU528" s="1">
        <f t="shared" si="1633"/>
        <v>3.9E-2</v>
      </c>
      <c r="CV528" s="304">
        <f t="shared" si="1634"/>
        <v>-1098.3618966787526</v>
      </c>
      <c r="CW528" s="20" t="s">
        <v>122</v>
      </c>
      <c r="CX528" s="20" t="s">
        <v>122</v>
      </c>
      <c r="CY528" s="20" t="s">
        <v>122</v>
      </c>
      <c r="CZ528" s="20" t="s">
        <v>122</v>
      </c>
      <c r="DA528" s="20" t="s">
        <v>122</v>
      </c>
      <c r="DB528" s="503">
        <f t="shared" si="1635"/>
        <v>0</v>
      </c>
      <c r="DC528" s="127">
        <v>0</v>
      </c>
      <c r="DD528" s="127">
        <v>0</v>
      </c>
      <c r="DE528" s="127">
        <v>0</v>
      </c>
      <c r="DF528" s="127">
        <v>0</v>
      </c>
      <c r="DG528" s="127">
        <v>0</v>
      </c>
      <c r="DH528" s="127">
        <v>0</v>
      </c>
      <c r="DI528" s="127">
        <v>0</v>
      </c>
      <c r="DJ528" s="127">
        <v>0</v>
      </c>
      <c r="DK528" s="127">
        <v>0</v>
      </c>
      <c r="DL528" s="127">
        <v>0</v>
      </c>
      <c r="DM528" s="304">
        <f>INDEX(Input!$1:$1048576,DM$93,$C528*2+6)</f>
        <v>20731.578947368424</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4.1686137829603925E-2</v>
      </c>
      <c r="DZ528" s="7">
        <v>0</v>
      </c>
      <c r="EA528" s="7">
        <v>0.70773798675118316</v>
      </c>
      <c r="EB528" s="7">
        <v>0</v>
      </c>
      <c r="EC528" s="7">
        <v>0</v>
      </c>
      <c r="ED528" s="7">
        <v>0</v>
      </c>
      <c r="EE528" s="7">
        <v>0</v>
      </c>
      <c r="EF528" s="7">
        <v>0</v>
      </c>
      <c r="EG528" s="7">
        <v>0</v>
      </c>
      <c r="EH528" s="7">
        <v>1.6821098842595097E-2</v>
      </c>
      <c r="EI528" s="7">
        <v>1.8698334628849483E-2</v>
      </c>
      <c r="EJ528" s="7">
        <v>0.22679527105245345</v>
      </c>
      <c r="EK528" s="7">
        <v>0.59140402945438031</v>
      </c>
      <c r="EL528" s="7">
        <v>0.14628126602172159</v>
      </c>
      <c r="EM528" s="7">
        <v>0.14286902906033766</v>
      </c>
      <c r="EN528" s="7">
        <v>4.7388047632732015E-2</v>
      </c>
      <c r="EO528" s="7">
        <v>0.58258046561641119</v>
      </c>
      <c r="EP528" s="7">
        <v>0.25107221419500997</v>
      </c>
      <c r="EQ528" s="7">
        <v>7.2209319787764001E-2</v>
      </c>
      <c r="ER528" s="7">
        <v>4.6749952768082657E-2</v>
      </c>
      <c r="ES528" s="7">
        <v>0.1077068463588753</v>
      </c>
      <c r="ET528" s="7">
        <v>0.250575875419213</v>
      </c>
      <c r="EU528" s="6">
        <v>1600</v>
      </c>
      <c r="EV528" s="6">
        <v>0</v>
      </c>
      <c r="EW528" s="6">
        <v>1600</v>
      </c>
      <c r="EX528" s="6">
        <v>0</v>
      </c>
      <c r="EY528" s="6">
        <v>3531.5571997588677</v>
      </c>
      <c r="EZ528" s="6">
        <v>-1723.0908300335955</v>
      </c>
      <c r="FA528" s="6">
        <v>0</v>
      </c>
      <c r="FB528" s="6">
        <v>0</v>
      </c>
      <c r="FC528" s="6">
        <v>0</v>
      </c>
      <c r="FD528" s="6">
        <v>0</v>
      </c>
      <c r="FE528" s="6">
        <v>0</v>
      </c>
      <c r="FF528" s="6">
        <v>0</v>
      </c>
      <c r="FG528" s="6">
        <v>0</v>
      </c>
      <c r="FH528" s="6">
        <v>1150.4788671612514</v>
      </c>
      <c r="FI528" s="6">
        <v>1531.4299904380621</v>
      </c>
      <c r="FJ528" s="6">
        <v>2070.7205842538228</v>
      </c>
      <c r="FK528" s="6">
        <v>1746.9903521590441</v>
      </c>
      <c r="FL528" s="6">
        <v>893.9143356348942</v>
      </c>
      <c r="FM528" s="6">
        <v>1681.5571997588677</v>
      </c>
      <c r="FN528" s="6">
        <v>0</v>
      </c>
      <c r="FO528" s="6">
        <v>0</v>
      </c>
      <c r="FP528" s="6">
        <v>0</v>
      </c>
      <c r="FQ528" s="6">
        <v>0</v>
      </c>
      <c r="FR528" s="6">
        <v>0</v>
      </c>
      <c r="FS528" s="6">
        <v>0</v>
      </c>
      <c r="FT528" s="7">
        <v>0.74942412458078711</v>
      </c>
      <c r="FU528" s="7">
        <v>0.14286902906033766</v>
      </c>
      <c r="FV528" s="7">
        <v>0.1077068463588753</v>
      </c>
      <c r="FW528" s="6">
        <v>1600</v>
      </c>
      <c r="FX528" s="6">
        <v>3531.5571997588677</v>
      </c>
      <c r="FY528" s="6">
        <v>-1723.0908300335955</v>
      </c>
      <c r="FZ528" s="6">
        <v>2411.9063952864503</v>
      </c>
      <c r="GA528" s="6">
        <v>1518.0400682370382</v>
      </c>
      <c r="GB528" s="6">
        <v>18176.959931762962</v>
      </c>
      <c r="GC528" s="7">
        <v>7.6138913542514425E-2</v>
      </c>
      <c r="GD528" s="7">
        <v>6.7357536631880252E-2</v>
      </c>
      <c r="GE528" s="7"/>
      <c r="GF528" s="7"/>
      <c r="GG528" s="7">
        <v>-0.11533362510788692</v>
      </c>
      <c r="GH528" s="42">
        <v>2.5412029492126358</v>
      </c>
      <c r="GI528" s="6">
        <v>9268.3065340076209</v>
      </c>
      <c r="GJ528" s="14">
        <v>0.51074630601039528</v>
      </c>
      <c r="GK528" s="14">
        <v>0.5082951978616097</v>
      </c>
      <c r="GL528" s="14">
        <v>0.48925369398960433</v>
      </c>
      <c r="GM528" s="14">
        <v>0.49170480213839046</v>
      </c>
      <c r="GO528" s="5">
        <v>338.16872463277008</v>
      </c>
      <c r="GP528" s="5">
        <v>307.64377699166363</v>
      </c>
      <c r="GQ528" s="5">
        <v>527.27910984145694</v>
      </c>
      <c r="GR528" s="5">
        <v>404.20319246551543</v>
      </c>
      <c r="GS528" s="5">
        <v>334.50205195691484</v>
      </c>
      <c r="GT528" s="5">
        <v>289.18266033348181</v>
      </c>
      <c r="GU528" s="5">
        <v>254.29573314828914</v>
      </c>
      <c r="GV528" s="39" t="s">
        <v>392</v>
      </c>
      <c r="GW528" s="5">
        <v>440.98611111111109</v>
      </c>
      <c r="GX528" s="5">
        <v>330.73958333333331</v>
      </c>
      <c r="GY528" s="5">
        <v>264.59166666666664</v>
      </c>
      <c r="GZ528" s="5">
        <v>233.47422424633754</v>
      </c>
      <c r="HA528" s="5">
        <v>216.26912746293831</v>
      </c>
      <c r="HB528" s="39">
        <v>243.32400788698291</v>
      </c>
      <c r="HC528" s="5">
        <v>358.50084881396981</v>
      </c>
      <c r="HD528" s="5">
        <v>287.77900980034525</v>
      </c>
      <c r="HE528" s="5">
        <v>285.23787161201437</v>
      </c>
      <c r="HF528" s="5">
        <v>257.54964978663213</v>
      </c>
      <c r="HG528" s="5">
        <v>240.60084178617024</v>
      </c>
      <c r="HH528" s="39">
        <v>286.10395183412055</v>
      </c>
      <c r="HI528" s="16"/>
      <c r="HJ528" s="19" t="str">
        <f t="shared" si="1737"/>
        <v>On</v>
      </c>
      <c r="HK528" s="1" t="str">
        <f t="shared" si="1737"/>
        <v>On</v>
      </c>
      <c r="HL528" s="16"/>
      <c r="HM528" s="639">
        <f t="shared" si="1636"/>
        <v>5.1181272167489952E-2</v>
      </c>
      <c r="HN528" s="639">
        <f t="shared" si="1637"/>
        <v>4.2792051795134348E-3</v>
      </c>
      <c r="HO528" s="639">
        <f t="shared" si="1638"/>
        <v>7.4145241462331068E-3</v>
      </c>
      <c r="HP528" s="644">
        <f>(FT528*$GD528-HM528)/$JF528*INDEX(Input!$1:$1048576,$JG$93,$C528*2+6)</f>
        <v>-8.2833661408154793</v>
      </c>
      <c r="HQ528" s="644">
        <f>(FU528*$GD528-HN528)/$JF528*INDEX(Input!$1:$1048576,$JG$93,$C528*2+6)</f>
        <v>63.066761186944632</v>
      </c>
      <c r="HR528" s="644">
        <f>(FV528*$GD528-HO528)/$JF528*INDEX(Input!$1:$1048576,$JG$93,$C528*2+6)</f>
        <v>-1.884134706048566</v>
      </c>
      <c r="HS528" s="644">
        <f t="shared" si="1639"/>
        <v>-7.6851494653220946</v>
      </c>
      <c r="HT528" s="644">
        <f t="shared" si="1640"/>
        <v>70.206330939055277</v>
      </c>
      <c r="HU528" s="644">
        <f t="shared" si="1641"/>
        <v>6.9939008949796202</v>
      </c>
      <c r="HV528" s="648">
        <f t="shared" si="1642"/>
        <v>0</v>
      </c>
      <c r="HW528" s="648">
        <f t="shared" si="1643"/>
        <v>0</v>
      </c>
      <c r="HX528" s="648">
        <f t="shared" si="1644"/>
        <v>0</v>
      </c>
      <c r="HY528" s="644">
        <f>INDEX(Input!$1:$1048576,HY$93,$C528*2+6)*INDEX(Input!$1:$1048576,$JG$93,$C528*2+6)</f>
        <v>345</v>
      </c>
      <c r="HZ528" s="644">
        <f>INDEX(Input!$1:$1048576,HZ$93,$C528*2+6)*INDEX(Input!$1:$1048576,$JG$93,$C528*2+6)</f>
        <v>299</v>
      </c>
      <c r="IA528" s="644">
        <f>INDEX(Input!$1:$1048576,IA$93,$C528*2+6)*INDEX(Input!$1:$1048576,$JG$93,$C528*2+6)</f>
        <v>98</v>
      </c>
      <c r="IB528" s="644">
        <f t="shared" si="1668"/>
        <v>329.03148439386234</v>
      </c>
      <c r="IC528" s="644">
        <f t="shared" si="1669"/>
        <v>432.27309212599994</v>
      </c>
      <c r="ID528" s="644">
        <f>IF(AND(INDEX(Input!$1:$1048576,IA$93,$C528*2+7)="TOS",Y528&lt;=INDEX(Y:Y,MATCH(C528*1000+2,A:A))),0,1)*MAX(IA528+HR528+HU528+HX528,0%)</f>
        <v>103.10976618893105</v>
      </c>
      <c r="IE528" s="128">
        <f t="shared" si="1738"/>
        <v>0.38064093587663611</v>
      </c>
      <c r="IF528" s="128">
        <f t="shared" si="1691"/>
        <v>0.50007626061756061</v>
      </c>
      <c r="IG528" s="128">
        <f t="shared" si="1646"/>
        <v>0.11928280350580323</v>
      </c>
      <c r="IH528" s="21"/>
      <c r="II528" s="19">
        <f t="shared" si="1647"/>
        <v>1200</v>
      </c>
      <c r="IJ528" s="19">
        <f t="shared" si="1648"/>
        <v>2231.5440334087361</v>
      </c>
      <c r="IK528" s="19">
        <f t="shared" si="1649"/>
        <v>-2048.0908300335955</v>
      </c>
      <c r="IL528" s="19">
        <f t="shared" si="1671"/>
        <v>400</v>
      </c>
      <c r="IM528" s="19">
        <f t="shared" si="1650"/>
        <v>1300.0131663501315</v>
      </c>
      <c r="IN528" s="19">
        <f t="shared" si="1651"/>
        <v>325</v>
      </c>
      <c r="IO528" s="39">
        <f t="shared" si="1652"/>
        <v>0</v>
      </c>
      <c r="IP528" s="39">
        <f t="shared" si="1653"/>
        <v>0</v>
      </c>
      <c r="IQ528" s="39">
        <f t="shared" si="1654"/>
        <v>0</v>
      </c>
      <c r="IR528" s="39">
        <v>0</v>
      </c>
      <c r="IS528" s="39">
        <v>0</v>
      </c>
      <c r="IT528" s="39">
        <v>0</v>
      </c>
      <c r="IU528" s="39">
        <v>0</v>
      </c>
      <c r="IV528" s="39">
        <v>0</v>
      </c>
      <c r="IW528" s="39">
        <v>0</v>
      </c>
      <c r="IX528" s="39">
        <f>INDEX(Input!$1:$1048576,IX$93,$C528*2+6)+INDEX(Input!$1:$1048576,IX$94,$C528*2+6)</f>
        <v>1600</v>
      </c>
      <c r="IY528" s="39">
        <f>INDEX(Input!$1:$1048576,IY$93,$C528*2+6)+INDEX(Input!$1:$1048576,IY$94,$C528*2+6)</f>
        <v>2503.5492916397525</v>
      </c>
      <c r="IZ528" s="39">
        <f>INDEX(Input!$1:$1048576,IZ$93,$C528*2+6)+INDEX(Input!$1:$1048576,IZ$94,$C528*2+6)</f>
        <v>5413.7109265464023</v>
      </c>
      <c r="JA528" s="19">
        <f t="shared" si="1672"/>
        <v>2000</v>
      </c>
      <c r="JB528" s="19">
        <f t="shared" si="1673"/>
        <v>3803.562457989884</v>
      </c>
      <c r="JC528" s="19">
        <f t="shared" si="1674"/>
        <v>5738.7109265464023</v>
      </c>
      <c r="JD528" s="19">
        <f t="shared" si="1675"/>
        <v>3347.8826905980313</v>
      </c>
      <c r="JE528" s="21"/>
      <c r="JF528" s="1">
        <f t="shared" si="1655"/>
        <v>6.2875001493236493E-2</v>
      </c>
      <c r="JG528" s="15">
        <f>INDEX(Input!$1:$1048576,JG$93,$C528*2+6)/(1+VLOOKUP(C528*1000+INDEX(Input!$1:$1048576,JG$93+1,$C528*2+6),$A:$KK,$JK$92,FALSE))</f>
        <v>742</v>
      </c>
      <c r="JH528" s="1">
        <f t="shared" si="1676"/>
        <v>7.1292803692830975E-2</v>
      </c>
      <c r="JI528" s="1">
        <f t="shared" si="1677"/>
        <v>9.3686094836540154E-2</v>
      </c>
      <c r="JJ528" s="1">
        <f t="shared" si="1715"/>
        <v>0</v>
      </c>
      <c r="JK528" s="1">
        <f t="shared" si="1719"/>
        <v>0.16497889852937114</v>
      </c>
      <c r="JL528" s="15">
        <f t="shared" si="1680"/>
        <v>122.41434270879338</v>
      </c>
      <c r="JM528" s="15">
        <f t="shared" si="1706"/>
        <v>864.41434270879336</v>
      </c>
      <c r="JN528" s="21"/>
      <c r="JO528" s="19">
        <f>INDEX(Input!$1:$1048576,JO$93,$C528*2+6)</f>
        <v>5908.5</v>
      </c>
      <c r="JP528" s="19">
        <f>INDEX(Input!$1:$1048576,JP$93,$C528*2+6)</f>
        <v>2467.7963733178344</v>
      </c>
      <c r="JQ528" s="39">
        <f t="shared" si="1692"/>
        <v>2560.6173094019687</v>
      </c>
      <c r="JR528" s="39">
        <f t="shared" si="1709"/>
        <v>880.08631728019691</v>
      </c>
      <c r="JS528" s="39">
        <f t="shared" si="1694"/>
        <v>2.8939578154594439</v>
      </c>
      <c r="JT528" s="39">
        <f t="shared" si="1682"/>
        <v>1.0628529064576107</v>
      </c>
      <c r="JU528" s="385">
        <f>(JQ528*JM528-INDEX(Input!$1:$1048576,Input!A$18,$C528*2+6)*JL528*INDEX(Input!$1:$1048576,Input!A$19,$C528*2+6))/1000000</f>
        <v>2.2134343284354614</v>
      </c>
      <c r="JV528" s="39">
        <f t="shared" si="1716"/>
        <v>-0.33956776256270516</v>
      </c>
      <c r="JW528" s="1">
        <f t="shared" si="1707"/>
        <v>-0.13300724028390504</v>
      </c>
      <c r="JX528" s="19">
        <f t="shared" si="1698"/>
        <v>8682.4213808506829</v>
      </c>
      <c r="JZ528" s="341"/>
      <c r="KA528" s="342"/>
      <c r="KB528" s="469">
        <f t="shared" si="1695"/>
        <v>2.4623520912331753</v>
      </c>
      <c r="KI528" s="473">
        <f t="shared" si="1722"/>
        <v>-15.968515606137657</v>
      </c>
      <c r="KJ528" s="473">
        <f t="shared" si="1723"/>
        <v>133.27309212599988</v>
      </c>
      <c r="KK528" s="473">
        <f t="shared" si="1684"/>
        <v>5.1097661889310473</v>
      </c>
      <c r="KN528" s="544">
        <f t="shared" si="1699"/>
        <v>5002</v>
      </c>
      <c r="KO528" s="541">
        <f t="shared" si="1659"/>
        <v>8.2479409916388358E-2</v>
      </c>
      <c r="KP528" s="546">
        <f t="shared" si="1660"/>
        <v>450.05761379620742</v>
      </c>
      <c r="KQ528" s="546">
        <f t="shared" si="1661"/>
        <v>489.11024444632221</v>
      </c>
      <c r="KR528" s="548">
        <f t="shared" si="1662"/>
        <v>3.0854763285667746</v>
      </c>
      <c r="KS528" s="548">
        <f t="shared" si="1663"/>
        <v>2.8391188482085519</v>
      </c>
      <c r="KT528" s="473">
        <f t="shared" si="1697"/>
        <v>389.37465324503302</v>
      </c>
      <c r="KU528" s="663">
        <f t="shared" si="1685"/>
        <v>7.1771110593490777</v>
      </c>
      <c r="KV528" s="117"/>
    </row>
    <row r="529" spans="1:308" s="26" customFormat="1" ht="15">
      <c r="A529" s="561">
        <f t="shared" si="1664"/>
        <v>5029</v>
      </c>
      <c r="B529" s="561">
        <f t="shared" si="1686"/>
        <v>29</v>
      </c>
      <c r="C529" s="561">
        <f t="shared" si="1687"/>
        <v>5</v>
      </c>
      <c r="D529" s="561" t="str">
        <f t="shared" si="1736"/>
        <v xml:space="preserve">-720 Lease, </v>
      </c>
      <c r="E529" s="475">
        <f>INDEX(Input!$1:$1048576,E$93,$C529*2+MIN($B529,2)+5)
+INDEX(Scenarios!E$121:E$200,MATCH($B529,Scenarios!$B$121:$B$200,0))</f>
        <v>1250</v>
      </c>
      <c r="F529" s="475">
        <f>INDEX(Input!$1:$1048576,F$93,$C529*2+MIN($B529,2)+5)
+INDEX(Scenarios!F$121:F$200,MATCH($B529,Scenarios!$B$121:$B$200,0))</f>
        <v>0</v>
      </c>
      <c r="G529" s="475">
        <f>INDEX(Input!$1:$1048576,G$93,$C529*2+MIN($B529,2)+5)
+INDEX(Scenarios!G$121:G$200,MATCH($B529,Scenarios!$B$121:$B$200,0))</f>
        <v>0</v>
      </c>
      <c r="H529" s="475">
        <f>INDEX(Input!$1:$1048576,H$93,$C529*2+MIN($B529,2)+5)
+INDEX(Scenarios!H$121:H$200,MATCH($B529,Scenarios!$B$121:$B$200,0))</f>
        <v>0</v>
      </c>
      <c r="I529" s="476">
        <f>INDEX(Input!$1:$1048576,I$93,$C529*2+MIN($B529,2)+5)</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+INDEX(Scenarios!Q$121:Q$200,MATCH($B529,Scenarios!$B$121:$B$200,0))</f>
        <v>0</v>
      </c>
      <c r="R529" s="478">
        <f>IFERROR(MAX(0,INDEX(Input!$1:$1048576,R$93,$C529*2+MIN($B529,2)+5)
+INDEX(Scenarios!R$121:R$200,MATCH($B529,Scenarios!$B$121:$B$200,0)),),"Market")</f>
        <v>0</v>
      </c>
      <c r="S529" s="478">
        <f>IFERROR(MAX(0,INDEX(Input!$1:$1048576,S$93,$C529*2+MIN($B529,2)+5)
+INDEX(Scenarios!S$121:S$200,MATCH($B529,Scenarios!$B$121:$B$200,0)),),"Market")</f>
        <v>0</v>
      </c>
      <c r="T529" s="478">
        <f>IFERROR(MAX(0,INDEX(Input!$1:$1048576,T$93,$C529*2+MIN($B529,2)+5)
+INDEX(Scenarios!T$121:T$200,MATCH($B529,Scenarios!$B$121:$B$200,0)),),"Market")</f>
        <v>0</v>
      </c>
      <c r="U529" s="478">
        <f>IFERROR(MAX(0,INDEX(Input!$1:$1048576,U$93,$C529*2+MIN($B529,2)+5)
+INDEX(Scenarios!U$121:U$200,MATCH($B529,Scenarios!$B$121:$B$200,0)),),"Market")</f>
        <v>0</v>
      </c>
      <c r="V529" s="478">
        <f>IFERROR(MAX(0,INDEX(Input!$1:$1048576,V$93,$C529*2+MIN($B529,2)+5)
+INDEX(Scenarios!V$121:V$200,MATCH($B529,Scenarios!$B$121:$B$200,0)),),"Market")</f>
        <v>1.9E-2</v>
      </c>
      <c r="W529" s="863">
        <f>IFERROR(MAX(0,INDEX(Input!$1:$1048576,W$93,$C529*2+MIN($B529,2)+5)-0%,),"Market")</f>
        <v>3.9E-2</v>
      </c>
      <c r="X529" s="476" t="str">
        <f>INDEX(Input!$1:$1048576,X$93,$C529*2+MIN($B529,2)+5)</f>
        <v>Y</v>
      </c>
      <c r="Y529" s="475">
        <f>INDEX(Input!$1:$1048576,Y$93,$C529*2+MIN($B529,2)+5)
++INDEX(Scenarios!Y$121:Y$200,MATCH($B529,Scenarios!$B$121:$B$200,0))</f>
        <v>-1818.3618966787526</v>
      </c>
      <c r="Z529" s="477">
        <f>INDEX(Input!$1:$1048576,Z$93,$C529*2+MIN($B529,2)+5)
+INDEX(Scenarios!Z$121:Z$200,MATCH($B529,Scenarios!$B$121:$B$200,0))</f>
        <v>0</v>
      </c>
      <c r="AA529" s="475">
        <f>INDEX(Input!$1:$1048576,AA$93,$C529*2+MIN($B529,2)+5)</f>
        <v>500</v>
      </c>
      <c r="AB529" s="476">
        <f>INDEX(Input!$1:$1048576,AB$93,$C529*2+MIN($B529,2)+5)</f>
        <v>0.43</v>
      </c>
      <c r="AC529" s="475">
        <f>INDEX(Input!$1:$1048576,AC$93,$C529*2+MIN($B529,2)+5)
+INDEX(Scenarios!AC$121:AC$200,MATCH($B529,Scenarios!$B$121:$B$200,0))</f>
        <v>0</v>
      </c>
      <c r="AD529" s="476">
        <f>INDEX(Input!$1:$1048576,AD$93,$C529*2+MIN($B529,2)+5)</f>
        <v>0.35</v>
      </c>
      <c r="AE529" s="475">
        <f>INDEX(Input!$1:$1048576,AE$93,$C529*2+MIN($B529,2)+5)
+INDEX(Scenarios!AE$121:AE$200,MATCH($B529,Scenarios!$B$121:$B$200,0))</f>
        <v>0</v>
      </c>
      <c r="AF529" s="476">
        <f>INDEX(Input!$1:$1048576,AF$93,$C529*2+MIN($B529,2)+5)</f>
        <v>1</v>
      </c>
      <c r="AG529" s="475">
        <f>INDEX(Input!$1:$1048576,AG$93,$C529*2+MIN($B529,2)+5)
+INDEX(Scenarios!AG$121:AG$200,MATCH($B529,Scenarios!$B$121:$B$200,0))</f>
        <v>0</v>
      </c>
      <c r="AH529" s="476">
        <f>INDEX(Input!$1:$1048576,AH$93,$C529*2+MIN($B529,2)+5)</f>
        <v>1</v>
      </c>
      <c r="AI529" s="475">
        <f>INDEX(Input!$1:$1048576,AI$93,$C529*2+MIN($B529,2)+5)
+INDEX(Scenarios!AI$121:AI$200,MATCH($B529,Scenarios!$B$121:$B$200,0))</f>
        <v>0</v>
      </c>
      <c r="AJ529" s="476">
        <f>INDEX(Input!$1:$1048576,AJ$93,$C529*2+MIN($B529,2)+5)</f>
        <v>0.35</v>
      </c>
      <c r="AK529" s="150">
        <f>ROUND(INDEX(Input!$1:$1048576,AK$93,$C528*2+MIN($B529,1)+5)+(Y529-VLOOKUP($C529*1000+1,$A:$HH,Y$92,FALSE)),0)</f>
        <v>3872</v>
      </c>
      <c r="AL529" s="150">
        <f>ROUND(INDEX(Input!$1:$1048576,AL$93,$C528*2+MIN($B529,1)+5)-(Y529-VLOOKUP($C529*1000+1,$A:$HH,Y$92,FALSE))/36,0)</f>
        <v>4763</v>
      </c>
      <c r="AM529" s="32" t="str">
        <f t="shared" si="1665"/>
        <v>std/std/std/std</v>
      </c>
      <c r="AN529" s="32" t="str">
        <f t="shared" si="1666"/>
        <v>$0 + 0/0/0/1.9/3.9</v>
      </c>
      <c r="AO529" s="32" t="str">
        <f t="shared" si="1667"/>
        <v>0/0/0/1.9/3.9</v>
      </c>
      <c r="AP529" s="32" t="str">
        <f t="shared" si="1621"/>
        <v>0/0.9/1.9/3.9</v>
      </c>
      <c r="AQ529" s="536">
        <f t="shared" si="1620"/>
        <v>0.48183181060849412</v>
      </c>
      <c r="AR529" s="32"/>
      <c r="AS529" s="302"/>
      <c r="AT529" s="3">
        <f t="shared" si="1688"/>
        <v>29</v>
      </c>
      <c r="AU529" s="41" t="s">
        <v>121</v>
      </c>
      <c r="AV529" s="41" t="s">
        <v>116</v>
      </c>
      <c r="AW529" s="41" t="str">
        <f>INDEX(Input!$1:$1048576,AW$93,$C529*2+6)</f>
        <v>Kia</v>
      </c>
      <c r="AX529" s="41" t="str">
        <f>INDEX(Input!$1:$1048576,AX$93,$C529*2+6)</f>
        <v>Kia-LR - R2</v>
      </c>
      <c r="AY529" s="41" t="str">
        <f>IF(LEN(D529)=0,"",INDEX(Input!$1:$1048576,AY$93,$C529*2+6))</f>
        <v>Compact Conventional/Sporty Car (43)</v>
      </c>
      <c r="AZ529" s="41" t="str">
        <f>INDEX(Input!$1:$1048576,AZ$93,$C529*2+6)</f>
        <v>Kia Forte</v>
      </c>
      <c r="BA529" s="3">
        <f>INDEX(Input!$1:$1048576,BA$93,$C529*2+6)</f>
        <v>2020</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19695</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622"/>
        <v>1250</v>
      </c>
      <c r="CJ529" s="16" t="str">
        <f>INDEX(Input!$1:$1048576,CJ$93,$C529*2+6)</f>
        <v>N</v>
      </c>
      <c r="CK529" s="1" t="str">
        <f t="shared" si="1623"/>
        <v>Market</v>
      </c>
      <c r="CL529" s="1" t="str">
        <f t="shared" si="1624"/>
        <v>Market</v>
      </c>
      <c r="CM529" s="1" t="str">
        <f t="shared" si="1625"/>
        <v>Market</v>
      </c>
      <c r="CN529" s="1" t="str">
        <f t="shared" si="1626"/>
        <v>Market</v>
      </c>
      <c r="CO529" s="1" t="str">
        <f t="shared" si="1627"/>
        <v>Market</v>
      </c>
      <c r="CP529" s="304">
        <f t="shared" si="1628"/>
        <v>215</v>
      </c>
      <c r="CQ529" s="1">
        <f t="shared" si="1629"/>
        <v>0</v>
      </c>
      <c r="CR529" s="1">
        <f t="shared" si="1630"/>
        <v>0</v>
      </c>
      <c r="CS529" s="1">
        <f t="shared" si="1631"/>
        <v>0</v>
      </c>
      <c r="CT529" s="1">
        <f t="shared" si="1632"/>
        <v>1.9E-2</v>
      </c>
      <c r="CU529" s="1">
        <f t="shared" si="1633"/>
        <v>3.9E-2</v>
      </c>
      <c r="CV529" s="304">
        <f t="shared" si="1634"/>
        <v>-1818.3618966787526</v>
      </c>
      <c r="CW529" s="20" t="s">
        <v>122</v>
      </c>
      <c r="CX529" s="20" t="s">
        <v>122</v>
      </c>
      <c r="CY529" s="20" t="s">
        <v>122</v>
      </c>
      <c r="CZ529" s="20" t="s">
        <v>122</v>
      </c>
      <c r="DA529" s="20" t="s">
        <v>122</v>
      </c>
      <c r="DB529" s="503">
        <f t="shared" si="1635"/>
        <v>0</v>
      </c>
      <c r="DC529" s="127">
        <v>0</v>
      </c>
      <c r="DD529" s="127">
        <v>0</v>
      </c>
      <c r="DE529" s="127">
        <v>0</v>
      </c>
      <c r="DF529" s="127">
        <v>0</v>
      </c>
      <c r="DG529" s="127">
        <v>0</v>
      </c>
      <c r="DH529" s="127">
        <v>0</v>
      </c>
      <c r="DI529" s="127">
        <v>0</v>
      </c>
      <c r="DJ529" s="127">
        <v>0</v>
      </c>
      <c r="DK529" s="127">
        <v>0</v>
      </c>
      <c r="DL529" s="127">
        <v>0</v>
      </c>
      <c r="DM529" s="304">
        <f>INDEX(Input!$1:$1048576,DM$93,$C529*2+6)</f>
        <v>20731.578947368424</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4.4483682930689022E-2</v>
      </c>
      <c r="DZ529" s="7">
        <v>0</v>
      </c>
      <c r="EA529" s="7">
        <v>0.78678585131736245</v>
      </c>
      <c r="EB529" s="7">
        <v>0</v>
      </c>
      <c r="EC529" s="7">
        <v>0</v>
      </c>
      <c r="ED529" s="7">
        <v>0</v>
      </c>
      <c r="EE529" s="7">
        <v>0</v>
      </c>
      <c r="EF529" s="7">
        <v>0</v>
      </c>
      <c r="EG529" s="7">
        <v>0</v>
      </c>
      <c r="EH529" s="7">
        <v>1.444908276521588E-2</v>
      </c>
      <c r="EI529" s="7">
        <v>1.8190832955808752E-2</v>
      </c>
      <c r="EJ529" s="7">
        <v>0.2677185960504031</v>
      </c>
      <c r="EK529" s="7">
        <v>0.65326703073391146</v>
      </c>
      <c r="EL529" s="7">
        <v>4.6374457494660674E-2</v>
      </c>
      <c r="EM529" s="7">
        <v>6.969844267475199E-2</v>
      </c>
      <c r="EN529" s="7">
        <v>4.6557570813567296E-2</v>
      </c>
      <c r="EO529" s="7">
        <v>0.58411330027076402</v>
      </c>
      <c r="EP529" s="7">
        <v>0.24831660111442194</v>
      </c>
      <c r="EQ529" s="7">
        <v>7.3569425146755102E-2</v>
      </c>
      <c r="ER529" s="7">
        <v>4.7443102654491635E-2</v>
      </c>
      <c r="ES529" s="7">
        <v>9.9032023077196676E-2</v>
      </c>
      <c r="ET529" s="7">
        <v>0.16873046575194861</v>
      </c>
      <c r="EU529" s="6">
        <v>1600</v>
      </c>
      <c r="EV529" s="6">
        <v>0</v>
      </c>
      <c r="EW529" s="6">
        <v>1600</v>
      </c>
      <c r="EX529" s="6">
        <v>0</v>
      </c>
      <c r="EY529" s="6">
        <v>2631.6084761212978</v>
      </c>
      <c r="EZ529" s="6">
        <v>-2443.0908300335955</v>
      </c>
      <c r="FA529" s="6">
        <v>0</v>
      </c>
      <c r="FB529" s="6">
        <v>0</v>
      </c>
      <c r="FC529" s="6">
        <v>0</v>
      </c>
      <c r="FD529" s="6">
        <v>0</v>
      </c>
      <c r="FE529" s="6">
        <v>0</v>
      </c>
      <c r="FF529" s="6">
        <v>0</v>
      </c>
      <c r="FG529" s="6">
        <v>0</v>
      </c>
      <c r="FH529" s="6">
        <v>1153.9894390571765</v>
      </c>
      <c r="FI529" s="6">
        <v>1531.4299904380621</v>
      </c>
      <c r="FJ529" s="6">
        <v>2070.7205842538224</v>
      </c>
      <c r="FK529" s="6">
        <v>1746.9903521590441</v>
      </c>
      <c r="FL529" s="6">
        <v>893.91433563489329</v>
      </c>
      <c r="FM529" s="6">
        <v>1781.6084761212976</v>
      </c>
      <c r="FN529" s="6">
        <v>0</v>
      </c>
      <c r="FO529" s="6">
        <v>0</v>
      </c>
      <c r="FP529" s="6">
        <v>0</v>
      </c>
      <c r="FQ529" s="6">
        <v>0</v>
      </c>
      <c r="FR529" s="6">
        <v>0</v>
      </c>
      <c r="FS529" s="6">
        <v>0</v>
      </c>
      <c r="FT529" s="7">
        <v>0.8312695342480515</v>
      </c>
      <c r="FU529" s="7">
        <v>6.969844267475199E-2</v>
      </c>
      <c r="FV529" s="7">
        <v>9.9032023077196676E-2</v>
      </c>
      <c r="FW529" s="6">
        <v>1599.9999999999998</v>
      </c>
      <c r="FX529" s="6">
        <v>2631.6084761212978</v>
      </c>
      <c r="FY529" s="6">
        <v>-2443.0908300335955</v>
      </c>
      <c r="FZ529" s="6">
        <v>2411.9063952864503</v>
      </c>
      <c r="GA529" s="6">
        <v>1271.5060398526393</v>
      </c>
      <c r="GB529" s="6">
        <v>18423.49396014736</v>
      </c>
      <c r="GC529" s="7">
        <v>7.6138913542514425E-2</v>
      </c>
      <c r="GD529" s="7">
        <v>6.5488130514333512E-2</v>
      </c>
      <c r="GE529" s="7"/>
      <c r="GF529" s="7"/>
      <c r="GG529" s="7">
        <v>-0.13988619659293841</v>
      </c>
      <c r="GH529" s="42">
        <v>2.4158696801264075</v>
      </c>
      <c r="GI529" s="6">
        <v>9423.8497535952993</v>
      </c>
      <c r="GJ529" s="14">
        <v>0.51074630601039561</v>
      </c>
      <c r="GK529" s="14">
        <v>0.50829519786160982</v>
      </c>
      <c r="GL529" s="14">
        <v>0.48925369398960478</v>
      </c>
      <c r="GM529" s="14">
        <v>0.4917048021383903</v>
      </c>
      <c r="GO529" s="5">
        <v>338.16872463277008</v>
      </c>
      <c r="GP529" s="5">
        <v>307.64377699166363</v>
      </c>
      <c r="GQ529" s="5">
        <v>527.27910984145694</v>
      </c>
      <c r="GR529" s="5">
        <v>404.20319246551543</v>
      </c>
      <c r="GS529" s="5">
        <v>334.50205195691484</v>
      </c>
      <c r="GT529" s="5">
        <v>289.18266033348181</v>
      </c>
      <c r="GU529" s="5">
        <v>254.29573314828914</v>
      </c>
      <c r="GV529" s="39" t="s">
        <v>392</v>
      </c>
      <c r="GW529" s="5">
        <v>468.76388888888891</v>
      </c>
      <c r="GX529" s="5">
        <v>351.57291666666669</v>
      </c>
      <c r="GY529" s="5">
        <v>281.25833333333333</v>
      </c>
      <c r="GZ529" s="5">
        <v>248.18079879493993</v>
      </c>
      <c r="HA529" s="5">
        <v>229.8919505212948</v>
      </c>
      <c r="HB529" s="39">
        <v>261.25614655600128</v>
      </c>
      <c r="HC529" s="5">
        <v>390.00084881396981</v>
      </c>
      <c r="HD529" s="5">
        <v>309.27900980034525</v>
      </c>
      <c r="HE529" s="5">
        <v>305.19941007355283</v>
      </c>
      <c r="HF529" s="5">
        <v>274.19964978663216</v>
      </c>
      <c r="HG529" s="5">
        <v>254.40084178617022</v>
      </c>
      <c r="HH529" s="39">
        <v>306.8398312890472</v>
      </c>
      <c r="HI529" s="16"/>
      <c r="HJ529" s="19" t="str">
        <f t="shared" si="1737"/>
        <v>On</v>
      </c>
      <c r="HK529" s="1" t="str">
        <f t="shared" si="1737"/>
        <v>On</v>
      </c>
      <c r="HL529" s="16"/>
      <c r="HM529" s="639">
        <f t="shared" si="1636"/>
        <v>5.1181272167489952E-2</v>
      </c>
      <c r="HN529" s="639">
        <f t="shared" si="1637"/>
        <v>4.2792051795134348E-3</v>
      </c>
      <c r="HO529" s="639">
        <f t="shared" si="1638"/>
        <v>7.4145241462331068E-3</v>
      </c>
      <c r="HP529" s="644">
        <f>(FT529*$GD529-HM529)/$JF529*INDEX(Input!$1:$1048576,$JG$93,$C529*2+6)</f>
        <v>38.436668085649842</v>
      </c>
      <c r="HQ529" s="644">
        <f>(FU529*$GD529-HN529)/$JF529*INDEX(Input!$1:$1048576,$JG$93,$C529*2+6)</f>
        <v>3.3658834033907699</v>
      </c>
      <c r="HR529" s="644">
        <f>(FV529*$GD529-HO529)/$JF529*INDEX(Input!$1:$1048576,$JG$93,$C529*2+6)</f>
        <v>-10.964512719966921</v>
      </c>
      <c r="HS529" s="644">
        <f t="shared" si="1639"/>
        <v>-7.4966057979128289</v>
      </c>
      <c r="HT529" s="644">
        <f t="shared" si="1640"/>
        <v>20.982683620973063</v>
      </c>
      <c r="HU529" s="644">
        <f t="shared" si="1641"/>
        <v>-6.0932268694917937</v>
      </c>
      <c r="HV529" s="648">
        <f t="shared" si="1642"/>
        <v>0</v>
      </c>
      <c r="HW529" s="648">
        <f t="shared" si="1643"/>
        <v>0</v>
      </c>
      <c r="HX529" s="648">
        <f t="shared" si="1644"/>
        <v>0</v>
      </c>
      <c r="HY529" s="644">
        <f>INDEX(Input!$1:$1048576,HY$93,$C529*2+6)*INDEX(Input!$1:$1048576,$JG$93,$C529*2+6)</f>
        <v>345</v>
      </c>
      <c r="HZ529" s="644">
        <f>INDEX(Input!$1:$1048576,HZ$93,$C529*2+6)*INDEX(Input!$1:$1048576,$JG$93,$C529*2+6)</f>
        <v>299</v>
      </c>
      <c r="IA529" s="644">
        <f>INDEX(Input!$1:$1048576,IA$93,$C529*2+6)*INDEX(Input!$1:$1048576,$JG$93,$C529*2+6)</f>
        <v>98</v>
      </c>
      <c r="IB529" s="644">
        <f t="shared" si="1668"/>
        <v>375.94006228773696</v>
      </c>
      <c r="IC529" s="644">
        <f t="shared" si="1669"/>
        <v>323.34856702436389</v>
      </c>
      <c r="ID529" s="644">
        <f>IF(AND(INDEX(Input!$1:$1048576,IA$93,$C529*2+7)="TOS",Y529&lt;=INDEX(Y:Y,MATCH(C529*1000+2,A:A))),0,1)*MAX(IA529+HR529+HU529+HX529,0%)</f>
        <v>80.94226041054128</v>
      </c>
      <c r="IE529" s="128">
        <f t="shared" si="1738"/>
        <v>0.48183181060849412</v>
      </c>
      <c r="IF529" s="128">
        <f t="shared" si="1691"/>
        <v>0.41442676941348527</v>
      </c>
      <c r="IG529" s="128">
        <f t="shared" si="1646"/>
        <v>0.10374141997802058</v>
      </c>
      <c r="IH529" s="21"/>
      <c r="II529" s="19">
        <f t="shared" si="1647"/>
        <v>1200</v>
      </c>
      <c r="IJ529" s="19">
        <f t="shared" si="1648"/>
        <v>2231.5440334087361</v>
      </c>
      <c r="IK529" s="19">
        <f t="shared" si="1649"/>
        <v>-2048.0908300335955</v>
      </c>
      <c r="IL529" s="19">
        <f t="shared" si="1671"/>
        <v>399.99999999999977</v>
      </c>
      <c r="IM529" s="19">
        <f t="shared" si="1650"/>
        <v>400.06444271256169</v>
      </c>
      <c r="IN529" s="19">
        <f t="shared" si="1651"/>
        <v>-395</v>
      </c>
      <c r="IO529" s="39">
        <f t="shared" si="1652"/>
        <v>0</v>
      </c>
      <c r="IP529" s="39">
        <f t="shared" si="1653"/>
        <v>0</v>
      </c>
      <c r="IQ529" s="39">
        <f t="shared" si="1654"/>
        <v>0</v>
      </c>
      <c r="IR529" s="39">
        <v>0</v>
      </c>
      <c r="IS529" s="39">
        <v>0</v>
      </c>
      <c r="IT529" s="39">
        <v>0</v>
      </c>
      <c r="IU529" s="39">
        <v>0</v>
      </c>
      <c r="IV529" s="39">
        <v>0</v>
      </c>
      <c r="IW529" s="39">
        <v>0</v>
      </c>
      <c r="IX529" s="39">
        <f>INDEX(Input!$1:$1048576,IX$93,$C529*2+6)+INDEX(Input!$1:$1048576,IX$94,$C529*2+6)</f>
        <v>1600</v>
      </c>
      <c r="IY529" s="39">
        <f>INDEX(Input!$1:$1048576,IY$93,$C529*2+6)+INDEX(Input!$1:$1048576,IY$94,$C529*2+6)</f>
        <v>2503.5492916397525</v>
      </c>
      <c r="IZ529" s="39">
        <f>INDEX(Input!$1:$1048576,IZ$93,$C529*2+6)+INDEX(Input!$1:$1048576,IZ$94,$C529*2+6)</f>
        <v>5413.7109265464023</v>
      </c>
      <c r="JA529" s="19">
        <f t="shared" si="1672"/>
        <v>1999.9999999999998</v>
      </c>
      <c r="JB529" s="19">
        <f t="shared" si="1673"/>
        <v>2903.6137343523142</v>
      </c>
      <c r="JC529" s="19">
        <f t="shared" si="1674"/>
        <v>5018.7109265464023</v>
      </c>
      <c r="JD529" s="19">
        <f t="shared" si="1675"/>
        <v>2687.6470787483745</v>
      </c>
      <c r="JE529" s="21"/>
      <c r="JF529" s="1">
        <f t="shared" si="1655"/>
        <v>6.2875001493236493E-2</v>
      </c>
      <c r="JG529" s="15">
        <f>INDEX(Input!$1:$1048576,JG$93,$C529*2+6)/(1+VLOOKUP(C529*1000+INDEX(Input!$1:$1048576,JG$93+1,$C529*2+6),$A:$KK,$JK$92,FALSE))</f>
        <v>742</v>
      </c>
      <c r="JH529" s="1">
        <f t="shared" si="1676"/>
        <v>4.1560699149694999E-2</v>
      </c>
      <c r="JI529" s="1">
        <f t="shared" si="1677"/>
        <v>9.9634109886367131E-3</v>
      </c>
      <c r="JJ529" s="1">
        <f t="shared" si="1715"/>
        <v>0</v>
      </c>
      <c r="JK529" s="1">
        <f t="shared" si="1719"/>
        <v>5.1524110138331712E-2</v>
      </c>
      <c r="JL529" s="15">
        <f t="shared" si="1680"/>
        <v>38.230889722642132</v>
      </c>
      <c r="JM529" s="15">
        <f t="shared" si="1706"/>
        <v>780.23088972264213</v>
      </c>
      <c r="JN529" s="21"/>
      <c r="JO529" s="19">
        <f>INDEX(Input!$1:$1048576,JO$93,$C529*2+6)</f>
        <v>5908.5</v>
      </c>
      <c r="JP529" s="19">
        <f>INDEX(Input!$1:$1048576,JP$93,$C529*2+6)</f>
        <v>2467.7963733178344</v>
      </c>
      <c r="JQ529" s="39">
        <f t="shared" si="1692"/>
        <v>3220.8529212516255</v>
      </c>
      <c r="JR529" s="39">
        <f t="shared" si="1709"/>
        <v>219.85070543054007</v>
      </c>
      <c r="JS529" s="39">
        <f t="shared" si="1694"/>
        <v>2.0969852715123043</v>
      </c>
      <c r="JT529" s="39">
        <f t="shared" si="1682"/>
        <v>0.26588036251047115</v>
      </c>
      <c r="JU529" s="385">
        <f>(JQ529*JM529-INDEX(Input!$1:$1048576,Input!A$18,$C529*2+6)*JL529*INDEX(Input!$1:$1048576,Input!A$19,$C529*2+6))/1000000</f>
        <v>2.5130089404139269</v>
      </c>
      <c r="JV529" s="39">
        <f t="shared" si="1716"/>
        <v>-3.9993150584239689E-2</v>
      </c>
      <c r="JW529" s="1">
        <f t="shared" si="1707"/>
        <v>-1.5665146035428144E-2</v>
      </c>
      <c r="JX529" s="19">
        <f t="shared" si="1698"/>
        <v>6954.5952092504995</v>
      </c>
      <c r="JZ529" s="341"/>
      <c r="KA529" s="342"/>
      <c r="KB529" s="469">
        <f t="shared" si="1695"/>
        <v>2.4623520912331753</v>
      </c>
      <c r="KI529" s="473">
        <f t="shared" si="1722"/>
        <v>30.940062287736964</v>
      </c>
      <c r="KJ529" s="473">
        <f t="shared" si="1723"/>
        <v>24.348567024363888</v>
      </c>
      <c r="KK529" s="473">
        <f t="shared" si="1684"/>
        <v>-17.05773958945872</v>
      </c>
      <c r="KN529" s="544">
        <f t="shared" si="1699"/>
        <v>5002</v>
      </c>
      <c r="KO529" s="541">
        <f t="shared" si="1659"/>
        <v>-2.2940930782275992E-2</v>
      </c>
      <c r="KP529" s="546">
        <f t="shared" si="1660"/>
        <v>-74.681705289531024</v>
      </c>
      <c r="KQ529" s="546">
        <f t="shared" si="1661"/>
        <v>-171.12536740333462</v>
      </c>
      <c r="KR529" s="548">
        <f t="shared" si="1662"/>
        <v>5.1717984940232062</v>
      </c>
      <c r="KS529" s="548">
        <f t="shared" si="1663"/>
        <v>2.2570512882355693</v>
      </c>
      <c r="KT529" s="473">
        <f t="shared" si="1697"/>
        <v>389.37465324503302</v>
      </c>
      <c r="KU529" s="663">
        <f t="shared" si="1685"/>
        <v>7.3558832237704648</v>
      </c>
      <c r="KV529" s="117"/>
    </row>
    <row r="530" spans="1:308" s="26" customFormat="1" ht="15">
      <c r="A530" s="561">
        <f t="shared" si="1664"/>
        <v>5030</v>
      </c>
      <c r="B530" s="561">
        <f t="shared" si="1686"/>
        <v>30</v>
      </c>
      <c r="C530" s="561">
        <f t="shared" si="1687"/>
        <v>5</v>
      </c>
      <c r="D530" s="561" t="str">
        <f t="shared" si="1736"/>
        <v xml:space="preserve">1080 Lease, </v>
      </c>
      <c r="E530" s="475">
        <f>INDEX(Input!$1:$1048576,E$93,$C530*2+MIN($B530,2)+5)
+INDEX(Scenarios!E$121:E$200,MATCH($B530,Scenarios!$B$121:$B$200,0))</f>
        <v>1250</v>
      </c>
      <c r="F530" s="475">
        <f>INDEX(Input!$1:$1048576,F$93,$C530*2+MIN($B530,2)+5)
+INDEX(Scenarios!F$121:F$200,MATCH($B530,Scenarios!$B$121:$B$200,0))</f>
        <v>0</v>
      </c>
      <c r="G530" s="475">
        <f>INDEX(Input!$1:$1048576,G$93,$C530*2+MIN($B530,2)+5)
+INDEX(Scenarios!G$121:G$200,MATCH($B530,Scenarios!$B$121:$B$200,0))</f>
        <v>0</v>
      </c>
      <c r="H530" s="475">
        <f>INDEX(Input!$1:$1048576,H$93,$C530*2+MIN($B530,2)+5)
+INDEX(Scenarios!H$121:H$200,MATCH($B530,Scenarios!$B$121:$B$200,0))</f>
        <v>0</v>
      </c>
      <c r="I530" s="476">
        <f>INDEX(Input!$1:$1048576,I$93,$C530*2+MIN($B530,2)+5)</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+INDEX(Scenarios!Q$121:Q$200,MATCH($B530,Scenarios!$B$121:$B$200,0))</f>
        <v>0</v>
      </c>
      <c r="R530" s="478">
        <f>IFERROR(MAX(0,INDEX(Input!$1:$1048576,R$93,$C530*2+MIN($B530,2)+5)
+INDEX(Scenarios!R$121:R$200,MATCH($B530,Scenarios!$B$121:$B$200,0)),),"Market")</f>
        <v>0</v>
      </c>
      <c r="S530" s="478">
        <f>IFERROR(MAX(0,INDEX(Input!$1:$1048576,S$93,$C530*2+MIN($B530,2)+5)
+INDEX(Scenarios!S$121:S$200,MATCH($B530,Scenarios!$B$121:$B$200,0)),),"Market")</f>
        <v>0</v>
      </c>
      <c r="T530" s="478">
        <f>IFERROR(MAX(0,INDEX(Input!$1:$1048576,T$93,$C530*2+MIN($B530,2)+5)
+INDEX(Scenarios!T$121:T$200,MATCH($B530,Scenarios!$B$121:$B$200,0)),),"Market")</f>
        <v>0</v>
      </c>
      <c r="U530" s="478">
        <f>IFERROR(MAX(0,INDEX(Input!$1:$1048576,U$93,$C530*2+MIN($B530,2)+5)
+INDEX(Scenarios!U$121:U$200,MATCH($B530,Scenarios!$B$121:$B$200,0)),),"Market")</f>
        <v>0</v>
      </c>
      <c r="V530" s="478">
        <f>IFERROR(MAX(0,INDEX(Input!$1:$1048576,V$93,$C530*2+MIN($B530,2)+5)
+INDEX(Scenarios!V$121:V$200,MATCH($B530,Scenarios!$B$121:$B$200,0)),),"Market")</f>
        <v>1.9E-2</v>
      </c>
      <c r="W530" s="863">
        <f>IFERROR(MAX(0,INDEX(Input!$1:$1048576,W$93,$C530*2+MIN($B530,2)+5)-0%,),"Market")</f>
        <v>3.9E-2</v>
      </c>
      <c r="X530" s="476" t="str">
        <f>INDEX(Input!$1:$1048576,X$93,$C530*2+MIN($B530,2)+5)</f>
        <v>Y</v>
      </c>
      <c r="Y530" s="475">
        <f>INDEX(Input!$1:$1048576,Y$93,$C530*2+MIN($B530,2)+5)
++INDEX(Scenarios!Y$121:Y$200,MATCH($B530,Scenarios!$B$121:$B$200,0))</f>
        <v>-18.361896678752601</v>
      </c>
      <c r="Z530" s="477">
        <f>INDEX(Input!$1:$1048576,Z$93,$C530*2+MIN($B530,2)+5)
+INDEX(Scenarios!Z$121:Z$200,MATCH($B530,Scenarios!$B$121:$B$200,0))</f>
        <v>0</v>
      </c>
      <c r="AA530" s="475">
        <f>INDEX(Input!$1:$1048576,AA$93,$C530*2+MIN($B530,2)+5)</f>
        <v>500</v>
      </c>
      <c r="AB530" s="476">
        <f>INDEX(Input!$1:$1048576,AB$93,$C530*2+MIN($B530,2)+5)</f>
        <v>0.43</v>
      </c>
      <c r="AC530" s="475">
        <f>INDEX(Input!$1:$1048576,AC$93,$C530*2+MIN($B530,2)+5)
+INDEX(Scenarios!AC$121:AC$200,MATCH($B530,Scenarios!$B$121:$B$200,0))</f>
        <v>0</v>
      </c>
      <c r="AD530" s="476">
        <f>INDEX(Input!$1:$1048576,AD$93,$C530*2+MIN($B530,2)+5)</f>
        <v>0.35</v>
      </c>
      <c r="AE530" s="475">
        <f>INDEX(Input!$1:$1048576,AE$93,$C530*2+MIN($B530,2)+5)
+INDEX(Scenarios!AE$121:AE$200,MATCH($B530,Scenarios!$B$121:$B$200,0))</f>
        <v>0</v>
      </c>
      <c r="AF530" s="476">
        <f>INDEX(Input!$1:$1048576,AF$93,$C530*2+MIN($B530,2)+5)</f>
        <v>1</v>
      </c>
      <c r="AG530" s="475">
        <f>INDEX(Input!$1:$1048576,AG$93,$C530*2+MIN($B530,2)+5)
+INDEX(Scenarios!AG$121:AG$200,MATCH($B530,Scenarios!$B$121:$B$200,0))</f>
        <v>0</v>
      </c>
      <c r="AH530" s="476">
        <f>INDEX(Input!$1:$1048576,AH$93,$C530*2+MIN($B530,2)+5)</f>
        <v>1</v>
      </c>
      <c r="AI530" s="475">
        <f>INDEX(Input!$1:$1048576,AI$93,$C530*2+MIN($B530,2)+5)
+INDEX(Scenarios!AI$121:AI$200,MATCH($B530,Scenarios!$B$121:$B$200,0))</f>
        <v>0</v>
      </c>
      <c r="AJ530" s="476">
        <f>INDEX(Input!$1:$1048576,AJ$93,$C530*2+MIN($B530,2)+5)</f>
        <v>0.35</v>
      </c>
      <c r="AK530" s="150">
        <f>ROUND(INDEX(Input!$1:$1048576,AK$93,$C529*2+MIN($B530,1)+5)+(Y530-VLOOKUP($C530*1000+1,$A:$HH,Y$92,FALSE)),0)</f>
        <v>5672</v>
      </c>
      <c r="AL530" s="150">
        <f>ROUND(INDEX(Input!$1:$1048576,AL$93,$C529*2+MIN($B530,1)+5)-(Y530-VLOOKUP($C530*1000+1,$A:$HH,Y$92,FALSE))/36,0)</f>
        <v>4713</v>
      </c>
      <c r="AM530" s="32" t="str">
        <f t="shared" si="1665"/>
        <v>std/std/std/std</v>
      </c>
      <c r="AN530" s="32" t="str">
        <f t="shared" si="1666"/>
        <v>$0 + 0/0/0/1.9/3.9</v>
      </c>
      <c r="AO530" s="32" t="str">
        <f t="shared" si="1667"/>
        <v>0/0/0/1.9/3.9</v>
      </c>
      <c r="AP530" s="32" t="str">
        <f t="shared" si="1621"/>
        <v>0/0.9/1.9/3.9</v>
      </c>
      <c r="AQ530" s="536">
        <f t="shared" si="1620"/>
        <v>0.43455773686179844</v>
      </c>
      <c r="AR530" s="32"/>
      <c r="AS530" s="302"/>
      <c r="AT530" s="3">
        <f t="shared" si="1688"/>
        <v>30</v>
      </c>
      <c r="AU530" s="41" t="s">
        <v>121</v>
      </c>
      <c r="AV530" s="41" t="s">
        <v>116</v>
      </c>
      <c r="AW530" s="41" t="str">
        <f>INDEX(Input!$1:$1048576,AW$93,$C530*2+6)</f>
        <v>Kia</v>
      </c>
      <c r="AX530" s="41" t="str">
        <f>INDEX(Input!$1:$1048576,AX$93,$C530*2+6)</f>
        <v>Kia-LR - R2</v>
      </c>
      <c r="AY530" s="41" t="str">
        <f>IF(LEN(D530)=0,"",INDEX(Input!$1:$1048576,AY$93,$C530*2+6))</f>
        <v>Compact Conventional/Sporty Car (43)</v>
      </c>
      <c r="AZ530" s="41" t="str">
        <f>INDEX(Input!$1:$1048576,AZ$93,$C530*2+6)</f>
        <v>Kia Forte</v>
      </c>
      <c r="BA530" s="3">
        <f>INDEX(Input!$1:$1048576,BA$93,$C530*2+6)</f>
        <v>2020</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19695</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622"/>
        <v>1250</v>
      </c>
      <c r="CJ530" s="16" t="str">
        <f>INDEX(Input!$1:$1048576,CJ$93,$C530*2+6)</f>
        <v>N</v>
      </c>
      <c r="CK530" s="1" t="str">
        <f t="shared" si="1623"/>
        <v>Market</v>
      </c>
      <c r="CL530" s="1" t="str">
        <f t="shared" si="1624"/>
        <v>Market</v>
      </c>
      <c r="CM530" s="1" t="str">
        <f t="shared" si="1625"/>
        <v>Market</v>
      </c>
      <c r="CN530" s="1" t="str">
        <f t="shared" si="1626"/>
        <v>Market</v>
      </c>
      <c r="CO530" s="1" t="str">
        <f t="shared" si="1627"/>
        <v>Market</v>
      </c>
      <c r="CP530" s="304">
        <f t="shared" si="1628"/>
        <v>215</v>
      </c>
      <c r="CQ530" s="1">
        <f t="shared" si="1629"/>
        <v>0</v>
      </c>
      <c r="CR530" s="1">
        <f t="shared" si="1630"/>
        <v>0</v>
      </c>
      <c r="CS530" s="1">
        <f t="shared" si="1631"/>
        <v>0</v>
      </c>
      <c r="CT530" s="1">
        <f t="shared" si="1632"/>
        <v>1.9E-2</v>
      </c>
      <c r="CU530" s="1">
        <f t="shared" si="1633"/>
        <v>3.9E-2</v>
      </c>
      <c r="CV530" s="304">
        <f t="shared" si="1634"/>
        <v>-18.361896678752601</v>
      </c>
      <c r="CW530" s="20" t="s">
        <v>122</v>
      </c>
      <c r="CX530" s="20" t="s">
        <v>122</v>
      </c>
      <c r="CY530" s="20" t="s">
        <v>122</v>
      </c>
      <c r="CZ530" s="20" t="s">
        <v>122</v>
      </c>
      <c r="DA530" s="20" t="s">
        <v>122</v>
      </c>
      <c r="DB530" s="503">
        <f t="shared" si="1635"/>
        <v>0</v>
      </c>
      <c r="DC530" s="127">
        <v>0</v>
      </c>
      <c r="DD530" s="127">
        <v>0</v>
      </c>
      <c r="DE530" s="127">
        <v>0</v>
      </c>
      <c r="DF530" s="127">
        <v>0</v>
      </c>
      <c r="DG530" s="127">
        <v>0</v>
      </c>
      <c r="DH530" s="127">
        <v>0</v>
      </c>
      <c r="DI530" s="127">
        <v>0</v>
      </c>
      <c r="DJ530" s="127">
        <v>0</v>
      </c>
      <c r="DK530" s="127">
        <v>0</v>
      </c>
      <c r="DL530" s="127">
        <v>0</v>
      </c>
      <c r="DM530" s="304">
        <f>INDEX(Input!$1:$1048576,DM$93,$C530*2+6)</f>
        <v>20731.578947368424</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4.2502978154565441E-2</v>
      </c>
      <c r="DZ530" s="7">
        <v>0</v>
      </c>
      <c r="EA530" s="7">
        <v>0.75183133167246086</v>
      </c>
      <c r="EB530" s="7">
        <v>0</v>
      </c>
      <c r="EC530" s="7">
        <v>0</v>
      </c>
      <c r="ED530" s="7">
        <v>0</v>
      </c>
      <c r="EE530" s="7">
        <v>0</v>
      </c>
      <c r="EF530" s="7">
        <v>0</v>
      </c>
      <c r="EG530" s="7">
        <v>0</v>
      </c>
      <c r="EH530" s="7">
        <v>1.443918923527991E-2</v>
      </c>
      <c r="EI530" s="7">
        <v>1.8185567745785655E-2</v>
      </c>
      <c r="EJ530" s="7">
        <v>0.26746109642183008</v>
      </c>
      <c r="EK530" s="7">
        <v>0.65353063951846857</v>
      </c>
      <c r="EL530" s="7">
        <v>4.6383507078635922E-2</v>
      </c>
      <c r="EM530" s="7">
        <v>6.6328807453450628E-2</v>
      </c>
      <c r="EN530" s="7">
        <v>4.8827664955569755E-2</v>
      </c>
      <c r="EO530" s="7">
        <v>0.58014217234476551</v>
      </c>
      <c r="EP530" s="7">
        <v>0.25541202190165718</v>
      </c>
      <c r="EQ530" s="7">
        <v>7.0016998032404659E-2</v>
      </c>
      <c r="ER530" s="7">
        <v>4.5601142765603529E-2</v>
      </c>
      <c r="ES530" s="7">
        <v>0.13933688271952302</v>
      </c>
      <c r="ET530" s="7">
        <v>0.20566569017297362</v>
      </c>
      <c r="EU530" s="6">
        <v>1600</v>
      </c>
      <c r="EV530" s="6">
        <v>0</v>
      </c>
      <c r="EW530" s="6">
        <v>1600</v>
      </c>
      <c r="EX530" s="6">
        <v>0</v>
      </c>
      <c r="EY530" s="6">
        <v>2631.5243214842194</v>
      </c>
      <c r="EZ530" s="6">
        <v>-643.09083003359547</v>
      </c>
      <c r="FA530" s="6">
        <v>0</v>
      </c>
      <c r="FB530" s="6">
        <v>0</v>
      </c>
      <c r="FC530" s="6">
        <v>0</v>
      </c>
      <c r="FD530" s="6">
        <v>0</v>
      </c>
      <c r="FE530" s="6">
        <v>0</v>
      </c>
      <c r="FF530" s="6">
        <v>0</v>
      </c>
      <c r="FG530" s="6">
        <v>0</v>
      </c>
      <c r="FH530" s="6">
        <v>1153.9841698990876</v>
      </c>
      <c r="FI530" s="6">
        <v>1531.4299904380618</v>
      </c>
      <c r="FJ530" s="6">
        <v>2070.720584253821</v>
      </c>
      <c r="FK530" s="6">
        <v>1746.9903521590441</v>
      </c>
      <c r="FL530" s="6">
        <v>893.91433563489386</v>
      </c>
      <c r="FM530" s="6">
        <v>1781.5243214842192</v>
      </c>
      <c r="FN530" s="6">
        <v>0</v>
      </c>
      <c r="FO530" s="6">
        <v>0</v>
      </c>
      <c r="FP530" s="6">
        <v>0</v>
      </c>
      <c r="FQ530" s="6">
        <v>0</v>
      </c>
      <c r="FR530" s="6">
        <v>0</v>
      </c>
      <c r="FS530" s="6">
        <v>0</v>
      </c>
      <c r="FT530" s="7">
        <v>0.79433430982702635</v>
      </c>
      <c r="FU530" s="7">
        <v>6.6328807453450628E-2</v>
      </c>
      <c r="FV530" s="7">
        <v>0.13933688271952302</v>
      </c>
      <c r="FW530" s="6">
        <v>1600</v>
      </c>
      <c r="FX530" s="6">
        <v>2631.5243214842194</v>
      </c>
      <c r="FY530" s="6">
        <v>-643.09083003359547</v>
      </c>
      <c r="FZ530" s="6">
        <v>2411.9063952864503</v>
      </c>
      <c r="GA530" s="6">
        <v>1355.8744941896493</v>
      </c>
      <c r="GB530" s="6">
        <v>18339.125505810349</v>
      </c>
      <c r="GC530" s="7">
        <v>7.6138913542514425E-2</v>
      </c>
      <c r="GD530" s="7">
        <v>6.6823849238925315E-2</v>
      </c>
      <c r="GE530" s="7"/>
      <c r="GF530" s="7"/>
      <c r="GG530" s="7">
        <v>-0.12234301581395389</v>
      </c>
      <c r="GH530" s="42">
        <v>2.2816978293489556</v>
      </c>
      <c r="GI530" s="6">
        <v>9987.6046675139769</v>
      </c>
      <c r="GJ530" s="14">
        <v>0.51074630601039583</v>
      </c>
      <c r="GK530" s="14">
        <v>0.50829519786160959</v>
      </c>
      <c r="GL530" s="14">
        <v>0.48925369398960439</v>
      </c>
      <c r="GM530" s="14">
        <v>0.49170480213839041</v>
      </c>
      <c r="GO530" s="5">
        <v>338.16872463277008</v>
      </c>
      <c r="GP530" s="5">
        <v>307.64377699166363</v>
      </c>
      <c r="GQ530" s="5">
        <v>527.27910984145694</v>
      </c>
      <c r="GR530" s="5">
        <v>404.20319246551543</v>
      </c>
      <c r="GS530" s="5">
        <v>334.50205195691484</v>
      </c>
      <c r="GT530" s="5">
        <v>289.18266033348181</v>
      </c>
      <c r="GU530" s="5">
        <v>254.29573314828914</v>
      </c>
      <c r="GV530" s="39" t="s">
        <v>392</v>
      </c>
      <c r="GW530" s="5">
        <v>468.76388888888891</v>
      </c>
      <c r="GX530" s="5">
        <v>351.57291666666669</v>
      </c>
      <c r="GY530" s="5">
        <v>281.25833333333333</v>
      </c>
      <c r="GZ530" s="5">
        <v>248.18079879493993</v>
      </c>
      <c r="HA530" s="5">
        <v>229.8919505212948</v>
      </c>
      <c r="HB530" s="39">
        <v>261.24473687005479</v>
      </c>
      <c r="HC530" s="5">
        <v>311.25084881396981</v>
      </c>
      <c r="HD530" s="5">
        <v>255.52900980034525</v>
      </c>
      <c r="HE530" s="5">
        <v>255.29556391970669</v>
      </c>
      <c r="HF530" s="5">
        <v>232.57464978663216</v>
      </c>
      <c r="HG530" s="5">
        <v>219.90084178617022</v>
      </c>
      <c r="HH530" s="39">
        <v>254.95827164602579</v>
      </c>
      <c r="HI530" s="16"/>
      <c r="HJ530" s="19" t="str">
        <f t="shared" si="1737"/>
        <v>On</v>
      </c>
      <c r="HK530" s="1" t="str">
        <f t="shared" si="1737"/>
        <v>On</v>
      </c>
      <c r="HL530" s="16"/>
      <c r="HM530" s="639">
        <f t="shared" si="1636"/>
        <v>5.1181272167489952E-2</v>
      </c>
      <c r="HN530" s="639">
        <f t="shared" si="1637"/>
        <v>4.2792051795134348E-3</v>
      </c>
      <c r="HO530" s="639">
        <f t="shared" si="1638"/>
        <v>7.4145241462331068E-3</v>
      </c>
      <c r="HP530" s="644">
        <f>(FT530*$GD530-HM530)/$JF530*INDEX(Input!$1:$1048576,$JG$93,$C530*2+6)</f>
        <v>22.412872092620105</v>
      </c>
      <c r="HQ530" s="644">
        <f>(FU530*$GD530-HN530)/$JF530*INDEX(Input!$1:$1048576,$JG$93,$C530*2+6)</f>
        <v>1.8072470197529271</v>
      </c>
      <c r="HR530" s="644">
        <f>(FV530*$GD530-HO530)/$JF530*INDEX(Input!$1:$1048576,$JG$93,$C530*2+6)</f>
        <v>22.380993535175616</v>
      </c>
      <c r="HS530" s="644">
        <f t="shared" si="1639"/>
        <v>-7.4965881671040018</v>
      </c>
      <c r="HT530" s="644">
        <f t="shared" si="1640"/>
        <v>20.978080694087417</v>
      </c>
      <c r="HU530" s="644">
        <f t="shared" si="1641"/>
        <v>26.153215742354757</v>
      </c>
      <c r="HV530" s="648">
        <f t="shared" si="1642"/>
        <v>0</v>
      </c>
      <c r="HW530" s="648">
        <f t="shared" si="1643"/>
        <v>0</v>
      </c>
      <c r="HX530" s="648">
        <f t="shared" si="1644"/>
        <v>0</v>
      </c>
      <c r="HY530" s="644">
        <f>INDEX(Input!$1:$1048576,HY$93,$C530*2+6)*INDEX(Input!$1:$1048576,$JG$93,$C530*2+6)</f>
        <v>345</v>
      </c>
      <c r="HZ530" s="644">
        <f>INDEX(Input!$1:$1048576,HZ$93,$C530*2+6)*INDEX(Input!$1:$1048576,$JG$93,$C530*2+6)</f>
        <v>299</v>
      </c>
      <c r="IA530" s="644">
        <f>INDEX(Input!$1:$1048576,IA$93,$C530*2+6)*INDEX(Input!$1:$1048576,$JG$93,$C530*2+6)</f>
        <v>98</v>
      </c>
      <c r="IB530" s="644">
        <f t="shared" si="1668"/>
        <v>359.91628392551615</v>
      </c>
      <c r="IC530" s="644">
        <f t="shared" si="1669"/>
        <v>321.78532771384033</v>
      </c>
      <c r="ID530" s="644">
        <f>IF(AND(INDEX(Input!$1:$1048576,IA$93,$C530*2+7)="TOS",Y530&lt;=INDEX(Y:Y,MATCH(C530*1000+2,A:A))),0,1)*MAX(IA530+HR530+HU530+HX530,0%)</f>
        <v>146.53420927753038</v>
      </c>
      <c r="IE530" s="128">
        <f t="shared" si="1738"/>
        <v>0.43455773686179844</v>
      </c>
      <c r="IF530" s="128">
        <f t="shared" si="1691"/>
        <v>0.3885189695823737</v>
      </c>
      <c r="IG530" s="128">
        <f t="shared" si="1646"/>
        <v>0.17692329355582775</v>
      </c>
      <c r="IH530" s="21"/>
      <c r="II530" s="19">
        <f t="shared" si="1647"/>
        <v>1200</v>
      </c>
      <c r="IJ530" s="19">
        <f t="shared" si="1648"/>
        <v>2231.5440334087361</v>
      </c>
      <c r="IK530" s="19">
        <f t="shared" si="1649"/>
        <v>-2048.0908300335955</v>
      </c>
      <c r="IL530" s="19">
        <f t="shared" si="1671"/>
        <v>400</v>
      </c>
      <c r="IM530" s="19">
        <f t="shared" si="1650"/>
        <v>399.98028807548326</v>
      </c>
      <c r="IN530" s="19">
        <f t="shared" si="1651"/>
        <v>1405</v>
      </c>
      <c r="IO530" s="39">
        <f t="shared" si="1652"/>
        <v>0</v>
      </c>
      <c r="IP530" s="39">
        <f t="shared" si="1653"/>
        <v>0</v>
      </c>
      <c r="IQ530" s="39">
        <f t="shared" si="1654"/>
        <v>0</v>
      </c>
      <c r="IR530" s="39">
        <v>0</v>
      </c>
      <c r="IS530" s="39">
        <v>0</v>
      </c>
      <c r="IT530" s="39">
        <v>0</v>
      </c>
      <c r="IU530" s="39">
        <v>0</v>
      </c>
      <c r="IV530" s="39">
        <v>0</v>
      </c>
      <c r="IW530" s="39">
        <v>0</v>
      </c>
      <c r="IX530" s="39">
        <f>INDEX(Input!$1:$1048576,IX$93,$C530*2+6)+INDEX(Input!$1:$1048576,IX$94,$C530*2+6)</f>
        <v>1600</v>
      </c>
      <c r="IY530" s="39">
        <f>INDEX(Input!$1:$1048576,IY$93,$C530*2+6)+INDEX(Input!$1:$1048576,IY$94,$C530*2+6)</f>
        <v>2503.5492916397525</v>
      </c>
      <c r="IZ530" s="39">
        <f>INDEX(Input!$1:$1048576,IZ$93,$C530*2+6)+INDEX(Input!$1:$1048576,IZ$94,$C530*2+6)</f>
        <v>5413.7109265464023</v>
      </c>
      <c r="JA530" s="19">
        <f t="shared" si="1672"/>
        <v>2000</v>
      </c>
      <c r="JB530" s="19">
        <f t="shared" si="1673"/>
        <v>2903.5295797152357</v>
      </c>
      <c r="JC530" s="19">
        <f t="shared" si="1674"/>
        <v>6818.7109265464023</v>
      </c>
      <c r="JD530" s="19">
        <f t="shared" si="1675"/>
        <v>3203.5805891162017</v>
      </c>
      <c r="JE530" s="21"/>
      <c r="JF530" s="1">
        <f t="shared" si="1655"/>
        <v>6.2875001493236493E-2</v>
      </c>
      <c r="JG530" s="15">
        <f>INDEX(Input!$1:$1048576,JG$93,$C530*2+6)/(1+VLOOKUP(C530*1000+INDEX(Input!$1:$1048576,JG$93+1,$C530*2+6),$A:$KK,$JK$92,FALSE))</f>
        <v>742</v>
      </c>
      <c r="JH530" s="1">
        <f t="shared" si="1676"/>
        <v>6.2804734026345885E-2</v>
      </c>
      <c r="JI530" s="1">
        <f t="shared" si="1677"/>
        <v>5.3416048880509673E-2</v>
      </c>
      <c r="JJ530" s="1">
        <f t="shared" si="1715"/>
        <v>0</v>
      </c>
      <c r="JK530" s="1">
        <f t="shared" si="1719"/>
        <v>0.11622078290685556</v>
      </c>
      <c r="JL530" s="15">
        <f t="shared" si="1680"/>
        <v>86.235820916886823</v>
      </c>
      <c r="JM530" s="15">
        <f t="shared" si="1706"/>
        <v>828.23582091688684</v>
      </c>
      <c r="JN530" s="21"/>
      <c r="JO530" s="19">
        <f>INDEX(Input!$1:$1048576,JO$93,$C530*2+6)</f>
        <v>5908.5</v>
      </c>
      <c r="JP530" s="19">
        <f>INDEX(Input!$1:$1048576,JP$93,$C530*2+6)</f>
        <v>2467.7963733178344</v>
      </c>
      <c r="JQ530" s="39">
        <f t="shared" si="1692"/>
        <v>2704.9194108837983</v>
      </c>
      <c r="JR530" s="39">
        <f t="shared" si="1709"/>
        <v>735.78421579836731</v>
      </c>
      <c r="JS530" s="39">
        <f t="shared" si="1694"/>
        <v>2.6533201991000612</v>
      </c>
      <c r="JT530" s="39">
        <f t="shared" si="1682"/>
        <v>0.82221529009822825</v>
      </c>
      <c r="JU530" s="385">
        <f>(JQ530*JM530-INDEX(Input!$1:$1048576,Input!A$18,$C530*2+6)*JL530*INDEX(Input!$1:$1048576,Input!A$19,$C530*2+6))/1000000</f>
        <v>2.2403111487873644</v>
      </c>
      <c r="JV530" s="39">
        <f t="shared" si="1716"/>
        <v>-0.31269094221080218</v>
      </c>
      <c r="JW530" s="1">
        <f t="shared" si="1707"/>
        <v>-0.12247970470268868</v>
      </c>
      <c r="JX530" s="19">
        <f t="shared" si="1698"/>
        <v>9534.498325129538</v>
      </c>
      <c r="JZ530" s="341"/>
      <c r="KA530" s="342"/>
      <c r="KB530" s="469">
        <f t="shared" si="1695"/>
        <v>2.4623520912331753</v>
      </c>
      <c r="KI530" s="473">
        <f t="shared" si="1722"/>
        <v>14.916283925516097</v>
      </c>
      <c r="KJ530" s="473">
        <f t="shared" si="1723"/>
        <v>22.785327713840275</v>
      </c>
      <c r="KK530" s="473">
        <f t="shared" si="1684"/>
        <v>48.534209277530351</v>
      </c>
      <c r="KN530" s="544">
        <f t="shared" si="1699"/>
        <v>5002</v>
      </c>
      <c r="KO530" s="541">
        <f t="shared" si="1659"/>
        <v>3.7174163362718726E-2</v>
      </c>
      <c r="KP530" s="546">
        <f t="shared" si="1660"/>
        <v>191.05582096450436</v>
      </c>
      <c r="KQ530" s="546">
        <f t="shared" si="1661"/>
        <v>344.80814296449262</v>
      </c>
      <c r="KR530" s="548">
        <f t="shared" si="1662"/>
        <v>3.2758628883384895</v>
      </c>
      <c r="KS530" s="548">
        <f t="shared" si="1663"/>
        <v>1.8151331001574207</v>
      </c>
      <c r="KT530" s="473">
        <f t="shared" si="1697"/>
        <v>389.37465324503302</v>
      </c>
      <c r="KU530" s="663">
        <f t="shared" si="1685"/>
        <v>6.9291775387715271</v>
      </c>
      <c r="KV530" s="117"/>
    </row>
    <row r="531" spans="1:308" s="26" customFormat="1" ht="15">
      <c r="A531" s="561">
        <f t="shared" si="1664"/>
        <v>5031</v>
      </c>
      <c r="B531" s="561">
        <f t="shared" si="1686"/>
        <v>31</v>
      </c>
      <c r="C531" s="561">
        <f t="shared" si="1687"/>
        <v>5</v>
      </c>
      <c r="D531" s="561" t="str">
        <f t="shared" si="1736"/>
        <v xml:space="preserve">250 CC, 250 Combo, </v>
      </c>
      <c r="E531" s="475">
        <f>INDEX(Input!$1:$1048576,E$93,$C531*2+MIN($B531,2)+5)
+INDEX(Scenarios!E$121:E$200,MATCH($B531,Scenarios!$B$121:$B$200,0))</f>
        <v>1500</v>
      </c>
      <c r="F531" s="475">
        <f>INDEX(Input!$1:$1048576,F$93,$C531*2+MIN($B531,2)+5)
+INDEX(Scenarios!F$121:F$200,MATCH($B531,Scenarios!$B$121:$B$200,0))</f>
        <v>0</v>
      </c>
      <c r="G531" s="475">
        <f>INDEX(Input!$1:$1048576,G$93,$C531*2+MIN($B531,2)+5)
+INDEX(Scenarios!G$121:G$200,MATCH($B531,Scenarios!$B$121:$B$200,0))</f>
        <v>0</v>
      </c>
      <c r="H531" s="475">
        <f>INDEX(Input!$1:$1048576,H$93,$C531*2+MIN($B531,2)+5)
+INDEX(Scenarios!H$121:H$200,MATCH($B531,Scenarios!$B$121:$B$200,0))</f>
        <v>0</v>
      </c>
      <c r="I531" s="476">
        <f>INDEX(Input!$1:$1048576,I$93,$C531*2+MIN($B531,2)+5)</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+INDEX(Scenarios!Q$121:Q$200,MATCH($B531,Scenarios!$B$121:$B$200,0))</f>
        <v>250</v>
      </c>
      <c r="R531" s="478">
        <f>IFERROR(MAX(0,INDEX(Input!$1:$1048576,R$93,$C531*2+MIN($B531,2)+5)
+INDEX(Scenarios!R$121:R$200,MATCH($B531,Scenarios!$B$121:$B$200,0)),),"Market")</f>
        <v>0</v>
      </c>
      <c r="S531" s="478">
        <f>IFERROR(MAX(0,INDEX(Input!$1:$1048576,S$93,$C531*2+MIN($B531,2)+5)
+INDEX(Scenarios!S$121:S$200,MATCH($B531,Scenarios!$B$121:$B$200,0)),),"Market")</f>
        <v>0</v>
      </c>
      <c r="T531" s="478">
        <f>IFERROR(MAX(0,INDEX(Input!$1:$1048576,T$93,$C531*2+MIN($B531,2)+5)
+INDEX(Scenarios!T$121:T$200,MATCH($B531,Scenarios!$B$121:$B$200,0)),),"Market")</f>
        <v>0</v>
      </c>
      <c r="U531" s="478">
        <f>IFERROR(MAX(0,INDEX(Input!$1:$1048576,U$93,$C531*2+MIN($B531,2)+5)
+INDEX(Scenarios!U$121:U$200,MATCH($B531,Scenarios!$B$121:$B$200,0)),),"Market")</f>
        <v>0</v>
      </c>
      <c r="V531" s="478">
        <f>IFERROR(MAX(0,INDEX(Input!$1:$1048576,V$93,$C531*2+MIN($B531,2)+5)
+INDEX(Scenarios!V$121:V$200,MATCH($B531,Scenarios!$B$121:$B$200,0)),),"Market")</f>
        <v>1.9E-2</v>
      </c>
      <c r="W531" s="863">
        <f>IFERROR(MAX(0,INDEX(Input!$1:$1048576,W$93,$C531*2+MIN($B531,2)+5)-0%,),"Market")</f>
        <v>3.9E-2</v>
      </c>
      <c r="X531" s="476" t="str">
        <f>INDEX(Input!$1:$1048576,X$93,$C531*2+MIN($B531,2)+5)</f>
        <v>Y</v>
      </c>
      <c r="Y531" s="475">
        <f>INDEX(Input!$1:$1048576,Y$93,$C531*2+MIN($B531,2)+5)
++INDEX(Scenarios!Y$121:Y$200,MATCH($B531,Scenarios!$B$121:$B$200,0))</f>
        <v>-1098.3618966787526</v>
      </c>
      <c r="Z531" s="477">
        <f>INDEX(Input!$1:$1048576,Z$93,$C531*2+MIN($B531,2)+5)
+INDEX(Scenarios!Z$121:Z$200,MATCH($B531,Scenarios!$B$121:$B$200,0))</f>
        <v>0</v>
      </c>
      <c r="AA531" s="475">
        <f>INDEX(Input!$1:$1048576,AA$93,$C531*2+MIN($B531,2)+5)</f>
        <v>500</v>
      </c>
      <c r="AB531" s="476">
        <f>INDEX(Input!$1:$1048576,AB$93,$C531*2+MIN($B531,2)+5)</f>
        <v>0.43</v>
      </c>
      <c r="AC531" s="475">
        <f>INDEX(Input!$1:$1048576,AC$93,$C531*2+MIN($B531,2)+5)
+INDEX(Scenarios!AC$121:AC$200,MATCH($B531,Scenarios!$B$121:$B$200,0))</f>
        <v>0</v>
      </c>
      <c r="AD531" s="476">
        <f>INDEX(Input!$1:$1048576,AD$93,$C531*2+MIN($B531,2)+5)</f>
        <v>0.35</v>
      </c>
      <c r="AE531" s="475">
        <f>INDEX(Input!$1:$1048576,AE$93,$C531*2+MIN($B531,2)+5)
+INDEX(Scenarios!AE$121:AE$200,MATCH($B531,Scenarios!$B$121:$B$200,0))</f>
        <v>0</v>
      </c>
      <c r="AF531" s="476">
        <f>INDEX(Input!$1:$1048576,AF$93,$C531*2+MIN($B531,2)+5)</f>
        <v>1</v>
      </c>
      <c r="AG531" s="475">
        <f>INDEX(Input!$1:$1048576,AG$93,$C531*2+MIN($B531,2)+5)
+INDEX(Scenarios!AG$121:AG$200,MATCH($B531,Scenarios!$B$121:$B$200,0))</f>
        <v>0</v>
      </c>
      <c r="AH531" s="476">
        <f>INDEX(Input!$1:$1048576,AH$93,$C531*2+MIN($B531,2)+5)</f>
        <v>1</v>
      </c>
      <c r="AI531" s="475">
        <f>INDEX(Input!$1:$1048576,AI$93,$C531*2+MIN($B531,2)+5)
+INDEX(Scenarios!AI$121:AI$200,MATCH($B531,Scenarios!$B$121:$B$200,0))</f>
        <v>0</v>
      </c>
      <c r="AJ531" s="476">
        <f>INDEX(Input!$1:$1048576,AJ$93,$C531*2+MIN($B531,2)+5)</f>
        <v>0.35</v>
      </c>
      <c r="AK531" s="150">
        <f>ROUND(INDEX(Input!$1:$1048576,AK$93,$C530*2+MIN($B531,1)+5)+(Y531-VLOOKUP($C531*1000+1,$A:$HH,Y$92,FALSE)),0)</f>
        <v>4592</v>
      </c>
      <c r="AL531" s="150">
        <f>ROUND(INDEX(Input!$1:$1048576,AL$93,$C530*2+MIN($B531,1)+5)-(Y531-VLOOKUP($C531*1000+1,$A:$HH,Y$92,FALSE))/36,0)</f>
        <v>4743</v>
      </c>
      <c r="AM531" s="32" t="str">
        <f t="shared" si="1665"/>
        <v>std/std/std/std</v>
      </c>
      <c r="AN531" s="32" t="str">
        <f t="shared" si="1666"/>
        <v>$250 + 0/0/0/1.9/3.9</v>
      </c>
      <c r="AO531" s="32" t="str">
        <f t="shared" si="1667"/>
        <v>0/0/0/1.9/3.9</v>
      </c>
      <c r="AP531" s="32" t="str">
        <f t="shared" si="1621"/>
        <v>0/0.9/1.9/3.9</v>
      </c>
      <c r="AQ531" s="536">
        <f t="shared" si="1620"/>
        <v>0.468557750870773</v>
      </c>
      <c r="AR531" s="32"/>
      <c r="AS531" s="302"/>
      <c r="AT531" s="3">
        <f t="shared" si="1688"/>
        <v>31</v>
      </c>
      <c r="AU531" s="41" t="s">
        <v>121</v>
      </c>
      <c r="AV531" s="41" t="s">
        <v>116</v>
      </c>
      <c r="AW531" s="41" t="str">
        <f>INDEX(Input!$1:$1048576,AW$93,$C531*2+6)</f>
        <v>Kia</v>
      </c>
      <c r="AX531" s="41" t="str">
        <f>INDEX(Input!$1:$1048576,AX$93,$C531*2+6)</f>
        <v>Kia-LR - R2</v>
      </c>
      <c r="AY531" s="41" t="str">
        <f>IF(LEN(D531)=0,"",INDEX(Input!$1:$1048576,AY$93,$C531*2+6))</f>
        <v>Compact Conventional/Sporty Car (43)</v>
      </c>
      <c r="AZ531" s="41" t="str">
        <f>INDEX(Input!$1:$1048576,AZ$93,$C531*2+6)</f>
        <v>Kia Forte</v>
      </c>
      <c r="BA531" s="3">
        <f>INDEX(Input!$1:$1048576,BA$93,$C531*2+6)</f>
        <v>2020</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19695</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622"/>
        <v>1500</v>
      </c>
      <c r="CJ531" s="16" t="str">
        <f>INDEX(Input!$1:$1048576,CJ$93,$C531*2+6)</f>
        <v>N</v>
      </c>
      <c r="CK531" s="1" t="str">
        <f t="shared" si="1623"/>
        <v>Market</v>
      </c>
      <c r="CL531" s="1" t="str">
        <f t="shared" si="1624"/>
        <v>Market</v>
      </c>
      <c r="CM531" s="1" t="str">
        <f t="shared" si="1625"/>
        <v>Market</v>
      </c>
      <c r="CN531" s="1" t="str">
        <f t="shared" si="1626"/>
        <v>Market</v>
      </c>
      <c r="CO531" s="1" t="str">
        <f t="shared" si="1627"/>
        <v>Market</v>
      </c>
      <c r="CP531" s="304">
        <f t="shared" si="1628"/>
        <v>465</v>
      </c>
      <c r="CQ531" s="1">
        <f t="shared" si="1629"/>
        <v>0</v>
      </c>
      <c r="CR531" s="1">
        <f t="shared" si="1630"/>
        <v>0</v>
      </c>
      <c r="CS531" s="1">
        <f t="shared" si="1631"/>
        <v>0</v>
      </c>
      <c r="CT531" s="1">
        <f t="shared" si="1632"/>
        <v>1.9E-2</v>
      </c>
      <c r="CU531" s="1">
        <f t="shared" si="1633"/>
        <v>3.9E-2</v>
      </c>
      <c r="CV531" s="304">
        <f t="shared" si="1634"/>
        <v>-1098.3618966787526</v>
      </c>
      <c r="CW531" s="20" t="s">
        <v>122</v>
      </c>
      <c r="CX531" s="20" t="s">
        <v>122</v>
      </c>
      <c r="CY531" s="20" t="s">
        <v>122</v>
      </c>
      <c r="CZ531" s="20" t="s">
        <v>122</v>
      </c>
      <c r="DA531" s="20" t="s">
        <v>122</v>
      </c>
      <c r="DB531" s="503">
        <f t="shared" si="1635"/>
        <v>0</v>
      </c>
      <c r="DC531" s="127">
        <v>0</v>
      </c>
      <c r="DD531" s="127">
        <v>0</v>
      </c>
      <c r="DE531" s="127">
        <v>0</v>
      </c>
      <c r="DF531" s="127">
        <v>0</v>
      </c>
      <c r="DG531" s="127">
        <v>0</v>
      </c>
      <c r="DH531" s="127">
        <v>0</v>
      </c>
      <c r="DI531" s="127">
        <v>0</v>
      </c>
      <c r="DJ531" s="127">
        <v>0</v>
      </c>
      <c r="DK531" s="127">
        <v>0</v>
      </c>
      <c r="DL531" s="127">
        <v>0</v>
      </c>
      <c r="DM531" s="304">
        <f>INDEX(Input!$1:$1048576,DM$93,$C531*2+6)</f>
        <v>20731.578947368424</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4.4291277798106696E-2</v>
      </c>
      <c r="DZ531" s="7">
        <v>0</v>
      </c>
      <c r="EA531" s="7">
        <v>0.78035903104984827</v>
      </c>
      <c r="EB531" s="7">
        <v>0</v>
      </c>
      <c r="EC531" s="7">
        <v>0</v>
      </c>
      <c r="ED531" s="7">
        <v>0</v>
      </c>
      <c r="EE531" s="7">
        <v>0</v>
      </c>
      <c r="EF531" s="7">
        <v>0</v>
      </c>
      <c r="EG531" s="7">
        <v>0</v>
      </c>
      <c r="EH531" s="7">
        <v>1.4448794511432307E-2</v>
      </c>
      <c r="EI531" s="7">
        <v>1.8189337235905455E-2</v>
      </c>
      <c r="EJ531" s="7">
        <v>0.26771894669619639</v>
      </c>
      <c r="EK531" s="7">
        <v>0.65326915719287726</v>
      </c>
      <c r="EL531" s="7">
        <v>4.637376436358856E-2</v>
      </c>
      <c r="EM531" s="7">
        <v>6.9133922629655578E-2</v>
      </c>
      <c r="EN531" s="7">
        <v>4.7388747650350449E-2</v>
      </c>
      <c r="EO531" s="7">
        <v>0.58257816140737106</v>
      </c>
      <c r="EP531" s="7">
        <v>0.25106539780352533</v>
      </c>
      <c r="EQ531" s="7">
        <v>7.2208003512141461E-2</v>
      </c>
      <c r="ER531" s="7">
        <v>4.6759689626611319E-2</v>
      </c>
      <c r="ES531" s="7">
        <v>0.10621576852238941</v>
      </c>
      <c r="ET531" s="7">
        <v>0.17534969115204507</v>
      </c>
      <c r="EU531" s="6">
        <v>1850</v>
      </c>
      <c r="EV531" s="6">
        <v>0</v>
      </c>
      <c r="EW531" s="6">
        <v>1850</v>
      </c>
      <c r="EX531" s="6">
        <v>0</v>
      </c>
      <c r="EY531" s="6">
        <v>2881.6096694468706</v>
      </c>
      <c r="EZ531" s="6">
        <v>-1723.0908300335955</v>
      </c>
      <c r="FA531" s="6">
        <v>0</v>
      </c>
      <c r="FB531" s="6">
        <v>0</v>
      </c>
      <c r="FC531" s="6">
        <v>0</v>
      </c>
      <c r="FD531" s="6">
        <v>0</v>
      </c>
      <c r="FE531" s="6">
        <v>0</v>
      </c>
      <c r="FF531" s="6">
        <v>0</v>
      </c>
      <c r="FG531" s="6">
        <v>0</v>
      </c>
      <c r="FH531" s="6">
        <v>1153.989104410226</v>
      </c>
      <c r="FI531" s="6">
        <v>1531.4299904380623</v>
      </c>
      <c r="FJ531" s="6">
        <v>2070.7205842538215</v>
      </c>
      <c r="FK531" s="6">
        <v>1746.9903521590436</v>
      </c>
      <c r="FL531" s="6">
        <v>893.91433563489329</v>
      </c>
      <c r="FM531" s="6">
        <v>1781.6096694468708</v>
      </c>
      <c r="FN531" s="6">
        <v>0</v>
      </c>
      <c r="FO531" s="6">
        <v>0</v>
      </c>
      <c r="FP531" s="6">
        <v>0</v>
      </c>
      <c r="FQ531" s="6">
        <v>0</v>
      </c>
      <c r="FR531" s="6">
        <v>0</v>
      </c>
      <c r="FS531" s="6">
        <v>0</v>
      </c>
      <c r="FT531" s="7">
        <v>0.82465030884795498</v>
      </c>
      <c r="FU531" s="7">
        <v>6.9133922629655578E-2</v>
      </c>
      <c r="FV531" s="7">
        <v>0.10621576852238941</v>
      </c>
      <c r="FW531" s="6">
        <v>1850</v>
      </c>
      <c r="FX531" s="6">
        <v>2881.6096694468706</v>
      </c>
      <c r="FY531" s="6">
        <v>-1723.0908300335955</v>
      </c>
      <c r="FZ531" s="6">
        <v>2411.9063952864503</v>
      </c>
      <c r="GA531" s="6">
        <v>1541.8006345592239</v>
      </c>
      <c r="GB531" s="6">
        <v>18153.199365440778</v>
      </c>
      <c r="GC531" s="7">
        <v>7.6138913542514425E-2</v>
      </c>
      <c r="GD531" s="7">
        <v>6.780212321849495E-2</v>
      </c>
      <c r="GE531" s="7"/>
      <c r="GF531" s="7"/>
      <c r="GG531" s="7">
        <v>-0.10949447445640763</v>
      </c>
      <c r="GH531" s="42">
        <v>2.4784270737577589</v>
      </c>
      <c r="GI531" s="6">
        <v>9488.3729620389677</v>
      </c>
      <c r="GJ531" s="14">
        <v>0.51074630601039561</v>
      </c>
      <c r="GK531" s="14">
        <v>0.50829519786160937</v>
      </c>
      <c r="GL531" s="14">
        <v>0.489253693989604</v>
      </c>
      <c r="GM531" s="14">
        <v>0.49170480213839013</v>
      </c>
      <c r="GO531" s="5">
        <v>338.16872463277008</v>
      </c>
      <c r="GP531" s="5">
        <v>302.87425392274076</v>
      </c>
      <c r="GQ531" s="5">
        <v>527.27910984145694</v>
      </c>
      <c r="GR531" s="5">
        <v>404.20319246551543</v>
      </c>
      <c r="GS531" s="5">
        <v>334.50205195691484</v>
      </c>
      <c r="GT531" s="5">
        <v>289.18266033348181</v>
      </c>
      <c r="GU531" s="5">
        <v>254.29573314828914</v>
      </c>
      <c r="GV531" s="39" t="s">
        <v>392</v>
      </c>
      <c r="GW531" s="5">
        <v>461.81944444444446</v>
      </c>
      <c r="GX531" s="5">
        <v>346.36458333333331</v>
      </c>
      <c r="GY531" s="5">
        <v>277.09166666666664</v>
      </c>
      <c r="GZ531" s="5">
        <v>244.50415515778934</v>
      </c>
      <c r="HA531" s="5">
        <v>226.48624475670567</v>
      </c>
      <c r="HB531" s="39">
        <v>257.38560872130608</v>
      </c>
      <c r="HC531" s="5">
        <v>358.50084881396981</v>
      </c>
      <c r="HD531" s="5">
        <v>287.77900980034525</v>
      </c>
      <c r="HE531" s="5">
        <v>285.23787161201437</v>
      </c>
      <c r="HF531" s="5">
        <v>257.54964978663213</v>
      </c>
      <c r="HG531" s="5">
        <v>240.60084178617024</v>
      </c>
      <c r="HH531" s="39">
        <v>286.10359908506854</v>
      </c>
      <c r="HI531" s="16"/>
      <c r="HJ531" s="19" t="str">
        <f t="shared" si="1737"/>
        <v>On</v>
      </c>
      <c r="HK531" s="1" t="str">
        <f t="shared" si="1737"/>
        <v>On</v>
      </c>
      <c r="HL531" s="16"/>
      <c r="HM531" s="639">
        <f t="shared" si="1636"/>
        <v>5.1181272167489952E-2</v>
      </c>
      <c r="HN531" s="639">
        <f t="shared" si="1637"/>
        <v>4.2792051795134348E-3</v>
      </c>
      <c r="HO531" s="639">
        <f t="shared" si="1638"/>
        <v>7.4145241462331068E-3</v>
      </c>
      <c r="HP531" s="644">
        <f>(FT531*$GD531-HM531)/$JF531*INDEX(Input!$1:$1048576,$JG$93,$C531*2+6)</f>
        <v>55.840525217131336</v>
      </c>
      <c r="HQ531" s="644">
        <f>(FU531*$GD531-HN531)/$JF531*INDEX(Input!$1:$1048576,$JG$93,$C531*2+6)</f>
        <v>4.8175012519603255</v>
      </c>
      <c r="HR531" s="644">
        <f>(FV531*$GD531-HO531)/$JF531*INDEX(Input!$1:$1048576,$JG$93,$C531*2+6)</f>
        <v>-2.512114209589881</v>
      </c>
      <c r="HS531" s="644">
        <f t="shared" si="1639"/>
        <v>-12.181976233450875</v>
      </c>
      <c r="HT531" s="644">
        <f t="shared" si="1640"/>
        <v>34.094723177832591</v>
      </c>
      <c r="HU531" s="644">
        <f t="shared" si="1641"/>
        <v>7.4197738417613674</v>
      </c>
      <c r="HV531" s="648">
        <f t="shared" si="1642"/>
        <v>0</v>
      </c>
      <c r="HW531" s="648">
        <f t="shared" si="1643"/>
        <v>0</v>
      </c>
      <c r="HX531" s="648">
        <f t="shared" si="1644"/>
        <v>0</v>
      </c>
      <c r="HY531" s="644">
        <f>INDEX(Input!$1:$1048576,HY$93,$C531*2+6)*INDEX(Input!$1:$1048576,$JG$93,$C531*2+6)</f>
        <v>345</v>
      </c>
      <c r="HZ531" s="644">
        <f>INDEX(Input!$1:$1048576,HZ$93,$C531*2+6)*INDEX(Input!$1:$1048576,$JG$93,$C531*2+6)</f>
        <v>299</v>
      </c>
      <c r="IA531" s="644">
        <f>INDEX(Input!$1:$1048576,IA$93,$C531*2+6)*INDEX(Input!$1:$1048576,$JG$93,$C531*2+6)</f>
        <v>98</v>
      </c>
      <c r="IB531" s="644">
        <f t="shared" si="1668"/>
        <v>388.65854898368042</v>
      </c>
      <c r="IC531" s="644">
        <f t="shared" si="1669"/>
        <v>337.9122244297929</v>
      </c>
      <c r="ID531" s="644">
        <f>IF(AND(INDEX(Input!$1:$1048576,IA$93,$C531*2+7)="TOS",Y531&lt;=INDEX(Y:Y,MATCH(C531*1000+2,A:A))),0,1)*MAX(IA531+HR531+HU531+HX531,0%)</f>
        <v>102.90765963217149</v>
      </c>
      <c r="IE531" s="128">
        <f t="shared" si="1738"/>
        <v>0.468557750870773</v>
      </c>
      <c r="IF531" s="128">
        <f t="shared" si="1691"/>
        <v>0.40737915654908674</v>
      </c>
      <c r="IG531" s="128">
        <f t="shared" si="1646"/>
        <v>0.12406309258014024</v>
      </c>
      <c r="IH531" s="21"/>
      <c r="II531" s="19">
        <f t="shared" si="1647"/>
        <v>1200</v>
      </c>
      <c r="IJ531" s="19">
        <f t="shared" si="1648"/>
        <v>2231.5440334087361</v>
      </c>
      <c r="IK531" s="19">
        <f t="shared" si="1649"/>
        <v>-2048.0908300335955</v>
      </c>
      <c r="IL531" s="19">
        <f t="shared" si="1671"/>
        <v>650</v>
      </c>
      <c r="IM531" s="19">
        <f t="shared" si="1650"/>
        <v>650.06563603813447</v>
      </c>
      <c r="IN531" s="19">
        <f t="shared" si="1651"/>
        <v>325</v>
      </c>
      <c r="IO531" s="39">
        <f t="shared" si="1652"/>
        <v>0</v>
      </c>
      <c r="IP531" s="39">
        <f t="shared" si="1653"/>
        <v>0</v>
      </c>
      <c r="IQ531" s="39">
        <f t="shared" si="1654"/>
        <v>0</v>
      </c>
      <c r="IR531" s="39">
        <v>0</v>
      </c>
      <c r="IS531" s="39">
        <v>0</v>
      </c>
      <c r="IT531" s="39">
        <v>0</v>
      </c>
      <c r="IU531" s="39">
        <v>0</v>
      </c>
      <c r="IV531" s="39">
        <v>0</v>
      </c>
      <c r="IW531" s="39">
        <v>0</v>
      </c>
      <c r="IX531" s="39">
        <f>INDEX(Input!$1:$1048576,IX$93,$C531*2+6)+INDEX(Input!$1:$1048576,IX$94,$C531*2+6)</f>
        <v>1600</v>
      </c>
      <c r="IY531" s="39">
        <f>INDEX(Input!$1:$1048576,IY$93,$C531*2+6)+INDEX(Input!$1:$1048576,IY$94,$C531*2+6)</f>
        <v>2503.5492916397525</v>
      </c>
      <c r="IZ531" s="39">
        <f>INDEX(Input!$1:$1048576,IZ$93,$C531*2+6)+INDEX(Input!$1:$1048576,IZ$94,$C531*2+6)</f>
        <v>5413.7109265464023</v>
      </c>
      <c r="JA531" s="19">
        <f t="shared" si="1672"/>
        <v>2250</v>
      </c>
      <c r="JB531" s="19">
        <f t="shared" si="1673"/>
        <v>3153.614927677887</v>
      </c>
      <c r="JC531" s="19">
        <f t="shared" si="1674"/>
        <v>5738.7109265464023</v>
      </c>
      <c r="JD531" s="19">
        <f t="shared" si="1675"/>
        <v>3050.9341537480545</v>
      </c>
      <c r="JE531" s="21"/>
      <c r="JF531" s="1">
        <f t="shared" si="1655"/>
        <v>6.2875001493236493E-2</v>
      </c>
      <c r="JG531" s="15">
        <f>INDEX(Input!$1:$1048576,JG$93,$C531*2+6)/(1+VLOOKUP(C531*1000+INDEX(Input!$1:$1048576,JG$93+1,$C531*2+6),$A:$KK,$JK$92,FALSE))</f>
        <v>742</v>
      </c>
      <c r="JH531" s="1">
        <f t="shared" si="1676"/>
        <v>7.836376315296735E-2</v>
      </c>
      <c r="JI531" s="1">
        <f t="shared" si="1677"/>
        <v>3.9531699172699573E-2</v>
      </c>
      <c r="JJ531" s="1">
        <f t="shared" si="1715"/>
        <v>0</v>
      </c>
      <c r="JK531" s="1">
        <f t="shared" si="1719"/>
        <v>0.11789546232566692</v>
      </c>
      <c r="JL531" s="15">
        <f t="shared" si="1680"/>
        <v>87.478433045644849</v>
      </c>
      <c r="JM531" s="15">
        <f t="shared" si="1706"/>
        <v>829.47843304564481</v>
      </c>
      <c r="JN531" s="21"/>
      <c r="JO531" s="19">
        <f>INDEX(Input!$1:$1048576,JO$93,$C531*2+6)</f>
        <v>5908.5</v>
      </c>
      <c r="JP531" s="19">
        <f>INDEX(Input!$1:$1048576,JP$93,$C531*2+6)</f>
        <v>2467.7963733178344</v>
      </c>
      <c r="JQ531" s="39">
        <f t="shared" si="1692"/>
        <v>2857.5658462519455</v>
      </c>
      <c r="JR531" s="39">
        <f t="shared" si="1709"/>
        <v>583.13778043022012</v>
      </c>
      <c r="JS531" s="39">
        <f t="shared" si="1694"/>
        <v>2.5306840811763762</v>
      </c>
      <c r="JT531" s="39">
        <f t="shared" si="1682"/>
        <v>0.69957917217454335</v>
      </c>
      <c r="JU531" s="385">
        <f>(JQ531*JM531-INDEX(Input!$1:$1048576,Input!A$18,$C531*2+6)*JL531*INDEX(Input!$1:$1048576,Input!A$19,$C531*2+6))/1000000</f>
        <v>2.3702892404738156</v>
      </c>
      <c r="JV531" s="39">
        <f t="shared" si="1716"/>
        <v>-0.18271285052435093</v>
      </c>
      <c r="JW531" s="1">
        <f t="shared" si="1707"/>
        <v>-7.1567842097972706E-2</v>
      </c>
      <c r="JX531" s="19">
        <f t="shared" si="1698"/>
        <v>7997.1616753756225</v>
      </c>
      <c r="JZ531" s="341"/>
      <c r="KA531" s="342"/>
      <c r="KB531" s="469">
        <f t="shared" si="1695"/>
        <v>2.4623520912331753</v>
      </c>
      <c r="KI531" s="473">
        <f t="shared" si="1722"/>
        <v>43.658548983680419</v>
      </c>
      <c r="KJ531" s="473">
        <f t="shared" si="1723"/>
        <v>38.9122244297929</v>
      </c>
      <c r="KK531" s="473">
        <f t="shared" si="1684"/>
        <v>4.9076596321714874</v>
      </c>
      <c r="KN531" s="544">
        <f t="shared" si="1699"/>
        <v>5002</v>
      </c>
      <c r="KO531" s="541">
        <f t="shared" si="1659"/>
        <v>3.8730248190832262E-2</v>
      </c>
      <c r="KP531" s="546">
        <f t="shared" si="1660"/>
        <v>218.99662402602783</v>
      </c>
      <c r="KQ531" s="546">
        <f t="shared" si="1661"/>
        <v>192.16170759634542</v>
      </c>
      <c r="KR531" s="548">
        <f t="shared" si="1662"/>
        <v>2.9775402915817279</v>
      </c>
      <c r="KS531" s="548">
        <f t="shared" si="1663"/>
        <v>3.3933465720840332</v>
      </c>
      <c r="KT531" s="473">
        <f t="shared" si="1697"/>
        <v>389.37465324503302</v>
      </c>
      <c r="KU531" s="663">
        <f t="shared" si="1685"/>
        <v>7.296463543730856</v>
      </c>
      <c r="KV531" s="117"/>
    </row>
    <row r="532" spans="1:308" s="26" customFormat="1" ht="15">
      <c r="A532" s="561">
        <f t="shared" si="1664"/>
        <v>5032</v>
      </c>
      <c r="B532" s="561">
        <f t="shared" si="1686"/>
        <v>32</v>
      </c>
      <c r="C532" s="561">
        <f t="shared" si="1687"/>
        <v>5</v>
      </c>
      <c r="D532" s="561" t="str">
        <f t="shared" si="1736"/>
        <v xml:space="preserve">500 CC, 500 Combo, </v>
      </c>
      <c r="E532" s="475">
        <f>INDEX(Input!$1:$1048576,E$93,$C532*2+MIN($B532,2)+5)
+INDEX(Scenarios!E$121:E$200,MATCH($B532,Scenarios!$B$121:$B$200,0))</f>
        <v>1750</v>
      </c>
      <c r="F532" s="475">
        <f>INDEX(Input!$1:$1048576,F$93,$C532*2+MIN($B532,2)+5)
+INDEX(Scenarios!F$121:F$200,MATCH($B532,Scenarios!$B$121:$B$200,0))</f>
        <v>0</v>
      </c>
      <c r="G532" s="475">
        <f>INDEX(Input!$1:$1048576,G$93,$C532*2+MIN($B532,2)+5)
+INDEX(Scenarios!G$121:G$200,MATCH($B532,Scenarios!$B$121:$B$200,0))</f>
        <v>0</v>
      </c>
      <c r="H532" s="475">
        <f>INDEX(Input!$1:$1048576,H$93,$C532*2+MIN($B532,2)+5)
+INDEX(Scenarios!H$121:H$200,MATCH($B532,Scenarios!$B$121:$B$200,0))</f>
        <v>0</v>
      </c>
      <c r="I532" s="476">
        <f>INDEX(Input!$1:$1048576,I$93,$C532*2+MIN($B532,2)+5)</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+INDEX(Scenarios!Q$121:Q$200,MATCH($B532,Scenarios!$B$121:$B$200,0))</f>
        <v>500</v>
      </c>
      <c r="R532" s="478">
        <f>IFERROR(MAX(0,INDEX(Input!$1:$1048576,R$93,$C532*2+MIN($B532,2)+5)
+INDEX(Scenarios!R$121:R$200,MATCH($B532,Scenarios!$B$121:$B$200,0)),),"Market")</f>
        <v>0</v>
      </c>
      <c r="S532" s="478">
        <f>IFERROR(MAX(0,INDEX(Input!$1:$1048576,S$93,$C532*2+MIN($B532,2)+5)
+INDEX(Scenarios!S$121:S$200,MATCH($B532,Scenarios!$B$121:$B$200,0)),),"Market")</f>
        <v>0</v>
      </c>
      <c r="T532" s="478">
        <f>IFERROR(MAX(0,INDEX(Input!$1:$1048576,T$93,$C532*2+MIN($B532,2)+5)
+INDEX(Scenarios!T$121:T$200,MATCH($B532,Scenarios!$B$121:$B$200,0)),),"Market")</f>
        <v>0</v>
      </c>
      <c r="U532" s="478">
        <f>IFERROR(MAX(0,INDEX(Input!$1:$1048576,U$93,$C532*2+MIN($B532,2)+5)
+INDEX(Scenarios!U$121:U$200,MATCH($B532,Scenarios!$B$121:$B$200,0)),),"Market")</f>
        <v>0</v>
      </c>
      <c r="V532" s="478">
        <f>IFERROR(MAX(0,INDEX(Input!$1:$1048576,V$93,$C532*2+MIN($B532,2)+5)
+INDEX(Scenarios!V$121:V$200,MATCH($B532,Scenarios!$B$121:$B$200,0)),),"Market")</f>
        <v>1.9E-2</v>
      </c>
      <c r="W532" s="863">
        <f>IFERROR(MAX(0,INDEX(Input!$1:$1048576,W$93,$C532*2+MIN($B532,2)+5)-0%,),"Market")</f>
        <v>3.9E-2</v>
      </c>
      <c r="X532" s="476" t="str">
        <f>INDEX(Input!$1:$1048576,X$93,$C532*2+MIN($B532,2)+5)</f>
        <v>Y</v>
      </c>
      <c r="Y532" s="475">
        <f>INDEX(Input!$1:$1048576,Y$93,$C532*2+MIN($B532,2)+5)
++INDEX(Scenarios!Y$121:Y$200,MATCH($B532,Scenarios!$B$121:$B$200,0))</f>
        <v>-1098.3618966787526</v>
      </c>
      <c r="Z532" s="477">
        <f>INDEX(Input!$1:$1048576,Z$93,$C532*2+MIN($B532,2)+5)
+INDEX(Scenarios!Z$121:Z$200,MATCH($B532,Scenarios!$B$121:$B$200,0))</f>
        <v>0</v>
      </c>
      <c r="AA532" s="475">
        <f>INDEX(Input!$1:$1048576,AA$93,$C532*2+MIN($B532,2)+5)</f>
        <v>500</v>
      </c>
      <c r="AB532" s="476">
        <f>INDEX(Input!$1:$1048576,AB$93,$C532*2+MIN($B532,2)+5)</f>
        <v>0.43</v>
      </c>
      <c r="AC532" s="475">
        <f>INDEX(Input!$1:$1048576,AC$93,$C532*2+MIN($B532,2)+5)
+INDEX(Scenarios!AC$121:AC$200,MATCH($B532,Scenarios!$B$121:$B$200,0))</f>
        <v>0</v>
      </c>
      <c r="AD532" s="476">
        <f>INDEX(Input!$1:$1048576,AD$93,$C532*2+MIN($B532,2)+5)</f>
        <v>0.35</v>
      </c>
      <c r="AE532" s="475">
        <f>INDEX(Input!$1:$1048576,AE$93,$C532*2+MIN($B532,2)+5)
+INDEX(Scenarios!AE$121:AE$200,MATCH($B532,Scenarios!$B$121:$B$200,0))</f>
        <v>0</v>
      </c>
      <c r="AF532" s="476">
        <f>INDEX(Input!$1:$1048576,AF$93,$C532*2+MIN($B532,2)+5)</f>
        <v>1</v>
      </c>
      <c r="AG532" s="475">
        <f>INDEX(Input!$1:$1048576,AG$93,$C532*2+MIN($B532,2)+5)
+INDEX(Scenarios!AG$121:AG$200,MATCH($B532,Scenarios!$B$121:$B$200,0))</f>
        <v>0</v>
      </c>
      <c r="AH532" s="476">
        <f>INDEX(Input!$1:$1048576,AH$93,$C532*2+MIN($B532,2)+5)</f>
        <v>1</v>
      </c>
      <c r="AI532" s="475">
        <f>INDEX(Input!$1:$1048576,AI$93,$C532*2+MIN($B532,2)+5)
+INDEX(Scenarios!AI$121:AI$200,MATCH($B532,Scenarios!$B$121:$B$200,0))</f>
        <v>0</v>
      </c>
      <c r="AJ532" s="476">
        <f>INDEX(Input!$1:$1048576,AJ$93,$C532*2+MIN($B532,2)+5)</f>
        <v>0.35</v>
      </c>
      <c r="AK532" s="150">
        <f>ROUND(INDEX(Input!$1:$1048576,AK$93,$C531*2+MIN($B532,1)+5)+(Y532-VLOOKUP($C532*1000+1,$A:$HH,Y$92,FALSE)),0)</f>
        <v>4592</v>
      </c>
      <c r="AL532" s="150">
        <f>ROUND(INDEX(Input!$1:$1048576,AL$93,$C531*2+MIN($B532,1)+5)-(Y532-VLOOKUP($C532*1000+1,$A:$HH,Y$92,FALSE))/36,0)</f>
        <v>4743</v>
      </c>
      <c r="AM532" s="32" t="str">
        <f t="shared" si="1665"/>
        <v>std/std/std/std</v>
      </c>
      <c r="AN532" s="32" t="str">
        <f t="shared" si="1666"/>
        <v>$500 + 0/0/0/1.9/3.9</v>
      </c>
      <c r="AO532" s="32" t="str">
        <f t="shared" si="1667"/>
        <v>0/0/0/1.9/3.9</v>
      </c>
      <c r="AP532" s="32" t="str">
        <f t="shared" si="1621"/>
        <v>0/0.9/1.9/3.9</v>
      </c>
      <c r="AQ532" s="536">
        <f t="shared" si="1620"/>
        <v>0.47330131089181071</v>
      </c>
      <c r="AR532" s="32"/>
      <c r="AS532" s="302"/>
      <c r="AT532" s="3">
        <f t="shared" si="1688"/>
        <v>32</v>
      </c>
      <c r="AU532" s="41" t="s">
        <v>121</v>
      </c>
      <c r="AV532" s="41" t="s">
        <v>116</v>
      </c>
      <c r="AW532" s="41" t="str">
        <f>INDEX(Input!$1:$1048576,AW$93,$C532*2+6)</f>
        <v>Kia</v>
      </c>
      <c r="AX532" s="41" t="str">
        <f>INDEX(Input!$1:$1048576,AX$93,$C532*2+6)</f>
        <v>Kia-LR - R2</v>
      </c>
      <c r="AY532" s="41" t="str">
        <f>IF(LEN(D532)=0,"",INDEX(Input!$1:$1048576,AY$93,$C532*2+6))</f>
        <v>Compact Conventional/Sporty Car (43)</v>
      </c>
      <c r="AZ532" s="41" t="str">
        <f>INDEX(Input!$1:$1048576,AZ$93,$C532*2+6)</f>
        <v>Kia Forte</v>
      </c>
      <c r="BA532" s="3">
        <f>INDEX(Input!$1:$1048576,BA$93,$C532*2+6)</f>
        <v>2020</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19695</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622"/>
        <v>1750</v>
      </c>
      <c r="CJ532" s="16" t="str">
        <f>INDEX(Input!$1:$1048576,CJ$93,$C532*2+6)</f>
        <v>N</v>
      </c>
      <c r="CK532" s="1" t="str">
        <f t="shared" si="1623"/>
        <v>Market</v>
      </c>
      <c r="CL532" s="1" t="str">
        <f t="shared" si="1624"/>
        <v>Market</v>
      </c>
      <c r="CM532" s="1" t="str">
        <f t="shared" si="1625"/>
        <v>Market</v>
      </c>
      <c r="CN532" s="1" t="str">
        <f t="shared" si="1626"/>
        <v>Market</v>
      </c>
      <c r="CO532" s="1" t="str">
        <f t="shared" si="1627"/>
        <v>Market</v>
      </c>
      <c r="CP532" s="304">
        <f t="shared" si="1628"/>
        <v>715</v>
      </c>
      <c r="CQ532" s="1">
        <f t="shared" si="1629"/>
        <v>0</v>
      </c>
      <c r="CR532" s="1">
        <f t="shared" si="1630"/>
        <v>0</v>
      </c>
      <c r="CS532" s="1">
        <f t="shared" si="1631"/>
        <v>0</v>
      </c>
      <c r="CT532" s="1">
        <f t="shared" si="1632"/>
        <v>1.9E-2</v>
      </c>
      <c r="CU532" s="1">
        <f t="shared" si="1633"/>
        <v>3.9E-2</v>
      </c>
      <c r="CV532" s="304">
        <f t="shared" si="1634"/>
        <v>-1098.3618966787526</v>
      </c>
      <c r="CW532" s="20" t="s">
        <v>122</v>
      </c>
      <c r="CX532" s="20" t="s">
        <v>122</v>
      </c>
      <c r="CY532" s="20" t="s">
        <v>122</v>
      </c>
      <c r="CZ532" s="20" t="s">
        <v>122</v>
      </c>
      <c r="DA532" s="20" t="s">
        <v>122</v>
      </c>
      <c r="DB532" s="503">
        <f t="shared" si="1635"/>
        <v>0</v>
      </c>
      <c r="DC532" s="127">
        <v>0</v>
      </c>
      <c r="DD532" s="127">
        <v>0</v>
      </c>
      <c r="DE532" s="127">
        <v>0</v>
      </c>
      <c r="DF532" s="127">
        <v>0</v>
      </c>
      <c r="DG532" s="127">
        <v>0</v>
      </c>
      <c r="DH532" s="127">
        <v>0</v>
      </c>
      <c r="DI532" s="127">
        <v>0</v>
      </c>
      <c r="DJ532" s="127">
        <v>0</v>
      </c>
      <c r="DK532" s="127">
        <v>0</v>
      </c>
      <c r="DL532" s="127">
        <v>0</v>
      </c>
      <c r="DM532" s="304">
        <f>INDEX(Input!$1:$1048576,DM$93,$C532*2+6)</f>
        <v>20731.578947368424</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4.4779624849106678E-2</v>
      </c>
      <c r="DZ532" s="7">
        <v>0</v>
      </c>
      <c r="EA532" s="7">
        <v>0.78589037186645661</v>
      </c>
      <c r="EB532" s="7">
        <v>0</v>
      </c>
      <c r="EC532" s="7">
        <v>0</v>
      </c>
      <c r="ED532" s="7">
        <v>0</v>
      </c>
      <c r="EE532" s="7">
        <v>0</v>
      </c>
      <c r="EF532" s="7">
        <v>0</v>
      </c>
      <c r="EG532" s="7">
        <v>0</v>
      </c>
      <c r="EH532" s="7">
        <v>1.4451848788613979E-2</v>
      </c>
      <c r="EI532" s="7">
        <v>1.81896187826859E-2</v>
      </c>
      <c r="EJ532" s="7">
        <v>0.2678063011195424</v>
      </c>
      <c r="EK532" s="7">
        <v>0.65318221558515532</v>
      </c>
      <c r="EL532" s="7">
        <v>4.6370015724001915E-2</v>
      </c>
      <c r="EM532" s="7">
        <v>6.9725838104414281E-2</v>
      </c>
      <c r="EN532" s="7">
        <v>4.7388689339668638E-2</v>
      </c>
      <c r="EO532" s="7">
        <v>0.58257550881996101</v>
      </c>
      <c r="EP532" s="7">
        <v>0.25106322141991183</v>
      </c>
      <c r="EQ532" s="7">
        <v>7.2207491863327172E-2</v>
      </c>
      <c r="ER532" s="7">
        <v>4.6765088557131004E-2</v>
      </c>
      <c r="ES532" s="7">
        <v>9.960416518002238E-2</v>
      </c>
      <c r="ET532" s="7">
        <v>0.1693300032844367</v>
      </c>
      <c r="EU532" s="6">
        <v>2100</v>
      </c>
      <c r="EV532" s="6">
        <v>0</v>
      </c>
      <c r="EW532" s="6">
        <v>2100</v>
      </c>
      <c r="EX532" s="6">
        <v>0</v>
      </c>
      <c r="EY532" s="6">
        <v>3131.6392955809738</v>
      </c>
      <c r="EZ532" s="6">
        <v>-1723.0908300335955</v>
      </c>
      <c r="FA532" s="6">
        <v>0</v>
      </c>
      <c r="FB532" s="6">
        <v>0</v>
      </c>
      <c r="FC532" s="6">
        <v>0</v>
      </c>
      <c r="FD532" s="6">
        <v>0</v>
      </c>
      <c r="FE532" s="6">
        <v>0</v>
      </c>
      <c r="FF532" s="6">
        <v>0</v>
      </c>
      <c r="FG532" s="6">
        <v>0</v>
      </c>
      <c r="FH532" s="6">
        <v>1153.9905486779801</v>
      </c>
      <c r="FI532" s="6">
        <v>1531.4299904380612</v>
      </c>
      <c r="FJ532" s="6">
        <v>2070.7205842538219</v>
      </c>
      <c r="FK532" s="6">
        <v>1746.9903521590436</v>
      </c>
      <c r="FL532" s="6">
        <v>893.91433563489397</v>
      </c>
      <c r="FM532" s="6">
        <v>1781.6392955809738</v>
      </c>
      <c r="FN532" s="6">
        <v>0</v>
      </c>
      <c r="FO532" s="6">
        <v>0</v>
      </c>
      <c r="FP532" s="6">
        <v>0</v>
      </c>
      <c r="FQ532" s="6">
        <v>0</v>
      </c>
      <c r="FR532" s="6">
        <v>0</v>
      </c>
      <c r="FS532" s="6">
        <v>0</v>
      </c>
      <c r="FT532" s="7">
        <v>0.8306699967155633</v>
      </c>
      <c r="FU532" s="7">
        <v>6.9725838104414281E-2</v>
      </c>
      <c r="FV532" s="7">
        <v>9.960416518002238E-2</v>
      </c>
      <c r="FW532" s="6">
        <v>2100</v>
      </c>
      <c r="FX532" s="6">
        <v>3131.6392955809738</v>
      </c>
      <c r="FY532" s="6">
        <v>-1723.0908300335955</v>
      </c>
      <c r="FZ532" s="6">
        <v>2411.9063952864503</v>
      </c>
      <c r="GA532" s="6">
        <v>1791.1361439729358</v>
      </c>
      <c r="GB532" s="6">
        <v>17903.863856027063</v>
      </c>
      <c r="GC532" s="7">
        <v>7.6138913542514425E-2</v>
      </c>
      <c r="GD532" s="7">
        <v>6.9718793910928042E-2</v>
      </c>
      <c r="GE532" s="7"/>
      <c r="GF532" s="7"/>
      <c r="GG532" s="7">
        <v>-8.4321135315406331E-2</v>
      </c>
      <c r="GH532" s="42">
        <v>2.6752325139984898</v>
      </c>
      <c r="GI532" s="6">
        <v>9153.113055117461</v>
      </c>
      <c r="GJ532" s="14">
        <v>0.51074630601039539</v>
      </c>
      <c r="GK532" s="14">
        <v>0.50829519786160993</v>
      </c>
      <c r="GL532" s="14">
        <v>0.48925369398960439</v>
      </c>
      <c r="GM532" s="14">
        <v>0.49170480213839018</v>
      </c>
      <c r="GO532" s="5">
        <v>338.16872463277008</v>
      </c>
      <c r="GP532" s="5">
        <v>298.1047308538179</v>
      </c>
      <c r="GQ532" s="5">
        <v>527.27910984145694</v>
      </c>
      <c r="GR532" s="5">
        <v>404.20319246551543</v>
      </c>
      <c r="GS532" s="5">
        <v>334.50205195691484</v>
      </c>
      <c r="GT532" s="5">
        <v>289.18266033348181</v>
      </c>
      <c r="GU532" s="5">
        <v>254.29573314828914</v>
      </c>
      <c r="GV532" s="39" t="s">
        <v>392</v>
      </c>
      <c r="GW532" s="5">
        <v>454.875</v>
      </c>
      <c r="GX532" s="5">
        <v>341.15625</v>
      </c>
      <c r="GY532" s="5">
        <v>272.92500000000001</v>
      </c>
      <c r="GZ532" s="5">
        <v>240.82751152063875</v>
      </c>
      <c r="HA532" s="5">
        <v>223.08053899211657</v>
      </c>
      <c r="HB532" s="39">
        <v>253.51881723329618</v>
      </c>
      <c r="HC532" s="5">
        <v>358.50084881396981</v>
      </c>
      <c r="HD532" s="5">
        <v>287.77900980034525</v>
      </c>
      <c r="HE532" s="5">
        <v>285.23787161201437</v>
      </c>
      <c r="HF532" s="5">
        <v>257.54964978663213</v>
      </c>
      <c r="HG532" s="5">
        <v>240.60084178617024</v>
      </c>
      <c r="HH532" s="39">
        <v>286.10336124688649</v>
      </c>
      <c r="HI532" s="16"/>
      <c r="HJ532" s="19" t="str">
        <f t="shared" si="1737"/>
        <v>On</v>
      </c>
      <c r="HK532" s="1" t="str">
        <f t="shared" si="1737"/>
        <v>On</v>
      </c>
      <c r="HL532" s="16"/>
      <c r="HM532" s="639">
        <f t="shared" si="1636"/>
        <v>5.1181272167489952E-2</v>
      </c>
      <c r="HN532" s="639">
        <f t="shared" si="1637"/>
        <v>4.2792051795134348E-3</v>
      </c>
      <c r="HO532" s="639">
        <f t="shared" si="1638"/>
        <v>7.4145241462331068E-3</v>
      </c>
      <c r="HP532" s="644">
        <f>(FT532*$GD532-HM532)/$JF532*INDEX(Input!$1:$1048576,$JG$93,$C532*2+6)</f>
        <v>79.446078447258301</v>
      </c>
      <c r="HQ532" s="644">
        <f>(FU532*$GD532-HN532)/$JF532*INDEX(Input!$1:$1048576,$JG$93,$C532*2+6)</f>
        <v>6.8682487260415002</v>
      </c>
      <c r="HR532" s="644">
        <f>(FV532*$GD532-HO532)/$JF532*INDEX(Input!$1:$1048576,$JG$93,$C532*2+6)</f>
        <v>-5.5494149931644223</v>
      </c>
      <c r="HS532" s="644">
        <f t="shared" si="1639"/>
        <v>-16.867352625801626</v>
      </c>
      <c r="HT532" s="644">
        <f t="shared" si="1640"/>
        <v>47.20831789722817</v>
      </c>
      <c r="HU532" s="644">
        <f t="shared" si="1641"/>
        <v>8.0341964127650858</v>
      </c>
      <c r="HV532" s="648">
        <f t="shared" si="1642"/>
        <v>0</v>
      </c>
      <c r="HW532" s="648">
        <f t="shared" si="1643"/>
        <v>0</v>
      </c>
      <c r="HX532" s="648">
        <f t="shared" si="1644"/>
        <v>0</v>
      </c>
      <c r="HY532" s="644">
        <f>INDEX(Input!$1:$1048576,HY$93,$C532*2+6)*INDEX(Input!$1:$1048576,$JG$93,$C532*2+6)</f>
        <v>345</v>
      </c>
      <c r="HZ532" s="644">
        <f>INDEX(Input!$1:$1048576,HZ$93,$C532*2+6)*INDEX(Input!$1:$1048576,$JG$93,$C532*2+6)</f>
        <v>299</v>
      </c>
      <c r="IA532" s="644">
        <f>INDEX(Input!$1:$1048576,IA$93,$C532*2+6)*INDEX(Input!$1:$1048576,$JG$93,$C532*2+6)</f>
        <v>98</v>
      </c>
      <c r="IB532" s="644">
        <f t="shared" si="1668"/>
        <v>407.57872582145666</v>
      </c>
      <c r="IC532" s="644">
        <f t="shared" si="1669"/>
        <v>353.07656662326963</v>
      </c>
      <c r="ID532" s="644">
        <f>IF(AND(INDEX(Input!$1:$1048576,IA$93,$C532*2+7)="TOS",Y532&lt;=INDEX(Y:Y,MATCH(C532*1000+2,A:A))),0,1)*MAX(IA532+HR532+HU532+HX532,0%)</f>
        <v>100.48478141960067</v>
      </c>
      <c r="IE532" s="128">
        <f t="shared" si="1738"/>
        <v>0.47330131089181071</v>
      </c>
      <c r="IF532" s="128">
        <f t="shared" si="1691"/>
        <v>0.41001060958509872</v>
      </c>
      <c r="IG532" s="128">
        <f t="shared" si="1646"/>
        <v>0.11668807952309056</v>
      </c>
      <c r="IH532" s="21"/>
      <c r="II532" s="19">
        <f t="shared" si="1647"/>
        <v>1200</v>
      </c>
      <c r="IJ532" s="19">
        <f t="shared" si="1648"/>
        <v>2231.5440334087361</v>
      </c>
      <c r="IK532" s="19">
        <f t="shared" si="1649"/>
        <v>-2048.0908300335955</v>
      </c>
      <c r="IL532" s="19">
        <f t="shared" si="1671"/>
        <v>900</v>
      </c>
      <c r="IM532" s="19">
        <f t="shared" si="1650"/>
        <v>900.09526217223765</v>
      </c>
      <c r="IN532" s="19">
        <f t="shared" si="1651"/>
        <v>325</v>
      </c>
      <c r="IO532" s="39">
        <f t="shared" si="1652"/>
        <v>0</v>
      </c>
      <c r="IP532" s="39">
        <f t="shared" si="1653"/>
        <v>0</v>
      </c>
      <c r="IQ532" s="39">
        <f t="shared" si="1654"/>
        <v>0</v>
      </c>
      <c r="IR532" s="39">
        <v>0</v>
      </c>
      <c r="IS532" s="39">
        <v>0</v>
      </c>
      <c r="IT532" s="39">
        <v>0</v>
      </c>
      <c r="IU532" s="39">
        <v>0</v>
      </c>
      <c r="IV532" s="39">
        <v>0</v>
      </c>
      <c r="IW532" s="39">
        <v>0</v>
      </c>
      <c r="IX532" s="39">
        <f>INDEX(Input!$1:$1048576,IX$93,$C532*2+6)+INDEX(Input!$1:$1048576,IX$94,$C532*2+6)</f>
        <v>1600</v>
      </c>
      <c r="IY532" s="39">
        <f>INDEX(Input!$1:$1048576,IY$93,$C532*2+6)+INDEX(Input!$1:$1048576,IY$94,$C532*2+6)</f>
        <v>2503.5492916397525</v>
      </c>
      <c r="IZ532" s="39">
        <f>INDEX(Input!$1:$1048576,IZ$93,$C532*2+6)+INDEX(Input!$1:$1048576,IZ$94,$C532*2+6)</f>
        <v>5413.7109265464023</v>
      </c>
      <c r="JA532" s="19">
        <f t="shared" si="1672"/>
        <v>2500</v>
      </c>
      <c r="JB532" s="19">
        <f t="shared" si="1673"/>
        <v>3403.6445538119901</v>
      </c>
      <c r="JC532" s="19">
        <f t="shared" si="1674"/>
        <v>5738.7109265464023</v>
      </c>
      <c r="JD532" s="19">
        <f t="shared" si="1675"/>
        <v>3248.4228125058571</v>
      </c>
      <c r="JE532" s="21"/>
      <c r="JF532" s="1">
        <f t="shared" si="1655"/>
        <v>6.2875001493236493E-2</v>
      </c>
      <c r="JG532" s="15">
        <f>INDEX(Input!$1:$1048576,JG$93,$C532*2+6)/(1+VLOOKUP(C532*1000+INDEX(Input!$1:$1048576,JG$93+1,$C532*2+6),$A:$KK,$JK$92,FALSE))</f>
        <v>742</v>
      </c>
      <c r="JH532" s="1">
        <f t="shared" si="1676"/>
        <v>0.10884759053926601</v>
      </c>
      <c r="JI532" s="1">
        <f t="shared" si="1677"/>
        <v>5.1718546744193572E-2</v>
      </c>
      <c r="JJ532" s="1">
        <f t="shared" si="1715"/>
        <v>0</v>
      </c>
      <c r="JK532" s="1">
        <f t="shared" si="1719"/>
        <v>0.16056613728345959</v>
      </c>
      <c r="JL532" s="15">
        <f t="shared" si="1680"/>
        <v>119.14007386432701</v>
      </c>
      <c r="JM532" s="15">
        <f t="shared" si="1706"/>
        <v>861.14007386432695</v>
      </c>
      <c r="JN532" s="21"/>
      <c r="JO532" s="19">
        <f>INDEX(Input!$1:$1048576,JO$93,$C532*2+6)</f>
        <v>5908.5</v>
      </c>
      <c r="JP532" s="19">
        <f>INDEX(Input!$1:$1048576,JP$93,$C532*2+6)</f>
        <v>2467.7963733178344</v>
      </c>
      <c r="JQ532" s="39">
        <f t="shared" si="1692"/>
        <v>2660.0771874941429</v>
      </c>
      <c r="JR532" s="39">
        <f t="shared" si="1709"/>
        <v>780.62643918802269</v>
      </c>
      <c r="JS532" s="39">
        <f t="shared" si="1694"/>
        <v>2.7973470607038582</v>
      </c>
      <c r="JT532" s="39">
        <f t="shared" si="1682"/>
        <v>0.96624215170202521</v>
      </c>
      <c r="JU532" s="385">
        <f>(JQ532*JM532-INDEX(Input!$1:$1048576,Input!A$18,$C532*2+6)*JL532*INDEX(Input!$1:$1048576,Input!A$19,$C532*2+6))/1000000</f>
        <v>2.2906990657235173</v>
      </c>
      <c r="JV532" s="39">
        <f t="shared" si="1716"/>
        <v>-0.26230302527464922</v>
      </c>
      <c r="JW532" s="1">
        <f t="shared" si="1707"/>
        <v>-0.1027429731450375</v>
      </c>
      <c r="JX532" s="19">
        <f t="shared" si="1698"/>
        <v>8110.1355770716709</v>
      </c>
      <c r="JZ532" s="341"/>
      <c r="KA532" s="342"/>
      <c r="KB532" s="469">
        <f t="shared" si="1695"/>
        <v>2.4623520912331753</v>
      </c>
      <c r="KI532" s="473">
        <f t="shared" si="1722"/>
        <v>62.578725821456658</v>
      </c>
      <c r="KJ532" s="473">
        <f t="shared" si="1723"/>
        <v>54.076566623269628</v>
      </c>
      <c r="KK532" s="473">
        <f t="shared" si="1684"/>
        <v>2.4847814196006652</v>
      </c>
      <c r="KN532" s="544">
        <f t="shared" si="1699"/>
        <v>5002</v>
      </c>
      <c r="KO532" s="541">
        <f t="shared" si="1659"/>
        <v>7.8379144069851359E-2</v>
      </c>
      <c r="KP532" s="546">
        <f t="shared" si="1660"/>
        <v>441.68058451796321</v>
      </c>
      <c r="KQ532" s="546">
        <f t="shared" si="1661"/>
        <v>389.65036635414799</v>
      </c>
      <c r="KR532" s="548">
        <f t="shared" si="1662"/>
        <v>2.987700051330211</v>
      </c>
      <c r="KS532" s="548">
        <f t="shared" si="1663"/>
        <v>3.3866492090924951</v>
      </c>
      <c r="KT532" s="473">
        <f t="shared" si="1697"/>
        <v>389.37465324503302</v>
      </c>
      <c r="KU532" s="663">
        <f t="shared" si="1685"/>
        <v>7.345878703558383</v>
      </c>
      <c r="KV532" s="117"/>
    </row>
    <row r="533" spans="1:308" s="26" customFormat="1" ht="15">
      <c r="A533" s="561">
        <f t="shared" si="1664"/>
        <v>5033</v>
      </c>
      <c r="B533" s="561">
        <f t="shared" si="1686"/>
        <v>33</v>
      </c>
      <c r="C533" s="561">
        <f t="shared" si="1687"/>
        <v>5</v>
      </c>
      <c r="D533" s="561" t="str">
        <f t="shared" si="1736"/>
        <v xml:space="preserve">750 CC, 750 Combo, </v>
      </c>
      <c r="E533" s="475">
        <f>INDEX(Input!$1:$1048576,E$93,$C533*2+MIN($B533,2)+5)
+INDEX(Scenarios!E$121:E$200,MATCH($B533,Scenarios!$B$121:$B$200,0))</f>
        <v>2000</v>
      </c>
      <c r="F533" s="475">
        <f>INDEX(Input!$1:$1048576,F$93,$C533*2+MIN($B533,2)+5)
+INDEX(Scenarios!F$121:F$200,MATCH($B533,Scenarios!$B$121:$B$200,0))</f>
        <v>0</v>
      </c>
      <c r="G533" s="475">
        <f>INDEX(Input!$1:$1048576,G$93,$C533*2+MIN($B533,2)+5)
+INDEX(Scenarios!G$121:G$200,MATCH($B533,Scenarios!$B$121:$B$200,0))</f>
        <v>0</v>
      </c>
      <c r="H533" s="475">
        <f>INDEX(Input!$1:$1048576,H$93,$C533*2+MIN($B533,2)+5)
+INDEX(Scenarios!H$121:H$200,MATCH($B533,Scenarios!$B$121:$B$200,0))</f>
        <v>0</v>
      </c>
      <c r="I533" s="476">
        <f>INDEX(Input!$1:$1048576,I$93,$C533*2+MIN($B533,2)+5)</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+INDEX(Scenarios!Q$121:Q$200,MATCH($B533,Scenarios!$B$121:$B$200,0))</f>
        <v>750</v>
      </c>
      <c r="R533" s="478">
        <f>IFERROR(MAX(0,INDEX(Input!$1:$1048576,R$93,$C533*2+MIN($B533,2)+5)
+INDEX(Scenarios!R$121:R$200,MATCH($B533,Scenarios!$B$121:$B$200,0)),),"Market")</f>
        <v>0</v>
      </c>
      <c r="S533" s="478">
        <f>IFERROR(MAX(0,INDEX(Input!$1:$1048576,S$93,$C533*2+MIN($B533,2)+5)
+INDEX(Scenarios!S$121:S$200,MATCH($B533,Scenarios!$B$121:$B$200,0)),),"Market")</f>
        <v>0</v>
      </c>
      <c r="T533" s="478">
        <f>IFERROR(MAX(0,INDEX(Input!$1:$1048576,T$93,$C533*2+MIN($B533,2)+5)
+INDEX(Scenarios!T$121:T$200,MATCH($B533,Scenarios!$B$121:$B$200,0)),),"Market")</f>
        <v>0</v>
      </c>
      <c r="U533" s="478">
        <f>IFERROR(MAX(0,INDEX(Input!$1:$1048576,U$93,$C533*2+MIN($B533,2)+5)
+INDEX(Scenarios!U$121:U$200,MATCH($B533,Scenarios!$B$121:$B$200,0)),),"Market")</f>
        <v>0</v>
      </c>
      <c r="V533" s="478">
        <f>IFERROR(MAX(0,INDEX(Input!$1:$1048576,V$93,$C533*2+MIN($B533,2)+5)
+INDEX(Scenarios!V$121:V$200,MATCH($B533,Scenarios!$B$121:$B$200,0)),),"Market")</f>
        <v>1.9E-2</v>
      </c>
      <c r="W533" s="863">
        <f>IFERROR(MAX(0,INDEX(Input!$1:$1048576,W$93,$C533*2+MIN($B533,2)+5)-0%,),"Market")</f>
        <v>3.9E-2</v>
      </c>
      <c r="X533" s="476" t="str">
        <f>INDEX(Input!$1:$1048576,X$93,$C533*2+MIN($B533,2)+5)</f>
        <v>Y</v>
      </c>
      <c r="Y533" s="475">
        <f>INDEX(Input!$1:$1048576,Y$93,$C533*2+MIN($B533,2)+5)
++INDEX(Scenarios!Y$121:Y$200,MATCH($B533,Scenarios!$B$121:$B$200,0))</f>
        <v>-1098.3618966787526</v>
      </c>
      <c r="Z533" s="477">
        <f>INDEX(Input!$1:$1048576,Z$93,$C533*2+MIN($B533,2)+5)
+INDEX(Scenarios!Z$121:Z$200,MATCH($B533,Scenarios!$B$121:$B$200,0))</f>
        <v>0</v>
      </c>
      <c r="AA533" s="475">
        <f>INDEX(Input!$1:$1048576,AA$93,$C533*2+MIN($B533,2)+5)</f>
        <v>500</v>
      </c>
      <c r="AB533" s="476">
        <f>INDEX(Input!$1:$1048576,AB$93,$C533*2+MIN($B533,2)+5)</f>
        <v>0.43</v>
      </c>
      <c r="AC533" s="475">
        <f>INDEX(Input!$1:$1048576,AC$93,$C533*2+MIN($B533,2)+5)
+INDEX(Scenarios!AC$121:AC$200,MATCH($B533,Scenarios!$B$121:$B$200,0))</f>
        <v>0</v>
      </c>
      <c r="AD533" s="476">
        <f>INDEX(Input!$1:$1048576,AD$93,$C533*2+MIN($B533,2)+5)</f>
        <v>0.35</v>
      </c>
      <c r="AE533" s="475">
        <f>INDEX(Input!$1:$1048576,AE$93,$C533*2+MIN($B533,2)+5)
+INDEX(Scenarios!AE$121:AE$200,MATCH($B533,Scenarios!$B$121:$B$200,0))</f>
        <v>0</v>
      </c>
      <c r="AF533" s="476">
        <f>INDEX(Input!$1:$1048576,AF$93,$C533*2+MIN($B533,2)+5)</f>
        <v>1</v>
      </c>
      <c r="AG533" s="475">
        <f>INDEX(Input!$1:$1048576,AG$93,$C533*2+MIN($B533,2)+5)
+INDEX(Scenarios!AG$121:AG$200,MATCH($B533,Scenarios!$B$121:$B$200,0))</f>
        <v>0</v>
      </c>
      <c r="AH533" s="476">
        <f>INDEX(Input!$1:$1048576,AH$93,$C533*2+MIN($B533,2)+5)</f>
        <v>1</v>
      </c>
      <c r="AI533" s="475">
        <f>INDEX(Input!$1:$1048576,AI$93,$C533*2+MIN($B533,2)+5)
+INDEX(Scenarios!AI$121:AI$200,MATCH($B533,Scenarios!$B$121:$B$200,0))</f>
        <v>0</v>
      </c>
      <c r="AJ533" s="476">
        <f>INDEX(Input!$1:$1048576,AJ$93,$C533*2+MIN($B533,2)+5)</f>
        <v>0.35</v>
      </c>
      <c r="AK533" s="150">
        <f>ROUND(INDEX(Input!$1:$1048576,AK$93,$C532*2+MIN($B533,1)+5)+(Y533-VLOOKUP($C533*1000+1,$A:$HH,Y$92,FALSE)),0)</f>
        <v>4592</v>
      </c>
      <c r="AL533" s="150">
        <f>ROUND(INDEX(Input!$1:$1048576,AL$93,$C532*2+MIN($B533,1)+5)-(Y533-VLOOKUP($C533*1000+1,$A:$HH,Y$92,FALSE))/36,0)</f>
        <v>4743</v>
      </c>
      <c r="AM533" s="32" t="str">
        <f t="shared" si="1665"/>
        <v>std/std/std/std</v>
      </c>
      <c r="AN533" s="32" t="str">
        <f t="shared" si="1666"/>
        <v>$750 + 0/0/0/1.9/3.9</v>
      </c>
      <c r="AO533" s="32" t="str">
        <f t="shared" si="1667"/>
        <v>0/0/0/1.9/3.9</v>
      </c>
      <c r="AP533" s="32" t="str">
        <f t="shared" si="1621"/>
        <v>0/0.9/1.9/3.9</v>
      </c>
      <c r="AQ533" s="536">
        <f t="shared" si="1620"/>
        <v>0.47799610705711437</v>
      </c>
      <c r="AR533" s="32"/>
      <c r="AS533" s="302"/>
      <c r="AT533" s="3">
        <f t="shared" si="1688"/>
        <v>33</v>
      </c>
      <c r="AU533" s="41" t="s">
        <v>121</v>
      </c>
      <c r="AV533" s="41" t="s">
        <v>116</v>
      </c>
      <c r="AW533" s="41" t="str">
        <f>INDEX(Input!$1:$1048576,AW$93,$C533*2+6)</f>
        <v>Kia</v>
      </c>
      <c r="AX533" s="41" t="str">
        <f>INDEX(Input!$1:$1048576,AX$93,$C533*2+6)</f>
        <v>Kia-LR - R2</v>
      </c>
      <c r="AY533" s="41" t="str">
        <f>IF(LEN(D533)=0,"",INDEX(Input!$1:$1048576,AY$93,$C533*2+6))</f>
        <v>Compact Conventional/Sporty Car (43)</v>
      </c>
      <c r="AZ533" s="41" t="str">
        <f>INDEX(Input!$1:$1048576,AZ$93,$C533*2+6)</f>
        <v>Kia Forte</v>
      </c>
      <c r="BA533" s="3">
        <f>INDEX(Input!$1:$1048576,BA$93,$C533*2+6)</f>
        <v>2020</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19695</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622"/>
        <v>2000</v>
      </c>
      <c r="CJ533" s="16" t="str">
        <f>INDEX(Input!$1:$1048576,CJ$93,$C533*2+6)</f>
        <v>N</v>
      </c>
      <c r="CK533" s="1" t="str">
        <f t="shared" si="1623"/>
        <v>Market</v>
      </c>
      <c r="CL533" s="1" t="str">
        <f t="shared" si="1624"/>
        <v>Market</v>
      </c>
      <c r="CM533" s="1" t="str">
        <f t="shared" si="1625"/>
        <v>Market</v>
      </c>
      <c r="CN533" s="1" t="str">
        <f t="shared" si="1626"/>
        <v>Market</v>
      </c>
      <c r="CO533" s="1" t="str">
        <f t="shared" si="1627"/>
        <v>Market</v>
      </c>
      <c r="CP533" s="304">
        <f t="shared" si="1628"/>
        <v>965</v>
      </c>
      <c r="CQ533" s="1">
        <f t="shared" si="1629"/>
        <v>0</v>
      </c>
      <c r="CR533" s="1">
        <f t="shared" si="1630"/>
        <v>0</v>
      </c>
      <c r="CS533" s="1">
        <f t="shared" si="1631"/>
        <v>0</v>
      </c>
      <c r="CT533" s="1">
        <f t="shared" si="1632"/>
        <v>1.9E-2</v>
      </c>
      <c r="CU533" s="1">
        <f t="shared" si="1633"/>
        <v>3.9E-2</v>
      </c>
      <c r="CV533" s="304">
        <f t="shared" si="1634"/>
        <v>-1098.3618966787526</v>
      </c>
      <c r="CW533" s="20" t="s">
        <v>122</v>
      </c>
      <c r="CX533" s="20" t="s">
        <v>122</v>
      </c>
      <c r="CY533" s="20" t="s">
        <v>122</v>
      </c>
      <c r="CZ533" s="20" t="s">
        <v>122</v>
      </c>
      <c r="DA533" s="20" t="s">
        <v>122</v>
      </c>
      <c r="DB533" s="503">
        <f t="shared" si="1635"/>
        <v>0</v>
      </c>
      <c r="DC533" s="127">
        <v>0</v>
      </c>
      <c r="DD533" s="127">
        <v>0</v>
      </c>
      <c r="DE533" s="127">
        <v>0</v>
      </c>
      <c r="DF533" s="127">
        <v>0</v>
      </c>
      <c r="DG533" s="127">
        <v>0</v>
      </c>
      <c r="DH533" s="127">
        <v>0</v>
      </c>
      <c r="DI533" s="127">
        <v>0</v>
      </c>
      <c r="DJ533" s="127">
        <v>0</v>
      </c>
      <c r="DK533" s="127">
        <v>0</v>
      </c>
      <c r="DL533" s="127">
        <v>0</v>
      </c>
      <c r="DM533" s="304">
        <f>INDEX(Input!$1:$1048576,DM$93,$C533*2+6)</f>
        <v>20731.578947368424</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4.5252747388363213E-2</v>
      </c>
      <c r="DZ533" s="7">
        <v>0</v>
      </c>
      <c r="EA533" s="7">
        <v>0.79110130413068391</v>
      </c>
      <c r="EB533" s="7">
        <v>0</v>
      </c>
      <c r="EC533" s="7">
        <v>0</v>
      </c>
      <c r="ED533" s="7">
        <v>0</v>
      </c>
      <c r="EE533" s="7">
        <v>0</v>
      </c>
      <c r="EF533" s="7">
        <v>0</v>
      </c>
      <c r="EG533" s="7">
        <v>0</v>
      </c>
      <c r="EH533" s="7">
        <v>1.4454810763305756E-2</v>
      </c>
      <c r="EI533" s="7">
        <v>1.8189837847334918E-2</v>
      </c>
      <c r="EJ533" s="7">
        <v>0.26789132754853823</v>
      </c>
      <c r="EK533" s="7">
        <v>0.65309767546663822</v>
      </c>
      <c r="EL533" s="7">
        <v>4.6366348374182749E-2</v>
      </c>
      <c r="EM533" s="7">
        <v>7.0288444915661941E-2</v>
      </c>
      <c r="EN533" s="7">
        <v>4.7388678771896495E-2</v>
      </c>
      <c r="EO533" s="7">
        <v>0.58257303538650451</v>
      </c>
      <c r="EP533" s="7">
        <v>0.2510609045847767</v>
      </c>
      <c r="EQ533" s="7">
        <v>7.2206963896434606E-2</v>
      </c>
      <c r="ER533" s="7">
        <v>4.6770417360387471E-2</v>
      </c>
      <c r="ES533" s="7">
        <v>9.3357503565291017E-2</v>
      </c>
      <c r="ET533" s="7">
        <v>0.16364594848095282</v>
      </c>
      <c r="EU533" s="6">
        <v>2350</v>
      </c>
      <c r="EV533" s="6">
        <v>0</v>
      </c>
      <c r="EW533" s="6">
        <v>2350</v>
      </c>
      <c r="EX533" s="6">
        <v>0</v>
      </c>
      <c r="EY533" s="6">
        <v>3381.6681662058281</v>
      </c>
      <c r="EZ533" s="6">
        <v>-1723.0908300335955</v>
      </c>
      <c r="FA533" s="6">
        <v>0</v>
      </c>
      <c r="FB533" s="6">
        <v>0</v>
      </c>
      <c r="FC533" s="6">
        <v>0</v>
      </c>
      <c r="FD533" s="6">
        <v>0</v>
      </c>
      <c r="FE533" s="6">
        <v>0</v>
      </c>
      <c r="FF533" s="6">
        <v>0</v>
      </c>
      <c r="FG533" s="6">
        <v>0</v>
      </c>
      <c r="FH533" s="6">
        <v>1153.9919422036019</v>
      </c>
      <c r="FI533" s="6">
        <v>1531.4299904380625</v>
      </c>
      <c r="FJ533" s="6">
        <v>2070.7205842538228</v>
      </c>
      <c r="FK533" s="6">
        <v>1746.990352159045</v>
      </c>
      <c r="FL533" s="6">
        <v>893.91433563489409</v>
      </c>
      <c r="FM533" s="6">
        <v>1781.6681662058279</v>
      </c>
      <c r="FN533" s="6">
        <v>0</v>
      </c>
      <c r="FO533" s="6">
        <v>0</v>
      </c>
      <c r="FP533" s="6">
        <v>0</v>
      </c>
      <c r="FQ533" s="6">
        <v>0</v>
      </c>
      <c r="FR533" s="6">
        <v>0</v>
      </c>
      <c r="FS533" s="6">
        <v>0</v>
      </c>
      <c r="FT533" s="7">
        <v>0.83635405151904707</v>
      </c>
      <c r="FU533" s="7">
        <v>7.0288444915661941E-2</v>
      </c>
      <c r="FV533" s="7">
        <v>9.3357503565291017E-2</v>
      </c>
      <c r="FW533" s="6">
        <v>2350</v>
      </c>
      <c r="FX533" s="6">
        <v>3381.6681662058281</v>
      </c>
      <c r="FY533" s="6">
        <v>-1723.0908300335955</v>
      </c>
      <c r="FZ533" s="6">
        <v>2411.9063952864503</v>
      </c>
      <c r="GA533" s="6">
        <v>2042.2607593849848</v>
      </c>
      <c r="GB533" s="6">
        <v>17652.739240615014</v>
      </c>
      <c r="GC533" s="7">
        <v>7.6138913542514425E-2</v>
      </c>
      <c r="GD533" s="7">
        <v>7.1698892916128035E-2</v>
      </c>
      <c r="GE533" s="7"/>
      <c r="GF533" s="7"/>
      <c r="GG533" s="7">
        <v>-5.8314735787596612E-2</v>
      </c>
      <c r="GH533" s="42">
        <v>3.1070533770426203</v>
      </c>
      <c r="GI533" s="6">
        <v>8381.0639951202702</v>
      </c>
      <c r="GJ533" s="14">
        <v>0.5107463060103955</v>
      </c>
      <c r="GK533" s="14">
        <v>0.50829519786160982</v>
      </c>
      <c r="GL533" s="14">
        <v>0.48925369398960444</v>
      </c>
      <c r="GM533" s="14">
        <v>0.49170480213839046</v>
      </c>
      <c r="GO533" s="5">
        <v>338.16872463277008</v>
      </c>
      <c r="GP533" s="5">
        <v>293.33520778489498</v>
      </c>
      <c r="GQ533" s="5">
        <v>527.27910984145694</v>
      </c>
      <c r="GR533" s="5">
        <v>404.20319246551543</v>
      </c>
      <c r="GS533" s="5">
        <v>334.50205195691484</v>
      </c>
      <c r="GT533" s="5">
        <v>289.18266033348181</v>
      </c>
      <c r="GU533" s="5">
        <v>254.29573314828914</v>
      </c>
      <c r="GV533" s="39" t="s">
        <v>392</v>
      </c>
      <c r="GW533" s="5">
        <v>447.93055555555554</v>
      </c>
      <c r="GX533" s="5">
        <v>335.94791666666669</v>
      </c>
      <c r="GY533" s="5">
        <v>268.75833333333333</v>
      </c>
      <c r="GZ533" s="5">
        <v>237.15086788348813</v>
      </c>
      <c r="HA533" s="5">
        <v>219.67483322752744</v>
      </c>
      <c r="HB533" s="39">
        <v>249.65181664744381</v>
      </c>
      <c r="HC533" s="5">
        <v>358.50084881396981</v>
      </c>
      <c r="HD533" s="5">
        <v>287.77900980034525</v>
      </c>
      <c r="HE533" s="5">
        <v>285.23787161201437</v>
      </c>
      <c r="HF533" s="5">
        <v>257.54964978663213</v>
      </c>
      <c r="HG533" s="5">
        <v>240.60084178617024</v>
      </c>
      <c r="HH533" s="39">
        <v>286.10313094383832</v>
      </c>
      <c r="HI533" s="16"/>
      <c r="HJ533" s="19" t="str">
        <f t="shared" si="1737"/>
        <v>On</v>
      </c>
      <c r="HK533" s="1" t="str">
        <f t="shared" si="1737"/>
        <v>On</v>
      </c>
      <c r="HL533" s="16"/>
      <c r="HM533" s="639">
        <f t="shared" si="1636"/>
        <v>5.1181272167489952E-2</v>
      </c>
      <c r="HN533" s="639">
        <f t="shared" si="1637"/>
        <v>4.2792051795134348E-3</v>
      </c>
      <c r="HO533" s="639">
        <f t="shared" si="1638"/>
        <v>7.4145241462331068E-3</v>
      </c>
      <c r="HP533" s="644">
        <f>(FT533*$GD533-HM533)/$JF533*INDEX(Input!$1:$1048576,$JG$93,$C533*2+6)</f>
        <v>103.66624739818764</v>
      </c>
      <c r="HQ533" s="644">
        <f>(FU533*$GD533-HN533)/$JF533*INDEX(Input!$1:$1048576,$JG$93,$C533*2+6)</f>
        <v>8.9736091905562425</v>
      </c>
      <c r="HR533" s="644">
        <f>(FV533*$GD533-HO533)/$JF533*INDEX(Input!$1:$1048576,$JG$93,$C533*2+6)</f>
        <v>-8.507414755087245</v>
      </c>
      <c r="HS533" s="644">
        <f t="shared" si="1639"/>
        <v>-21.552728859869482</v>
      </c>
      <c r="HT533" s="644">
        <f t="shared" si="1640"/>
        <v>60.321871293246275</v>
      </c>
      <c r="HU533" s="644">
        <f t="shared" si="1641"/>
        <v>8.6486188254859133</v>
      </c>
      <c r="HV533" s="648">
        <f t="shared" si="1642"/>
        <v>0</v>
      </c>
      <c r="HW533" s="648">
        <f t="shared" si="1643"/>
        <v>0</v>
      </c>
      <c r="HX533" s="648">
        <f t="shared" si="1644"/>
        <v>0</v>
      </c>
      <c r="HY533" s="644">
        <f>INDEX(Input!$1:$1048576,HY$93,$C533*2+6)*INDEX(Input!$1:$1048576,$JG$93,$C533*2+6)</f>
        <v>345</v>
      </c>
      <c r="HZ533" s="644">
        <f>INDEX(Input!$1:$1048576,HZ$93,$C533*2+6)*INDEX(Input!$1:$1048576,$JG$93,$C533*2+6)</f>
        <v>299</v>
      </c>
      <c r="IA533" s="644">
        <f>INDEX(Input!$1:$1048576,IA$93,$C533*2+6)*INDEX(Input!$1:$1048576,$JG$93,$C533*2+6)</f>
        <v>98</v>
      </c>
      <c r="IB533" s="644">
        <f t="shared" si="1668"/>
        <v>427.1135185383182</v>
      </c>
      <c r="IC533" s="644">
        <f t="shared" si="1669"/>
        <v>368.29548048380252</v>
      </c>
      <c r="ID533" s="644">
        <f>IF(AND(INDEX(Input!$1:$1048576,IA$93,$C533*2+7)="TOS",Y533&lt;=INDEX(Y:Y,MATCH(C533*1000+2,A:A))),0,1)*MAX(IA533+HR533+HU533+HX533,0%)</f>
        <v>98.141204070398672</v>
      </c>
      <c r="IE533" s="128">
        <f t="shared" ref="IE533:IE536" si="1739">IB533/SUM($IB533:$ID533)</f>
        <v>0.47799610705711437</v>
      </c>
      <c r="IF533" s="128">
        <f t="shared" si="1691"/>
        <v>0.41217099969218934</v>
      </c>
      <c r="IG533" s="128">
        <f t="shared" si="1646"/>
        <v>0.10983289325069628</v>
      </c>
      <c r="IH533" s="21"/>
      <c r="II533" s="19">
        <f t="shared" si="1647"/>
        <v>1200</v>
      </c>
      <c r="IJ533" s="19">
        <f t="shared" si="1648"/>
        <v>2231.5440334087361</v>
      </c>
      <c r="IK533" s="19">
        <f t="shared" si="1649"/>
        <v>-2048.0908300335955</v>
      </c>
      <c r="IL533" s="19">
        <f t="shared" si="1671"/>
        <v>1150</v>
      </c>
      <c r="IM533" s="19">
        <f t="shared" si="1650"/>
        <v>1150.124132797092</v>
      </c>
      <c r="IN533" s="19">
        <f t="shared" si="1651"/>
        <v>325</v>
      </c>
      <c r="IO533" s="39">
        <f t="shared" si="1652"/>
        <v>0</v>
      </c>
      <c r="IP533" s="39">
        <f t="shared" si="1653"/>
        <v>0</v>
      </c>
      <c r="IQ533" s="39">
        <f t="shared" si="1654"/>
        <v>0</v>
      </c>
      <c r="IR533" s="39">
        <v>0</v>
      </c>
      <c r="IS533" s="39">
        <v>0</v>
      </c>
      <c r="IT533" s="39">
        <v>0</v>
      </c>
      <c r="IU533" s="39">
        <v>0</v>
      </c>
      <c r="IV533" s="39">
        <v>0</v>
      </c>
      <c r="IW533" s="39">
        <v>0</v>
      </c>
      <c r="IX533" s="39">
        <f>INDEX(Input!$1:$1048576,IX$93,$C533*2+6)+INDEX(Input!$1:$1048576,IX$94,$C533*2+6)</f>
        <v>1600</v>
      </c>
      <c r="IY533" s="39">
        <f>INDEX(Input!$1:$1048576,IY$93,$C533*2+6)+INDEX(Input!$1:$1048576,IY$94,$C533*2+6)</f>
        <v>2503.5492916397525</v>
      </c>
      <c r="IZ533" s="39">
        <f>INDEX(Input!$1:$1048576,IZ$93,$C533*2+6)+INDEX(Input!$1:$1048576,IZ$94,$C533*2+6)</f>
        <v>5413.7109265464023</v>
      </c>
      <c r="JA533" s="19">
        <f t="shared" si="1672"/>
        <v>2750</v>
      </c>
      <c r="JB533" s="19">
        <f t="shared" si="1673"/>
        <v>3653.6734244368445</v>
      </c>
      <c r="JC533" s="19">
        <f t="shared" si="1674"/>
        <v>5738.7109265464023</v>
      </c>
      <c r="JD533" s="19">
        <f t="shared" si="1675"/>
        <v>3450.7267468979589</v>
      </c>
      <c r="JE533" s="21"/>
      <c r="JF533" s="1">
        <f t="shared" si="1655"/>
        <v>6.2875001493236493E-2</v>
      </c>
      <c r="JG533" s="15">
        <f>INDEX(Input!$1:$1048576,JG$93,$C533*2+6)/(1+VLOOKUP(C533*1000+INDEX(Input!$1:$1048576,JG$93+1,$C533*2+6),$A:$KK,$JK$92,FALSE))</f>
        <v>742</v>
      </c>
      <c r="JH533" s="1">
        <f t="shared" si="1676"/>
        <v>0.14034021810465855</v>
      </c>
      <c r="JI533" s="1">
        <f t="shared" si="1677"/>
        <v>6.3905338623804181E-2</v>
      </c>
      <c r="JJ533" s="1">
        <f t="shared" si="1715"/>
        <v>0</v>
      </c>
      <c r="JK533" s="1">
        <f t="shared" si="1719"/>
        <v>0.20424555672846273</v>
      </c>
      <c r="JL533" s="15">
        <f t="shared" si="1680"/>
        <v>151.55020309251935</v>
      </c>
      <c r="JM533" s="15">
        <f t="shared" si="1706"/>
        <v>893.55020309251938</v>
      </c>
      <c r="JN533" s="21"/>
      <c r="JO533" s="19">
        <f>INDEX(Input!$1:$1048576,JO$93,$C533*2+6)</f>
        <v>5908.5</v>
      </c>
      <c r="JP533" s="19">
        <f>INDEX(Input!$1:$1048576,JP$93,$C533*2+6)</f>
        <v>2467.7963733178344</v>
      </c>
      <c r="JQ533" s="39">
        <f t="shared" si="1692"/>
        <v>2457.7732531020411</v>
      </c>
      <c r="JR533" s="39">
        <f t="shared" si="1709"/>
        <v>982.93037358012452</v>
      </c>
      <c r="JS533" s="39">
        <f t="shared" si="1694"/>
        <v>3.08339758550746</v>
      </c>
      <c r="JT533" s="39">
        <f t="shared" si="1682"/>
        <v>1.2522926765056268</v>
      </c>
      <c r="JU533" s="385">
        <f>(JQ533*JM533-INDEX(Input!$1:$1048576,Input!A$18,$C533*2+6)*JL533*INDEX(Input!$1:$1048576,Input!A$19,$C533*2+6))/1000000</f>
        <v>2.1961437894646907</v>
      </c>
      <c r="JV533" s="39">
        <f t="shared" si="1716"/>
        <v>-0.35685830153347586</v>
      </c>
      <c r="JW533" s="1">
        <f t="shared" si="1707"/>
        <v>-0.1397798704481093</v>
      </c>
      <c r="JX533" s="19">
        <f t="shared" si="1698"/>
        <v>8263.220048218076</v>
      </c>
      <c r="JZ533" s="341"/>
      <c r="KA533" s="342"/>
      <c r="KB533" s="469">
        <f t="shared" si="1695"/>
        <v>2.4623520912331753</v>
      </c>
      <c r="KI533" s="473">
        <f t="shared" ref="KI533:KI536" si="1740">$JM533*IE533-$JG533*HY533/SUM($HY533:$IA533)</f>
        <v>82.113518538318203</v>
      </c>
      <c r="KJ533" s="473">
        <f t="shared" ref="KJ533:KJ536" si="1741">$JM533*IF533-$JG533*HZ533/SUM($HY533:$IA533)</f>
        <v>69.295480483802521</v>
      </c>
      <c r="KK533" s="473">
        <f t="shared" si="1684"/>
        <v>0.14120407039867189</v>
      </c>
      <c r="KN533" s="544">
        <f t="shared" si="1699"/>
        <v>5002</v>
      </c>
      <c r="KO533" s="541">
        <f t="shared" si="1659"/>
        <v>0.11896534888953059</v>
      </c>
      <c r="KP533" s="546">
        <f t="shared" si="1660"/>
        <v>667.66198372377778</v>
      </c>
      <c r="KQ533" s="546">
        <f t="shared" si="1661"/>
        <v>591.95430074624983</v>
      </c>
      <c r="KR533" s="548">
        <f t="shared" si="1662"/>
        <v>2.9999127309242342</v>
      </c>
      <c r="KS533" s="548">
        <f t="shared" si="1663"/>
        <v>3.3835849868851193</v>
      </c>
      <c r="KT533" s="473">
        <f t="shared" si="1697"/>
        <v>389.37465324503302</v>
      </c>
      <c r="KU533" s="663">
        <f t="shared" si="1685"/>
        <v>7.390289607008131</v>
      </c>
      <c r="KV533" s="117"/>
    </row>
    <row r="534" spans="1:308" s="26" customFormat="1" ht="15">
      <c r="A534" s="561">
        <f t="shared" si="1664"/>
        <v>5034</v>
      </c>
      <c r="B534" s="561">
        <f t="shared" si="1686"/>
        <v>34</v>
      </c>
      <c r="C534" s="561">
        <f t="shared" si="1687"/>
        <v>5</v>
      </c>
      <c r="D534" s="561" t="str">
        <f t="shared" si="1736"/>
        <v xml:space="preserve">1000 CC, 1000 Combo, </v>
      </c>
      <c r="E534" s="475">
        <f>INDEX(Input!$1:$1048576,E$93,$C534*2+MIN($B534,2)+5)
+INDEX(Scenarios!E$121:E$200,MATCH($B534,Scenarios!$B$121:$B$200,0))</f>
        <v>2250</v>
      </c>
      <c r="F534" s="475">
        <f>INDEX(Input!$1:$1048576,F$93,$C534*2+MIN($B534,2)+5)
+INDEX(Scenarios!F$121:F$200,MATCH($B534,Scenarios!$B$121:$B$200,0))</f>
        <v>0</v>
      </c>
      <c r="G534" s="475">
        <f>INDEX(Input!$1:$1048576,G$93,$C534*2+MIN($B534,2)+5)
+INDEX(Scenarios!G$121:G$200,MATCH($B534,Scenarios!$B$121:$B$200,0))</f>
        <v>0</v>
      </c>
      <c r="H534" s="475">
        <f>INDEX(Input!$1:$1048576,H$93,$C534*2+MIN($B534,2)+5)
+INDEX(Scenarios!H$121:H$200,MATCH($B534,Scenarios!$B$121:$B$200,0))</f>
        <v>0</v>
      </c>
      <c r="I534" s="476">
        <f>INDEX(Input!$1:$1048576,I$93,$C534*2+MIN($B534,2)+5)</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+INDEX(Scenarios!Q$121:Q$200,MATCH($B534,Scenarios!$B$121:$B$200,0))</f>
        <v>1000</v>
      </c>
      <c r="R534" s="478">
        <f>IFERROR(MAX(0,INDEX(Input!$1:$1048576,R$93,$C534*2+MIN($B534,2)+5)
+INDEX(Scenarios!R$121:R$200,MATCH($B534,Scenarios!$B$121:$B$200,0)),),"Market")</f>
        <v>0</v>
      </c>
      <c r="S534" s="478">
        <f>IFERROR(MAX(0,INDEX(Input!$1:$1048576,S$93,$C534*2+MIN($B534,2)+5)
+INDEX(Scenarios!S$121:S$200,MATCH($B534,Scenarios!$B$121:$B$200,0)),),"Market")</f>
        <v>0</v>
      </c>
      <c r="T534" s="478">
        <f>IFERROR(MAX(0,INDEX(Input!$1:$1048576,T$93,$C534*2+MIN($B534,2)+5)
+INDEX(Scenarios!T$121:T$200,MATCH($B534,Scenarios!$B$121:$B$200,0)),),"Market")</f>
        <v>0</v>
      </c>
      <c r="U534" s="478">
        <f>IFERROR(MAX(0,INDEX(Input!$1:$1048576,U$93,$C534*2+MIN($B534,2)+5)
+INDEX(Scenarios!U$121:U$200,MATCH($B534,Scenarios!$B$121:$B$200,0)),),"Market")</f>
        <v>0</v>
      </c>
      <c r="V534" s="478">
        <f>IFERROR(MAX(0,INDEX(Input!$1:$1048576,V$93,$C534*2+MIN($B534,2)+5)
+INDEX(Scenarios!V$121:V$200,MATCH($B534,Scenarios!$B$121:$B$200,0)),),"Market")</f>
        <v>1.9E-2</v>
      </c>
      <c r="W534" s="863">
        <f>IFERROR(MAX(0,INDEX(Input!$1:$1048576,W$93,$C534*2+MIN($B534,2)+5)-0%,),"Market")</f>
        <v>3.9E-2</v>
      </c>
      <c r="X534" s="476" t="str">
        <f>INDEX(Input!$1:$1048576,X$93,$C534*2+MIN($B534,2)+5)</f>
        <v>Y</v>
      </c>
      <c r="Y534" s="475">
        <f>INDEX(Input!$1:$1048576,Y$93,$C534*2+MIN($B534,2)+5)
++INDEX(Scenarios!Y$121:Y$200,MATCH($B534,Scenarios!$B$121:$B$200,0))</f>
        <v>-1098.3618966787526</v>
      </c>
      <c r="Z534" s="477">
        <f>INDEX(Input!$1:$1048576,Z$93,$C534*2+MIN($B534,2)+5)
+INDEX(Scenarios!Z$121:Z$200,MATCH($B534,Scenarios!$B$121:$B$200,0))</f>
        <v>0</v>
      </c>
      <c r="AA534" s="475">
        <f>INDEX(Input!$1:$1048576,AA$93,$C534*2+MIN($B534,2)+5)</f>
        <v>500</v>
      </c>
      <c r="AB534" s="476">
        <f>INDEX(Input!$1:$1048576,AB$93,$C534*2+MIN($B534,2)+5)</f>
        <v>0.43</v>
      </c>
      <c r="AC534" s="475">
        <f>INDEX(Input!$1:$1048576,AC$93,$C534*2+MIN($B534,2)+5)
+INDEX(Scenarios!AC$121:AC$200,MATCH($B534,Scenarios!$B$121:$B$200,0))</f>
        <v>0</v>
      </c>
      <c r="AD534" s="476">
        <f>INDEX(Input!$1:$1048576,AD$93,$C534*2+MIN($B534,2)+5)</f>
        <v>0.35</v>
      </c>
      <c r="AE534" s="475">
        <f>INDEX(Input!$1:$1048576,AE$93,$C534*2+MIN($B534,2)+5)
+INDEX(Scenarios!AE$121:AE$200,MATCH($B534,Scenarios!$B$121:$B$200,0))</f>
        <v>0</v>
      </c>
      <c r="AF534" s="476">
        <f>INDEX(Input!$1:$1048576,AF$93,$C534*2+MIN($B534,2)+5)</f>
        <v>1</v>
      </c>
      <c r="AG534" s="475">
        <f>INDEX(Input!$1:$1048576,AG$93,$C534*2+MIN($B534,2)+5)
+INDEX(Scenarios!AG$121:AG$200,MATCH($B534,Scenarios!$B$121:$B$200,0))</f>
        <v>0</v>
      </c>
      <c r="AH534" s="476">
        <f>INDEX(Input!$1:$1048576,AH$93,$C534*2+MIN($B534,2)+5)</f>
        <v>1</v>
      </c>
      <c r="AI534" s="475">
        <f>INDEX(Input!$1:$1048576,AI$93,$C534*2+MIN($B534,2)+5)
+INDEX(Scenarios!AI$121:AI$200,MATCH($B534,Scenarios!$B$121:$B$200,0))</f>
        <v>0</v>
      </c>
      <c r="AJ534" s="476">
        <f>INDEX(Input!$1:$1048576,AJ$93,$C534*2+MIN($B534,2)+5)</f>
        <v>0.35</v>
      </c>
      <c r="AK534" s="150">
        <f>ROUND(INDEX(Input!$1:$1048576,AK$93,$C533*2+MIN($B534,1)+5)+(Y534-VLOOKUP($C534*1000+1,$A:$HH,Y$92,FALSE)),0)</f>
        <v>4592</v>
      </c>
      <c r="AL534" s="150">
        <f>ROUND(INDEX(Input!$1:$1048576,AL$93,$C533*2+MIN($B534,1)+5)-(Y534-VLOOKUP($C534*1000+1,$A:$HH,Y$92,FALSE))/36,0)</f>
        <v>4743</v>
      </c>
      <c r="AM534" s="32" t="str">
        <f t="shared" si="1665"/>
        <v>std/std/std/std</v>
      </c>
      <c r="AN534" s="32" t="str">
        <f t="shared" si="1666"/>
        <v>$1000 + 0/0/0/1.9/3.9</v>
      </c>
      <c r="AO534" s="32" t="str">
        <f t="shared" si="1667"/>
        <v>0/0/0/1.9/3.9</v>
      </c>
      <c r="AP534" s="32" t="str">
        <f t="shared" si="1621"/>
        <v>0/0.9/1.9/3.9</v>
      </c>
      <c r="AQ534" s="536">
        <f t="shared" si="1620"/>
        <v>0.4826425938672993</v>
      </c>
      <c r="AR534" s="32"/>
      <c r="AS534" s="302"/>
      <c r="AT534" s="3">
        <f t="shared" si="1688"/>
        <v>34</v>
      </c>
      <c r="AU534" s="41" t="s">
        <v>121</v>
      </c>
      <c r="AV534" s="41" t="s">
        <v>116</v>
      </c>
      <c r="AW534" s="41" t="str">
        <f>INDEX(Input!$1:$1048576,AW$93,$C534*2+6)</f>
        <v>Kia</v>
      </c>
      <c r="AX534" s="41" t="str">
        <f>INDEX(Input!$1:$1048576,AX$93,$C534*2+6)</f>
        <v>Kia-LR - R2</v>
      </c>
      <c r="AY534" s="41" t="str">
        <f>IF(LEN(D534)=0,"",INDEX(Input!$1:$1048576,AY$93,$C534*2+6))</f>
        <v>Compact Conventional/Sporty Car (43)</v>
      </c>
      <c r="AZ534" s="41" t="str">
        <f>INDEX(Input!$1:$1048576,AZ$93,$C534*2+6)</f>
        <v>Kia Forte</v>
      </c>
      <c r="BA534" s="3">
        <f>INDEX(Input!$1:$1048576,BA$93,$C534*2+6)</f>
        <v>2020</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19695</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622"/>
        <v>2250</v>
      </c>
      <c r="CJ534" s="16" t="str">
        <f>INDEX(Input!$1:$1048576,CJ$93,$C534*2+6)</f>
        <v>N</v>
      </c>
      <c r="CK534" s="1" t="str">
        <f t="shared" si="1623"/>
        <v>Market</v>
      </c>
      <c r="CL534" s="1" t="str">
        <f t="shared" si="1624"/>
        <v>Market</v>
      </c>
      <c r="CM534" s="1" t="str">
        <f t="shared" si="1625"/>
        <v>Market</v>
      </c>
      <c r="CN534" s="1" t="str">
        <f t="shared" si="1626"/>
        <v>Market</v>
      </c>
      <c r="CO534" s="1" t="str">
        <f t="shared" si="1627"/>
        <v>Market</v>
      </c>
      <c r="CP534" s="304">
        <f t="shared" si="1628"/>
        <v>1215</v>
      </c>
      <c r="CQ534" s="1">
        <f t="shared" si="1629"/>
        <v>0</v>
      </c>
      <c r="CR534" s="1">
        <f t="shared" si="1630"/>
        <v>0</v>
      </c>
      <c r="CS534" s="1">
        <f t="shared" si="1631"/>
        <v>0</v>
      </c>
      <c r="CT534" s="1">
        <f t="shared" si="1632"/>
        <v>1.9E-2</v>
      </c>
      <c r="CU534" s="1">
        <f t="shared" si="1633"/>
        <v>3.9E-2</v>
      </c>
      <c r="CV534" s="304">
        <f t="shared" si="1634"/>
        <v>-1098.3618966787526</v>
      </c>
      <c r="CW534" s="20" t="s">
        <v>122</v>
      </c>
      <c r="CX534" s="20" t="s">
        <v>122</v>
      </c>
      <c r="CY534" s="20" t="s">
        <v>122</v>
      </c>
      <c r="CZ534" s="20" t="s">
        <v>122</v>
      </c>
      <c r="DA534" s="20" t="s">
        <v>122</v>
      </c>
      <c r="DB534" s="503">
        <f t="shared" si="1635"/>
        <v>0</v>
      </c>
      <c r="DC534" s="127">
        <v>0</v>
      </c>
      <c r="DD534" s="127">
        <v>0</v>
      </c>
      <c r="DE534" s="127">
        <v>0</v>
      </c>
      <c r="DF534" s="127">
        <v>0</v>
      </c>
      <c r="DG534" s="127">
        <v>0</v>
      </c>
      <c r="DH534" s="127">
        <v>0</v>
      </c>
      <c r="DI534" s="127">
        <v>0</v>
      </c>
      <c r="DJ534" s="127">
        <v>0</v>
      </c>
      <c r="DK534" s="127">
        <v>0</v>
      </c>
      <c r="DL534" s="127">
        <v>0</v>
      </c>
      <c r="DM534" s="304">
        <f>INDEX(Input!$1:$1048576,DM$93,$C534*2+6)</f>
        <v>20731.578947368424</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4.5711186764764253E-2</v>
      </c>
      <c r="DZ534" s="7">
        <v>0</v>
      </c>
      <c r="EA534" s="7">
        <v>0.79600462482730283</v>
      </c>
      <c r="EB534" s="7">
        <v>0</v>
      </c>
      <c r="EC534" s="7">
        <v>0</v>
      </c>
      <c r="ED534" s="7">
        <v>0</v>
      </c>
      <c r="EE534" s="7">
        <v>0</v>
      </c>
      <c r="EF534" s="7">
        <v>0</v>
      </c>
      <c r="EG534" s="7">
        <v>0</v>
      </c>
      <c r="EH534" s="7">
        <v>1.4457685780673036E-2</v>
      </c>
      <c r="EI534" s="7">
        <v>1.8189996021804451E-2</v>
      </c>
      <c r="EJ534" s="7">
        <v>0.26797417227249004</v>
      </c>
      <c r="EK534" s="7">
        <v>0.65301538912640045</v>
      </c>
      <c r="EL534" s="7">
        <v>4.6362756798631694E-2</v>
      </c>
      <c r="EM534" s="7">
        <v>7.0822864822496556E-2</v>
      </c>
      <c r="EN534" s="7">
        <v>4.7388715000958016E-2</v>
      </c>
      <c r="EO534" s="7">
        <v>0.58257073439991625</v>
      </c>
      <c r="EP534" s="7">
        <v>0.25105844703571961</v>
      </c>
      <c r="EQ534" s="7">
        <v>7.2206419245289422E-2</v>
      </c>
      <c r="ER534" s="7">
        <v>4.6775684318116573E-2</v>
      </c>
      <c r="ES534" s="7">
        <v>8.7461323585436346E-2</v>
      </c>
      <c r="ET534" s="7">
        <v>0.1582841884079329</v>
      </c>
      <c r="EU534" s="6">
        <v>2600</v>
      </c>
      <c r="EV534" s="6">
        <v>0</v>
      </c>
      <c r="EW534" s="6">
        <v>2600</v>
      </c>
      <c r="EX534" s="6">
        <v>0</v>
      </c>
      <c r="EY534" s="6">
        <v>3631.6963299111085</v>
      </c>
      <c r="EZ534" s="6">
        <v>-1723.0908300335955</v>
      </c>
      <c r="FA534" s="6">
        <v>0</v>
      </c>
      <c r="FB534" s="6">
        <v>0</v>
      </c>
      <c r="FC534" s="6">
        <v>0</v>
      </c>
      <c r="FD534" s="6">
        <v>0</v>
      </c>
      <c r="FE534" s="6">
        <v>0</v>
      </c>
      <c r="FF534" s="6">
        <v>0</v>
      </c>
      <c r="FG534" s="6">
        <v>0</v>
      </c>
      <c r="FH534" s="6">
        <v>1153.9932877494123</v>
      </c>
      <c r="FI534" s="6">
        <v>1531.4299904380616</v>
      </c>
      <c r="FJ534" s="6">
        <v>2070.7205842538228</v>
      </c>
      <c r="FK534" s="6">
        <v>1746.9903521590438</v>
      </c>
      <c r="FL534" s="6">
        <v>893.91433563489352</v>
      </c>
      <c r="FM534" s="6">
        <v>1781.6963299111087</v>
      </c>
      <c r="FN534" s="6">
        <v>0</v>
      </c>
      <c r="FO534" s="6">
        <v>0</v>
      </c>
      <c r="FP534" s="6">
        <v>0</v>
      </c>
      <c r="FQ534" s="6">
        <v>0</v>
      </c>
      <c r="FR534" s="6">
        <v>0</v>
      </c>
      <c r="FS534" s="6">
        <v>0</v>
      </c>
      <c r="FT534" s="7">
        <v>0.8417158115920671</v>
      </c>
      <c r="FU534" s="7">
        <v>7.0822864822496556E-2</v>
      </c>
      <c r="FV534" s="7">
        <v>8.7461323585436346E-2</v>
      </c>
      <c r="FW534" s="6">
        <v>2600</v>
      </c>
      <c r="FX534" s="6">
        <v>3631.6963299111085</v>
      </c>
      <c r="FY534" s="6">
        <v>-1723.0908300335955</v>
      </c>
      <c r="FZ534" s="6">
        <v>2411.9063952864503</v>
      </c>
      <c r="GA534" s="6">
        <v>2294.964443736359</v>
      </c>
      <c r="GB534" s="6">
        <v>17400.03555626364</v>
      </c>
      <c r="GC534" s="7">
        <v>7.6138913542514425E-2</v>
      </c>
      <c r="GD534" s="7">
        <v>7.3743689896694317E-2</v>
      </c>
      <c r="GE534" s="7"/>
      <c r="GF534" s="7"/>
      <c r="GG534" s="7">
        <v>-3.1458600265981775E-2</v>
      </c>
      <c r="GH534" s="42">
        <v>5.2981596768813919</v>
      </c>
      <c r="GI534" s="6">
        <v>6012.2929504515278</v>
      </c>
      <c r="GJ534" s="14">
        <v>0.51074630601039583</v>
      </c>
      <c r="GK534" s="14">
        <v>0.50829519786160993</v>
      </c>
      <c r="GL534" s="14">
        <v>0.48925369398960433</v>
      </c>
      <c r="GM534" s="14">
        <v>0.49170480213839041</v>
      </c>
      <c r="GO534" s="5">
        <v>338.16872463277008</v>
      </c>
      <c r="GP534" s="5">
        <v>288.56568471597211</v>
      </c>
      <c r="GQ534" s="5">
        <v>527.27910984145694</v>
      </c>
      <c r="GR534" s="5">
        <v>404.20319246551543</v>
      </c>
      <c r="GS534" s="5">
        <v>334.50205195691484</v>
      </c>
      <c r="GT534" s="5">
        <v>289.18266033348181</v>
      </c>
      <c r="GU534" s="5">
        <v>254.29573314828914</v>
      </c>
      <c r="GV534" s="39" t="s">
        <v>392</v>
      </c>
      <c r="GW534" s="5">
        <v>440.98611111111109</v>
      </c>
      <c r="GX534" s="5">
        <v>330.73958333333331</v>
      </c>
      <c r="GY534" s="5">
        <v>264.59166666666664</v>
      </c>
      <c r="GZ534" s="5">
        <v>233.47422424633754</v>
      </c>
      <c r="HA534" s="5">
        <v>216.26912746293831</v>
      </c>
      <c r="HB534" s="39">
        <v>245.78461755519368</v>
      </c>
      <c r="HC534" s="5">
        <v>358.50084881396981</v>
      </c>
      <c r="HD534" s="5">
        <v>287.77900980034525</v>
      </c>
      <c r="HE534" s="5">
        <v>285.23787161201437</v>
      </c>
      <c r="HF534" s="5">
        <v>257.54964978663213</v>
      </c>
      <c r="HG534" s="5">
        <v>240.60084178617024</v>
      </c>
      <c r="HH534" s="39">
        <v>286.10290773003493</v>
      </c>
      <c r="HI534" s="16"/>
      <c r="HJ534" s="19" t="str">
        <f t="shared" si="1737"/>
        <v>On</v>
      </c>
      <c r="HK534" s="1" t="str">
        <f t="shared" si="1737"/>
        <v>On</v>
      </c>
      <c r="HL534" s="16"/>
      <c r="HM534" s="639">
        <f t="shared" si="1636"/>
        <v>5.1181272167489952E-2</v>
      </c>
      <c r="HN534" s="639">
        <f t="shared" si="1637"/>
        <v>4.2792051795134348E-3</v>
      </c>
      <c r="HO534" s="639">
        <f t="shared" si="1638"/>
        <v>7.4145241462331068E-3</v>
      </c>
      <c r="HP534" s="644">
        <f>(FT534*$GD534-HM534)/$JF534*INDEX(Input!$1:$1048576,$JG$93,$C534*2+6)</f>
        <v>128.51448691662424</v>
      </c>
      <c r="HQ534" s="644">
        <f>(FU534*$GD534-HN534)/$JF534*INDEX(Input!$1:$1048576,$JG$93,$C534*2+6)</f>
        <v>11.134828801985496</v>
      </c>
      <c r="HR534" s="644">
        <f>(FV534*$GD534-HO534)/$JF534*INDEX(Input!$1:$1048576,$JG$93,$C534*2+6)</f>
        <v>-11.385830965719238</v>
      </c>
      <c r="HS534" s="644">
        <f t="shared" si="1639"/>
        <v>-26.23810494583423</v>
      </c>
      <c r="HT534" s="644">
        <f t="shared" si="1640"/>
        <v>73.435386023550564</v>
      </c>
      <c r="HU534" s="644">
        <f t="shared" si="1641"/>
        <v>9.2630410901036289</v>
      </c>
      <c r="HV534" s="648">
        <f t="shared" si="1642"/>
        <v>0</v>
      </c>
      <c r="HW534" s="648">
        <f t="shared" si="1643"/>
        <v>0</v>
      </c>
      <c r="HX534" s="648">
        <f t="shared" si="1644"/>
        <v>0</v>
      </c>
      <c r="HY534" s="644">
        <f>INDEX(Input!$1:$1048576,HY$93,$C534*2+6)*INDEX(Input!$1:$1048576,$JG$93,$C534*2+6)</f>
        <v>345</v>
      </c>
      <c r="HZ534" s="644">
        <f>INDEX(Input!$1:$1048576,HZ$93,$C534*2+6)*INDEX(Input!$1:$1048576,$JG$93,$C534*2+6)</f>
        <v>299</v>
      </c>
      <c r="IA534" s="644">
        <f>INDEX(Input!$1:$1048576,IA$93,$C534*2+6)*INDEX(Input!$1:$1048576,$JG$93,$C534*2+6)</f>
        <v>98</v>
      </c>
      <c r="IB534" s="644">
        <f t="shared" si="1668"/>
        <v>447.27638197079</v>
      </c>
      <c r="IC534" s="644">
        <f t="shared" si="1669"/>
        <v>383.57021482553608</v>
      </c>
      <c r="ID534" s="644">
        <f>IF(AND(INDEX(Input!$1:$1048576,IA$93,$C534*2+7)="TOS",Y534&lt;=INDEX(Y:Y,MATCH(C534*1000+2,A:A))),0,1)*MAX(IA534+HR534+HU534+HX534,0%)</f>
        <v>95.877210124384391</v>
      </c>
      <c r="IE534" s="128">
        <f t="shared" si="1739"/>
        <v>0.4826425938672993</v>
      </c>
      <c r="IF534" s="128">
        <f t="shared" si="1691"/>
        <v>0.41389917034725959</v>
      </c>
      <c r="IG534" s="128">
        <f t="shared" si="1646"/>
        <v>0.10345823578544101</v>
      </c>
      <c r="IH534" s="21"/>
      <c r="II534" s="19">
        <f t="shared" si="1647"/>
        <v>1200</v>
      </c>
      <c r="IJ534" s="19">
        <f t="shared" si="1648"/>
        <v>2231.5440334087361</v>
      </c>
      <c r="IK534" s="19">
        <f t="shared" si="1649"/>
        <v>-2048.0908300335955</v>
      </c>
      <c r="IL534" s="19">
        <f t="shared" si="1671"/>
        <v>1400</v>
      </c>
      <c r="IM534" s="19">
        <f t="shared" si="1650"/>
        <v>1400.1522965023723</v>
      </c>
      <c r="IN534" s="19">
        <f t="shared" si="1651"/>
        <v>325</v>
      </c>
      <c r="IO534" s="39">
        <f t="shared" si="1652"/>
        <v>0</v>
      </c>
      <c r="IP534" s="39">
        <f t="shared" si="1653"/>
        <v>0</v>
      </c>
      <c r="IQ534" s="39">
        <f t="shared" si="1654"/>
        <v>0</v>
      </c>
      <c r="IR534" s="39">
        <v>0</v>
      </c>
      <c r="IS534" s="39">
        <v>0</v>
      </c>
      <c r="IT534" s="39">
        <v>0</v>
      </c>
      <c r="IU534" s="39">
        <v>0</v>
      </c>
      <c r="IV534" s="39">
        <v>0</v>
      </c>
      <c r="IW534" s="39">
        <v>0</v>
      </c>
      <c r="IX534" s="39">
        <f>INDEX(Input!$1:$1048576,IX$93,$C534*2+6)+INDEX(Input!$1:$1048576,IX$94,$C534*2+6)</f>
        <v>1600</v>
      </c>
      <c r="IY534" s="39">
        <f>INDEX(Input!$1:$1048576,IY$93,$C534*2+6)+INDEX(Input!$1:$1048576,IY$94,$C534*2+6)</f>
        <v>2503.5492916397525</v>
      </c>
      <c r="IZ534" s="39">
        <f>INDEX(Input!$1:$1048576,IZ$93,$C534*2+6)+INDEX(Input!$1:$1048576,IZ$94,$C534*2+6)</f>
        <v>5413.7109265464023</v>
      </c>
      <c r="JA534" s="19">
        <f t="shared" si="1672"/>
        <v>3000</v>
      </c>
      <c r="JB534" s="19">
        <f t="shared" si="1673"/>
        <v>3903.7015881421248</v>
      </c>
      <c r="JC534" s="19">
        <f t="shared" si="1674"/>
        <v>5738.7109265464023</v>
      </c>
      <c r="JD534" s="19">
        <f t="shared" si="1675"/>
        <v>3657.3835383603273</v>
      </c>
      <c r="JE534" s="21"/>
      <c r="JF534" s="1">
        <f t="shared" si="1655"/>
        <v>6.2875001493236493E-2</v>
      </c>
      <c r="JG534" s="15">
        <f>INDEX(Input!$1:$1048576,JG$93,$C534*2+6)/(1+VLOOKUP(C534*1000+INDEX(Input!$1:$1048576,JG$93+1,$C534*2+6),$A:$KK,$JK$92,FALSE))</f>
        <v>742</v>
      </c>
      <c r="JH534" s="1">
        <f t="shared" si="1676"/>
        <v>0.17286183928960983</v>
      </c>
      <c r="JI534" s="1">
        <f t="shared" si="1677"/>
        <v>7.6092078393288354E-2</v>
      </c>
      <c r="JJ534" s="1">
        <f t="shared" si="1715"/>
        <v>0</v>
      </c>
      <c r="JK534" s="1">
        <f t="shared" si="1719"/>
        <v>0.24895391768289818</v>
      </c>
      <c r="JL534" s="15">
        <f t="shared" si="1680"/>
        <v>184.72380692071044</v>
      </c>
      <c r="JM534" s="15">
        <f t="shared" si="1706"/>
        <v>926.72380692071044</v>
      </c>
      <c r="JN534" s="21"/>
      <c r="JO534" s="19">
        <f>INDEX(Input!$1:$1048576,JO$93,$C534*2+6)</f>
        <v>5908.5</v>
      </c>
      <c r="JP534" s="19">
        <f>INDEX(Input!$1:$1048576,JP$93,$C534*2+6)</f>
        <v>2467.7963733178344</v>
      </c>
      <c r="JQ534" s="39">
        <f t="shared" si="1692"/>
        <v>2251.1164616396727</v>
      </c>
      <c r="JR534" s="39">
        <f t="shared" si="1709"/>
        <v>1189.5871650424929</v>
      </c>
      <c r="JS534" s="39">
        <f t="shared" si="1694"/>
        <v>3.3893843960384209</v>
      </c>
      <c r="JT534" s="39">
        <f t="shared" si="1682"/>
        <v>1.5582794870365879</v>
      </c>
      <c r="JU534" s="385">
        <f>(JQ534*JM534-INDEX(Input!$1:$1048576,Input!A$18,$C534*2+6)*JL534*INDEX(Input!$1:$1048576,Input!A$19,$C534*2+6))/1000000</f>
        <v>2.0861632171525968</v>
      </c>
      <c r="JV534" s="39">
        <f t="shared" si="1716"/>
        <v>-0.46683887384556977</v>
      </c>
      <c r="JW534" s="1">
        <f t="shared" si="1707"/>
        <v>-0.18285879024213655</v>
      </c>
      <c r="JX534" s="19">
        <f t="shared" si="1698"/>
        <v>8435.7263582460328</v>
      </c>
      <c r="JZ534" s="341"/>
      <c r="KA534" s="342"/>
      <c r="KB534" s="469">
        <f t="shared" si="1695"/>
        <v>2.4623520912331753</v>
      </c>
      <c r="KI534" s="473">
        <f t="shared" si="1740"/>
        <v>102.27638197078994</v>
      </c>
      <c r="KJ534" s="473">
        <f t="shared" si="1741"/>
        <v>84.570214825536027</v>
      </c>
      <c r="KK534" s="473">
        <f t="shared" si="1684"/>
        <v>-2.1227898756156236</v>
      </c>
      <c r="KN534" s="544">
        <f t="shared" si="1699"/>
        <v>5002</v>
      </c>
      <c r="KO534" s="541">
        <f t="shared" si="1659"/>
        <v>0.16050762939382079</v>
      </c>
      <c r="KP534" s="546">
        <f t="shared" si="1660"/>
        <v>896.59022849386793</v>
      </c>
      <c r="KQ534" s="546">
        <f t="shared" si="1661"/>
        <v>798.61109220861817</v>
      </c>
      <c r="KR534" s="548">
        <f t="shared" si="1662"/>
        <v>3.0140223334160479</v>
      </c>
      <c r="KS534" s="548">
        <f t="shared" si="1663"/>
        <v>3.3838034544819373</v>
      </c>
      <c r="KT534" s="473">
        <f t="shared" si="1697"/>
        <v>389.37465324503302</v>
      </c>
      <c r="KU534" s="663">
        <f t="shared" si="1685"/>
        <v>7.4314978798138061</v>
      </c>
      <c r="KV534" s="117"/>
    </row>
    <row r="535" spans="1:308" s="26" customFormat="1" ht="15">
      <c r="A535" s="561">
        <f t="shared" si="1664"/>
        <v>5035</v>
      </c>
      <c r="B535" s="561">
        <f t="shared" si="1686"/>
        <v>35</v>
      </c>
      <c r="C535" s="561">
        <f t="shared" si="1687"/>
        <v>5</v>
      </c>
      <c r="D535" s="561" t="str">
        <f t="shared" si="1736"/>
        <v xml:space="preserve">250 CC, 0/0/0.9/3.9, </v>
      </c>
      <c r="E535" s="475">
        <f>INDEX(Input!$1:$1048576,E$93,$C535*2+MIN($B535,2)+5)
+INDEX(Scenarios!E$121:E$200,MATCH($B535,Scenarios!$B$121:$B$200,0))</f>
        <v>1500</v>
      </c>
      <c r="F535" s="475">
        <f>INDEX(Input!$1:$1048576,F$93,$C535*2+MIN($B535,2)+5)
+INDEX(Scenarios!F$121:F$200,MATCH($B535,Scenarios!$B$121:$B$200,0))</f>
        <v>0</v>
      </c>
      <c r="G535" s="475">
        <f>INDEX(Input!$1:$1048576,G$93,$C535*2+MIN($B535,2)+5)
+INDEX(Scenarios!G$121:G$200,MATCH($B535,Scenarios!$B$121:$B$200,0))</f>
        <v>0</v>
      </c>
      <c r="H535" s="475">
        <f>INDEX(Input!$1:$1048576,H$93,$C535*2+MIN($B535,2)+5)
+INDEX(Scenarios!H$121:H$200,MATCH($B535,Scenarios!$B$121:$B$200,0))</f>
        <v>0</v>
      </c>
      <c r="I535" s="476">
        <f>INDEX(Input!$1:$1048576,I$93,$C535*2+MIN($B535,2)+5)</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+INDEX(Scenarios!Q$121:Q$200,MATCH($B535,Scenarios!$B$121:$B$200,0))</f>
        <v>0</v>
      </c>
      <c r="R535" s="478">
        <f>IFERROR(MAX(0,INDEX(Input!$1:$1048576,R$93,$C535*2+MIN($B535,2)+5)
+INDEX(Scenarios!R$121:R$200,MATCH($B535,Scenarios!$B$121:$B$200,0)),),"Market")</f>
        <v>0</v>
      </c>
      <c r="S535" s="478">
        <f>IFERROR(MAX(0,INDEX(Input!$1:$1048576,S$93,$C535*2+MIN($B535,2)+5)
+INDEX(Scenarios!S$121:S$200,MATCH($B535,Scenarios!$B$121:$B$200,0)),),"Market")</f>
        <v>0</v>
      </c>
      <c r="T535" s="478">
        <f>IFERROR(MAX(0,INDEX(Input!$1:$1048576,T$93,$C535*2+MIN($B535,2)+5)
+INDEX(Scenarios!T$121:T$200,MATCH($B535,Scenarios!$B$121:$B$200,0)),),"Market")</f>
        <v>0</v>
      </c>
      <c r="U535" s="478">
        <f>IFERROR(MAX(0,INDEX(Input!$1:$1048576,U$93,$C535*2+MIN($B535,2)+5)
+INDEX(Scenarios!U$121:U$200,MATCH($B535,Scenarios!$B$121:$B$200,0)),),"Market")</f>
        <v>0</v>
      </c>
      <c r="V535" s="478">
        <f>IFERROR(MAX(0,INDEX(Input!$1:$1048576,V$93,$C535*2+MIN($B535,2)+5)
+INDEX(Scenarios!V$121:V$200,MATCH($B535,Scenarios!$B$121:$B$200,0)),),"Market")</f>
        <v>8.9999999999999993E-3</v>
      </c>
      <c r="W535" s="863">
        <f>IFERROR(MAX(0,INDEX(Input!$1:$1048576,W$93,$C535*2+MIN($B535,2)+5)-0%,),"Market")</f>
        <v>3.9E-2</v>
      </c>
      <c r="X535" s="476" t="str">
        <f>INDEX(Input!$1:$1048576,X$93,$C535*2+MIN($B535,2)+5)</f>
        <v>Y</v>
      </c>
      <c r="Y535" s="475">
        <f>INDEX(Input!$1:$1048576,Y$93,$C535*2+MIN($B535,2)+5)
++INDEX(Scenarios!Y$121:Y$200,MATCH($B535,Scenarios!$B$121:$B$200,0))</f>
        <v>-1098.3618966787526</v>
      </c>
      <c r="Z535" s="477">
        <f>INDEX(Input!$1:$1048576,Z$93,$C535*2+MIN($B535,2)+5)
+INDEX(Scenarios!Z$121:Z$200,MATCH($B535,Scenarios!$B$121:$B$200,0))</f>
        <v>0</v>
      </c>
      <c r="AA535" s="475">
        <f>INDEX(Input!$1:$1048576,AA$93,$C535*2+MIN($B535,2)+5)</f>
        <v>500</v>
      </c>
      <c r="AB535" s="476">
        <f>INDEX(Input!$1:$1048576,AB$93,$C535*2+MIN($B535,2)+5)</f>
        <v>0.43</v>
      </c>
      <c r="AC535" s="475">
        <f>INDEX(Input!$1:$1048576,AC$93,$C535*2+MIN($B535,2)+5)
+INDEX(Scenarios!AC$121:AC$200,MATCH($B535,Scenarios!$B$121:$B$200,0))</f>
        <v>0</v>
      </c>
      <c r="AD535" s="476">
        <f>INDEX(Input!$1:$1048576,AD$93,$C535*2+MIN($B535,2)+5)</f>
        <v>0.35</v>
      </c>
      <c r="AE535" s="475">
        <f>INDEX(Input!$1:$1048576,AE$93,$C535*2+MIN($B535,2)+5)
+INDEX(Scenarios!AE$121:AE$200,MATCH($B535,Scenarios!$B$121:$B$200,0))</f>
        <v>0</v>
      </c>
      <c r="AF535" s="476">
        <f>INDEX(Input!$1:$1048576,AF$93,$C535*2+MIN($B535,2)+5)</f>
        <v>1</v>
      </c>
      <c r="AG535" s="475">
        <f>INDEX(Input!$1:$1048576,AG$93,$C535*2+MIN($B535,2)+5)
+INDEX(Scenarios!AG$121:AG$200,MATCH($B535,Scenarios!$B$121:$B$200,0))</f>
        <v>0</v>
      </c>
      <c r="AH535" s="476">
        <f>INDEX(Input!$1:$1048576,AH$93,$C535*2+MIN($B535,2)+5)</f>
        <v>1</v>
      </c>
      <c r="AI535" s="475">
        <f>INDEX(Input!$1:$1048576,AI$93,$C535*2+MIN($B535,2)+5)
+INDEX(Scenarios!AI$121:AI$200,MATCH($B535,Scenarios!$B$121:$B$200,0))</f>
        <v>0</v>
      </c>
      <c r="AJ535" s="476">
        <f>INDEX(Input!$1:$1048576,AJ$93,$C535*2+MIN($B535,2)+5)</f>
        <v>0.35</v>
      </c>
      <c r="AK535" s="150">
        <f>ROUND(INDEX(Input!$1:$1048576,AK$93,$C534*2+MIN($B535,1)+5)+(Y535-VLOOKUP($C535*1000+1,$A:$HH,Y$92,FALSE)),0)</f>
        <v>4592</v>
      </c>
      <c r="AL535" s="150">
        <f>ROUND(INDEX(Input!$1:$1048576,AL$93,$C534*2+MIN($B535,1)+5)-(Y535-VLOOKUP($C535*1000+1,$A:$HH,Y$92,FALSE))/36,0)</f>
        <v>4743</v>
      </c>
      <c r="AM535" s="32" t="str">
        <f t="shared" si="1665"/>
        <v>std/std/std/std</v>
      </c>
      <c r="AN535" s="32" t="str">
        <f t="shared" si="1666"/>
        <v>$0 + 0/0/0/0.9/3.9</v>
      </c>
      <c r="AO535" s="32" t="str">
        <f t="shared" si="1667"/>
        <v>0/0/0/0.9/3.9</v>
      </c>
      <c r="AP535" s="32" t="str">
        <f t="shared" si="1621"/>
        <v>0/0/0.9/3.9</v>
      </c>
      <c r="AQ535" s="536">
        <f t="shared" si="1620"/>
        <v>0.45329991190528668</v>
      </c>
      <c r="AR535" s="32"/>
      <c r="AS535" s="302"/>
      <c r="AT535" s="3">
        <f t="shared" si="1688"/>
        <v>35</v>
      </c>
      <c r="AU535" s="41" t="s">
        <v>121</v>
      </c>
      <c r="AV535" s="41" t="s">
        <v>116</v>
      </c>
      <c r="AW535" s="41" t="str">
        <f>INDEX(Input!$1:$1048576,AW$93,$C535*2+6)</f>
        <v>Kia</v>
      </c>
      <c r="AX535" s="41" t="str">
        <f>INDEX(Input!$1:$1048576,AX$93,$C535*2+6)</f>
        <v>Kia-LR - R2</v>
      </c>
      <c r="AY535" s="41" t="str">
        <f>IF(LEN(D535)=0,"",INDEX(Input!$1:$1048576,AY$93,$C535*2+6))</f>
        <v>Compact Conventional/Sporty Car (43)</v>
      </c>
      <c r="AZ535" s="41" t="str">
        <f>INDEX(Input!$1:$1048576,AZ$93,$C535*2+6)</f>
        <v>Kia Forte</v>
      </c>
      <c r="BA535" s="3">
        <f>INDEX(Input!$1:$1048576,BA$93,$C535*2+6)</f>
        <v>2020</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19695</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622"/>
        <v>1500</v>
      </c>
      <c r="CJ535" s="16" t="str">
        <f>INDEX(Input!$1:$1048576,CJ$93,$C535*2+6)</f>
        <v>N</v>
      </c>
      <c r="CK535" s="1" t="str">
        <f t="shared" si="1623"/>
        <v>Market</v>
      </c>
      <c r="CL535" s="1" t="str">
        <f t="shared" si="1624"/>
        <v>Market</v>
      </c>
      <c r="CM535" s="1" t="str">
        <f t="shared" si="1625"/>
        <v>Market</v>
      </c>
      <c r="CN535" s="1" t="str">
        <f t="shared" si="1626"/>
        <v>Market</v>
      </c>
      <c r="CO535" s="1" t="str">
        <f t="shared" si="1627"/>
        <v>Market</v>
      </c>
      <c r="CP535" s="304">
        <f t="shared" si="1628"/>
        <v>215</v>
      </c>
      <c r="CQ535" s="1">
        <f t="shared" si="1629"/>
        <v>0</v>
      </c>
      <c r="CR535" s="1">
        <f t="shared" si="1630"/>
        <v>0</v>
      </c>
      <c r="CS535" s="1">
        <f t="shared" si="1631"/>
        <v>0</v>
      </c>
      <c r="CT535" s="1">
        <f t="shared" si="1632"/>
        <v>8.9999999999999993E-3</v>
      </c>
      <c r="CU535" s="1">
        <f t="shared" si="1633"/>
        <v>3.9E-2</v>
      </c>
      <c r="CV535" s="304">
        <f t="shared" si="1634"/>
        <v>-1098.3618966787526</v>
      </c>
      <c r="CW535" s="20" t="s">
        <v>122</v>
      </c>
      <c r="CX535" s="20" t="s">
        <v>122</v>
      </c>
      <c r="CY535" s="20" t="s">
        <v>122</v>
      </c>
      <c r="CZ535" s="20" t="s">
        <v>122</v>
      </c>
      <c r="DA535" s="20" t="s">
        <v>122</v>
      </c>
      <c r="DB535" s="503">
        <f t="shared" si="1635"/>
        <v>0</v>
      </c>
      <c r="DC535" s="127">
        <v>0</v>
      </c>
      <c r="DD535" s="127">
        <v>0</v>
      </c>
      <c r="DE535" s="127">
        <v>0</v>
      </c>
      <c r="DF535" s="127">
        <v>0</v>
      </c>
      <c r="DG535" s="127">
        <v>0</v>
      </c>
      <c r="DH535" s="127">
        <v>0</v>
      </c>
      <c r="DI535" s="127">
        <v>0</v>
      </c>
      <c r="DJ535" s="127">
        <v>0</v>
      </c>
      <c r="DK535" s="127">
        <v>0</v>
      </c>
      <c r="DL535" s="127">
        <v>0</v>
      </c>
      <c r="DM535" s="304">
        <f>INDEX(Input!$1:$1048576,DM$93,$C535*2+6)</f>
        <v>20731.578947368424</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4.3402227798830191E-2</v>
      </c>
      <c r="DZ535" s="7">
        <v>0</v>
      </c>
      <c r="EA535" s="7">
        <v>0.76521722993986785</v>
      </c>
      <c r="EB535" s="7">
        <v>0</v>
      </c>
      <c r="EC535" s="7">
        <v>0</v>
      </c>
      <c r="ED535" s="7">
        <v>0</v>
      </c>
      <c r="EE535" s="7">
        <v>0</v>
      </c>
      <c r="EF535" s="7">
        <v>0</v>
      </c>
      <c r="EG535" s="7">
        <v>0</v>
      </c>
      <c r="EH535" s="7">
        <v>1.0393768274122868E-2</v>
      </c>
      <c r="EI535" s="7">
        <v>1.3087382866089165E-2</v>
      </c>
      <c r="EJ535" s="7">
        <v>0.19256172175452499</v>
      </c>
      <c r="EK535" s="7">
        <v>0.75058975354376067</v>
      </c>
      <c r="EL535" s="7">
        <v>3.3367373561502343E-2</v>
      </c>
      <c r="EM535" s="7">
        <v>8.7427215759669941E-2</v>
      </c>
      <c r="EN535" s="7">
        <v>4.7387932533334211E-2</v>
      </c>
      <c r="EO535" s="7">
        <v>0.58257859479169671</v>
      </c>
      <c r="EP535" s="7">
        <v>0.25107116464001544</v>
      </c>
      <c r="EQ535" s="7">
        <v>7.2209044843442344E-2</v>
      </c>
      <c r="ER535" s="7">
        <v>4.675326319151115E-2</v>
      </c>
      <c r="ES535" s="7">
        <v>0.1039533265016321</v>
      </c>
      <c r="ET535" s="7">
        <v>0.19138054226130199</v>
      </c>
      <c r="EU535" s="6">
        <v>1850</v>
      </c>
      <c r="EV535" s="6">
        <v>0</v>
      </c>
      <c r="EW535" s="6">
        <v>1850</v>
      </c>
      <c r="EX535" s="6">
        <v>0</v>
      </c>
      <c r="EY535" s="6">
        <v>2975.8937666323841</v>
      </c>
      <c r="EZ535" s="6">
        <v>-1723.0908300335955</v>
      </c>
      <c r="FA535" s="6">
        <v>0</v>
      </c>
      <c r="FB535" s="6">
        <v>0</v>
      </c>
      <c r="FC535" s="6">
        <v>0</v>
      </c>
      <c r="FD535" s="6">
        <v>0</v>
      </c>
      <c r="FE535" s="6">
        <v>0</v>
      </c>
      <c r="FF535" s="6">
        <v>0</v>
      </c>
      <c r="FG535" s="6">
        <v>0</v>
      </c>
      <c r="FH535" s="6">
        <v>1153.9879795988193</v>
      </c>
      <c r="FI535" s="6">
        <v>1531.4299904380607</v>
      </c>
      <c r="FJ535" s="6">
        <v>2070.7205842538215</v>
      </c>
      <c r="FK535" s="6">
        <v>2218.6393698501024</v>
      </c>
      <c r="FL535" s="6">
        <v>893.91433563489363</v>
      </c>
      <c r="FM535" s="6">
        <v>2125.8937666323841</v>
      </c>
      <c r="FN535" s="6">
        <v>0</v>
      </c>
      <c r="FO535" s="6">
        <v>0</v>
      </c>
      <c r="FP535" s="6">
        <v>0</v>
      </c>
      <c r="FQ535" s="6">
        <v>0</v>
      </c>
      <c r="FR535" s="6">
        <v>0</v>
      </c>
      <c r="FS535" s="6">
        <v>0</v>
      </c>
      <c r="FT535" s="7">
        <v>0.80861945773869803</v>
      </c>
      <c r="FU535" s="7">
        <v>8.7427215759669941E-2</v>
      </c>
      <c r="FV535" s="7">
        <v>0.1039533265016321</v>
      </c>
      <c r="FW535" s="6">
        <v>1850</v>
      </c>
      <c r="FX535" s="6">
        <v>2975.8937666323841</v>
      </c>
      <c r="FY535" s="6">
        <v>-1723.0908300335955</v>
      </c>
      <c r="FZ535" s="6">
        <v>2411.9063952864503</v>
      </c>
      <c r="GA535" s="6">
        <v>1576.9990795833671</v>
      </c>
      <c r="GB535" s="6">
        <v>18118.000920416634</v>
      </c>
      <c r="GC535" s="7">
        <v>7.6138913542514425E-2</v>
      </c>
      <c r="GD535" s="7">
        <v>6.8405095012583975E-2</v>
      </c>
      <c r="GE535" s="7"/>
      <c r="GF535" s="7"/>
      <c r="GG535" s="7">
        <v>-0.10157511015194672</v>
      </c>
      <c r="GH535" s="42">
        <v>2.3961004494947233</v>
      </c>
      <c r="GI535" s="6">
        <v>9796.6043987815574</v>
      </c>
      <c r="GJ535" s="14">
        <v>0.51074630601039539</v>
      </c>
      <c r="GK535" s="14">
        <v>0.50829519786160982</v>
      </c>
      <c r="GL535" s="14">
        <v>0.48925369398960455</v>
      </c>
      <c r="GM535" s="14">
        <v>0.49170480213839024</v>
      </c>
      <c r="GO535" s="5">
        <v>338.16872463277008</v>
      </c>
      <c r="GP535" s="5">
        <v>302.87425392274076</v>
      </c>
      <c r="GQ535" s="5">
        <v>527.27910984145694</v>
      </c>
      <c r="GR535" s="5">
        <v>404.20319246551543</v>
      </c>
      <c r="GS535" s="5">
        <v>334.50205195691484</v>
      </c>
      <c r="GT535" s="5">
        <v>289.18266033348181</v>
      </c>
      <c r="GU535" s="5">
        <v>254.29573314828914</v>
      </c>
      <c r="GV535" s="39" t="s">
        <v>392</v>
      </c>
      <c r="GW535" s="5">
        <v>468.76388888888891</v>
      </c>
      <c r="GX535" s="5">
        <v>351.57291666666669</v>
      </c>
      <c r="GY535" s="5">
        <v>281.25833333333333</v>
      </c>
      <c r="GZ535" s="5">
        <v>240.8550698915011</v>
      </c>
      <c r="HA535" s="5">
        <v>229.8919505212948</v>
      </c>
      <c r="HB535" s="39">
        <v>252.08721966808039</v>
      </c>
      <c r="HC535" s="5">
        <v>358.50084881396981</v>
      </c>
      <c r="HD535" s="5">
        <v>287.77900980034525</v>
      </c>
      <c r="HE535" s="5">
        <v>285.23787161201437</v>
      </c>
      <c r="HF535" s="5">
        <v>257.54964978663213</v>
      </c>
      <c r="HG535" s="5">
        <v>240.60084178617024</v>
      </c>
      <c r="HH535" s="39">
        <v>286.10379849282185</v>
      </c>
      <c r="HI535" s="16"/>
      <c r="HJ535" s="19" t="str">
        <f t="shared" ref="HJ535:HK550" si="1742">HJ534</f>
        <v>On</v>
      </c>
      <c r="HK535" s="1" t="str">
        <f t="shared" si="1742"/>
        <v>On</v>
      </c>
      <c r="HL535" s="16"/>
      <c r="HM535" s="639">
        <f t="shared" si="1636"/>
        <v>5.1181272167489952E-2</v>
      </c>
      <c r="HN535" s="639">
        <f t="shared" si="1637"/>
        <v>4.2792051795134348E-3</v>
      </c>
      <c r="HO535" s="639">
        <f t="shared" si="1638"/>
        <v>7.4145241462331068E-3</v>
      </c>
      <c r="HP535" s="644">
        <f>(FT535*$GD535-HM535)/$JF535*INDEX(Input!$1:$1048576,$JG$93,$C535*2+6)</f>
        <v>48.767468452418321</v>
      </c>
      <c r="HQ535" s="644">
        <f>(FU535*$GD535-HN535)/$JF535*INDEX(Input!$1:$1048576,$JG$93,$C535*2+6)</f>
        <v>20.076918351651106</v>
      </c>
      <c r="HR535" s="644">
        <f>(FV535*$GD535-HO535)/$JF535*INDEX(Input!$1:$1048576,$JG$93,$C535*2+6)</f>
        <v>-3.582688292662914</v>
      </c>
      <c r="HS535" s="644">
        <f t="shared" si="1639"/>
        <v>-12.20172921380944</v>
      </c>
      <c r="HT535" s="644">
        <f t="shared" si="1640"/>
        <v>39.25169159799399</v>
      </c>
      <c r="HU535" s="644">
        <f t="shared" si="1641"/>
        <v>7.4395268221199311</v>
      </c>
      <c r="HV535" s="648">
        <f t="shared" si="1642"/>
        <v>0</v>
      </c>
      <c r="HW535" s="648">
        <f t="shared" si="1643"/>
        <v>0</v>
      </c>
      <c r="HX535" s="648">
        <f t="shared" si="1644"/>
        <v>0</v>
      </c>
      <c r="HY535" s="644">
        <f>INDEX(Input!$1:$1048576,HY$93,$C535*2+6)*INDEX(Input!$1:$1048576,$JG$93,$C535*2+6)</f>
        <v>345</v>
      </c>
      <c r="HZ535" s="644">
        <f>INDEX(Input!$1:$1048576,HZ$93,$C535*2+6)*INDEX(Input!$1:$1048576,$JG$93,$C535*2+6)</f>
        <v>299</v>
      </c>
      <c r="IA535" s="644">
        <f>INDEX(Input!$1:$1048576,IA$93,$C535*2+6)*INDEX(Input!$1:$1048576,$JG$93,$C535*2+6)</f>
        <v>98</v>
      </c>
      <c r="IB535" s="644">
        <f t="shared" si="1668"/>
        <v>381.56573923860884</v>
      </c>
      <c r="IC535" s="644">
        <f t="shared" si="1669"/>
        <v>358.32860994964511</v>
      </c>
      <c r="ID535" s="644">
        <f>IF(AND(INDEX(Input!$1:$1048576,IA$93,$C535*2+7)="TOS",Y535&lt;=INDEX(Y:Y,MATCH(C535*1000+2,A:A))),0,1)*MAX(IA535+HR535+HU535+HX535,0%)</f>
        <v>101.85683852945702</v>
      </c>
      <c r="IE535" s="128">
        <f t="shared" si="1739"/>
        <v>0.45329991190528668</v>
      </c>
      <c r="IF535" s="128">
        <f t="shared" si="1691"/>
        <v>0.42569421365617832</v>
      </c>
      <c r="IG535" s="128">
        <f t="shared" si="1646"/>
        <v>0.12100587443853497</v>
      </c>
      <c r="IH535" s="21"/>
      <c r="II535" s="19">
        <f t="shared" si="1647"/>
        <v>1200</v>
      </c>
      <c r="IJ535" s="19">
        <f t="shared" si="1648"/>
        <v>2231.5440334087361</v>
      </c>
      <c r="IK535" s="19">
        <f t="shared" si="1649"/>
        <v>-2048.0908300335955</v>
      </c>
      <c r="IL535" s="19">
        <f t="shared" si="1671"/>
        <v>650</v>
      </c>
      <c r="IM535" s="19">
        <f t="shared" si="1650"/>
        <v>744.34973322364795</v>
      </c>
      <c r="IN535" s="19">
        <f t="shared" si="1651"/>
        <v>325</v>
      </c>
      <c r="IO535" s="39">
        <f t="shared" si="1652"/>
        <v>0</v>
      </c>
      <c r="IP535" s="39">
        <f t="shared" si="1653"/>
        <v>0</v>
      </c>
      <c r="IQ535" s="39">
        <f t="shared" si="1654"/>
        <v>0</v>
      </c>
      <c r="IR535" s="39">
        <v>0</v>
      </c>
      <c r="IS535" s="39">
        <v>0</v>
      </c>
      <c r="IT535" s="39">
        <v>0</v>
      </c>
      <c r="IU535" s="39">
        <v>0</v>
      </c>
      <c r="IV535" s="39">
        <v>0</v>
      </c>
      <c r="IW535" s="39">
        <v>0</v>
      </c>
      <c r="IX535" s="39">
        <f>INDEX(Input!$1:$1048576,IX$93,$C535*2+6)+INDEX(Input!$1:$1048576,IX$94,$C535*2+6)</f>
        <v>1600</v>
      </c>
      <c r="IY535" s="39">
        <f>INDEX(Input!$1:$1048576,IY$93,$C535*2+6)+INDEX(Input!$1:$1048576,IY$94,$C535*2+6)</f>
        <v>2503.5492916397525</v>
      </c>
      <c r="IZ535" s="39">
        <f>INDEX(Input!$1:$1048576,IZ$93,$C535*2+6)+INDEX(Input!$1:$1048576,IZ$94,$C535*2+6)</f>
        <v>5413.7109265464023</v>
      </c>
      <c r="JA535" s="19">
        <f t="shared" si="1672"/>
        <v>2250</v>
      </c>
      <c r="JB535" s="19">
        <f t="shared" si="1673"/>
        <v>3247.8990248634004</v>
      </c>
      <c r="JC535" s="19">
        <f t="shared" si="1674"/>
        <v>5738.7109265464023</v>
      </c>
      <c r="JD535" s="19">
        <f t="shared" si="1675"/>
        <v>3096.9543570275109</v>
      </c>
      <c r="JE535" s="21"/>
      <c r="JF535" s="1">
        <f t="shared" si="1655"/>
        <v>6.2875001493236493E-2</v>
      </c>
      <c r="JG535" s="15">
        <f>INDEX(Input!$1:$1048576,JG$93,$C535*2+6)/(1+VLOOKUP(C535*1000+INDEX(Input!$1:$1048576,JG$93+1,$C535*2+6),$A:$KK,$JK$92,FALSE))</f>
        <v>742</v>
      </c>
      <c r="JH535" s="1">
        <f t="shared" si="1676"/>
        <v>8.7953771578714993E-2</v>
      </c>
      <c r="JI535" s="1">
        <f t="shared" si="1677"/>
        <v>4.6481791383159679E-2</v>
      </c>
      <c r="JJ535" s="1">
        <f t="shared" si="1715"/>
        <v>0</v>
      </c>
      <c r="JK535" s="1">
        <f t="shared" si="1719"/>
        <v>0.13443556296187467</v>
      </c>
      <c r="JL535" s="15">
        <f t="shared" si="1680"/>
        <v>99.751187717711005</v>
      </c>
      <c r="JM535" s="15">
        <f t="shared" si="1706"/>
        <v>841.75118771771099</v>
      </c>
      <c r="JN535" s="21"/>
      <c r="JO535" s="19">
        <f>INDEX(Input!$1:$1048576,JO$93,$C535*2+6)</f>
        <v>5908.5</v>
      </c>
      <c r="JP535" s="19">
        <f>INDEX(Input!$1:$1048576,JP$93,$C535*2+6)</f>
        <v>2467.7963733178344</v>
      </c>
      <c r="JQ535" s="39">
        <f t="shared" si="1692"/>
        <v>2811.5456429724891</v>
      </c>
      <c r="JR535" s="39">
        <f t="shared" si="1709"/>
        <v>629.1579837096765</v>
      </c>
      <c r="JS535" s="39">
        <f t="shared" si="1694"/>
        <v>2.6068650083354474</v>
      </c>
      <c r="JT535" s="39">
        <f t="shared" si="1682"/>
        <v>0.77576009933361434</v>
      </c>
      <c r="JU535" s="385">
        <f>(JQ535*JM535-INDEX(Input!$1:$1048576,Input!A$18,$C535*2+6)*JL535*INDEX(Input!$1:$1048576,Input!A$19,$C535*2+6))/1000000</f>
        <v>2.366621884294648</v>
      </c>
      <c r="JV535" s="39">
        <f t="shared" si="1716"/>
        <v>-0.18638020670351851</v>
      </c>
      <c r="JW535" s="1">
        <f t="shared" si="1707"/>
        <v>-7.3004329828279937E-2</v>
      </c>
      <c r="JX535" s="19">
        <f t="shared" si="1698"/>
        <v>7776.9510026182543</v>
      </c>
      <c r="JZ535" s="341"/>
      <c r="KA535" s="342"/>
      <c r="KB535" s="469">
        <f t="shared" si="1695"/>
        <v>2.4623520912331753</v>
      </c>
      <c r="KI535" s="473">
        <f t="shared" si="1740"/>
        <v>36.565739238608842</v>
      </c>
      <c r="KJ535" s="473">
        <f t="shared" si="1741"/>
        <v>59.328609949645113</v>
      </c>
      <c r="KK535" s="473">
        <f t="shared" si="1684"/>
        <v>3.856838529457022</v>
      </c>
      <c r="KN535" s="544">
        <f t="shared" si="1699"/>
        <v>5002</v>
      </c>
      <c r="KO535" s="541">
        <f t="shared" si="1659"/>
        <v>5.4099040191478487E-2</v>
      </c>
      <c r="KP535" s="546">
        <f t="shared" si="1660"/>
        <v>259.89768052831056</v>
      </c>
      <c r="KQ535" s="546">
        <f t="shared" si="1661"/>
        <v>238.1819108758018</v>
      </c>
      <c r="KR535" s="548">
        <f t="shared" si="1662"/>
        <v>3.5045474405813346</v>
      </c>
      <c r="KS535" s="548">
        <f t="shared" si="1663"/>
        <v>3.8240676958186741</v>
      </c>
      <c r="KT535" s="473">
        <f t="shared" si="1697"/>
        <v>389.37465324503302</v>
      </c>
      <c r="KU535" s="663">
        <f t="shared" si="1685"/>
        <v>7.3884889764151414</v>
      </c>
      <c r="KV535" s="117"/>
    </row>
    <row r="536" spans="1:308" s="26" customFormat="1" ht="15">
      <c r="A536" s="561">
        <f t="shared" si="1664"/>
        <v>5036</v>
      </c>
      <c r="B536" s="561">
        <f t="shared" si="1686"/>
        <v>36</v>
      </c>
      <c r="C536" s="561">
        <f t="shared" si="1687"/>
        <v>5</v>
      </c>
      <c r="D536" s="561" t="str">
        <f t="shared" si="1736"/>
        <v xml:space="preserve">500 CC, 0/0/0.9/3.9, </v>
      </c>
      <c r="E536" s="475">
        <f>INDEX(Input!$1:$1048576,E$93,$C536*2+MIN($B536,2)+5)
+INDEX(Scenarios!E$121:E$200,MATCH($B536,Scenarios!$B$121:$B$200,0))</f>
        <v>1750</v>
      </c>
      <c r="F536" s="475">
        <f>INDEX(Input!$1:$1048576,F$93,$C536*2+MIN($B536,2)+5)
+INDEX(Scenarios!F$121:F$200,MATCH($B536,Scenarios!$B$121:$B$200,0))</f>
        <v>0</v>
      </c>
      <c r="G536" s="475">
        <f>INDEX(Input!$1:$1048576,G$93,$C536*2+MIN($B536,2)+5)
+INDEX(Scenarios!G$121:G$200,MATCH($B536,Scenarios!$B$121:$B$200,0))</f>
        <v>0</v>
      </c>
      <c r="H536" s="475">
        <f>INDEX(Input!$1:$1048576,H$93,$C536*2+MIN($B536,2)+5)
+INDEX(Scenarios!H$121:H$200,MATCH($B536,Scenarios!$B$121:$B$200,0))</f>
        <v>0</v>
      </c>
      <c r="I536" s="476">
        <f>INDEX(Input!$1:$1048576,I$93,$C536*2+MIN($B536,2)+5)</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+INDEX(Scenarios!Q$121:Q$200,MATCH($B536,Scenarios!$B$121:$B$200,0))</f>
        <v>0</v>
      </c>
      <c r="R536" s="478">
        <f>IFERROR(MAX(0,INDEX(Input!$1:$1048576,R$93,$C536*2+MIN($B536,2)+5)
+INDEX(Scenarios!R$121:R$200,MATCH($B536,Scenarios!$B$121:$B$200,0)),),"Market")</f>
        <v>0</v>
      </c>
      <c r="S536" s="478">
        <f>IFERROR(MAX(0,INDEX(Input!$1:$1048576,S$93,$C536*2+MIN($B536,2)+5)
+INDEX(Scenarios!S$121:S$200,MATCH($B536,Scenarios!$B$121:$B$200,0)),),"Market")</f>
        <v>0</v>
      </c>
      <c r="T536" s="478">
        <f>IFERROR(MAX(0,INDEX(Input!$1:$1048576,T$93,$C536*2+MIN($B536,2)+5)
+INDEX(Scenarios!T$121:T$200,MATCH($B536,Scenarios!$B$121:$B$200,0)),),"Market")</f>
        <v>0</v>
      </c>
      <c r="U536" s="478">
        <f>IFERROR(MAX(0,INDEX(Input!$1:$1048576,U$93,$C536*2+MIN($B536,2)+5)
+INDEX(Scenarios!U$121:U$200,MATCH($B536,Scenarios!$B$121:$B$200,0)),),"Market")</f>
        <v>0</v>
      </c>
      <c r="V536" s="478">
        <f>IFERROR(MAX(0,INDEX(Input!$1:$1048576,V$93,$C536*2+MIN($B536,2)+5)
+INDEX(Scenarios!V$121:V$200,MATCH($B536,Scenarios!$B$121:$B$200,0)),),"Market")</f>
        <v>8.9999999999999993E-3</v>
      </c>
      <c r="W536" s="863">
        <f>IFERROR(MAX(0,INDEX(Input!$1:$1048576,W$93,$C536*2+MIN($B536,2)+5)-0%,),"Market")</f>
        <v>3.9E-2</v>
      </c>
      <c r="X536" s="476" t="str">
        <f>INDEX(Input!$1:$1048576,X$93,$C536*2+MIN($B536,2)+5)</f>
        <v>Y</v>
      </c>
      <c r="Y536" s="475">
        <f>INDEX(Input!$1:$1048576,Y$93,$C536*2+MIN($B536,2)+5)
++INDEX(Scenarios!Y$121:Y$200,MATCH($B536,Scenarios!$B$121:$B$200,0))</f>
        <v>-1098.3618966787526</v>
      </c>
      <c r="Z536" s="477">
        <f>INDEX(Input!$1:$1048576,Z$93,$C536*2+MIN($B536,2)+5)
+INDEX(Scenarios!Z$121:Z$200,MATCH($B536,Scenarios!$B$121:$B$200,0))</f>
        <v>0</v>
      </c>
      <c r="AA536" s="475">
        <f>INDEX(Input!$1:$1048576,AA$93,$C536*2+MIN($B536,2)+5)</f>
        <v>500</v>
      </c>
      <c r="AB536" s="476">
        <f>INDEX(Input!$1:$1048576,AB$93,$C536*2+MIN($B536,2)+5)</f>
        <v>0.43</v>
      </c>
      <c r="AC536" s="475">
        <f>INDEX(Input!$1:$1048576,AC$93,$C536*2+MIN($B536,2)+5)
+INDEX(Scenarios!AC$121:AC$200,MATCH($B536,Scenarios!$B$121:$B$200,0))</f>
        <v>0</v>
      </c>
      <c r="AD536" s="476">
        <f>INDEX(Input!$1:$1048576,AD$93,$C536*2+MIN($B536,2)+5)</f>
        <v>0.35</v>
      </c>
      <c r="AE536" s="475">
        <f>INDEX(Input!$1:$1048576,AE$93,$C536*2+MIN($B536,2)+5)
+INDEX(Scenarios!AE$121:AE$200,MATCH($B536,Scenarios!$B$121:$B$200,0))</f>
        <v>0</v>
      </c>
      <c r="AF536" s="476">
        <f>INDEX(Input!$1:$1048576,AF$93,$C536*2+MIN($B536,2)+5)</f>
        <v>1</v>
      </c>
      <c r="AG536" s="475">
        <f>INDEX(Input!$1:$1048576,AG$93,$C536*2+MIN($B536,2)+5)
+INDEX(Scenarios!AG$121:AG$200,MATCH($B536,Scenarios!$B$121:$B$200,0))</f>
        <v>0</v>
      </c>
      <c r="AH536" s="476">
        <f>INDEX(Input!$1:$1048576,AH$93,$C536*2+MIN($B536,2)+5)</f>
        <v>1</v>
      </c>
      <c r="AI536" s="475">
        <f>INDEX(Input!$1:$1048576,AI$93,$C536*2+MIN($B536,2)+5)
+INDEX(Scenarios!AI$121:AI$200,MATCH($B536,Scenarios!$B$121:$B$200,0))</f>
        <v>0</v>
      </c>
      <c r="AJ536" s="476">
        <f>INDEX(Input!$1:$1048576,AJ$93,$C536*2+MIN($B536,2)+5)</f>
        <v>0.35</v>
      </c>
      <c r="AK536" s="150">
        <f>ROUND(INDEX(Input!$1:$1048576,AK$93,$C535*2+MIN($B536,1)+5)+(Y536-VLOOKUP($C536*1000+1,$A:$HH,Y$92,FALSE)),0)</f>
        <v>4592</v>
      </c>
      <c r="AL536" s="150">
        <f>ROUND(INDEX(Input!$1:$1048576,AL$93,$C535*2+MIN($B536,1)+5)-(Y536-VLOOKUP($C536*1000+1,$A:$HH,Y$92,FALSE))/36,0)</f>
        <v>4743</v>
      </c>
      <c r="AM536" s="32" t="str">
        <f t="shared" si="1665"/>
        <v>std/std/std/std</v>
      </c>
      <c r="AN536" s="32" t="str">
        <f t="shared" si="1666"/>
        <v>$0 + 0/0/0/0.9/3.9</v>
      </c>
      <c r="AO536" s="32" t="str">
        <f t="shared" si="1667"/>
        <v>0/0/0/0.9/3.9</v>
      </c>
      <c r="AP536" s="32" t="str">
        <f t="shared" si="1621"/>
        <v>0/0/0.9/3.9</v>
      </c>
      <c r="AQ536" s="536">
        <f t="shared" si="1620"/>
        <v>0.46944712825301427</v>
      </c>
      <c r="AR536" s="32"/>
      <c r="AS536" s="302"/>
      <c r="AT536" s="3">
        <f t="shared" si="1688"/>
        <v>36</v>
      </c>
      <c r="AU536" s="41" t="s">
        <v>121</v>
      </c>
      <c r="AV536" s="41" t="s">
        <v>116</v>
      </c>
      <c r="AW536" s="41" t="str">
        <f>INDEX(Input!$1:$1048576,AW$93,$C536*2+6)</f>
        <v>Kia</v>
      </c>
      <c r="AX536" s="41" t="str">
        <f>INDEX(Input!$1:$1048576,AX$93,$C536*2+6)</f>
        <v>Kia-LR - R2</v>
      </c>
      <c r="AY536" s="41" t="str">
        <f>IF(LEN(D536)=0,"",INDEX(Input!$1:$1048576,AY$93,$C536*2+6))</f>
        <v>Compact Conventional/Sporty Car (43)</v>
      </c>
      <c r="AZ536" s="41" t="str">
        <f>INDEX(Input!$1:$1048576,AZ$93,$C536*2+6)</f>
        <v>Kia Forte</v>
      </c>
      <c r="BA536" s="3">
        <f>INDEX(Input!$1:$1048576,BA$93,$C536*2+6)</f>
        <v>2020</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19695</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622"/>
        <v>1750</v>
      </c>
      <c r="CJ536" s="16" t="str">
        <f>INDEX(Input!$1:$1048576,CJ$93,$C536*2+6)</f>
        <v>N</v>
      </c>
      <c r="CK536" s="1" t="str">
        <f t="shared" si="1623"/>
        <v>Market</v>
      </c>
      <c r="CL536" s="1" t="str">
        <f t="shared" si="1624"/>
        <v>Market</v>
      </c>
      <c r="CM536" s="1" t="str">
        <f t="shared" si="1625"/>
        <v>Market</v>
      </c>
      <c r="CN536" s="1" t="str">
        <f t="shared" si="1626"/>
        <v>Market</v>
      </c>
      <c r="CO536" s="1" t="str">
        <f t="shared" si="1627"/>
        <v>Market</v>
      </c>
      <c r="CP536" s="304">
        <f t="shared" si="1628"/>
        <v>215</v>
      </c>
      <c r="CQ536" s="1">
        <f t="shared" si="1629"/>
        <v>0</v>
      </c>
      <c r="CR536" s="1">
        <f t="shared" si="1630"/>
        <v>0</v>
      </c>
      <c r="CS536" s="1">
        <f t="shared" si="1631"/>
        <v>0</v>
      </c>
      <c r="CT536" s="1">
        <f t="shared" si="1632"/>
        <v>8.9999999999999993E-3</v>
      </c>
      <c r="CU536" s="1">
        <f t="shared" si="1633"/>
        <v>3.9E-2</v>
      </c>
      <c r="CV536" s="304">
        <f t="shared" si="1634"/>
        <v>-1098.3618966787526</v>
      </c>
      <c r="CW536" s="20" t="s">
        <v>122</v>
      </c>
      <c r="CX536" s="20" t="s">
        <v>122</v>
      </c>
      <c r="CY536" s="20" t="s">
        <v>122</v>
      </c>
      <c r="CZ536" s="20" t="s">
        <v>122</v>
      </c>
      <c r="DA536" s="20" t="s">
        <v>122</v>
      </c>
      <c r="DB536" s="503">
        <f t="shared" si="1635"/>
        <v>0</v>
      </c>
      <c r="DC536" s="127">
        <v>0</v>
      </c>
      <c r="DD536" s="127">
        <v>0</v>
      </c>
      <c r="DE536" s="127">
        <v>0</v>
      </c>
      <c r="DF536" s="127">
        <v>0</v>
      </c>
      <c r="DG536" s="127">
        <v>0</v>
      </c>
      <c r="DH536" s="127">
        <v>0</v>
      </c>
      <c r="DI536" s="127">
        <v>0</v>
      </c>
      <c r="DJ536" s="127">
        <v>0</v>
      </c>
      <c r="DK536" s="127">
        <v>0</v>
      </c>
      <c r="DL536" s="127">
        <v>0</v>
      </c>
      <c r="DM536" s="304">
        <f>INDEX(Input!$1:$1048576,DM$93,$C536*2+6)</f>
        <v>20731.578947368424</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4.4123181510641797E-2</v>
      </c>
      <c r="DZ536" s="7">
        <v>0</v>
      </c>
      <c r="EA536" s="7">
        <v>0.77535797340987456</v>
      </c>
      <c r="EB536" s="7">
        <v>0</v>
      </c>
      <c r="EC536" s="7">
        <v>0</v>
      </c>
      <c r="ED536" s="7">
        <v>0</v>
      </c>
      <c r="EE536" s="7">
        <v>0</v>
      </c>
      <c r="EF536" s="7">
        <v>0</v>
      </c>
      <c r="EG536" s="7">
        <v>0</v>
      </c>
      <c r="EH536" s="7">
        <v>1.0397433280618391E-2</v>
      </c>
      <c r="EI536" s="7">
        <v>1.3088472304038857E-2</v>
      </c>
      <c r="EJ536" s="7">
        <v>0.19266019355261996</v>
      </c>
      <c r="EK536" s="7">
        <v>0.75048864436253715</v>
      </c>
      <c r="EL536" s="7">
        <v>3.336525650018568E-2</v>
      </c>
      <c r="EM536" s="7">
        <v>8.245688027506419E-2</v>
      </c>
      <c r="EN536" s="7">
        <v>4.7388124887237489E-2</v>
      </c>
      <c r="EO536" s="7">
        <v>0.58257574096693654</v>
      </c>
      <c r="EP536" s="7">
        <v>0.25106714927462892</v>
      </c>
      <c r="EQ536" s="7">
        <v>7.2208198120373934E-2</v>
      </c>
      <c r="ER536" s="7">
        <v>4.6760786750823097E-2</v>
      </c>
      <c r="ES536" s="7">
        <v>9.8061964804419394E-2</v>
      </c>
      <c r="ET536" s="7">
        <v>0.18051884507948365</v>
      </c>
      <c r="EU536" s="6">
        <v>2100</v>
      </c>
      <c r="EV536" s="6">
        <v>0</v>
      </c>
      <c r="EW536" s="6">
        <v>2100</v>
      </c>
      <c r="EX536" s="6">
        <v>0</v>
      </c>
      <c r="EY536" s="6">
        <v>2975.8773725184656</v>
      </c>
      <c r="EZ536" s="6">
        <v>-1723.0908300335955</v>
      </c>
      <c r="FA536" s="6">
        <v>0</v>
      </c>
      <c r="FB536" s="6">
        <v>0</v>
      </c>
      <c r="FC536" s="6">
        <v>0</v>
      </c>
      <c r="FD536" s="6">
        <v>0</v>
      </c>
      <c r="FE536" s="6">
        <v>0</v>
      </c>
      <c r="FF536" s="6">
        <v>0</v>
      </c>
      <c r="FG536" s="6">
        <v>0</v>
      </c>
      <c r="FH536" s="6">
        <v>1153.9896931932312</v>
      </c>
      <c r="FI536" s="6">
        <v>1531.4299904380616</v>
      </c>
      <c r="FJ536" s="6">
        <v>2070.7205842538219</v>
      </c>
      <c r="FK536" s="6">
        <v>2218.6393698501033</v>
      </c>
      <c r="FL536" s="6">
        <v>893.91433563489375</v>
      </c>
      <c r="FM536" s="6">
        <v>2125.8773725184656</v>
      </c>
      <c r="FN536" s="6">
        <v>0</v>
      </c>
      <c r="FO536" s="6">
        <v>0</v>
      </c>
      <c r="FP536" s="6">
        <v>0</v>
      </c>
      <c r="FQ536" s="6">
        <v>0</v>
      </c>
      <c r="FR536" s="6">
        <v>0</v>
      </c>
      <c r="FS536" s="6">
        <v>0</v>
      </c>
      <c r="FT536" s="7">
        <v>0.81948115492051632</v>
      </c>
      <c r="FU536" s="7">
        <v>8.245688027506419E-2</v>
      </c>
      <c r="FV536" s="7">
        <v>9.8061964804419394E-2</v>
      </c>
      <c r="FW536" s="6">
        <v>2100</v>
      </c>
      <c r="FX536" s="6">
        <v>2975.8773725184656</v>
      </c>
      <c r="FY536" s="6">
        <v>-1723.0908300335955</v>
      </c>
      <c r="FZ536" s="6">
        <v>2411.9063952864503</v>
      </c>
      <c r="GA536" s="6">
        <v>1797.3223172225398</v>
      </c>
      <c r="GB536" s="6">
        <v>17897.677682777459</v>
      </c>
      <c r="GC536" s="7">
        <v>7.6138913542514425E-2</v>
      </c>
      <c r="GD536" s="7">
        <v>7.0167779451999951E-2</v>
      </c>
      <c r="GE536" s="7"/>
      <c r="GF536" s="7"/>
      <c r="GG536" s="7">
        <v>-7.8424209286625995E-2</v>
      </c>
      <c r="GH536" s="42">
        <v>2.513187140750301</v>
      </c>
      <c r="GI536" s="6">
        <v>9633.9850474480918</v>
      </c>
      <c r="GJ536" s="14">
        <v>0.51074630601039561</v>
      </c>
      <c r="GK536" s="14">
        <v>0.50829519786160982</v>
      </c>
      <c r="GL536" s="14">
        <v>0.48925369398960439</v>
      </c>
      <c r="GM536" s="14">
        <v>0.49170480213839063</v>
      </c>
      <c r="GO536" s="5">
        <v>338.16872463277008</v>
      </c>
      <c r="GP536" s="5">
        <v>298.1047308538179</v>
      </c>
      <c r="GQ536" s="5">
        <v>527.27910984145694</v>
      </c>
      <c r="GR536" s="5">
        <v>404.20319246551543</v>
      </c>
      <c r="GS536" s="5">
        <v>334.50205195691484</v>
      </c>
      <c r="GT536" s="5">
        <v>289.18266033348181</v>
      </c>
      <c r="GU536" s="5">
        <v>254.29573314828914</v>
      </c>
      <c r="GV536" s="39" t="s">
        <v>392</v>
      </c>
      <c r="GW536" s="5">
        <v>468.76388888888891</v>
      </c>
      <c r="GX536" s="5">
        <v>351.57291666666669</v>
      </c>
      <c r="GY536" s="5">
        <v>281.25833333333333</v>
      </c>
      <c r="GZ536" s="5">
        <v>240.8550698915011</v>
      </c>
      <c r="HA536" s="5">
        <v>229.8919505212948</v>
      </c>
      <c r="HB536" s="39">
        <v>252.09217736720234</v>
      </c>
      <c r="HC536" s="5">
        <v>358.50084881396981</v>
      </c>
      <c r="HD536" s="5">
        <v>287.77900980034525</v>
      </c>
      <c r="HE536" s="5">
        <v>285.23787161201437</v>
      </c>
      <c r="HF536" s="5">
        <v>257.54964978663213</v>
      </c>
      <c r="HG536" s="5">
        <v>240.60084178617024</v>
      </c>
      <c r="HH536" s="39">
        <v>286.10349294819321</v>
      </c>
      <c r="HI536" s="16"/>
      <c r="HJ536" s="19" t="str">
        <f t="shared" si="1742"/>
        <v>On</v>
      </c>
      <c r="HK536" s="1" t="str">
        <f t="shared" si="1742"/>
        <v>On</v>
      </c>
      <c r="HL536" s="16"/>
      <c r="HM536" s="639">
        <f t="shared" si="1636"/>
        <v>5.1181272167489952E-2</v>
      </c>
      <c r="HN536" s="639">
        <f t="shared" si="1637"/>
        <v>4.2792051795134348E-3</v>
      </c>
      <c r="HO536" s="639">
        <f t="shared" si="1638"/>
        <v>7.4145241462331068E-3</v>
      </c>
      <c r="HP536" s="644">
        <f>(FT536*$GD536-HM536)/$JF536*INDEX(Input!$1:$1048576,$JG$93,$C536*2+6)</f>
        <v>74.582366035066784</v>
      </c>
      <c r="HQ536" s="644">
        <f>(FU536*$GD536-HN536)/$JF536*INDEX(Input!$1:$1048576,$JG$93,$C536*2+6)</f>
        <v>17.779806645193663</v>
      </c>
      <c r="HR536" s="644">
        <f>(FV536*$GD536-HO536)/$JF536*INDEX(Input!$1:$1048576,$JG$93,$C536*2+6)</f>
        <v>-6.2986956720798757</v>
      </c>
      <c r="HS536" s="644">
        <f t="shared" si="1639"/>
        <v>-16.83471973967649</v>
      </c>
      <c r="HT536" s="644">
        <f t="shared" si="1640"/>
        <v>38.688754765425884</v>
      </c>
      <c r="HU536" s="644">
        <f t="shared" si="1641"/>
        <v>8.0015635266399503</v>
      </c>
      <c r="HV536" s="648">
        <f t="shared" si="1642"/>
        <v>0</v>
      </c>
      <c r="HW536" s="648">
        <f t="shared" si="1643"/>
        <v>0</v>
      </c>
      <c r="HX536" s="648">
        <f t="shared" si="1644"/>
        <v>0</v>
      </c>
      <c r="HY536" s="644">
        <f>INDEX(Input!$1:$1048576,HY$93,$C536*2+6)*INDEX(Input!$1:$1048576,$JG$93,$C536*2+6)</f>
        <v>345</v>
      </c>
      <c r="HZ536" s="644">
        <f>INDEX(Input!$1:$1048576,HZ$93,$C536*2+6)*INDEX(Input!$1:$1048576,$JG$93,$C536*2+6)</f>
        <v>299</v>
      </c>
      <c r="IA536" s="644">
        <f>INDEX(Input!$1:$1048576,IA$93,$C536*2+6)*INDEX(Input!$1:$1048576,$JG$93,$C536*2+6)</f>
        <v>98</v>
      </c>
      <c r="IB536" s="644">
        <f t="shared" si="1668"/>
        <v>402.74764629539027</v>
      </c>
      <c r="IC536" s="644">
        <f t="shared" si="1669"/>
        <v>355.46856141061954</v>
      </c>
      <c r="ID536" s="644">
        <f>IF(AND(INDEX(Input!$1:$1048576,IA$93,$C536*2+7)="TOS",Y536&lt;=INDEX(Y:Y,MATCH(C536*1000+2,A:A))),0,1)*MAX(IA536+HR536+HU536+HX536,0%)</f>
        <v>99.702867854560083</v>
      </c>
      <c r="IE536" s="128">
        <f t="shared" si="1739"/>
        <v>0.46944712825301427</v>
      </c>
      <c r="IF536" s="128">
        <f t="shared" si="1691"/>
        <v>0.41433810196882975</v>
      </c>
      <c r="IG536" s="128">
        <f t="shared" si="1646"/>
        <v>0.11621476977815605</v>
      </c>
      <c r="IH536" s="21"/>
      <c r="II536" s="19">
        <f t="shared" si="1647"/>
        <v>1200</v>
      </c>
      <c r="IJ536" s="19">
        <f t="shared" si="1648"/>
        <v>2231.5440334087361</v>
      </c>
      <c r="IK536" s="19">
        <f t="shared" si="1649"/>
        <v>-2048.0908300335955</v>
      </c>
      <c r="IL536" s="19">
        <f t="shared" si="1671"/>
        <v>900</v>
      </c>
      <c r="IM536" s="19">
        <f t="shared" si="1650"/>
        <v>744.33333910972942</v>
      </c>
      <c r="IN536" s="19">
        <f t="shared" si="1651"/>
        <v>325</v>
      </c>
      <c r="IO536" s="39">
        <f t="shared" si="1652"/>
        <v>0</v>
      </c>
      <c r="IP536" s="39">
        <f t="shared" si="1653"/>
        <v>0</v>
      </c>
      <c r="IQ536" s="39">
        <f t="shared" si="1654"/>
        <v>0</v>
      </c>
      <c r="IR536" s="39">
        <v>0</v>
      </c>
      <c r="IS536" s="39">
        <v>0</v>
      </c>
      <c r="IT536" s="39">
        <v>0</v>
      </c>
      <c r="IU536" s="39">
        <v>0</v>
      </c>
      <c r="IV536" s="39">
        <v>0</v>
      </c>
      <c r="IW536" s="39">
        <v>0</v>
      </c>
      <c r="IX536" s="39">
        <f>INDEX(Input!$1:$1048576,IX$93,$C536*2+6)+INDEX(Input!$1:$1048576,IX$94,$C536*2+6)</f>
        <v>1600</v>
      </c>
      <c r="IY536" s="39">
        <f>INDEX(Input!$1:$1048576,IY$93,$C536*2+6)+INDEX(Input!$1:$1048576,IY$94,$C536*2+6)</f>
        <v>2503.5492916397525</v>
      </c>
      <c r="IZ536" s="39">
        <f>INDEX(Input!$1:$1048576,IZ$93,$C536*2+6)+INDEX(Input!$1:$1048576,IZ$94,$C536*2+6)</f>
        <v>5413.7109265464023</v>
      </c>
      <c r="JA536" s="19">
        <f t="shared" si="1672"/>
        <v>2500</v>
      </c>
      <c r="JB536" s="19">
        <f t="shared" si="1673"/>
        <v>3247.8826307494819</v>
      </c>
      <c r="JC536" s="19">
        <f t="shared" si="1674"/>
        <v>5738.7109265464023</v>
      </c>
      <c r="JD536" s="19">
        <f t="shared" si="1675"/>
        <v>3186.2623144267845</v>
      </c>
      <c r="JE536" s="21"/>
      <c r="JF536" s="1">
        <f t="shared" si="1655"/>
        <v>6.2875001493236493E-2</v>
      </c>
      <c r="JG536" s="15">
        <f>INDEX(Input!$1:$1048576,JG$93,$C536*2+6)/(1+VLOOKUP(C536*1000+INDEX(Input!$1:$1048576,JG$93+1,$C536*2+6),$A:$KK,$JK$92,FALSE))</f>
        <v>742</v>
      </c>
      <c r="JH536" s="1">
        <f t="shared" si="1676"/>
        <v>0.11598851348811398</v>
      </c>
      <c r="JI536" s="1">
        <f t="shared" si="1677"/>
        <v>4.0236655730982944E-2</v>
      </c>
      <c r="JJ536" s="1">
        <f t="shared" si="1715"/>
        <v>0</v>
      </c>
      <c r="JK536" s="1">
        <f t="shared" si="1719"/>
        <v>0.15622516921909693</v>
      </c>
      <c r="JL536" s="15">
        <f t="shared" si="1680"/>
        <v>115.91907556056992</v>
      </c>
      <c r="JM536" s="15">
        <f t="shared" si="1706"/>
        <v>857.91907556056992</v>
      </c>
      <c r="JN536" s="21"/>
      <c r="JO536" s="19">
        <f>INDEX(Input!$1:$1048576,JO$93,$C536*2+6)</f>
        <v>5908.5</v>
      </c>
      <c r="JP536" s="19">
        <f>INDEX(Input!$1:$1048576,JP$93,$C536*2+6)</f>
        <v>2467.7963733178344</v>
      </c>
      <c r="JQ536" s="39">
        <f t="shared" si="1692"/>
        <v>2722.2376855732155</v>
      </c>
      <c r="JR536" s="39">
        <f t="shared" si="1709"/>
        <v>718.46594110895012</v>
      </c>
      <c r="JS536" s="39">
        <f t="shared" si="1694"/>
        <v>2.7335552192865089</v>
      </c>
      <c r="JT536" s="39">
        <f t="shared" si="1682"/>
        <v>0.90245031028467582</v>
      </c>
      <c r="JU536" s="385">
        <f>(JQ536*JM536-INDEX(Input!$1:$1048576,Input!A$18,$C536*2+6)*JL536*INDEX(Input!$1:$1048576,Input!A$19,$C536*2+6))/1000000</f>
        <v>2.3354596386631181</v>
      </c>
      <c r="JV536" s="39">
        <f t="shared" si="1716"/>
        <v>-0.21754245233504843</v>
      </c>
      <c r="JW536" s="1">
        <f t="shared" si="1707"/>
        <v>-8.5210448163007269E-2</v>
      </c>
      <c r="JX536" s="19">
        <f t="shared" si="1698"/>
        <v>7785.1751829501809</v>
      </c>
      <c r="JZ536" s="341"/>
      <c r="KA536" s="342"/>
      <c r="KB536" s="469">
        <f t="shared" si="1695"/>
        <v>2.4623520912331753</v>
      </c>
      <c r="KI536" s="473">
        <f t="shared" si="1740"/>
        <v>57.747646295390325</v>
      </c>
      <c r="KJ536" s="473">
        <f t="shared" si="1741"/>
        <v>56.4685614106196</v>
      </c>
      <c r="KK536" s="473">
        <f t="shared" si="1684"/>
        <v>1.7028678545600968</v>
      </c>
      <c r="KN536" s="544">
        <f t="shared" si="1699"/>
        <v>5002</v>
      </c>
      <c r="KO536" s="541">
        <f t="shared" si="1659"/>
        <v>7.4345587277784952E-2</v>
      </c>
      <c r="KP536" s="546">
        <f t="shared" si="1660"/>
        <v>377.3793997287803</v>
      </c>
      <c r="KQ536" s="546">
        <f t="shared" si="1661"/>
        <v>327.48986827507542</v>
      </c>
      <c r="KR536" s="548">
        <f t="shared" si="1662"/>
        <v>3.3168191637722213</v>
      </c>
      <c r="KS536" s="548">
        <f t="shared" si="1663"/>
        <v>3.8221006091764336</v>
      </c>
      <c r="KT536" s="473">
        <f t="shared" si="1697"/>
        <v>389.37465324503302</v>
      </c>
      <c r="KU536" s="663">
        <f t="shared" si="1685"/>
        <v>7.4380596210047774</v>
      </c>
      <c r="KV536" s="117"/>
    </row>
    <row r="537" spans="1:308" s="26" customFormat="1" ht="15">
      <c r="A537" s="561">
        <f t="shared" si="1664"/>
        <v>5037</v>
      </c>
      <c r="B537" s="561">
        <f t="shared" si="1686"/>
        <v>37</v>
      </c>
      <c r="C537" s="561">
        <f t="shared" si="1687"/>
        <v>5</v>
      </c>
      <c r="D537" s="561" t="str">
        <f t="shared" si="1736"/>
        <v xml:space="preserve">750 CC, 0/0/0.9/3.9, </v>
      </c>
      <c r="E537" s="475">
        <f>INDEX(Input!$1:$1048576,E$93,$C537*2+MIN($B537,2)+5)
+INDEX(Scenarios!E$121:E$200,MATCH($B537,Scenarios!$B$121:$B$200,0))</f>
        <v>2000</v>
      </c>
      <c r="F537" s="475">
        <f>INDEX(Input!$1:$1048576,F$93,$C537*2+MIN($B537,2)+5)
+INDEX(Scenarios!F$121:F$200,MATCH($B537,Scenarios!$B$121:$B$200,0))</f>
        <v>0</v>
      </c>
      <c r="G537" s="475">
        <f>INDEX(Input!$1:$1048576,G$93,$C537*2+MIN($B537,2)+5)
+INDEX(Scenarios!G$121:G$200,MATCH($B537,Scenarios!$B$121:$B$200,0))</f>
        <v>0</v>
      </c>
      <c r="H537" s="475">
        <f>INDEX(Input!$1:$1048576,H$93,$C537*2+MIN($B537,2)+5)
+INDEX(Scenarios!H$121:H$200,MATCH($B537,Scenarios!$B$121:$B$200,0))</f>
        <v>0</v>
      </c>
      <c r="I537" s="476">
        <f>INDEX(Input!$1:$1048576,I$93,$C537*2+MIN($B537,2)+5)</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+INDEX(Scenarios!Q$121:Q$200,MATCH($B537,Scenarios!$B$121:$B$200,0))</f>
        <v>0</v>
      </c>
      <c r="R537" s="478">
        <f>IFERROR(MAX(0,INDEX(Input!$1:$1048576,R$93,$C537*2+MIN($B537,2)+5)
+INDEX(Scenarios!R$121:R$200,MATCH($B537,Scenarios!$B$121:$B$200,0)),),"Market")</f>
        <v>0</v>
      </c>
      <c r="S537" s="478">
        <f>IFERROR(MAX(0,INDEX(Input!$1:$1048576,S$93,$C537*2+MIN($B537,2)+5)
+INDEX(Scenarios!S$121:S$200,MATCH($B537,Scenarios!$B$121:$B$200,0)),),"Market")</f>
        <v>0</v>
      </c>
      <c r="T537" s="478">
        <f>IFERROR(MAX(0,INDEX(Input!$1:$1048576,T$93,$C537*2+MIN($B537,2)+5)
+INDEX(Scenarios!T$121:T$200,MATCH($B537,Scenarios!$B$121:$B$200,0)),),"Market")</f>
        <v>0</v>
      </c>
      <c r="U537" s="478">
        <f>IFERROR(MAX(0,INDEX(Input!$1:$1048576,U$93,$C537*2+MIN($B537,2)+5)
+INDEX(Scenarios!U$121:U$200,MATCH($B537,Scenarios!$B$121:$B$200,0)),),"Market")</f>
        <v>0</v>
      </c>
      <c r="V537" s="478">
        <f>IFERROR(MAX(0,INDEX(Input!$1:$1048576,V$93,$C537*2+MIN($B537,2)+5)
+INDEX(Scenarios!V$121:V$200,MATCH($B537,Scenarios!$B$121:$B$200,0)),),"Market")</f>
        <v>8.9999999999999993E-3</v>
      </c>
      <c r="W537" s="863">
        <f>IFERROR(MAX(0,INDEX(Input!$1:$1048576,W$93,$C537*2+MIN($B537,2)+5)-0%,),"Market")</f>
        <v>3.9E-2</v>
      </c>
      <c r="X537" s="476" t="str">
        <f>INDEX(Input!$1:$1048576,X$93,$C537*2+MIN($B537,2)+5)</f>
        <v>Y</v>
      </c>
      <c r="Y537" s="475">
        <f>INDEX(Input!$1:$1048576,Y$93,$C537*2+MIN($B537,2)+5)
++INDEX(Scenarios!Y$121:Y$200,MATCH($B537,Scenarios!$B$121:$B$200,0))</f>
        <v>-1098.3618966787526</v>
      </c>
      <c r="Z537" s="477">
        <f>INDEX(Input!$1:$1048576,Z$93,$C537*2+MIN($B537,2)+5)
+INDEX(Scenarios!Z$121:Z$200,MATCH($B537,Scenarios!$B$121:$B$200,0))</f>
        <v>0</v>
      </c>
      <c r="AA537" s="475">
        <f>INDEX(Input!$1:$1048576,AA$93,$C537*2+MIN($B537,2)+5)</f>
        <v>500</v>
      </c>
      <c r="AB537" s="476">
        <f>INDEX(Input!$1:$1048576,AB$93,$C537*2+MIN($B537,2)+5)</f>
        <v>0.43</v>
      </c>
      <c r="AC537" s="475">
        <f>INDEX(Input!$1:$1048576,AC$93,$C537*2+MIN($B537,2)+5)
+INDEX(Scenarios!AC$121:AC$200,MATCH($B537,Scenarios!$B$121:$B$200,0))</f>
        <v>0</v>
      </c>
      <c r="AD537" s="476">
        <f>INDEX(Input!$1:$1048576,AD$93,$C537*2+MIN($B537,2)+5)</f>
        <v>0.35</v>
      </c>
      <c r="AE537" s="475">
        <f>INDEX(Input!$1:$1048576,AE$93,$C537*2+MIN($B537,2)+5)
+INDEX(Scenarios!AE$121:AE$200,MATCH($B537,Scenarios!$B$121:$B$200,0))</f>
        <v>0</v>
      </c>
      <c r="AF537" s="476">
        <f>INDEX(Input!$1:$1048576,AF$93,$C537*2+MIN($B537,2)+5)</f>
        <v>1</v>
      </c>
      <c r="AG537" s="475">
        <f>INDEX(Input!$1:$1048576,AG$93,$C537*2+MIN($B537,2)+5)
+INDEX(Scenarios!AG$121:AG$200,MATCH($B537,Scenarios!$B$121:$B$200,0))</f>
        <v>0</v>
      </c>
      <c r="AH537" s="476">
        <f>INDEX(Input!$1:$1048576,AH$93,$C537*2+MIN($B537,2)+5)</f>
        <v>1</v>
      </c>
      <c r="AI537" s="475">
        <f>INDEX(Input!$1:$1048576,AI$93,$C537*2+MIN($B537,2)+5)
+INDEX(Scenarios!AI$121:AI$200,MATCH($B537,Scenarios!$B$121:$B$200,0))</f>
        <v>0</v>
      </c>
      <c r="AJ537" s="476">
        <f>INDEX(Input!$1:$1048576,AJ$93,$C537*2+MIN($B537,2)+5)</f>
        <v>0.35</v>
      </c>
      <c r="AK537" s="150">
        <f>ROUND(INDEX(Input!$1:$1048576,AK$93,$C536*2+MIN($B537,1)+5)+(Y537-VLOOKUP($C537*1000+1,$A:$HH,Y$92,FALSE)),0)</f>
        <v>4592</v>
      </c>
      <c r="AL537" s="150">
        <f>ROUND(INDEX(Input!$1:$1048576,AL$93,$C536*2+MIN($B537,1)+5)-(Y537-VLOOKUP($C537*1000+1,$A:$HH,Y$92,FALSE))/36,0)</f>
        <v>4743</v>
      </c>
      <c r="AM537" s="32" t="str">
        <f t="shared" si="1665"/>
        <v>std/std/std/std</v>
      </c>
      <c r="AN537" s="32" t="str">
        <f t="shared" si="1666"/>
        <v>$0 + 0/0/0/0.9/3.9</v>
      </c>
      <c r="AO537" s="32" t="str">
        <f t="shared" si="1667"/>
        <v>0/0/0/0.9/3.9</v>
      </c>
      <c r="AP537" s="32" t="str">
        <f t="shared" si="1621"/>
        <v>0/0/0.9/3.9</v>
      </c>
      <c r="AQ537" s="536">
        <f t="shared" si="1620"/>
        <v>0.4853414889458173</v>
      </c>
      <c r="AR537" s="32"/>
      <c r="AS537" s="302"/>
      <c r="AT537" s="3">
        <f t="shared" si="1688"/>
        <v>37</v>
      </c>
      <c r="AU537" s="41" t="s">
        <v>121</v>
      </c>
      <c r="AV537" s="41" t="s">
        <v>116</v>
      </c>
      <c r="AW537" s="41" t="str">
        <f>INDEX(Input!$1:$1048576,AW$93,$C537*2+6)</f>
        <v>Kia</v>
      </c>
      <c r="AX537" s="41" t="str">
        <f>INDEX(Input!$1:$1048576,AX$93,$C537*2+6)</f>
        <v>Kia-LR - R2</v>
      </c>
      <c r="AY537" s="41" t="str">
        <f>IF(LEN(D537)=0,"",INDEX(Input!$1:$1048576,AY$93,$C537*2+6))</f>
        <v>Compact Conventional/Sporty Car (43)</v>
      </c>
      <c r="AZ537" s="41" t="str">
        <f>INDEX(Input!$1:$1048576,AZ$93,$C537*2+6)</f>
        <v>Kia Forte</v>
      </c>
      <c r="BA537" s="3">
        <f>INDEX(Input!$1:$1048576,BA$93,$C537*2+6)</f>
        <v>2020</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19695</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622"/>
        <v>2000</v>
      </c>
      <c r="CJ537" s="16" t="str">
        <f>INDEX(Input!$1:$1048576,CJ$93,$C537*2+6)</f>
        <v>N</v>
      </c>
      <c r="CK537" s="1" t="str">
        <f t="shared" si="1623"/>
        <v>Market</v>
      </c>
      <c r="CL537" s="1" t="str">
        <f t="shared" si="1624"/>
        <v>Market</v>
      </c>
      <c r="CM537" s="1" t="str">
        <f t="shared" si="1625"/>
        <v>Market</v>
      </c>
      <c r="CN537" s="1" t="str">
        <f t="shared" si="1626"/>
        <v>Market</v>
      </c>
      <c r="CO537" s="1" t="str">
        <f t="shared" si="1627"/>
        <v>Market</v>
      </c>
      <c r="CP537" s="304">
        <f t="shared" si="1628"/>
        <v>215</v>
      </c>
      <c r="CQ537" s="1">
        <f t="shared" si="1629"/>
        <v>0</v>
      </c>
      <c r="CR537" s="1">
        <f t="shared" si="1630"/>
        <v>0</v>
      </c>
      <c r="CS537" s="1">
        <f t="shared" si="1631"/>
        <v>0</v>
      </c>
      <c r="CT537" s="1">
        <f t="shared" si="1632"/>
        <v>8.9999999999999993E-3</v>
      </c>
      <c r="CU537" s="1">
        <f t="shared" si="1633"/>
        <v>3.9E-2</v>
      </c>
      <c r="CV537" s="304">
        <f t="shared" si="1634"/>
        <v>-1098.3618966787526</v>
      </c>
      <c r="CW537" s="20" t="s">
        <v>122</v>
      </c>
      <c r="CX537" s="20" t="s">
        <v>122</v>
      </c>
      <c r="CY537" s="20" t="s">
        <v>122</v>
      </c>
      <c r="CZ537" s="20" t="s">
        <v>122</v>
      </c>
      <c r="DA537" s="20" t="s">
        <v>122</v>
      </c>
      <c r="DB537" s="503">
        <f t="shared" si="1635"/>
        <v>0</v>
      </c>
      <c r="DC537" s="127">
        <v>0</v>
      </c>
      <c r="DD537" s="127">
        <v>0</v>
      </c>
      <c r="DE537" s="127">
        <v>0</v>
      </c>
      <c r="DF537" s="127">
        <v>0</v>
      </c>
      <c r="DG537" s="127">
        <v>0</v>
      </c>
      <c r="DH537" s="127">
        <v>0</v>
      </c>
      <c r="DI537" s="127">
        <v>0</v>
      </c>
      <c r="DJ537" s="127">
        <v>0</v>
      </c>
      <c r="DK537" s="127">
        <v>0</v>
      </c>
      <c r="DL537" s="127">
        <v>0</v>
      </c>
      <c r="DM537" s="304">
        <f>INDEX(Input!$1:$1048576,DM$93,$C537*2+6)</f>
        <v>20731.578947368424</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4.4823719140904827E-2</v>
      </c>
      <c r="DZ537" s="7">
        <v>0</v>
      </c>
      <c r="EA537" s="7">
        <v>0.78503485617649094</v>
      </c>
      <c r="EB537" s="7">
        <v>0</v>
      </c>
      <c r="EC537" s="7">
        <v>0</v>
      </c>
      <c r="ED537" s="7">
        <v>0</v>
      </c>
      <c r="EE537" s="7">
        <v>0</v>
      </c>
      <c r="EF537" s="7">
        <v>0</v>
      </c>
      <c r="EG537" s="7">
        <v>0</v>
      </c>
      <c r="EH537" s="7">
        <v>1.0400982098515879E-2</v>
      </c>
      <c r="EI537" s="7">
        <v>1.3089496419775805E-2</v>
      </c>
      <c r="EJ537" s="7">
        <v>0.19275572046853576</v>
      </c>
      <c r="EK537" s="7">
        <v>0.75039061424143916</v>
      </c>
      <c r="EL537" s="7">
        <v>3.3363186771733257E-2</v>
      </c>
      <c r="EM537" s="7">
        <v>7.7709245807811272E-2</v>
      </c>
      <c r="EN537" s="7">
        <v>4.738835144984601E-2</v>
      </c>
      <c r="EO537" s="7">
        <v>0.58257306723352531</v>
      </c>
      <c r="EP537" s="7">
        <v>0.25106308317254367</v>
      </c>
      <c r="EQ537" s="7">
        <v>7.2207351002526718E-2</v>
      </c>
      <c r="ER537" s="7">
        <v>4.6768147141558615E-2</v>
      </c>
      <c r="ES537" s="7">
        <v>9.2432178874793033E-2</v>
      </c>
      <c r="ET537" s="7">
        <v>0.17014142468260432</v>
      </c>
      <c r="EU537" s="6">
        <v>2350</v>
      </c>
      <c r="EV537" s="6">
        <v>0</v>
      </c>
      <c r="EW537" s="6">
        <v>2350</v>
      </c>
      <c r="EX537" s="6">
        <v>0</v>
      </c>
      <c r="EY537" s="6">
        <v>2975.8615192473353</v>
      </c>
      <c r="EZ537" s="6">
        <v>-1723.0908300335955</v>
      </c>
      <c r="FA537" s="6">
        <v>0</v>
      </c>
      <c r="FB537" s="6">
        <v>0</v>
      </c>
      <c r="FC537" s="6">
        <v>0</v>
      </c>
      <c r="FD537" s="6">
        <v>0</v>
      </c>
      <c r="FE537" s="6">
        <v>0</v>
      </c>
      <c r="FF537" s="6">
        <v>0</v>
      </c>
      <c r="FG537" s="6">
        <v>0</v>
      </c>
      <c r="FH537" s="6">
        <v>1153.991343319814</v>
      </c>
      <c r="FI537" s="6">
        <v>1531.4299904380618</v>
      </c>
      <c r="FJ537" s="6">
        <v>2070.7205842538224</v>
      </c>
      <c r="FK537" s="6">
        <v>2218.639369850102</v>
      </c>
      <c r="FL537" s="6">
        <v>893.9143356348942</v>
      </c>
      <c r="FM537" s="6">
        <v>2125.8615192473353</v>
      </c>
      <c r="FN537" s="6">
        <v>0</v>
      </c>
      <c r="FO537" s="6">
        <v>0</v>
      </c>
      <c r="FP537" s="6">
        <v>0</v>
      </c>
      <c r="FQ537" s="6">
        <v>0</v>
      </c>
      <c r="FR537" s="6">
        <v>0</v>
      </c>
      <c r="FS537" s="6">
        <v>0</v>
      </c>
      <c r="FT537" s="7">
        <v>0.82985857531739571</v>
      </c>
      <c r="FU537" s="7">
        <v>7.7709245807811272E-2</v>
      </c>
      <c r="FV537" s="7">
        <v>9.2432178874793033E-2</v>
      </c>
      <c r="FW537" s="6">
        <v>2350</v>
      </c>
      <c r="FX537" s="6">
        <v>2975.8615192473353</v>
      </c>
      <c r="FY537" s="6">
        <v>-1723.0908300335955</v>
      </c>
      <c r="FZ537" s="6">
        <v>2411.9063952864503</v>
      </c>
      <c r="GA537" s="6">
        <v>2022.1505664658969</v>
      </c>
      <c r="GB537" s="6">
        <v>17672.849433534102</v>
      </c>
      <c r="GC537" s="7">
        <v>7.6138913542514425E-2</v>
      </c>
      <c r="GD537" s="7">
        <v>7.199449446547182E-2</v>
      </c>
      <c r="GE537" s="7"/>
      <c r="GF537" s="7"/>
      <c r="GG537" s="7">
        <v>-5.4432338001887105E-2</v>
      </c>
      <c r="GH537" s="42">
        <v>2.7505551365102074</v>
      </c>
      <c r="GI537" s="6">
        <v>9182.5232994365306</v>
      </c>
      <c r="GJ537" s="14">
        <v>0.51074630601039561</v>
      </c>
      <c r="GK537" s="14">
        <v>0.50829519786160993</v>
      </c>
      <c r="GL537" s="14">
        <v>0.48925369398960439</v>
      </c>
      <c r="GM537" s="14">
        <v>0.49170480213839035</v>
      </c>
      <c r="GO537" s="5">
        <v>338.16872463277008</v>
      </c>
      <c r="GP537" s="5">
        <v>293.33520778489498</v>
      </c>
      <c r="GQ537" s="5">
        <v>527.27910984145694</v>
      </c>
      <c r="GR537" s="5">
        <v>404.20319246551543</v>
      </c>
      <c r="GS537" s="5">
        <v>334.50205195691484</v>
      </c>
      <c r="GT537" s="5">
        <v>289.18266033348181</v>
      </c>
      <c r="GU537" s="5">
        <v>254.29573314828914</v>
      </c>
      <c r="GV537" s="39" t="s">
        <v>392</v>
      </c>
      <c r="GW537" s="5">
        <v>468.76388888888891</v>
      </c>
      <c r="GX537" s="5">
        <v>351.57291666666669</v>
      </c>
      <c r="GY537" s="5">
        <v>281.25833333333333</v>
      </c>
      <c r="GZ537" s="5">
        <v>240.8550698915011</v>
      </c>
      <c r="HA537" s="5">
        <v>229.8919505212948</v>
      </c>
      <c r="HB537" s="39">
        <v>252.09698185181702</v>
      </c>
      <c r="HC537" s="5">
        <v>358.50084881396981</v>
      </c>
      <c r="HD537" s="5">
        <v>287.77900980034525</v>
      </c>
      <c r="HE537" s="5">
        <v>285.23787161201437</v>
      </c>
      <c r="HF537" s="5">
        <v>257.54964978663213</v>
      </c>
      <c r="HG537" s="5">
        <v>240.60084178617024</v>
      </c>
      <c r="HH537" s="39">
        <v>286.10319766172449</v>
      </c>
      <c r="HI537" s="16"/>
      <c r="HJ537" s="19" t="str">
        <f t="shared" si="1742"/>
        <v>On</v>
      </c>
      <c r="HK537" s="1" t="str">
        <f t="shared" si="1742"/>
        <v>On</v>
      </c>
      <c r="HL537" s="16"/>
      <c r="HM537" s="639">
        <f t="shared" si="1636"/>
        <v>5.1181272167489952E-2</v>
      </c>
      <c r="HN537" s="639">
        <f t="shared" si="1637"/>
        <v>4.2792051795134348E-3</v>
      </c>
      <c r="HO537" s="639">
        <f t="shared" si="1638"/>
        <v>7.4145241462331068E-3</v>
      </c>
      <c r="HP537" s="644">
        <f>(FT537*$GD537-HM537)/$JF537*INDEX(Input!$1:$1048576,$JG$93,$C537*2+6)</f>
        <v>101.06513507443715</v>
      </c>
      <c r="HQ537" s="644">
        <f>(FU537*$GD537-HN537)/$JF537*INDEX(Input!$1:$1048576,$JG$93,$C537*2+6)</f>
        <v>15.523674450935122</v>
      </c>
      <c r="HR537" s="644">
        <f>(FV537*$GD537-HO537)/$JF537*INDEX(Input!$1:$1048576,$JG$93,$C537*2+6)</f>
        <v>-8.9679168860853338</v>
      </c>
      <c r="HS537" s="644">
        <f t="shared" si="1639"/>
        <v>-21.467710378852754</v>
      </c>
      <c r="HT537" s="644">
        <f t="shared" si="1640"/>
        <v>38.125847514826148</v>
      </c>
      <c r="HU537" s="644">
        <f t="shared" si="1641"/>
        <v>8.5636003444691848</v>
      </c>
      <c r="HV537" s="648">
        <f t="shared" si="1642"/>
        <v>0</v>
      </c>
      <c r="HW537" s="648">
        <f t="shared" si="1643"/>
        <v>0</v>
      </c>
      <c r="HX537" s="648">
        <f t="shared" si="1644"/>
        <v>0</v>
      </c>
      <c r="HY537" s="644">
        <f>INDEX(Input!$1:$1048576,HY$93,$C537*2+6)*INDEX(Input!$1:$1048576,$JG$93,$C537*2+6)</f>
        <v>345</v>
      </c>
      <c r="HZ537" s="644">
        <f>INDEX(Input!$1:$1048576,HZ$93,$C537*2+6)*INDEX(Input!$1:$1048576,$JG$93,$C537*2+6)</f>
        <v>299</v>
      </c>
      <c r="IA537" s="644">
        <f>INDEX(Input!$1:$1048576,IA$93,$C537*2+6)*INDEX(Input!$1:$1048576,$JG$93,$C537*2+6)</f>
        <v>98</v>
      </c>
      <c r="IB537" s="644">
        <f t="shared" si="1668"/>
        <v>424.59742469558444</v>
      </c>
      <c r="IC537" s="644">
        <f t="shared" si="1669"/>
        <v>352.64952196576127</v>
      </c>
      <c r="ID537" s="644">
        <f>IF(AND(INDEX(Input!$1:$1048576,IA$93,$C537*2+7)="TOS",Y537&lt;=INDEX(Y:Y,MATCH(C537*1000+2,A:A))),0,1)*MAX(IA537+HR537+HU537+HX537,0%)</f>
        <v>97.595683458383846</v>
      </c>
      <c r="IE537" s="128">
        <f t="shared" ref="IE537:IE550" si="1743">IB537/SUM($IB537:$ID537)</f>
        <v>0.4853414889458173</v>
      </c>
      <c r="IF537" s="128">
        <f t="shared" si="1691"/>
        <v>0.40310052325353446</v>
      </c>
      <c r="IG537" s="128">
        <f t="shared" si="1646"/>
        <v>0.11155798780064828</v>
      </c>
      <c r="IH537" s="21"/>
      <c r="II537" s="19">
        <f t="shared" si="1647"/>
        <v>1200</v>
      </c>
      <c r="IJ537" s="19">
        <f t="shared" si="1648"/>
        <v>2231.5440334087361</v>
      </c>
      <c r="IK537" s="19">
        <f t="shared" si="1649"/>
        <v>-2048.0908300335955</v>
      </c>
      <c r="IL537" s="19">
        <f t="shared" si="1671"/>
        <v>1150</v>
      </c>
      <c r="IM537" s="19">
        <f t="shared" si="1650"/>
        <v>744.31748583859917</v>
      </c>
      <c r="IN537" s="19">
        <f t="shared" si="1651"/>
        <v>325</v>
      </c>
      <c r="IO537" s="39">
        <f t="shared" si="1652"/>
        <v>0</v>
      </c>
      <c r="IP537" s="39">
        <f t="shared" si="1653"/>
        <v>0</v>
      </c>
      <c r="IQ537" s="39">
        <f t="shared" si="1654"/>
        <v>0</v>
      </c>
      <c r="IR537" s="39">
        <v>0</v>
      </c>
      <c r="IS537" s="39">
        <v>0</v>
      </c>
      <c r="IT537" s="39">
        <v>0</v>
      </c>
      <c r="IU537" s="39">
        <v>0</v>
      </c>
      <c r="IV537" s="39">
        <v>0</v>
      </c>
      <c r="IW537" s="39">
        <v>0</v>
      </c>
      <c r="IX537" s="39">
        <f>INDEX(Input!$1:$1048576,IX$93,$C537*2+6)+INDEX(Input!$1:$1048576,IX$94,$C537*2+6)</f>
        <v>1600</v>
      </c>
      <c r="IY537" s="39">
        <f>INDEX(Input!$1:$1048576,IY$93,$C537*2+6)+INDEX(Input!$1:$1048576,IY$94,$C537*2+6)</f>
        <v>2503.5492916397525</v>
      </c>
      <c r="IZ537" s="39">
        <f>INDEX(Input!$1:$1048576,IZ$93,$C537*2+6)+INDEX(Input!$1:$1048576,IZ$94,$C537*2+6)</f>
        <v>5413.7109265464023</v>
      </c>
      <c r="JA537" s="19">
        <f t="shared" si="1672"/>
        <v>2750</v>
      </c>
      <c r="JB537" s="19">
        <f t="shared" si="1673"/>
        <v>3247.8667774783517</v>
      </c>
      <c r="JC537" s="19">
        <f t="shared" si="1674"/>
        <v>5738.7109265464023</v>
      </c>
      <c r="JD537" s="19">
        <f t="shared" si="1675"/>
        <v>3284.1049355954024</v>
      </c>
      <c r="JE537" s="21"/>
      <c r="JF537" s="1">
        <f t="shared" si="1655"/>
        <v>6.2875001493236493E-2</v>
      </c>
      <c r="JG537" s="15">
        <f>INDEX(Input!$1:$1048576,JG$93,$C537*2+6)/(1+VLOOKUP(C537*1000+INDEX(Input!$1:$1048576,JG$93+1,$C537*2+6),$A:$KK,$JK$92,FALSE))</f>
        <v>742</v>
      </c>
      <c r="JH537" s="1">
        <f t="shared" si="1676"/>
        <v>0.14504163428475328</v>
      </c>
      <c r="JI537" s="1">
        <f t="shared" si="1677"/>
        <v>3.3991559946688107E-2</v>
      </c>
      <c r="JJ537" s="1">
        <f t="shared" si="1715"/>
        <v>0</v>
      </c>
      <c r="JK537" s="1">
        <f t="shared" si="1719"/>
        <v>0.17903319423144137</v>
      </c>
      <c r="JL537" s="15">
        <f t="shared" si="1680"/>
        <v>132.84263011972951</v>
      </c>
      <c r="JM537" s="15">
        <f t="shared" si="1706"/>
        <v>874.84263011972951</v>
      </c>
      <c r="JN537" s="21"/>
      <c r="JO537" s="19">
        <f>INDEX(Input!$1:$1048576,JO$93,$C537*2+6)</f>
        <v>5908.5</v>
      </c>
      <c r="JP537" s="19">
        <f>INDEX(Input!$1:$1048576,JP$93,$C537*2+6)</f>
        <v>2467.7963733178344</v>
      </c>
      <c r="JQ537" s="39">
        <f t="shared" si="1692"/>
        <v>2624.3950644045976</v>
      </c>
      <c r="JR537" s="39">
        <f t="shared" si="1709"/>
        <v>816.30856227756794</v>
      </c>
      <c r="JS537" s="39">
        <f t="shared" si="1694"/>
        <v>2.8730749994454667</v>
      </c>
      <c r="JT537" s="39">
        <f t="shared" si="1682"/>
        <v>1.0419700904436338</v>
      </c>
      <c r="JU537" s="385">
        <f>(JQ537*JM537-INDEX(Input!$1:$1048576,Input!A$18,$C537*2+6)*JL537*INDEX(Input!$1:$1048576,Input!A$19,$C537*2+6))/1000000</f>
        <v>2.2959326806169553</v>
      </c>
      <c r="JV537" s="39">
        <f t="shared" si="1716"/>
        <v>-0.25706941038121123</v>
      </c>
      <c r="JW537" s="1">
        <f t="shared" si="1707"/>
        <v>-0.10069298857514952</v>
      </c>
      <c r="JX537" s="19">
        <f t="shared" si="1698"/>
        <v>7843.6424324369245</v>
      </c>
      <c r="JZ537" s="341"/>
      <c r="KA537" s="342"/>
      <c r="KB537" s="469">
        <f t="shared" si="1695"/>
        <v>2.4623520912331753</v>
      </c>
      <c r="KI537" s="473">
        <f t="shared" ref="KI537:KI550" si="1744">$JM537*IE537-$JG537*HY537/SUM($HY537:$IA537)</f>
        <v>79.597424695584436</v>
      </c>
      <c r="KJ537" s="473">
        <f t="shared" ref="KJ537:KJ550" si="1745">$JM537*IF537-$JG537*HZ537/SUM($HY537:$IA537)</f>
        <v>53.649521965761267</v>
      </c>
      <c r="KK537" s="473">
        <f t="shared" si="1684"/>
        <v>-0.40431654161615427</v>
      </c>
      <c r="KN537" s="544">
        <f t="shared" si="1699"/>
        <v>5002</v>
      </c>
      <c r="KO537" s="541">
        <f t="shared" si="1659"/>
        <v>9.5538432476859114E-2</v>
      </c>
      <c r="KP537" s="546">
        <f t="shared" si="1660"/>
        <v>502.78648446063244</v>
      </c>
      <c r="KQ537" s="546">
        <f t="shared" si="1661"/>
        <v>425.33248944369325</v>
      </c>
      <c r="KR537" s="548">
        <f t="shared" si="1662"/>
        <v>3.1991846221640308</v>
      </c>
      <c r="KS537" s="548">
        <f t="shared" si="1663"/>
        <v>3.7817632775295165</v>
      </c>
      <c r="KT537" s="473">
        <f t="shared" si="1697"/>
        <v>389.37465324503302</v>
      </c>
      <c r="KU537" s="663">
        <f t="shared" si="1685"/>
        <v>7.4771142918480349</v>
      </c>
      <c r="KV537" s="117"/>
    </row>
    <row r="538" spans="1:308" s="26" customFormat="1" ht="15">
      <c r="A538" s="561">
        <f t="shared" si="1664"/>
        <v>5038</v>
      </c>
      <c r="B538" s="561">
        <f t="shared" si="1686"/>
        <v>38</v>
      </c>
      <c r="C538" s="561">
        <f t="shared" si="1687"/>
        <v>5</v>
      </c>
      <c r="D538" s="561" t="str">
        <f t="shared" si="1736"/>
        <v xml:space="preserve">1000 CC, 0/0/0.9/3.9, </v>
      </c>
      <c r="E538" s="475">
        <f>INDEX(Input!$1:$1048576,E$93,$C538*2+MIN($B538,2)+5)
+INDEX(Scenarios!E$121:E$200,MATCH($B538,Scenarios!$B$121:$B$200,0))</f>
        <v>2250</v>
      </c>
      <c r="F538" s="475">
        <f>INDEX(Input!$1:$1048576,F$93,$C538*2+MIN($B538,2)+5)
+INDEX(Scenarios!F$121:F$200,MATCH($B538,Scenarios!$B$121:$B$200,0))</f>
        <v>0</v>
      </c>
      <c r="G538" s="475">
        <f>INDEX(Input!$1:$1048576,G$93,$C538*2+MIN($B538,2)+5)
+INDEX(Scenarios!G$121:G$200,MATCH($B538,Scenarios!$B$121:$B$200,0))</f>
        <v>0</v>
      </c>
      <c r="H538" s="475">
        <f>INDEX(Input!$1:$1048576,H$93,$C538*2+MIN($B538,2)+5)
+INDEX(Scenarios!H$121:H$200,MATCH($B538,Scenarios!$B$121:$B$200,0))</f>
        <v>0</v>
      </c>
      <c r="I538" s="476">
        <f>INDEX(Input!$1:$1048576,I$93,$C538*2+MIN($B538,2)+5)</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+INDEX(Scenarios!Q$121:Q$200,MATCH($B538,Scenarios!$B$121:$B$200,0))</f>
        <v>0</v>
      </c>
      <c r="R538" s="478">
        <f>IFERROR(MAX(0,INDEX(Input!$1:$1048576,R$93,$C538*2+MIN($B538,2)+5)
+INDEX(Scenarios!R$121:R$200,MATCH($B538,Scenarios!$B$121:$B$200,0)),),"Market")</f>
        <v>0</v>
      </c>
      <c r="S538" s="478">
        <f>IFERROR(MAX(0,INDEX(Input!$1:$1048576,S$93,$C538*2+MIN($B538,2)+5)
+INDEX(Scenarios!S$121:S$200,MATCH($B538,Scenarios!$B$121:$B$200,0)),),"Market")</f>
        <v>0</v>
      </c>
      <c r="T538" s="478">
        <f>IFERROR(MAX(0,INDEX(Input!$1:$1048576,T$93,$C538*2+MIN($B538,2)+5)
+INDEX(Scenarios!T$121:T$200,MATCH($B538,Scenarios!$B$121:$B$200,0)),),"Market")</f>
        <v>0</v>
      </c>
      <c r="U538" s="478">
        <f>IFERROR(MAX(0,INDEX(Input!$1:$1048576,U$93,$C538*2+MIN($B538,2)+5)
+INDEX(Scenarios!U$121:U$200,MATCH($B538,Scenarios!$B$121:$B$200,0)),),"Market")</f>
        <v>0</v>
      </c>
      <c r="V538" s="478">
        <f>IFERROR(MAX(0,INDEX(Input!$1:$1048576,V$93,$C538*2+MIN($B538,2)+5)
+INDEX(Scenarios!V$121:V$200,MATCH($B538,Scenarios!$B$121:$B$200,0)),),"Market")</f>
        <v>8.9999999999999993E-3</v>
      </c>
      <c r="W538" s="863">
        <f>IFERROR(MAX(0,INDEX(Input!$1:$1048576,W$93,$C538*2+MIN($B538,2)+5)-0%,),"Market")</f>
        <v>3.9E-2</v>
      </c>
      <c r="X538" s="476" t="str">
        <f>INDEX(Input!$1:$1048576,X$93,$C538*2+MIN($B538,2)+5)</f>
        <v>Y</v>
      </c>
      <c r="Y538" s="475">
        <f>INDEX(Input!$1:$1048576,Y$93,$C538*2+MIN($B538,2)+5)
++INDEX(Scenarios!Y$121:Y$200,MATCH($B538,Scenarios!$B$121:$B$200,0))</f>
        <v>-1098.3618966787526</v>
      </c>
      <c r="Z538" s="477">
        <f>INDEX(Input!$1:$1048576,Z$93,$C538*2+MIN($B538,2)+5)
+INDEX(Scenarios!Z$121:Z$200,MATCH($B538,Scenarios!$B$121:$B$200,0))</f>
        <v>0</v>
      </c>
      <c r="AA538" s="475">
        <f>INDEX(Input!$1:$1048576,AA$93,$C538*2+MIN($B538,2)+5)</f>
        <v>500</v>
      </c>
      <c r="AB538" s="476">
        <f>INDEX(Input!$1:$1048576,AB$93,$C538*2+MIN($B538,2)+5)</f>
        <v>0.43</v>
      </c>
      <c r="AC538" s="475">
        <f>INDEX(Input!$1:$1048576,AC$93,$C538*2+MIN($B538,2)+5)
+INDEX(Scenarios!AC$121:AC$200,MATCH($B538,Scenarios!$B$121:$B$200,0))</f>
        <v>0</v>
      </c>
      <c r="AD538" s="476">
        <f>INDEX(Input!$1:$1048576,AD$93,$C538*2+MIN($B538,2)+5)</f>
        <v>0.35</v>
      </c>
      <c r="AE538" s="475">
        <f>INDEX(Input!$1:$1048576,AE$93,$C538*2+MIN($B538,2)+5)
+INDEX(Scenarios!AE$121:AE$200,MATCH($B538,Scenarios!$B$121:$B$200,0))</f>
        <v>0</v>
      </c>
      <c r="AF538" s="476">
        <f>INDEX(Input!$1:$1048576,AF$93,$C538*2+MIN($B538,2)+5)</f>
        <v>1</v>
      </c>
      <c r="AG538" s="475">
        <f>INDEX(Input!$1:$1048576,AG$93,$C538*2+MIN($B538,2)+5)
+INDEX(Scenarios!AG$121:AG$200,MATCH($B538,Scenarios!$B$121:$B$200,0))</f>
        <v>0</v>
      </c>
      <c r="AH538" s="476">
        <f>INDEX(Input!$1:$1048576,AH$93,$C538*2+MIN($B538,2)+5)</f>
        <v>1</v>
      </c>
      <c r="AI538" s="475">
        <f>INDEX(Input!$1:$1048576,AI$93,$C538*2+MIN($B538,2)+5)
+INDEX(Scenarios!AI$121:AI$200,MATCH($B538,Scenarios!$B$121:$B$200,0))</f>
        <v>0</v>
      </c>
      <c r="AJ538" s="476">
        <f>INDEX(Input!$1:$1048576,AJ$93,$C538*2+MIN($B538,2)+5)</f>
        <v>0.35</v>
      </c>
      <c r="AK538" s="150">
        <f>ROUND(INDEX(Input!$1:$1048576,AK$93,$C537*2+MIN($B538,1)+5)+(Y538-VLOOKUP($C538*1000+1,$A:$HH,Y$92,FALSE)),0)</f>
        <v>4592</v>
      </c>
      <c r="AL538" s="150">
        <f>ROUND(INDEX(Input!$1:$1048576,AL$93,$C537*2+MIN($B538,1)+5)-(Y538-VLOOKUP($C538*1000+1,$A:$HH,Y$92,FALSE))/36,0)</f>
        <v>4743</v>
      </c>
      <c r="AM538" s="32" t="str">
        <f t="shared" si="1665"/>
        <v>std/std/std/std</v>
      </c>
      <c r="AN538" s="32" t="str">
        <f t="shared" si="1666"/>
        <v>$0 + 0/0/0/0.9/3.9</v>
      </c>
      <c r="AO538" s="32" t="str">
        <f t="shared" si="1667"/>
        <v>0/0/0/0.9/3.9</v>
      </c>
      <c r="AP538" s="32" t="str">
        <f t="shared" si="1621"/>
        <v>0/0/0.9/3.9</v>
      </c>
      <c r="AQ538" s="536">
        <f t="shared" si="1620"/>
        <v>0.50096073522504914</v>
      </c>
      <c r="AR538" s="32"/>
      <c r="AS538" s="302"/>
      <c r="AT538" s="3">
        <f t="shared" si="1688"/>
        <v>38</v>
      </c>
      <c r="AU538" s="41" t="s">
        <v>121</v>
      </c>
      <c r="AV538" s="41" t="s">
        <v>116</v>
      </c>
      <c r="AW538" s="41" t="str">
        <f>INDEX(Input!$1:$1048576,AW$93,$C538*2+6)</f>
        <v>Kia</v>
      </c>
      <c r="AX538" s="41" t="str">
        <f>INDEX(Input!$1:$1048576,AX$93,$C538*2+6)</f>
        <v>Kia-LR - R2</v>
      </c>
      <c r="AY538" s="41" t="str">
        <f>IF(LEN(D538)=0,"",INDEX(Input!$1:$1048576,AY$93,$C538*2+6))</f>
        <v>Compact Conventional/Sporty Car (43)</v>
      </c>
      <c r="AZ538" s="41" t="str">
        <f>INDEX(Input!$1:$1048576,AZ$93,$C538*2+6)</f>
        <v>Kia Forte</v>
      </c>
      <c r="BA538" s="3">
        <f>INDEX(Input!$1:$1048576,BA$93,$C538*2+6)</f>
        <v>2020</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19695</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622"/>
        <v>2250</v>
      </c>
      <c r="CJ538" s="16" t="str">
        <f>INDEX(Input!$1:$1048576,CJ$93,$C538*2+6)</f>
        <v>N</v>
      </c>
      <c r="CK538" s="1" t="str">
        <f t="shared" si="1623"/>
        <v>Market</v>
      </c>
      <c r="CL538" s="1" t="str">
        <f t="shared" si="1624"/>
        <v>Market</v>
      </c>
      <c r="CM538" s="1" t="str">
        <f t="shared" si="1625"/>
        <v>Market</v>
      </c>
      <c r="CN538" s="1" t="str">
        <f t="shared" si="1626"/>
        <v>Market</v>
      </c>
      <c r="CO538" s="1" t="str">
        <f t="shared" si="1627"/>
        <v>Market</v>
      </c>
      <c r="CP538" s="304">
        <f t="shared" si="1628"/>
        <v>215</v>
      </c>
      <c r="CQ538" s="1">
        <f t="shared" si="1629"/>
        <v>0</v>
      </c>
      <c r="CR538" s="1">
        <f t="shared" si="1630"/>
        <v>0</v>
      </c>
      <c r="CS538" s="1">
        <f t="shared" si="1631"/>
        <v>0</v>
      </c>
      <c r="CT538" s="1">
        <f t="shared" si="1632"/>
        <v>8.9999999999999993E-3</v>
      </c>
      <c r="CU538" s="1">
        <f t="shared" si="1633"/>
        <v>3.9E-2</v>
      </c>
      <c r="CV538" s="304">
        <f t="shared" si="1634"/>
        <v>-1098.3618966787526</v>
      </c>
      <c r="CW538" s="20" t="s">
        <v>122</v>
      </c>
      <c r="CX538" s="20" t="s">
        <v>122</v>
      </c>
      <c r="CY538" s="20" t="s">
        <v>122</v>
      </c>
      <c r="CZ538" s="20" t="s">
        <v>122</v>
      </c>
      <c r="DA538" s="20" t="s">
        <v>122</v>
      </c>
      <c r="DB538" s="503">
        <f t="shared" si="1635"/>
        <v>0</v>
      </c>
      <c r="DC538" s="127">
        <v>0</v>
      </c>
      <c r="DD538" s="127">
        <v>0</v>
      </c>
      <c r="DE538" s="127">
        <v>0</v>
      </c>
      <c r="DF538" s="127">
        <v>0</v>
      </c>
      <c r="DG538" s="127">
        <v>0</v>
      </c>
      <c r="DH538" s="127">
        <v>0</v>
      </c>
      <c r="DI538" s="127">
        <v>0</v>
      </c>
      <c r="DJ538" s="127">
        <v>0</v>
      </c>
      <c r="DK538" s="127">
        <v>0</v>
      </c>
      <c r="DL538" s="127">
        <v>0</v>
      </c>
      <c r="DM538" s="304">
        <f>INDEX(Input!$1:$1048576,DM$93,$C538*2+6)</f>
        <v>20731.578947368424</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4.5503940482225121E-2</v>
      </c>
      <c r="DZ538" s="7">
        <v>0</v>
      </c>
      <c r="EA538" s="7">
        <v>0.79425456593410038</v>
      </c>
      <c r="EB538" s="7">
        <v>0</v>
      </c>
      <c r="EC538" s="7">
        <v>0</v>
      </c>
      <c r="ED538" s="7">
        <v>0</v>
      </c>
      <c r="EE538" s="7">
        <v>0</v>
      </c>
      <c r="EF538" s="7">
        <v>0</v>
      </c>
      <c r="EG538" s="7">
        <v>0</v>
      </c>
      <c r="EH538" s="7">
        <v>1.0404419307969448E-2</v>
      </c>
      <c r="EI538" s="7">
        <v>1.3090457189240399E-2</v>
      </c>
      <c r="EJ538" s="7">
        <v>0.19284842193130033</v>
      </c>
      <c r="EK538" s="7">
        <v>0.75029553927970793</v>
      </c>
      <c r="EL538" s="7">
        <v>3.336116229178171E-2</v>
      </c>
      <c r="EM538" s="7">
        <v>7.3181042992477935E-2</v>
      </c>
      <c r="EN538" s="7">
        <v>4.738861164752798E-2</v>
      </c>
      <c r="EO538" s="7">
        <v>0.58257056804002394</v>
      </c>
      <c r="EP538" s="7">
        <v>0.2510589647422849</v>
      </c>
      <c r="EQ538" s="7">
        <v>7.2206502943583994E-2</v>
      </c>
      <c r="ER538" s="7">
        <v>4.67753526265791E-2</v>
      </c>
      <c r="ES538" s="7">
        <v>8.7060450591196561E-2</v>
      </c>
      <c r="ET538" s="7">
        <v>0.16024149358367451</v>
      </c>
      <c r="EU538" s="6">
        <v>2600</v>
      </c>
      <c r="EV538" s="6">
        <v>0</v>
      </c>
      <c r="EW538" s="6">
        <v>2600</v>
      </c>
      <c r="EX538" s="6">
        <v>0</v>
      </c>
      <c r="EY538" s="6">
        <v>2975.8461857044458</v>
      </c>
      <c r="EZ538" s="6">
        <v>-1723.0908300335955</v>
      </c>
      <c r="FA538" s="6">
        <v>0</v>
      </c>
      <c r="FB538" s="6">
        <v>0</v>
      </c>
      <c r="FC538" s="6">
        <v>0</v>
      </c>
      <c r="FD538" s="6">
        <v>0</v>
      </c>
      <c r="FE538" s="6">
        <v>0</v>
      </c>
      <c r="FF538" s="6">
        <v>0</v>
      </c>
      <c r="FG538" s="6">
        <v>0</v>
      </c>
      <c r="FH538" s="6">
        <v>1153.9929324216878</v>
      </c>
      <c r="FI538" s="6">
        <v>1531.4299904380618</v>
      </c>
      <c r="FJ538" s="6">
        <v>2070.7205842538224</v>
      </c>
      <c r="FK538" s="6">
        <v>2218.6393698501015</v>
      </c>
      <c r="FL538" s="6">
        <v>893.91433563489375</v>
      </c>
      <c r="FM538" s="6">
        <v>2125.8461857044458</v>
      </c>
      <c r="FN538" s="6">
        <v>0</v>
      </c>
      <c r="FO538" s="6">
        <v>0</v>
      </c>
      <c r="FP538" s="6">
        <v>0</v>
      </c>
      <c r="FQ538" s="6">
        <v>0</v>
      </c>
      <c r="FR538" s="6">
        <v>0</v>
      </c>
      <c r="FS538" s="6">
        <v>0</v>
      </c>
      <c r="FT538" s="7">
        <v>0.83975850641632555</v>
      </c>
      <c r="FU538" s="7">
        <v>7.3181042992477935E-2</v>
      </c>
      <c r="FV538" s="7">
        <v>8.7060450591196561E-2</v>
      </c>
      <c r="FW538" s="6">
        <v>2600.0000000000005</v>
      </c>
      <c r="FX538" s="6">
        <v>2975.8461857044458</v>
      </c>
      <c r="FY538" s="6">
        <v>-1723.0908300335955</v>
      </c>
      <c r="FZ538" s="6">
        <v>2411.9063952864503</v>
      </c>
      <c r="GA538" s="6">
        <v>2251.1345802652013</v>
      </c>
      <c r="GB538" s="6">
        <v>17443.865419734801</v>
      </c>
      <c r="GC538" s="7">
        <v>7.6138913542514425E-2</v>
      </c>
      <c r="GD538" s="7">
        <v>7.388654168097257E-2</v>
      </c>
      <c r="GE538" s="7"/>
      <c r="GF538" s="7"/>
      <c r="GG538" s="7">
        <v>-2.9582400861081055E-2</v>
      </c>
      <c r="GH538" s="42">
        <v>3.6239273959928009</v>
      </c>
      <c r="GI538" s="6">
        <v>7685.8461094691238</v>
      </c>
      <c r="GJ538" s="14">
        <v>0.51074630601039595</v>
      </c>
      <c r="GK538" s="14">
        <v>0.5082951978616097</v>
      </c>
      <c r="GL538" s="14">
        <v>0.48925369398960433</v>
      </c>
      <c r="GM538" s="14">
        <v>0.49170480213839057</v>
      </c>
      <c r="GO538" s="5">
        <v>338.16872463277008</v>
      </c>
      <c r="GP538" s="5">
        <v>288.56568471597211</v>
      </c>
      <c r="GQ538" s="5">
        <v>527.27910984145694</v>
      </c>
      <c r="GR538" s="5">
        <v>404.20319246551543</v>
      </c>
      <c r="GS538" s="5">
        <v>334.50205195691484</v>
      </c>
      <c r="GT538" s="5">
        <v>289.18266033348181</v>
      </c>
      <c r="GU538" s="5">
        <v>254.29573314828914</v>
      </c>
      <c r="GV538" s="39" t="s">
        <v>392</v>
      </c>
      <c r="GW538" s="5">
        <v>468.76388888888891</v>
      </c>
      <c r="GX538" s="5">
        <v>351.57291666666669</v>
      </c>
      <c r="GY538" s="5">
        <v>281.25833333333333</v>
      </c>
      <c r="GZ538" s="5">
        <v>240.8550698915011</v>
      </c>
      <c r="HA538" s="5">
        <v>229.8919505212948</v>
      </c>
      <c r="HB538" s="39">
        <v>252.10163923272751</v>
      </c>
      <c r="HC538" s="5">
        <v>358.50084881396981</v>
      </c>
      <c r="HD538" s="5">
        <v>287.77900980034525</v>
      </c>
      <c r="HE538" s="5">
        <v>285.23787161201437</v>
      </c>
      <c r="HF538" s="5">
        <v>257.54964978663213</v>
      </c>
      <c r="HG538" s="5">
        <v>240.60084178617024</v>
      </c>
      <c r="HH538" s="39">
        <v>286.10291222357955</v>
      </c>
      <c r="HI538" s="16"/>
      <c r="HJ538" s="19" t="str">
        <f t="shared" si="1742"/>
        <v>On</v>
      </c>
      <c r="HK538" s="1" t="str">
        <f t="shared" si="1742"/>
        <v>On</v>
      </c>
      <c r="HL538" s="16"/>
      <c r="HM538" s="639">
        <f t="shared" si="1636"/>
        <v>5.1181272167489952E-2</v>
      </c>
      <c r="HN538" s="639">
        <f t="shared" si="1637"/>
        <v>4.2792051795134348E-3</v>
      </c>
      <c r="HO538" s="639">
        <f t="shared" si="1638"/>
        <v>7.4145241462331068E-3</v>
      </c>
      <c r="HP538" s="644">
        <f>(FT538*$GD538-HM538)/$JF538*INDEX(Input!$1:$1048576,$JG$93,$C538*2+6)</f>
        <v>128.22679856652255</v>
      </c>
      <c r="HQ538" s="644">
        <f>(FU538*$GD538-HN538)/$JF538*INDEX(Input!$1:$1048576,$JG$93,$C538*2+6)</f>
        <v>13.310435323251095</v>
      </c>
      <c r="HR538" s="644">
        <f>(FV538*$GD538-HO538)/$JF538*INDEX(Input!$1:$1048576,$JG$93,$C538*2+6)</f>
        <v>-11.587927722694086</v>
      </c>
      <c r="HS538" s="644">
        <f t="shared" si="1639"/>
        <v>-26.10070112691464</v>
      </c>
      <c r="HT538" s="644">
        <f t="shared" si="1640"/>
        <v>37.56296869131225</v>
      </c>
      <c r="HU538" s="644">
        <f t="shared" si="1641"/>
        <v>9.1256372711840346</v>
      </c>
      <c r="HV538" s="648">
        <f t="shared" si="1642"/>
        <v>0</v>
      </c>
      <c r="HW538" s="648">
        <f t="shared" si="1643"/>
        <v>0</v>
      </c>
      <c r="HX538" s="648">
        <f t="shared" si="1644"/>
        <v>0</v>
      </c>
      <c r="HY538" s="644">
        <f>INDEX(Input!$1:$1048576,HY$93,$C538*2+6)*INDEX(Input!$1:$1048576,$JG$93,$C538*2+6)</f>
        <v>345</v>
      </c>
      <c r="HZ538" s="644">
        <f>INDEX(Input!$1:$1048576,HZ$93,$C538*2+6)*INDEX(Input!$1:$1048576,$JG$93,$C538*2+6)</f>
        <v>299</v>
      </c>
      <c r="IA538" s="644">
        <f>INDEX(Input!$1:$1048576,IA$93,$C538*2+6)*INDEX(Input!$1:$1048576,$JG$93,$C538*2+6)</f>
        <v>98</v>
      </c>
      <c r="IB538" s="644">
        <f t="shared" si="1668"/>
        <v>447.12609743960797</v>
      </c>
      <c r="IC538" s="644">
        <f t="shared" si="1669"/>
        <v>349.87340401456333</v>
      </c>
      <c r="ID538" s="644">
        <f>IF(AND(INDEX(Input!$1:$1048576,IA$93,$C538*2+7)="TOS",Y538&lt;=INDEX(Y:Y,MATCH(C538*1000+2,A:A))),0,1)*MAX(IA538+HR538+HU538+HX538,0%)</f>
        <v>95.537709548489943</v>
      </c>
      <c r="IE538" s="128">
        <f t="shared" si="1743"/>
        <v>0.50096073522504914</v>
      </c>
      <c r="IF538" s="128">
        <f t="shared" si="1691"/>
        <v>0.39199867490288887</v>
      </c>
      <c r="IG538" s="128">
        <f t="shared" si="1646"/>
        <v>0.10704058987206203</v>
      </c>
      <c r="IH538" s="21"/>
      <c r="II538" s="19">
        <f t="shared" si="1647"/>
        <v>1200</v>
      </c>
      <c r="IJ538" s="19">
        <f t="shared" si="1648"/>
        <v>2231.5440334087361</v>
      </c>
      <c r="IK538" s="19">
        <f t="shared" si="1649"/>
        <v>-2048.0908300335955</v>
      </c>
      <c r="IL538" s="19">
        <f t="shared" si="1671"/>
        <v>1400.0000000000005</v>
      </c>
      <c r="IM538" s="19">
        <f t="shared" si="1650"/>
        <v>744.30215229570967</v>
      </c>
      <c r="IN538" s="19">
        <f t="shared" si="1651"/>
        <v>325</v>
      </c>
      <c r="IO538" s="39">
        <f t="shared" si="1652"/>
        <v>0</v>
      </c>
      <c r="IP538" s="39">
        <f t="shared" si="1653"/>
        <v>0</v>
      </c>
      <c r="IQ538" s="39">
        <f t="shared" si="1654"/>
        <v>0</v>
      </c>
      <c r="IR538" s="39">
        <v>0</v>
      </c>
      <c r="IS538" s="39">
        <v>0</v>
      </c>
      <c r="IT538" s="39">
        <v>0</v>
      </c>
      <c r="IU538" s="39">
        <v>0</v>
      </c>
      <c r="IV538" s="39">
        <v>0</v>
      </c>
      <c r="IW538" s="39">
        <v>0</v>
      </c>
      <c r="IX538" s="39">
        <f>INDEX(Input!$1:$1048576,IX$93,$C538*2+6)+INDEX(Input!$1:$1048576,IX$94,$C538*2+6)</f>
        <v>1600</v>
      </c>
      <c r="IY538" s="39">
        <f>INDEX(Input!$1:$1048576,IY$93,$C538*2+6)+INDEX(Input!$1:$1048576,IY$94,$C538*2+6)</f>
        <v>2503.5492916397525</v>
      </c>
      <c r="IZ538" s="39">
        <f>INDEX(Input!$1:$1048576,IZ$93,$C538*2+6)+INDEX(Input!$1:$1048576,IZ$94,$C538*2+6)</f>
        <v>5413.7109265464023</v>
      </c>
      <c r="JA538" s="19">
        <f t="shared" si="1672"/>
        <v>3000.0000000000005</v>
      </c>
      <c r="JB538" s="19">
        <f t="shared" si="1673"/>
        <v>3247.8514439354622</v>
      </c>
      <c r="JC538" s="19">
        <f t="shared" si="1674"/>
        <v>5738.7109265464023</v>
      </c>
      <c r="JD538" s="19">
        <f t="shared" si="1675"/>
        <v>3390.3106706620574</v>
      </c>
      <c r="JE538" s="21"/>
      <c r="JF538" s="1">
        <f t="shared" si="1655"/>
        <v>6.2875001493236493E-2</v>
      </c>
      <c r="JG538" s="15">
        <f>INDEX(Input!$1:$1048576,JG$93,$C538*2+6)/(1+VLOOKUP(C538*1000+INDEX(Input!$1:$1048576,JG$93+1,$C538*2+6),$A:$KK,$JK$92,FALSE))</f>
        <v>742</v>
      </c>
      <c r="JH538" s="1">
        <f t="shared" si="1676"/>
        <v>0.17513383580468944</v>
      </c>
      <c r="JI538" s="1">
        <f t="shared" si="1677"/>
        <v>2.7746502473829711E-2</v>
      </c>
      <c r="JJ538" s="1">
        <f t="shared" si="1715"/>
        <v>0</v>
      </c>
      <c r="JK538" s="1">
        <f t="shared" si="1719"/>
        <v>0.20288033827851915</v>
      </c>
      <c r="JL538" s="15">
        <f t="shared" si="1680"/>
        <v>150.53721100266119</v>
      </c>
      <c r="JM538" s="15">
        <f t="shared" si="1706"/>
        <v>892.53721100266125</v>
      </c>
      <c r="JN538" s="21"/>
      <c r="JO538" s="19">
        <f>INDEX(Input!$1:$1048576,JO$93,$C538*2+6)</f>
        <v>5908.5</v>
      </c>
      <c r="JP538" s="19">
        <f>INDEX(Input!$1:$1048576,JP$93,$C538*2+6)</f>
        <v>2467.7963733178344</v>
      </c>
      <c r="JQ538" s="39">
        <f t="shared" si="1692"/>
        <v>2518.1893293379426</v>
      </c>
      <c r="JR538" s="39">
        <f t="shared" si="1709"/>
        <v>922.514297344223</v>
      </c>
      <c r="JS538" s="39">
        <f t="shared" si="1694"/>
        <v>3.0259784304252748</v>
      </c>
      <c r="JT538" s="39">
        <f t="shared" si="1682"/>
        <v>1.1948735214234416</v>
      </c>
      <c r="JU538" s="385">
        <f>(JQ538*JM538-INDEX(Input!$1:$1048576,Input!A$18,$C538*2+6)*JL538*INDEX(Input!$1:$1048576,Input!A$19,$C538*2+6))/1000000</f>
        <v>2.2475776807839494</v>
      </c>
      <c r="JV538" s="39">
        <f t="shared" si="1716"/>
        <v>-0.30542441021421718</v>
      </c>
      <c r="JW538" s="1">
        <f t="shared" si="1707"/>
        <v>-0.11963343519816824</v>
      </c>
      <c r="JX538" s="19">
        <f t="shared" si="1698"/>
        <v>7937.3964315196372</v>
      </c>
      <c r="JZ538" s="341"/>
      <c r="KA538" s="342"/>
      <c r="KB538" s="469">
        <f t="shared" si="1695"/>
        <v>2.4623520912331753</v>
      </c>
      <c r="KI538" s="473">
        <f t="shared" si="1744"/>
        <v>102.12609743960797</v>
      </c>
      <c r="KJ538" s="473">
        <f t="shared" si="1745"/>
        <v>50.873404014563334</v>
      </c>
      <c r="KK538" s="473">
        <f t="shared" si="1684"/>
        <v>-2.4622904515100572</v>
      </c>
      <c r="KN538" s="544">
        <f t="shared" si="1699"/>
        <v>5002</v>
      </c>
      <c r="KO538" s="541">
        <f t="shared" si="1659"/>
        <v>0.11769681015121747</v>
      </c>
      <c r="KP538" s="546">
        <f t="shared" si="1660"/>
        <v>635.91292257067835</v>
      </c>
      <c r="KQ538" s="546">
        <f t="shared" si="1661"/>
        <v>531.5382245103483</v>
      </c>
      <c r="KR538" s="548">
        <f t="shared" si="1662"/>
        <v>3.1161031766070733</v>
      </c>
      <c r="KS538" s="548">
        <f t="shared" si="1663"/>
        <v>3.7279920553096555</v>
      </c>
      <c r="KT538" s="473">
        <f t="shared" si="1697"/>
        <v>389.37465324503302</v>
      </c>
      <c r="KU538" s="663">
        <f t="shared" si="1685"/>
        <v>7.5068774474255502</v>
      </c>
      <c r="KV538" s="117"/>
    </row>
    <row r="539" spans="1:308" s="26" customFormat="1" ht="15">
      <c r="A539" s="561">
        <f t="shared" si="1664"/>
        <v>5039</v>
      </c>
      <c r="B539" s="561">
        <f t="shared" si="1686"/>
        <v>39</v>
      </c>
      <c r="C539" s="561">
        <f t="shared" si="1687"/>
        <v>5</v>
      </c>
      <c r="D539" s="561" t="str">
        <f t="shared" si="1736"/>
        <v xml:space="preserve">250 CC, 360 Lease, </v>
      </c>
      <c r="E539" s="475">
        <f>INDEX(Input!$1:$1048576,E$93,$C539*2+MIN($B539,2)+5)
+INDEX(Scenarios!E$121:E$200,MATCH($B539,Scenarios!$B$121:$B$200,0))</f>
        <v>1500</v>
      </c>
      <c r="F539" s="475">
        <f>INDEX(Input!$1:$1048576,F$93,$C539*2+MIN($B539,2)+5)
+INDEX(Scenarios!F$121:F$200,MATCH($B539,Scenarios!$B$121:$B$200,0))</f>
        <v>0</v>
      </c>
      <c r="G539" s="475">
        <f>INDEX(Input!$1:$1048576,G$93,$C539*2+MIN($B539,2)+5)
+INDEX(Scenarios!G$121:G$200,MATCH($B539,Scenarios!$B$121:$B$200,0))</f>
        <v>0</v>
      </c>
      <c r="H539" s="475">
        <f>INDEX(Input!$1:$1048576,H$93,$C539*2+MIN($B539,2)+5)
+INDEX(Scenarios!H$121:H$200,MATCH($B539,Scenarios!$B$121:$B$200,0))</f>
        <v>0</v>
      </c>
      <c r="I539" s="476">
        <f>INDEX(Input!$1:$1048576,I$93,$C539*2+MIN($B539,2)+5)</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+INDEX(Scenarios!Q$121:Q$200,MATCH($B539,Scenarios!$B$121:$B$200,0))</f>
        <v>0</v>
      </c>
      <c r="R539" s="478">
        <f>IFERROR(MAX(0,INDEX(Input!$1:$1048576,R$93,$C539*2+MIN($B539,2)+5)
+INDEX(Scenarios!R$121:R$200,MATCH($B539,Scenarios!$B$121:$B$200,0)),),"Market")</f>
        <v>0</v>
      </c>
      <c r="S539" s="478">
        <f>IFERROR(MAX(0,INDEX(Input!$1:$1048576,S$93,$C539*2+MIN($B539,2)+5)
+INDEX(Scenarios!S$121:S$200,MATCH($B539,Scenarios!$B$121:$B$200,0)),),"Market")</f>
        <v>0</v>
      </c>
      <c r="T539" s="478">
        <f>IFERROR(MAX(0,INDEX(Input!$1:$1048576,T$93,$C539*2+MIN($B539,2)+5)
+INDEX(Scenarios!T$121:T$200,MATCH($B539,Scenarios!$B$121:$B$200,0)),),"Market")</f>
        <v>0</v>
      </c>
      <c r="U539" s="478">
        <f>IFERROR(MAX(0,INDEX(Input!$1:$1048576,U$93,$C539*2+MIN($B539,2)+5)
+INDEX(Scenarios!U$121:U$200,MATCH($B539,Scenarios!$B$121:$B$200,0)),),"Market")</f>
        <v>0</v>
      </c>
      <c r="V539" s="478">
        <f>IFERROR(MAX(0,INDEX(Input!$1:$1048576,V$93,$C539*2+MIN($B539,2)+5)
+INDEX(Scenarios!V$121:V$200,MATCH($B539,Scenarios!$B$121:$B$200,0)),),"Market")</f>
        <v>1.9E-2</v>
      </c>
      <c r="W539" s="863">
        <f>IFERROR(MAX(0,INDEX(Input!$1:$1048576,W$93,$C539*2+MIN($B539,2)+5)-0%,),"Market")</f>
        <v>3.9E-2</v>
      </c>
      <c r="X539" s="476" t="str">
        <f>INDEX(Input!$1:$1048576,X$93,$C539*2+MIN($B539,2)+5)</f>
        <v>Y</v>
      </c>
      <c r="Y539" s="475">
        <f>INDEX(Input!$1:$1048576,Y$93,$C539*2+MIN($B539,2)+5)
++INDEX(Scenarios!Y$121:Y$200,MATCH($B539,Scenarios!$B$121:$B$200,0))</f>
        <v>-738.3618966787526</v>
      </c>
      <c r="Z539" s="477">
        <f>INDEX(Input!$1:$1048576,Z$93,$C539*2+MIN($B539,2)+5)
+INDEX(Scenarios!Z$121:Z$200,MATCH($B539,Scenarios!$B$121:$B$200,0))</f>
        <v>0</v>
      </c>
      <c r="AA539" s="475">
        <f>INDEX(Input!$1:$1048576,AA$93,$C539*2+MIN($B539,2)+5)</f>
        <v>500</v>
      </c>
      <c r="AB539" s="476">
        <f>INDEX(Input!$1:$1048576,AB$93,$C539*2+MIN($B539,2)+5)</f>
        <v>0.43</v>
      </c>
      <c r="AC539" s="475">
        <f>INDEX(Input!$1:$1048576,AC$93,$C539*2+MIN($B539,2)+5)
+INDEX(Scenarios!AC$121:AC$200,MATCH($B539,Scenarios!$B$121:$B$200,0))</f>
        <v>0</v>
      </c>
      <c r="AD539" s="476">
        <f>INDEX(Input!$1:$1048576,AD$93,$C539*2+MIN($B539,2)+5)</f>
        <v>0.35</v>
      </c>
      <c r="AE539" s="475">
        <f>INDEX(Input!$1:$1048576,AE$93,$C539*2+MIN($B539,2)+5)
+INDEX(Scenarios!AE$121:AE$200,MATCH($B539,Scenarios!$B$121:$B$200,0))</f>
        <v>0</v>
      </c>
      <c r="AF539" s="476">
        <f>INDEX(Input!$1:$1048576,AF$93,$C539*2+MIN($B539,2)+5)</f>
        <v>1</v>
      </c>
      <c r="AG539" s="475">
        <f>INDEX(Input!$1:$1048576,AG$93,$C539*2+MIN($B539,2)+5)
+INDEX(Scenarios!AG$121:AG$200,MATCH($B539,Scenarios!$B$121:$B$200,0))</f>
        <v>0</v>
      </c>
      <c r="AH539" s="476">
        <f>INDEX(Input!$1:$1048576,AH$93,$C539*2+MIN($B539,2)+5)</f>
        <v>1</v>
      </c>
      <c r="AI539" s="475">
        <f>INDEX(Input!$1:$1048576,AI$93,$C539*2+MIN($B539,2)+5)
+INDEX(Scenarios!AI$121:AI$200,MATCH($B539,Scenarios!$B$121:$B$200,0))</f>
        <v>0</v>
      </c>
      <c r="AJ539" s="476">
        <f>INDEX(Input!$1:$1048576,AJ$93,$C539*2+MIN($B539,2)+5)</f>
        <v>0.35</v>
      </c>
      <c r="AK539" s="150">
        <f>ROUND(INDEX(Input!$1:$1048576,AK$93,$C538*2+MIN($B539,1)+5)+(Y539-VLOOKUP($C539*1000+1,$A:$HH,Y$92,FALSE)),0)</f>
        <v>4952</v>
      </c>
      <c r="AL539" s="150">
        <f>ROUND(INDEX(Input!$1:$1048576,AL$93,$C538*2+MIN($B539,1)+5)-(Y539-VLOOKUP($C539*1000+1,$A:$HH,Y$92,FALSE))/36,0)</f>
        <v>4733</v>
      </c>
      <c r="AM539" s="32" t="str">
        <f t="shared" si="1665"/>
        <v>std/std/std/std</v>
      </c>
      <c r="AN539" s="32" t="str">
        <f t="shared" si="1666"/>
        <v>$0 + 0/0/0/1.9/3.9</v>
      </c>
      <c r="AO539" s="32" t="str">
        <f t="shared" si="1667"/>
        <v>0/0/0/1.9/3.9</v>
      </c>
      <c r="AP539" s="32" t="str">
        <f t="shared" si="1621"/>
        <v>0/0.9/1.9/3.9</v>
      </c>
      <c r="AQ539" s="536">
        <f t="shared" si="1620"/>
        <v>0.47050916429465317</v>
      </c>
      <c r="AR539" s="32"/>
      <c r="AS539" s="302"/>
      <c r="AT539" s="3">
        <f t="shared" si="1688"/>
        <v>39</v>
      </c>
      <c r="AU539" s="41" t="s">
        <v>121</v>
      </c>
      <c r="AV539" s="41" t="s">
        <v>116</v>
      </c>
      <c r="AW539" s="41" t="str">
        <f>INDEX(Input!$1:$1048576,AW$93,$C539*2+6)</f>
        <v>Kia</v>
      </c>
      <c r="AX539" s="41" t="str">
        <f>INDEX(Input!$1:$1048576,AX$93,$C539*2+6)</f>
        <v>Kia-LR - R2</v>
      </c>
      <c r="AY539" s="41" t="str">
        <f>IF(LEN(D539)=0,"",INDEX(Input!$1:$1048576,AY$93,$C539*2+6))</f>
        <v>Compact Conventional/Sporty Car (43)</v>
      </c>
      <c r="AZ539" s="41" t="str">
        <f>INDEX(Input!$1:$1048576,AZ$93,$C539*2+6)</f>
        <v>Kia Forte</v>
      </c>
      <c r="BA539" s="3">
        <f>INDEX(Input!$1:$1048576,BA$93,$C539*2+6)</f>
        <v>2020</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19695</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622"/>
        <v>1500</v>
      </c>
      <c r="CJ539" s="16" t="str">
        <f>INDEX(Input!$1:$1048576,CJ$93,$C539*2+6)</f>
        <v>N</v>
      </c>
      <c r="CK539" s="1" t="str">
        <f t="shared" si="1623"/>
        <v>Market</v>
      </c>
      <c r="CL539" s="1" t="str">
        <f t="shared" si="1624"/>
        <v>Market</v>
      </c>
      <c r="CM539" s="1" t="str">
        <f t="shared" si="1625"/>
        <v>Market</v>
      </c>
      <c r="CN539" s="1" t="str">
        <f t="shared" si="1626"/>
        <v>Market</v>
      </c>
      <c r="CO539" s="1" t="str">
        <f t="shared" si="1627"/>
        <v>Market</v>
      </c>
      <c r="CP539" s="304">
        <f t="shared" si="1628"/>
        <v>215</v>
      </c>
      <c r="CQ539" s="1">
        <f t="shared" si="1629"/>
        <v>0</v>
      </c>
      <c r="CR539" s="1">
        <f t="shared" si="1630"/>
        <v>0</v>
      </c>
      <c r="CS539" s="1">
        <f t="shared" si="1631"/>
        <v>0</v>
      </c>
      <c r="CT539" s="1">
        <f t="shared" si="1632"/>
        <v>1.9E-2</v>
      </c>
      <c r="CU539" s="1">
        <f t="shared" si="1633"/>
        <v>3.9E-2</v>
      </c>
      <c r="CV539" s="304">
        <f t="shared" si="1634"/>
        <v>-738.3618966787526</v>
      </c>
      <c r="CW539" s="20" t="s">
        <v>122</v>
      </c>
      <c r="CX539" s="20" t="s">
        <v>122</v>
      </c>
      <c r="CY539" s="20" t="s">
        <v>122</v>
      </c>
      <c r="CZ539" s="20" t="s">
        <v>122</v>
      </c>
      <c r="DA539" s="20" t="s">
        <v>122</v>
      </c>
      <c r="DB539" s="503">
        <f t="shared" si="1635"/>
        <v>0</v>
      </c>
      <c r="DC539" s="127">
        <v>0</v>
      </c>
      <c r="DD539" s="127">
        <v>0</v>
      </c>
      <c r="DE539" s="127">
        <v>0</v>
      </c>
      <c r="DF539" s="127">
        <v>0</v>
      </c>
      <c r="DG539" s="127">
        <v>0</v>
      </c>
      <c r="DH539" s="127">
        <v>0</v>
      </c>
      <c r="DI539" s="127">
        <v>0</v>
      </c>
      <c r="DJ539" s="127">
        <v>0</v>
      </c>
      <c r="DK539" s="127">
        <v>0</v>
      </c>
      <c r="DL539" s="127">
        <v>0</v>
      </c>
      <c r="DM539" s="304">
        <f>INDEX(Input!$1:$1048576,DM$93,$C539*2+6)</f>
        <v>20731.578947368424</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4.4105550276108241E-2</v>
      </c>
      <c r="DZ539" s="7">
        <v>0</v>
      </c>
      <c r="EA539" s="7">
        <v>0.77759716640905829</v>
      </c>
      <c r="EB539" s="7">
        <v>0</v>
      </c>
      <c r="EC539" s="7">
        <v>0</v>
      </c>
      <c r="ED539" s="7">
        <v>0</v>
      </c>
      <c r="EE539" s="7">
        <v>0</v>
      </c>
      <c r="EF539" s="7">
        <v>0</v>
      </c>
      <c r="EG539" s="7">
        <v>0</v>
      </c>
      <c r="EH539" s="7">
        <v>1.4447767052746641E-2</v>
      </c>
      <c r="EI539" s="7">
        <v>1.8188267971448971E-2</v>
      </c>
      <c r="EJ539" s="7">
        <v>0.26769602446838675</v>
      </c>
      <c r="EK539" s="7">
        <v>0.65329489332782076</v>
      </c>
      <c r="EL539" s="7">
        <v>4.6373047179597088E-2</v>
      </c>
      <c r="EM539" s="7">
        <v>6.3977727644064494E-2</v>
      </c>
      <c r="EN539" s="7">
        <v>4.7840692736762808E-2</v>
      </c>
      <c r="EO539" s="7">
        <v>0.58178469514583653</v>
      </c>
      <c r="EP539" s="7">
        <v>0.25248230426625495</v>
      </c>
      <c r="EQ539" s="7">
        <v>7.1498279432003958E-2</v>
      </c>
      <c r="ER539" s="7">
        <v>4.6394028419141399E-2</v>
      </c>
      <c r="ES539" s="7">
        <v>0.11431955567076894</v>
      </c>
      <c r="ET539" s="7">
        <v>0.17829728331483358</v>
      </c>
      <c r="EU539" s="6">
        <v>1850</v>
      </c>
      <c r="EV539" s="6">
        <v>0</v>
      </c>
      <c r="EW539" s="6">
        <v>1850</v>
      </c>
      <c r="EX539" s="6">
        <v>0</v>
      </c>
      <c r="EY539" s="6">
        <v>2631.6036892827346</v>
      </c>
      <c r="EZ539" s="6">
        <v>-1363.0908300335955</v>
      </c>
      <c r="FA539" s="6">
        <v>0</v>
      </c>
      <c r="FB539" s="6">
        <v>0</v>
      </c>
      <c r="FC539" s="6">
        <v>0</v>
      </c>
      <c r="FD539" s="6">
        <v>0</v>
      </c>
      <c r="FE539" s="6">
        <v>0</v>
      </c>
      <c r="FF539" s="6">
        <v>0</v>
      </c>
      <c r="FG539" s="6">
        <v>0</v>
      </c>
      <c r="FH539" s="6">
        <v>1153.9883337869044</v>
      </c>
      <c r="FI539" s="6">
        <v>1531.4299904380612</v>
      </c>
      <c r="FJ539" s="6">
        <v>2070.7205842538219</v>
      </c>
      <c r="FK539" s="6">
        <v>1746.9903521590443</v>
      </c>
      <c r="FL539" s="6">
        <v>893.91433563489397</v>
      </c>
      <c r="FM539" s="6">
        <v>1781.6036892827346</v>
      </c>
      <c r="FN539" s="6">
        <v>0</v>
      </c>
      <c r="FO539" s="6">
        <v>0</v>
      </c>
      <c r="FP539" s="6">
        <v>0</v>
      </c>
      <c r="FQ539" s="6">
        <v>0</v>
      </c>
      <c r="FR539" s="6">
        <v>0</v>
      </c>
      <c r="FS539" s="6">
        <v>0</v>
      </c>
      <c r="FT539" s="7">
        <v>0.82170271668516648</v>
      </c>
      <c r="FU539" s="7">
        <v>6.3977727644064494E-2</v>
      </c>
      <c r="FV539" s="7">
        <v>0.11431955567076894</v>
      </c>
      <c r="FW539" s="6">
        <v>1850</v>
      </c>
      <c r="FX539" s="6">
        <v>2631.6036892827346</v>
      </c>
      <c r="FY539" s="6">
        <v>-1363.0908300335955</v>
      </c>
      <c r="FZ539" s="6">
        <v>2411.9063952864503</v>
      </c>
      <c r="GA539" s="6">
        <v>1532.686111939264</v>
      </c>
      <c r="GB539" s="6">
        <v>18162.313888060737</v>
      </c>
      <c r="GC539" s="7">
        <v>7.6138913542514425E-2</v>
      </c>
      <c r="GD539" s="7">
        <v>6.7928876592030285E-2</v>
      </c>
      <c r="GE539" s="7"/>
      <c r="GF539" s="7"/>
      <c r="GG539" s="7">
        <v>-0.1078297097830247</v>
      </c>
      <c r="GH539" s="42">
        <v>2.4154426079568307</v>
      </c>
      <c r="GI539" s="6">
        <v>9686.4712340207043</v>
      </c>
      <c r="GJ539" s="14">
        <v>0.51074630601039539</v>
      </c>
      <c r="GK539" s="14">
        <v>0.5082951978616097</v>
      </c>
      <c r="GL539" s="14">
        <v>0.48925369398960455</v>
      </c>
      <c r="GM539" s="14">
        <v>0.49170480213839057</v>
      </c>
      <c r="GO539" s="5">
        <v>338.16872463277008</v>
      </c>
      <c r="GP539" s="5">
        <v>302.87425392274076</v>
      </c>
      <c r="GQ539" s="5">
        <v>527.27910984145694</v>
      </c>
      <c r="GR539" s="5">
        <v>404.20319246551543</v>
      </c>
      <c r="GS539" s="5">
        <v>334.50205195691484</v>
      </c>
      <c r="GT539" s="5">
        <v>289.18266033348181</v>
      </c>
      <c r="GU539" s="5">
        <v>254.29573314828914</v>
      </c>
      <c r="GV539" s="39" t="s">
        <v>392</v>
      </c>
      <c r="GW539" s="5">
        <v>468.76388888888891</v>
      </c>
      <c r="GX539" s="5">
        <v>351.57291666666669</v>
      </c>
      <c r="GY539" s="5">
        <v>281.25833333333333</v>
      </c>
      <c r="GZ539" s="5">
        <v>248.18079879493993</v>
      </c>
      <c r="HA539" s="5">
        <v>229.8919505212948</v>
      </c>
      <c r="HB539" s="39">
        <v>261.25487031366845</v>
      </c>
      <c r="HC539" s="5">
        <v>342.75084881396981</v>
      </c>
      <c r="HD539" s="5">
        <v>277.02900980034525</v>
      </c>
      <c r="HE539" s="5">
        <v>275.25710238124515</v>
      </c>
      <c r="HF539" s="5">
        <v>249.22464978663214</v>
      </c>
      <c r="HG539" s="5">
        <v>233.7008417861702</v>
      </c>
      <c r="HH539" s="39">
        <v>275.72768067868259</v>
      </c>
      <c r="HI539" s="16"/>
      <c r="HJ539" s="19" t="str">
        <f t="shared" si="1742"/>
        <v>On</v>
      </c>
      <c r="HK539" s="1" t="str">
        <f t="shared" si="1742"/>
        <v>On</v>
      </c>
      <c r="HL539" s="16"/>
      <c r="HM539" s="639">
        <f t="shared" si="1636"/>
        <v>5.1181272167489952E-2</v>
      </c>
      <c r="HN539" s="639">
        <f t="shared" si="1637"/>
        <v>4.2792051795134348E-3</v>
      </c>
      <c r="HO539" s="639">
        <f t="shared" si="1638"/>
        <v>7.4145241462331068E-3</v>
      </c>
      <c r="HP539" s="644">
        <f>(FT539*$GD539-HM539)/$JF539*INDEX(Input!$1:$1048576,$JG$93,$C539*2+6)</f>
        <v>54.711157985072617</v>
      </c>
      <c r="HQ539" s="644">
        <f>(FU539*$GD539-HN539)/$JF539*INDEX(Input!$1:$1048576,$JG$93,$C539*2+6)</f>
        <v>0.78749341754394975</v>
      </c>
      <c r="HR539" s="644">
        <f>(FV539*$GD539-HO539)/$JF539*INDEX(Input!$1:$1048576,$JG$93,$C539*2+6)</f>
        <v>4.1431018259440169</v>
      </c>
      <c r="HS539" s="644">
        <f t="shared" si="1639"/>
        <v>-12.12959875556095</v>
      </c>
      <c r="HT539" s="644">
        <f t="shared" si="1640"/>
        <v>20.420381660607575</v>
      </c>
      <c r="HU539" s="644">
        <f t="shared" si="1641"/>
        <v>13.816688412402517</v>
      </c>
      <c r="HV539" s="648">
        <f t="shared" si="1642"/>
        <v>0</v>
      </c>
      <c r="HW539" s="648">
        <f t="shared" si="1643"/>
        <v>0</v>
      </c>
      <c r="HX539" s="648">
        <f t="shared" si="1644"/>
        <v>0</v>
      </c>
      <c r="HY539" s="644">
        <f>INDEX(Input!$1:$1048576,HY$93,$C539*2+6)*INDEX(Input!$1:$1048576,$JG$93,$C539*2+6)</f>
        <v>345</v>
      </c>
      <c r="HZ539" s="644">
        <f>INDEX(Input!$1:$1048576,HZ$93,$C539*2+6)*INDEX(Input!$1:$1048576,$JG$93,$C539*2+6)</f>
        <v>299</v>
      </c>
      <c r="IA539" s="644">
        <f>INDEX(Input!$1:$1048576,IA$93,$C539*2+6)*INDEX(Input!$1:$1048576,$JG$93,$C539*2+6)</f>
        <v>98</v>
      </c>
      <c r="IB539" s="644">
        <f t="shared" si="1668"/>
        <v>387.58155922951164</v>
      </c>
      <c r="IC539" s="644">
        <f t="shared" si="1669"/>
        <v>320.20787507815152</v>
      </c>
      <c r="ID539" s="644">
        <f>IF(AND(INDEX(Input!$1:$1048576,IA$93,$C539*2+7)="TOS",Y539&lt;=INDEX(Y:Y,MATCH(C539*1000+2,A:A))),0,1)*MAX(IA539+HR539+HU539+HX539,0%)</f>
        <v>115.95979023834653</v>
      </c>
      <c r="IE539" s="128">
        <f t="shared" si="1743"/>
        <v>0.47050916429465317</v>
      </c>
      <c r="IF539" s="128">
        <f t="shared" si="1691"/>
        <v>0.38872009288339743</v>
      </c>
      <c r="IG539" s="128">
        <f t="shared" si="1646"/>
        <v>0.14077074282194935</v>
      </c>
      <c r="IH539" s="21"/>
      <c r="II539" s="19">
        <f t="shared" si="1647"/>
        <v>1200</v>
      </c>
      <c r="IJ539" s="19">
        <f t="shared" si="1648"/>
        <v>2231.5440334087361</v>
      </c>
      <c r="IK539" s="19">
        <f t="shared" si="1649"/>
        <v>-2048.0908300335955</v>
      </c>
      <c r="IL539" s="19">
        <f t="shared" si="1671"/>
        <v>650</v>
      </c>
      <c r="IM539" s="19">
        <f t="shared" si="1650"/>
        <v>400.05965587399851</v>
      </c>
      <c r="IN539" s="19">
        <f t="shared" si="1651"/>
        <v>685</v>
      </c>
      <c r="IO539" s="39">
        <f t="shared" si="1652"/>
        <v>0</v>
      </c>
      <c r="IP539" s="39">
        <f t="shared" si="1653"/>
        <v>0</v>
      </c>
      <c r="IQ539" s="39">
        <f t="shared" si="1654"/>
        <v>0</v>
      </c>
      <c r="IR539" s="39">
        <v>0</v>
      </c>
      <c r="IS539" s="39">
        <v>0</v>
      </c>
      <c r="IT539" s="39">
        <v>0</v>
      </c>
      <c r="IU539" s="39">
        <v>0</v>
      </c>
      <c r="IV539" s="39">
        <v>0</v>
      </c>
      <c r="IW539" s="39">
        <v>0</v>
      </c>
      <c r="IX539" s="39">
        <f>INDEX(Input!$1:$1048576,IX$93,$C539*2+6)+INDEX(Input!$1:$1048576,IX$94,$C539*2+6)</f>
        <v>1600</v>
      </c>
      <c r="IY539" s="39">
        <f>INDEX(Input!$1:$1048576,IY$93,$C539*2+6)+INDEX(Input!$1:$1048576,IY$94,$C539*2+6)</f>
        <v>2503.5492916397525</v>
      </c>
      <c r="IZ539" s="39">
        <f>INDEX(Input!$1:$1048576,IZ$93,$C539*2+6)+INDEX(Input!$1:$1048576,IZ$94,$C539*2+6)</f>
        <v>5413.7109265464023</v>
      </c>
      <c r="JA539" s="19">
        <f t="shared" si="1672"/>
        <v>2250</v>
      </c>
      <c r="JB539" s="19">
        <f t="shared" si="1673"/>
        <v>2903.608947513751</v>
      </c>
      <c r="JC539" s="19">
        <f t="shared" si="1674"/>
        <v>6098.7109265464023</v>
      </c>
      <c r="JD539" s="19">
        <f t="shared" si="1675"/>
        <v>3045.8568268238546</v>
      </c>
      <c r="JE539" s="21"/>
      <c r="JF539" s="1">
        <f t="shared" si="1655"/>
        <v>6.2875001493236493E-2</v>
      </c>
      <c r="JG539" s="15">
        <f>INDEX(Input!$1:$1048576,JG$93,$C539*2+6)/(1+VLOOKUP(C539*1000+INDEX(Input!$1:$1048576,JG$93+1,$C539*2+6),$A:$KK,$JK$92,FALSE))</f>
        <v>742</v>
      </c>
      <c r="JH539" s="1">
        <f t="shared" si="1676"/>
        <v>8.037972133229189E-2</v>
      </c>
      <c r="JI539" s="1">
        <f t="shared" si="1677"/>
        <v>2.9794435737802074E-2</v>
      </c>
      <c r="JJ539" s="1">
        <f t="shared" si="1715"/>
        <v>0</v>
      </c>
      <c r="JK539" s="1">
        <f t="shared" si="1719"/>
        <v>0.11017415707009397</v>
      </c>
      <c r="JL539" s="15">
        <f t="shared" si="1680"/>
        <v>81.749224546009728</v>
      </c>
      <c r="JM539" s="15">
        <f t="shared" si="1706"/>
        <v>823.74922454600971</v>
      </c>
      <c r="JN539" s="21"/>
      <c r="JO539" s="19">
        <f>INDEX(Input!$1:$1048576,JO$93,$C539*2+6)</f>
        <v>5908.5</v>
      </c>
      <c r="JP539" s="19">
        <f>INDEX(Input!$1:$1048576,JP$93,$C539*2+6)</f>
        <v>2467.7963733178344</v>
      </c>
      <c r="JQ539" s="39">
        <f t="shared" si="1692"/>
        <v>2862.6431731761454</v>
      </c>
      <c r="JR539" s="39">
        <f t="shared" si="1709"/>
        <v>578.06045350602017</v>
      </c>
      <c r="JS539" s="39">
        <f t="shared" si="1694"/>
        <v>2.50902219917432</v>
      </c>
      <c r="JT539" s="39">
        <f t="shared" si="1682"/>
        <v>0.67791729017248681</v>
      </c>
      <c r="JU539" s="385">
        <f>(JQ539*JM539-INDEX(Input!$1:$1048576,Input!A$18,$C539*2+6)*JL539*INDEX(Input!$1:$1048576,Input!A$19,$C539*2+6))/1000000</f>
        <v>2.3581000940557781</v>
      </c>
      <c r="JV539" s="39">
        <f t="shared" si="1716"/>
        <v>-0.19490199694238841</v>
      </c>
      <c r="JW539" s="1">
        <f t="shared" si="1707"/>
        <v>-7.6342278617635637E-2</v>
      </c>
      <c r="JX539" s="19">
        <f t="shared" si="1698"/>
        <v>8292.6449019824577</v>
      </c>
      <c r="JZ539" s="341"/>
      <c r="KA539" s="342"/>
      <c r="KB539" s="469">
        <f t="shared" si="1695"/>
        <v>2.4623520912331753</v>
      </c>
      <c r="KI539" s="473">
        <f t="shared" si="1744"/>
        <v>42.58155922951164</v>
      </c>
      <c r="KJ539" s="473">
        <f t="shared" si="1745"/>
        <v>21.207875078151517</v>
      </c>
      <c r="KK539" s="473">
        <f t="shared" si="1684"/>
        <v>17.959790238346542</v>
      </c>
      <c r="KN539" s="544">
        <f t="shared" si="1699"/>
        <v>5002</v>
      </c>
      <c r="KO539" s="541">
        <f t="shared" si="1659"/>
        <v>3.1555737161157893E-2</v>
      </c>
      <c r="KP539" s="546">
        <f t="shared" si="1660"/>
        <v>168.31426322681207</v>
      </c>
      <c r="KQ539" s="546">
        <f t="shared" si="1661"/>
        <v>187.08438067214547</v>
      </c>
      <c r="KR539" s="548">
        <f t="shared" si="1662"/>
        <v>3.1564738560436467</v>
      </c>
      <c r="KS539" s="548">
        <f t="shared" si="1663"/>
        <v>2.8397858205261803</v>
      </c>
      <c r="KT539" s="473">
        <f t="shared" si="1697"/>
        <v>389.37465324503302</v>
      </c>
      <c r="KU539" s="663">
        <f t="shared" si="1685"/>
        <v>7.2134921607811018</v>
      </c>
      <c r="KV539" s="117"/>
    </row>
    <row r="540" spans="1:308" s="26" customFormat="1" ht="15">
      <c r="A540" s="561">
        <f t="shared" si="1664"/>
        <v>5040</v>
      </c>
      <c r="B540" s="561">
        <f t="shared" si="1686"/>
        <v>40</v>
      </c>
      <c r="C540" s="561">
        <f t="shared" si="1687"/>
        <v>5</v>
      </c>
      <c r="D540" s="561" t="str">
        <f t="shared" si="1736"/>
        <v xml:space="preserve">500 CC, 360 Lease, </v>
      </c>
      <c r="E540" s="475">
        <f>INDEX(Input!$1:$1048576,E$93,$C540*2+MIN($B540,2)+5)
+INDEX(Scenarios!E$121:E$200,MATCH($B540,Scenarios!$B$121:$B$200,0))</f>
        <v>1750</v>
      </c>
      <c r="F540" s="475">
        <f>INDEX(Input!$1:$1048576,F$93,$C540*2+MIN($B540,2)+5)
+INDEX(Scenarios!F$121:F$200,MATCH($B540,Scenarios!$B$121:$B$200,0))</f>
        <v>0</v>
      </c>
      <c r="G540" s="475">
        <f>INDEX(Input!$1:$1048576,G$93,$C540*2+MIN($B540,2)+5)
+INDEX(Scenarios!G$121:G$200,MATCH($B540,Scenarios!$B$121:$B$200,0))</f>
        <v>0</v>
      </c>
      <c r="H540" s="475">
        <f>INDEX(Input!$1:$1048576,H$93,$C540*2+MIN($B540,2)+5)
+INDEX(Scenarios!H$121:H$200,MATCH($B540,Scenarios!$B$121:$B$200,0))</f>
        <v>0</v>
      </c>
      <c r="I540" s="476">
        <f>INDEX(Input!$1:$1048576,I$93,$C540*2+MIN($B540,2)+5)</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+INDEX(Scenarios!Q$121:Q$200,MATCH($B540,Scenarios!$B$121:$B$200,0))</f>
        <v>0</v>
      </c>
      <c r="R540" s="478">
        <f>IFERROR(MAX(0,INDEX(Input!$1:$1048576,R$93,$C540*2+MIN($B540,2)+5)
+INDEX(Scenarios!R$121:R$200,MATCH($B540,Scenarios!$B$121:$B$200,0)),),"Market")</f>
        <v>0</v>
      </c>
      <c r="S540" s="478">
        <f>IFERROR(MAX(0,INDEX(Input!$1:$1048576,S$93,$C540*2+MIN($B540,2)+5)
+INDEX(Scenarios!S$121:S$200,MATCH($B540,Scenarios!$B$121:$B$200,0)),),"Market")</f>
        <v>0</v>
      </c>
      <c r="T540" s="478">
        <f>IFERROR(MAX(0,INDEX(Input!$1:$1048576,T$93,$C540*2+MIN($B540,2)+5)
+INDEX(Scenarios!T$121:T$200,MATCH($B540,Scenarios!$B$121:$B$200,0)),),"Market")</f>
        <v>0</v>
      </c>
      <c r="U540" s="478">
        <f>IFERROR(MAX(0,INDEX(Input!$1:$1048576,U$93,$C540*2+MIN($B540,2)+5)
+INDEX(Scenarios!U$121:U$200,MATCH($B540,Scenarios!$B$121:$B$200,0)),),"Market")</f>
        <v>0</v>
      </c>
      <c r="V540" s="478">
        <f>IFERROR(MAX(0,INDEX(Input!$1:$1048576,V$93,$C540*2+MIN($B540,2)+5)
+INDEX(Scenarios!V$121:V$200,MATCH($B540,Scenarios!$B$121:$B$200,0)),),"Market")</f>
        <v>1.9E-2</v>
      </c>
      <c r="W540" s="863">
        <f>IFERROR(MAX(0,INDEX(Input!$1:$1048576,W$93,$C540*2+MIN($B540,2)+5)-0%,),"Market")</f>
        <v>3.9E-2</v>
      </c>
      <c r="X540" s="476" t="str">
        <f>INDEX(Input!$1:$1048576,X$93,$C540*2+MIN($B540,2)+5)</f>
        <v>Y</v>
      </c>
      <c r="Y540" s="475">
        <f>INDEX(Input!$1:$1048576,Y$93,$C540*2+MIN($B540,2)+5)
++INDEX(Scenarios!Y$121:Y$200,MATCH($B540,Scenarios!$B$121:$B$200,0))</f>
        <v>-738.3618966787526</v>
      </c>
      <c r="Z540" s="477">
        <f>INDEX(Input!$1:$1048576,Z$93,$C540*2+MIN($B540,2)+5)
+INDEX(Scenarios!Z$121:Z$200,MATCH($B540,Scenarios!$B$121:$B$200,0))</f>
        <v>0</v>
      </c>
      <c r="AA540" s="475">
        <f>INDEX(Input!$1:$1048576,AA$93,$C540*2+MIN($B540,2)+5)</f>
        <v>500</v>
      </c>
      <c r="AB540" s="476">
        <f>INDEX(Input!$1:$1048576,AB$93,$C540*2+MIN($B540,2)+5)</f>
        <v>0.43</v>
      </c>
      <c r="AC540" s="475">
        <f>INDEX(Input!$1:$1048576,AC$93,$C540*2+MIN($B540,2)+5)
+INDEX(Scenarios!AC$121:AC$200,MATCH($B540,Scenarios!$B$121:$B$200,0))</f>
        <v>0</v>
      </c>
      <c r="AD540" s="476">
        <f>INDEX(Input!$1:$1048576,AD$93,$C540*2+MIN($B540,2)+5)</f>
        <v>0.35</v>
      </c>
      <c r="AE540" s="475">
        <f>INDEX(Input!$1:$1048576,AE$93,$C540*2+MIN($B540,2)+5)
+INDEX(Scenarios!AE$121:AE$200,MATCH($B540,Scenarios!$B$121:$B$200,0))</f>
        <v>0</v>
      </c>
      <c r="AF540" s="476">
        <f>INDEX(Input!$1:$1048576,AF$93,$C540*2+MIN($B540,2)+5)</f>
        <v>1</v>
      </c>
      <c r="AG540" s="475">
        <f>INDEX(Input!$1:$1048576,AG$93,$C540*2+MIN($B540,2)+5)
+INDEX(Scenarios!AG$121:AG$200,MATCH($B540,Scenarios!$B$121:$B$200,0))</f>
        <v>0</v>
      </c>
      <c r="AH540" s="476">
        <f>INDEX(Input!$1:$1048576,AH$93,$C540*2+MIN($B540,2)+5)</f>
        <v>1</v>
      </c>
      <c r="AI540" s="475">
        <f>INDEX(Input!$1:$1048576,AI$93,$C540*2+MIN($B540,2)+5)
+INDEX(Scenarios!AI$121:AI$200,MATCH($B540,Scenarios!$B$121:$B$200,0))</f>
        <v>0</v>
      </c>
      <c r="AJ540" s="476">
        <f>INDEX(Input!$1:$1048576,AJ$93,$C540*2+MIN($B540,2)+5)</f>
        <v>0.35</v>
      </c>
      <c r="AK540" s="150">
        <f>ROUND(INDEX(Input!$1:$1048576,AK$93,$C539*2+MIN($B540,1)+5)+(Y540-VLOOKUP($C540*1000+1,$A:$HH,Y$92,FALSE)),0)</f>
        <v>4952</v>
      </c>
      <c r="AL540" s="150">
        <f>ROUND(INDEX(Input!$1:$1048576,AL$93,$C539*2+MIN($B540,1)+5)-(Y540-VLOOKUP($C540*1000+1,$A:$HH,Y$92,FALSE))/36,0)</f>
        <v>4733</v>
      </c>
      <c r="AM540" s="32" t="str">
        <f t="shared" si="1665"/>
        <v>std/std/std/std</v>
      </c>
      <c r="AN540" s="32" t="str">
        <f t="shared" si="1666"/>
        <v>$0 + 0/0/0/1.9/3.9</v>
      </c>
      <c r="AO540" s="32" t="str">
        <f t="shared" si="1667"/>
        <v>0/0/0/1.9/3.9</v>
      </c>
      <c r="AP540" s="32" t="str">
        <f t="shared" si="1621"/>
        <v>0/0.9/1.9/3.9</v>
      </c>
      <c r="AQ540" s="536">
        <f t="shared" si="1620"/>
        <v>0.48642414872356843</v>
      </c>
      <c r="AR540" s="32"/>
      <c r="AS540" s="302"/>
      <c r="AT540" s="3">
        <f t="shared" si="1688"/>
        <v>40</v>
      </c>
      <c r="AU540" s="41" t="s">
        <v>121</v>
      </c>
      <c r="AV540" s="41" t="s">
        <v>116</v>
      </c>
      <c r="AW540" s="41" t="str">
        <f>INDEX(Input!$1:$1048576,AW$93,$C540*2+6)</f>
        <v>Kia</v>
      </c>
      <c r="AX540" s="41" t="str">
        <f>INDEX(Input!$1:$1048576,AX$93,$C540*2+6)</f>
        <v>Kia-LR - R2</v>
      </c>
      <c r="AY540" s="41" t="str">
        <f>IF(LEN(D540)=0,"",INDEX(Input!$1:$1048576,AY$93,$C540*2+6))</f>
        <v>Compact Conventional/Sporty Car (43)</v>
      </c>
      <c r="AZ540" s="41" t="str">
        <f>INDEX(Input!$1:$1048576,AZ$93,$C540*2+6)</f>
        <v>Kia Forte</v>
      </c>
      <c r="BA540" s="3">
        <f>INDEX(Input!$1:$1048576,BA$93,$C540*2+6)</f>
        <v>2020</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19695</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622"/>
        <v>1750</v>
      </c>
      <c r="CJ540" s="16" t="str">
        <f>INDEX(Input!$1:$1048576,CJ$93,$C540*2+6)</f>
        <v>N</v>
      </c>
      <c r="CK540" s="1" t="str">
        <f t="shared" si="1623"/>
        <v>Market</v>
      </c>
      <c r="CL540" s="1" t="str">
        <f t="shared" si="1624"/>
        <v>Market</v>
      </c>
      <c r="CM540" s="1" t="str">
        <f t="shared" si="1625"/>
        <v>Market</v>
      </c>
      <c r="CN540" s="1" t="str">
        <f t="shared" si="1626"/>
        <v>Market</v>
      </c>
      <c r="CO540" s="1" t="str">
        <f t="shared" si="1627"/>
        <v>Market</v>
      </c>
      <c r="CP540" s="304">
        <f t="shared" si="1628"/>
        <v>215</v>
      </c>
      <c r="CQ540" s="1">
        <f t="shared" si="1629"/>
        <v>0</v>
      </c>
      <c r="CR540" s="1">
        <f t="shared" si="1630"/>
        <v>0</v>
      </c>
      <c r="CS540" s="1">
        <f t="shared" si="1631"/>
        <v>0</v>
      </c>
      <c r="CT540" s="1">
        <f t="shared" si="1632"/>
        <v>1.9E-2</v>
      </c>
      <c r="CU540" s="1">
        <f t="shared" si="1633"/>
        <v>3.9E-2</v>
      </c>
      <c r="CV540" s="304">
        <f t="shared" si="1634"/>
        <v>-738.3618966787526</v>
      </c>
      <c r="CW540" s="20" t="s">
        <v>122</v>
      </c>
      <c r="CX540" s="20" t="s">
        <v>122</v>
      </c>
      <c r="CY540" s="20" t="s">
        <v>122</v>
      </c>
      <c r="CZ540" s="20" t="s">
        <v>122</v>
      </c>
      <c r="DA540" s="20" t="s">
        <v>122</v>
      </c>
      <c r="DB540" s="503">
        <f t="shared" si="1635"/>
        <v>0</v>
      </c>
      <c r="DC540" s="127">
        <v>0</v>
      </c>
      <c r="DD540" s="127">
        <v>0</v>
      </c>
      <c r="DE540" s="127">
        <v>0</v>
      </c>
      <c r="DF540" s="127">
        <v>0</v>
      </c>
      <c r="DG540" s="127">
        <v>0</v>
      </c>
      <c r="DH540" s="127">
        <v>0</v>
      </c>
      <c r="DI540" s="127">
        <v>0</v>
      </c>
      <c r="DJ540" s="127">
        <v>0</v>
      </c>
      <c r="DK540" s="127">
        <v>0</v>
      </c>
      <c r="DL540" s="127">
        <v>0</v>
      </c>
      <c r="DM540" s="304">
        <f>INDEX(Input!$1:$1048576,DM$93,$C540*2+6)</f>
        <v>20731.578947368424</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4.4796938546852884E-2</v>
      </c>
      <c r="DZ540" s="7">
        <v>0</v>
      </c>
      <c r="EA540" s="7">
        <v>0.78717733008026625</v>
      </c>
      <c r="EB540" s="7">
        <v>0</v>
      </c>
      <c r="EC540" s="7">
        <v>0</v>
      </c>
      <c r="ED540" s="7">
        <v>0</v>
      </c>
      <c r="EE540" s="7">
        <v>0</v>
      </c>
      <c r="EF540" s="7">
        <v>0</v>
      </c>
      <c r="EG540" s="7">
        <v>0</v>
      </c>
      <c r="EH540" s="7">
        <v>1.4451716693294401E-2</v>
      </c>
      <c r="EI540" s="7">
        <v>1.8188531720768935E-2</v>
      </c>
      <c r="EJ540" s="7">
        <v>0.26781032150178791</v>
      </c>
      <c r="EK540" s="7">
        <v>0.65318256082621184</v>
      </c>
      <c r="EL540" s="7">
        <v>4.63668692579371E-2</v>
      </c>
      <c r="EM540" s="7">
        <v>6.0287139855890112E-2</v>
      </c>
      <c r="EN540" s="7">
        <v>4.7840788709698844E-2</v>
      </c>
      <c r="EO540" s="7">
        <v>0.58178172753192492</v>
      </c>
      <c r="EP540" s="7">
        <v>0.25247879309085836</v>
      </c>
      <c r="EQ540" s="7">
        <v>7.1497527365275218E-2</v>
      </c>
      <c r="ER540" s="7">
        <v>4.6401163302242636E-2</v>
      </c>
      <c r="ES540" s="7">
        <v>0.10773859151699067</v>
      </c>
      <c r="ET540" s="7">
        <v>0.1680257313728809</v>
      </c>
      <c r="EU540" s="6">
        <v>2100</v>
      </c>
      <c r="EV540" s="6">
        <v>0</v>
      </c>
      <c r="EW540" s="6">
        <v>2100</v>
      </c>
      <c r="EX540" s="6">
        <v>0</v>
      </c>
      <c r="EY540" s="6">
        <v>2631.6435865557428</v>
      </c>
      <c r="EZ540" s="6">
        <v>-1363.0908300335955</v>
      </c>
      <c r="FA540" s="6">
        <v>0</v>
      </c>
      <c r="FB540" s="6">
        <v>0</v>
      </c>
      <c r="FC540" s="6">
        <v>0</v>
      </c>
      <c r="FD540" s="6">
        <v>0</v>
      </c>
      <c r="FE540" s="6">
        <v>0</v>
      </c>
      <c r="FF540" s="6">
        <v>0</v>
      </c>
      <c r="FG540" s="6">
        <v>0</v>
      </c>
      <c r="FH540" s="6">
        <v>1153.9900380669824</v>
      </c>
      <c r="FI540" s="6">
        <v>1531.4299904380628</v>
      </c>
      <c r="FJ540" s="6">
        <v>2070.7205842538224</v>
      </c>
      <c r="FK540" s="6">
        <v>1746.9903521590441</v>
      </c>
      <c r="FL540" s="6">
        <v>893.9143356348934</v>
      </c>
      <c r="FM540" s="6">
        <v>1781.6435865557428</v>
      </c>
      <c r="FN540" s="6">
        <v>0</v>
      </c>
      <c r="FO540" s="6">
        <v>0</v>
      </c>
      <c r="FP540" s="6">
        <v>0</v>
      </c>
      <c r="FQ540" s="6">
        <v>0</v>
      </c>
      <c r="FR540" s="6">
        <v>0</v>
      </c>
      <c r="FS540" s="6">
        <v>0</v>
      </c>
      <c r="FT540" s="7">
        <v>0.8319742686271191</v>
      </c>
      <c r="FU540" s="7">
        <v>6.0287139855890112E-2</v>
      </c>
      <c r="FV540" s="7">
        <v>0.10773859151699067</v>
      </c>
      <c r="FW540" s="6">
        <v>2100</v>
      </c>
      <c r="FX540" s="6">
        <v>2631.6435865557428</v>
      </c>
      <c r="FY540" s="6">
        <v>-1363.0908300335955</v>
      </c>
      <c r="FZ540" s="6">
        <v>2411.9063952864503</v>
      </c>
      <c r="GA540" s="6">
        <v>1758.9427429329471</v>
      </c>
      <c r="GB540" s="6">
        <v>17936.057257067052</v>
      </c>
      <c r="GC540" s="7">
        <v>7.6138913542514425E-2</v>
      </c>
      <c r="GD540" s="7">
        <v>6.9708299481274411E-2</v>
      </c>
      <c r="GE540" s="7"/>
      <c r="GF540" s="7"/>
      <c r="GG540" s="7">
        <v>-8.4458967984213346E-2</v>
      </c>
      <c r="GH540" s="42">
        <v>2.5474915310424282</v>
      </c>
      <c r="GI540" s="6">
        <v>9490.0773747881685</v>
      </c>
      <c r="GJ540" s="14">
        <v>0.51074630601039595</v>
      </c>
      <c r="GK540" s="14">
        <v>0.50829519786160993</v>
      </c>
      <c r="GL540" s="14">
        <v>0.4892536939896045</v>
      </c>
      <c r="GM540" s="14">
        <v>0.49170480213839052</v>
      </c>
      <c r="GO540" s="5">
        <v>338.16872463277008</v>
      </c>
      <c r="GP540" s="5">
        <v>298.1047308538179</v>
      </c>
      <c r="GQ540" s="5">
        <v>527.27910984145694</v>
      </c>
      <c r="GR540" s="5">
        <v>404.20319246551543</v>
      </c>
      <c r="GS540" s="5">
        <v>334.50205195691484</v>
      </c>
      <c r="GT540" s="5">
        <v>289.18266033348181</v>
      </c>
      <c r="GU540" s="5">
        <v>254.29573314828914</v>
      </c>
      <c r="GV540" s="39" t="s">
        <v>392</v>
      </c>
      <c r="GW540" s="5">
        <v>468.76388888888891</v>
      </c>
      <c r="GX540" s="5">
        <v>351.57291666666669</v>
      </c>
      <c r="GY540" s="5">
        <v>281.25833333333333</v>
      </c>
      <c r="GZ540" s="5">
        <v>248.18079879493993</v>
      </c>
      <c r="HA540" s="5">
        <v>229.8919505212948</v>
      </c>
      <c r="HB540" s="39">
        <v>261.25966245832785</v>
      </c>
      <c r="HC540" s="5">
        <v>342.75084881396981</v>
      </c>
      <c r="HD540" s="5">
        <v>277.02900980034525</v>
      </c>
      <c r="HE540" s="5">
        <v>275.25710238124515</v>
      </c>
      <c r="HF540" s="5">
        <v>249.22464978663214</v>
      </c>
      <c r="HG540" s="5">
        <v>233.7008417861702</v>
      </c>
      <c r="HH540" s="39">
        <v>275.72740497699857</v>
      </c>
      <c r="HI540" s="16"/>
      <c r="HJ540" s="19" t="str">
        <f t="shared" si="1742"/>
        <v>On</v>
      </c>
      <c r="HK540" s="1" t="str">
        <f t="shared" si="1742"/>
        <v>On</v>
      </c>
      <c r="HL540" s="16"/>
      <c r="HM540" s="639">
        <f t="shared" si="1636"/>
        <v>5.1181272167489952E-2</v>
      </c>
      <c r="HN540" s="639">
        <f t="shared" si="1637"/>
        <v>4.2792051795134348E-3</v>
      </c>
      <c r="HO540" s="639">
        <f t="shared" si="1638"/>
        <v>7.4145241462331068E-3</v>
      </c>
      <c r="HP540" s="644">
        <f>(FT540*$GD540-HM540)/$JF540*INDEX(Input!$1:$1048576,$JG$93,$C540*2+6)</f>
        <v>80.416150273508336</v>
      </c>
      <c r="HQ540" s="644">
        <f>(FU540*$GD540-HN540)/$JF540*INDEX(Input!$1:$1048576,$JG$93,$C540*2+6)</f>
        <v>-0.90504737795901014</v>
      </c>
      <c r="HR540" s="644">
        <f>(FV540*$GD540-HO540)/$JF540*INDEX(Input!$1:$1048576,$JG$93,$C540*2+6)</f>
        <v>1.129962499408095</v>
      </c>
      <c r="HS540" s="644">
        <f t="shared" si="1639"/>
        <v>-16.762601074749394</v>
      </c>
      <c r="HT540" s="644">
        <f t="shared" si="1640"/>
        <v>19.860523744987013</v>
      </c>
      <c r="HU540" s="644">
        <f t="shared" si="1641"/>
        <v>14.37873691024393</v>
      </c>
      <c r="HV540" s="648">
        <f t="shared" si="1642"/>
        <v>0</v>
      </c>
      <c r="HW540" s="648">
        <f t="shared" si="1643"/>
        <v>0</v>
      </c>
      <c r="HX540" s="648">
        <f t="shared" si="1644"/>
        <v>0</v>
      </c>
      <c r="HY540" s="644">
        <f>INDEX(Input!$1:$1048576,HY$93,$C540*2+6)*INDEX(Input!$1:$1048576,$JG$93,$C540*2+6)</f>
        <v>345</v>
      </c>
      <c r="HZ540" s="644">
        <f>INDEX(Input!$1:$1048576,HZ$93,$C540*2+6)*INDEX(Input!$1:$1048576,$JG$93,$C540*2+6)</f>
        <v>299</v>
      </c>
      <c r="IA540" s="644">
        <f>INDEX(Input!$1:$1048576,IA$93,$C540*2+6)*INDEX(Input!$1:$1048576,$JG$93,$C540*2+6)</f>
        <v>98</v>
      </c>
      <c r="IB540" s="644">
        <f t="shared" si="1668"/>
        <v>408.65354919875887</v>
      </c>
      <c r="IC540" s="644">
        <f t="shared" si="1669"/>
        <v>317.95547636702798</v>
      </c>
      <c r="ID540" s="644">
        <f>IF(AND(INDEX(Input!$1:$1048576,IA$93,$C540*2+7)="TOS",Y540&lt;=INDEX(Y:Y,MATCH(C540*1000+2,A:A))),0,1)*MAX(IA540+HR540+HU540+HX540,0%)</f>
        <v>113.50869940965202</v>
      </c>
      <c r="IE540" s="128">
        <f t="shared" si="1743"/>
        <v>0.48642414872356843</v>
      </c>
      <c r="IF540" s="128">
        <f t="shared" si="1691"/>
        <v>0.37846538278468472</v>
      </c>
      <c r="IG540" s="128">
        <f t="shared" si="1646"/>
        <v>0.13511046849174677</v>
      </c>
      <c r="IH540" s="21"/>
      <c r="II540" s="19">
        <f t="shared" si="1647"/>
        <v>1200</v>
      </c>
      <c r="IJ540" s="19">
        <f t="shared" si="1648"/>
        <v>2231.5440334087361</v>
      </c>
      <c r="IK540" s="19">
        <f t="shared" si="1649"/>
        <v>-2048.0908300335955</v>
      </c>
      <c r="IL540" s="19">
        <f t="shared" si="1671"/>
        <v>900</v>
      </c>
      <c r="IM540" s="19">
        <f t="shared" si="1650"/>
        <v>400.09955314700665</v>
      </c>
      <c r="IN540" s="19">
        <f t="shared" si="1651"/>
        <v>685</v>
      </c>
      <c r="IO540" s="39">
        <f t="shared" si="1652"/>
        <v>0</v>
      </c>
      <c r="IP540" s="39">
        <f t="shared" si="1653"/>
        <v>0</v>
      </c>
      <c r="IQ540" s="39">
        <f t="shared" si="1654"/>
        <v>0</v>
      </c>
      <c r="IR540" s="39">
        <v>0</v>
      </c>
      <c r="IS540" s="39">
        <v>0</v>
      </c>
      <c r="IT540" s="39">
        <v>0</v>
      </c>
      <c r="IU540" s="39">
        <v>0</v>
      </c>
      <c r="IV540" s="39">
        <v>0</v>
      </c>
      <c r="IW540" s="39">
        <v>0</v>
      </c>
      <c r="IX540" s="39">
        <f>INDEX(Input!$1:$1048576,IX$93,$C540*2+6)+INDEX(Input!$1:$1048576,IX$94,$C540*2+6)</f>
        <v>1600</v>
      </c>
      <c r="IY540" s="39">
        <f>INDEX(Input!$1:$1048576,IY$93,$C540*2+6)+INDEX(Input!$1:$1048576,IY$94,$C540*2+6)</f>
        <v>2503.5492916397525</v>
      </c>
      <c r="IZ540" s="39">
        <f>INDEX(Input!$1:$1048576,IZ$93,$C540*2+6)+INDEX(Input!$1:$1048576,IZ$94,$C540*2+6)</f>
        <v>5413.7109265464023</v>
      </c>
      <c r="JA540" s="19">
        <f t="shared" si="1672"/>
        <v>2500</v>
      </c>
      <c r="JB540" s="19">
        <f t="shared" si="1673"/>
        <v>2903.6488447867591</v>
      </c>
      <c r="JC540" s="19">
        <f t="shared" si="1674"/>
        <v>6098.7109265464023</v>
      </c>
      <c r="JD540" s="19">
        <f t="shared" si="1675"/>
        <v>3138.9906338048686</v>
      </c>
      <c r="JE540" s="21"/>
      <c r="JF540" s="1">
        <f t="shared" si="1655"/>
        <v>6.2875001493236493E-2</v>
      </c>
      <c r="JG540" s="15">
        <f>INDEX(Input!$1:$1048576,JG$93,$C540*2+6)/(1+VLOOKUP(C540*1000+INDEX(Input!$1:$1048576,JG$93+1,$C540*2+6),$A:$KK,$JK$92,FALSE))</f>
        <v>742</v>
      </c>
      <c r="JH540" s="1">
        <f t="shared" si="1676"/>
        <v>0.10868068112527955</v>
      </c>
      <c r="JI540" s="1">
        <f t="shared" si="1677"/>
        <v>2.3553449569382143E-2</v>
      </c>
      <c r="JJ540" s="1">
        <f t="shared" si="1715"/>
        <v>0</v>
      </c>
      <c r="JK540" s="1">
        <f t="shared" si="1719"/>
        <v>0.13223413069466169</v>
      </c>
      <c r="JL540" s="15">
        <f t="shared" si="1680"/>
        <v>98.117724975438975</v>
      </c>
      <c r="JM540" s="15">
        <f t="shared" si="1706"/>
        <v>840.11772497543893</v>
      </c>
      <c r="JN540" s="21"/>
      <c r="JO540" s="19">
        <f>INDEX(Input!$1:$1048576,JO$93,$C540*2+6)</f>
        <v>5908.5</v>
      </c>
      <c r="JP540" s="19">
        <f>INDEX(Input!$1:$1048576,JP$93,$C540*2+6)</f>
        <v>2467.7963733178344</v>
      </c>
      <c r="JQ540" s="39">
        <f t="shared" si="1692"/>
        <v>2769.5093661951314</v>
      </c>
      <c r="JR540" s="39">
        <f t="shared" si="1709"/>
        <v>671.19426048703417</v>
      </c>
      <c r="JS540" s="39">
        <f t="shared" si="1694"/>
        <v>2.6371216699913571</v>
      </c>
      <c r="JT540" s="39">
        <f t="shared" si="1682"/>
        <v>0.80601676098952424</v>
      </c>
      <c r="JU540" s="385">
        <f>(JQ540*JM540-INDEX(Input!$1:$1048576,Input!A$18,$C540*2+6)*JL540*INDEX(Input!$1:$1048576,Input!A$19,$C540*2+6))/1000000</f>
        <v>2.326713908026024</v>
      </c>
      <c r="JV540" s="39">
        <f t="shared" si="1716"/>
        <v>-0.22628818297214259</v>
      </c>
      <c r="JW540" s="1">
        <f t="shared" si="1707"/>
        <v>-8.863611344856713E-2</v>
      </c>
      <c r="JX540" s="19">
        <f t="shared" si="1698"/>
        <v>8214.7925993115714</v>
      </c>
      <c r="JZ540" s="341"/>
      <c r="KA540" s="342"/>
      <c r="KB540" s="469">
        <f t="shared" si="1695"/>
        <v>2.4623520912331753</v>
      </c>
      <c r="KI540" s="473">
        <f t="shared" si="1744"/>
        <v>63.653549198758867</v>
      </c>
      <c r="KJ540" s="473">
        <f t="shared" si="1745"/>
        <v>18.955476367027984</v>
      </c>
      <c r="KK540" s="473">
        <f t="shared" si="1684"/>
        <v>15.50869940965201</v>
      </c>
      <c r="KN540" s="544">
        <f t="shared" si="1699"/>
        <v>5002</v>
      </c>
      <c r="KO540" s="541">
        <f t="shared" si="1659"/>
        <v>5.2053505199735728E-2</v>
      </c>
      <c r="KP540" s="546">
        <f t="shared" si="1660"/>
        <v>291.8761967510917</v>
      </c>
      <c r="KQ540" s="546">
        <f t="shared" si="1661"/>
        <v>280.21818765315948</v>
      </c>
      <c r="KR540" s="548">
        <f t="shared" si="1662"/>
        <v>3.0025903731558676</v>
      </c>
      <c r="KS540" s="548">
        <f t="shared" si="1663"/>
        <v>3.1275081245009066</v>
      </c>
      <c r="KT540" s="473">
        <f t="shared" si="1697"/>
        <v>389.37465324503302</v>
      </c>
      <c r="KU540" s="663">
        <f t="shared" si="1685"/>
        <v>7.263229045187952</v>
      </c>
      <c r="KV540" s="117"/>
    </row>
    <row r="541" spans="1:308" s="26" customFormat="1" ht="15">
      <c r="A541" s="561">
        <f t="shared" si="1664"/>
        <v>5041</v>
      </c>
      <c r="B541" s="561">
        <f t="shared" si="1686"/>
        <v>41</v>
      </c>
      <c r="C541" s="561">
        <f t="shared" si="1687"/>
        <v>5</v>
      </c>
      <c r="D541" s="561" t="str">
        <f t="shared" si="1736"/>
        <v xml:space="preserve">750 CC, 360 Lease, </v>
      </c>
      <c r="E541" s="475">
        <f>INDEX(Input!$1:$1048576,E$93,$C541*2+MIN($B541,2)+5)
+INDEX(Scenarios!E$121:E$200,MATCH($B541,Scenarios!$B$121:$B$200,0))</f>
        <v>2000</v>
      </c>
      <c r="F541" s="475">
        <f>INDEX(Input!$1:$1048576,F$93,$C541*2+MIN($B541,2)+5)
+INDEX(Scenarios!F$121:F$200,MATCH($B541,Scenarios!$B$121:$B$200,0))</f>
        <v>0</v>
      </c>
      <c r="G541" s="475">
        <f>INDEX(Input!$1:$1048576,G$93,$C541*2+MIN($B541,2)+5)
+INDEX(Scenarios!G$121:G$200,MATCH($B541,Scenarios!$B$121:$B$200,0))</f>
        <v>0</v>
      </c>
      <c r="H541" s="475">
        <f>INDEX(Input!$1:$1048576,H$93,$C541*2+MIN($B541,2)+5)
+INDEX(Scenarios!H$121:H$200,MATCH($B541,Scenarios!$B$121:$B$200,0))</f>
        <v>0</v>
      </c>
      <c r="I541" s="476">
        <f>INDEX(Input!$1:$1048576,I$93,$C541*2+MIN($B541,2)+5)</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+INDEX(Scenarios!Q$121:Q$200,MATCH($B541,Scenarios!$B$121:$B$200,0))</f>
        <v>0</v>
      </c>
      <c r="R541" s="478">
        <f>IFERROR(MAX(0,INDEX(Input!$1:$1048576,R$93,$C541*2+MIN($B541,2)+5)
+INDEX(Scenarios!R$121:R$200,MATCH($B541,Scenarios!$B$121:$B$200,0)),),"Market")</f>
        <v>0</v>
      </c>
      <c r="S541" s="478">
        <f>IFERROR(MAX(0,INDEX(Input!$1:$1048576,S$93,$C541*2+MIN($B541,2)+5)
+INDEX(Scenarios!S$121:S$200,MATCH($B541,Scenarios!$B$121:$B$200,0)),),"Market")</f>
        <v>0</v>
      </c>
      <c r="T541" s="478">
        <f>IFERROR(MAX(0,INDEX(Input!$1:$1048576,T$93,$C541*2+MIN($B541,2)+5)
+INDEX(Scenarios!T$121:T$200,MATCH($B541,Scenarios!$B$121:$B$200,0)),),"Market")</f>
        <v>0</v>
      </c>
      <c r="U541" s="478">
        <f>IFERROR(MAX(0,INDEX(Input!$1:$1048576,U$93,$C541*2+MIN($B541,2)+5)
+INDEX(Scenarios!U$121:U$200,MATCH($B541,Scenarios!$B$121:$B$200,0)),),"Market")</f>
        <v>0</v>
      </c>
      <c r="V541" s="478">
        <f>IFERROR(MAX(0,INDEX(Input!$1:$1048576,V$93,$C541*2+MIN($B541,2)+5)
+INDEX(Scenarios!V$121:V$200,MATCH($B541,Scenarios!$B$121:$B$200,0)),),"Market")</f>
        <v>1.9E-2</v>
      </c>
      <c r="W541" s="863">
        <f>IFERROR(MAX(0,INDEX(Input!$1:$1048576,W$93,$C541*2+MIN($B541,2)+5)-0%,),"Market")</f>
        <v>3.9E-2</v>
      </c>
      <c r="X541" s="476" t="str">
        <f>INDEX(Input!$1:$1048576,X$93,$C541*2+MIN($B541,2)+5)</f>
        <v>Y</v>
      </c>
      <c r="Y541" s="475">
        <f>INDEX(Input!$1:$1048576,Y$93,$C541*2+MIN($B541,2)+5)
++INDEX(Scenarios!Y$121:Y$200,MATCH($B541,Scenarios!$B$121:$B$200,0))</f>
        <v>-738.3618966787526</v>
      </c>
      <c r="Z541" s="477">
        <f>INDEX(Input!$1:$1048576,Z$93,$C541*2+MIN($B541,2)+5)
+INDEX(Scenarios!Z$121:Z$200,MATCH($B541,Scenarios!$B$121:$B$200,0))</f>
        <v>0</v>
      </c>
      <c r="AA541" s="475">
        <f>INDEX(Input!$1:$1048576,AA$93,$C541*2+MIN($B541,2)+5)</f>
        <v>500</v>
      </c>
      <c r="AB541" s="476">
        <f>INDEX(Input!$1:$1048576,AB$93,$C541*2+MIN($B541,2)+5)</f>
        <v>0.43</v>
      </c>
      <c r="AC541" s="475">
        <f>INDEX(Input!$1:$1048576,AC$93,$C541*2+MIN($B541,2)+5)
+INDEX(Scenarios!AC$121:AC$200,MATCH($B541,Scenarios!$B$121:$B$200,0))</f>
        <v>0</v>
      </c>
      <c r="AD541" s="476">
        <f>INDEX(Input!$1:$1048576,AD$93,$C541*2+MIN($B541,2)+5)</f>
        <v>0.35</v>
      </c>
      <c r="AE541" s="475">
        <f>INDEX(Input!$1:$1048576,AE$93,$C541*2+MIN($B541,2)+5)
+INDEX(Scenarios!AE$121:AE$200,MATCH($B541,Scenarios!$B$121:$B$200,0))</f>
        <v>0</v>
      </c>
      <c r="AF541" s="476">
        <f>INDEX(Input!$1:$1048576,AF$93,$C541*2+MIN($B541,2)+5)</f>
        <v>1</v>
      </c>
      <c r="AG541" s="475">
        <f>INDEX(Input!$1:$1048576,AG$93,$C541*2+MIN($B541,2)+5)
+INDEX(Scenarios!AG$121:AG$200,MATCH($B541,Scenarios!$B$121:$B$200,0))</f>
        <v>0</v>
      </c>
      <c r="AH541" s="476">
        <f>INDEX(Input!$1:$1048576,AH$93,$C541*2+MIN($B541,2)+5)</f>
        <v>1</v>
      </c>
      <c r="AI541" s="475">
        <f>INDEX(Input!$1:$1048576,AI$93,$C541*2+MIN($B541,2)+5)
+INDEX(Scenarios!AI$121:AI$200,MATCH($B541,Scenarios!$B$121:$B$200,0))</f>
        <v>0</v>
      </c>
      <c r="AJ541" s="476">
        <f>INDEX(Input!$1:$1048576,AJ$93,$C541*2+MIN($B541,2)+5)</f>
        <v>0.35</v>
      </c>
      <c r="AK541" s="150">
        <f>ROUND(INDEX(Input!$1:$1048576,AK$93,$C540*2+MIN($B541,1)+5)+(Y541-VLOOKUP($C541*1000+1,$A:$HH,Y$92,FALSE)),0)</f>
        <v>4952</v>
      </c>
      <c r="AL541" s="150">
        <f>ROUND(INDEX(Input!$1:$1048576,AL$93,$C540*2+MIN($B541,1)+5)-(Y541-VLOOKUP($C541*1000+1,$A:$HH,Y$92,FALSE))/36,0)</f>
        <v>4733</v>
      </c>
      <c r="AM541" s="32" t="str">
        <f t="shared" si="1665"/>
        <v>std/std/std/std</v>
      </c>
      <c r="AN541" s="32" t="str">
        <f t="shared" si="1666"/>
        <v>$0 + 0/0/0/1.9/3.9</v>
      </c>
      <c r="AO541" s="32" t="str">
        <f t="shared" si="1667"/>
        <v>0/0/0/1.9/3.9</v>
      </c>
      <c r="AP541" s="32" t="str">
        <f t="shared" si="1621"/>
        <v>0/0.9/1.9/3.9</v>
      </c>
      <c r="AQ541" s="536">
        <f t="shared" si="1620"/>
        <v>0.50206462661085316</v>
      </c>
      <c r="AR541" s="32"/>
      <c r="AS541" s="302"/>
      <c r="AT541" s="3">
        <f t="shared" si="1688"/>
        <v>41</v>
      </c>
      <c r="AU541" s="41" t="s">
        <v>121</v>
      </c>
      <c r="AV541" s="41" t="s">
        <v>116</v>
      </c>
      <c r="AW541" s="41" t="str">
        <f>INDEX(Input!$1:$1048576,AW$93,$C541*2+6)</f>
        <v>Kia</v>
      </c>
      <c r="AX541" s="41" t="str">
        <f>INDEX(Input!$1:$1048576,AX$93,$C541*2+6)</f>
        <v>Kia-LR - R2</v>
      </c>
      <c r="AY541" s="41" t="str">
        <f>IF(LEN(D541)=0,"",INDEX(Input!$1:$1048576,AY$93,$C541*2+6))</f>
        <v>Compact Conventional/Sporty Car (43)</v>
      </c>
      <c r="AZ541" s="41" t="str">
        <f>INDEX(Input!$1:$1048576,AZ$93,$C541*2+6)</f>
        <v>Kia Forte</v>
      </c>
      <c r="BA541" s="3">
        <f>INDEX(Input!$1:$1048576,BA$93,$C541*2+6)</f>
        <v>2020</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19695</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622"/>
        <v>2000</v>
      </c>
      <c r="CJ541" s="16" t="str">
        <f>INDEX(Input!$1:$1048576,CJ$93,$C541*2+6)</f>
        <v>N</v>
      </c>
      <c r="CK541" s="1" t="str">
        <f t="shared" si="1623"/>
        <v>Market</v>
      </c>
      <c r="CL541" s="1" t="str">
        <f t="shared" si="1624"/>
        <v>Market</v>
      </c>
      <c r="CM541" s="1" t="str">
        <f t="shared" si="1625"/>
        <v>Market</v>
      </c>
      <c r="CN541" s="1" t="str">
        <f t="shared" si="1626"/>
        <v>Market</v>
      </c>
      <c r="CO541" s="1" t="str">
        <f t="shared" si="1627"/>
        <v>Market</v>
      </c>
      <c r="CP541" s="304">
        <f t="shared" si="1628"/>
        <v>215</v>
      </c>
      <c r="CQ541" s="1">
        <f t="shared" si="1629"/>
        <v>0</v>
      </c>
      <c r="CR541" s="1">
        <f t="shared" si="1630"/>
        <v>0</v>
      </c>
      <c r="CS541" s="1">
        <f t="shared" si="1631"/>
        <v>0</v>
      </c>
      <c r="CT541" s="1">
        <f t="shared" si="1632"/>
        <v>1.9E-2</v>
      </c>
      <c r="CU541" s="1">
        <f t="shared" si="1633"/>
        <v>3.9E-2</v>
      </c>
      <c r="CV541" s="304">
        <f t="shared" si="1634"/>
        <v>-738.3618966787526</v>
      </c>
      <c r="CW541" s="20" t="s">
        <v>122</v>
      </c>
      <c r="CX541" s="20" t="s">
        <v>122</v>
      </c>
      <c r="CY541" s="20" t="s">
        <v>122</v>
      </c>
      <c r="CZ541" s="20" t="s">
        <v>122</v>
      </c>
      <c r="DA541" s="20" t="s">
        <v>122</v>
      </c>
      <c r="DB541" s="503">
        <f t="shared" si="1635"/>
        <v>0</v>
      </c>
      <c r="DC541" s="127">
        <v>0</v>
      </c>
      <c r="DD541" s="127">
        <v>0</v>
      </c>
      <c r="DE541" s="127">
        <v>0</v>
      </c>
      <c r="DF541" s="127">
        <v>0</v>
      </c>
      <c r="DG541" s="127">
        <v>0</v>
      </c>
      <c r="DH541" s="127">
        <v>0</v>
      </c>
      <c r="DI541" s="127">
        <v>0</v>
      </c>
      <c r="DJ541" s="127">
        <v>0</v>
      </c>
      <c r="DK541" s="127">
        <v>0</v>
      </c>
      <c r="DL541" s="127">
        <v>0</v>
      </c>
      <c r="DM541" s="304">
        <f>INDEX(Input!$1:$1048576,DM$93,$C541*2+6)</f>
        <v>20731.578947368424</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4.5468225653610743E-2</v>
      </c>
      <c r="DZ541" s="7">
        <v>0</v>
      </c>
      <c r="EA541" s="7">
        <v>0.79630243682755908</v>
      </c>
      <c r="EB541" s="7">
        <v>0</v>
      </c>
      <c r="EC541" s="7">
        <v>0</v>
      </c>
      <c r="ED541" s="7">
        <v>0</v>
      </c>
      <c r="EE541" s="7">
        <v>0</v>
      </c>
      <c r="EF541" s="7">
        <v>0</v>
      </c>
      <c r="EG541" s="7">
        <v>0</v>
      </c>
      <c r="EH541" s="7">
        <v>1.445553604117133E-2</v>
      </c>
      <c r="EI541" s="7">
        <v>1.8188739621282469E-2</v>
      </c>
      <c r="EJ541" s="7">
        <v>0.2679211295345183</v>
      </c>
      <c r="EK541" s="7">
        <v>0.65307374278938823</v>
      </c>
      <c r="EL541" s="7">
        <v>4.6360852013639986E-2</v>
      </c>
      <c r="EM541" s="7">
        <v>5.6767996764532334E-2</v>
      </c>
      <c r="EN541" s="7">
        <v>4.7840923525506986E-2</v>
      </c>
      <c r="EO541" s="7">
        <v>0.58177894871473912</v>
      </c>
      <c r="EP541" s="7">
        <v>0.25247521137209178</v>
      </c>
      <c r="EQ541" s="7">
        <v>7.1496771934699166E-2</v>
      </c>
      <c r="ER541" s="7">
        <v>4.6408144452962832E-2</v>
      </c>
      <c r="ES541" s="7">
        <v>0.10146134075429784</v>
      </c>
      <c r="ET541" s="7">
        <v>0.15822933751883009</v>
      </c>
      <c r="EU541" s="6">
        <v>2350</v>
      </c>
      <c r="EV541" s="6">
        <v>0</v>
      </c>
      <c r="EW541" s="6">
        <v>2350</v>
      </c>
      <c r="EX541" s="6">
        <v>0</v>
      </c>
      <c r="EY541" s="6">
        <v>2631.6823056454878</v>
      </c>
      <c r="EZ541" s="6">
        <v>-1363.0908300335955</v>
      </c>
      <c r="FA541" s="6">
        <v>0</v>
      </c>
      <c r="FB541" s="6">
        <v>0</v>
      </c>
      <c r="FC541" s="6">
        <v>0</v>
      </c>
      <c r="FD541" s="6">
        <v>0</v>
      </c>
      <c r="FE541" s="6">
        <v>0</v>
      </c>
      <c r="FF541" s="6">
        <v>0</v>
      </c>
      <c r="FG541" s="6">
        <v>0</v>
      </c>
      <c r="FH541" s="6">
        <v>1153.9916777430553</v>
      </c>
      <c r="FI541" s="6">
        <v>1531.4299904380621</v>
      </c>
      <c r="FJ541" s="6">
        <v>2070.7205842538215</v>
      </c>
      <c r="FK541" s="6">
        <v>1746.9903521590429</v>
      </c>
      <c r="FL541" s="6">
        <v>893.91433563489306</v>
      </c>
      <c r="FM541" s="6">
        <v>1781.6823056454875</v>
      </c>
      <c r="FN541" s="6">
        <v>0</v>
      </c>
      <c r="FO541" s="6">
        <v>0</v>
      </c>
      <c r="FP541" s="6">
        <v>0</v>
      </c>
      <c r="FQ541" s="6">
        <v>0</v>
      </c>
      <c r="FR541" s="6">
        <v>0</v>
      </c>
      <c r="FS541" s="6">
        <v>0</v>
      </c>
      <c r="FT541" s="7">
        <v>0.84177066248116983</v>
      </c>
      <c r="FU541" s="7">
        <v>5.6767996764532334E-2</v>
      </c>
      <c r="FV541" s="7">
        <v>0.10146134075429784</v>
      </c>
      <c r="FW541" s="6">
        <v>2350</v>
      </c>
      <c r="FX541" s="6">
        <v>2631.6823056454878</v>
      </c>
      <c r="FY541" s="6">
        <v>-1363.0908300335955</v>
      </c>
      <c r="FZ541" s="6">
        <v>2411.9063952864503</v>
      </c>
      <c r="GA541" s="6">
        <v>1989.2553662578118</v>
      </c>
      <c r="GB541" s="6">
        <v>17705.74463374219</v>
      </c>
      <c r="GC541" s="7">
        <v>7.6138913542514425E-2</v>
      </c>
      <c r="GD541" s="7">
        <v>7.1551414248313017E-2</v>
      </c>
      <c r="GE541" s="7"/>
      <c r="GF541" s="7"/>
      <c r="GG541" s="7">
        <v>-6.0251704164912226E-2</v>
      </c>
      <c r="GH541" s="42">
        <v>2.8076527253587718</v>
      </c>
      <c r="GI541" s="6">
        <v>9004.0117932597659</v>
      </c>
      <c r="GJ541" s="14">
        <v>0.51074630601039572</v>
      </c>
      <c r="GK541" s="14">
        <v>0.50829519786160959</v>
      </c>
      <c r="GL541" s="14">
        <v>0.48925369398960417</v>
      </c>
      <c r="GM541" s="14">
        <v>0.4917048021383903</v>
      </c>
      <c r="GO541" s="5">
        <v>338.16872463277008</v>
      </c>
      <c r="GP541" s="5">
        <v>293.33520778489498</v>
      </c>
      <c r="GQ541" s="5">
        <v>527.27910984145694</v>
      </c>
      <c r="GR541" s="5">
        <v>404.20319246551543</v>
      </c>
      <c r="GS541" s="5">
        <v>334.50205195691484</v>
      </c>
      <c r="GT541" s="5">
        <v>289.18266033348181</v>
      </c>
      <c r="GU541" s="5">
        <v>254.29573314828914</v>
      </c>
      <c r="GV541" s="39" t="s">
        <v>392</v>
      </c>
      <c r="GW541" s="5">
        <v>468.76388888888891</v>
      </c>
      <c r="GX541" s="5">
        <v>351.57291666666669</v>
      </c>
      <c r="GY541" s="5">
        <v>281.25833333333333</v>
      </c>
      <c r="GZ541" s="5">
        <v>248.18079879493993</v>
      </c>
      <c r="HA541" s="5">
        <v>229.8919505212948</v>
      </c>
      <c r="HB541" s="39">
        <v>261.26430174215682</v>
      </c>
      <c r="HC541" s="5">
        <v>342.75084881396981</v>
      </c>
      <c r="HD541" s="5">
        <v>277.02900980034525</v>
      </c>
      <c r="HE541" s="5">
        <v>275.25710238124515</v>
      </c>
      <c r="HF541" s="5">
        <v>249.22464978663214</v>
      </c>
      <c r="HG541" s="5">
        <v>233.7008417861702</v>
      </c>
      <c r="HH541" s="39">
        <v>275.72713870760782</v>
      </c>
      <c r="HI541" s="16"/>
      <c r="HJ541" s="19" t="str">
        <f t="shared" ref="HJ541:HK541" si="1746">HJ540</f>
        <v>On</v>
      </c>
      <c r="HK541" s="1" t="str">
        <f t="shared" si="1746"/>
        <v>On</v>
      </c>
      <c r="HL541" s="16"/>
      <c r="HM541" s="639">
        <f t="shared" si="1636"/>
        <v>5.1181272167489952E-2</v>
      </c>
      <c r="HN541" s="639">
        <f t="shared" si="1637"/>
        <v>4.2792051795134348E-3</v>
      </c>
      <c r="HO541" s="639">
        <f t="shared" si="1638"/>
        <v>7.4145241462331068E-3</v>
      </c>
      <c r="HP541" s="644">
        <f>(FT541*$GD541-HM541)/$JF541*INDEX(Input!$1:$1048576,$JG$93,$C541*2+6)</f>
        <v>106.78437966174604</v>
      </c>
      <c r="HQ541" s="644">
        <f>(FU541*$GD541-HN541)/$JF541*INDEX(Input!$1:$1048576,$JG$93,$C541*2+6)</f>
        <v>-2.5652810112016797</v>
      </c>
      <c r="HR541" s="644">
        <f>(FV541*$GD541-HO541)/$JF541*INDEX(Input!$1:$1048576,$JG$93,$C541*2+6)</f>
        <v>-1.8270809746591612</v>
      </c>
      <c r="HS541" s="644">
        <f t="shared" si="1639"/>
        <v>-21.395603147102666</v>
      </c>
      <c r="HT541" s="644">
        <f t="shared" si="1640"/>
        <v>19.300601387386706</v>
      </c>
      <c r="HU541" s="644">
        <f t="shared" si="1641"/>
        <v>14.940785161250176</v>
      </c>
      <c r="HV541" s="648">
        <f t="shared" si="1642"/>
        <v>0</v>
      </c>
      <c r="HW541" s="648">
        <f t="shared" si="1643"/>
        <v>0</v>
      </c>
      <c r="HX541" s="648">
        <f t="shared" si="1644"/>
        <v>0</v>
      </c>
      <c r="HY541" s="644">
        <f>INDEX(Input!$1:$1048576,HY$93,$C541*2+6)*INDEX(Input!$1:$1048576,$JG$93,$C541*2+6)</f>
        <v>345</v>
      </c>
      <c r="HZ541" s="644">
        <f>INDEX(Input!$1:$1048576,HZ$93,$C541*2+6)*INDEX(Input!$1:$1048576,$JG$93,$C541*2+6)</f>
        <v>299</v>
      </c>
      <c r="IA541" s="644">
        <f>INDEX(Input!$1:$1048576,IA$93,$C541*2+6)*INDEX(Input!$1:$1048576,$JG$93,$C541*2+6)</f>
        <v>98</v>
      </c>
      <c r="IB541" s="644">
        <f t="shared" si="1668"/>
        <v>430.38877651464338</v>
      </c>
      <c r="IC541" s="644">
        <f t="shared" si="1669"/>
        <v>315.73532037618497</v>
      </c>
      <c r="ID541" s="644">
        <f>IF(AND(INDEX(Input!$1:$1048576,IA$93,$C541*2+7)="TOS",Y541&lt;=INDEX(Y:Y,MATCH(C541*1000+2,A:A))),0,1)*MAX(IA541+HR541+HU541+HX541,0%)</f>
        <v>111.11370418659101</v>
      </c>
      <c r="IE541" s="128">
        <f t="shared" ref="IE541:IE542" si="1747">IB541/SUM($IB541:$ID541)</f>
        <v>0.50206462661085316</v>
      </c>
      <c r="IF541" s="128">
        <f t="shared" ref="IF541:IF542" si="1748">IC541/SUM($IB541:$ID541)</f>
        <v>0.36831707605445424</v>
      </c>
      <c r="IG541" s="128">
        <f t="shared" si="1646"/>
        <v>0.1296182973346926</v>
      </c>
      <c r="IH541" s="21"/>
      <c r="II541" s="19">
        <f t="shared" si="1647"/>
        <v>1200</v>
      </c>
      <c r="IJ541" s="19">
        <f t="shared" si="1648"/>
        <v>2231.5440334087361</v>
      </c>
      <c r="IK541" s="19">
        <f t="shared" si="1649"/>
        <v>-2048.0908300335955</v>
      </c>
      <c r="IL541" s="19">
        <f t="shared" si="1671"/>
        <v>1150</v>
      </c>
      <c r="IM541" s="19">
        <f t="shared" si="1650"/>
        <v>400.13827223675162</v>
      </c>
      <c r="IN541" s="19">
        <f t="shared" si="1651"/>
        <v>685</v>
      </c>
      <c r="IO541" s="39">
        <f t="shared" si="1652"/>
        <v>0</v>
      </c>
      <c r="IP541" s="39">
        <f t="shared" si="1653"/>
        <v>0</v>
      </c>
      <c r="IQ541" s="39">
        <f t="shared" si="1654"/>
        <v>0</v>
      </c>
      <c r="IR541" s="39">
        <v>0</v>
      </c>
      <c r="IS541" s="39">
        <v>0</v>
      </c>
      <c r="IT541" s="39">
        <v>0</v>
      </c>
      <c r="IU541" s="39">
        <v>0</v>
      </c>
      <c r="IV541" s="39">
        <v>0</v>
      </c>
      <c r="IW541" s="39">
        <v>0</v>
      </c>
      <c r="IX541" s="39">
        <f>INDEX(Input!$1:$1048576,IX$93,$C541*2+6)+INDEX(Input!$1:$1048576,IX$94,$C541*2+6)</f>
        <v>1600</v>
      </c>
      <c r="IY541" s="39">
        <f>INDEX(Input!$1:$1048576,IY$93,$C541*2+6)+INDEX(Input!$1:$1048576,IY$94,$C541*2+6)</f>
        <v>2503.5492916397525</v>
      </c>
      <c r="IZ541" s="39">
        <f>INDEX(Input!$1:$1048576,IZ$93,$C541*2+6)+INDEX(Input!$1:$1048576,IZ$94,$C541*2+6)</f>
        <v>5413.7109265464023</v>
      </c>
      <c r="JA541" s="19">
        <f t="shared" si="1672"/>
        <v>2750</v>
      </c>
      <c r="JB541" s="19">
        <f t="shared" si="1673"/>
        <v>2903.6875638765041</v>
      </c>
      <c r="JC541" s="19">
        <f t="shared" si="1674"/>
        <v>6098.7109265464023</v>
      </c>
      <c r="JD541" s="19">
        <f t="shared" si="1675"/>
        <v>3240.6599627179517</v>
      </c>
      <c r="JE541" s="21"/>
      <c r="JF541" s="1">
        <f t="shared" si="1655"/>
        <v>6.2875001493236493E-2</v>
      </c>
      <c r="JG541" s="15">
        <f>INDEX(Input!$1:$1048576,JG$93,$C541*2+6)/(1+VLOOKUP(C541*1000+INDEX(Input!$1:$1048576,JG$93+1,$C541*2+6),$A:$KK,$JK$92,FALSE))</f>
        <v>742</v>
      </c>
      <c r="JH541" s="1">
        <f t="shared" si="1676"/>
        <v>0.13799463298636819</v>
      </c>
      <c r="JI541" s="1">
        <f t="shared" si="1677"/>
        <v>1.7312376551932906E-2</v>
      </c>
      <c r="JJ541" s="1">
        <f t="shared" ref="JJ541:JJ542" si="1749">SUM(HV541:HX541)/SUM(HY541:IA541)</f>
        <v>0</v>
      </c>
      <c r="JK541" s="1">
        <f t="shared" ref="JK541:JK542" si="1750">SUM(JH541:JJ541)</f>
        <v>0.15530700953830109</v>
      </c>
      <c r="JL541" s="15">
        <f t="shared" si="1680"/>
        <v>115.23780107741941</v>
      </c>
      <c r="JM541" s="15">
        <f t="shared" si="1706"/>
        <v>857.23780107741936</v>
      </c>
      <c r="JN541" s="21"/>
      <c r="JO541" s="19">
        <f>INDEX(Input!$1:$1048576,JO$93,$C541*2+6)</f>
        <v>5908.5</v>
      </c>
      <c r="JP541" s="19">
        <f>INDEX(Input!$1:$1048576,JP$93,$C541*2+6)</f>
        <v>2467.7963733178344</v>
      </c>
      <c r="JQ541" s="39">
        <f t="shared" si="1692"/>
        <v>2667.8400372820483</v>
      </c>
      <c r="JR541" s="39">
        <f t="shared" si="1709"/>
        <v>772.86358940011723</v>
      </c>
      <c r="JS541" s="39">
        <f t="shared" si="1694"/>
        <v>2.7780162204799685</v>
      </c>
      <c r="JT541" s="39">
        <f t="shared" si="1682"/>
        <v>0.94691131147813545</v>
      </c>
      <c r="JU541" s="385">
        <f>(JQ541*JM541-INDEX(Input!$1:$1048576,Input!A$18,$C541*2+6)*JL541*INDEX(Input!$1:$1048576,Input!A$19,$C541*2+6))/1000000</f>
        <v>2.2869733271859638</v>
      </c>
      <c r="JV541" s="39">
        <f t="shared" si="1716"/>
        <v>-0.26602876381220275</v>
      </c>
      <c r="JW541" s="1">
        <f t="shared" si="1707"/>
        <v>-0.1042023289954265</v>
      </c>
      <c r="JX541" s="19">
        <f t="shared" si="1698"/>
        <v>8217.0199589454041</v>
      </c>
      <c r="JZ541" s="341"/>
      <c r="KA541" s="342"/>
      <c r="KB541" s="469">
        <f t="shared" si="1695"/>
        <v>2.4623520912331753</v>
      </c>
      <c r="KI541" s="473">
        <f t="shared" ref="KI541:KI542" si="1751">$JM541*IE541-$JG541*HY541/SUM($HY541:$IA541)</f>
        <v>85.388776514643382</v>
      </c>
      <c r="KJ541" s="473">
        <f t="shared" ref="KJ541:KJ542" si="1752">$JM541*IF541-$JG541*HZ541/SUM($HY541:$IA541)</f>
        <v>16.735320376184973</v>
      </c>
      <c r="KK541" s="473">
        <f t="shared" si="1684"/>
        <v>13.113704186591008</v>
      </c>
      <c r="KN541" s="544">
        <f t="shared" si="1699"/>
        <v>5002</v>
      </c>
      <c r="KO541" s="541">
        <f t="shared" si="1659"/>
        <v>7.3492448263222876E-2</v>
      </c>
      <c r="KP541" s="546">
        <f t="shared" si="1660"/>
        <v>423.24901860310433</v>
      </c>
      <c r="KQ541" s="546">
        <f t="shared" si="1661"/>
        <v>381.88751656624254</v>
      </c>
      <c r="KR541" s="548">
        <f t="shared" si="1662"/>
        <v>2.9234222126084513</v>
      </c>
      <c r="KS541" s="548">
        <f t="shared" si="1663"/>
        <v>3.2400524467900844</v>
      </c>
      <c r="KT541" s="473">
        <f t="shared" si="1697"/>
        <v>389.37465324503302</v>
      </c>
      <c r="KU541" s="663">
        <f t="shared" si="1685"/>
        <v>7.3025765988892228</v>
      </c>
      <c r="KV541" s="117"/>
    </row>
    <row r="542" spans="1:308" s="26" customFormat="1" ht="15">
      <c r="A542" s="561">
        <f t="shared" si="1664"/>
        <v>5042</v>
      </c>
      <c r="B542" s="561">
        <f t="shared" si="1686"/>
        <v>42</v>
      </c>
      <c r="C542" s="561">
        <f t="shared" si="1687"/>
        <v>5</v>
      </c>
      <c r="D542" s="561" t="str">
        <f t="shared" si="1736"/>
        <v xml:space="preserve">1000 CC, 360 Lease, </v>
      </c>
      <c r="E542" s="475">
        <f>INDEX(Input!$1:$1048576,E$93,$C542*2+MIN($B542,2)+5)
+INDEX(Scenarios!E$121:E$200,MATCH($B542,Scenarios!$B$121:$B$200,0))</f>
        <v>2250</v>
      </c>
      <c r="F542" s="475">
        <f>INDEX(Input!$1:$1048576,F$93,$C542*2+MIN($B542,2)+5)
+INDEX(Scenarios!F$121:F$200,MATCH($B542,Scenarios!$B$121:$B$200,0))</f>
        <v>0</v>
      </c>
      <c r="G542" s="475">
        <f>INDEX(Input!$1:$1048576,G$93,$C542*2+MIN($B542,2)+5)
+INDEX(Scenarios!G$121:G$200,MATCH($B542,Scenarios!$B$121:$B$200,0))</f>
        <v>0</v>
      </c>
      <c r="H542" s="475">
        <f>INDEX(Input!$1:$1048576,H$93,$C542*2+MIN($B542,2)+5)
+INDEX(Scenarios!H$121:H$200,MATCH($B542,Scenarios!$B$121:$B$200,0))</f>
        <v>0</v>
      </c>
      <c r="I542" s="476">
        <f>INDEX(Input!$1:$1048576,I$93,$C542*2+MIN($B542,2)+5)</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+INDEX(Scenarios!Q$121:Q$200,MATCH($B542,Scenarios!$B$121:$B$200,0))</f>
        <v>0</v>
      </c>
      <c r="R542" s="478">
        <f>IFERROR(MAX(0,INDEX(Input!$1:$1048576,R$93,$C542*2+MIN($B542,2)+5)
+INDEX(Scenarios!R$121:R$200,MATCH($B542,Scenarios!$B$121:$B$200,0)),),"Market")</f>
        <v>0</v>
      </c>
      <c r="S542" s="478">
        <f>IFERROR(MAX(0,INDEX(Input!$1:$1048576,S$93,$C542*2+MIN($B542,2)+5)
+INDEX(Scenarios!S$121:S$200,MATCH($B542,Scenarios!$B$121:$B$200,0)),),"Market")</f>
        <v>0</v>
      </c>
      <c r="T542" s="478">
        <f>IFERROR(MAX(0,INDEX(Input!$1:$1048576,T$93,$C542*2+MIN($B542,2)+5)
+INDEX(Scenarios!T$121:T$200,MATCH($B542,Scenarios!$B$121:$B$200,0)),),"Market")</f>
        <v>0</v>
      </c>
      <c r="U542" s="478">
        <f>IFERROR(MAX(0,INDEX(Input!$1:$1048576,U$93,$C542*2+MIN($B542,2)+5)
+INDEX(Scenarios!U$121:U$200,MATCH($B542,Scenarios!$B$121:$B$200,0)),),"Market")</f>
        <v>0</v>
      </c>
      <c r="V542" s="478">
        <f>IFERROR(MAX(0,INDEX(Input!$1:$1048576,V$93,$C542*2+MIN($B542,2)+5)
+INDEX(Scenarios!V$121:V$200,MATCH($B542,Scenarios!$B$121:$B$200,0)),),"Market")</f>
        <v>1.9E-2</v>
      </c>
      <c r="W542" s="863">
        <f>IFERROR(MAX(0,INDEX(Input!$1:$1048576,W$93,$C542*2+MIN($B542,2)+5)-0%,),"Market")</f>
        <v>3.9E-2</v>
      </c>
      <c r="X542" s="476" t="str">
        <f>INDEX(Input!$1:$1048576,X$93,$C542*2+MIN($B542,2)+5)</f>
        <v>Y</v>
      </c>
      <c r="Y542" s="475">
        <f>INDEX(Input!$1:$1048576,Y$93,$C542*2+MIN($B542,2)+5)
++INDEX(Scenarios!Y$121:Y$200,MATCH($B542,Scenarios!$B$121:$B$200,0))</f>
        <v>-738.3618966787526</v>
      </c>
      <c r="Z542" s="477">
        <f>INDEX(Input!$1:$1048576,Z$93,$C542*2+MIN($B542,2)+5)
+INDEX(Scenarios!Z$121:Z$200,MATCH($B542,Scenarios!$B$121:$B$200,0))</f>
        <v>0</v>
      </c>
      <c r="AA542" s="475">
        <f>INDEX(Input!$1:$1048576,AA$93,$C542*2+MIN($B542,2)+5)</f>
        <v>500</v>
      </c>
      <c r="AB542" s="476">
        <f>INDEX(Input!$1:$1048576,AB$93,$C542*2+MIN($B542,2)+5)</f>
        <v>0.43</v>
      </c>
      <c r="AC542" s="475">
        <f>INDEX(Input!$1:$1048576,AC$93,$C542*2+MIN($B542,2)+5)
+INDEX(Scenarios!AC$121:AC$200,MATCH($B542,Scenarios!$B$121:$B$200,0))</f>
        <v>0</v>
      </c>
      <c r="AD542" s="476">
        <f>INDEX(Input!$1:$1048576,AD$93,$C542*2+MIN($B542,2)+5)</f>
        <v>0.35</v>
      </c>
      <c r="AE542" s="475">
        <f>INDEX(Input!$1:$1048576,AE$93,$C542*2+MIN($B542,2)+5)
+INDEX(Scenarios!AE$121:AE$200,MATCH($B542,Scenarios!$B$121:$B$200,0))</f>
        <v>0</v>
      </c>
      <c r="AF542" s="476">
        <f>INDEX(Input!$1:$1048576,AF$93,$C542*2+MIN($B542,2)+5)</f>
        <v>1</v>
      </c>
      <c r="AG542" s="475">
        <f>INDEX(Input!$1:$1048576,AG$93,$C542*2+MIN($B542,2)+5)
+INDEX(Scenarios!AG$121:AG$200,MATCH($B542,Scenarios!$B$121:$B$200,0))</f>
        <v>0</v>
      </c>
      <c r="AH542" s="476">
        <f>INDEX(Input!$1:$1048576,AH$93,$C542*2+MIN($B542,2)+5)</f>
        <v>1</v>
      </c>
      <c r="AI542" s="475">
        <f>INDEX(Input!$1:$1048576,AI$93,$C542*2+MIN($B542,2)+5)
+INDEX(Scenarios!AI$121:AI$200,MATCH($B542,Scenarios!$B$121:$B$200,0))</f>
        <v>0</v>
      </c>
      <c r="AJ542" s="476">
        <f>INDEX(Input!$1:$1048576,AJ$93,$C542*2+MIN($B542,2)+5)</f>
        <v>0.35</v>
      </c>
      <c r="AK542" s="150">
        <f>ROUND(INDEX(Input!$1:$1048576,AK$93,$C541*2+MIN($B542,1)+5)+(Y542-VLOOKUP($C542*1000+1,$A:$HH,Y$92,FALSE)),0)</f>
        <v>4952</v>
      </c>
      <c r="AL542" s="150">
        <f>ROUND(INDEX(Input!$1:$1048576,AL$93,$C541*2+MIN($B542,1)+5)-(Y542-VLOOKUP($C542*1000+1,$A:$HH,Y$92,FALSE))/36,0)</f>
        <v>4733</v>
      </c>
      <c r="AM542" s="32" t="str">
        <f t="shared" si="1665"/>
        <v>std/std/std/std</v>
      </c>
      <c r="AN542" s="32" t="str">
        <f t="shared" si="1666"/>
        <v>$0 + 0/0/0/1.9/3.9</v>
      </c>
      <c r="AO542" s="32" t="str">
        <f t="shared" si="1667"/>
        <v>0/0/0/1.9/3.9</v>
      </c>
      <c r="AP542" s="32" t="str">
        <f t="shared" si="1621"/>
        <v>0/0.9/1.9/3.9</v>
      </c>
      <c r="AQ542" s="536">
        <f t="shared" si="1620"/>
        <v>0.5174106920144369</v>
      </c>
      <c r="AR542" s="32"/>
      <c r="AS542" s="302"/>
      <c r="AT542" s="3">
        <f t="shared" si="1688"/>
        <v>42</v>
      </c>
      <c r="AU542" s="41" t="s">
        <v>121</v>
      </c>
      <c r="AV542" s="41" t="s">
        <v>116</v>
      </c>
      <c r="AW542" s="41" t="str">
        <f>INDEX(Input!$1:$1048576,AW$93,$C542*2+6)</f>
        <v>Kia</v>
      </c>
      <c r="AX542" s="41" t="str">
        <f>INDEX(Input!$1:$1048576,AX$93,$C542*2+6)</f>
        <v>Kia-LR - R2</v>
      </c>
      <c r="AY542" s="41" t="str">
        <f>IF(LEN(D542)=0,"",INDEX(Input!$1:$1048576,AY$93,$C542*2+6))</f>
        <v>Compact Conventional/Sporty Car (43)</v>
      </c>
      <c r="AZ542" s="41" t="str">
        <f>INDEX(Input!$1:$1048576,AZ$93,$C542*2+6)</f>
        <v>Kia Forte</v>
      </c>
      <c r="BA542" s="3">
        <f>INDEX(Input!$1:$1048576,BA$93,$C542*2+6)</f>
        <v>2020</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19695</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622"/>
        <v>2250</v>
      </c>
      <c r="CJ542" s="16" t="str">
        <f>INDEX(Input!$1:$1048576,CJ$93,$C542*2+6)</f>
        <v>N</v>
      </c>
      <c r="CK542" s="1" t="str">
        <f t="shared" si="1623"/>
        <v>Market</v>
      </c>
      <c r="CL542" s="1" t="str">
        <f t="shared" si="1624"/>
        <v>Market</v>
      </c>
      <c r="CM542" s="1" t="str">
        <f t="shared" si="1625"/>
        <v>Market</v>
      </c>
      <c r="CN542" s="1" t="str">
        <f t="shared" si="1626"/>
        <v>Market</v>
      </c>
      <c r="CO542" s="1" t="str">
        <f t="shared" si="1627"/>
        <v>Market</v>
      </c>
      <c r="CP542" s="304">
        <f t="shared" si="1628"/>
        <v>215</v>
      </c>
      <c r="CQ542" s="1">
        <f t="shared" si="1629"/>
        <v>0</v>
      </c>
      <c r="CR542" s="1">
        <f t="shared" si="1630"/>
        <v>0</v>
      </c>
      <c r="CS542" s="1">
        <f t="shared" si="1631"/>
        <v>0</v>
      </c>
      <c r="CT542" s="1">
        <f t="shared" si="1632"/>
        <v>1.9E-2</v>
      </c>
      <c r="CU542" s="1">
        <f t="shared" si="1633"/>
        <v>3.9E-2</v>
      </c>
      <c r="CV542" s="304">
        <f t="shared" si="1634"/>
        <v>-738.3618966787526</v>
      </c>
      <c r="CW542" s="20" t="s">
        <v>122</v>
      </c>
      <c r="CX542" s="20" t="s">
        <v>122</v>
      </c>
      <c r="CY542" s="20" t="s">
        <v>122</v>
      </c>
      <c r="CZ542" s="20" t="s">
        <v>122</v>
      </c>
      <c r="DA542" s="20" t="s">
        <v>122</v>
      </c>
      <c r="DB542" s="503">
        <f t="shared" si="1635"/>
        <v>0</v>
      </c>
      <c r="DC542" s="127">
        <v>0</v>
      </c>
      <c r="DD542" s="127">
        <v>0</v>
      </c>
      <c r="DE542" s="127">
        <v>0</v>
      </c>
      <c r="DF542" s="127">
        <v>0</v>
      </c>
      <c r="DG542" s="127">
        <v>0</v>
      </c>
      <c r="DH542" s="127">
        <v>0</v>
      </c>
      <c r="DI542" s="127">
        <v>0</v>
      </c>
      <c r="DJ542" s="127">
        <v>0</v>
      </c>
      <c r="DK542" s="127">
        <v>0</v>
      </c>
      <c r="DL542" s="127">
        <v>0</v>
      </c>
      <c r="DM542" s="304">
        <f>INDEX(Input!$1:$1048576,DM$93,$C542*2+6)</f>
        <v>20731.578947368424</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4.6119617833559626E-2</v>
      </c>
      <c r="DZ542" s="7">
        <v>0</v>
      </c>
      <c r="EA542" s="7">
        <v>0.80498102866971821</v>
      </c>
      <c r="EB542" s="7">
        <v>0</v>
      </c>
      <c r="EC542" s="7">
        <v>0</v>
      </c>
      <c r="ED542" s="7">
        <v>0</v>
      </c>
      <c r="EE542" s="7">
        <v>0</v>
      </c>
      <c r="EF542" s="7">
        <v>0</v>
      </c>
      <c r="EG542" s="7">
        <v>0</v>
      </c>
      <c r="EH542" s="7">
        <v>1.4459230680678312E-2</v>
      </c>
      <c r="EI542" s="7">
        <v>1.8188892908562366E-2</v>
      </c>
      <c r="EJ542" s="7">
        <v>0.26802860470142875</v>
      </c>
      <c r="EK542" s="7">
        <v>0.65296828367526638</v>
      </c>
      <c r="EL542" s="7">
        <v>4.6354988034064876E-2</v>
      </c>
      <c r="EM542" s="7">
        <v>5.3417041839696658E-2</v>
      </c>
      <c r="EN542" s="7">
        <v>4.7841096541995108E-2</v>
      </c>
      <c r="EO542" s="7">
        <v>0.58177635261555005</v>
      </c>
      <c r="EP542" s="7">
        <v>0.25247155740263505</v>
      </c>
      <c r="EQ542" s="7">
        <v>7.149601255539062E-2</v>
      </c>
      <c r="ER542" s="7">
        <v>4.641498088442951E-2</v>
      </c>
      <c r="ES542" s="7">
        <v>9.5482311657025601E-2</v>
      </c>
      <c r="ET542" s="7">
        <v>0.14889935349672212</v>
      </c>
      <c r="EU542" s="6">
        <v>2600</v>
      </c>
      <c r="EV542" s="6">
        <v>0</v>
      </c>
      <c r="EW542" s="6">
        <v>2600</v>
      </c>
      <c r="EX542" s="6">
        <v>0</v>
      </c>
      <c r="EY542" s="6">
        <v>2631.7198998809708</v>
      </c>
      <c r="EZ542" s="6">
        <v>-1363.0908300335955</v>
      </c>
      <c r="FA542" s="6">
        <v>0</v>
      </c>
      <c r="FB542" s="6">
        <v>0</v>
      </c>
      <c r="FC542" s="6">
        <v>0</v>
      </c>
      <c r="FD542" s="6">
        <v>0</v>
      </c>
      <c r="FE542" s="6">
        <v>0</v>
      </c>
      <c r="FF542" s="6">
        <v>0</v>
      </c>
      <c r="FG542" s="6">
        <v>0</v>
      </c>
      <c r="FH542" s="6">
        <v>1153.9932555177836</v>
      </c>
      <c r="FI542" s="6">
        <v>1531.4299904380621</v>
      </c>
      <c r="FJ542" s="6">
        <v>2070.7205842538224</v>
      </c>
      <c r="FK542" s="6">
        <v>1746.9903521590431</v>
      </c>
      <c r="FL542" s="6">
        <v>893.91433563489409</v>
      </c>
      <c r="FM542" s="6">
        <v>1781.7198998809706</v>
      </c>
      <c r="FN542" s="6">
        <v>0</v>
      </c>
      <c r="FO542" s="6">
        <v>0</v>
      </c>
      <c r="FP542" s="6">
        <v>0</v>
      </c>
      <c r="FQ542" s="6">
        <v>0</v>
      </c>
      <c r="FR542" s="6">
        <v>0</v>
      </c>
      <c r="FS542" s="6">
        <v>0</v>
      </c>
      <c r="FT542" s="7">
        <v>0.85110064650327788</v>
      </c>
      <c r="FU542" s="7">
        <v>5.3417041839696658E-2</v>
      </c>
      <c r="FV542" s="7">
        <v>9.5482311657025601E-2</v>
      </c>
      <c r="FW542" s="6">
        <v>2600</v>
      </c>
      <c r="FX542" s="6">
        <v>2631.7198998809708</v>
      </c>
      <c r="FY542" s="6">
        <v>-1363.0908300335955</v>
      </c>
      <c r="FZ542" s="6">
        <v>2411.9063952864503</v>
      </c>
      <c r="GA542" s="6">
        <v>2223.2893094607252</v>
      </c>
      <c r="GB542" s="6">
        <v>17471.710690539276</v>
      </c>
      <c r="GC542" s="7">
        <v>7.6138913542514425E-2</v>
      </c>
      <c r="GD542" s="7">
        <v>7.3459510768424718E-2</v>
      </c>
      <c r="GE542" s="7"/>
      <c r="GF542" s="7"/>
      <c r="GG542" s="7">
        <v>-3.5190977247049664E-2</v>
      </c>
      <c r="GH542" s="42">
        <v>3.6745679419574331</v>
      </c>
      <c r="GI542" s="6">
        <v>7583.1031191649827</v>
      </c>
      <c r="GJ542" s="14">
        <v>0.51074630601039572</v>
      </c>
      <c r="GK542" s="14">
        <v>0.5082951978616097</v>
      </c>
      <c r="GL542" s="14">
        <v>0.48925369398960444</v>
      </c>
      <c r="GM542" s="14">
        <v>0.49170480213839035</v>
      </c>
      <c r="GO542" s="5">
        <v>338.16872463277008</v>
      </c>
      <c r="GP542" s="5">
        <v>288.56568471597211</v>
      </c>
      <c r="GQ542" s="5">
        <v>527.27910984145694</v>
      </c>
      <c r="GR542" s="5">
        <v>404.20319246551543</v>
      </c>
      <c r="GS542" s="5">
        <v>334.50205195691484</v>
      </c>
      <c r="GT542" s="5">
        <v>289.18266033348181</v>
      </c>
      <c r="GU542" s="5">
        <v>254.29573314828914</v>
      </c>
      <c r="GV542" s="39" t="s">
        <v>392</v>
      </c>
      <c r="GW542" s="5">
        <v>468.76388888888891</v>
      </c>
      <c r="GX542" s="5">
        <v>351.57291666666669</v>
      </c>
      <c r="GY542" s="5">
        <v>281.25833333333333</v>
      </c>
      <c r="GZ542" s="5">
        <v>248.18079879493993</v>
      </c>
      <c r="HA542" s="5">
        <v>229.8919505212948</v>
      </c>
      <c r="HB542" s="39">
        <v>261.26879482483093</v>
      </c>
      <c r="HC542" s="5">
        <v>342.75084881396981</v>
      </c>
      <c r="HD542" s="5">
        <v>277.02900980034525</v>
      </c>
      <c r="HE542" s="5">
        <v>275.25710238124515</v>
      </c>
      <c r="HF542" s="5">
        <v>249.22464978663214</v>
      </c>
      <c r="HG542" s="5">
        <v>233.7008417861702</v>
      </c>
      <c r="HH542" s="39">
        <v>275.72688145706979</v>
      </c>
      <c r="HI542" s="16"/>
      <c r="HJ542" s="19" t="str">
        <f t="shared" ref="HJ542:HK542" si="1753">HJ541</f>
        <v>On</v>
      </c>
      <c r="HK542" s="1" t="str">
        <f t="shared" si="1753"/>
        <v>On</v>
      </c>
      <c r="HL542" s="16"/>
      <c r="HM542" s="639">
        <f t="shared" si="1636"/>
        <v>5.1181272167489952E-2</v>
      </c>
      <c r="HN542" s="639">
        <f t="shared" si="1637"/>
        <v>4.2792051795134348E-3</v>
      </c>
      <c r="HO542" s="639">
        <f t="shared" si="1638"/>
        <v>7.4145241462331068E-3</v>
      </c>
      <c r="HP542" s="644">
        <f>(FT542*$GD542-HM542)/$JF542*INDEX(Input!$1:$1048576,$JG$93,$C542*2+6)</f>
        <v>133.82747014150962</v>
      </c>
      <c r="HQ542" s="644">
        <f>(FU542*$GD542-HN542)/$JF542*INDEX(Input!$1:$1048576,$JG$93,$C542*2+6)</f>
        <v>-4.1919655640692604</v>
      </c>
      <c r="HR542" s="644">
        <f>(FV542*$GD542-HO542)/$JF542*INDEX(Input!$1:$1048576,$JG$93,$C542*2+6)</f>
        <v>-4.7256724395516132</v>
      </c>
      <c r="HS542" s="644">
        <f t="shared" si="1639"/>
        <v>-26.028604983793468</v>
      </c>
      <c r="HT542" s="644">
        <f t="shared" si="1640"/>
        <v>18.740617504692782</v>
      </c>
      <c r="HU542" s="644">
        <f t="shared" si="1641"/>
        <v>15.502833176593942</v>
      </c>
      <c r="HV542" s="648">
        <f t="shared" si="1642"/>
        <v>0</v>
      </c>
      <c r="HW542" s="648">
        <f t="shared" si="1643"/>
        <v>0</v>
      </c>
      <c r="HX542" s="648">
        <f t="shared" si="1644"/>
        <v>0</v>
      </c>
      <c r="HY542" s="644">
        <f>INDEX(Input!$1:$1048576,HY$93,$C542*2+6)*INDEX(Input!$1:$1048576,$JG$93,$C542*2+6)</f>
        <v>345</v>
      </c>
      <c r="HZ542" s="644">
        <f>INDEX(Input!$1:$1048576,HZ$93,$C542*2+6)*INDEX(Input!$1:$1048576,$JG$93,$C542*2+6)</f>
        <v>299</v>
      </c>
      <c r="IA542" s="644">
        <f>INDEX(Input!$1:$1048576,IA$93,$C542*2+6)*INDEX(Input!$1:$1048576,$JG$93,$C542*2+6)</f>
        <v>98</v>
      </c>
      <c r="IB542" s="644">
        <f t="shared" si="1668"/>
        <v>452.79886515771614</v>
      </c>
      <c r="IC542" s="644">
        <f t="shared" si="1669"/>
        <v>313.54865194062353</v>
      </c>
      <c r="ID542" s="644">
        <f>IF(AND(INDEX(Input!$1:$1048576,IA$93,$C542*2+7)="TOS",Y542&lt;=INDEX(Y:Y,MATCH(C542*1000+2,A:A))),0,1)*MAX(IA542+HR542+HU542+HX542,0%)</f>
        <v>108.77716073704232</v>
      </c>
      <c r="IE542" s="128">
        <f t="shared" si="1747"/>
        <v>0.5174106920144369</v>
      </c>
      <c r="IF542" s="128">
        <f t="shared" si="1748"/>
        <v>0.35829026409835119</v>
      </c>
      <c r="IG542" s="128">
        <f t="shared" si="1646"/>
        <v>0.1242990438872119</v>
      </c>
      <c r="IH542" s="21"/>
      <c r="II542" s="19">
        <f t="shared" si="1647"/>
        <v>1200</v>
      </c>
      <c r="IJ542" s="19">
        <f t="shared" si="1648"/>
        <v>2231.5440334087361</v>
      </c>
      <c r="IK542" s="19">
        <f t="shared" si="1649"/>
        <v>-2048.0908300335955</v>
      </c>
      <c r="IL542" s="19">
        <f t="shared" si="1671"/>
        <v>1400</v>
      </c>
      <c r="IM542" s="19">
        <f t="shared" si="1650"/>
        <v>400.1758664722347</v>
      </c>
      <c r="IN542" s="19">
        <f t="shared" si="1651"/>
        <v>685</v>
      </c>
      <c r="IO542" s="39">
        <f t="shared" si="1652"/>
        <v>0</v>
      </c>
      <c r="IP542" s="39">
        <f t="shared" si="1653"/>
        <v>0</v>
      </c>
      <c r="IQ542" s="39">
        <f t="shared" si="1654"/>
        <v>0</v>
      </c>
      <c r="IR542" s="39">
        <v>0</v>
      </c>
      <c r="IS542" s="39">
        <v>0</v>
      </c>
      <c r="IT542" s="39">
        <v>0</v>
      </c>
      <c r="IU542" s="39">
        <v>0</v>
      </c>
      <c r="IV542" s="39">
        <v>0</v>
      </c>
      <c r="IW542" s="39">
        <v>0</v>
      </c>
      <c r="IX542" s="39">
        <f>INDEX(Input!$1:$1048576,IX$93,$C542*2+6)+INDEX(Input!$1:$1048576,IX$94,$C542*2+6)</f>
        <v>1600</v>
      </c>
      <c r="IY542" s="39">
        <f>INDEX(Input!$1:$1048576,IY$93,$C542*2+6)+INDEX(Input!$1:$1048576,IY$94,$C542*2+6)</f>
        <v>2503.5492916397525</v>
      </c>
      <c r="IZ542" s="39">
        <f>INDEX(Input!$1:$1048576,IZ$93,$C542*2+6)+INDEX(Input!$1:$1048576,IZ$94,$C542*2+6)</f>
        <v>5413.7109265464023</v>
      </c>
      <c r="JA542" s="19">
        <f t="shared" si="1672"/>
        <v>3000</v>
      </c>
      <c r="JB542" s="19">
        <f t="shared" si="1673"/>
        <v>2903.7251581119872</v>
      </c>
      <c r="JC542" s="19">
        <f t="shared" si="1674"/>
        <v>6098.7109265464023</v>
      </c>
      <c r="JD542" s="19">
        <f t="shared" si="1675"/>
        <v>3350.6724669264909</v>
      </c>
      <c r="JE542" s="21"/>
      <c r="JF542" s="1">
        <f t="shared" si="1655"/>
        <v>6.2875001493236493E-2</v>
      </c>
      <c r="JG542" s="15">
        <f>INDEX(Input!$1:$1048576,JG$93,$C542*2+6)/(1+VLOOKUP(C542*1000+INDEX(Input!$1:$1048576,JG$93+1,$C542*2+6),$A:$KK,$JK$92,FALSE))</f>
        <v>742</v>
      </c>
      <c r="JH542" s="1">
        <f t="shared" si="1676"/>
        <v>0.16834209183003876</v>
      </c>
      <c r="JI542" s="1">
        <f t="shared" si="1677"/>
        <v>1.1071220616567731E-2</v>
      </c>
      <c r="JJ542" s="1">
        <f t="shared" si="1749"/>
        <v>0</v>
      </c>
      <c r="JK542" s="1">
        <f t="shared" si="1750"/>
        <v>0.17941331244660649</v>
      </c>
      <c r="JL542" s="15">
        <f t="shared" si="1680"/>
        <v>133.12467783538202</v>
      </c>
      <c r="JM542" s="15">
        <f t="shared" si="1706"/>
        <v>875.12467783538204</v>
      </c>
      <c r="JN542" s="21"/>
      <c r="JO542" s="19">
        <f>INDEX(Input!$1:$1048576,JO$93,$C542*2+6)</f>
        <v>5908.5</v>
      </c>
      <c r="JP542" s="19">
        <f>INDEX(Input!$1:$1048576,JP$93,$C542*2+6)</f>
        <v>2467.7963733178344</v>
      </c>
      <c r="JQ542" s="39">
        <f t="shared" si="1692"/>
        <v>2557.8275330735091</v>
      </c>
      <c r="JR542" s="39">
        <f t="shared" si="1709"/>
        <v>882.87609360865645</v>
      </c>
      <c r="JS542" s="39">
        <f t="shared" si="1694"/>
        <v>2.9322561631509303</v>
      </c>
      <c r="JT542" s="39">
        <f t="shared" si="1682"/>
        <v>1.1011512541490973</v>
      </c>
      <c r="JU542" s="385">
        <f>(JQ542*JM542-INDEX(Input!$1:$1048576,Input!A$18,$C542*2+6)*JL542*INDEX(Input!$1:$1048576,Input!A$19,$C542*2+6))/1000000</f>
        <v>2.2384179958394248</v>
      </c>
      <c r="JV542" s="39">
        <f t="shared" si="1716"/>
        <v>-0.31458409515874175</v>
      </c>
      <c r="JW542" s="1">
        <f t="shared" si="1707"/>
        <v>-0.12322124461548969</v>
      </c>
      <c r="JX542" s="19">
        <f t="shared" si="1698"/>
        <v>8271.5787339650724</v>
      </c>
      <c r="JZ542" s="341"/>
      <c r="KA542" s="342"/>
      <c r="KB542" s="469">
        <f t="shared" si="1695"/>
        <v>2.4623520912331753</v>
      </c>
      <c r="KI542" s="473">
        <f t="shared" si="1751"/>
        <v>107.79886515771619</v>
      </c>
      <c r="KJ542" s="473">
        <f t="shared" si="1752"/>
        <v>14.548651940623529</v>
      </c>
      <c r="KK542" s="473">
        <f t="shared" si="1684"/>
        <v>10.777160737042323</v>
      </c>
      <c r="KN542" s="544">
        <f t="shared" si="1699"/>
        <v>5002</v>
      </c>
      <c r="KO542" s="541">
        <f t="shared" si="1659"/>
        <v>9.5891632128603854E-2</v>
      </c>
      <c r="KP542" s="546">
        <f t="shared" si="1660"/>
        <v>562.20874562613358</v>
      </c>
      <c r="KQ542" s="546">
        <f t="shared" si="1661"/>
        <v>491.90002077478175</v>
      </c>
      <c r="KR542" s="548">
        <f t="shared" si="1662"/>
        <v>2.871626155920187</v>
      </c>
      <c r="KS542" s="548">
        <f t="shared" si="1663"/>
        <v>3.2820761757321977</v>
      </c>
      <c r="KT542" s="473">
        <f t="shared" si="1697"/>
        <v>389.37465324503302</v>
      </c>
      <c r="KU542" s="663">
        <f t="shared" si="1685"/>
        <v>7.3328305567653862</v>
      </c>
      <c r="KV542" s="117"/>
    </row>
    <row r="543" spans="1:308" s="26" customFormat="1" ht="15">
      <c r="A543" s="561">
        <f t="shared" si="1664"/>
        <v>5043</v>
      </c>
      <c r="B543" s="561">
        <f t="shared" si="1686"/>
        <v>43</v>
      </c>
      <c r="C543" s="561">
        <f t="shared" si="1687"/>
        <v>5</v>
      </c>
      <c r="D543" s="561" t="str">
        <f t="shared" si="1736"/>
        <v xml:space="preserve">0/0/0.9/3.9, 360 Lease, </v>
      </c>
      <c r="E543" s="475">
        <f>INDEX(Input!$1:$1048576,E$93,$C543*2+MIN($B543,2)+5)
+INDEX(Scenarios!E$121:E$200,MATCH($B543,Scenarios!$B$121:$B$200,0))</f>
        <v>1250</v>
      </c>
      <c r="F543" s="475">
        <f>INDEX(Input!$1:$1048576,F$93,$C543*2+MIN($B543,2)+5)
+INDEX(Scenarios!F$121:F$200,MATCH($B543,Scenarios!$B$121:$B$200,0))</f>
        <v>0</v>
      </c>
      <c r="G543" s="475">
        <f>INDEX(Input!$1:$1048576,G$93,$C543*2+MIN($B543,2)+5)
+INDEX(Scenarios!G$121:G$200,MATCH($B543,Scenarios!$B$121:$B$200,0))</f>
        <v>0</v>
      </c>
      <c r="H543" s="475">
        <f>INDEX(Input!$1:$1048576,H$93,$C543*2+MIN($B543,2)+5)
+INDEX(Scenarios!H$121:H$200,MATCH($B543,Scenarios!$B$121:$B$200,0))</f>
        <v>0</v>
      </c>
      <c r="I543" s="476">
        <f>INDEX(Input!$1:$1048576,I$93,$C543*2+MIN($B543,2)+5)</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+INDEX(Scenarios!Q$121:Q$200,MATCH($B543,Scenarios!$B$121:$B$200,0))</f>
        <v>0</v>
      </c>
      <c r="R543" s="478">
        <f>IFERROR(MAX(0,INDEX(Input!$1:$1048576,R$93,$C543*2+MIN($B543,2)+5)
+INDEX(Scenarios!R$121:R$200,MATCH($B543,Scenarios!$B$121:$B$200,0)),),"Market")</f>
        <v>0</v>
      </c>
      <c r="S543" s="478">
        <f>IFERROR(MAX(0,INDEX(Input!$1:$1048576,S$93,$C543*2+MIN($B543,2)+5)
+INDEX(Scenarios!S$121:S$200,MATCH($B543,Scenarios!$B$121:$B$200,0)),),"Market")</f>
        <v>0</v>
      </c>
      <c r="T543" s="478">
        <f>IFERROR(MAX(0,INDEX(Input!$1:$1048576,T$93,$C543*2+MIN($B543,2)+5)
+INDEX(Scenarios!T$121:T$200,MATCH($B543,Scenarios!$B$121:$B$200,0)),),"Market")</f>
        <v>0</v>
      </c>
      <c r="U543" s="478">
        <f>IFERROR(MAX(0,INDEX(Input!$1:$1048576,U$93,$C543*2+MIN($B543,2)+5)
+INDEX(Scenarios!U$121:U$200,MATCH($B543,Scenarios!$B$121:$B$200,0)),),"Market")</f>
        <v>0</v>
      </c>
      <c r="V543" s="478">
        <f>IFERROR(MAX(0,INDEX(Input!$1:$1048576,V$93,$C543*2+MIN($B543,2)+5)
+INDEX(Scenarios!V$121:V$200,MATCH($B543,Scenarios!$B$121:$B$200,0)),),"Market")</f>
        <v>8.9999999999999993E-3</v>
      </c>
      <c r="W543" s="863">
        <f>IFERROR(MAX(0,INDEX(Input!$1:$1048576,W$93,$C543*2+MIN($B543,2)+5)-0%,),"Market")</f>
        <v>3.9E-2</v>
      </c>
      <c r="X543" s="476" t="str">
        <f>INDEX(Input!$1:$1048576,X$93,$C543*2+MIN($B543,2)+5)</f>
        <v>Y</v>
      </c>
      <c r="Y543" s="475">
        <f>INDEX(Input!$1:$1048576,Y$93,$C543*2+MIN($B543,2)+5)
++INDEX(Scenarios!Y$121:Y$200,MATCH($B543,Scenarios!$B$121:$B$200,0))</f>
        <v>-738.3618966787526</v>
      </c>
      <c r="Z543" s="477">
        <f>INDEX(Input!$1:$1048576,Z$93,$C543*2+MIN($B543,2)+5)
+INDEX(Scenarios!Z$121:Z$200,MATCH($B543,Scenarios!$B$121:$B$200,0))</f>
        <v>0</v>
      </c>
      <c r="AA543" s="475">
        <f>INDEX(Input!$1:$1048576,AA$93,$C543*2+MIN($B543,2)+5)</f>
        <v>500</v>
      </c>
      <c r="AB543" s="476">
        <f>INDEX(Input!$1:$1048576,AB$93,$C543*2+MIN($B543,2)+5)</f>
        <v>0.43</v>
      </c>
      <c r="AC543" s="475">
        <f>INDEX(Input!$1:$1048576,AC$93,$C543*2+MIN($B543,2)+5)
+INDEX(Scenarios!AC$121:AC$200,MATCH($B543,Scenarios!$B$121:$B$200,0))</f>
        <v>0</v>
      </c>
      <c r="AD543" s="476">
        <f>INDEX(Input!$1:$1048576,AD$93,$C543*2+MIN($B543,2)+5)</f>
        <v>0.35</v>
      </c>
      <c r="AE543" s="475">
        <f>INDEX(Input!$1:$1048576,AE$93,$C543*2+MIN($B543,2)+5)
+INDEX(Scenarios!AE$121:AE$200,MATCH($B543,Scenarios!$B$121:$B$200,0))</f>
        <v>0</v>
      </c>
      <c r="AF543" s="476">
        <f>INDEX(Input!$1:$1048576,AF$93,$C543*2+MIN($B543,2)+5)</f>
        <v>1</v>
      </c>
      <c r="AG543" s="475">
        <f>INDEX(Input!$1:$1048576,AG$93,$C543*2+MIN($B543,2)+5)
+INDEX(Scenarios!AG$121:AG$200,MATCH($B543,Scenarios!$B$121:$B$200,0))</f>
        <v>0</v>
      </c>
      <c r="AH543" s="476">
        <f>INDEX(Input!$1:$1048576,AH$93,$C543*2+MIN($B543,2)+5)</f>
        <v>1</v>
      </c>
      <c r="AI543" s="475">
        <f>INDEX(Input!$1:$1048576,AI$93,$C543*2+MIN($B543,2)+5)
+INDEX(Scenarios!AI$121:AI$200,MATCH($B543,Scenarios!$B$121:$B$200,0))</f>
        <v>0</v>
      </c>
      <c r="AJ543" s="476">
        <f>INDEX(Input!$1:$1048576,AJ$93,$C543*2+MIN($B543,2)+5)</f>
        <v>0.35</v>
      </c>
      <c r="AK543" s="150">
        <f>ROUND(INDEX(Input!$1:$1048576,AK$93,$C542*2+MIN($B543,1)+5)+(Y543-VLOOKUP($C543*1000+1,$A:$HH,Y$92,FALSE)),0)</f>
        <v>4952</v>
      </c>
      <c r="AL543" s="150">
        <f>ROUND(INDEX(Input!$1:$1048576,AL$93,$C542*2+MIN($B543,1)+5)-(Y543-VLOOKUP($C543*1000+1,$A:$HH,Y$92,FALSE))/36,0)</f>
        <v>4733</v>
      </c>
      <c r="AM543" s="32" t="str">
        <f t="shared" si="1665"/>
        <v>std/std/std/std</v>
      </c>
      <c r="AN543" s="32" t="str">
        <f t="shared" si="1666"/>
        <v>$0 + 0/0/0/0.9/3.9</v>
      </c>
      <c r="AO543" s="32" t="str">
        <f t="shared" si="1667"/>
        <v>0/0/0/0.9/3.9</v>
      </c>
      <c r="AP543" s="32" t="str">
        <f t="shared" si="1621"/>
        <v>0/0/0.9/3.9</v>
      </c>
      <c r="AQ543" s="536">
        <f t="shared" si="1620"/>
        <v>0.42831101951247624</v>
      </c>
      <c r="AR543" s="32"/>
      <c r="AS543" s="302"/>
      <c r="AT543" s="3">
        <f t="shared" si="1688"/>
        <v>43</v>
      </c>
      <c r="AU543" s="41" t="s">
        <v>121</v>
      </c>
      <c r="AV543" s="41" t="s">
        <v>116</v>
      </c>
      <c r="AW543" s="41" t="str">
        <f>INDEX(Input!$1:$1048576,AW$93,$C543*2+6)</f>
        <v>Kia</v>
      </c>
      <c r="AX543" s="41" t="str">
        <f>INDEX(Input!$1:$1048576,AX$93,$C543*2+6)</f>
        <v>Kia-LR - R2</v>
      </c>
      <c r="AY543" s="41" t="str">
        <f>IF(LEN(D543)=0,"",INDEX(Input!$1:$1048576,AY$93,$C543*2+6))</f>
        <v>Compact Conventional/Sporty Car (43)</v>
      </c>
      <c r="AZ543" s="41" t="str">
        <f>INDEX(Input!$1:$1048576,AZ$93,$C543*2+6)</f>
        <v>Kia Forte</v>
      </c>
      <c r="BA543" s="3">
        <f>INDEX(Input!$1:$1048576,BA$93,$C543*2+6)</f>
        <v>2020</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19695</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622"/>
        <v>1250</v>
      </c>
      <c r="CJ543" s="16" t="str">
        <f>INDEX(Input!$1:$1048576,CJ$93,$C543*2+6)</f>
        <v>N</v>
      </c>
      <c r="CK543" s="1" t="str">
        <f t="shared" si="1623"/>
        <v>Market</v>
      </c>
      <c r="CL543" s="1" t="str">
        <f t="shared" si="1624"/>
        <v>Market</v>
      </c>
      <c r="CM543" s="1" t="str">
        <f t="shared" si="1625"/>
        <v>Market</v>
      </c>
      <c r="CN543" s="1" t="str">
        <f t="shared" si="1626"/>
        <v>Market</v>
      </c>
      <c r="CO543" s="1" t="str">
        <f t="shared" si="1627"/>
        <v>Market</v>
      </c>
      <c r="CP543" s="304">
        <f t="shared" si="1628"/>
        <v>215</v>
      </c>
      <c r="CQ543" s="1">
        <f t="shared" si="1629"/>
        <v>0</v>
      </c>
      <c r="CR543" s="1">
        <f t="shared" si="1630"/>
        <v>0</v>
      </c>
      <c r="CS543" s="1">
        <f t="shared" si="1631"/>
        <v>0</v>
      </c>
      <c r="CT543" s="1">
        <f t="shared" si="1632"/>
        <v>8.9999999999999993E-3</v>
      </c>
      <c r="CU543" s="1">
        <f t="shared" si="1633"/>
        <v>3.9E-2</v>
      </c>
      <c r="CV543" s="304">
        <f t="shared" si="1634"/>
        <v>-738.3618966787526</v>
      </c>
      <c r="CW543" s="20" t="s">
        <v>122</v>
      </c>
      <c r="CX543" s="20" t="s">
        <v>122</v>
      </c>
      <c r="CY543" s="20" t="s">
        <v>122</v>
      </c>
      <c r="CZ543" s="20" t="s">
        <v>122</v>
      </c>
      <c r="DA543" s="20" t="s">
        <v>122</v>
      </c>
      <c r="DB543" s="503">
        <f t="shared" si="1635"/>
        <v>0</v>
      </c>
      <c r="DC543" s="127">
        <v>0</v>
      </c>
      <c r="DD543" s="127">
        <v>0</v>
      </c>
      <c r="DE543" s="127">
        <v>0</v>
      </c>
      <c r="DF543" s="127">
        <v>0</v>
      </c>
      <c r="DG543" s="127">
        <v>0</v>
      </c>
      <c r="DH543" s="127">
        <v>0</v>
      </c>
      <c r="DI543" s="127">
        <v>0</v>
      </c>
      <c r="DJ543" s="127">
        <v>0</v>
      </c>
      <c r="DK543" s="127">
        <v>0</v>
      </c>
      <c r="DL543" s="127">
        <v>0</v>
      </c>
      <c r="DM543" s="304">
        <f>INDEX(Input!$1:$1048576,DM$93,$C543*2+6)</f>
        <v>20731.578947368424</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4.2288668401095603E-2</v>
      </c>
      <c r="DZ543" s="7">
        <v>0</v>
      </c>
      <c r="EA543" s="7">
        <v>0.74803808709286812</v>
      </c>
      <c r="EB543" s="7">
        <v>0</v>
      </c>
      <c r="EC543" s="7">
        <v>0</v>
      </c>
      <c r="ED543" s="7">
        <v>0</v>
      </c>
      <c r="EE543" s="7">
        <v>0</v>
      </c>
      <c r="EF543" s="7">
        <v>0</v>
      </c>
      <c r="EG543" s="7">
        <v>0</v>
      </c>
      <c r="EH543" s="7">
        <v>1.038829188514873E-2</v>
      </c>
      <c r="EI543" s="7">
        <v>1.3085066591274307E-2</v>
      </c>
      <c r="EJ543" s="7">
        <v>0.1924187521100901</v>
      </c>
      <c r="EK543" s="7">
        <v>0.75073815161578572</v>
      </c>
      <c r="EL543" s="7">
        <v>3.3369737797701443E-2</v>
      </c>
      <c r="EM543" s="7">
        <v>9.1747234198250954E-2</v>
      </c>
      <c r="EN543" s="7">
        <v>4.7839553086269054E-2</v>
      </c>
      <c r="EO543" s="7">
        <v>0.58178840337566173</v>
      </c>
      <c r="EP543" s="7">
        <v>0.25249335975016529</v>
      </c>
      <c r="EQ543" s="7">
        <v>7.1500380955885179E-2</v>
      </c>
      <c r="ER543" s="7">
        <v>4.6378302832018749E-2</v>
      </c>
      <c r="ES543" s="7">
        <v>0.1179260103077853</v>
      </c>
      <c r="ET543" s="7">
        <v>0.20967324450603617</v>
      </c>
      <c r="EU543" s="6">
        <v>1600</v>
      </c>
      <c r="EV543" s="6">
        <v>0</v>
      </c>
      <c r="EW543" s="6">
        <v>1600</v>
      </c>
      <c r="EX543" s="6">
        <v>0</v>
      </c>
      <c r="EY543" s="6">
        <v>2975.9191757250201</v>
      </c>
      <c r="EZ543" s="6">
        <v>-1363.0908300335955</v>
      </c>
      <c r="FA543" s="6">
        <v>0</v>
      </c>
      <c r="FB543" s="6">
        <v>0</v>
      </c>
      <c r="FC543" s="6">
        <v>0</v>
      </c>
      <c r="FD543" s="6">
        <v>0</v>
      </c>
      <c r="FE543" s="6">
        <v>0</v>
      </c>
      <c r="FF543" s="6">
        <v>0</v>
      </c>
      <c r="FG543" s="6">
        <v>0</v>
      </c>
      <c r="FH543" s="6">
        <v>1153.9851830295111</v>
      </c>
      <c r="FI543" s="6">
        <v>1531.4299904380618</v>
      </c>
      <c r="FJ543" s="6">
        <v>2070.7205842538201</v>
      </c>
      <c r="FK543" s="6">
        <v>2218.639369850101</v>
      </c>
      <c r="FL543" s="6">
        <v>893.91433563489397</v>
      </c>
      <c r="FM543" s="6">
        <v>2125.9191757250201</v>
      </c>
      <c r="FN543" s="6">
        <v>0</v>
      </c>
      <c r="FO543" s="6">
        <v>0</v>
      </c>
      <c r="FP543" s="6">
        <v>0</v>
      </c>
      <c r="FQ543" s="6">
        <v>0</v>
      </c>
      <c r="FR543" s="6">
        <v>0</v>
      </c>
      <c r="FS543" s="6">
        <v>0</v>
      </c>
      <c r="FT543" s="7">
        <v>0.7903267554939637</v>
      </c>
      <c r="FU543" s="7">
        <v>9.1747234198250954E-2</v>
      </c>
      <c r="FV543" s="7">
        <v>0.1179260103077853</v>
      </c>
      <c r="FW543" s="6">
        <v>1600</v>
      </c>
      <c r="FX543" s="6">
        <v>2975.9191757250201</v>
      </c>
      <c r="FY543" s="6">
        <v>-1363.0908300335955</v>
      </c>
      <c r="FZ543" s="6">
        <v>2411.9063952864503</v>
      </c>
      <c r="GA543" s="6">
        <v>1376.8112990876621</v>
      </c>
      <c r="GB543" s="6">
        <v>18318.188700912338</v>
      </c>
      <c r="GC543" s="7">
        <v>7.6138913542514425E-2</v>
      </c>
      <c r="GD543" s="7">
        <v>6.6964821839151673E-2</v>
      </c>
      <c r="GE543" s="7"/>
      <c r="GF543" s="7"/>
      <c r="GG543" s="7">
        <v>-0.12049149740283759</v>
      </c>
      <c r="GH543" s="42">
        <v>2.2926203109874845</v>
      </c>
      <c r="GI543" s="6">
        <v>9967.4182589976135</v>
      </c>
      <c r="GJ543" s="14">
        <v>0.5107463060103955</v>
      </c>
      <c r="GK543" s="14">
        <v>0.5082951978616097</v>
      </c>
      <c r="GL543" s="14">
        <v>0.48925369398960433</v>
      </c>
      <c r="GM543" s="14">
        <v>0.49170480213839052</v>
      </c>
      <c r="GO543" s="5">
        <v>338.16872463277008</v>
      </c>
      <c r="GP543" s="5">
        <v>307.64377699166363</v>
      </c>
      <c r="GQ543" s="5">
        <v>527.27910984145694</v>
      </c>
      <c r="GR543" s="5">
        <v>404.20319246551543</v>
      </c>
      <c r="GS543" s="5">
        <v>334.50205195691484</v>
      </c>
      <c r="GT543" s="5">
        <v>289.18266033348181</v>
      </c>
      <c r="GU543" s="5">
        <v>254.29573314828914</v>
      </c>
      <c r="GV543" s="39" t="s">
        <v>392</v>
      </c>
      <c r="GW543" s="5">
        <v>468.76388888888891</v>
      </c>
      <c r="GX543" s="5">
        <v>351.57291666666669</v>
      </c>
      <c r="GY543" s="5">
        <v>281.25833333333333</v>
      </c>
      <c r="GZ543" s="5">
        <v>240.8550698915011</v>
      </c>
      <c r="HA543" s="5">
        <v>229.8919505212948</v>
      </c>
      <c r="HB543" s="39">
        <v>252.07991273816501</v>
      </c>
      <c r="HC543" s="5">
        <v>342.75084881396981</v>
      </c>
      <c r="HD543" s="5">
        <v>277.02900980034525</v>
      </c>
      <c r="HE543" s="5">
        <v>275.25710238124515</v>
      </c>
      <c r="HF543" s="5">
        <v>249.22464978663214</v>
      </c>
      <c r="HG543" s="5">
        <v>233.7008417861702</v>
      </c>
      <c r="HH543" s="39">
        <v>275.72820911881684</v>
      </c>
      <c r="HI543" s="16"/>
      <c r="HJ543" s="19" t="str">
        <f t="shared" si="1742"/>
        <v>On</v>
      </c>
      <c r="HK543" s="1" t="str">
        <f t="shared" si="1742"/>
        <v>On</v>
      </c>
      <c r="HL543" s="16"/>
      <c r="HM543" s="639">
        <f t="shared" si="1636"/>
        <v>5.1181272167489952E-2</v>
      </c>
      <c r="HN543" s="639">
        <f t="shared" si="1637"/>
        <v>4.2792051795134348E-3</v>
      </c>
      <c r="HO543" s="639">
        <f t="shared" si="1638"/>
        <v>7.4145241462331068E-3</v>
      </c>
      <c r="HP543" s="644">
        <f>(FT543*$GD543-HM543)/$JF543*INDEX(Input!$1:$1048576,$JG$93,$C543*2+6)</f>
        <v>20.567333284702418</v>
      </c>
      <c r="HQ543" s="644">
        <f>(FU543*$GD543-HN543)/$JF543*INDEX(Input!$1:$1048576,$JG$93,$C543*2+6)</f>
        <v>22.004881441663176</v>
      </c>
      <c r="HR543" s="644">
        <f>(FV543*$GD543-HO543)/$JF543*INDEX(Input!$1:$1048576,$JG$93,$C543*2+6)</f>
        <v>5.6925427225149043</v>
      </c>
      <c r="HS543" s="644">
        <f t="shared" si="1639"/>
        <v>-7.5687405766246014</v>
      </c>
      <c r="HT543" s="644">
        <f t="shared" si="1640"/>
        <v>39.815121514358218</v>
      </c>
      <c r="HU543" s="644">
        <f t="shared" si="1641"/>
        <v>13.326784054813201</v>
      </c>
      <c r="HV543" s="648">
        <f t="shared" si="1642"/>
        <v>0</v>
      </c>
      <c r="HW543" s="648">
        <f t="shared" si="1643"/>
        <v>0</v>
      </c>
      <c r="HX543" s="648">
        <f t="shared" si="1644"/>
        <v>0</v>
      </c>
      <c r="HY543" s="644">
        <f>INDEX(Input!$1:$1048576,HY$93,$C543*2+6)*INDEX(Input!$1:$1048576,$JG$93,$C543*2+6)</f>
        <v>345</v>
      </c>
      <c r="HZ543" s="644">
        <f>INDEX(Input!$1:$1048576,HZ$93,$C543*2+6)*INDEX(Input!$1:$1048576,$JG$93,$C543*2+6)</f>
        <v>299</v>
      </c>
      <c r="IA543" s="644">
        <f>INDEX(Input!$1:$1048576,IA$93,$C543*2+6)*INDEX(Input!$1:$1048576,$JG$93,$C543*2+6)</f>
        <v>98</v>
      </c>
      <c r="IB543" s="644">
        <f t="shared" si="1668"/>
        <v>357.99859270807775</v>
      </c>
      <c r="IC543" s="644">
        <f t="shared" si="1669"/>
        <v>360.82000295602143</v>
      </c>
      <c r="ID543" s="644">
        <f>IF(AND(INDEX(Input!$1:$1048576,IA$93,$C543*2+7)="TOS",Y543&lt;=INDEX(Y:Y,MATCH(C543*1000+2,A:A))),0,1)*MAX(IA543+HR543+HU543+HX543,0%)</f>
        <v>117.0193267773281</v>
      </c>
      <c r="IE543" s="128">
        <f t="shared" si="1743"/>
        <v>0.42831101951247624</v>
      </c>
      <c r="IF543" s="128">
        <f t="shared" si="1691"/>
        <v>0.43168656657990589</v>
      </c>
      <c r="IG543" s="128">
        <f t="shared" si="1646"/>
        <v>0.14000241390761786</v>
      </c>
      <c r="IH543" s="21"/>
      <c r="II543" s="19">
        <f t="shared" si="1647"/>
        <v>1200</v>
      </c>
      <c r="IJ543" s="19">
        <f t="shared" si="1648"/>
        <v>2231.5440334087361</v>
      </c>
      <c r="IK543" s="19">
        <f t="shared" si="1649"/>
        <v>-2048.0908300335955</v>
      </c>
      <c r="IL543" s="19">
        <f t="shared" si="1671"/>
        <v>400</v>
      </c>
      <c r="IM543" s="19">
        <f t="shared" si="1650"/>
        <v>744.37514231628393</v>
      </c>
      <c r="IN543" s="19">
        <f t="shared" si="1651"/>
        <v>685</v>
      </c>
      <c r="IO543" s="39">
        <f t="shared" si="1652"/>
        <v>0</v>
      </c>
      <c r="IP543" s="39">
        <f t="shared" si="1653"/>
        <v>0</v>
      </c>
      <c r="IQ543" s="39">
        <f t="shared" si="1654"/>
        <v>0</v>
      </c>
      <c r="IR543" s="39">
        <v>0</v>
      </c>
      <c r="IS543" s="39">
        <v>0</v>
      </c>
      <c r="IT543" s="39">
        <v>0</v>
      </c>
      <c r="IU543" s="39">
        <v>0</v>
      </c>
      <c r="IV543" s="39">
        <v>0</v>
      </c>
      <c r="IW543" s="39">
        <v>0</v>
      </c>
      <c r="IX543" s="39">
        <f>INDEX(Input!$1:$1048576,IX$93,$C543*2+6)+INDEX(Input!$1:$1048576,IX$94,$C543*2+6)</f>
        <v>1600</v>
      </c>
      <c r="IY543" s="39">
        <f>INDEX(Input!$1:$1048576,IY$93,$C543*2+6)+INDEX(Input!$1:$1048576,IY$94,$C543*2+6)</f>
        <v>2503.5492916397525</v>
      </c>
      <c r="IZ543" s="39">
        <f>INDEX(Input!$1:$1048576,IZ$93,$C543*2+6)+INDEX(Input!$1:$1048576,IZ$94,$C543*2+6)</f>
        <v>5413.7109265464023</v>
      </c>
      <c r="JA543" s="19">
        <f t="shared" si="1672"/>
        <v>2000</v>
      </c>
      <c r="JB543" s="19">
        <f t="shared" si="1673"/>
        <v>3247.9244339560364</v>
      </c>
      <c r="JC543" s="19">
        <f t="shared" si="1674"/>
        <v>6098.7109265464023</v>
      </c>
      <c r="JD543" s="19">
        <f t="shared" si="1675"/>
        <v>3112.5416378716795</v>
      </c>
      <c r="JE543" s="21"/>
      <c r="JF543" s="1">
        <f t="shared" si="1655"/>
        <v>6.2875001493236493E-2</v>
      </c>
      <c r="JG543" s="15">
        <f>INDEX(Input!$1:$1048576,JG$93,$C543*2+6)/(1+VLOOKUP(C543*1000+INDEX(Input!$1:$1048576,JG$93+1,$C543*2+6),$A:$KK,$JK$92,FALSE))</f>
        <v>742</v>
      </c>
      <c r="JH543" s="1">
        <f t="shared" si="1676"/>
        <v>6.5046842923019543E-2</v>
      </c>
      <c r="JI543" s="1">
        <f t="shared" si="1677"/>
        <v>6.141935982823022E-2</v>
      </c>
      <c r="JJ543" s="1">
        <f t="shared" si="1715"/>
        <v>0</v>
      </c>
      <c r="JK543" s="1">
        <f t="shared" si="1719"/>
        <v>0.12646620275124976</v>
      </c>
      <c r="JL543" s="15">
        <f t="shared" si="1680"/>
        <v>93.837922441427324</v>
      </c>
      <c r="JM543" s="15">
        <f t="shared" si="1706"/>
        <v>835.83792244142728</v>
      </c>
      <c r="JN543" s="21"/>
      <c r="JO543" s="19">
        <f>INDEX(Input!$1:$1048576,JO$93,$C543*2+6)</f>
        <v>5908.5</v>
      </c>
      <c r="JP543" s="19">
        <f>INDEX(Input!$1:$1048576,JP$93,$C543*2+6)</f>
        <v>2467.7963733178344</v>
      </c>
      <c r="JQ543" s="39">
        <f t="shared" si="1692"/>
        <v>2795.9583621283205</v>
      </c>
      <c r="JR543" s="39">
        <f t="shared" si="1709"/>
        <v>644.74526455384512</v>
      </c>
      <c r="JS543" s="39">
        <f t="shared" si="1694"/>
        <v>2.6015803361111018</v>
      </c>
      <c r="JT543" s="39">
        <f t="shared" si="1682"/>
        <v>0.77047542710926875</v>
      </c>
      <c r="JU543" s="385">
        <f>(JQ543*JM543-INDEX(Input!$1:$1048576,Input!A$18,$C543*2+6)*JL543*INDEX(Input!$1:$1048576,Input!A$19,$C543*2+6))/1000000</f>
        <v>2.3369680286340713</v>
      </c>
      <c r="JV543" s="39">
        <f t="shared" si="1716"/>
        <v>-0.21603406236409528</v>
      </c>
      <c r="JW543" s="1">
        <f t="shared" si="1707"/>
        <v>-8.4619618262682592E-2</v>
      </c>
      <c r="JX543" s="19">
        <f t="shared" si="1698"/>
        <v>8210.7042341031338</v>
      </c>
      <c r="JZ543" s="341"/>
      <c r="KA543" s="342"/>
      <c r="KB543" s="469">
        <f t="shared" si="1695"/>
        <v>2.4623520912331753</v>
      </c>
      <c r="KI543" s="473">
        <f t="shared" si="1744"/>
        <v>12.998592708077751</v>
      </c>
      <c r="KJ543" s="473">
        <f t="shared" si="1745"/>
        <v>61.820002956021426</v>
      </c>
      <c r="KK543" s="473">
        <f t="shared" si="1684"/>
        <v>19.019326777328104</v>
      </c>
      <c r="KN543" s="544">
        <f t="shared" si="1699"/>
        <v>5002</v>
      </c>
      <c r="KO543" s="541">
        <f t="shared" si="1659"/>
        <v>4.6694040539468906E-2</v>
      </c>
      <c r="KP543" s="546">
        <f t="shared" si="1660"/>
        <v>199.04779449552208</v>
      </c>
      <c r="KQ543" s="546">
        <f t="shared" si="1661"/>
        <v>253.76919171997042</v>
      </c>
      <c r="KR543" s="548">
        <f t="shared" si="1662"/>
        <v>3.9495614303267312</v>
      </c>
      <c r="KS543" s="548">
        <f t="shared" si="1663"/>
        <v>3.0978996567818959</v>
      </c>
      <c r="KT543" s="473">
        <f t="shared" si="1697"/>
        <v>389.37465324503302</v>
      </c>
      <c r="KU543" s="663">
        <f t="shared" si="1685"/>
        <v>7.2554014410546976</v>
      </c>
      <c r="KV543" s="117"/>
    </row>
    <row r="544" spans="1:308" s="26" customFormat="1" ht="15">
      <c r="A544" s="561">
        <f t="shared" si="1664"/>
        <v>5044</v>
      </c>
      <c r="B544" s="561">
        <f t="shared" si="1686"/>
        <v>44</v>
      </c>
      <c r="C544" s="561">
        <f t="shared" si="1687"/>
        <v>5</v>
      </c>
      <c r="D544" s="561" t="str">
        <f t="shared" si="1736"/>
        <v xml:space="preserve">0/0/0/3.9, 360 Lease, </v>
      </c>
      <c r="E544" s="475">
        <f>INDEX(Input!$1:$1048576,E$93,$C544*2+MIN($B544,2)+5)
+INDEX(Scenarios!E$121:E$200,MATCH($B544,Scenarios!$B$121:$B$200,0))</f>
        <v>1250</v>
      </c>
      <c r="F544" s="475">
        <f>INDEX(Input!$1:$1048576,F$93,$C544*2+MIN($B544,2)+5)
+INDEX(Scenarios!F$121:F$200,MATCH($B544,Scenarios!$B$121:$B$200,0))</f>
        <v>0</v>
      </c>
      <c r="G544" s="475">
        <f>INDEX(Input!$1:$1048576,G$93,$C544*2+MIN($B544,2)+5)
+INDEX(Scenarios!G$121:G$200,MATCH($B544,Scenarios!$B$121:$B$200,0))</f>
        <v>0</v>
      </c>
      <c r="H544" s="475">
        <f>INDEX(Input!$1:$1048576,H$93,$C544*2+MIN($B544,2)+5)
+INDEX(Scenarios!H$121:H$200,MATCH($B544,Scenarios!$B$121:$B$200,0))</f>
        <v>0</v>
      </c>
      <c r="I544" s="476">
        <f>INDEX(Input!$1:$1048576,I$93,$C544*2+MIN($B544,2)+5)</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+INDEX(Scenarios!Q$121:Q$200,MATCH($B544,Scenarios!$B$121:$B$200,0))</f>
        <v>0</v>
      </c>
      <c r="R544" s="478">
        <f>IFERROR(MAX(0,INDEX(Input!$1:$1048576,R$93,$C544*2+MIN($B544,2)+5)
+INDEX(Scenarios!R$121:R$200,MATCH($B544,Scenarios!$B$121:$B$200,0)),),"Market")</f>
        <v>0</v>
      </c>
      <c r="S544" s="478">
        <f>IFERROR(MAX(0,INDEX(Input!$1:$1048576,S$93,$C544*2+MIN($B544,2)+5)
+INDEX(Scenarios!S$121:S$200,MATCH($B544,Scenarios!$B$121:$B$200,0)),),"Market")</f>
        <v>0</v>
      </c>
      <c r="T544" s="478">
        <f>IFERROR(MAX(0,INDEX(Input!$1:$1048576,T$93,$C544*2+MIN($B544,2)+5)
+INDEX(Scenarios!T$121:T$200,MATCH($B544,Scenarios!$B$121:$B$200,0)),),"Market")</f>
        <v>0</v>
      </c>
      <c r="U544" s="478">
        <f>IFERROR(MAX(0,INDEX(Input!$1:$1048576,U$93,$C544*2+MIN($B544,2)+5)
+INDEX(Scenarios!U$121:U$200,MATCH($B544,Scenarios!$B$121:$B$200,0)),),"Market")</f>
        <v>0</v>
      </c>
      <c r="V544" s="478">
        <f>IFERROR(MAX(0,INDEX(Input!$1:$1048576,V$93,$C544*2+MIN($B544,2)+5)
+INDEX(Scenarios!V$121:V$200,MATCH($B544,Scenarios!$B$121:$B$200,0)),),"Market")</f>
        <v>0</v>
      </c>
      <c r="W544" s="863">
        <f>IFERROR(MAX(0,INDEX(Input!$1:$1048576,W$93,$C544*2+MIN($B544,2)+5)-0%,),"Market")</f>
        <v>3.9E-2</v>
      </c>
      <c r="X544" s="476" t="str">
        <f>INDEX(Input!$1:$1048576,X$93,$C544*2+MIN($B544,2)+5)</f>
        <v>Y</v>
      </c>
      <c r="Y544" s="475">
        <f>INDEX(Input!$1:$1048576,Y$93,$C544*2+MIN($B544,2)+5)
++INDEX(Scenarios!Y$121:Y$200,MATCH($B544,Scenarios!$B$121:$B$200,0))</f>
        <v>-738.3618966787526</v>
      </c>
      <c r="Z544" s="477">
        <f>INDEX(Input!$1:$1048576,Z$93,$C544*2+MIN($B544,2)+5)
+INDEX(Scenarios!Z$121:Z$200,MATCH($B544,Scenarios!$B$121:$B$200,0))</f>
        <v>0</v>
      </c>
      <c r="AA544" s="475">
        <f>INDEX(Input!$1:$1048576,AA$93,$C544*2+MIN($B544,2)+5)</f>
        <v>500</v>
      </c>
      <c r="AB544" s="476">
        <f>INDEX(Input!$1:$1048576,AB$93,$C544*2+MIN($B544,2)+5)</f>
        <v>0.43</v>
      </c>
      <c r="AC544" s="475">
        <f>INDEX(Input!$1:$1048576,AC$93,$C544*2+MIN($B544,2)+5)
+INDEX(Scenarios!AC$121:AC$200,MATCH($B544,Scenarios!$B$121:$B$200,0))</f>
        <v>0</v>
      </c>
      <c r="AD544" s="476">
        <f>INDEX(Input!$1:$1048576,AD$93,$C544*2+MIN($B544,2)+5)</f>
        <v>0.35</v>
      </c>
      <c r="AE544" s="475">
        <f>INDEX(Input!$1:$1048576,AE$93,$C544*2+MIN($B544,2)+5)
+INDEX(Scenarios!AE$121:AE$200,MATCH($B544,Scenarios!$B$121:$B$200,0))</f>
        <v>0</v>
      </c>
      <c r="AF544" s="476">
        <f>INDEX(Input!$1:$1048576,AF$93,$C544*2+MIN($B544,2)+5)</f>
        <v>1</v>
      </c>
      <c r="AG544" s="475">
        <f>INDEX(Input!$1:$1048576,AG$93,$C544*2+MIN($B544,2)+5)
+INDEX(Scenarios!AG$121:AG$200,MATCH($B544,Scenarios!$B$121:$B$200,0))</f>
        <v>0</v>
      </c>
      <c r="AH544" s="476">
        <f>INDEX(Input!$1:$1048576,AH$93,$C544*2+MIN($B544,2)+5)</f>
        <v>1</v>
      </c>
      <c r="AI544" s="475">
        <f>INDEX(Input!$1:$1048576,AI$93,$C544*2+MIN($B544,2)+5)
+INDEX(Scenarios!AI$121:AI$200,MATCH($B544,Scenarios!$B$121:$B$200,0))</f>
        <v>0</v>
      </c>
      <c r="AJ544" s="476">
        <f>INDEX(Input!$1:$1048576,AJ$93,$C544*2+MIN($B544,2)+5)</f>
        <v>0.35</v>
      </c>
      <c r="AK544" s="150">
        <f>ROUND(INDEX(Input!$1:$1048576,AK$93,$C543*2+MIN($B544,1)+5)+(Y544-VLOOKUP($C544*1000+1,$A:$HH,Y$92,FALSE)),0)</f>
        <v>4952</v>
      </c>
      <c r="AL544" s="150">
        <f>ROUND(INDEX(Input!$1:$1048576,AL$93,$C543*2+MIN($B544,1)+5)-(Y544-VLOOKUP($C544*1000+1,$A:$HH,Y$92,FALSE))/36,0)</f>
        <v>4733</v>
      </c>
      <c r="AM544" s="32" t="str">
        <f t="shared" si="1665"/>
        <v>std/std/std/std</v>
      </c>
      <c r="AN544" s="32" t="str">
        <f t="shared" si="1666"/>
        <v>$0 + 0/0/0/0/3.9</v>
      </c>
      <c r="AO544" s="32" t="str">
        <f t="shared" si="1667"/>
        <v>0/0/0/0/3.9</v>
      </c>
      <c r="AP544" s="32" t="str">
        <f t="shared" si="1621"/>
        <v>0/0/0/3.9</v>
      </c>
      <c r="AQ544" s="536">
        <f t="shared" si="1620"/>
        <v>0.39828723873816796</v>
      </c>
      <c r="AR544" s="32"/>
      <c r="AS544" s="302"/>
      <c r="AT544" s="3">
        <f t="shared" si="1688"/>
        <v>44</v>
      </c>
      <c r="AU544" s="41" t="s">
        <v>121</v>
      </c>
      <c r="AV544" s="41" t="s">
        <v>116</v>
      </c>
      <c r="AW544" s="41" t="str">
        <f>INDEX(Input!$1:$1048576,AW$93,$C544*2+6)</f>
        <v>Kia</v>
      </c>
      <c r="AX544" s="41" t="str">
        <f>INDEX(Input!$1:$1048576,AX$93,$C544*2+6)</f>
        <v>Kia-LR - R2</v>
      </c>
      <c r="AY544" s="41" t="str">
        <f>IF(LEN(D544)=0,"",INDEX(Input!$1:$1048576,AY$93,$C544*2+6))</f>
        <v>Compact Conventional/Sporty Car (43)</v>
      </c>
      <c r="AZ544" s="41" t="str">
        <f>INDEX(Input!$1:$1048576,AZ$93,$C544*2+6)</f>
        <v>Kia Forte</v>
      </c>
      <c r="BA544" s="3">
        <f>INDEX(Input!$1:$1048576,BA$93,$C544*2+6)</f>
        <v>2020</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19695</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622"/>
        <v>1250</v>
      </c>
      <c r="CJ544" s="16" t="str">
        <f>INDEX(Input!$1:$1048576,CJ$93,$C544*2+6)</f>
        <v>N</v>
      </c>
      <c r="CK544" s="1" t="str">
        <f t="shared" si="1623"/>
        <v>Market</v>
      </c>
      <c r="CL544" s="1" t="str">
        <f t="shared" si="1624"/>
        <v>Market</v>
      </c>
      <c r="CM544" s="1" t="str">
        <f t="shared" si="1625"/>
        <v>Market</v>
      </c>
      <c r="CN544" s="1" t="str">
        <f t="shared" si="1626"/>
        <v>Market</v>
      </c>
      <c r="CO544" s="1" t="str">
        <f t="shared" si="1627"/>
        <v>Market</v>
      </c>
      <c r="CP544" s="304">
        <f t="shared" si="1628"/>
        <v>215</v>
      </c>
      <c r="CQ544" s="1">
        <f t="shared" si="1629"/>
        <v>0</v>
      </c>
      <c r="CR544" s="1">
        <f t="shared" si="1630"/>
        <v>0</v>
      </c>
      <c r="CS544" s="1">
        <f t="shared" si="1631"/>
        <v>0</v>
      </c>
      <c r="CT544" s="1">
        <f t="shared" si="1632"/>
        <v>0</v>
      </c>
      <c r="CU544" s="1">
        <f t="shared" si="1633"/>
        <v>3.9E-2</v>
      </c>
      <c r="CV544" s="304">
        <f t="shared" si="1634"/>
        <v>-738.3618966787526</v>
      </c>
      <c r="CW544" s="20" t="s">
        <v>122</v>
      </c>
      <c r="CX544" s="20" t="s">
        <v>122</v>
      </c>
      <c r="CY544" s="20" t="s">
        <v>122</v>
      </c>
      <c r="CZ544" s="20" t="s">
        <v>122</v>
      </c>
      <c r="DA544" s="20" t="s">
        <v>122</v>
      </c>
      <c r="DB544" s="503">
        <f t="shared" si="1635"/>
        <v>0</v>
      </c>
      <c r="DC544" s="127">
        <v>0</v>
      </c>
      <c r="DD544" s="127">
        <v>0</v>
      </c>
      <c r="DE544" s="127">
        <v>0</v>
      </c>
      <c r="DF544" s="127">
        <v>0</v>
      </c>
      <c r="DG544" s="127">
        <v>0</v>
      </c>
      <c r="DH544" s="127">
        <v>0</v>
      </c>
      <c r="DI544" s="127">
        <v>0</v>
      </c>
      <c r="DJ544" s="127">
        <v>0</v>
      </c>
      <c r="DK544" s="127">
        <v>0</v>
      </c>
      <c r="DL544" s="127">
        <v>0</v>
      </c>
      <c r="DM544" s="304">
        <f>INDEX(Input!$1:$1048576,DM$93,$C544*2+6)</f>
        <v>20731.578947368424</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4.0853877446443455E-2</v>
      </c>
      <c r="DZ544" s="7">
        <v>0</v>
      </c>
      <c r="EA544" s="7">
        <v>0.72240712505445803</v>
      </c>
      <c r="EB544" s="7">
        <v>0</v>
      </c>
      <c r="EC544" s="7">
        <v>0</v>
      </c>
      <c r="ED544" s="7">
        <v>0</v>
      </c>
      <c r="EE544" s="7">
        <v>0</v>
      </c>
      <c r="EF544" s="7">
        <v>0</v>
      </c>
      <c r="EG544" s="7">
        <v>0</v>
      </c>
      <c r="EH544" s="7">
        <v>7.4643471872409932E-3</v>
      </c>
      <c r="EI544" s="7">
        <v>9.4055117823906593E-3</v>
      </c>
      <c r="EJ544" s="7">
        <v>0.1382315401871258</v>
      </c>
      <c r="EK544" s="7">
        <v>0.82090985430802366</v>
      </c>
      <c r="EL544" s="7">
        <v>2.3988746535219124E-2</v>
      </c>
      <c r="EM544" s="7">
        <v>0.12305343531692228</v>
      </c>
      <c r="EN544" s="7">
        <v>4.7838237058210151E-2</v>
      </c>
      <c r="EO544" s="7">
        <v>0.58178919910285909</v>
      </c>
      <c r="EP544" s="7">
        <v>0.25250273852309402</v>
      </c>
      <c r="EQ544" s="7">
        <v>7.1502052636083266E-2</v>
      </c>
      <c r="ER544" s="7">
        <v>4.6367772679753019E-2</v>
      </c>
      <c r="ES544" s="7">
        <v>0.11368556218217622</v>
      </c>
      <c r="ET544" s="7">
        <v>0.23673899749909844</v>
      </c>
      <c r="EU544" s="6">
        <v>1600</v>
      </c>
      <c r="EV544" s="6">
        <v>0</v>
      </c>
      <c r="EW544" s="6">
        <v>1600</v>
      </c>
      <c r="EX544" s="6">
        <v>0</v>
      </c>
      <c r="EY544" s="6">
        <v>3344.1226249224574</v>
      </c>
      <c r="EZ544" s="6">
        <v>-1363.0908300335955</v>
      </c>
      <c r="FA544" s="6">
        <v>0</v>
      </c>
      <c r="FB544" s="6">
        <v>0</v>
      </c>
      <c r="FC544" s="6">
        <v>0</v>
      </c>
      <c r="FD544" s="6">
        <v>0</v>
      </c>
      <c r="FE544" s="6">
        <v>0</v>
      </c>
      <c r="FF544" s="6">
        <v>0</v>
      </c>
      <c r="FG544" s="6">
        <v>0</v>
      </c>
      <c r="FH544" s="6">
        <v>1153.9834405224126</v>
      </c>
      <c r="FI544" s="6">
        <v>1531.4299904380614</v>
      </c>
      <c r="FJ544" s="6">
        <v>2070.7205842538215</v>
      </c>
      <c r="FK544" s="6">
        <v>2635.395613320291</v>
      </c>
      <c r="FL544" s="6">
        <v>893.91433563489375</v>
      </c>
      <c r="FM544" s="6">
        <v>2494.1226249224574</v>
      </c>
      <c r="FN544" s="6">
        <v>0</v>
      </c>
      <c r="FO544" s="6">
        <v>0</v>
      </c>
      <c r="FP544" s="6">
        <v>0</v>
      </c>
      <c r="FQ544" s="6">
        <v>0</v>
      </c>
      <c r="FR544" s="6">
        <v>0</v>
      </c>
      <c r="FS544" s="6">
        <v>0</v>
      </c>
      <c r="FT544" s="7">
        <v>0.76326100250090145</v>
      </c>
      <c r="FU544" s="7">
        <v>0.12305343531692228</v>
      </c>
      <c r="FV544" s="7">
        <v>0.11368556218217622</v>
      </c>
      <c r="FW544" s="6">
        <v>1600</v>
      </c>
      <c r="FX544" s="6">
        <v>3344.1226249224574</v>
      </c>
      <c r="FY544" s="6">
        <v>-1363.0908300335955</v>
      </c>
      <c r="FZ544" s="6">
        <v>2411.9063952864503</v>
      </c>
      <c r="GA544" s="6">
        <v>1477.7596338014557</v>
      </c>
      <c r="GB544" s="6">
        <v>18217.240366198545</v>
      </c>
      <c r="GC544" s="7">
        <v>7.6138913542514425E-2</v>
      </c>
      <c r="GD544" s="7">
        <v>6.7984632732267625E-2</v>
      </c>
      <c r="GE544" s="7"/>
      <c r="GF544" s="7"/>
      <c r="GG544" s="7">
        <v>-0.10709741485467369</v>
      </c>
      <c r="GH544" s="42">
        <v>2.257978802184907</v>
      </c>
      <c r="GI544" s="6">
        <v>10200.162156332828</v>
      </c>
      <c r="GJ544" s="14">
        <v>0.5107463060103955</v>
      </c>
      <c r="GK544" s="14">
        <v>0.50829519786160982</v>
      </c>
      <c r="GL544" s="14">
        <v>0.48925369398960439</v>
      </c>
      <c r="GM544" s="14">
        <v>0.49170480213839024</v>
      </c>
      <c r="GO544" s="5">
        <v>338.16872463277008</v>
      </c>
      <c r="GP544" s="5">
        <v>307.64377699166363</v>
      </c>
      <c r="GQ544" s="5">
        <v>527.27910984145694</v>
      </c>
      <c r="GR544" s="5">
        <v>404.20319246551543</v>
      </c>
      <c r="GS544" s="5">
        <v>334.50205195691484</v>
      </c>
      <c r="GT544" s="5">
        <v>289.18266033348181</v>
      </c>
      <c r="GU544" s="5">
        <v>254.29573314828914</v>
      </c>
      <c r="GV544" s="39" t="s">
        <v>392</v>
      </c>
      <c r="GW544" s="5">
        <v>468.76388888888891</v>
      </c>
      <c r="GX544" s="5">
        <v>351.57291666666669</v>
      </c>
      <c r="GY544" s="5">
        <v>281.25833333333333</v>
      </c>
      <c r="GZ544" s="5">
        <v>234.38194444444446</v>
      </c>
      <c r="HA544" s="5">
        <v>229.8919505212948</v>
      </c>
      <c r="HB544" s="39">
        <v>243.60577983057908</v>
      </c>
      <c r="HC544" s="5">
        <v>342.75084881396981</v>
      </c>
      <c r="HD544" s="5">
        <v>277.02900980034525</v>
      </c>
      <c r="HE544" s="5">
        <v>275.25710238124515</v>
      </c>
      <c r="HF544" s="5">
        <v>249.22464978663214</v>
      </c>
      <c r="HG544" s="5">
        <v>233.7008417861702</v>
      </c>
      <c r="HH544" s="39">
        <v>275.72851578092371</v>
      </c>
      <c r="HI544" s="16"/>
      <c r="HJ544" s="19" t="str">
        <f t="shared" si="1742"/>
        <v>On</v>
      </c>
      <c r="HK544" s="1" t="str">
        <f t="shared" si="1742"/>
        <v>On</v>
      </c>
      <c r="HL544" s="16"/>
      <c r="HM544" s="639">
        <f t="shared" si="1636"/>
        <v>5.1181272167489952E-2</v>
      </c>
      <c r="HN544" s="639">
        <f t="shared" si="1637"/>
        <v>4.2792051795134348E-3</v>
      </c>
      <c r="HO544" s="639">
        <f t="shared" si="1638"/>
        <v>7.4145241462331068E-3</v>
      </c>
      <c r="HP544" s="644">
        <f>(FT544*$GD544-HM544)/$JF544*INDEX(Input!$1:$1048576,$JG$93,$C544*2+6)</f>
        <v>8.3640570684133699</v>
      </c>
      <c r="HQ544" s="644">
        <f>(FU544*$GD544-HN544)/$JF544*INDEX(Input!$1:$1048576,$JG$93,$C544*2+6)</f>
        <v>48.226015090021079</v>
      </c>
      <c r="HR544" s="644">
        <f>(FV544*$GD544-HO544)/$JF544*INDEX(Input!$1:$1048576,$JG$93,$C544*2+6)</f>
        <v>3.7096700176183726</v>
      </c>
      <c r="HS544" s="644">
        <f t="shared" si="1639"/>
        <v>-7.6458810034522777</v>
      </c>
      <c r="HT544" s="644">
        <f t="shared" si="1640"/>
        <v>59.954398618211442</v>
      </c>
      <c r="HU544" s="644">
        <f t="shared" si="1641"/>
        <v>13.403924481640878</v>
      </c>
      <c r="HV544" s="648">
        <f t="shared" si="1642"/>
        <v>0</v>
      </c>
      <c r="HW544" s="648">
        <f t="shared" si="1643"/>
        <v>0</v>
      </c>
      <c r="HX544" s="648">
        <f t="shared" si="1644"/>
        <v>0</v>
      </c>
      <c r="HY544" s="644">
        <f>INDEX(Input!$1:$1048576,HY$93,$C544*2+6)*INDEX(Input!$1:$1048576,$JG$93,$C544*2+6)</f>
        <v>345</v>
      </c>
      <c r="HZ544" s="644">
        <f>INDEX(Input!$1:$1048576,HZ$93,$C544*2+6)*INDEX(Input!$1:$1048576,$JG$93,$C544*2+6)</f>
        <v>299</v>
      </c>
      <c r="IA544" s="644">
        <f>INDEX(Input!$1:$1048576,IA$93,$C544*2+6)*INDEX(Input!$1:$1048576,$JG$93,$C544*2+6)</f>
        <v>98</v>
      </c>
      <c r="IB544" s="644">
        <f t="shared" si="1668"/>
        <v>345.71817606496109</v>
      </c>
      <c r="IC544" s="644">
        <f t="shared" si="1669"/>
        <v>407.18041370823249</v>
      </c>
      <c r="ID544" s="644">
        <f>IF(AND(INDEX(Input!$1:$1048576,IA$93,$C544*2+7)="TOS",Y544&lt;=INDEX(Y:Y,MATCH(C544*1000+2,A:A))),0,1)*MAX(IA544+HR544+HU544+HX544,0%)</f>
        <v>115.11359449925925</v>
      </c>
      <c r="IE544" s="128">
        <f t="shared" si="1743"/>
        <v>0.39828723873816796</v>
      </c>
      <c r="IF544" s="128">
        <f t="shared" si="1691"/>
        <v>0.46909527433594883</v>
      </c>
      <c r="IG544" s="128">
        <f t="shared" si="1646"/>
        <v>0.1326174869258831</v>
      </c>
      <c r="IH544" s="21"/>
      <c r="II544" s="19">
        <f t="shared" si="1647"/>
        <v>1200</v>
      </c>
      <c r="IJ544" s="19">
        <f t="shared" si="1648"/>
        <v>2231.5440334087361</v>
      </c>
      <c r="IK544" s="19">
        <f t="shared" si="1649"/>
        <v>-2048.0908300335955</v>
      </c>
      <c r="IL544" s="19">
        <f t="shared" si="1671"/>
        <v>400</v>
      </c>
      <c r="IM544" s="19">
        <f t="shared" si="1650"/>
        <v>1112.5785915137212</v>
      </c>
      <c r="IN544" s="19">
        <f t="shared" si="1651"/>
        <v>685</v>
      </c>
      <c r="IO544" s="39">
        <f t="shared" si="1652"/>
        <v>0</v>
      </c>
      <c r="IP544" s="39">
        <f t="shared" si="1653"/>
        <v>0</v>
      </c>
      <c r="IQ544" s="39">
        <f t="shared" si="1654"/>
        <v>0</v>
      </c>
      <c r="IR544" s="39">
        <v>0</v>
      </c>
      <c r="IS544" s="39">
        <v>0</v>
      </c>
      <c r="IT544" s="39">
        <v>0</v>
      </c>
      <c r="IU544" s="39">
        <v>0</v>
      </c>
      <c r="IV544" s="39">
        <v>0</v>
      </c>
      <c r="IW544" s="39">
        <v>0</v>
      </c>
      <c r="IX544" s="39">
        <f>INDEX(Input!$1:$1048576,IX$93,$C544*2+6)+INDEX(Input!$1:$1048576,IX$94,$C544*2+6)</f>
        <v>1600</v>
      </c>
      <c r="IY544" s="39">
        <f>INDEX(Input!$1:$1048576,IY$93,$C544*2+6)+INDEX(Input!$1:$1048576,IY$94,$C544*2+6)</f>
        <v>2503.5492916397525</v>
      </c>
      <c r="IZ544" s="39">
        <f>INDEX(Input!$1:$1048576,IZ$93,$C544*2+6)+INDEX(Input!$1:$1048576,IZ$94,$C544*2+6)</f>
        <v>5413.7109265464023</v>
      </c>
      <c r="JA544" s="19">
        <f t="shared" si="1672"/>
        <v>2000</v>
      </c>
      <c r="JB544" s="19">
        <f t="shared" si="1673"/>
        <v>3616.1278831534737</v>
      </c>
      <c r="JC544" s="19">
        <f t="shared" si="1674"/>
        <v>6098.7109265464023</v>
      </c>
      <c r="JD544" s="19">
        <f t="shared" si="1675"/>
        <v>3301.678695424097</v>
      </c>
      <c r="JE544" s="21"/>
      <c r="JF544" s="1">
        <f t="shared" si="1655"/>
        <v>6.2875001493236493E-2</v>
      </c>
      <c r="JG544" s="15">
        <f>INDEX(Input!$1:$1048576,JG$93,$C544*2+6)/(1+VLOOKUP(C544*1000+INDEX(Input!$1:$1048576,JG$93+1,$C544*2+6),$A:$KK,$JK$92,FALSE))</f>
        <v>742</v>
      </c>
      <c r="JH544" s="1">
        <f t="shared" si="1676"/>
        <v>8.1266498889559058E-2</v>
      </c>
      <c r="JI544" s="1">
        <f t="shared" si="1677"/>
        <v>8.8561242717520292E-2</v>
      </c>
      <c r="JJ544" s="1">
        <f t="shared" si="1715"/>
        <v>0</v>
      </c>
      <c r="JK544" s="1">
        <f t="shared" si="1719"/>
        <v>0.16982774160707936</v>
      </c>
      <c r="JL544" s="15">
        <f t="shared" si="1680"/>
        <v>126.01218427245288</v>
      </c>
      <c r="JM544" s="15">
        <f t="shared" si="1706"/>
        <v>868.01218427245294</v>
      </c>
      <c r="JN544" s="21"/>
      <c r="JO544" s="19">
        <f>INDEX(Input!$1:$1048576,JO$93,$C544*2+6)</f>
        <v>5908.5</v>
      </c>
      <c r="JP544" s="19">
        <f>INDEX(Input!$1:$1048576,JP$93,$C544*2+6)</f>
        <v>2467.7963733178344</v>
      </c>
      <c r="JQ544" s="39">
        <f t="shared" si="1692"/>
        <v>2606.821304575903</v>
      </c>
      <c r="JR544" s="39">
        <f t="shared" si="1709"/>
        <v>833.88232210626256</v>
      </c>
      <c r="JS544" s="39">
        <f t="shared" si="1694"/>
        <v>2.8658973361808933</v>
      </c>
      <c r="JT544" s="39">
        <f t="shared" si="1682"/>
        <v>1.0347924271790603</v>
      </c>
      <c r="JU544" s="385">
        <f>(JQ544*JM544-INDEX(Input!$1:$1048576,Input!A$18,$C544*2+6)*JL544*INDEX(Input!$1:$1048576,Input!A$19,$C544*2+6))/1000000</f>
        <v>2.2627526545928949</v>
      </c>
      <c r="JV544" s="39">
        <f t="shared" si="1716"/>
        <v>-0.29024943640527168</v>
      </c>
      <c r="JW544" s="1">
        <f t="shared" si="1707"/>
        <v>-0.11368946285969968</v>
      </c>
      <c r="JX544" s="19">
        <f t="shared" si="1698"/>
        <v>8211.8442208867655</v>
      </c>
      <c r="JZ544" s="341"/>
      <c r="KA544" s="342"/>
      <c r="KB544" s="469">
        <f t="shared" si="1695"/>
        <v>2.4623520912331753</v>
      </c>
      <c r="KI544" s="473">
        <f t="shared" si="1744"/>
        <v>0.7181760649610851</v>
      </c>
      <c r="KJ544" s="473">
        <f t="shared" si="1745"/>
        <v>108.18041370823249</v>
      </c>
      <c r="KK544" s="473">
        <f t="shared" si="1684"/>
        <v>17.113594499259264</v>
      </c>
      <c r="KN544" s="544">
        <f t="shared" si="1699"/>
        <v>5002</v>
      </c>
      <c r="KO544" s="541">
        <f t="shared" si="1659"/>
        <v>8.6984875895352198E-2</v>
      </c>
      <c r="KP544" s="546">
        <f t="shared" si="1660"/>
        <v>381.99303089701471</v>
      </c>
      <c r="KQ544" s="546">
        <f t="shared" si="1661"/>
        <v>442.90624927238787</v>
      </c>
      <c r="KR544" s="548">
        <f t="shared" si="1662"/>
        <v>3.8338321536348419</v>
      </c>
      <c r="KS544" s="548">
        <f t="shared" si="1663"/>
        <v>3.3065624310411006</v>
      </c>
      <c r="KT544" s="473">
        <f t="shared" si="1697"/>
        <v>389.37465324503302</v>
      </c>
      <c r="KU544" s="663">
        <f t="shared" si="1685"/>
        <v>7.3326820840156968</v>
      </c>
      <c r="KV544" s="117"/>
    </row>
    <row r="545" spans="1:308" s="26" customFormat="1" ht="15">
      <c r="A545" s="561">
        <f t="shared" si="1664"/>
        <v>5045</v>
      </c>
      <c r="B545" s="561">
        <f t="shared" si="1686"/>
        <v>45</v>
      </c>
      <c r="C545" s="561">
        <f t="shared" si="1687"/>
        <v>5</v>
      </c>
      <c r="D545" s="561" t="str">
        <f t="shared" si="1736"/>
        <v xml:space="preserve">0/0/0/3.9, 360 Lease, </v>
      </c>
      <c r="E545" s="475">
        <f>INDEX(Input!$1:$1048576,E$93,$C545*2+MIN($B545,2)+5)
+INDEX(Scenarios!E$121:E$200,MATCH($B545,Scenarios!$B$121:$B$200,0))</f>
        <v>1250</v>
      </c>
      <c r="F545" s="475">
        <f>INDEX(Input!$1:$1048576,F$93,$C545*2+MIN($B545,2)+5)
+INDEX(Scenarios!F$121:F$200,MATCH($B545,Scenarios!$B$121:$B$200,0))</f>
        <v>0</v>
      </c>
      <c r="G545" s="475">
        <f>INDEX(Input!$1:$1048576,G$93,$C545*2+MIN($B545,2)+5)
+INDEX(Scenarios!G$121:G$200,MATCH($B545,Scenarios!$B$121:$B$200,0))</f>
        <v>0</v>
      </c>
      <c r="H545" s="475">
        <f>INDEX(Input!$1:$1048576,H$93,$C545*2+MIN($B545,2)+5)
+INDEX(Scenarios!H$121:H$200,MATCH($B545,Scenarios!$B$121:$B$200,0))</f>
        <v>0</v>
      </c>
      <c r="I545" s="476">
        <f>INDEX(Input!$1:$1048576,I$93,$C545*2+MIN($B545,2)+5)</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+INDEX(Scenarios!Q$121:Q$200,MATCH($B545,Scenarios!$B$121:$B$200,0))</f>
        <v>0</v>
      </c>
      <c r="R545" s="478">
        <f>IFERROR(MAX(0,INDEX(Input!$1:$1048576,R$93,$C545*2+MIN($B545,2)+5)
+INDEX(Scenarios!R$121:R$200,MATCH($B545,Scenarios!$B$121:$B$200,0)),),"Market")</f>
        <v>0</v>
      </c>
      <c r="S545" s="478">
        <f>IFERROR(MAX(0,INDEX(Input!$1:$1048576,S$93,$C545*2+MIN($B545,2)+5)
+INDEX(Scenarios!S$121:S$200,MATCH($B545,Scenarios!$B$121:$B$200,0)),),"Market")</f>
        <v>0</v>
      </c>
      <c r="T545" s="478">
        <f>IFERROR(MAX(0,INDEX(Input!$1:$1048576,T$93,$C545*2+MIN($B545,2)+5)
+INDEX(Scenarios!T$121:T$200,MATCH($B545,Scenarios!$B$121:$B$200,0)),),"Market")</f>
        <v>0</v>
      </c>
      <c r="U545" s="478">
        <f>IFERROR(MAX(0,INDEX(Input!$1:$1048576,U$93,$C545*2+MIN($B545,2)+5)
+INDEX(Scenarios!U$121:U$200,MATCH($B545,Scenarios!$B$121:$B$200,0)),),"Market")</f>
        <v>0</v>
      </c>
      <c r="V545" s="478">
        <f>IFERROR(MAX(0,INDEX(Input!$1:$1048576,V$93,$C545*2+MIN($B545,2)+5)
+INDEX(Scenarios!V$121:V$200,MATCH($B545,Scenarios!$B$121:$B$200,0)),),"Market")</f>
        <v>0</v>
      </c>
      <c r="W545" s="863">
        <f>IFERROR(MAX(0,INDEX(Input!$1:$1048576,W$93,$C545*2+MIN($B545,2)+5)-0%,),"Market")</f>
        <v>3.9E-2</v>
      </c>
      <c r="X545" s="476" t="str">
        <f>INDEX(Input!$1:$1048576,X$93,$C545*2+MIN($B545,2)+5)</f>
        <v>Y</v>
      </c>
      <c r="Y545" s="475">
        <f>INDEX(Input!$1:$1048576,Y$93,$C545*2+MIN($B545,2)+5)
++INDEX(Scenarios!Y$121:Y$200,MATCH($B545,Scenarios!$B$121:$B$200,0))</f>
        <v>-738.3618966787526</v>
      </c>
      <c r="Z545" s="477">
        <f>INDEX(Input!$1:$1048576,Z$93,$C545*2+MIN($B545,2)+5)
+INDEX(Scenarios!Z$121:Z$200,MATCH($B545,Scenarios!$B$121:$B$200,0))</f>
        <v>0</v>
      </c>
      <c r="AA545" s="475">
        <f>INDEX(Input!$1:$1048576,AA$93,$C545*2+MIN($B545,2)+5)</f>
        <v>500</v>
      </c>
      <c r="AB545" s="476">
        <f>INDEX(Input!$1:$1048576,AB$93,$C545*2+MIN($B545,2)+5)</f>
        <v>0.43</v>
      </c>
      <c r="AC545" s="475">
        <f>INDEX(Input!$1:$1048576,AC$93,$C545*2+MIN($B545,2)+5)
+INDEX(Scenarios!AC$121:AC$200,MATCH($B545,Scenarios!$B$121:$B$200,0))</f>
        <v>0</v>
      </c>
      <c r="AD545" s="476">
        <f>INDEX(Input!$1:$1048576,AD$93,$C545*2+MIN($B545,2)+5)</f>
        <v>0.35</v>
      </c>
      <c r="AE545" s="475">
        <f>INDEX(Input!$1:$1048576,AE$93,$C545*2+MIN($B545,2)+5)
+INDEX(Scenarios!AE$121:AE$200,MATCH($B545,Scenarios!$B$121:$B$200,0))</f>
        <v>0</v>
      </c>
      <c r="AF545" s="476">
        <f>INDEX(Input!$1:$1048576,AF$93,$C545*2+MIN($B545,2)+5)</f>
        <v>1</v>
      </c>
      <c r="AG545" s="475">
        <f>INDEX(Input!$1:$1048576,AG$93,$C545*2+MIN($B545,2)+5)
+INDEX(Scenarios!AG$121:AG$200,MATCH($B545,Scenarios!$B$121:$B$200,0))</f>
        <v>0</v>
      </c>
      <c r="AH545" s="476">
        <f>INDEX(Input!$1:$1048576,AH$93,$C545*2+MIN($B545,2)+5)</f>
        <v>1</v>
      </c>
      <c r="AI545" s="475">
        <f>INDEX(Input!$1:$1048576,AI$93,$C545*2+MIN($B545,2)+5)
+INDEX(Scenarios!AI$121:AI$200,MATCH($B545,Scenarios!$B$121:$B$200,0))</f>
        <v>0</v>
      </c>
      <c r="AJ545" s="476">
        <f>INDEX(Input!$1:$1048576,AJ$93,$C545*2+MIN($B545,2)+5)</f>
        <v>0.35</v>
      </c>
      <c r="AK545" s="150">
        <f>ROUND(INDEX(Input!$1:$1048576,AK$93,$C544*2+MIN($B545,1)+5)+(Y545-VLOOKUP($C545*1000+1,$A:$HH,Y$92,FALSE)),0)</f>
        <v>4952</v>
      </c>
      <c r="AL545" s="150">
        <f>ROUND(INDEX(Input!$1:$1048576,AL$93,$C544*2+MIN($B545,1)+5)-(Y545-VLOOKUP($C545*1000+1,$A:$HH,Y$92,FALSE))/36,0)</f>
        <v>4733</v>
      </c>
      <c r="AM545" s="32" t="str">
        <f t="shared" si="1665"/>
        <v>std/std/std/std</v>
      </c>
      <c r="AN545" s="32" t="str">
        <f t="shared" si="1666"/>
        <v>$0 + 0/0/0/0/3.9</v>
      </c>
      <c r="AO545" s="32" t="str">
        <f t="shared" si="1667"/>
        <v>0/0/0/0/3.9</v>
      </c>
      <c r="AP545" s="32" t="str">
        <f t="shared" si="1621"/>
        <v>0/0/0/3.9</v>
      </c>
      <c r="AQ545" s="536">
        <f t="shared" si="1620"/>
        <v>0.39828723873816796</v>
      </c>
      <c r="AR545" s="32"/>
      <c r="AS545" s="302"/>
      <c r="AT545" s="3">
        <f t="shared" si="1688"/>
        <v>45</v>
      </c>
      <c r="AU545" s="41" t="s">
        <v>121</v>
      </c>
      <c r="AV545" s="41" t="s">
        <v>116</v>
      </c>
      <c r="AW545" s="41" t="str">
        <f>INDEX(Input!$1:$1048576,AW$93,$C545*2+6)</f>
        <v>Kia</v>
      </c>
      <c r="AX545" s="41" t="str">
        <f>INDEX(Input!$1:$1048576,AX$93,$C545*2+6)</f>
        <v>Kia-LR - R2</v>
      </c>
      <c r="AY545" s="41" t="str">
        <f>IF(LEN(D545)=0,"",INDEX(Input!$1:$1048576,AY$93,$C545*2+6))</f>
        <v>Compact Conventional/Sporty Car (43)</v>
      </c>
      <c r="AZ545" s="41" t="str">
        <f>INDEX(Input!$1:$1048576,AZ$93,$C545*2+6)</f>
        <v>Kia Forte</v>
      </c>
      <c r="BA545" s="3">
        <f>INDEX(Input!$1:$1048576,BA$93,$C545*2+6)</f>
        <v>2020</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19695</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622"/>
        <v>1250</v>
      </c>
      <c r="CJ545" s="16" t="str">
        <f>INDEX(Input!$1:$1048576,CJ$93,$C545*2+6)</f>
        <v>N</v>
      </c>
      <c r="CK545" s="1" t="str">
        <f t="shared" si="1623"/>
        <v>Market</v>
      </c>
      <c r="CL545" s="1" t="str">
        <f t="shared" si="1624"/>
        <v>Market</v>
      </c>
      <c r="CM545" s="1" t="str">
        <f t="shared" si="1625"/>
        <v>Market</v>
      </c>
      <c r="CN545" s="1" t="str">
        <f t="shared" si="1626"/>
        <v>Market</v>
      </c>
      <c r="CO545" s="1" t="str">
        <f t="shared" si="1627"/>
        <v>Market</v>
      </c>
      <c r="CP545" s="304">
        <f t="shared" si="1628"/>
        <v>215</v>
      </c>
      <c r="CQ545" s="1">
        <f t="shared" si="1629"/>
        <v>0</v>
      </c>
      <c r="CR545" s="1">
        <f t="shared" si="1630"/>
        <v>0</v>
      </c>
      <c r="CS545" s="1">
        <f t="shared" si="1631"/>
        <v>0</v>
      </c>
      <c r="CT545" s="1">
        <f t="shared" si="1632"/>
        <v>0</v>
      </c>
      <c r="CU545" s="1">
        <f t="shared" si="1633"/>
        <v>3.9E-2</v>
      </c>
      <c r="CV545" s="304">
        <f t="shared" si="1634"/>
        <v>-738.3618966787526</v>
      </c>
      <c r="CW545" s="20" t="s">
        <v>122</v>
      </c>
      <c r="CX545" s="20" t="s">
        <v>122</v>
      </c>
      <c r="CY545" s="20" t="s">
        <v>122</v>
      </c>
      <c r="CZ545" s="20" t="s">
        <v>122</v>
      </c>
      <c r="DA545" s="20" t="s">
        <v>122</v>
      </c>
      <c r="DB545" s="503">
        <f t="shared" si="1635"/>
        <v>0</v>
      </c>
      <c r="DC545" s="127">
        <v>0</v>
      </c>
      <c r="DD545" s="127">
        <v>0</v>
      </c>
      <c r="DE545" s="127">
        <v>0</v>
      </c>
      <c r="DF545" s="127">
        <v>0</v>
      </c>
      <c r="DG545" s="127">
        <v>0</v>
      </c>
      <c r="DH545" s="127">
        <v>0</v>
      </c>
      <c r="DI545" s="127">
        <v>0</v>
      </c>
      <c r="DJ545" s="127">
        <v>0</v>
      </c>
      <c r="DK545" s="127">
        <v>0</v>
      </c>
      <c r="DL545" s="127">
        <v>0</v>
      </c>
      <c r="DM545" s="304">
        <f>INDEX(Input!$1:$1048576,DM$93,$C545*2+6)</f>
        <v>20731.578947368424</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4.0853877446443455E-2</v>
      </c>
      <c r="DZ545" s="7">
        <v>0</v>
      </c>
      <c r="EA545" s="7">
        <v>0.72240712505445803</v>
      </c>
      <c r="EB545" s="7">
        <v>0</v>
      </c>
      <c r="EC545" s="7">
        <v>0</v>
      </c>
      <c r="ED545" s="7">
        <v>0</v>
      </c>
      <c r="EE545" s="7">
        <v>0</v>
      </c>
      <c r="EF545" s="7">
        <v>0</v>
      </c>
      <c r="EG545" s="7">
        <v>0</v>
      </c>
      <c r="EH545" s="7">
        <v>7.4643471872409932E-3</v>
      </c>
      <c r="EI545" s="7">
        <v>9.4055117823906593E-3</v>
      </c>
      <c r="EJ545" s="7">
        <v>0.1382315401871258</v>
      </c>
      <c r="EK545" s="7">
        <v>0.82090985430802366</v>
      </c>
      <c r="EL545" s="7">
        <v>2.3988746535219124E-2</v>
      </c>
      <c r="EM545" s="7">
        <v>0.12305343531692228</v>
      </c>
      <c r="EN545" s="7">
        <v>4.7838237058210151E-2</v>
      </c>
      <c r="EO545" s="7">
        <v>0.58178919910285909</v>
      </c>
      <c r="EP545" s="7">
        <v>0.25250273852309402</v>
      </c>
      <c r="EQ545" s="7">
        <v>7.1502052636083266E-2</v>
      </c>
      <c r="ER545" s="7">
        <v>4.6367772679753019E-2</v>
      </c>
      <c r="ES545" s="7">
        <v>0.11368556218217622</v>
      </c>
      <c r="ET545" s="7">
        <v>0.23673899749909844</v>
      </c>
      <c r="EU545" s="6">
        <v>1600</v>
      </c>
      <c r="EV545" s="6">
        <v>0</v>
      </c>
      <c r="EW545" s="6">
        <v>1600</v>
      </c>
      <c r="EX545" s="6">
        <v>0</v>
      </c>
      <c r="EY545" s="6">
        <v>3344.1226249224574</v>
      </c>
      <c r="EZ545" s="6">
        <v>-1363.0908300335955</v>
      </c>
      <c r="FA545" s="6">
        <v>0</v>
      </c>
      <c r="FB545" s="6">
        <v>0</v>
      </c>
      <c r="FC545" s="6">
        <v>0</v>
      </c>
      <c r="FD545" s="6">
        <v>0</v>
      </c>
      <c r="FE545" s="6">
        <v>0</v>
      </c>
      <c r="FF545" s="6">
        <v>0</v>
      </c>
      <c r="FG545" s="6">
        <v>0</v>
      </c>
      <c r="FH545" s="6">
        <v>1153.9834405224126</v>
      </c>
      <c r="FI545" s="6">
        <v>1531.4299904380614</v>
      </c>
      <c r="FJ545" s="6">
        <v>2070.7205842538215</v>
      </c>
      <c r="FK545" s="6">
        <v>2635.395613320291</v>
      </c>
      <c r="FL545" s="6">
        <v>893.91433563489375</v>
      </c>
      <c r="FM545" s="6">
        <v>2494.1226249224574</v>
      </c>
      <c r="FN545" s="6">
        <v>0</v>
      </c>
      <c r="FO545" s="6">
        <v>0</v>
      </c>
      <c r="FP545" s="6">
        <v>0</v>
      </c>
      <c r="FQ545" s="6">
        <v>0</v>
      </c>
      <c r="FR545" s="6">
        <v>0</v>
      </c>
      <c r="FS545" s="6">
        <v>0</v>
      </c>
      <c r="FT545" s="7">
        <v>0.76326100250090145</v>
      </c>
      <c r="FU545" s="7">
        <v>0.12305343531692228</v>
      </c>
      <c r="FV545" s="7">
        <v>0.11368556218217622</v>
      </c>
      <c r="FW545" s="6">
        <v>1600</v>
      </c>
      <c r="FX545" s="6">
        <v>3344.1226249224574</v>
      </c>
      <c r="FY545" s="6">
        <v>-1363.0908300335955</v>
      </c>
      <c r="FZ545" s="6">
        <v>2411.9063952864503</v>
      </c>
      <c r="GA545" s="6">
        <v>1477.7596338014557</v>
      </c>
      <c r="GB545" s="6">
        <v>18217.240366198545</v>
      </c>
      <c r="GC545" s="7">
        <v>7.6138913542514425E-2</v>
      </c>
      <c r="GD545" s="7">
        <v>6.7984632732267625E-2</v>
      </c>
      <c r="GE545" s="7"/>
      <c r="GF545" s="7"/>
      <c r="GG545" s="7">
        <v>-0.10709741485467369</v>
      </c>
      <c r="GH545" s="42">
        <v>2.257978802184907</v>
      </c>
      <c r="GI545" s="6">
        <v>10200.162156332828</v>
      </c>
      <c r="GJ545" s="14">
        <v>0.5107463060103955</v>
      </c>
      <c r="GK545" s="14">
        <v>0.50829519786160982</v>
      </c>
      <c r="GL545" s="14">
        <v>0.48925369398960439</v>
      </c>
      <c r="GM545" s="14">
        <v>0.49170480213839024</v>
      </c>
      <c r="GO545" s="5">
        <v>338.16872463277008</v>
      </c>
      <c r="GP545" s="5">
        <v>307.64377699166363</v>
      </c>
      <c r="GQ545" s="5">
        <v>527.27910984145694</v>
      </c>
      <c r="GR545" s="5">
        <v>404.20319246551543</v>
      </c>
      <c r="GS545" s="5">
        <v>334.50205195691484</v>
      </c>
      <c r="GT545" s="5">
        <v>289.18266033348181</v>
      </c>
      <c r="GU545" s="5">
        <v>254.29573314828914</v>
      </c>
      <c r="GV545" s="39" t="s">
        <v>392</v>
      </c>
      <c r="GW545" s="5">
        <v>468.76388888888891</v>
      </c>
      <c r="GX545" s="5">
        <v>351.57291666666669</v>
      </c>
      <c r="GY545" s="5">
        <v>281.25833333333333</v>
      </c>
      <c r="GZ545" s="5">
        <v>234.38194444444446</v>
      </c>
      <c r="HA545" s="5">
        <v>229.8919505212948</v>
      </c>
      <c r="HB545" s="39">
        <v>243.60577983057908</v>
      </c>
      <c r="HC545" s="5">
        <v>342.75084881396981</v>
      </c>
      <c r="HD545" s="5">
        <v>277.02900980034525</v>
      </c>
      <c r="HE545" s="5">
        <v>275.25710238124515</v>
      </c>
      <c r="HF545" s="5">
        <v>249.22464978663214</v>
      </c>
      <c r="HG545" s="5">
        <v>233.7008417861702</v>
      </c>
      <c r="HH545" s="39">
        <v>275.72851578092371</v>
      </c>
      <c r="HI545" s="16"/>
      <c r="HJ545" s="19" t="str">
        <f t="shared" si="1742"/>
        <v>On</v>
      </c>
      <c r="HK545" s="1" t="str">
        <f t="shared" si="1742"/>
        <v>On</v>
      </c>
      <c r="HL545" s="16"/>
      <c r="HM545" s="639">
        <f t="shared" si="1636"/>
        <v>5.1181272167489952E-2</v>
      </c>
      <c r="HN545" s="639">
        <f t="shared" si="1637"/>
        <v>4.2792051795134348E-3</v>
      </c>
      <c r="HO545" s="639">
        <f t="shared" si="1638"/>
        <v>7.4145241462331068E-3</v>
      </c>
      <c r="HP545" s="644">
        <f>(FT545*$GD545-HM545)/$JF545*INDEX(Input!$1:$1048576,$JG$93,$C545*2+6)</f>
        <v>8.3640570684133699</v>
      </c>
      <c r="HQ545" s="644">
        <f>(FU545*$GD545-HN545)/$JF545*INDEX(Input!$1:$1048576,$JG$93,$C545*2+6)</f>
        <v>48.226015090021079</v>
      </c>
      <c r="HR545" s="644">
        <f>(FV545*$GD545-HO545)/$JF545*INDEX(Input!$1:$1048576,$JG$93,$C545*2+6)</f>
        <v>3.7096700176183726</v>
      </c>
      <c r="HS545" s="644">
        <f t="shared" si="1639"/>
        <v>-7.6458810034522777</v>
      </c>
      <c r="HT545" s="644">
        <f t="shared" si="1640"/>
        <v>59.954398618211442</v>
      </c>
      <c r="HU545" s="644">
        <f t="shared" si="1641"/>
        <v>13.403924481640878</v>
      </c>
      <c r="HV545" s="648">
        <f t="shared" si="1642"/>
        <v>0</v>
      </c>
      <c r="HW545" s="648">
        <f t="shared" si="1643"/>
        <v>0</v>
      </c>
      <c r="HX545" s="648">
        <f t="shared" si="1644"/>
        <v>0</v>
      </c>
      <c r="HY545" s="644">
        <f>INDEX(Input!$1:$1048576,HY$93,$C545*2+6)*INDEX(Input!$1:$1048576,$JG$93,$C545*2+6)</f>
        <v>345</v>
      </c>
      <c r="HZ545" s="644">
        <f>INDEX(Input!$1:$1048576,HZ$93,$C545*2+6)*INDEX(Input!$1:$1048576,$JG$93,$C545*2+6)</f>
        <v>299</v>
      </c>
      <c r="IA545" s="644">
        <f>INDEX(Input!$1:$1048576,IA$93,$C545*2+6)*INDEX(Input!$1:$1048576,$JG$93,$C545*2+6)</f>
        <v>98</v>
      </c>
      <c r="IB545" s="644">
        <f t="shared" si="1668"/>
        <v>345.71817606496109</v>
      </c>
      <c r="IC545" s="644">
        <f t="shared" si="1669"/>
        <v>407.18041370823249</v>
      </c>
      <c r="ID545" s="644">
        <f>IF(AND(INDEX(Input!$1:$1048576,IA$93,$C545*2+7)="TOS",Y545&lt;=INDEX(Y:Y,MATCH(C545*1000+2,A:A))),0,1)*MAX(IA545+HR545+HU545+HX545,0%)</f>
        <v>115.11359449925925</v>
      </c>
      <c r="IE545" s="128">
        <f t="shared" si="1743"/>
        <v>0.39828723873816796</v>
      </c>
      <c r="IF545" s="128">
        <f t="shared" si="1691"/>
        <v>0.46909527433594883</v>
      </c>
      <c r="IG545" s="128">
        <f t="shared" si="1646"/>
        <v>0.1326174869258831</v>
      </c>
      <c r="IH545" s="21"/>
      <c r="II545" s="19">
        <f t="shared" si="1647"/>
        <v>1200</v>
      </c>
      <c r="IJ545" s="19">
        <f t="shared" si="1648"/>
        <v>2231.5440334087361</v>
      </c>
      <c r="IK545" s="19">
        <f t="shared" si="1649"/>
        <v>-2048.0908300335955</v>
      </c>
      <c r="IL545" s="19">
        <f t="shared" si="1671"/>
        <v>400</v>
      </c>
      <c r="IM545" s="19">
        <f t="shared" si="1650"/>
        <v>1112.5785915137212</v>
      </c>
      <c r="IN545" s="19">
        <f t="shared" si="1651"/>
        <v>685</v>
      </c>
      <c r="IO545" s="39">
        <f t="shared" si="1652"/>
        <v>0</v>
      </c>
      <c r="IP545" s="39">
        <f t="shared" si="1653"/>
        <v>0</v>
      </c>
      <c r="IQ545" s="39">
        <f t="shared" si="1654"/>
        <v>0</v>
      </c>
      <c r="IR545" s="39">
        <v>0</v>
      </c>
      <c r="IS545" s="39">
        <v>0</v>
      </c>
      <c r="IT545" s="39">
        <v>0</v>
      </c>
      <c r="IU545" s="39">
        <v>0</v>
      </c>
      <c r="IV545" s="39">
        <v>0</v>
      </c>
      <c r="IW545" s="39">
        <v>0</v>
      </c>
      <c r="IX545" s="39">
        <f>INDEX(Input!$1:$1048576,IX$93,$C545*2+6)+INDEX(Input!$1:$1048576,IX$94,$C545*2+6)</f>
        <v>1600</v>
      </c>
      <c r="IY545" s="39">
        <f>INDEX(Input!$1:$1048576,IY$93,$C545*2+6)+INDEX(Input!$1:$1048576,IY$94,$C545*2+6)</f>
        <v>2503.5492916397525</v>
      </c>
      <c r="IZ545" s="39">
        <f>INDEX(Input!$1:$1048576,IZ$93,$C545*2+6)+INDEX(Input!$1:$1048576,IZ$94,$C545*2+6)</f>
        <v>5413.7109265464023</v>
      </c>
      <c r="JA545" s="19">
        <f t="shared" si="1672"/>
        <v>2000</v>
      </c>
      <c r="JB545" s="19">
        <f t="shared" si="1673"/>
        <v>3616.1278831534737</v>
      </c>
      <c r="JC545" s="19">
        <f t="shared" si="1674"/>
        <v>6098.7109265464023</v>
      </c>
      <c r="JD545" s="19">
        <f t="shared" si="1675"/>
        <v>3301.678695424097</v>
      </c>
      <c r="JE545" s="21"/>
      <c r="JF545" s="1">
        <f t="shared" si="1655"/>
        <v>6.2875001493236493E-2</v>
      </c>
      <c r="JG545" s="15">
        <f>INDEX(Input!$1:$1048576,JG$93,$C545*2+6)/(1+VLOOKUP(C545*1000+INDEX(Input!$1:$1048576,JG$93+1,$C545*2+6),$A:$KK,$JK$92,FALSE))</f>
        <v>742</v>
      </c>
      <c r="JH545" s="1">
        <f t="shared" si="1676"/>
        <v>8.1266498889559058E-2</v>
      </c>
      <c r="JI545" s="1">
        <f t="shared" si="1677"/>
        <v>8.8561242717520292E-2</v>
      </c>
      <c r="JJ545" s="1">
        <f t="shared" si="1715"/>
        <v>0</v>
      </c>
      <c r="JK545" s="1">
        <f t="shared" si="1719"/>
        <v>0.16982774160707936</v>
      </c>
      <c r="JL545" s="15">
        <f t="shared" si="1680"/>
        <v>126.01218427245288</v>
      </c>
      <c r="JM545" s="15">
        <f t="shared" si="1706"/>
        <v>868.01218427245294</v>
      </c>
      <c r="JN545" s="21"/>
      <c r="JO545" s="19">
        <f>INDEX(Input!$1:$1048576,JO$93,$C545*2+6)</f>
        <v>5908.5</v>
      </c>
      <c r="JP545" s="19">
        <f>INDEX(Input!$1:$1048576,JP$93,$C545*2+6)</f>
        <v>2467.7963733178344</v>
      </c>
      <c r="JQ545" s="39">
        <f t="shared" si="1692"/>
        <v>2606.821304575903</v>
      </c>
      <c r="JR545" s="39">
        <f t="shared" si="1709"/>
        <v>833.88232210626256</v>
      </c>
      <c r="JS545" s="39">
        <f t="shared" si="1694"/>
        <v>2.8658973361808933</v>
      </c>
      <c r="JT545" s="39">
        <f t="shared" si="1682"/>
        <v>1.0347924271790603</v>
      </c>
      <c r="JU545" s="385">
        <f>(JQ545*JM545-INDEX(Input!$1:$1048576,Input!A$18,$C545*2+6)*JL545*INDEX(Input!$1:$1048576,Input!A$19,$C545*2+6))/1000000</f>
        <v>2.2627526545928949</v>
      </c>
      <c r="JV545" s="39">
        <f t="shared" si="1716"/>
        <v>-0.29024943640527168</v>
      </c>
      <c r="JW545" s="1">
        <f t="shared" si="1707"/>
        <v>-0.11368946285969968</v>
      </c>
      <c r="JX545" s="19">
        <f t="shared" si="1698"/>
        <v>8211.8442208867655</v>
      </c>
      <c r="JZ545" s="341"/>
      <c r="KA545" s="342"/>
      <c r="KB545" s="469">
        <f t="shared" si="1695"/>
        <v>2.4623520912331753</v>
      </c>
      <c r="KI545" s="473">
        <f t="shared" si="1744"/>
        <v>0.7181760649610851</v>
      </c>
      <c r="KJ545" s="473">
        <f t="shared" si="1745"/>
        <v>108.18041370823249</v>
      </c>
      <c r="KK545" s="473">
        <f t="shared" si="1684"/>
        <v>17.113594499259264</v>
      </c>
      <c r="KN545" s="544">
        <f t="shared" si="1699"/>
        <v>5002</v>
      </c>
      <c r="KO545" s="541">
        <f t="shared" si="1659"/>
        <v>8.6984875895352198E-2</v>
      </c>
      <c r="KP545" s="546">
        <f t="shared" si="1660"/>
        <v>381.99303089701471</v>
      </c>
      <c r="KQ545" s="546">
        <f t="shared" si="1661"/>
        <v>442.90624927238787</v>
      </c>
      <c r="KR545" s="548">
        <f t="shared" si="1662"/>
        <v>3.8338321536348419</v>
      </c>
      <c r="KS545" s="548">
        <f t="shared" si="1663"/>
        <v>3.3065624310411006</v>
      </c>
      <c r="KT545" s="473">
        <f t="shared" si="1697"/>
        <v>389.37465324503302</v>
      </c>
      <c r="KU545" s="663">
        <f t="shared" si="1685"/>
        <v>7.3326830840156969</v>
      </c>
      <c r="KV545" s="117"/>
    </row>
    <row r="546" spans="1:308" s="26" customFormat="1" ht="15">
      <c r="A546" s="561">
        <f t="shared" si="1664"/>
        <v>5046</v>
      </c>
      <c r="B546" s="561">
        <f t="shared" si="1686"/>
        <v>46</v>
      </c>
      <c r="C546" s="561">
        <f t="shared" si="1687"/>
        <v>5</v>
      </c>
      <c r="D546" s="561" t="str">
        <f t="shared" si="1736"/>
        <v xml:space="preserve">0/0/0/3.9, 360 Lease, </v>
      </c>
      <c r="E546" s="475">
        <f>INDEX(Input!$1:$1048576,E$93,$C546*2+MIN($B546,2)+5)
+INDEX(Scenarios!E$121:E$200,MATCH($B546,Scenarios!$B$121:$B$200,0))</f>
        <v>1250</v>
      </c>
      <c r="F546" s="475">
        <f>INDEX(Input!$1:$1048576,F$93,$C546*2+MIN($B546,2)+5)
+INDEX(Scenarios!F$121:F$200,MATCH($B546,Scenarios!$B$121:$B$200,0))</f>
        <v>0</v>
      </c>
      <c r="G546" s="475">
        <f>INDEX(Input!$1:$1048576,G$93,$C546*2+MIN($B546,2)+5)
+INDEX(Scenarios!G$121:G$200,MATCH($B546,Scenarios!$B$121:$B$200,0))</f>
        <v>0</v>
      </c>
      <c r="H546" s="475">
        <f>INDEX(Input!$1:$1048576,H$93,$C546*2+MIN($B546,2)+5)
+INDEX(Scenarios!H$121:H$200,MATCH($B546,Scenarios!$B$121:$B$200,0))</f>
        <v>0</v>
      </c>
      <c r="I546" s="476">
        <f>INDEX(Input!$1:$1048576,I$93,$C546*2+MIN($B546,2)+5)</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+INDEX(Scenarios!Q$121:Q$200,MATCH($B546,Scenarios!$B$121:$B$200,0))</f>
        <v>0</v>
      </c>
      <c r="R546" s="478">
        <f>IFERROR(MAX(0,INDEX(Input!$1:$1048576,R$93,$C546*2+MIN($B546,2)+5)
+INDEX(Scenarios!R$121:R$200,MATCH($B546,Scenarios!$B$121:$B$200,0)),),"Market")</f>
        <v>0</v>
      </c>
      <c r="S546" s="478">
        <f>IFERROR(MAX(0,INDEX(Input!$1:$1048576,S$93,$C546*2+MIN($B546,2)+5)
+INDEX(Scenarios!S$121:S$200,MATCH($B546,Scenarios!$B$121:$B$200,0)),),"Market")</f>
        <v>0</v>
      </c>
      <c r="T546" s="478">
        <f>IFERROR(MAX(0,INDEX(Input!$1:$1048576,T$93,$C546*2+MIN($B546,2)+5)
+INDEX(Scenarios!T$121:T$200,MATCH($B546,Scenarios!$B$121:$B$200,0)),),"Market")</f>
        <v>0</v>
      </c>
      <c r="U546" s="478">
        <f>IFERROR(MAX(0,INDEX(Input!$1:$1048576,U$93,$C546*2+MIN($B546,2)+5)
+INDEX(Scenarios!U$121:U$200,MATCH($B546,Scenarios!$B$121:$B$200,0)),),"Market")</f>
        <v>0</v>
      </c>
      <c r="V546" s="478">
        <f>IFERROR(MAX(0,INDEX(Input!$1:$1048576,V$93,$C546*2+MIN($B546,2)+5)
+INDEX(Scenarios!V$121:V$200,MATCH($B546,Scenarios!$B$121:$B$200,0)),),"Market")</f>
        <v>0</v>
      </c>
      <c r="W546" s="863">
        <f>IFERROR(MAX(0,INDEX(Input!$1:$1048576,W$93,$C546*2+MIN($B546,2)+5)-0%,),"Market")</f>
        <v>3.9E-2</v>
      </c>
      <c r="X546" s="476" t="str">
        <f>INDEX(Input!$1:$1048576,X$93,$C546*2+MIN($B546,2)+5)</f>
        <v>Y</v>
      </c>
      <c r="Y546" s="475">
        <f>INDEX(Input!$1:$1048576,Y$93,$C546*2+MIN($B546,2)+5)
++INDEX(Scenarios!Y$121:Y$200,MATCH($B546,Scenarios!$B$121:$B$200,0))</f>
        <v>-738.3618966787526</v>
      </c>
      <c r="Z546" s="477">
        <f>INDEX(Input!$1:$1048576,Z$93,$C546*2+MIN($B546,2)+5)
+INDEX(Scenarios!Z$121:Z$200,MATCH($B546,Scenarios!$B$121:$B$200,0))</f>
        <v>0</v>
      </c>
      <c r="AA546" s="475">
        <f>INDEX(Input!$1:$1048576,AA$93,$C546*2+MIN($B546,2)+5)</f>
        <v>500</v>
      </c>
      <c r="AB546" s="476">
        <f>INDEX(Input!$1:$1048576,AB$93,$C546*2+MIN($B546,2)+5)</f>
        <v>0.43</v>
      </c>
      <c r="AC546" s="475">
        <f>INDEX(Input!$1:$1048576,AC$93,$C546*2+MIN($B546,2)+5)
+INDEX(Scenarios!AC$121:AC$200,MATCH($B546,Scenarios!$B$121:$B$200,0))</f>
        <v>0</v>
      </c>
      <c r="AD546" s="476">
        <f>INDEX(Input!$1:$1048576,AD$93,$C546*2+MIN($B546,2)+5)</f>
        <v>0.35</v>
      </c>
      <c r="AE546" s="475">
        <f>INDEX(Input!$1:$1048576,AE$93,$C546*2+MIN($B546,2)+5)
+INDEX(Scenarios!AE$121:AE$200,MATCH($B546,Scenarios!$B$121:$B$200,0))</f>
        <v>0</v>
      </c>
      <c r="AF546" s="476">
        <f>INDEX(Input!$1:$1048576,AF$93,$C546*2+MIN($B546,2)+5)</f>
        <v>1</v>
      </c>
      <c r="AG546" s="475">
        <f>INDEX(Input!$1:$1048576,AG$93,$C546*2+MIN($B546,2)+5)
+INDEX(Scenarios!AG$121:AG$200,MATCH($B546,Scenarios!$B$121:$B$200,0))</f>
        <v>0</v>
      </c>
      <c r="AH546" s="476">
        <f>INDEX(Input!$1:$1048576,AH$93,$C546*2+MIN($B546,2)+5)</f>
        <v>1</v>
      </c>
      <c r="AI546" s="475">
        <f>INDEX(Input!$1:$1048576,AI$93,$C546*2+MIN($B546,2)+5)
+INDEX(Scenarios!AI$121:AI$200,MATCH($B546,Scenarios!$B$121:$B$200,0))</f>
        <v>0</v>
      </c>
      <c r="AJ546" s="476">
        <f>INDEX(Input!$1:$1048576,AJ$93,$C546*2+MIN($B546,2)+5)</f>
        <v>0.35</v>
      </c>
      <c r="AK546" s="150">
        <f>ROUND(INDEX(Input!$1:$1048576,AK$93,$C545*2+MIN($B546,1)+5)+(Y546-VLOOKUP($C546*1000+1,$A:$HH,Y$92,FALSE)),0)</f>
        <v>4952</v>
      </c>
      <c r="AL546" s="150">
        <f>ROUND(INDEX(Input!$1:$1048576,AL$93,$C545*2+MIN($B546,1)+5)-(Y546-VLOOKUP($C546*1000+1,$A:$HH,Y$92,FALSE))/36,0)</f>
        <v>4733</v>
      </c>
      <c r="AM546" s="32" t="str">
        <f t="shared" si="1665"/>
        <v>std/std/std/std</v>
      </c>
      <c r="AN546" s="32" t="str">
        <f t="shared" si="1666"/>
        <v>$0 + 0/0/0/0/3.9</v>
      </c>
      <c r="AO546" s="32" t="str">
        <f t="shared" si="1667"/>
        <v>0/0/0/0/3.9</v>
      </c>
      <c r="AP546" s="32" t="str">
        <f t="shared" si="1621"/>
        <v>0/0/0/3.9</v>
      </c>
      <c r="AQ546" s="536">
        <f t="shared" si="1620"/>
        <v>0.39828723873816796</v>
      </c>
      <c r="AR546" s="32"/>
      <c r="AS546" s="302"/>
      <c r="AT546" s="3">
        <f t="shared" si="1688"/>
        <v>46</v>
      </c>
      <c r="AU546" s="41" t="s">
        <v>121</v>
      </c>
      <c r="AV546" s="41" t="s">
        <v>116</v>
      </c>
      <c r="AW546" s="41" t="str">
        <f>INDEX(Input!$1:$1048576,AW$93,$C546*2+6)</f>
        <v>Kia</v>
      </c>
      <c r="AX546" s="41" t="str">
        <f>INDEX(Input!$1:$1048576,AX$93,$C546*2+6)</f>
        <v>Kia-LR - R2</v>
      </c>
      <c r="AY546" s="41" t="str">
        <f>IF(LEN(D546)=0,"",INDEX(Input!$1:$1048576,AY$93,$C546*2+6))</f>
        <v>Compact Conventional/Sporty Car (43)</v>
      </c>
      <c r="AZ546" s="41" t="str">
        <f>INDEX(Input!$1:$1048576,AZ$93,$C546*2+6)</f>
        <v>Kia Forte</v>
      </c>
      <c r="BA546" s="3">
        <f>INDEX(Input!$1:$1048576,BA$93,$C546*2+6)</f>
        <v>2020</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19695</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622"/>
        <v>1250</v>
      </c>
      <c r="CJ546" s="16" t="str">
        <f>INDEX(Input!$1:$1048576,CJ$93,$C546*2+6)</f>
        <v>N</v>
      </c>
      <c r="CK546" s="1" t="str">
        <f t="shared" si="1623"/>
        <v>Market</v>
      </c>
      <c r="CL546" s="1" t="str">
        <f t="shared" si="1624"/>
        <v>Market</v>
      </c>
      <c r="CM546" s="1" t="str">
        <f t="shared" si="1625"/>
        <v>Market</v>
      </c>
      <c r="CN546" s="1" t="str">
        <f t="shared" si="1626"/>
        <v>Market</v>
      </c>
      <c r="CO546" s="1" t="str">
        <f t="shared" si="1627"/>
        <v>Market</v>
      </c>
      <c r="CP546" s="304">
        <f t="shared" si="1628"/>
        <v>215</v>
      </c>
      <c r="CQ546" s="1">
        <f t="shared" si="1629"/>
        <v>0</v>
      </c>
      <c r="CR546" s="1">
        <f t="shared" si="1630"/>
        <v>0</v>
      </c>
      <c r="CS546" s="1">
        <f t="shared" si="1631"/>
        <v>0</v>
      </c>
      <c r="CT546" s="1">
        <f t="shared" si="1632"/>
        <v>0</v>
      </c>
      <c r="CU546" s="1">
        <f t="shared" si="1633"/>
        <v>3.9E-2</v>
      </c>
      <c r="CV546" s="304">
        <f t="shared" si="1634"/>
        <v>-738.3618966787526</v>
      </c>
      <c r="CW546" s="20" t="s">
        <v>122</v>
      </c>
      <c r="CX546" s="20" t="s">
        <v>122</v>
      </c>
      <c r="CY546" s="20" t="s">
        <v>122</v>
      </c>
      <c r="CZ546" s="20" t="s">
        <v>122</v>
      </c>
      <c r="DA546" s="20" t="s">
        <v>122</v>
      </c>
      <c r="DB546" s="503">
        <f t="shared" si="1635"/>
        <v>0</v>
      </c>
      <c r="DC546" s="127">
        <v>0</v>
      </c>
      <c r="DD546" s="127">
        <v>0</v>
      </c>
      <c r="DE546" s="127">
        <v>0</v>
      </c>
      <c r="DF546" s="127">
        <v>0</v>
      </c>
      <c r="DG546" s="127">
        <v>0</v>
      </c>
      <c r="DH546" s="127">
        <v>0</v>
      </c>
      <c r="DI546" s="127">
        <v>0</v>
      </c>
      <c r="DJ546" s="127">
        <v>0</v>
      </c>
      <c r="DK546" s="127">
        <v>0</v>
      </c>
      <c r="DL546" s="127">
        <v>0</v>
      </c>
      <c r="DM546" s="304">
        <f>INDEX(Input!$1:$1048576,DM$93,$C546*2+6)</f>
        <v>20731.578947368424</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4.0853877446443455E-2</v>
      </c>
      <c r="DZ546" s="7">
        <v>0</v>
      </c>
      <c r="EA546" s="7">
        <v>0.72240712505445803</v>
      </c>
      <c r="EB546" s="7">
        <v>0</v>
      </c>
      <c r="EC546" s="7">
        <v>0</v>
      </c>
      <c r="ED546" s="7">
        <v>0</v>
      </c>
      <c r="EE546" s="7">
        <v>0</v>
      </c>
      <c r="EF546" s="7">
        <v>0</v>
      </c>
      <c r="EG546" s="7">
        <v>0</v>
      </c>
      <c r="EH546" s="7">
        <v>7.4643471872409932E-3</v>
      </c>
      <c r="EI546" s="7">
        <v>9.4055117823906593E-3</v>
      </c>
      <c r="EJ546" s="7">
        <v>0.1382315401871258</v>
      </c>
      <c r="EK546" s="7">
        <v>0.82090985430802366</v>
      </c>
      <c r="EL546" s="7">
        <v>2.3988746535219124E-2</v>
      </c>
      <c r="EM546" s="7">
        <v>0.12305343531692228</v>
      </c>
      <c r="EN546" s="7">
        <v>4.7838237058210151E-2</v>
      </c>
      <c r="EO546" s="7">
        <v>0.58178919910285909</v>
      </c>
      <c r="EP546" s="7">
        <v>0.25250273852309402</v>
      </c>
      <c r="EQ546" s="7">
        <v>7.1502052636083266E-2</v>
      </c>
      <c r="ER546" s="7">
        <v>4.6367772679753019E-2</v>
      </c>
      <c r="ES546" s="7">
        <v>0.11368556218217622</v>
      </c>
      <c r="ET546" s="7">
        <v>0.23673899749909844</v>
      </c>
      <c r="EU546" s="6">
        <v>1600</v>
      </c>
      <c r="EV546" s="6">
        <v>0</v>
      </c>
      <c r="EW546" s="6">
        <v>1600</v>
      </c>
      <c r="EX546" s="6">
        <v>0</v>
      </c>
      <c r="EY546" s="6">
        <v>3344.1226249224574</v>
      </c>
      <c r="EZ546" s="6">
        <v>-1363.0908300335955</v>
      </c>
      <c r="FA546" s="6">
        <v>0</v>
      </c>
      <c r="FB546" s="6">
        <v>0</v>
      </c>
      <c r="FC546" s="6">
        <v>0</v>
      </c>
      <c r="FD546" s="6">
        <v>0</v>
      </c>
      <c r="FE546" s="6">
        <v>0</v>
      </c>
      <c r="FF546" s="6">
        <v>0</v>
      </c>
      <c r="FG546" s="6">
        <v>0</v>
      </c>
      <c r="FH546" s="6">
        <v>1153.9834405224126</v>
      </c>
      <c r="FI546" s="6">
        <v>1531.4299904380614</v>
      </c>
      <c r="FJ546" s="6">
        <v>2070.7205842538215</v>
      </c>
      <c r="FK546" s="6">
        <v>2635.395613320291</v>
      </c>
      <c r="FL546" s="6">
        <v>893.91433563489375</v>
      </c>
      <c r="FM546" s="6">
        <v>2494.1226249224574</v>
      </c>
      <c r="FN546" s="6">
        <v>0</v>
      </c>
      <c r="FO546" s="6">
        <v>0</v>
      </c>
      <c r="FP546" s="6">
        <v>0</v>
      </c>
      <c r="FQ546" s="6">
        <v>0</v>
      </c>
      <c r="FR546" s="6">
        <v>0</v>
      </c>
      <c r="FS546" s="6">
        <v>0</v>
      </c>
      <c r="FT546" s="7">
        <v>0.76326100250090145</v>
      </c>
      <c r="FU546" s="7">
        <v>0.12305343531692228</v>
      </c>
      <c r="FV546" s="7">
        <v>0.11368556218217622</v>
      </c>
      <c r="FW546" s="6">
        <v>1600</v>
      </c>
      <c r="FX546" s="6">
        <v>3344.1226249224574</v>
      </c>
      <c r="FY546" s="6">
        <v>-1363.0908300335955</v>
      </c>
      <c r="FZ546" s="6">
        <v>2411.9063952864503</v>
      </c>
      <c r="GA546" s="6">
        <v>1477.7596338014557</v>
      </c>
      <c r="GB546" s="6">
        <v>18217.240366198545</v>
      </c>
      <c r="GC546" s="7">
        <v>7.6138913542514425E-2</v>
      </c>
      <c r="GD546" s="7">
        <v>6.7984632732267625E-2</v>
      </c>
      <c r="GE546" s="7"/>
      <c r="GF546" s="7"/>
      <c r="GG546" s="7">
        <v>-0.10709741485467369</v>
      </c>
      <c r="GH546" s="42">
        <v>2.257978802184907</v>
      </c>
      <c r="GI546" s="6">
        <v>10200.162156332828</v>
      </c>
      <c r="GJ546" s="14">
        <v>0.5107463060103955</v>
      </c>
      <c r="GK546" s="14">
        <v>0.50829519786160982</v>
      </c>
      <c r="GL546" s="14">
        <v>0.48925369398960439</v>
      </c>
      <c r="GM546" s="14">
        <v>0.49170480213839024</v>
      </c>
      <c r="GO546" s="5">
        <v>338.16872463277008</v>
      </c>
      <c r="GP546" s="5">
        <v>307.64377699166363</v>
      </c>
      <c r="GQ546" s="5">
        <v>527.27910984145694</v>
      </c>
      <c r="GR546" s="5">
        <v>404.20319246551543</v>
      </c>
      <c r="GS546" s="5">
        <v>334.50205195691484</v>
      </c>
      <c r="GT546" s="5">
        <v>289.18266033348181</v>
      </c>
      <c r="GU546" s="5">
        <v>254.29573314828914</v>
      </c>
      <c r="GV546" s="39" t="s">
        <v>392</v>
      </c>
      <c r="GW546" s="5">
        <v>468.76388888888891</v>
      </c>
      <c r="GX546" s="5">
        <v>351.57291666666669</v>
      </c>
      <c r="GY546" s="5">
        <v>281.25833333333333</v>
      </c>
      <c r="GZ546" s="5">
        <v>234.38194444444446</v>
      </c>
      <c r="HA546" s="5">
        <v>229.8919505212948</v>
      </c>
      <c r="HB546" s="39">
        <v>243.60577983057908</v>
      </c>
      <c r="HC546" s="5">
        <v>342.75084881396981</v>
      </c>
      <c r="HD546" s="5">
        <v>277.02900980034525</v>
      </c>
      <c r="HE546" s="5">
        <v>275.25710238124515</v>
      </c>
      <c r="HF546" s="5">
        <v>249.22464978663214</v>
      </c>
      <c r="HG546" s="5">
        <v>233.7008417861702</v>
      </c>
      <c r="HH546" s="39">
        <v>275.72851578092371</v>
      </c>
      <c r="HI546" s="16"/>
      <c r="HJ546" s="19" t="str">
        <f t="shared" si="1742"/>
        <v>On</v>
      </c>
      <c r="HK546" s="1" t="str">
        <f t="shared" si="1742"/>
        <v>On</v>
      </c>
      <c r="HL546" s="16"/>
      <c r="HM546" s="639">
        <f t="shared" si="1636"/>
        <v>5.1181272167489952E-2</v>
      </c>
      <c r="HN546" s="639">
        <f t="shared" si="1637"/>
        <v>4.2792051795134348E-3</v>
      </c>
      <c r="HO546" s="639">
        <f t="shared" si="1638"/>
        <v>7.4145241462331068E-3</v>
      </c>
      <c r="HP546" s="644">
        <f>(FT546*$GD546-HM546)/$JF546*INDEX(Input!$1:$1048576,$JG$93,$C546*2+6)</f>
        <v>8.3640570684133699</v>
      </c>
      <c r="HQ546" s="644">
        <f>(FU546*$GD546-HN546)/$JF546*INDEX(Input!$1:$1048576,$JG$93,$C546*2+6)</f>
        <v>48.226015090021079</v>
      </c>
      <c r="HR546" s="644">
        <f>(FV546*$GD546-HO546)/$JF546*INDEX(Input!$1:$1048576,$JG$93,$C546*2+6)</f>
        <v>3.7096700176183726</v>
      </c>
      <c r="HS546" s="644">
        <f t="shared" si="1639"/>
        <v>-7.6458810034522777</v>
      </c>
      <c r="HT546" s="644">
        <f t="shared" si="1640"/>
        <v>59.954398618211442</v>
      </c>
      <c r="HU546" s="644">
        <f t="shared" si="1641"/>
        <v>13.403924481640878</v>
      </c>
      <c r="HV546" s="648">
        <f t="shared" si="1642"/>
        <v>0</v>
      </c>
      <c r="HW546" s="648">
        <f t="shared" si="1643"/>
        <v>0</v>
      </c>
      <c r="HX546" s="648">
        <f t="shared" si="1644"/>
        <v>0</v>
      </c>
      <c r="HY546" s="644">
        <f>INDEX(Input!$1:$1048576,HY$93,$C546*2+6)*INDEX(Input!$1:$1048576,$JG$93,$C546*2+6)</f>
        <v>345</v>
      </c>
      <c r="HZ546" s="644">
        <f>INDEX(Input!$1:$1048576,HZ$93,$C546*2+6)*INDEX(Input!$1:$1048576,$JG$93,$C546*2+6)</f>
        <v>299</v>
      </c>
      <c r="IA546" s="644">
        <f>INDEX(Input!$1:$1048576,IA$93,$C546*2+6)*INDEX(Input!$1:$1048576,$JG$93,$C546*2+6)</f>
        <v>98</v>
      </c>
      <c r="IB546" s="644">
        <f t="shared" si="1668"/>
        <v>345.71817606496109</v>
      </c>
      <c r="IC546" s="644">
        <f t="shared" si="1669"/>
        <v>407.18041370823249</v>
      </c>
      <c r="ID546" s="644">
        <f>IF(AND(INDEX(Input!$1:$1048576,IA$93,$C546*2+7)="TOS",Y546&lt;=INDEX(Y:Y,MATCH(C546*1000+2,A:A))),0,1)*MAX(IA546+HR546+HU546+HX546,0%)</f>
        <v>115.11359449925925</v>
      </c>
      <c r="IE546" s="128">
        <f t="shared" si="1743"/>
        <v>0.39828723873816796</v>
      </c>
      <c r="IF546" s="128">
        <f t="shared" si="1691"/>
        <v>0.46909527433594883</v>
      </c>
      <c r="IG546" s="128">
        <f t="shared" si="1646"/>
        <v>0.1326174869258831</v>
      </c>
      <c r="IH546" s="21"/>
      <c r="II546" s="19">
        <f t="shared" si="1647"/>
        <v>1200</v>
      </c>
      <c r="IJ546" s="19">
        <f t="shared" si="1648"/>
        <v>2231.5440334087361</v>
      </c>
      <c r="IK546" s="19">
        <f t="shared" si="1649"/>
        <v>-2048.0908300335955</v>
      </c>
      <c r="IL546" s="19">
        <f t="shared" si="1671"/>
        <v>400</v>
      </c>
      <c r="IM546" s="19">
        <f t="shared" si="1650"/>
        <v>1112.5785915137212</v>
      </c>
      <c r="IN546" s="19">
        <f t="shared" si="1651"/>
        <v>685</v>
      </c>
      <c r="IO546" s="39">
        <f t="shared" si="1652"/>
        <v>0</v>
      </c>
      <c r="IP546" s="39">
        <f t="shared" si="1653"/>
        <v>0</v>
      </c>
      <c r="IQ546" s="39">
        <f t="shared" si="1654"/>
        <v>0</v>
      </c>
      <c r="IR546" s="39">
        <v>0</v>
      </c>
      <c r="IS546" s="39">
        <v>0</v>
      </c>
      <c r="IT546" s="39">
        <v>0</v>
      </c>
      <c r="IU546" s="39">
        <v>0</v>
      </c>
      <c r="IV546" s="39">
        <v>0</v>
      </c>
      <c r="IW546" s="39">
        <v>0</v>
      </c>
      <c r="IX546" s="39">
        <f>INDEX(Input!$1:$1048576,IX$93,$C546*2+6)+INDEX(Input!$1:$1048576,IX$94,$C546*2+6)</f>
        <v>1600</v>
      </c>
      <c r="IY546" s="39">
        <f>INDEX(Input!$1:$1048576,IY$93,$C546*2+6)+INDEX(Input!$1:$1048576,IY$94,$C546*2+6)</f>
        <v>2503.5492916397525</v>
      </c>
      <c r="IZ546" s="39">
        <f>INDEX(Input!$1:$1048576,IZ$93,$C546*2+6)+INDEX(Input!$1:$1048576,IZ$94,$C546*2+6)</f>
        <v>5413.7109265464023</v>
      </c>
      <c r="JA546" s="19">
        <f t="shared" si="1672"/>
        <v>2000</v>
      </c>
      <c r="JB546" s="19">
        <f t="shared" si="1673"/>
        <v>3616.1278831534737</v>
      </c>
      <c r="JC546" s="19">
        <f t="shared" si="1674"/>
        <v>6098.7109265464023</v>
      </c>
      <c r="JD546" s="19">
        <f t="shared" si="1675"/>
        <v>3301.678695424097</v>
      </c>
      <c r="JE546" s="21"/>
      <c r="JF546" s="1">
        <f t="shared" si="1655"/>
        <v>6.2875001493236493E-2</v>
      </c>
      <c r="JG546" s="15">
        <f>INDEX(Input!$1:$1048576,JG$93,$C546*2+6)/(1+VLOOKUP(C546*1000+INDEX(Input!$1:$1048576,JG$93+1,$C546*2+6),$A:$KK,$JK$92,FALSE))</f>
        <v>742</v>
      </c>
      <c r="JH546" s="1">
        <f t="shared" si="1676"/>
        <v>8.1266498889559058E-2</v>
      </c>
      <c r="JI546" s="1">
        <f t="shared" si="1677"/>
        <v>8.8561242717520292E-2</v>
      </c>
      <c r="JJ546" s="1">
        <f t="shared" si="1715"/>
        <v>0</v>
      </c>
      <c r="JK546" s="1">
        <f t="shared" si="1719"/>
        <v>0.16982774160707936</v>
      </c>
      <c r="JL546" s="15">
        <f t="shared" si="1680"/>
        <v>126.01218427245288</v>
      </c>
      <c r="JM546" s="15">
        <f t="shared" si="1706"/>
        <v>868.01218427245294</v>
      </c>
      <c r="JN546" s="21"/>
      <c r="JO546" s="19">
        <f>INDEX(Input!$1:$1048576,JO$93,$C546*2+6)</f>
        <v>5908.5</v>
      </c>
      <c r="JP546" s="19">
        <f>INDEX(Input!$1:$1048576,JP$93,$C546*2+6)</f>
        <v>2467.7963733178344</v>
      </c>
      <c r="JQ546" s="39">
        <f t="shared" si="1692"/>
        <v>2606.821304575903</v>
      </c>
      <c r="JR546" s="39">
        <f t="shared" si="1709"/>
        <v>833.88232210626256</v>
      </c>
      <c r="JS546" s="39">
        <f t="shared" si="1694"/>
        <v>2.8658973361808933</v>
      </c>
      <c r="JT546" s="39">
        <f t="shared" si="1682"/>
        <v>1.0347924271790603</v>
      </c>
      <c r="JU546" s="385">
        <f>(JQ546*JM546-INDEX(Input!$1:$1048576,Input!A$18,$C546*2+6)*JL546*INDEX(Input!$1:$1048576,Input!A$19,$C546*2+6))/1000000</f>
        <v>2.2627526545928949</v>
      </c>
      <c r="JV546" s="39">
        <f t="shared" si="1716"/>
        <v>-0.29024943640527168</v>
      </c>
      <c r="JW546" s="1">
        <f t="shared" si="1707"/>
        <v>-0.11368946285969968</v>
      </c>
      <c r="JX546" s="19">
        <f t="shared" si="1698"/>
        <v>8211.8442208867655</v>
      </c>
      <c r="JZ546" s="341"/>
      <c r="KA546" s="342"/>
      <c r="KB546" s="469">
        <f t="shared" si="1695"/>
        <v>2.4623520912331753</v>
      </c>
      <c r="KI546" s="473">
        <f t="shared" si="1744"/>
        <v>0.7181760649610851</v>
      </c>
      <c r="KJ546" s="473">
        <f t="shared" si="1745"/>
        <v>108.18041370823249</v>
      </c>
      <c r="KK546" s="473">
        <f t="shared" si="1684"/>
        <v>17.113594499259264</v>
      </c>
      <c r="KN546" s="544">
        <f t="shared" si="1699"/>
        <v>5002</v>
      </c>
      <c r="KO546" s="541">
        <f t="shared" si="1659"/>
        <v>8.6984875895352198E-2</v>
      </c>
      <c r="KP546" s="546">
        <f t="shared" si="1660"/>
        <v>381.99303089701471</v>
      </c>
      <c r="KQ546" s="546">
        <f t="shared" si="1661"/>
        <v>442.90624927238787</v>
      </c>
      <c r="KR546" s="548">
        <f t="shared" si="1662"/>
        <v>3.8338321536348419</v>
      </c>
      <c r="KS546" s="548">
        <f t="shared" si="1663"/>
        <v>3.3065624310411006</v>
      </c>
      <c r="KT546" s="473">
        <f t="shared" si="1697"/>
        <v>389.37465324503302</v>
      </c>
      <c r="KU546" s="663">
        <f t="shared" si="1685"/>
        <v>7.332684084015697</v>
      </c>
      <c r="KV546" s="117"/>
    </row>
    <row r="547" spans="1:308" s="26" customFormat="1" ht="15">
      <c r="A547" s="561">
        <f t="shared" si="1664"/>
        <v>5047</v>
      </c>
      <c r="B547" s="561">
        <f t="shared" si="1686"/>
        <v>47</v>
      </c>
      <c r="C547" s="561">
        <f t="shared" si="1687"/>
        <v>5</v>
      </c>
      <c r="D547" s="561" t="str">
        <f t="shared" si="1736"/>
        <v xml:space="preserve">250 CC, -360 Lease, </v>
      </c>
      <c r="E547" s="475">
        <f>INDEX(Input!$1:$1048576,E$93,$C547*2+MIN($B547,2)+5)
+INDEX(Scenarios!E$121:E$200,MATCH($B547,Scenarios!$B$121:$B$200,0))</f>
        <v>1500</v>
      </c>
      <c r="F547" s="475">
        <f>INDEX(Input!$1:$1048576,F$93,$C547*2+MIN($B547,2)+5)
+INDEX(Scenarios!F$121:F$200,MATCH($B547,Scenarios!$B$121:$B$200,0))</f>
        <v>0</v>
      </c>
      <c r="G547" s="475">
        <f>INDEX(Input!$1:$1048576,G$93,$C547*2+MIN($B547,2)+5)
+INDEX(Scenarios!G$121:G$200,MATCH($B547,Scenarios!$B$121:$B$200,0))</f>
        <v>0</v>
      </c>
      <c r="H547" s="475">
        <f>INDEX(Input!$1:$1048576,H$93,$C547*2+MIN($B547,2)+5)
+INDEX(Scenarios!H$121:H$200,MATCH($B547,Scenarios!$B$121:$B$200,0))</f>
        <v>0</v>
      </c>
      <c r="I547" s="476">
        <f>INDEX(Input!$1:$1048576,I$93,$C547*2+MIN($B547,2)+5)</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+INDEX(Scenarios!Q$121:Q$200,MATCH($B547,Scenarios!$B$121:$B$200,0))</f>
        <v>0</v>
      </c>
      <c r="R547" s="478">
        <f>IFERROR(MAX(0,INDEX(Input!$1:$1048576,R$93,$C547*2+MIN($B547,2)+5)
+INDEX(Scenarios!R$121:R$200,MATCH($B547,Scenarios!$B$121:$B$200,0)),),"Market")</f>
        <v>0</v>
      </c>
      <c r="S547" s="478">
        <f>IFERROR(MAX(0,INDEX(Input!$1:$1048576,S$93,$C547*2+MIN($B547,2)+5)
+INDEX(Scenarios!S$121:S$200,MATCH($B547,Scenarios!$B$121:$B$200,0)),),"Market")</f>
        <v>0</v>
      </c>
      <c r="T547" s="478">
        <f>IFERROR(MAX(0,INDEX(Input!$1:$1048576,T$93,$C547*2+MIN($B547,2)+5)
+INDEX(Scenarios!T$121:T$200,MATCH($B547,Scenarios!$B$121:$B$200,0)),),"Market")</f>
        <v>0</v>
      </c>
      <c r="U547" s="478">
        <f>IFERROR(MAX(0,INDEX(Input!$1:$1048576,U$93,$C547*2+MIN($B547,2)+5)
+INDEX(Scenarios!U$121:U$200,MATCH($B547,Scenarios!$B$121:$B$200,0)),),"Market")</f>
        <v>0</v>
      </c>
      <c r="V547" s="478">
        <f>IFERROR(MAX(0,INDEX(Input!$1:$1048576,V$93,$C547*2+MIN($B547,2)+5)
+INDEX(Scenarios!V$121:V$200,MATCH($B547,Scenarios!$B$121:$B$200,0)),),"Market")</f>
        <v>1.9E-2</v>
      </c>
      <c r="W547" s="863">
        <f>IFERROR(MAX(0,INDEX(Input!$1:$1048576,W$93,$C547*2+MIN($B547,2)+5)-0%,),"Market")</f>
        <v>3.9E-2</v>
      </c>
      <c r="X547" s="476" t="str">
        <f>INDEX(Input!$1:$1048576,X$93,$C547*2+MIN($B547,2)+5)</f>
        <v>Y</v>
      </c>
      <c r="Y547" s="475">
        <f>INDEX(Input!$1:$1048576,Y$93,$C547*2+MIN($B547,2)+5)
++INDEX(Scenarios!Y$121:Y$200,MATCH($B547,Scenarios!$B$121:$B$200,0))</f>
        <v>-1458.3618966787526</v>
      </c>
      <c r="Z547" s="477">
        <f>INDEX(Input!$1:$1048576,Z$93,$C547*2+MIN($B547,2)+5)
+INDEX(Scenarios!Z$121:Z$200,MATCH($B547,Scenarios!$B$121:$B$200,0))</f>
        <v>0</v>
      </c>
      <c r="AA547" s="475">
        <f>INDEX(Input!$1:$1048576,AA$93,$C547*2+MIN($B547,2)+5)</f>
        <v>500</v>
      </c>
      <c r="AB547" s="476">
        <f>INDEX(Input!$1:$1048576,AB$93,$C547*2+MIN($B547,2)+5)</f>
        <v>0.43</v>
      </c>
      <c r="AC547" s="475">
        <f>INDEX(Input!$1:$1048576,AC$93,$C547*2+MIN($B547,2)+5)
+INDEX(Scenarios!AC$121:AC$200,MATCH($B547,Scenarios!$B$121:$B$200,0))</f>
        <v>0</v>
      </c>
      <c r="AD547" s="476">
        <f>INDEX(Input!$1:$1048576,AD$93,$C547*2+MIN($B547,2)+5)</f>
        <v>0.35</v>
      </c>
      <c r="AE547" s="475">
        <f>INDEX(Input!$1:$1048576,AE$93,$C547*2+MIN($B547,2)+5)
+INDEX(Scenarios!AE$121:AE$200,MATCH($B547,Scenarios!$B$121:$B$200,0))</f>
        <v>0</v>
      </c>
      <c r="AF547" s="476">
        <f>INDEX(Input!$1:$1048576,AF$93,$C547*2+MIN($B547,2)+5)</f>
        <v>1</v>
      </c>
      <c r="AG547" s="475">
        <f>INDEX(Input!$1:$1048576,AG$93,$C547*2+MIN($B547,2)+5)
+INDEX(Scenarios!AG$121:AG$200,MATCH($B547,Scenarios!$B$121:$B$200,0))</f>
        <v>0</v>
      </c>
      <c r="AH547" s="476">
        <f>INDEX(Input!$1:$1048576,AH$93,$C547*2+MIN($B547,2)+5)</f>
        <v>1</v>
      </c>
      <c r="AI547" s="475">
        <f>INDEX(Input!$1:$1048576,AI$93,$C547*2+MIN($B547,2)+5)
+INDEX(Scenarios!AI$121:AI$200,MATCH($B547,Scenarios!$B$121:$B$200,0))</f>
        <v>0</v>
      </c>
      <c r="AJ547" s="476">
        <f>INDEX(Input!$1:$1048576,AJ$93,$C547*2+MIN($B547,2)+5)</f>
        <v>0.35</v>
      </c>
      <c r="AK547" s="150">
        <f>ROUND(INDEX(Input!$1:$1048576,AK$93,$C546*2+MIN($B547,1)+5)+(Y547-VLOOKUP($C547*1000+1,$A:$HH,Y$92,FALSE)),0)</f>
        <v>4232</v>
      </c>
      <c r="AL547" s="150">
        <f>ROUND(INDEX(Input!$1:$1048576,AL$93,$C546*2+MIN($B547,1)+5)-(Y547-VLOOKUP($C547*1000+1,$A:$HH,Y$92,FALSE))/36,0)</f>
        <v>4753</v>
      </c>
      <c r="AM547" s="32" t="str">
        <f t="shared" si="1665"/>
        <v>std/std/std/std</v>
      </c>
      <c r="AN547" s="32" t="str">
        <f t="shared" si="1666"/>
        <v>$0 + 0/0/0/1.9/3.9</v>
      </c>
      <c r="AO547" s="32" t="str">
        <f t="shared" si="1667"/>
        <v>0/0/0/1.9/3.9</v>
      </c>
      <c r="AP547" s="32" t="str">
        <f t="shared" si="1621"/>
        <v>0/0.9/1.9/3.9</v>
      </c>
      <c r="AQ547" s="536">
        <f t="shared" si="1620"/>
        <v>0.48884979397300238</v>
      </c>
      <c r="AR547" s="32"/>
      <c r="AS547" s="302"/>
      <c r="AT547" s="3">
        <f t="shared" si="1688"/>
        <v>47</v>
      </c>
      <c r="AU547" s="41" t="s">
        <v>121</v>
      </c>
      <c r="AV547" s="41" t="s">
        <v>116</v>
      </c>
      <c r="AW547" s="41" t="str">
        <f>INDEX(Input!$1:$1048576,AW$93,$C547*2+6)</f>
        <v>Kia</v>
      </c>
      <c r="AX547" s="41" t="str">
        <f>INDEX(Input!$1:$1048576,AX$93,$C547*2+6)</f>
        <v>Kia-LR - R2</v>
      </c>
      <c r="AY547" s="41" t="str">
        <f>IF(LEN(D547)=0,"",INDEX(Input!$1:$1048576,AY$93,$C547*2+6))</f>
        <v>Compact Conventional/Sporty Car (43)</v>
      </c>
      <c r="AZ547" s="41" t="str">
        <f>INDEX(Input!$1:$1048576,AZ$93,$C547*2+6)</f>
        <v>Kia Forte</v>
      </c>
      <c r="BA547" s="3">
        <f>INDEX(Input!$1:$1048576,BA$93,$C547*2+6)</f>
        <v>2020</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19695</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622"/>
        <v>1500</v>
      </c>
      <c r="CJ547" s="16" t="str">
        <f>INDEX(Input!$1:$1048576,CJ$93,$C547*2+6)</f>
        <v>N</v>
      </c>
      <c r="CK547" s="1" t="str">
        <f t="shared" si="1623"/>
        <v>Market</v>
      </c>
      <c r="CL547" s="1" t="str">
        <f t="shared" si="1624"/>
        <v>Market</v>
      </c>
      <c r="CM547" s="1" t="str">
        <f t="shared" si="1625"/>
        <v>Market</v>
      </c>
      <c r="CN547" s="1" t="str">
        <f t="shared" si="1626"/>
        <v>Market</v>
      </c>
      <c r="CO547" s="1" t="str">
        <f t="shared" si="1627"/>
        <v>Market</v>
      </c>
      <c r="CP547" s="304">
        <f t="shared" si="1628"/>
        <v>215</v>
      </c>
      <c r="CQ547" s="1">
        <f t="shared" si="1629"/>
        <v>0</v>
      </c>
      <c r="CR547" s="1">
        <f t="shared" si="1630"/>
        <v>0</v>
      </c>
      <c r="CS547" s="1">
        <f t="shared" si="1631"/>
        <v>0</v>
      </c>
      <c r="CT547" s="1">
        <f t="shared" si="1632"/>
        <v>1.9E-2</v>
      </c>
      <c r="CU547" s="1">
        <f t="shared" si="1633"/>
        <v>3.9E-2</v>
      </c>
      <c r="CV547" s="304">
        <f t="shared" si="1634"/>
        <v>-1458.3618966787526</v>
      </c>
      <c r="CW547" s="20" t="s">
        <v>122</v>
      </c>
      <c r="CX547" s="20" t="s">
        <v>122</v>
      </c>
      <c r="CY547" s="20" t="s">
        <v>122</v>
      </c>
      <c r="CZ547" s="20" t="s">
        <v>122</v>
      </c>
      <c r="DA547" s="20" t="s">
        <v>122</v>
      </c>
      <c r="DB547" s="503">
        <f t="shared" si="1635"/>
        <v>0</v>
      </c>
      <c r="DC547" s="127">
        <v>0</v>
      </c>
      <c r="DD547" s="127">
        <v>0</v>
      </c>
      <c r="DE547" s="127">
        <v>0</v>
      </c>
      <c r="DF547" s="127">
        <v>0</v>
      </c>
      <c r="DG547" s="127">
        <v>0</v>
      </c>
      <c r="DH547" s="127">
        <v>0</v>
      </c>
      <c r="DI547" s="127">
        <v>0</v>
      </c>
      <c r="DJ547" s="127">
        <v>0</v>
      </c>
      <c r="DK547" s="127">
        <v>0</v>
      </c>
      <c r="DL547" s="127">
        <v>0</v>
      </c>
      <c r="DM547" s="304">
        <f>INDEX(Input!$1:$1048576,DM$93,$C547*2+6)</f>
        <v>20731.578947368424</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4.4829845617435513E-2</v>
      </c>
      <c r="DZ547" s="7">
        <v>0</v>
      </c>
      <c r="EA547" s="7">
        <v>0.79033823269391312</v>
      </c>
      <c r="EB547" s="7">
        <v>0</v>
      </c>
      <c r="EC547" s="7">
        <v>0</v>
      </c>
      <c r="ED547" s="7">
        <v>0</v>
      </c>
      <c r="EE547" s="7">
        <v>0</v>
      </c>
      <c r="EF547" s="7">
        <v>0</v>
      </c>
      <c r="EG547" s="7">
        <v>0</v>
      </c>
      <c r="EH547" s="7">
        <v>1.4451314814920097E-2</v>
      </c>
      <c r="EI547" s="7">
        <v>1.8190162863303209E-2</v>
      </c>
      <c r="EJ547" s="7">
        <v>0.26778832286726245</v>
      </c>
      <c r="EK547" s="7">
        <v>0.65320039325360246</v>
      </c>
      <c r="EL547" s="7">
        <v>4.6369806200911606E-2</v>
      </c>
      <c r="EM547" s="7">
        <v>6.5122044898897849E-2</v>
      </c>
      <c r="EN547" s="7">
        <v>4.6961959578762369E-2</v>
      </c>
      <c r="EO547" s="7">
        <v>0.58335290900506731</v>
      </c>
      <c r="EP547" s="7">
        <v>0.24967433662950103</v>
      </c>
      <c r="EQ547" s="7">
        <v>7.2897522019624281E-2</v>
      </c>
      <c r="ER547" s="7">
        <v>4.7113272767044759E-2</v>
      </c>
      <c r="ES547" s="7">
        <v>9.9709876789753626E-2</v>
      </c>
      <c r="ET547" s="7">
        <v>0.16483192168865146</v>
      </c>
      <c r="EU547" s="6">
        <v>1850</v>
      </c>
      <c r="EV547" s="6">
        <v>0</v>
      </c>
      <c r="EW547" s="6">
        <v>1850</v>
      </c>
      <c r="EX547" s="6">
        <v>0</v>
      </c>
      <c r="EY547" s="6">
        <v>2631.6338488709998</v>
      </c>
      <c r="EZ547" s="6">
        <v>-2083.0908300335955</v>
      </c>
      <c r="FA547" s="6">
        <v>0</v>
      </c>
      <c r="FB547" s="6">
        <v>0</v>
      </c>
      <c r="FC547" s="6">
        <v>0</v>
      </c>
      <c r="FD547" s="6">
        <v>0</v>
      </c>
      <c r="FE547" s="6">
        <v>0</v>
      </c>
      <c r="FF547" s="6">
        <v>0</v>
      </c>
      <c r="FG547" s="6">
        <v>0</v>
      </c>
      <c r="FH547" s="6">
        <v>1153.9902227978966</v>
      </c>
      <c r="FI547" s="6">
        <v>1531.4299904380623</v>
      </c>
      <c r="FJ547" s="6">
        <v>2070.7205842538233</v>
      </c>
      <c r="FK547" s="6">
        <v>1746.9903521590438</v>
      </c>
      <c r="FL547" s="6">
        <v>893.91433563489375</v>
      </c>
      <c r="FM547" s="6">
        <v>1781.6338488710001</v>
      </c>
      <c r="FN547" s="6">
        <v>0</v>
      </c>
      <c r="FO547" s="6">
        <v>0</v>
      </c>
      <c r="FP547" s="6">
        <v>0</v>
      </c>
      <c r="FQ547" s="6">
        <v>0</v>
      </c>
      <c r="FR547" s="6">
        <v>0</v>
      </c>
      <c r="FS547" s="6">
        <v>0</v>
      </c>
      <c r="FT547" s="7">
        <v>0.83516807831134865</v>
      </c>
      <c r="FU547" s="7">
        <v>6.5122044898897849E-2</v>
      </c>
      <c r="FV547" s="7">
        <v>9.9709876789753626E-2</v>
      </c>
      <c r="FW547" s="6">
        <v>1849.9999999999998</v>
      </c>
      <c r="FX547" s="6">
        <v>2631.6338488709998</v>
      </c>
      <c r="FY547" s="6">
        <v>-2083.0908300335955</v>
      </c>
      <c r="FZ547" s="6">
        <v>2411.9063952864503</v>
      </c>
      <c r="GA547" s="6">
        <v>1508.733592535116</v>
      </c>
      <c r="GB547" s="6">
        <v>18186.266407464886</v>
      </c>
      <c r="GC547" s="7">
        <v>7.6138913542514425E-2</v>
      </c>
      <c r="GD547" s="7">
        <v>6.7441724819929355E-2</v>
      </c>
      <c r="GE547" s="7"/>
      <c r="GF547" s="7"/>
      <c r="GG547" s="7">
        <v>-0.11422790683411493</v>
      </c>
      <c r="GH547" s="42">
        <v>2.49090607937327</v>
      </c>
      <c r="GI547" s="6">
        <v>9415.4949767119961</v>
      </c>
      <c r="GJ547" s="14">
        <v>0.51074630601039561</v>
      </c>
      <c r="GK547" s="14">
        <v>0.50829519786160959</v>
      </c>
      <c r="GL547" s="14">
        <v>0.489253693989604</v>
      </c>
      <c r="GM547" s="14">
        <v>0.49170480213839002</v>
      </c>
      <c r="GO547" s="5">
        <v>338.16872463277008</v>
      </c>
      <c r="GP547" s="5">
        <v>302.87425392274076</v>
      </c>
      <c r="GQ547" s="5">
        <v>527.27910984145694</v>
      </c>
      <c r="GR547" s="5">
        <v>404.20319246551543</v>
      </c>
      <c r="GS547" s="5">
        <v>334.50205195691484</v>
      </c>
      <c r="GT547" s="5">
        <v>289.18266033348181</v>
      </c>
      <c r="GU547" s="5">
        <v>254.29573314828914</v>
      </c>
      <c r="GV547" s="39" t="s">
        <v>392</v>
      </c>
      <c r="GW547" s="5">
        <v>468.76388888888891</v>
      </c>
      <c r="GX547" s="5">
        <v>351.57291666666669</v>
      </c>
      <c r="GY547" s="5">
        <v>281.25833333333333</v>
      </c>
      <c r="GZ547" s="5">
        <v>248.18079879493993</v>
      </c>
      <c r="HA547" s="5">
        <v>229.8919505212948</v>
      </c>
      <c r="HB547" s="39">
        <v>261.25896108413747</v>
      </c>
      <c r="HC547" s="5">
        <v>374.25084881396981</v>
      </c>
      <c r="HD547" s="5">
        <v>298.52900980034525</v>
      </c>
      <c r="HE547" s="5">
        <v>295.2186408427836</v>
      </c>
      <c r="HF547" s="5">
        <v>265.87464978663218</v>
      </c>
      <c r="HG547" s="5">
        <v>247.50084178617021</v>
      </c>
      <c r="HH547" s="39">
        <v>296.47401564326373</v>
      </c>
      <c r="HI547" s="16"/>
      <c r="HJ547" s="19" t="str">
        <f t="shared" si="1742"/>
        <v>On</v>
      </c>
      <c r="HK547" s="1" t="str">
        <f t="shared" si="1742"/>
        <v>On</v>
      </c>
      <c r="HL547" s="16"/>
      <c r="HM547" s="639">
        <f t="shared" si="1636"/>
        <v>5.1181272167489952E-2</v>
      </c>
      <c r="HN547" s="639">
        <f t="shared" si="1637"/>
        <v>4.2792051795134348E-3</v>
      </c>
      <c r="HO547" s="639">
        <f t="shared" si="1638"/>
        <v>7.4145241462331068E-3</v>
      </c>
      <c r="HP547" s="644">
        <f>(FT547*$GD547-HM547)/$JF547*INDEX(Input!$1:$1048576,$JG$93,$C547*2+6)</f>
        <v>60.704196298166494</v>
      </c>
      <c r="HQ547" s="644">
        <f>(FU547*$GD547-HN547)/$JF547*INDEX(Input!$1:$1048576,$JG$93,$C547*2+6)</f>
        <v>1.3304411037299781</v>
      </c>
      <c r="HR547" s="644">
        <f>(FV547*$GD547-HO547)/$JF547*INDEX(Input!$1:$1048576,$JG$93,$C547*2+6)</f>
        <v>-8.1418560431459035</v>
      </c>
      <c r="HS547" s="644">
        <f t="shared" si="1639"/>
        <v>-12.129605074142468</v>
      </c>
      <c r="HT547" s="644">
        <f t="shared" si="1640"/>
        <v>20.422031271187635</v>
      </c>
      <c r="HU547" s="644">
        <f t="shared" si="1641"/>
        <v>0.91811063392189096</v>
      </c>
      <c r="HV547" s="648">
        <f t="shared" si="1642"/>
        <v>0</v>
      </c>
      <c r="HW547" s="648">
        <f t="shared" si="1643"/>
        <v>0</v>
      </c>
      <c r="HX547" s="648">
        <f t="shared" si="1644"/>
        <v>0</v>
      </c>
      <c r="HY547" s="644">
        <f>INDEX(Input!$1:$1048576,HY$93,$C547*2+6)*INDEX(Input!$1:$1048576,$JG$93,$C547*2+6)</f>
        <v>345</v>
      </c>
      <c r="HZ547" s="644">
        <f>INDEX(Input!$1:$1048576,HZ$93,$C547*2+6)*INDEX(Input!$1:$1048576,$JG$93,$C547*2+6)</f>
        <v>299</v>
      </c>
      <c r="IA547" s="644">
        <f>INDEX(Input!$1:$1048576,IA$93,$C547*2+6)*INDEX(Input!$1:$1048576,$JG$93,$C547*2+6)</f>
        <v>98</v>
      </c>
      <c r="IB547" s="644">
        <f t="shared" si="1668"/>
        <v>393.574591224024</v>
      </c>
      <c r="IC547" s="644">
        <f t="shared" si="1669"/>
        <v>320.7524723749176</v>
      </c>
      <c r="ID547" s="644">
        <f>IF(AND(INDEX(Input!$1:$1048576,IA$93,$C547*2+7)="TOS",Y547&lt;=INDEX(Y:Y,MATCH(C547*1000+2,A:A))),0,1)*MAX(IA547+HR547+HU547+HX547,0%)</f>
        <v>90.776254590775977</v>
      </c>
      <c r="IE547" s="128">
        <f t="shared" si="1743"/>
        <v>0.48884979397300238</v>
      </c>
      <c r="IF547" s="128">
        <f t="shared" si="1691"/>
        <v>0.39839914347407307</v>
      </c>
      <c r="IG547" s="128">
        <f t="shared" si="1646"/>
        <v>0.11275106255292457</v>
      </c>
      <c r="IH547" s="21"/>
      <c r="II547" s="19">
        <f t="shared" si="1647"/>
        <v>1200</v>
      </c>
      <c r="IJ547" s="19">
        <f t="shared" si="1648"/>
        <v>2231.5440334087361</v>
      </c>
      <c r="IK547" s="19">
        <f t="shared" si="1649"/>
        <v>-2048.0908300335955</v>
      </c>
      <c r="IL547" s="19">
        <f t="shared" si="1671"/>
        <v>649.99999999999977</v>
      </c>
      <c r="IM547" s="19">
        <f t="shared" si="1650"/>
        <v>400.08981546226369</v>
      </c>
      <c r="IN547" s="19">
        <f t="shared" si="1651"/>
        <v>-35</v>
      </c>
      <c r="IO547" s="39">
        <f t="shared" si="1652"/>
        <v>0</v>
      </c>
      <c r="IP547" s="39">
        <f t="shared" si="1653"/>
        <v>0</v>
      </c>
      <c r="IQ547" s="39">
        <f t="shared" si="1654"/>
        <v>0</v>
      </c>
      <c r="IR547" s="39">
        <v>0</v>
      </c>
      <c r="IS547" s="39">
        <v>0</v>
      </c>
      <c r="IT547" s="39">
        <v>0</v>
      </c>
      <c r="IU547" s="39">
        <v>0</v>
      </c>
      <c r="IV547" s="39">
        <v>0</v>
      </c>
      <c r="IW547" s="39">
        <v>0</v>
      </c>
      <c r="IX547" s="39">
        <f>INDEX(Input!$1:$1048576,IX$93,$C547*2+6)+INDEX(Input!$1:$1048576,IX$94,$C547*2+6)</f>
        <v>1600</v>
      </c>
      <c r="IY547" s="39">
        <f>INDEX(Input!$1:$1048576,IY$93,$C547*2+6)+INDEX(Input!$1:$1048576,IY$94,$C547*2+6)</f>
        <v>2503.5492916397525</v>
      </c>
      <c r="IZ547" s="39">
        <f>INDEX(Input!$1:$1048576,IZ$93,$C547*2+6)+INDEX(Input!$1:$1048576,IZ$94,$C547*2+6)</f>
        <v>5413.7109265464023</v>
      </c>
      <c r="JA547" s="19">
        <f t="shared" si="1672"/>
        <v>2250</v>
      </c>
      <c r="JB547" s="19">
        <f t="shared" si="1673"/>
        <v>2903.6391071020162</v>
      </c>
      <c r="JC547" s="19">
        <f t="shared" si="1674"/>
        <v>5378.7109265464023</v>
      </c>
      <c r="JD547" s="19">
        <f t="shared" si="1675"/>
        <v>2863.174741799653</v>
      </c>
      <c r="JE547" s="21"/>
      <c r="JF547" s="1">
        <f t="shared" si="1655"/>
        <v>6.2875001493236493E-2</v>
      </c>
      <c r="JG547" s="15">
        <f>INDEX(Input!$1:$1048576,JG$93,$C547*2+6)/(1+VLOOKUP(C547*1000+INDEX(Input!$1:$1048576,JG$93+1,$C547*2+6),$A:$KK,$JK$92,FALSE))</f>
        <v>742</v>
      </c>
      <c r="JH547" s="1">
        <f t="shared" si="1676"/>
        <v>7.2631780806941465E-2</v>
      </c>
      <c r="JI547" s="1">
        <f t="shared" si="1677"/>
        <v>1.2413122413702234E-2</v>
      </c>
      <c r="JJ547" s="1">
        <f t="shared" si="1715"/>
        <v>0</v>
      </c>
      <c r="JK547" s="1">
        <f t="shared" si="1719"/>
        <v>8.5044903220643703E-2</v>
      </c>
      <c r="JL547" s="15">
        <f t="shared" si="1680"/>
        <v>63.103318189717626</v>
      </c>
      <c r="JM547" s="15">
        <f t="shared" si="1706"/>
        <v>805.10331818971758</v>
      </c>
      <c r="JN547" s="21"/>
      <c r="JO547" s="19">
        <f>INDEX(Input!$1:$1048576,JO$93,$C547*2+6)</f>
        <v>5908.5</v>
      </c>
      <c r="JP547" s="19">
        <f>INDEX(Input!$1:$1048576,JP$93,$C547*2+6)</f>
        <v>2467.7963733178344</v>
      </c>
      <c r="JQ547" s="39">
        <f t="shared" si="1692"/>
        <v>3045.325258200347</v>
      </c>
      <c r="JR547" s="39">
        <f t="shared" si="1709"/>
        <v>395.3783684818186</v>
      </c>
      <c r="JS547" s="39">
        <f t="shared" si="1694"/>
        <v>2.3051514851798887</v>
      </c>
      <c r="JT547" s="39">
        <f t="shared" si="1682"/>
        <v>0.47404657617805551</v>
      </c>
      <c r="JU547" s="385">
        <f>(JQ547*JM547-INDEX(Input!$1:$1048576,Input!A$18,$C547*2+6)*JL547*INDEX(Input!$1:$1048576,Input!A$19,$C547*2+6))/1000000</f>
        <v>2.4518014703440576</v>
      </c>
      <c r="JV547" s="39">
        <f t="shared" si="1716"/>
        <v>-0.10120062065410895</v>
      </c>
      <c r="JW547" s="1">
        <f t="shared" si="1707"/>
        <v>-3.9639850280945826E-2</v>
      </c>
      <c r="JX547" s="19">
        <f t="shared" si="1698"/>
        <v>7512.2289885430946</v>
      </c>
      <c r="JZ547" s="341"/>
      <c r="KA547" s="342"/>
      <c r="KB547" s="469">
        <f t="shared" si="1695"/>
        <v>2.4623520912331753</v>
      </c>
      <c r="KI547" s="473">
        <f t="shared" si="1744"/>
        <v>48.574591224024005</v>
      </c>
      <c r="KJ547" s="473">
        <f t="shared" si="1745"/>
        <v>21.752472374917602</v>
      </c>
      <c r="KK547" s="473">
        <f t="shared" si="1684"/>
        <v>-7.2237454092240228</v>
      </c>
      <c r="KN547" s="544">
        <f t="shared" si="1699"/>
        <v>5002</v>
      </c>
      <c r="KO547" s="541">
        <f t="shared" si="1659"/>
        <v>8.2060439496063342E-3</v>
      </c>
      <c r="KP547" s="546">
        <f t="shared" si="1660"/>
        <v>81.643822931585163</v>
      </c>
      <c r="KQ547" s="546">
        <f t="shared" si="1661"/>
        <v>4.4022956479439017</v>
      </c>
      <c r="KR547" s="548">
        <f t="shared" si="1662"/>
        <v>1.6922140376526067</v>
      </c>
      <c r="KS547" s="548">
        <f t="shared" si="1663"/>
        <v>31.383358661288341</v>
      </c>
      <c r="KT547" s="473">
        <f t="shared" si="1697"/>
        <v>389.37465324503302</v>
      </c>
      <c r="KU547" s="663">
        <f t="shared" si="1685"/>
        <v>7.3443472660869276</v>
      </c>
      <c r="KV547" s="117"/>
    </row>
    <row r="548" spans="1:308" s="26" customFormat="1" ht="15">
      <c r="A548" s="561">
        <f t="shared" si="1664"/>
        <v>5048</v>
      </c>
      <c r="B548" s="561">
        <f t="shared" si="1686"/>
        <v>48</v>
      </c>
      <c r="C548" s="561">
        <f t="shared" si="1687"/>
        <v>5</v>
      </c>
      <c r="D548" s="561" t="str">
        <f t="shared" si="1736"/>
        <v xml:space="preserve">500 CC, -360 Lease, </v>
      </c>
      <c r="E548" s="475">
        <f>INDEX(Input!$1:$1048576,E$93,$C548*2+MIN($B548,2)+5)
+INDEX(Scenarios!E$121:E$200,MATCH($B548,Scenarios!$B$121:$B$200,0))</f>
        <v>1750</v>
      </c>
      <c r="F548" s="475">
        <f>INDEX(Input!$1:$1048576,F$93,$C548*2+MIN($B548,2)+5)
+INDEX(Scenarios!F$121:F$200,MATCH($B548,Scenarios!$B$121:$B$200,0))</f>
        <v>0</v>
      </c>
      <c r="G548" s="475">
        <f>INDEX(Input!$1:$1048576,G$93,$C548*2+MIN($B548,2)+5)
+INDEX(Scenarios!G$121:G$200,MATCH($B548,Scenarios!$B$121:$B$200,0))</f>
        <v>0</v>
      </c>
      <c r="H548" s="475">
        <f>INDEX(Input!$1:$1048576,H$93,$C548*2+MIN($B548,2)+5)
+INDEX(Scenarios!H$121:H$200,MATCH($B548,Scenarios!$B$121:$B$200,0))</f>
        <v>0</v>
      </c>
      <c r="I548" s="476">
        <f>INDEX(Input!$1:$1048576,I$93,$C548*2+MIN($B548,2)+5)</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+INDEX(Scenarios!Q$121:Q$200,MATCH($B548,Scenarios!$B$121:$B$200,0))</f>
        <v>0</v>
      </c>
      <c r="R548" s="478">
        <f>IFERROR(MAX(0,INDEX(Input!$1:$1048576,R$93,$C548*2+MIN($B548,2)+5)
+INDEX(Scenarios!R$121:R$200,MATCH($B548,Scenarios!$B$121:$B$200,0)),),"Market")</f>
        <v>0</v>
      </c>
      <c r="S548" s="478">
        <f>IFERROR(MAX(0,INDEX(Input!$1:$1048576,S$93,$C548*2+MIN($B548,2)+5)
+INDEX(Scenarios!S$121:S$200,MATCH($B548,Scenarios!$B$121:$B$200,0)),),"Market")</f>
        <v>0</v>
      </c>
      <c r="T548" s="478">
        <f>IFERROR(MAX(0,INDEX(Input!$1:$1048576,T$93,$C548*2+MIN($B548,2)+5)
+INDEX(Scenarios!T$121:T$200,MATCH($B548,Scenarios!$B$121:$B$200,0)),),"Market")</f>
        <v>0</v>
      </c>
      <c r="U548" s="478">
        <f>IFERROR(MAX(0,INDEX(Input!$1:$1048576,U$93,$C548*2+MIN($B548,2)+5)
+INDEX(Scenarios!U$121:U$200,MATCH($B548,Scenarios!$B$121:$B$200,0)),),"Market")</f>
        <v>0</v>
      </c>
      <c r="V548" s="478">
        <f>IFERROR(MAX(0,INDEX(Input!$1:$1048576,V$93,$C548*2+MIN($B548,2)+5)
+INDEX(Scenarios!V$121:V$200,MATCH($B548,Scenarios!$B$121:$B$200,0)),),"Market")</f>
        <v>1.9E-2</v>
      </c>
      <c r="W548" s="863">
        <f>IFERROR(MAX(0,INDEX(Input!$1:$1048576,W$93,$C548*2+MIN($B548,2)+5)-0%,),"Market")</f>
        <v>3.9E-2</v>
      </c>
      <c r="X548" s="476" t="str">
        <f>INDEX(Input!$1:$1048576,X$93,$C548*2+MIN($B548,2)+5)</f>
        <v>Y</v>
      </c>
      <c r="Y548" s="475">
        <f>INDEX(Input!$1:$1048576,Y$93,$C548*2+MIN($B548,2)+5)
++INDEX(Scenarios!Y$121:Y$200,MATCH($B548,Scenarios!$B$121:$B$200,0))</f>
        <v>-1458.3618966787526</v>
      </c>
      <c r="Z548" s="477">
        <f>INDEX(Input!$1:$1048576,Z$93,$C548*2+MIN($B548,2)+5)
+INDEX(Scenarios!Z$121:Z$200,MATCH($B548,Scenarios!$B$121:$B$200,0))</f>
        <v>0</v>
      </c>
      <c r="AA548" s="475">
        <f>INDEX(Input!$1:$1048576,AA$93,$C548*2+MIN($B548,2)+5)</f>
        <v>500</v>
      </c>
      <c r="AB548" s="476">
        <f>INDEX(Input!$1:$1048576,AB$93,$C548*2+MIN($B548,2)+5)</f>
        <v>0.43</v>
      </c>
      <c r="AC548" s="475">
        <f>INDEX(Input!$1:$1048576,AC$93,$C548*2+MIN($B548,2)+5)
+INDEX(Scenarios!AC$121:AC$200,MATCH($B548,Scenarios!$B$121:$B$200,0))</f>
        <v>0</v>
      </c>
      <c r="AD548" s="476">
        <f>INDEX(Input!$1:$1048576,AD$93,$C548*2+MIN($B548,2)+5)</f>
        <v>0.35</v>
      </c>
      <c r="AE548" s="475">
        <f>INDEX(Input!$1:$1048576,AE$93,$C548*2+MIN($B548,2)+5)
+INDEX(Scenarios!AE$121:AE$200,MATCH($B548,Scenarios!$B$121:$B$200,0))</f>
        <v>0</v>
      </c>
      <c r="AF548" s="476">
        <f>INDEX(Input!$1:$1048576,AF$93,$C548*2+MIN($B548,2)+5)</f>
        <v>1</v>
      </c>
      <c r="AG548" s="475">
        <f>INDEX(Input!$1:$1048576,AG$93,$C548*2+MIN($B548,2)+5)
+INDEX(Scenarios!AG$121:AG$200,MATCH($B548,Scenarios!$B$121:$B$200,0))</f>
        <v>0</v>
      </c>
      <c r="AH548" s="476">
        <f>INDEX(Input!$1:$1048576,AH$93,$C548*2+MIN($B548,2)+5)</f>
        <v>1</v>
      </c>
      <c r="AI548" s="475">
        <f>INDEX(Input!$1:$1048576,AI$93,$C548*2+MIN($B548,2)+5)
+INDEX(Scenarios!AI$121:AI$200,MATCH($B548,Scenarios!$B$121:$B$200,0))</f>
        <v>0</v>
      </c>
      <c r="AJ548" s="476">
        <f>INDEX(Input!$1:$1048576,AJ$93,$C548*2+MIN($B548,2)+5)</f>
        <v>0.35</v>
      </c>
      <c r="AK548" s="150">
        <f>ROUND(INDEX(Input!$1:$1048576,AK$93,$C547*2+MIN($B548,1)+5)+(Y548-VLOOKUP($C548*1000+1,$A:$HH,Y$92,FALSE)),0)</f>
        <v>4232</v>
      </c>
      <c r="AL548" s="150">
        <f>ROUND(INDEX(Input!$1:$1048576,AL$93,$C547*2+MIN($B548,1)+5)-(Y548-VLOOKUP($C548*1000+1,$A:$HH,Y$92,FALSE))/36,0)</f>
        <v>4753</v>
      </c>
      <c r="AM548" s="32" t="str">
        <f t="shared" si="1665"/>
        <v>std/std/std/std</v>
      </c>
      <c r="AN548" s="32" t="str">
        <f t="shared" si="1666"/>
        <v>$0 + 0/0/0/1.9/3.9</v>
      </c>
      <c r="AO548" s="32" t="str">
        <f t="shared" si="1667"/>
        <v>0/0/0/1.9/3.9</v>
      </c>
      <c r="AP548" s="32" t="str">
        <f t="shared" si="1621"/>
        <v>0/0.9/1.9/3.9</v>
      </c>
      <c r="AQ548" s="536">
        <f t="shared" si="1620"/>
        <v>0.5045037382385954</v>
      </c>
      <c r="AR548" s="32"/>
      <c r="AS548" s="302"/>
      <c r="AT548" s="3">
        <f t="shared" si="1688"/>
        <v>48</v>
      </c>
      <c r="AU548" s="41" t="s">
        <v>121</v>
      </c>
      <c r="AV548" s="41" t="s">
        <v>116</v>
      </c>
      <c r="AW548" s="41" t="str">
        <f>INDEX(Input!$1:$1048576,AW$93,$C548*2+6)</f>
        <v>Kia</v>
      </c>
      <c r="AX548" s="41" t="str">
        <f>INDEX(Input!$1:$1048576,AX$93,$C548*2+6)</f>
        <v>Kia-LR - R2</v>
      </c>
      <c r="AY548" s="41" t="str">
        <f>IF(LEN(D548)=0,"",INDEX(Input!$1:$1048576,AY$93,$C548*2+6))</f>
        <v>Compact Conventional/Sporty Car (43)</v>
      </c>
      <c r="AZ548" s="41" t="str">
        <f>INDEX(Input!$1:$1048576,AZ$93,$C548*2+6)</f>
        <v>Kia Forte</v>
      </c>
      <c r="BA548" s="3">
        <f>INDEX(Input!$1:$1048576,BA$93,$C548*2+6)</f>
        <v>2020</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19695</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622"/>
        <v>1750</v>
      </c>
      <c r="CJ548" s="16" t="str">
        <f>INDEX(Input!$1:$1048576,CJ$93,$C548*2+6)</f>
        <v>N</v>
      </c>
      <c r="CK548" s="1" t="str">
        <f t="shared" si="1623"/>
        <v>Market</v>
      </c>
      <c r="CL548" s="1" t="str">
        <f t="shared" si="1624"/>
        <v>Market</v>
      </c>
      <c r="CM548" s="1" t="str">
        <f t="shared" si="1625"/>
        <v>Market</v>
      </c>
      <c r="CN548" s="1" t="str">
        <f t="shared" si="1626"/>
        <v>Market</v>
      </c>
      <c r="CO548" s="1" t="str">
        <f t="shared" si="1627"/>
        <v>Market</v>
      </c>
      <c r="CP548" s="304">
        <f t="shared" si="1628"/>
        <v>215</v>
      </c>
      <c r="CQ548" s="1">
        <f t="shared" si="1629"/>
        <v>0</v>
      </c>
      <c r="CR548" s="1">
        <f t="shared" si="1630"/>
        <v>0</v>
      </c>
      <c r="CS548" s="1">
        <f t="shared" si="1631"/>
        <v>0</v>
      </c>
      <c r="CT548" s="1">
        <f t="shared" si="1632"/>
        <v>1.9E-2</v>
      </c>
      <c r="CU548" s="1">
        <f t="shared" si="1633"/>
        <v>3.9E-2</v>
      </c>
      <c r="CV548" s="304">
        <f t="shared" si="1634"/>
        <v>-1458.3618966787526</v>
      </c>
      <c r="CW548" s="20" t="s">
        <v>122</v>
      </c>
      <c r="CX548" s="20" t="s">
        <v>122</v>
      </c>
      <c r="CY548" s="20" t="s">
        <v>122</v>
      </c>
      <c r="CZ548" s="20" t="s">
        <v>122</v>
      </c>
      <c r="DA548" s="20" t="s">
        <v>122</v>
      </c>
      <c r="DB548" s="503">
        <f t="shared" si="1635"/>
        <v>0</v>
      </c>
      <c r="DC548" s="127">
        <v>0</v>
      </c>
      <c r="DD548" s="127">
        <v>0</v>
      </c>
      <c r="DE548" s="127">
        <v>0</v>
      </c>
      <c r="DF548" s="127">
        <v>0</v>
      </c>
      <c r="DG548" s="127">
        <v>0</v>
      </c>
      <c r="DH548" s="127">
        <v>0</v>
      </c>
      <c r="DI548" s="127">
        <v>0</v>
      </c>
      <c r="DJ548" s="127">
        <v>0</v>
      </c>
      <c r="DK548" s="127">
        <v>0</v>
      </c>
      <c r="DL548" s="127">
        <v>0</v>
      </c>
      <c r="DM548" s="304">
        <f>INDEX(Input!$1:$1048576,DM$93,$C548*2+6)</f>
        <v>20731.578947368424</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4.5490196314114724E-2</v>
      </c>
      <c r="DZ548" s="7">
        <v>0</v>
      </c>
      <c r="EA548" s="7">
        <v>0.7993329381482035</v>
      </c>
      <c r="EB548" s="7">
        <v>0</v>
      </c>
      <c r="EC548" s="7">
        <v>0</v>
      </c>
      <c r="ED548" s="7">
        <v>0</v>
      </c>
      <c r="EE548" s="7">
        <v>0</v>
      </c>
      <c r="EF548" s="7">
        <v>0</v>
      </c>
      <c r="EG548" s="7">
        <v>0</v>
      </c>
      <c r="EH548" s="7">
        <v>1.4455064444877179E-2</v>
      </c>
      <c r="EI548" s="7">
        <v>1.8190322134894847E-2</v>
      </c>
      <c r="EJ548" s="7">
        <v>0.26789740215915281</v>
      </c>
      <c r="EK548" s="7">
        <v>0.6530933977003498</v>
      </c>
      <c r="EL548" s="7">
        <v>4.6363813560725387E-2</v>
      </c>
      <c r="EM548" s="7">
        <v>6.1303505006212435E-2</v>
      </c>
      <c r="EN548" s="7">
        <v>4.6962124780998184E-2</v>
      </c>
      <c r="EO548" s="7">
        <v>0.58335017981467163</v>
      </c>
      <c r="EP548" s="7">
        <v>0.24967063473452697</v>
      </c>
      <c r="EQ548" s="7">
        <v>7.2896725619747915E-2</v>
      </c>
      <c r="ER548" s="7">
        <v>4.7120335050055299E-2</v>
      </c>
      <c r="ES548" s="7">
        <v>9.3873360531469288E-2</v>
      </c>
      <c r="ET548" s="7">
        <v>0.15517686553768181</v>
      </c>
      <c r="EU548" s="6">
        <v>2100</v>
      </c>
      <c r="EV548" s="6">
        <v>0</v>
      </c>
      <c r="EW548" s="6">
        <v>2100</v>
      </c>
      <c r="EX548" s="6">
        <v>0</v>
      </c>
      <c r="EY548" s="6">
        <v>2631.67203853921</v>
      </c>
      <c r="EZ548" s="6">
        <v>-2083.0908300335955</v>
      </c>
      <c r="FA548" s="6">
        <v>0</v>
      </c>
      <c r="FB548" s="6">
        <v>0</v>
      </c>
      <c r="FC548" s="6">
        <v>0</v>
      </c>
      <c r="FD548" s="6">
        <v>0</v>
      </c>
      <c r="FE548" s="6">
        <v>0</v>
      </c>
      <c r="FF548" s="6">
        <v>0</v>
      </c>
      <c r="FG548" s="6">
        <v>0</v>
      </c>
      <c r="FH548" s="6">
        <v>1153.9918201483031</v>
      </c>
      <c r="FI548" s="6">
        <v>1531.4299904380616</v>
      </c>
      <c r="FJ548" s="6">
        <v>2070.7205842538219</v>
      </c>
      <c r="FK548" s="6">
        <v>1746.9903521590434</v>
      </c>
      <c r="FL548" s="6">
        <v>893.91433563489386</v>
      </c>
      <c r="FM548" s="6">
        <v>1781.6720385392102</v>
      </c>
      <c r="FN548" s="6">
        <v>0</v>
      </c>
      <c r="FO548" s="6">
        <v>0</v>
      </c>
      <c r="FP548" s="6">
        <v>0</v>
      </c>
      <c r="FQ548" s="6">
        <v>0</v>
      </c>
      <c r="FR548" s="6">
        <v>0</v>
      </c>
      <c r="FS548" s="6">
        <v>0</v>
      </c>
      <c r="FT548" s="7">
        <v>0.84482313446231827</v>
      </c>
      <c r="FU548" s="7">
        <v>6.1303505006212435E-2</v>
      </c>
      <c r="FV548" s="7">
        <v>9.3873360531469288E-2</v>
      </c>
      <c r="FW548" s="6">
        <v>2099.9999999999995</v>
      </c>
      <c r="FX548" s="6">
        <v>2631.67203853921</v>
      </c>
      <c r="FY548" s="6">
        <v>-2083.0908300335955</v>
      </c>
      <c r="FZ548" s="6">
        <v>2411.9063952864503</v>
      </c>
      <c r="GA548" s="6">
        <v>1739.9125658526245</v>
      </c>
      <c r="GB548" s="6">
        <v>17955.087434147375</v>
      </c>
      <c r="GC548" s="7">
        <v>7.6138913542514425E-2</v>
      </c>
      <c r="GD548" s="7">
        <v>6.9238296551714207E-2</v>
      </c>
      <c r="GE548" s="7"/>
      <c r="GF548" s="7"/>
      <c r="GG548" s="7">
        <v>-9.0631934049690027E-2</v>
      </c>
      <c r="GH548" s="42">
        <v>2.6562683508754175</v>
      </c>
      <c r="GI548" s="6">
        <v>9154.449577336869</v>
      </c>
      <c r="GJ548" s="14">
        <v>0.51074630601039561</v>
      </c>
      <c r="GK548" s="14">
        <v>0.50829519786160959</v>
      </c>
      <c r="GL548" s="14">
        <v>0.48925369398960428</v>
      </c>
      <c r="GM548" s="14">
        <v>0.49170480213839024</v>
      </c>
      <c r="GO548" s="5">
        <v>338.16872463277008</v>
      </c>
      <c r="GP548" s="5">
        <v>298.1047308538179</v>
      </c>
      <c r="GQ548" s="5">
        <v>527.27910984145694</v>
      </c>
      <c r="GR548" s="5">
        <v>404.20319246551543</v>
      </c>
      <c r="GS548" s="5">
        <v>334.50205195691484</v>
      </c>
      <c r="GT548" s="5">
        <v>289.18266033348181</v>
      </c>
      <c r="GU548" s="5">
        <v>254.29573314828914</v>
      </c>
      <c r="GV548" s="39" t="s">
        <v>392</v>
      </c>
      <c r="GW548" s="5">
        <v>468.76388888888891</v>
      </c>
      <c r="GX548" s="5">
        <v>351.57291666666669</v>
      </c>
      <c r="GY548" s="5">
        <v>281.25833333333333</v>
      </c>
      <c r="GZ548" s="5">
        <v>248.18079879493993</v>
      </c>
      <c r="HA548" s="5">
        <v>229.8919505212948</v>
      </c>
      <c r="HB548" s="39">
        <v>261.26352232905941</v>
      </c>
      <c r="HC548" s="5">
        <v>374.25084881396981</v>
      </c>
      <c r="HD548" s="5">
        <v>298.52900980034525</v>
      </c>
      <c r="HE548" s="5">
        <v>295.2186408427836</v>
      </c>
      <c r="HF548" s="5">
        <v>265.87464978663218</v>
      </c>
      <c r="HG548" s="5">
        <v>247.50084178617021</v>
      </c>
      <c r="HH548" s="39">
        <v>296.47370603788335</v>
      </c>
      <c r="HI548" s="16"/>
      <c r="HJ548" s="19" t="str">
        <f t="shared" si="1742"/>
        <v>On</v>
      </c>
      <c r="HK548" s="1" t="str">
        <f t="shared" si="1742"/>
        <v>On</v>
      </c>
      <c r="HL548" s="16"/>
      <c r="HM548" s="639">
        <f t="shared" si="1636"/>
        <v>5.1181272167489952E-2</v>
      </c>
      <c r="HN548" s="639">
        <f t="shared" si="1637"/>
        <v>4.2792051795134348E-3</v>
      </c>
      <c r="HO548" s="639">
        <f t="shared" si="1638"/>
        <v>7.4145241462331068E-3</v>
      </c>
      <c r="HP548" s="644">
        <f>(FT548*$GD548-HM548)/$JF548*INDEX(Input!$1:$1048576,$JG$93,$C548*2+6)</f>
        <v>86.300263114951647</v>
      </c>
      <c r="HQ548" s="644">
        <f>(FU548*$GD548-HN548)/$JF548*INDEX(Input!$1:$1048576,$JG$93,$C548*2+6)</f>
        <v>-0.40896938692314749</v>
      </c>
      <c r="HR548" s="644">
        <f>(FV548*$GD548-HO548)/$JF548*INDEX(Input!$1:$1048576,$JG$93,$C548*2+6)</f>
        <v>-10.796823409831163</v>
      </c>
      <c r="HS548" s="644">
        <f t="shared" si="1639"/>
        <v>-16.762607035579336</v>
      </c>
      <c r="HT548" s="644">
        <f t="shared" si="1640"/>
        <v>19.86207995631651</v>
      </c>
      <c r="HU548" s="644">
        <f t="shared" si="1641"/>
        <v>1.4801587740117308</v>
      </c>
      <c r="HV548" s="648">
        <f t="shared" si="1642"/>
        <v>0</v>
      </c>
      <c r="HW548" s="648">
        <f t="shared" si="1643"/>
        <v>0</v>
      </c>
      <c r="HX548" s="648">
        <f t="shared" si="1644"/>
        <v>0</v>
      </c>
      <c r="HY548" s="644">
        <f>INDEX(Input!$1:$1048576,HY$93,$C548*2+6)*INDEX(Input!$1:$1048576,$JG$93,$C548*2+6)</f>
        <v>345</v>
      </c>
      <c r="HZ548" s="644">
        <f>INDEX(Input!$1:$1048576,HZ$93,$C548*2+6)*INDEX(Input!$1:$1048576,$JG$93,$C548*2+6)</f>
        <v>299</v>
      </c>
      <c r="IA548" s="644">
        <f>INDEX(Input!$1:$1048576,IA$93,$C548*2+6)*INDEX(Input!$1:$1048576,$JG$93,$C548*2+6)</f>
        <v>98</v>
      </c>
      <c r="IB548" s="644">
        <f t="shared" si="1668"/>
        <v>414.53765607937237</v>
      </c>
      <c r="IC548" s="644">
        <f t="shared" si="1669"/>
        <v>318.45311056939335</v>
      </c>
      <c r="ID548" s="644">
        <f>IF(AND(INDEX(Input!$1:$1048576,IA$93,$C548*2+7)="TOS",Y548&lt;=INDEX(Y:Y,MATCH(C548*1000+2,A:A))),0,1)*MAX(IA548+HR548+HU548+HX548,0%)</f>
        <v>88.683335364180564</v>
      </c>
      <c r="IE548" s="128">
        <f t="shared" si="1743"/>
        <v>0.5045037382385954</v>
      </c>
      <c r="IF548" s="128">
        <f t="shared" si="1691"/>
        <v>0.38756620147725651</v>
      </c>
      <c r="IG548" s="128">
        <f t="shared" si="1646"/>
        <v>0.10793006028414812</v>
      </c>
      <c r="IH548" s="21"/>
      <c r="II548" s="19">
        <f t="shared" si="1647"/>
        <v>1200</v>
      </c>
      <c r="IJ548" s="19">
        <f t="shared" si="1648"/>
        <v>2231.5440334087361</v>
      </c>
      <c r="IK548" s="19">
        <f t="shared" si="1649"/>
        <v>-2048.0908300335955</v>
      </c>
      <c r="IL548" s="19">
        <f t="shared" si="1671"/>
        <v>899.99999999999955</v>
      </c>
      <c r="IM548" s="19">
        <f t="shared" si="1650"/>
        <v>400.12800513047387</v>
      </c>
      <c r="IN548" s="19">
        <f t="shared" si="1651"/>
        <v>-35</v>
      </c>
      <c r="IO548" s="39">
        <f t="shared" si="1652"/>
        <v>0</v>
      </c>
      <c r="IP548" s="39">
        <f t="shared" si="1653"/>
        <v>0</v>
      </c>
      <c r="IQ548" s="39">
        <f t="shared" si="1654"/>
        <v>0</v>
      </c>
      <c r="IR548" s="39">
        <v>0</v>
      </c>
      <c r="IS548" s="39">
        <v>0</v>
      </c>
      <c r="IT548" s="39">
        <v>0</v>
      </c>
      <c r="IU548" s="39">
        <v>0</v>
      </c>
      <c r="IV548" s="39">
        <v>0</v>
      </c>
      <c r="IW548" s="39">
        <v>0</v>
      </c>
      <c r="IX548" s="39">
        <f>INDEX(Input!$1:$1048576,IX$93,$C548*2+6)+INDEX(Input!$1:$1048576,IX$94,$C548*2+6)</f>
        <v>1600</v>
      </c>
      <c r="IY548" s="39">
        <f>INDEX(Input!$1:$1048576,IY$93,$C548*2+6)+INDEX(Input!$1:$1048576,IY$94,$C548*2+6)</f>
        <v>2503.5492916397525</v>
      </c>
      <c r="IZ548" s="39">
        <f>INDEX(Input!$1:$1048576,IZ$93,$C548*2+6)+INDEX(Input!$1:$1048576,IZ$94,$C548*2+6)</f>
        <v>5413.7109265464023</v>
      </c>
      <c r="JA548" s="19">
        <f t="shared" si="1672"/>
        <v>2499.9999999999995</v>
      </c>
      <c r="JB548" s="19">
        <f t="shared" si="1673"/>
        <v>2903.6772967702263</v>
      </c>
      <c r="JC548" s="19">
        <f t="shared" si="1674"/>
        <v>5378.7109265464023</v>
      </c>
      <c r="JD548" s="19">
        <f t="shared" si="1675"/>
        <v>2967.1511203746327</v>
      </c>
      <c r="JE548" s="21"/>
      <c r="JF548" s="1">
        <f t="shared" si="1655"/>
        <v>6.2875001493236493E-2</v>
      </c>
      <c r="JG548" s="15">
        <f>INDEX(Input!$1:$1048576,JG$93,$C548*2+6)/(1+VLOOKUP(C548*1000+INDEX(Input!$1:$1048576,JG$93+1,$C548*2+6),$A:$KK,$JK$92,FALSE))</f>
        <v>742</v>
      </c>
      <c r="JH548" s="1">
        <f t="shared" si="1676"/>
        <v>0.10120548560403954</v>
      </c>
      <c r="JI548" s="1">
        <f t="shared" si="1677"/>
        <v>6.1720103702815428E-3</v>
      </c>
      <c r="JJ548" s="1">
        <f t="shared" si="1715"/>
        <v>0</v>
      </c>
      <c r="JK548" s="1">
        <f t="shared" si="1719"/>
        <v>0.10737749597432109</v>
      </c>
      <c r="JL548" s="15">
        <f t="shared" si="1680"/>
        <v>79.67410201294625</v>
      </c>
      <c r="JM548" s="15">
        <f t="shared" si="1706"/>
        <v>821.67410201294626</v>
      </c>
      <c r="JN548" s="21"/>
      <c r="JO548" s="19">
        <f>INDEX(Input!$1:$1048576,JO$93,$C548*2+6)</f>
        <v>5908.5</v>
      </c>
      <c r="JP548" s="19">
        <f>INDEX(Input!$1:$1048576,JP$93,$C548*2+6)</f>
        <v>2467.7963733178344</v>
      </c>
      <c r="JQ548" s="39">
        <f t="shared" si="1692"/>
        <v>2941.3488796253673</v>
      </c>
      <c r="JR548" s="39">
        <f t="shared" si="1709"/>
        <v>499.35474705679826</v>
      </c>
      <c r="JS548" s="39">
        <f t="shared" si="1694"/>
        <v>2.4380312323705335</v>
      </c>
      <c r="JT548" s="39">
        <f t="shared" si="1682"/>
        <v>0.60692632336870045</v>
      </c>
      <c r="JU548" s="385">
        <f>(JQ548*JM548-INDEX(Input!$1:$1048576,Input!A$18,$C548*2+6)*JL548*INDEX(Input!$1:$1048576,Input!A$19,$C548*2+6))/1000000</f>
        <v>2.4168301993729595</v>
      </c>
      <c r="JV548" s="39">
        <f t="shared" si="1716"/>
        <v>-0.13617189162520704</v>
      </c>
      <c r="JW548" s="1">
        <f t="shared" si="1707"/>
        <v>-5.3337947550198397E-2</v>
      </c>
      <c r="JX548" s="19">
        <f t="shared" si="1698"/>
        <v>7617.6110936284031</v>
      </c>
      <c r="JZ548" s="341"/>
      <c r="KA548" s="342"/>
      <c r="KB548" s="469">
        <f t="shared" si="1695"/>
        <v>2.4623520912331753</v>
      </c>
      <c r="KI548" s="473">
        <f t="shared" si="1744"/>
        <v>69.537656079372368</v>
      </c>
      <c r="KJ548" s="473">
        <f t="shared" si="1745"/>
        <v>19.453110569393345</v>
      </c>
      <c r="KK548" s="473">
        <f t="shared" si="1684"/>
        <v>-9.3166646358194356</v>
      </c>
      <c r="KN548" s="544">
        <f t="shared" si="1699"/>
        <v>5002</v>
      </c>
      <c r="KO548" s="541">
        <f t="shared" si="1659"/>
        <v>2.8957125240796078E-2</v>
      </c>
      <c r="KP548" s="546">
        <f t="shared" si="1660"/>
        <v>213.43301380173608</v>
      </c>
      <c r="KQ548" s="546">
        <f t="shared" si="1661"/>
        <v>108.37867422292356</v>
      </c>
      <c r="KR548" s="548">
        <f t="shared" si="1662"/>
        <v>2.2842237064234396</v>
      </c>
      <c r="KS548" s="548">
        <f t="shared" si="1663"/>
        <v>4.4983826694219493</v>
      </c>
      <c r="KT548" s="473">
        <f t="shared" si="1697"/>
        <v>389.37465324503302</v>
      </c>
      <c r="KU548" s="663">
        <f t="shared" si="1685"/>
        <v>7.3694682546780923</v>
      </c>
      <c r="KV548" s="117"/>
    </row>
    <row r="549" spans="1:308" s="26" customFormat="1" ht="15">
      <c r="A549" s="561">
        <f t="shared" si="1664"/>
        <v>5049</v>
      </c>
      <c r="B549" s="561">
        <f t="shared" si="1686"/>
        <v>49</v>
      </c>
      <c r="C549" s="561">
        <f t="shared" si="1687"/>
        <v>5</v>
      </c>
      <c r="D549" s="561" t="str">
        <f t="shared" si="1736"/>
        <v xml:space="preserve">750 CC, -360 Lease, </v>
      </c>
      <c r="E549" s="475">
        <f>INDEX(Input!$1:$1048576,E$93,$C549*2+MIN($B549,2)+5)
+INDEX(Scenarios!E$121:E$200,MATCH($B549,Scenarios!$B$121:$B$200,0))</f>
        <v>2000</v>
      </c>
      <c r="F549" s="475">
        <f>INDEX(Input!$1:$1048576,F$93,$C549*2+MIN($B549,2)+5)
+INDEX(Scenarios!F$121:F$200,MATCH($B549,Scenarios!$B$121:$B$200,0))</f>
        <v>0</v>
      </c>
      <c r="G549" s="475">
        <f>INDEX(Input!$1:$1048576,G$93,$C549*2+MIN($B549,2)+5)
+INDEX(Scenarios!G$121:G$200,MATCH($B549,Scenarios!$B$121:$B$200,0))</f>
        <v>0</v>
      </c>
      <c r="H549" s="475">
        <f>INDEX(Input!$1:$1048576,H$93,$C549*2+MIN($B549,2)+5)
+INDEX(Scenarios!H$121:H$200,MATCH($B549,Scenarios!$B$121:$B$200,0))</f>
        <v>0</v>
      </c>
      <c r="I549" s="476">
        <f>INDEX(Input!$1:$1048576,I$93,$C549*2+MIN($B549,2)+5)</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+INDEX(Scenarios!Q$121:Q$200,MATCH($B549,Scenarios!$B$121:$B$200,0))</f>
        <v>0</v>
      </c>
      <c r="R549" s="478">
        <f>IFERROR(MAX(0,INDEX(Input!$1:$1048576,R$93,$C549*2+MIN($B549,2)+5)
+INDEX(Scenarios!R$121:R$200,MATCH($B549,Scenarios!$B$121:$B$200,0)),),"Market")</f>
        <v>0</v>
      </c>
      <c r="S549" s="478">
        <f>IFERROR(MAX(0,INDEX(Input!$1:$1048576,S$93,$C549*2+MIN($B549,2)+5)
+INDEX(Scenarios!S$121:S$200,MATCH($B549,Scenarios!$B$121:$B$200,0)),),"Market")</f>
        <v>0</v>
      </c>
      <c r="T549" s="478">
        <f>IFERROR(MAX(0,INDEX(Input!$1:$1048576,T$93,$C549*2+MIN($B549,2)+5)
+INDEX(Scenarios!T$121:T$200,MATCH($B549,Scenarios!$B$121:$B$200,0)),),"Market")</f>
        <v>0</v>
      </c>
      <c r="U549" s="478">
        <f>IFERROR(MAX(0,INDEX(Input!$1:$1048576,U$93,$C549*2+MIN($B549,2)+5)
+INDEX(Scenarios!U$121:U$200,MATCH($B549,Scenarios!$B$121:$B$200,0)),),"Market")</f>
        <v>0</v>
      </c>
      <c r="V549" s="478">
        <f>IFERROR(MAX(0,INDEX(Input!$1:$1048576,V$93,$C549*2+MIN($B549,2)+5)
+INDEX(Scenarios!V$121:V$200,MATCH($B549,Scenarios!$B$121:$B$200,0)),),"Market")</f>
        <v>1.9E-2</v>
      </c>
      <c r="W549" s="863">
        <f>IFERROR(MAX(0,INDEX(Input!$1:$1048576,W$93,$C549*2+MIN($B549,2)+5)-0%,),"Market")</f>
        <v>3.9E-2</v>
      </c>
      <c r="X549" s="476" t="str">
        <f>INDEX(Input!$1:$1048576,X$93,$C549*2+MIN($B549,2)+5)</f>
        <v>Y</v>
      </c>
      <c r="Y549" s="475">
        <f>INDEX(Input!$1:$1048576,Y$93,$C549*2+MIN($B549,2)+5)
++INDEX(Scenarios!Y$121:Y$200,MATCH($B549,Scenarios!$B$121:$B$200,0))</f>
        <v>-1458.3618966787526</v>
      </c>
      <c r="Z549" s="477">
        <f>INDEX(Input!$1:$1048576,Z$93,$C549*2+MIN($B549,2)+5)
+INDEX(Scenarios!Z$121:Z$200,MATCH($B549,Scenarios!$B$121:$B$200,0))</f>
        <v>0</v>
      </c>
      <c r="AA549" s="475">
        <f>INDEX(Input!$1:$1048576,AA$93,$C549*2+MIN($B549,2)+5)</f>
        <v>500</v>
      </c>
      <c r="AB549" s="476">
        <f>INDEX(Input!$1:$1048576,AB$93,$C549*2+MIN($B549,2)+5)</f>
        <v>0.43</v>
      </c>
      <c r="AC549" s="475">
        <f>INDEX(Input!$1:$1048576,AC$93,$C549*2+MIN($B549,2)+5)
+INDEX(Scenarios!AC$121:AC$200,MATCH($B549,Scenarios!$B$121:$B$200,0))</f>
        <v>0</v>
      </c>
      <c r="AD549" s="476">
        <f>INDEX(Input!$1:$1048576,AD$93,$C549*2+MIN($B549,2)+5)</f>
        <v>0.35</v>
      </c>
      <c r="AE549" s="475">
        <f>INDEX(Input!$1:$1048576,AE$93,$C549*2+MIN($B549,2)+5)
+INDEX(Scenarios!AE$121:AE$200,MATCH($B549,Scenarios!$B$121:$B$200,0))</f>
        <v>0</v>
      </c>
      <c r="AF549" s="476">
        <f>INDEX(Input!$1:$1048576,AF$93,$C549*2+MIN($B549,2)+5)</f>
        <v>1</v>
      </c>
      <c r="AG549" s="475">
        <f>INDEX(Input!$1:$1048576,AG$93,$C549*2+MIN($B549,2)+5)
+INDEX(Scenarios!AG$121:AG$200,MATCH($B549,Scenarios!$B$121:$B$200,0))</f>
        <v>0</v>
      </c>
      <c r="AH549" s="476">
        <f>INDEX(Input!$1:$1048576,AH$93,$C549*2+MIN($B549,2)+5)</f>
        <v>1</v>
      </c>
      <c r="AI549" s="475">
        <f>INDEX(Input!$1:$1048576,AI$93,$C549*2+MIN($B549,2)+5)
+INDEX(Scenarios!AI$121:AI$200,MATCH($B549,Scenarios!$B$121:$B$200,0))</f>
        <v>0</v>
      </c>
      <c r="AJ549" s="476">
        <f>INDEX(Input!$1:$1048576,AJ$93,$C549*2+MIN($B549,2)+5)</f>
        <v>0.35</v>
      </c>
      <c r="AK549" s="150">
        <f>ROUND(INDEX(Input!$1:$1048576,AK$93,$C548*2+MIN($B549,1)+5)+(Y549-VLOOKUP($C549*1000+1,$A:$HH,Y$92,FALSE)),0)</f>
        <v>4232</v>
      </c>
      <c r="AL549" s="150">
        <f>ROUND(INDEX(Input!$1:$1048576,AL$93,$C548*2+MIN($B549,1)+5)-(Y549-VLOOKUP($C549*1000+1,$A:$HH,Y$92,FALSE))/36,0)</f>
        <v>4753</v>
      </c>
      <c r="AM549" s="32" t="str">
        <f t="shared" si="1665"/>
        <v>std/std/std/std</v>
      </c>
      <c r="AN549" s="32" t="str">
        <f t="shared" si="1666"/>
        <v>$0 + 0/0/0/1.9/3.9</v>
      </c>
      <c r="AO549" s="32" t="str">
        <f t="shared" si="1667"/>
        <v>0/0/0/1.9/3.9</v>
      </c>
      <c r="AP549" s="32" t="str">
        <f t="shared" si="1621"/>
        <v>0/0.9/1.9/3.9</v>
      </c>
      <c r="AQ549" s="536">
        <f t="shared" ref="AQ549:AQ599" si="1754">SUM(IE549,G549*IF549,H549*IG549,AC549*AD549,AE549*AF549,AI549)</f>
        <v>0.519860467716727</v>
      </c>
      <c r="AR549" s="32"/>
      <c r="AS549" s="302"/>
      <c r="AT549" s="3">
        <f t="shared" si="1688"/>
        <v>49</v>
      </c>
      <c r="AU549" s="41" t="s">
        <v>121</v>
      </c>
      <c r="AV549" s="41" t="s">
        <v>116</v>
      </c>
      <c r="AW549" s="41" t="str">
        <f>INDEX(Input!$1:$1048576,AW$93,$C549*2+6)</f>
        <v>Kia</v>
      </c>
      <c r="AX549" s="41" t="str">
        <f>INDEX(Input!$1:$1048576,AX$93,$C549*2+6)</f>
        <v>Kia-LR - R2</v>
      </c>
      <c r="AY549" s="41" t="str">
        <f>IF(LEN(D549)=0,"",INDEX(Input!$1:$1048576,AY$93,$C549*2+6))</f>
        <v>Compact Conventional/Sporty Car (43)</v>
      </c>
      <c r="AZ549" s="41" t="str">
        <f>INDEX(Input!$1:$1048576,AZ$93,$C549*2+6)</f>
        <v>Kia Forte</v>
      </c>
      <c r="BA549" s="3">
        <f>INDEX(Input!$1:$1048576,BA$93,$C549*2+6)</f>
        <v>2020</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19695</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622"/>
        <v>2000</v>
      </c>
      <c r="CJ549" s="16" t="str">
        <f>INDEX(Input!$1:$1048576,CJ$93,$C549*2+6)</f>
        <v>N</v>
      </c>
      <c r="CK549" s="1" t="str">
        <f t="shared" si="1623"/>
        <v>Market</v>
      </c>
      <c r="CL549" s="1" t="str">
        <f t="shared" si="1624"/>
        <v>Market</v>
      </c>
      <c r="CM549" s="1" t="str">
        <f t="shared" si="1625"/>
        <v>Market</v>
      </c>
      <c r="CN549" s="1" t="str">
        <f t="shared" si="1626"/>
        <v>Market</v>
      </c>
      <c r="CO549" s="1" t="str">
        <f t="shared" si="1627"/>
        <v>Market</v>
      </c>
      <c r="CP549" s="304">
        <f t="shared" si="1628"/>
        <v>215</v>
      </c>
      <c r="CQ549" s="1">
        <f t="shared" si="1629"/>
        <v>0</v>
      </c>
      <c r="CR549" s="1">
        <f t="shared" si="1630"/>
        <v>0</v>
      </c>
      <c r="CS549" s="1">
        <f t="shared" si="1631"/>
        <v>0</v>
      </c>
      <c r="CT549" s="1">
        <f t="shared" si="1632"/>
        <v>1.9E-2</v>
      </c>
      <c r="CU549" s="1">
        <f t="shared" si="1633"/>
        <v>3.9E-2</v>
      </c>
      <c r="CV549" s="304">
        <f t="shared" si="1634"/>
        <v>-1458.3618966787526</v>
      </c>
      <c r="CW549" s="20" t="s">
        <v>122</v>
      </c>
      <c r="CX549" s="20" t="s">
        <v>122</v>
      </c>
      <c r="CY549" s="20" t="s">
        <v>122</v>
      </c>
      <c r="CZ549" s="20" t="s">
        <v>122</v>
      </c>
      <c r="DA549" s="20" t="s">
        <v>122</v>
      </c>
      <c r="DB549" s="503">
        <f t="shared" si="1635"/>
        <v>0</v>
      </c>
      <c r="DC549" s="127">
        <v>0</v>
      </c>
      <c r="DD549" s="127">
        <v>0</v>
      </c>
      <c r="DE549" s="127">
        <v>0</v>
      </c>
      <c r="DF549" s="127">
        <v>0</v>
      </c>
      <c r="DG549" s="127">
        <v>0</v>
      </c>
      <c r="DH549" s="127">
        <v>0</v>
      </c>
      <c r="DI549" s="127">
        <v>0</v>
      </c>
      <c r="DJ549" s="127">
        <v>0</v>
      </c>
      <c r="DK549" s="127">
        <v>0</v>
      </c>
      <c r="DL549" s="127">
        <v>0</v>
      </c>
      <c r="DM549" s="304">
        <f>INDEX(Input!$1:$1048576,DM$93,$C549*2+6)</f>
        <v>20731.578947368424</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4.6130838155454497E-2</v>
      </c>
      <c r="DZ549" s="7">
        <v>0</v>
      </c>
      <c r="EA549" s="7">
        <v>0.80788262712034431</v>
      </c>
      <c r="EB549" s="7">
        <v>0</v>
      </c>
      <c r="EC549" s="7">
        <v>0</v>
      </c>
      <c r="ED549" s="7">
        <v>0</v>
      </c>
      <c r="EE549" s="7">
        <v>0</v>
      </c>
      <c r="EF549" s="7">
        <v>0</v>
      </c>
      <c r="EG549" s="7">
        <v>0</v>
      </c>
      <c r="EH549" s="7">
        <v>1.4458691968777445E-2</v>
      </c>
      <c r="EI549" s="7">
        <v>1.8190429995550227E-2</v>
      </c>
      <c r="EJ549" s="7">
        <v>0.26800320498552554</v>
      </c>
      <c r="EK549" s="7">
        <v>0.65298969877459845</v>
      </c>
      <c r="EL549" s="7">
        <v>4.6357974275548566E-2</v>
      </c>
      <c r="EM549" s="7">
        <v>5.7669376431818818E-2</v>
      </c>
      <c r="EN549" s="7">
        <v>4.6962325216609167E-2</v>
      </c>
      <c r="EO549" s="7">
        <v>0.58334762797177331</v>
      </c>
      <c r="EP549" s="7">
        <v>0.24966687079262251</v>
      </c>
      <c r="EQ549" s="7">
        <v>7.2895926590379981E-2</v>
      </c>
      <c r="ER549" s="7">
        <v>4.7127249428615223E-2</v>
      </c>
      <c r="ES549" s="7">
        <v>8.8317158292382333E-2</v>
      </c>
      <c r="ET549" s="7">
        <v>0.14598653472420117</v>
      </c>
      <c r="EU549" s="6">
        <v>2350</v>
      </c>
      <c r="EV549" s="6">
        <v>0</v>
      </c>
      <c r="EW549" s="6">
        <v>2350</v>
      </c>
      <c r="EX549" s="6">
        <v>0</v>
      </c>
      <c r="EY549" s="6">
        <v>2631.7091193267388</v>
      </c>
      <c r="EZ549" s="6">
        <v>-2083.0908300335955</v>
      </c>
      <c r="FA549" s="6">
        <v>0</v>
      </c>
      <c r="FB549" s="6">
        <v>0</v>
      </c>
      <c r="FC549" s="6">
        <v>0</v>
      </c>
      <c r="FD549" s="6">
        <v>0</v>
      </c>
      <c r="FE549" s="6">
        <v>0</v>
      </c>
      <c r="FF549" s="6">
        <v>0</v>
      </c>
      <c r="FG549" s="6">
        <v>0</v>
      </c>
      <c r="FH549" s="6">
        <v>1153.9933574022787</v>
      </c>
      <c r="FI549" s="6">
        <v>1531.4299904380625</v>
      </c>
      <c r="FJ549" s="6">
        <v>2070.7205842538228</v>
      </c>
      <c r="FK549" s="6">
        <v>1746.9903521590431</v>
      </c>
      <c r="FL549" s="6">
        <v>893.91433563489386</v>
      </c>
      <c r="FM549" s="6">
        <v>1781.7091193267388</v>
      </c>
      <c r="FN549" s="6">
        <v>0</v>
      </c>
      <c r="FO549" s="6">
        <v>0</v>
      </c>
      <c r="FP549" s="6">
        <v>0</v>
      </c>
      <c r="FQ549" s="6">
        <v>0</v>
      </c>
      <c r="FR549" s="6">
        <v>0</v>
      </c>
      <c r="FS549" s="6">
        <v>0</v>
      </c>
      <c r="FT549" s="7">
        <v>0.8540134652757988</v>
      </c>
      <c r="FU549" s="7">
        <v>5.7669376431818818E-2</v>
      </c>
      <c r="FV549" s="7">
        <v>8.8317158292382333E-2</v>
      </c>
      <c r="FW549" s="6">
        <v>2350</v>
      </c>
      <c r="FX549" s="6">
        <v>2631.7091193267388</v>
      </c>
      <c r="FY549" s="6">
        <v>-2083.0908300335955</v>
      </c>
      <c r="FZ549" s="6">
        <v>2411.9063952864503</v>
      </c>
      <c r="GA549" s="6">
        <v>1974.728004686144</v>
      </c>
      <c r="GB549" s="6">
        <v>17720.271995313855</v>
      </c>
      <c r="GC549" s="7">
        <v>7.6138913542514425E-2</v>
      </c>
      <c r="GD549" s="7">
        <v>7.1098213604862306E-2</v>
      </c>
      <c r="GE549" s="7"/>
      <c r="GF549" s="7"/>
      <c r="GG549" s="7">
        <v>-6.6203990878297647E-2</v>
      </c>
      <c r="GH549" s="42">
        <v>2.9825069774323802</v>
      </c>
      <c r="GI549" s="6">
        <v>8578.2330925284841</v>
      </c>
      <c r="GJ549" s="14">
        <v>0.51074630601039528</v>
      </c>
      <c r="GK549" s="14">
        <v>0.50829519786160982</v>
      </c>
      <c r="GL549" s="14">
        <v>0.48925369398960428</v>
      </c>
      <c r="GM549" s="14">
        <v>0.4917048021383903</v>
      </c>
      <c r="GO549" s="5">
        <v>338.16872463277008</v>
      </c>
      <c r="GP549" s="5">
        <v>293.33520778489498</v>
      </c>
      <c r="GQ549" s="5">
        <v>527.27910984145694</v>
      </c>
      <c r="GR549" s="5">
        <v>404.20319246551543</v>
      </c>
      <c r="GS549" s="5">
        <v>334.50205195691484</v>
      </c>
      <c r="GT549" s="5">
        <v>289.18266033348181</v>
      </c>
      <c r="GU549" s="5">
        <v>254.29573314828914</v>
      </c>
      <c r="GV549" s="39" t="s">
        <v>392</v>
      </c>
      <c r="GW549" s="5">
        <v>468.76388888888891</v>
      </c>
      <c r="GX549" s="5">
        <v>351.57291666666669</v>
      </c>
      <c r="GY549" s="5">
        <v>281.25833333333333</v>
      </c>
      <c r="GZ549" s="5">
        <v>248.18079879493993</v>
      </c>
      <c r="HA549" s="5">
        <v>229.8919505212948</v>
      </c>
      <c r="HB549" s="39">
        <v>261.26794014187658</v>
      </c>
      <c r="HC549" s="5">
        <v>374.25084881396981</v>
      </c>
      <c r="HD549" s="5">
        <v>298.52900980034525</v>
      </c>
      <c r="HE549" s="5">
        <v>295.2186408427836</v>
      </c>
      <c r="HF549" s="5">
        <v>265.87464978663218</v>
      </c>
      <c r="HG549" s="5">
        <v>247.50084178617021</v>
      </c>
      <c r="HH549" s="39">
        <v>296.47340693899463</v>
      </c>
      <c r="HI549" s="16"/>
      <c r="HJ549" s="19" t="str">
        <f t="shared" si="1742"/>
        <v>On</v>
      </c>
      <c r="HK549" s="1" t="str">
        <f t="shared" si="1742"/>
        <v>On</v>
      </c>
      <c r="HL549" s="16"/>
      <c r="HM549" s="639">
        <f t="shared" si="1636"/>
        <v>5.1181272167489952E-2</v>
      </c>
      <c r="HN549" s="639">
        <f t="shared" si="1637"/>
        <v>4.2792051795134348E-3</v>
      </c>
      <c r="HO549" s="639">
        <f t="shared" si="1638"/>
        <v>7.4145241462331068E-3</v>
      </c>
      <c r="HP549" s="644">
        <f>(FT549*$GD549-HM549)/$JF549*INDEX(Input!$1:$1048576,$JG$93,$C549*2+6)</f>
        <v>112.55457751336051</v>
      </c>
      <c r="HQ549" s="644">
        <f>(FU549*$GD549-HN549)/$JF549*INDEX(Input!$1:$1048576,$JG$93,$C549*2+6)</f>
        <v>-2.1125968062016938</v>
      </c>
      <c r="HR549" s="644">
        <f>(FV549*$GD549-HO549)/$JF549*INDEX(Input!$1:$1048576,$JG$93,$C549*2+6)</f>
        <v>-13.398271094162567</v>
      </c>
      <c r="HS549" s="644">
        <f t="shared" si="1639"/>
        <v>-21.395608764700278</v>
      </c>
      <c r="HT549" s="644">
        <f t="shared" si="1640"/>
        <v>19.302067990043646</v>
      </c>
      <c r="HU549" s="644">
        <f t="shared" si="1641"/>
        <v>2.0422066817856352</v>
      </c>
      <c r="HV549" s="648">
        <f t="shared" si="1642"/>
        <v>0</v>
      </c>
      <c r="HW549" s="648">
        <f t="shared" si="1643"/>
        <v>0</v>
      </c>
      <c r="HX549" s="648">
        <f t="shared" si="1644"/>
        <v>0</v>
      </c>
      <c r="HY549" s="644">
        <f>INDEX(Input!$1:$1048576,HY$93,$C549*2+6)*INDEX(Input!$1:$1048576,$JG$93,$C549*2+6)</f>
        <v>345</v>
      </c>
      <c r="HZ549" s="644">
        <f>INDEX(Input!$1:$1048576,HZ$93,$C549*2+6)*INDEX(Input!$1:$1048576,$JG$93,$C549*2+6)</f>
        <v>299</v>
      </c>
      <c r="IA549" s="644">
        <f>INDEX(Input!$1:$1048576,IA$93,$C549*2+6)*INDEX(Input!$1:$1048576,$JG$93,$C549*2+6)</f>
        <v>98</v>
      </c>
      <c r="IB549" s="644">
        <f t="shared" si="1668"/>
        <v>436.15896874866024</v>
      </c>
      <c r="IC549" s="644">
        <f t="shared" si="1669"/>
        <v>316.18947118384199</v>
      </c>
      <c r="ID549" s="644">
        <f>IF(AND(INDEX(Input!$1:$1048576,IA$93,$C549*2+7)="TOS",Y549&lt;=INDEX(Y:Y,MATCH(C549*1000+2,A:A))),0,1)*MAX(IA549+HR549+HU549+HX549,0%)</f>
        <v>86.643935587623062</v>
      </c>
      <c r="IE549" s="128">
        <f t="shared" si="1743"/>
        <v>0.519860467716727</v>
      </c>
      <c r="IF549" s="128">
        <f t="shared" si="1691"/>
        <v>0.37686811037802737</v>
      </c>
      <c r="IG549" s="128">
        <f t="shared" si="1646"/>
        <v>0.10327142190524553</v>
      </c>
      <c r="IH549" s="21"/>
      <c r="II549" s="19">
        <f t="shared" si="1647"/>
        <v>1200</v>
      </c>
      <c r="IJ549" s="19">
        <f t="shared" si="1648"/>
        <v>2231.5440334087361</v>
      </c>
      <c r="IK549" s="19">
        <f t="shared" si="1649"/>
        <v>-2048.0908300335955</v>
      </c>
      <c r="IL549" s="19">
        <f t="shared" si="1671"/>
        <v>1150</v>
      </c>
      <c r="IM549" s="19">
        <f t="shared" si="1650"/>
        <v>400.16508591800266</v>
      </c>
      <c r="IN549" s="19">
        <f t="shared" si="1651"/>
        <v>-35</v>
      </c>
      <c r="IO549" s="39">
        <f t="shared" si="1652"/>
        <v>0</v>
      </c>
      <c r="IP549" s="39">
        <f t="shared" si="1653"/>
        <v>0</v>
      </c>
      <c r="IQ549" s="39">
        <f t="shared" si="1654"/>
        <v>0</v>
      </c>
      <c r="IR549" s="39">
        <v>0</v>
      </c>
      <c r="IS549" s="39">
        <v>0</v>
      </c>
      <c r="IT549" s="39">
        <v>0</v>
      </c>
      <c r="IU549" s="39">
        <v>0</v>
      </c>
      <c r="IV549" s="39">
        <v>0</v>
      </c>
      <c r="IW549" s="39">
        <v>0</v>
      </c>
      <c r="IX549" s="39">
        <f>INDEX(Input!$1:$1048576,IX$93,$C549*2+6)+INDEX(Input!$1:$1048576,IX$94,$C549*2+6)</f>
        <v>1600</v>
      </c>
      <c r="IY549" s="39">
        <f>INDEX(Input!$1:$1048576,IY$93,$C549*2+6)+INDEX(Input!$1:$1048576,IY$94,$C549*2+6)</f>
        <v>2503.5492916397525</v>
      </c>
      <c r="IZ549" s="39">
        <f>INDEX(Input!$1:$1048576,IZ$93,$C549*2+6)+INDEX(Input!$1:$1048576,IZ$94,$C549*2+6)</f>
        <v>5413.7109265464023</v>
      </c>
      <c r="JA549" s="19">
        <f t="shared" si="1672"/>
        <v>2750</v>
      </c>
      <c r="JB549" s="19">
        <f t="shared" si="1673"/>
        <v>2903.7143775577551</v>
      </c>
      <c r="JC549" s="19">
        <f t="shared" si="1674"/>
        <v>5378.7109265464023</v>
      </c>
      <c r="JD549" s="19">
        <f t="shared" si="1675"/>
        <v>3079.4007621704277</v>
      </c>
      <c r="JE549" s="21"/>
      <c r="JF549" s="1">
        <f t="shared" si="1655"/>
        <v>6.2875001493236493E-2</v>
      </c>
      <c r="JG549" s="15">
        <f>INDEX(Input!$1:$1048576,JG$93,$C549*2+6)/(1+VLOOKUP(C549*1000+INDEX(Input!$1:$1048576,JG$93+1,$C549*2+6),$A:$KK,$JK$92,FALSE))</f>
        <v>742</v>
      </c>
      <c r="JH549" s="1">
        <f t="shared" si="1676"/>
        <v>0.13078667063746124</v>
      </c>
      <c r="JI549" s="1">
        <f t="shared" si="1677"/>
        <v>-6.9183413572770883E-5</v>
      </c>
      <c r="JJ549" s="1">
        <f t="shared" si="1715"/>
        <v>0</v>
      </c>
      <c r="JK549" s="1">
        <f t="shared" si="1719"/>
        <v>0.13071748722388848</v>
      </c>
      <c r="JL549" s="15">
        <f t="shared" si="1680"/>
        <v>96.99237552012525</v>
      </c>
      <c r="JM549" s="15">
        <f t="shared" si="1706"/>
        <v>838.99237552012528</v>
      </c>
      <c r="JN549" s="21"/>
      <c r="JO549" s="19">
        <f>INDEX(Input!$1:$1048576,JO$93,$C549*2+6)</f>
        <v>5908.5</v>
      </c>
      <c r="JP549" s="19">
        <f>INDEX(Input!$1:$1048576,JP$93,$C549*2+6)</f>
        <v>2467.7963733178344</v>
      </c>
      <c r="JQ549" s="39">
        <f t="shared" si="1692"/>
        <v>2829.0992378295723</v>
      </c>
      <c r="JR549" s="39">
        <f t="shared" si="1709"/>
        <v>611.60438885259327</v>
      </c>
      <c r="JS549" s="39">
        <f t="shared" si="1694"/>
        <v>2.5835937606318513</v>
      </c>
      <c r="JT549" s="39">
        <f t="shared" si="1682"/>
        <v>0.75248885163001833</v>
      </c>
      <c r="JU549" s="385">
        <f>(JQ549*JM549-INDEX(Input!$1:$1048576,Input!A$18,$C549*2+6)*JL549*INDEX(Input!$1:$1048576,Input!A$19,$C549*2+6))/1000000</f>
        <v>2.3735926901288087</v>
      </c>
      <c r="JV549" s="39">
        <f t="shared" si="1716"/>
        <v>-0.17940940086935786</v>
      </c>
      <c r="JW549" s="1">
        <f t="shared" si="1707"/>
        <v>-7.0273894996777234E-2</v>
      </c>
      <c r="JX549" s="19">
        <f t="shared" si="1698"/>
        <v>7758.2268461285603</v>
      </c>
      <c r="JZ549" s="341"/>
      <c r="KA549" s="342"/>
      <c r="KB549" s="469">
        <f t="shared" si="1695"/>
        <v>2.4623520912331753</v>
      </c>
      <c r="KI549" s="473">
        <f t="shared" si="1744"/>
        <v>91.158968748660186</v>
      </c>
      <c r="KJ549" s="473">
        <f t="shared" si="1745"/>
        <v>17.189471183841931</v>
      </c>
      <c r="KK549" s="473">
        <f t="shared" si="1684"/>
        <v>-11.356064412376952</v>
      </c>
      <c r="KN549" s="544">
        <f t="shared" si="1699"/>
        <v>5002</v>
      </c>
      <c r="KO549" s="541">
        <f t="shared" si="1659"/>
        <v>5.0644264799443173E-2</v>
      </c>
      <c r="KP549" s="546">
        <f t="shared" si="1660"/>
        <v>352.76658706320325</v>
      </c>
      <c r="KQ549" s="546">
        <f t="shared" si="1661"/>
        <v>220.62831601871858</v>
      </c>
      <c r="KR549" s="548">
        <f t="shared" si="1662"/>
        <v>2.4170610191832256</v>
      </c>
      <c r="KS549" s="548">
        <f t="shared" si="1663"/>
        <v>3.8646823845966933</v>
      </c>
      <c r="KT549" s="473">
        <f t="shared" si="1697"/>
        <v>389.37465324503302</v>
      </c>
      <c r="KU549" s="663">
        <f t="shared" si="1685"/>
        <v>7.3853043540466192</v>
      </c>
      <c r="KV549" s="117"/>
    </row>
    <row r="550" spans="1:308" s="26" customFormat="1" ht="15">
      <c r="A550" s="561">
        <f t="shared" si="1664"/>
        <v>5050</v>
      </c>
      <c r="B550" s="561">
        <f t="shared" si="1686"/>
        <v>50</v>
      </c>
      <c r="C550" s="561">
        <f t="shared" si="1687"/>
        <v>5</v>
      </c>
      <c r="D550" s="561" t="str">
        <f t="shared" si="1736"/>
        <v xml:space="preserve">1000 CC, -360 Lease, </v>
      </c>
      <c r="E550" s="475">
        <f>INDEX(Input!$1:$1048576,E$93,$C550*2+MIN($B550,2)+5)
+INDEX(Scenarios!E$121:E$200,MATCH($B550,Scenarios!$B$121:$B$200,0))</f>
        <v>2250</v>
      </c>
      <c r="F550" s="475">
        <f>INDEX(Input!$1:$1048576,F$93,$C550*2+MIN($B550,2)+5)
+INDEX(Scenarios!F$121:F$200,MATCH($B550,Scenarios!$B$121:$B$200,0))</f>
        <v>0</v>
      </c>
      <c r="G550" s="475">
        <f>INDEX(Input!$1:$1048576,G$93,$C550*2+MIN($B550,2)+5)
+INDEX(Scenarios!G$121:G$200,MATCH($B550,Scenarios!$B$121:$B$200,0))</f>
        <v>0</v>
      </c>
      <c r="H550" s="475">
        <f>INDEX(Input!$1:$1048576,H$93,$C550*2+MIN($B550,2)+5)
+INDEX(Scenarios!H$121:H$200,MATCH($B550,Scenarios!$B$121:$B$200,0))</f>
        <v>0</v>
      </c>
      <c r="I550" s="476">
        <f>INDEX(Input!$1:$1048576,I$93,$C550*2+MIN($B550,2)+5)</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+INDEX(Scenarios!Q$121:Q$200,MATCH($B550,Scenarios!$B$121:$B$200,0))</f>
        <v>0</v>
      </c>
      <c r="R550" s="478">
        <f>IFERROR(MAX(0,INDEX(Input!$1:$1048576,R$93,$C550*2+MIN($B550,2)+5)
+INDEX(Scenarios!R$121:R$200,MATCH($B550,Scenarios!$B$121:$B$200,0)),),"Market")</f>
        <v>0</v>
      </c>
      <c r="S550" s="478">
        <f>IFERROR(MAX(0,INDEX(Input!$1:$1048576,S$93,$C550*2+MIN($B550,2)+5)
+INDEX(Scenarios!S$121:S$200,MATCH($B550,Scenarios!$B$121:$B$200,0)),),"Market")</f>
        <v>0</v>
      </c>
      <c r="T550" s="478">
        <f>IFERROR(MAX(0,INDEX(Input!$1:$1048576,T$93,$C550*2+MIN($B550,2)+5)
+INDEX(Scenarios!T$121:T$200,MATCH($B550,Scenarios!$B$121:$B$200,0)),),"Market")</f>
        <v>0</v>
      </c>
      <c r="U550" s="478">
        <f>IFERROR(MAX(0,INDEX(Input!$1:$1048576,U$93,$C550*2+MIN($B550,2)+5)
+INDEX(Scenarios!U$121:U$200,MATCH($B550,Scenarios!$B$121:$B$200,0)),),"Market")</f>
        <v>0</v>
      </c>
      <c r="V550" s="478">
        <f>IFERROR(MAX(0,INDEX(Input!$1:$1048576,V$93,$C550*2+MIN($B550,2)+5)
+INDEX(Scenarios!V$121:V$200,MATCH($B550,Scenarios!$B$121:$B$200,0)),),"Market")</f>
        <v>1.9E-2</v>
      </c>
      <c r="W550" s="863">
        <f>IFERROR(MAX(0,INDEX(Input!$1:$1048576,W$93,$C550*2+MIN($B550,2)+5)-0%,),"Market")</f>
        <v>3.9E-2</v>
      </c>
      <c r="X550" s="476" t="str">
        <f>INDEX(Input!$1:$1048576,X$93,$C550*2+MIN($B550,2)+5)</f>
        <v>Y</v>
      </c>
      <c r="Y550" s="475">
        <f>INDEX(Input!$1:$1048576,Y$93,$C550*2+MIN($B550,2)+5)
++INDEX(Scenarios!Y$121:Y$200,MATCH($B550,Scenarios!$B$121:$B$200,0))</f>
        <v>-1458.3618966787526</v>
      </c>
      <c r="Z550" s="477">
        <f>INDEX(Input!$1:$1048576,Z$93,$C550*2+MIN($B550,2)+5)
+INDEX(Scenarios!Z$121:Z$200,MATCH($B550,Scenarios!$B$121:$B$200,0))</f>
        <v>0</v>
      </c>
      <c r="AA550" s="475">
        <f>INDEX(Input!$1:$1048576,AA$93,$C550*2+MIN($B550,2)+5)</f>
        <v>500</v>
      </c>
      <c r="AB550" s="476">
        <f>INDEX(Input!$1:$1048576,AB$93,$C550*2+MIN($B550,2)+5)</f>
        <v>0.43</v>
      </c>
      <c r="AC550" s="475">
        <f>INDEX(Input!$1:$1048576,AC$93,$C550*2+MIN($B550,2)+5)
+INDEX(Scenarios!AC$121:AC$200,MATCH($B550,Scenarios!$B$121:$B$200,0))</f>
        <v>0</v>
      </c>
      <c r="AD550" s="476">
        <f>INDEX(Input!$1:$1048576,AD$93,$C550*2+MIN($B550,2)+5)</f>
        <v>0.35</v>
      </c>
      <c r="AE550" s="475">
        <f>INDEX(Input!$1:$1048576,AE$93,$C550*2+MIN($B550,2)+5)
+INDEX(Scenarios!AE$121:AE$200,MATCH($B550,Scenarios!$B$121:$B$200,0))</f>
        <v>0</v>
      </c>
      <c r="AF550" s="476">
        <f>INDEX(Input!$1:$1048576,AF$93,$C550*2+MIN($B550,2)+5)</f>
        <v>1</v>
      </c>
      <c r="AG550" s="475">
        <f>INDEX(Input!$1:$1048576,AG$93,$C550*2+MIN($B550,2)+5)
+INDEX(Scenarios!AG$121:AG$200,MATCH($B550,Scenarios!$B$121:$B$200,0))</f>
        <v>0</v>
      </c>
      <c r="AH550" s="476">
        <f>INDEX(Input!$1:$1048576,AH$93,$C550*2+MIN($B550,2)+5)</f>
        <v>1</v>
      </c>
      <c r="AI550" s="475">
        <f>INDEX(Input!$1:$1048576,AI$93,$C550*2+MIN($B550,2)+5)
+INDEX(Scenarios!AI$121:AI$200,MATCH($B550,Scenarios!$B$121:$B$200,0))</f>
        <v>0</v>
      </c>
      <c r="AJ550" s="476">
        <f>INDEX(Input!$1:$1048576,AJ$93,$C550*2+MIN($B550,2)+5)</f>
        <v>0.35</v>
      </c>
      <c r="AK550" s="150">
        <f>ROUND(INDEX(Input!$1:$1048576,AK$93,$C549*2+MIN($B550,1)+5)+(Y550-VLOOKUP($C550*1000+1,$A:$HH,Y$92,FALSE)),0)</f>
        <v>4232</v>
      </c>
      <c r="AL550" s="150">
        <f>ROUND(INDEX(Input!$1:$1048576,AL$93,$C549*2+MIN($B550,1)+5)-(Y550-VLOOKUP($C550*1000+1,$A:$HH,Y$92,FALSE))/36,0)</f>
        <v>4753</v>
      </c>
      <c r="AM550" s="32" t="str">
        <f t="shared" si="1665"/>
        <v>std/std/std/std</v>
      </c>
      <c r="AN550" s="32" t="str">
        <f t="shared" si="1666"/>
        <v>$0 + 0/0/0/1.9/3.9</v>
      </c>
      <c r="AO550" s="32" t="str">
        <f t="shared" si="1667"/>
        <v>0/0/0/1.9/3.9</v>
      </c>
      <c r="AP550" s="32" t="str">
        <f t="shared" ref="AP550:AP599" si="1755">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0/0.9/1.9/3.9</v>
      </c>
      <c r="AQ550" s="536">
        <f t="shared" si="1754"/>
        <v>0.53490272574604414</v>
      </c>
      <c r="AR550" s="32"/>
      <c r="AS550" s="302"/>
      <c r="AT550" s="3">
        <f t="shared" si="1688"/>
        <v>50</v>
      </c>
      <c r="AU550" s="41" t="s">
        <v>121</v>
      </c>
      <c r="AV550" s="41" t="s">
        <v>116</v>
      </c>
      <c r="AW550" s="41" t="str">
        <f>INDEX(Input!$1:$1048576,AW$93,$C550*2+6)</f>
        <v>Kia</v>
      </c>
      <c r="AX550" s="41" t="str">
        <f>INDEX(Input!$1:$1048576,AX$93,$C550*2+6)</f>
        <v>Kia-LR - R2</v>
      </c>
      <c r="AY550" s="41" t="str">
        <f>IF(LEN(D550)=0,"",INDEX(Input!$1:$1048576,AY$93,$C550*2+6))</f>
        <v>Compact Conventional/Sporty Car (43)</v>
      </c>
      <c r="AZ550" s="41" t="str">
        <f>INDEX(Input!$1:$1048576,AZ$93,$C550*2+6)</f>
        <v>Kia Forte</v>
      </c>
      <c r="BA550" s="3">
        <f>INDEX(Input!$1:$1048576,BA$93,$C550*2+6)</f>
        <v>2020</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19695</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756">E550+F550*I550+AA466*AB466+AC550*AD550</f>
        <v>2250</v>
      </c>
      <c r="CJ550" s="16" t="str">
        <f>INDEX(Input!$1:$1048576,CJ$93,$C550*2+6)</f>
        <v>N</v>
      </c>
      <c r="CK550" s="1" t="str">
        <f t="shared" ref="CK550:CK599" si="1757">K550</f>
        <v>Market</v>
      </c>
      <c r="CL550" s="1" t="str">
        <f t="shared" ref="CL550:CL599" si="1758">L550</f>
        <v>Market</v>
      </c>
      <c r="CM550" s="1" t="str">
        <f t="shared" ref="CM550:CM599" si="1759">M550</f>
        <v>Market</v>
      </c>
      <c r="CN550" s="1" t="str">
        <f t="shared" ref="CN550:CN599" si="1760">N550</f>
        <v>Market</v>
      </c>
      <c r="CO550" s="1" t="str">
        <f t="shared" ref="CO550:CO599" si="1761">O550</f>
        <v>Market</v>
      </c>
      <c r="CP550" s="304">
        <f t="shared" ref="CP550:CP599" si="1762">Q550+G550*I550+AA550*AB550+AC550*AD550</f>
        <v>215</v>
      </c>
      <c r="CQ550" s="1">
        <f t="shared" ref="CQ550:CQ599" si="1763">S550</f>
        <v>0</v>
      </c>
      <c r="CR550" s="1">
        <f t="shared" ref="CR550:CR599" si="1764">T550</f>
        <v>0</v>
      </c>
      <c r="CS550" s="1">
        <f t="shared" ref="CS550:CS599" si="1765">U550</f>
        <v>0</v>
      </c>
      <c r="CT550" s="1">
        <f t="shared" ref="CT550:CT599" si="1766">V550</f>
        <v>1.9E-2</v>
      </c>
      <c r="CU550" s="1">
        <f t="shared" ref="CU550:CU599" si="1767">W550</f>
        <v>3.9E-2</v>
      </c>
      <c r="CV550" s="304">
        <f t="shared" ref="CV550:CV613" si="1768">Y550+H550*I550+AE550*AF550+AI550*AJ550</f>
        <v>-1458.3618966787526</v>
      </c>
      <c r="CW550" s="20" t="s">
        <v>122</v>
      </c>
      <c r="CX550" s="20" t="s">
        <v>122</v>
      </c>
      <c r="CY550" s="20" t="s">
        <v>122</v>
      </c>
      <c r="CZ550" s="20" t="s">
        <v>122</v>
      </c>
      <c r="DA550" s="20" t="s">
        <v>122</v>
      </c>
      <c r="DB550" s="503">
        <f t="shared" ref="DB550:DB613" si="1769">Z550+AG550*AH550</f>
        <v>0</v>
      </c>
      <c r="DC550" s="127">
        <v>0</v>
      </c>
      <c r="DD550" s="127">
        <v>0</v>
      </c>
      <c r="DE550" s="127">
        <v>0</v>
      </c>
      <c r="DF550" s="127">
        <v>0</v>
      </c>
      <c r="DG550" s="127">
        <v>0</v>
      </c>
      <c r="DH550" s="127">
        <v>0</v>
      </c>
      <c r="DI550" s="127">
        <v>0</v>
      </c>
      <c r="DJ550" s="127">
        <v>0</v>
      </c>
      <c r="DK550" s="127">
        <v>0</v>
      </c>
      <c r="DL550" s="127">
        <v>0</v>
      </c>
      <c r="DM550" s="304">
        <f>INDEX(Input!$1:$1048576,DM$93,$C550*2+6)</f>
        <v>20731.578947368424</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4.6752084724422632E-2</v>
      </c>
      <c r="DZ550" s="7">
        <v>0</v>
      </c>
      <c r="EA550" s="7">
        <v>0.81599772606306564</v>
      </c>
      <c r="EB550" s="7">
        <v>0</v>
      </c>
      <c r="EC550" s="7">
        <v>0</v>
      </c>
      <c r="ED550" s="7">
        <v>0</v>
      </c>
      <c r="EE550" s="7">
        <v>0</v>
      </c>
      <c r="EF550" s="7">
        <v>0</v>
      </c>
      <c r="EG550" s="7">
        <v>0</v>
      </c>
      <c r="EH550" s="7">
        <v>1.4462203024535063E-2</v>
      </c>
      <c r="EI550" s="7">
        <v>1.8190487651256745E-2</v>
      </c>
      <c r="EJ550" s="7">
        <v>0.26810588924783052</v>
      </c>
      <c r="EK550" s="7">
        <v>0.65288913928662362</v>
      </c>
      <c r="EL550" s="7">
        <v>4.6352280789754147E-2</v>
      </c>
      <c r="EM550" s="7">
        <v>5.4215311443669909E-2</v>
      </c>
      <c r="EN550" s="7">
        <v>4.6962560279774641E-2</v>
      </c>
      <c r="EO550" s="7">
        <v>0.58334524731748438</v>
      </c>
      <c r="EP550" s="7">
        <v>0.24966304289195948</v>
      </c>
      <c r="EQ550" s="7">
        <v>7.289512429202831E-2</v>
      </c>
      <c r="ER550" s="7">
        <v>4.7134025218753033E-2</v>
      </c>
      <c r="ES550" s="7">
        <v>8.3034877768841955E-2</v>
      </c>
      <c r="ET550" s="7">
        <v>0.13725018921251181</v>
      </c>
      <c r="EU550" s="6">
        <v>2600</v>
      </c>
      <c r="EV550" s="6">
        <v>0</v>
      </c>
      <c r="EW550" s="6">
        <v>2600</v>
      </c>
      <c r="EX550" s="6">
        <v>0</v>
      </c>
      <c r="EY550" s="6">
        <v>2631.7451452312562</v>
      </c>
      <c r="EZ550" s="6">
        <v>-2083.0908300335955</v>
      </c>
      <c r="FA550" s="6">
        <v>0</v>
      </c>
      <c r="FB550" s="6">
        <v>0</v>
      </c>
      <c r="FC550" s="6">
        <v>0</v>
      </c>
      <c r="FD550" s="6">
        <v>0</v>
      </c>
      <c r="FE550" s="6">
        <v>0</v>
      </c>
      <c r="FF550" s="6">
        <v>0</v>
      </c>
      <c r="FG550" s="6">
        <v>0</v>
      </c>
      <c r="FH550" s="6">
        <v>1153.994837264368</v>
      </c>
      <c r="FI550" s="6">
        <v>1531.4299904380618</v>
      </c>
      <c r="FJ550" s="6">
        <v>2070.7205842538201</v>
      </c>
      <c r="FK550" s="6">
        <v>1746.9903521590436</v>
      </c>
      <c r="FL550" s="6">
        <v>893.91433563489386</v>
      </c>
      <c r="FM550" s="6">
        <v>1781.7451452312564</v>
      </c>
      <c r="FN550" s="6">
        <v>0</v>
      </c>
      <c r="FO550" s="6">
        <v>0</v>
      </c>
      <c r="FP550" s="6">
        <v>0</v>
      </c>
      <c r="FQ550" s="6">
        <v>0</v>
      </c>
      <c r="FR550" s="6">
        <v>0</v>
      </c>
      <c r="FS550" s="6">
        <v>0</v>
      </c>
      <c r="FT550" s="7">
        <v>0.86274981078748825</v>
      </c>
      <c r="FU550" s="7">
        <v>5.4215311443669909E-2</v>
      </c>
      <c r="FV550" s="7">
        <v>8.3034877768841955E-2</v>
      </c>
      <c r="FW550" s="6">
        <v>2599.9999999999995</v>
      </c>
      <c r="FX550" s="6">
        <v>2631.7451452312562</v>
      </c>
      <c r="FY550" s="6">
        <v>-2083.0908300335955</v>
      </c>
      <c r="FZ550" s="6">
        <v>2411.9063952864503</v>
      </c>
      <c r="GA550" s="6">
        <v>2212.8611982833127</v>
      </c>
      <c r="GB550" s="6">
        <v>17482.138801716686</v>
      </c>
      <c r="GC550" s="7">
        <v>7.6138913542514425E-2</v>
      </c>
      <c r="GD550" s="7">
        <v>7.3022753356062148E-2</v>
      </c>
      <c r="GE550" s="7"/>
      <c r="GF550" s="7"/>
      <c r="GG550" s="7">
        <v>-4.0927300396955052E-2</v>
      </c>
      <c r="GH550" s="42">
        <v>4.0496489915570448</v>
      </c>
      <c r="GI550" s="6">
        <v>7076.2456647053023</v>
      </c>
      <c r="GJ550" s="14">
        <v>0.51074630601039572</v>
      </c>
      <c r="GK550" s="14">
        <v>0.50829519786161004</v>
      </c>
      <c r="GL550" s="14">
        <v>0.48925369398960472</v>
      </c>
      <c r="GM550" s="14">
        <v>0.49170480213839063</v>
      </c>
      <c r="GO550" s="5">
        <v>338.16872463277008</v>
      </c>
      <c r="GP550" s="5">
        <v>288.56568471597211</v>
      </c>
      <c r="GQ550" s="5">
        <v>527.27910984145694</v>
      </c>
      <c r="GR550" s="5">
        <v>404.20319246551543</v>
      </c>
      <c r="GS550" s="5">
        <v>334.50205195691484</v>
      </c>
      <c r="GT550" s="5">
        <v>289.18266033348181</v>
      </c>
      <c r="GU550" s="5">
        <v>254.29573314828914</v>
      </c>
      <c r="GV550" s="39" t="s">
        <v>392</v>
      </c>
      <c r="GW550" s="5">
        <v>468.76388888888891</v>
      </c>
      <c r="GX550" s="5">
        <v>351.57291666666669</v>
      </c>
      <c r="GY550" s="5">
        <v>281.25833333333333</v>
      </c>
      <c r="GZ550" s="5">
        <v>248.18079879493993</v>
      </c>
      <c r="HA550" s="5">
        <v>229.8919505212948</v>
      </c>
      <c r="HB550" s="39">
        <v>261.27222125208147</v>
      </c>
      <c r="HC550" s="5">
        <v>374.25084881396981</v>
      </c>
      <c r="HD550" s="5">
        <v>298.52900980034525</v>
      </c>
      <c r="HE550" s="5">
        <v>295.2186408427836</v>
      </c>
      <c r="HF550" s="5">
        <v>265.87464978663218</v>
      </c>
      <c r="HG550" s="5">
        <v>247.50084178617021</v>
      </c>
      <c r="HH550" s="39">
        <v>296.47311785255494</v>
      </c>
      <c r="HI550" s="16"/>
      <c r="HJ550" s="19" t="str">
        <f t="shared" si="1742"/>
        <v>On</v>
      </c>
      <c r="HK550" s="1" t="str">
        <f t="shared" si="1742"/>
        <v>On</v>
      </c>
      <c r="HL550" s="16"/>
      <c r="HM550" s="639">
        <f t="shared" si="1636"/>
        <v>5.1181272167489952E-2</v>
      </c>
      <c r="HN550" s="639">
        <f t="shared" si="1637"/>
        <v>4.2792051795134348E-3</v>
      </c>
      <c r="HO550" s="639">
        <f t="shared" si="1638"/>
        <v>7.4145241462331068E-3</v>
      </c>
      <c r="HP550" s="644">
        <f>(FT550*$GD550-HM550)/$JF550*INDEX(Input!$1:$1048576,$JG$93,$C550*2+6)</f>
        <v>139.47940979977338</v>
      </c>
      <c r="HQ550" s="644">
        <f>(FU550*$GD550-HN550)/$JF550*INDEX(Input!$1:$1048576,$JG$93,$C550*2+6)</f>
        <v>-3.7793775161184673</v>
      </c>
      <c r="HR550" s="644">
        <f>(FV550*$GD550-HO550)/$JF550*INDEX(Input!$1:$1048576,$JG$93,$C550*2+6)</f>
        <v>-15.944458472231437</v>
      </c>
      <c r="HS550" s="644">
        <f t="shared" si="1639"/>
        <v>-26.028610272818046</v>
      </c>
      <c r="HT550" s="644">
        <f t="shared" si="1640"/>
        <v>18.741998325828728</v>
      </c>
      <c r="HU550" s="644">
        <f t="shared" si="1641"/>
        <v>2.6042543685563784</v>
      </c>
      <c r="HV550" s="648">
        <f t="shared" si="1642"/>
        <v>0</v>
      </c>
      <c r="HW550" s="648">
        <f t="shared" si="1643"/>
        <v>0</v>
      </c>
      <c r="HX550" s="648">
        <f t="shared" si="1644"/>
        <v>0</v>
      </c>
      <c r="HY550" s="644">
        <f>INDEX(Input!$1:$1048576,HY$93,$C550*2+6)*INDEX(Input!$1:$1048576,$JG$93,$C550*2+6)</f>
        <v>345</v>
      </c>
      <c r="HZ550" s="644">
        <f>INDEX(Input!$1:$1048576,HZ$93,$C550*2+6)*INDEX(Input!$1:$1048576,$JG$93,$C550*2+6)</f>
        <v>299</v>
      </c>
      <c r="IA550" s="644">
        <f>INDEX(Input!$1:$1048576,IA$93,$C550*2+6)*INDEX(Input!$1:$1048576,$JG$93,$C550*2+6)</f>
        <v>98</v>
      </c>
      <c r="IB550" s="644">
        <f t="shared" si="1668"/>
        <v>458.45079952695534</v>
      </c>
      <c r="IC550" s="644">
        <f t="shared" si="1669"/>
        <v>313.96262080971024</v>
      </c>
      <c r="ID550" s="644">
        <f>IF(AND(INDEX(Input!$1:$1048576,IA$93,$C550*2+7)="TOS",Y550&lt;=INDEX(Y:Y,MATCH(C550*1000+2,A:A))),0,1)*MAX(IA550+HR550+HU550+HX550,0%)</f>
        <v>84.659795896324951</v>
      </c>
      <c r="IE550" s="128">
        <f t="shared" si="1743"/>
        <v>0.53490272574604414</v>
      </c>
      <c r="IF550" s="128">
        <f t="shared" si="1691"/>
        <v>0.36631948690409349</v>
      </c>
      <c r="IG550" s="128">
        <f t="shared" si="1646"/>
        <v>9.8777787349862381E-2</v>
      </c>
      <c r="IH550" s="21"/>
      <c r="II550" s="19">
        <f t="shared" si="1647"/>
        <v>1200</v>
      </c>
      <c r="IJ550" s="19">
        <f t="shared" si="1648"/>
        <v>2231.5440334087361</v>
      </c>
      <c r="IK550" s="19">
        <f t="shared" si="1649"/>
        <v>-2048.0908300335955</v>
      </c>
      <c r="IL550" s="19">
        <f t="shared" si="1671"/>
        <v>1399.9999999999995</v>
      </c>
      <c r="IM550" s="19">
        <f t="shared" si="1650"/>
        <v>400.20111182252003</v>
      </c>
      <c r="IN550" s="19">
        <f t="shared" si="1651"/>
        <v>-35</v>
      </c>
      <c r="IO550" s="39">
        <f t="shared" si="1652"/>
        <v>0</v>
      </c>
      <c r="IP550" s="39">
        <f t="shared" si="1653"/>
        <v>0</v>
      </c>
      <c r="IQ550" s="39">
        <f t="shared" si="1654"/>
        <v>0</v>
      </c>
      <c r="IR550" s="39">
        <v>0</v>
      </c>
      <c r="IS550" s="39">
        <v>0</v>
      </c>
      <c r="IT550" s="39">
        <v>0</v>
      </c>
      <c r="IU550" s="39">
        <v>0</v>
      </c>
      <c r="IV550" s="39">
        <v>0</v>
      </c>
      <c r="IW550" s="39">
        <v>0</v>
      </c>
      <c r="IX550" s="39">
        <f>INDEX(Input!$1:$1048576,IX$93,$C550*2+6)+INDEX(Input!$1:$1048576,IX$94,$C550*2+6)</f>
        <v>1600</v>
      </c>
      <c r="IY550" s="39">
        <f>INDEX(Input!$1:$1048576,IY$93,$C550*2+6)+INDEX(Input!$1:$1048576,IY$94,$C550*2+6)</f>
        <v>2503.5492916397525</v>
      </c>
      <c r="IZ550" s="39">
        <f>INDEX(Input!$1:$1048576,IZ$93,$C550*2+6)+INDEX(Input!$1:$1048576,IZ$94,$C550*2+6)</f>
        <v>5413.7109265464023</v>
      </c>
      <c r="JA550" s="19">
        <f t="shared" si="1672"/>
        <v>2999.9999999999995</v>
      </c>
      <c r="JB550" s="19">
        <f t="shared" si="1673"/>
        <v>2903.7504034622725</v>
      </c>
      <c r="JC550" s="19">
        <f t="shared" si="1674"/>
        <v>5378.7109265464023</v>
      </c>
      <c r="JD550" s="19">
        <f t="shared" si="1675"/>
        <v>3199.7056992507682</v>
      </c>
      <c r="JE550" s="21"/>
      <c r="JF550" s="1">
        <f t="shared" si="1655"/>
        <v>6.2875001493236493E-2</v>
      </c>
      <c r="JG550" s="15">
        <f>INDEX(Input!$1:$1048576,JG$93,$C550*2+6)/(1+VLOOKUP(C550*1000+INDEX(Input!$1:$1048576,JG$93+1,$C550*2+6),$A:$KK,$JK$92,FALSE))</f>
        <v>742</v>
      </c>
      <c r="JH550" s="1">
        <f t="shared" si="1676"/>
        <v>0.16139565203695885</v>
      </c>
      <c r="JI550" s="1">
        <f t="shared" si="1677"/>
        <v>-6.3104549574567919E-3</v>
      </c>
      <c r="JJ550" s="1">
        <f t="shared" si="1715"/>
        <v>0</v>
      </c>
      <c r="JK550" s="1">
        <f t="shared" si="1719"/>
        <v>0.15508519707950205</v>
      </c>
      <c r="JL550" s="15">
        <f t="shared" si="1680"/>
        <v>115.07321623299052</v>
      </c>
      <c r="JM550" s="15">
        <f t="shared" si="1706"/>
        <v>857.07321623299049</v>
      </c>
      <c r="JN550" s="21"/>
      <c r="JO550" s="19">
        <f>INDEX(Input!$1:$1048576,JO$93,$C550*2+6)</f>
        <v>5908.5</v>
      </c>
      <c r="JP550" s="19">
        <f>INDEX(Input!$1:$1048576,JP$93,$C550*2+6)</f>
        <v>2467.7963733178344</v>
      </c>
      <c r="JQ550" s="39">
        <f t="shared" si="1692"/>
        <v>2708.7943007492318</v>
      </c>
      <c r="JR550" s="39">
        <f t="shared" si="1709"/>
        <v>731.90932593293383</v>
      </c>
      <c r="JS550" s="39">
        <f t="shared" si="1694"/>
        <v>2.7423820546558857</v>
      </c>
      <c r="JT550" s="39">
        <f t="shared" si="1682"/>
        <v>0.91127714565405271</v>
      </c>
      <c r="JU550" s="385">
        <f>(JQ550*JM550-INDEX(Input!$1:$1048576,Input!A$18,$C550*2+6)*JL550*INDEX(Input!$1:$1048576,Input!A$19,$C550*2+6))/1000000</f>
        <v>2.3216350434567383</v>
      </c>
      <c r="JV550" s="39">
        <f t="shared" si="1716"/>
        <v>-0.23136704754142823</v>
      </c>
      <c r="JW550" s="1">
        <f t="shared" si="1707"/>
        <v>-9.0625482978342928E-2</v>
      </c>
      <c r="JX550" s="19">
        <f t="shared" si="1698"/>
        <v>7919.107290865807</v>
      </c>
      <c r="JZ550" s="341"/>
      <c r="KA550" s="342"/>
      <c r="KB550" s="469">
        <f t="shared" si="1695"/>
        <v>2.4623520912331753</v>
      </c>
      <c r="KI550" s="473">
        <f t="shared" si="1744"/>
        <v>113.45079952695528</v>
      </c>
      <c r="KJ550" s="473">
        <f t="shared" si="1745"/>
        <v>14.962620809710245</v>
      </c>
      <c r="KK550" s="473">
        <f t="shared" si="1684"/>
        <v>-13.340204103675049</v>
      </c>
      <c r="KN550" s="544">
        <f t="shared" si="1699"/>
        <v>5002</v>
      </c>
      <c r="KO550" s="541">
        <f t="shared" si="1659"/>
        <v>7.3286343740801119E-2</v>
      </c>
      <c r="KP550" s="546">
        <f t="shared" si="1660"/>
        <v>499.40349738240786</v>
      </c>
      <c r="KQ550" s="546">
        <f t="shared" si="1661"/>
        <v>340.93325309905913</v>
      </c>
      <c r="KR550" s="548">
        <f t="shared" si="1662"/>
        <v>2.4706786521858617</v>
      </c>
      <c r="KS550" s="548">
        <f t="shared" si="1663"/>
        <v>3.6190824702311151</v>
      </c>
      <c r="KT550" s="473">
        <f t="shared" si="1697"/>
        <v>389.37465324503302</v>
      </c>
      <c r="KU550" s="663">
        <f t="shared" si="1685"/>
        <v>7.3934517944143465</v>
      </c>
      <c r="KV550" s="117"/>
    </row>
    <row r="551" spans="1:308" s="26" customFormat="1" ht="15" outlineLevel="1">
      <c r="A551" s="561">
        <f t="shared" ref="A551:A579" si="1770">C551*1000+B551</f>
        <v>5051</v>
      </c>
      <c r="B551" s="561">
        <f t="shared" ref="B551:B568" si="1771">B550+1</f>
        <v>51</v>
      </c>
      <c r="C551" s="561">
        <f t="shared" ref="C551:C568" si="1772">C550</f>
        <v>5</v>
      </c>
      <c r="D551" s="561" t="str">
        <f t="shared" si="1736"/>
        <v xml:space="preserve">0/0/0.9/3.9, -360 Lease, </v>
      </c>
      <c r="E551" s="475">
        <f>INDEX(Input!$1:$1048576,E$93,$C551*2+MIN($B551,2)+5)
+INDEX(Scenarios!E$121:E$200,MATCH($B551,Scenarios!$B$121:$B$200,0))</f>
        <v>1250</v>
      </c>
      <c r="F551" s="475">
        <f>INDEX(Input!$1:$1048576,F$93,$C551*2+MIN($B551,2)+5)
+INDEX(Scenarios!F$121:F$200,MATCH($B551,Scenarios!$B$121:$B$200,0))</f>
        <v>0</v>
      </c>
      <c r="G551" s="475">
        <f>INDEX(Input!$1:$1048576,G$93,$C551*2+MIN($B551,2)+5)
+INDEX(Scenarios!G$121:G$200,MATCH($B551,Scenarios!$B$121:$B$200,0))</f>
        <v>0</v>
      </c>
      <c r="H551" s="475">
        <f>INDEX(Input!$1:$1048576,H$93,$C551*2+MIN($B551,2)+5)
+INDEX(Scenarios!H$121:H$200,MATCH($B551,Scenarios!$B$121:$B$200,0))</f>
        <v>0</v>
      </c>
      <c r="I551" s="476">
        <f>INDEX(Input!$1:$1048576,I$93,$C551*2+MIN($B551,2)+5)</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+INDEX(Scenarios!Q$121:Q$200,MATCH($B551,Scenarios!$B$121:$B$200,0))</f>
        <v>0</v>
      </c>
      <c r="R551" s="478">
        <f>IFERROR(MAX(0,INDEX(Input!$1:$1048576,R$93,$C551*2+MIN($B551,2)+5)
+INDEX(Scenarios!R$121:R$200,MATCH($B551,Scenarios!$B$121:$B$200,0)),),"Market")</f>
        <v>0</v>
      </c>
      <c r="S551" s="478">
        <f>IFERROR(MAX(0,INDEX(Input!$1:$1048576,S$93,$C551*2+MIN($B551,2)+5)
+INDEX(Scenarios!S$121:S$200,MATCH($B551,Scenarios!$B$121:$B$200,0)),),"Market")</f>
        <v>0</v>
      </c>
      <c r="T551" s="478">
        <f>IFERROR(MAX(0,INDEX(Input!$1:$1048576,T$93,$C551*2+MIN($B551,2)+5)
+INDEX(Scenarios!T$121:T$200,MATCH($B551,Scenarios!$B$121:$B$200,0)),),"Market")</f>
        <v>0</v>
      </c>
      <c r="U551" s="478">
        <f>IFERROR(MAX(0,INDEX(Input!$1:$1048576,U$93,$C551*2+MIN($B551,2)+5)
+INDEX(Scenarios!U$121:U$200,MATCH($B551,Scenarios!$B$121:$B$200,0)),),"Market")</f>
        <v>0</v>
      </c>
      <c r="V551" s="478">
        <f>IFERROR(MAX(0,INDEX(Input!$1:$1048576,V$93,$C551*2+MIN($B551,2)+5)
+INDEX(Scenarios!V$121:V$200,MATCH($B551,Scenarios!$B$121:$B$200,0)),),"Market")</f>
        <v>8.9999999999999993E-3</v>
      </c>
      <c r="W551" s="863">
        <f>IFERROR(MAX(0,INDEX(Input!$1:$1048576,W$93,$C551*2+MIN($B551,2)+5)-0%,),"Market")</f>
        <v>3.9E-2</v>
      </c>
      <c r="X551" s="476" t="str">
        <f>INDEX(Input!$1:$1048576,X$93,$C551*2+MIN($B551,2)+5)</f>
        <v>Y</v>
      </c>
      <c r="Y551" s="475">
        <f>INDEX(Input!$1:$1048576,Y$93,$C551*2+MIN($B551,2)+5)
++INDEX(Scenarios!Y$121:Y$200,MATCH($B551,Scenarios!$B$121:$B$200,0))</f>
        <v>-1458.3618966787526</v>
      </c>
      <c r="Z551" s="477">
        <f>INDEX(Input!$1:$1048576,Z$93,$C551*2+MIN($B551,2)+5)
+INDEX(Scenarios!Z$121:Z$200,MATCH($B551,Scenarios!$B$121:$B$200,0))</f>
        <v>0</v>
      </c>
      <c r="AA551" s="475">
        <f>INDEX(Input!$1:$1048576,AA$93,$C551*2+MIN($B551,2)+5)</f>
        <v>500</v>
      </c>
      <c r="AB551" s="476">
        <f>INDEX(Input!$1:$1048576,AB$93,$C551*2+MIN($B551,2)+5)</f>
        <v>0.43</v>
      </c>
      <c r="AC551" s="475">
        <f>INDEX(Input!$1:$1048576,AC$93,$C551*2+MIN($B551,2)+5)
+INDEX(Scenarios!AC$121:AC$200,MATCH($B551,Scenarios!$B$121:$B$200,0))</f>
        <v>0</v>
      </c>
      <c r="AD551" s="476">
        <f>INDEX(Input!$1:$1048576,AD$93,$C551*2+MIN($B551,2)+5)</f>
        <v>0.35</v>
      </c>
      <c r="AE551" s="475">
        <f>INDEX(Input!$1:$1048576,AE$93,$C551*2+MIN($B551,2)+5)
+INDEX(Scenarios!AE$121:AE$200,MATCH($B551,Scenarios!$B$121:$B$200,0))</f>
        <v>0</v>
      </c>
      <c r="AF551" s="476">
        <f>INDEX(Input!$1:$1048576,AF$93,$C551*2+MIN($B551,2)+5)</f>
        <v>1</v>
      </c>
      <c r="AG551" s="475">
        <f>INDEX(Input!$1:$1048576,AG$93,$C551*2+MIN($B551,2)+5)
+INDEX(Scenarios!AG$121:AG$200,MATCH($B551,Scenarios!$B$121:$B$200,0))</f>
        <v>0</v>
      </c>
      <c r="AH551" s="476">
        <f>INDEX(Input!$1:$1048576,AH$93,$C551*2+MIN($B551,2)+5)</f>
        <v>1</v>
      </c>
      <c r="AI551" s="475">
        <f>INDEX(Input!$1:$1048576,AI$93,$C551*2+MIN($B551,2)+5)
+INDEX(Scenarios!AI$121:AI$200,MATCH($B551,Scenarios!$B$121:$B$200,0))</f>
        <v>0</v>
      </c>
      <c r="AJ551" s="476">
        <f>INDEX(Input!$1:$1048576,AJ$93,$C551*2+MIN($B551,2)+5)</f>
        <v>0.35</v>
      </c>
      <c r="AK551" s="150">
        <f>ROUND(INDEX(Input!$1:$1048576,AK$93,$C550*2+MIN($B551,1)+5)+(Y551-VLOOKUP($C551*1000+1,$A:$HH,Y$92,FALSE)),0)</f>
        <v>4232</v>
      </c>
      <c r="AL551" s="150">
        <f>ROUND(INDEX(Input!$1:$1048576,AL$93,$C550*2+MIN($B551,1)+5)-(Y551-VLOOKUP($C551*1000+1,$A:$HH,Y$92,FALSE))/36,0)</f>
        <v>4753</v>
      </c>
      <c r="AM551" s="32" t="str">
        <f t="shared" ref="AM551:AM579" si="1773">IF(K551="market","std",ROUND(K551*1000,0)/10)&amp;"/"&amp;IF(L551="market","std",ROUND(L551*1000,0)/10)&amp;"/"&amp;IF(M551="market","std",ROUND(M551*1000,0)/10)&amp;"/"&amp;IF(N551="market","std",ROUND(N551*1000,0)/10)&amp;IF(P551="N","","/"&amp;IF(O551="market","std",ROUND(O551*1000,0)/10))</f>
        <v>std/std/std/std</v>
      </c>
      <c r="AN551" s="32" t="str">
        <f t="shared" ref="AN551:AN579" si="1774">"$"&amp;ROUND(Q551,0)&amp;" + "&amp;IF(S551="market","std",ROUND(S551*1000,0)/10)&amp;"/"&amp;IF(T551="market","std",ROUND(T551*1000,0)/10)&amp;"/"&amp;IF(U551="market","std",ROUND(U551*1000,0)/10)&amp;"/"&amp;IF(V551="market","std",ROUND(V551*1000,0)/10)&amp;IF(X551="N","","/"&amp;IF(W551="market","std",ROUND(W551*1000,0)/10))</f>
        <v>$0 + 0/0/0/0.9/3.9</v>
      </c>
      <c r="AO551" s="32" t="str">
        <f t="shared" ref="AO551:AO579" si="1775">IF(S551="market","std",ROUND(S551*1000,0)/10)&amp;"/"&amp;IF(T551="market","std",ROUND(T551*1000,0)/10)&amp;"/"&amp;IF(U551="market","std",ROUND(U551*1000,0)/10)&amp;"/"&amp;IF(V551="market","std",ROUND(V551*1000,0)/10)&amp;IF(X551="N","","/"&amp;IF(W551="market","std",ROUND(W551*1000,0)/10))</f>
        <v>0/0/0/0.9/3.9</v>
      </c>
      <c r="AP551" s="32" t="str">
        <f t="shared" si="1755"/>
        <v>0/0/0.9/3.9</v>
      </c>
      <c r="AQ551" s="536">
        <f t="shared" si="1754"/>
        <v>0.44528159743444834</v>
      </c>
      <c r="AR551" s="32"/>
      <c r="AS551" s="302"/>
      <c r="AT551" s="3">
        <f t="shared" ref="AT551:AT568" si="1776">AT550+1</f>
        <v>51</v>
      </c>
      <c r="AU551" s="41" t="s">
        <v>121</v>
      </c>
      <c r="AV551" s="41" t="s">
        <v>116</v>
      </c>
      <c r="AW551" s="41" t="str">
        <f>INDEX(Input!$1:$1048576,AW$93,$C551*2+6)</f>
        <v>Kia</v>
      </c>
      <c r="AX551" s="41" t="str">
        <f>INDEX(Input!$1:$1048576,AX$93,$C551*2+6)</f>
        <v>Kia-LR - R2</v>
      </c>
      <c r="AY551" s="41" t="str">
        <f>IF(LEN(D551)=0,"",INDEX(Input!$1:$1048576,AY$93,$C551*2+6))</f>
        <v>Compact Conventional/Sporty Car (43)</v>
      </c>
      <c r="AZ551" s="41" t="str">
        <f>INDEX(Input!$1:$1048576,AZ$93,$C551*2+6)</f>
        <v>Kia Forte</v>
      </c>
      <c r="BA551" s="3">
        <f>INDEX(Input!$1:$1048576,BA$93,$C551*2+6)</f>
        <v>2020</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19695</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756"/>
        <v>1250</v>
      </c>
      <c r="CJ551" s="16" t="str">
        <f>INDEX(Input!$1:$1048576,CJ$93,$C551*2+6)</f>
        <v>N</v>
      </c>
      <c r="CK551" s="1" t="str">
        <f t="shared" si="1757"/>
        <v>Market</v>
      </c>
      <c r="CL551" s="1" t="str">
        <f t="shared" si="1758"/>
        <v>Market</v>
      </c>
      <c r="CM551" s="1" t="str">
        <f t="shared" si="1759"/>
        <v>Market</v>
      </c>
      <c r="CN551" s="1" t="str">
        <f t="shared" si="1760"/>
        <v>Market</v>
      </c>
      <c r="CO551" s="1" t="str">
        <f t="shared" si="1761"/>
        <v>Market</v>
      </c>
      <c r="CP551" s="304">
        <f t="shared" si="1762"/>
        <v>215</v>
      </c>
      <c r="CQ551" s="1">
        <f t="shared" si="1763"/>
        <v>0</v>
      </c>
      <c r="CR551" s="1">
        <f t="shared" si="1764"/>
        <v>0</v>
      </c>
      <c r="CS551" s="1">
        <f t="shared" si="1765"/>
        <v>0</v>
      </c>
      <c r="CT551" s="1">
        <f t="shared" si="1766"/>
        <v>8.9999999999999993E-3</v>
      </c>
      <c r="CU551" s="1">
        <f t="shared" si="1767"/>
        <v>3.9E-2</v>
      </c>
      <c r="CV551" s="304">
        <f t="shared" si="1768"/>
        <v>-1458.3618966787526</v>
      </c>
      <c r="CW551" s="20" t="s">
        <v>122</v>
      </c>
      <c r="CX551" s="20" t="s">
        <v>122</v>
      </c>
      <c r="CY551" s="20" t="s">
        <v>122</v>
      </c>
      <c r="CZ551" s="20" t="s">
        <v>122</v>
      </c>
      <c r="DA551" s="20" t="s">
        <v>122</v>
      </c>
      <c r="DB551" s="503">
        <f t="shared" si="1769"/>
        <v>0</v>
      </c>
      <c r="DC551" s="127">
        <v>0</v>
      </c>
      <c r="DD551" s="127">
        <v>0</v>
      </c>
      <c r="DE551" s="127">
        <v>0</v>
      </c>
      <c r="DF551" s="127">
        <v>0</v>
      </c>
      <c r="DG551" s="127">
        <v>0</v>
      </c>
      <c r="DH551" s="127">
        <v>0</v>
      </c>
      <c r="DI551" s="127">
        <v>0</v>
      </c>
      <c r="DJ551" s="127">
        <v>0</v>
      </c>
      <c r="DK551" s="127">
        <v>0</v>
      </c>
      <c r="DL551" s="127">
        <v>0</v>
      </c>
      <c r="DM551" s="304">
        <f>INDEX(Input!$1:$1048576,DM$93,$C551*2+6)</f>
        <v>20731.578947368424</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4.3003625789383999E-2</v>
      </c>
      <c r="DZ551" s="7">
        <v>0</v>
      </c>
      <c r="EA551" s="7">
        <v>0.76065795933082891</v>
      </c>
      <c r="EB551" s="7">
        <v>0</v>
      </c>
      <c r="EC551" s="7">
        <v>0</v>
      </c>
      <c r="ED551" s="7">
        <v>0</v>
      </c>
      <c r="EE551" s="7">
        <v>0</v>
      </c>
      <c r="EF551" s="7">
        <v>0</v>
      </c>
      <c r="EG551" s="7">
        <v>0</v>
      </c>
      <c r="EH551" s="7">
        <v>1.0391530056303199E-2</v>
      </c>
      <c r="EI551" s="7">
        <v>1.3087289743030207E-2</v>
      </c>
      <c r="EJ551" s="7">
        <v>0.19249810116649074</v>
      </c>
      <c r="EK551" s="7">
        <v>0.75065371961022231</v>
      </c>
      <c r="EL551" s="7">
        <v>3.3369359423953776E-2</v>
      </c>
      <c r="EM551" s="7">
        <v>9.3429619360486341E-2</v>
      </c>
      <c r="EN551" s="7">
        <v>4.6960754241377432E-2</v>
      </c>
      <c r="EO551" s="7">
        <v>0.58335654177238938</v>
      </c>
      <c r="EP551" s="7">
        <v>0.24968575112034941</v>
      </c>
      <c r="EQ551" s="7">
        <v>7.2899747870434239E-2</v>
      </c>
      <c r="ER551" s="7">
        <v>4.7097204995449768E-2</v>
      </c>
      <c r="ES551" s="7">
        <v>0.10290879551930061</v>
      </c>
      <c r="ET551" s="7">
        <v>0.19633841487978695</v>
      </c>
      <c r="EU551" s="6">
        <v>1600</v>
      </c>
      <c r="EV551" s="6">
        <v>0</v>
      </c>
      <c r="EW551" s="6">
        <v>1600</v>
      </c>
      <c r="EX551" s="6">
        <v>0</v>
      </c>
      <c r="EY551" s="6">
        <v>2975.9029846914013</v>
      </c>
      <c r="EZ551" s="6">
        <v>-2083.0908300335955</v>
      </c>
      <c r="FA551" s="6">
        <v>0</v>
      </c>
      <c r="FB551" s="6">
        <v>0</v>
      </c>
      <c r="FC551" s="6">
        <v>0</v>
      </c>
      <c r="FD551" s="6">
        <v>0</v>
      </c>
      <c r="FE551" s="6">
        <v>0</v>
      </c>
      <c r="FF551" s="6">
        <v>0</v>
      </c>
      <c r="FG551" s="6">
        <v>0</v>
      </c>
      <c r="FH551" s="6">
        <v>1153.9871312008586</v>
      </c>
      <c r="FI551" s="6">
        <v>1531.4299904380614</v>
      </c>
      <c r="FJ551" s="6">
        <v>2070.7205842538228</v>
      </c>
      <c r="FK551" s="6">
        <v>2218.6393698501015</v>
      </c>
      <c r="FL551" s="6">
        <v>893.91433563489375</v>
      </c>
      <c r="FM551" s="6">
        <v>2125.9029846914013</v>
      </c>
      <c r="FN551" s="6">
        <v>0</v>
      </c>
      <c r="FO551" s="6">
        <v>0</v>
      </c>
      <c r="FP551" s="6">
        <v>0</v>
      </c>
      <c r="FQ551" s="6">
        <v>0</v>
      </c>
      <c r="FR551" s="6">
        <v>0</v>
      </c>
      <c r="FS551" s="6">
        <v>0</v>
      </c>
      <c r="FT551" s="7">
        <v>0.80366158512021291</v>
      </c>
      <c r="FU551" s="7">
        <v>9.3429619360486341E-2</v>
      </c>
      <c r="FV551" s="7">
        <v>0.10290879551930061</v>
      </c>
      <c r="FW551" s="6">
        <v>1600.0000000000002</v>
      </c>
      <c r="FX551" s="6">
        <v>2975.9029846914013</v>
      </c>
      <c r="FY551" s="6">
        <v>-2083.0908300335955</v>
      </c>
      <c r="FZ551" s="6">
        <v>2411.9063952864503</v>
      </c>
      <c r="GA551" s="6">
        <v>1349.5276510297363</v>
      </c>
      <c r="GB551" s="6">
        <v>18345.472348970263</v>
      </c>
      <c r="GC551" s="7">
        <v>7.6138913542514425E-2</v>
      </c>
      <c r="GD551" s="7">
        <v>6.6468927107327963E-2</v>
      </c>
      <c r="GE551" s="7"/>
      <c r="GF551" s="7"/>
      <c r="GG551" s="7">
        <v>-0.12700452351197444</v>
      </c>
      <c r="GH551" s="42">
        <v>2.3544843155897208</v>
      </c>
      <c r="GI551" s="6">
        <v>9714.4166713530904</v>
      </c>
      <c r="GJ551" s="14">
        <v>0.51074630601039506</v>
      </c>
      <c r="GK551" s="14">
        <v>0.50829519786160915</v>
      </c>
      <c r="GL551" s="14">
        <v>0.48925369398960411</v>
      </c>
      <c r="GM551" s="14">
        <v>0.49170480213839013</v>
      </c>
      <c r="GO551" s="5">
        <v>338.16872463277008</v>
      </c>
      <c r="GP551" s="5">
        <v>307.64377699166363</v>
      </c>
      <c r="GQ551" s="5">
        <v>527.27910984145694</v>
      </c>
      <c r="GR551" s="5">
        <v>404.20319246551543</v>
      </c>
      <c r="GS551" s="5">
        <v>334.50205195691484</v>
      </c>
      <c r="GT551" s="5">
        <v>289.18266033348181</v>
      </c>
      <c r="GU551" s="5">
        <v>254.29573314828914</v>
      </c>
      <c r="GV551" s="39" t="s">
        <v>392</v>
      </c>
      <c r="GW551" s="5">
        <v>468.76388888888891</v>
      </c>
      <c r="GX551" s="5">
        <v>351.57291666666669</v>
      </c>
      <c r="GY551" s="5">
        <v>281.25833333333333</v>
      </c>
      <c r="GZ551" s="5">
        <v>240.8550698915011</v>
      </c>
      <c r="HA551" s="5">
        <v>229.8919505212948</v>
      </c>
      <c r="HB551" s="39">
        <v>252.08410699749018</v>
      </c>
      <c r="HC551" s="5">
        <v>374.25084881396981</v>
      </c>
      <c r="HD551" s="5">
        <v>298.52900980034525</v>
      </c>
      <c r="HE551" s="5">
        <v>295.2186408427836</v>
      </c>
      <c r="HF551" s="5">
        <v>265.87464978663218</v>
      </c>
      <c r="HG551" s="5">
        <v>247.50084178617021</v>
      </c>
      <c r="HH551" s="39">
        <v>296.4746338119391</v>
      </c>
      <c r="HI551" s="16"/>
      <c r="HJ551" s="19" t="str">
        <f t="shared" ref="HJ551" si="1777">HJ550</f>
        <v>On</v>
      </c>
      <c r="HK551" s="1" t="str">
        <f t="shared" ref="HK551:HK559" si="1778">HK550</f>
        <v>On</v>
      </c>
      <c r="HL551" s="16"/>
      <c r="HM551" s="639">
        <f t="shared" si="1636"/>
        <v>5.1181272167489952E-2</v>
      </c>
      <c r="HN551" s="639">
        <f t="shared" si="1637"/>
        <v>4.2792051795134348E-3</v>
      </c>
      <c r="HO551" s="639">
        <f t="shared" si="1638"/>
        <v>7.4145241462331068E-3</v>
      </c>
      <c r="HP551" s="644">
        <f>(FT551*$GD551-HM551)/$JF551*INDEX(Input!$1:$1048576,$JG$93,$C551*2+6)</f>
        <v>26.402231665550147</v>
      </c>
      <c r="HQ551" s="644">
        <f>(FU551*$GD551-HN551)/$JF551*INDEX(Input!$1:$1048576,$JG$93,$C551*2+6)</f>
        <v>22.78764706966772</v>
      </c>
      <c r="HR551" s="644">
        <f>(FV551*$GD551-HO551)/$JF551*INDEX(Input!$1:$1048576,$JG$93,$C551*2+6)</f>
        <v>-6.7772705074038448</v>
      </c>
      <c r="HS551" s="644">
        <f t="shared" ref="HS551:HS559" si="1779">IF(AND(HJ551="On",HK551="On"),IL551/1000*INDEX(KG:KG,MATCH(C551*1000+3,$KF:$KF,0))*SUM(HY551:IA551)*1.1
+INDEX(HR:HR,MATCH(C551*1000+4,$KF:$KF,0))/INDEX(IM:IM,MATCH(C551*1000+4,$KF:$KF,0))*IM551*20%,0)</f>
        <v>-7.5687371845237257</v>
      </c>
      <c r="HT551" s="644">
        <f t="shared" si="1640"/>
        <v>39.814235928649133</v>
      </c>
      <c r="HU551" s="644">
        <f t="shared" si="1641"/>
        <v>0.42819656565017095</v>
      </c>
      <c r="HV551" s="648">
        <f t="shared" si="1642"/>
        <v>0</v>
      </c>
      <c r="HW551" s="648">
        <f t="shared" si="1643"/>
        <v>0</v>
      </c>
      <c r="HX551" s="648">
        <f t="shared" si="1644"/>
        <v>0</v>
      </c>
      <c r="HY551" s="644">
        <f>INDEX(Input!$1:$1048576,HY$93,$C551*2+6)*INDEX(Input!$1:$1048576,$JG$93,$C551*2+6)</f>
        <v>345</v>
      </c>
      <c r="HZ551" s="644">
        <f>INDEX(Input!$1:$1048576,HZ$93,$C551*2+6)*INDEX(Input!$1:$1048576,$JG$93,$C551*2+6)</f>
        <v>299</v>
      </c>
      <c r="IA551" s="644">
        <f>INDEX(Input!$1:$1048576,IA$93,$C551*2+6)*INDEX(Input!$1:$1048576,$JG$93,$C551*2+6)</f>
        <v>98</v>
      </c>
      <c r="IB551" s="644">
        <f t="shared" ref="IB551:IB581" si="1780">SUM(HP551:IA551)-IC551-ID551</f>
        <v>363.83349448102643</v>
      </c>
      <c r="IC551" s="644">
        <f t="shared" ref="IC551:IC581" si="1781">MAX(HZ551+HQ551+HT551+HW551,0%)</f>
        <v>361.60188299831685</v>
      </c>
      <c r="ID551" s="644">
        <f>IF(AND(INDEX(Input!$1:$1048576,IA$93,$C551*2+7)="TOS",Y551&lt;=INDEX(Y:Y,MATCH(C551*1000+2,A:A))),0,1)*MAX(IA551+HR551+HU551+HX551,0%)</f>
        <v>91.650926058246327</v>
      </c>
      <c r="IE551" s="128">
        <f t="shared" ref="IE551:IE559" si="1782">IB551/SUM($IB551:$ID551)</f>
        <v>0.44528159743444834</v>
      </c>
      <c r="IF551" s="128">
        <f t="shared" ref="IF551:IF559" si="1783">IC551/SUM($IB551:$ID551)</f>
        <v>0.4425504153389368</v>
      </c>
      <c r="IG551" s="128">
        <f t="shared" ref="IG551:IG581" si="1784">ID551/SUM($IB551:$ID551)</f>
        <v>0.11216798722661489</v>
      </c>
      <c r="IH551" s="21"/>
      <c r="II551" s="19">
        <f t="shared" si="1647"/>
        <v>1200</v>
      </c>
      <c r="IJ551" s="19">
        <f t="shared" si="1648"/>
        <v>2231.5440334087361</v>
      </c>
      <c r="IK551" s="19">
        <f t="shared" si="1649"/>
        <v>-2048.0908300335955</v>
      </c>
      <c r="IL551" s="19">
        <f t="shared" ref="IL551:IL581" si="1785">(FW551-FA551*DZ551/FT551)-II551</f>
        <v>400.00000000000023</v>
      </c>
      <c r="IM551" s="19">
        <f t="shared" ref="IM551:IM581" si="1786">FX551-IJ551</f>
        <v>744.3589512826652</v>
      </c>
      <c r="IN551" s="19">
        <f t="shared" ref="IN551:IN581" si="1787">FY551-IK551</f>
        <v>-35</v>
      </c>
      <c r="IO551" s="39">
        <f t="shared" si="1652"/>
        <v>0</v>
      </c>
      <c r="IP551" s="39">
        <f t="shared" si="1653"/>
        <v>0</v>
      </c>
      <c r="IQ551" s="39">
        <f t="shared" si="1654"/>
        <v>0</v>
      </c>
      <c r="IR551" s="39">
        <v>0</v>
      </c>
      <c r="IS551" s="39">
        <v>0</v>
      </c>
      <c r="IT551" s="39">
        <v>0</v>
      </c>
      <c r="IU551" s="39">
        <v>0</v>
      </c>
      <c r="IV551" s="39">
        <v>0</v>
      </c>
      <c r="IW551" s="39">
        <v>0</v>
      </c>
      <c r="IX551" s="39">
        <f>INDEX(Input!$1:$1048576,IX$93,$C551*2+6)+INDEX(Input!$1:$1048576,IX$94,$C551*2+6)</f>
        <v>1600</v>
      </c>
      <c r="IY551" s="39">
        <f>INDEX(Input!$1:$1048576,IY$93,$C551*2+6)+INDEX(Input!$1:$1048576,IY$94,$C551*2+6)</f>
        <v>2503.5492916397525</v>
      </c>
      <c r="IZ551" s="39">
        <f>INDEX(Input!$1:$1048576,IZ$93,$C551*2+6)+INDEX(Input!$1:$1048576,IZ$94,$C551*2+6)</f>
        <v>5413.7109265464023</v>
      </c>
      <c r="JA551" s="19">
        <f t="shared" ref="JA551:JA581" si="1788">(IL551+IO551+IR551+IU551+IX551)</f>
        <v>2000.0000000000002</v>
      </c>
      <c r="JB551" s="19">
        <f t="shared" ref="JB551:JB581" si="1789">(IM551+IP551+IS551+IV551+IY551)</f>
        <v>3247.9082429224177</v>
      </c>
      <c r="JC551" s="19">
        <f t="shared" ref="JC551:JC581" si="1790">(IN551+IQ551+IT551+IW551+IZ551)</f>
        <v>5378.7109265464023</v>
      </c>
      <c r="JD551" s="19">
        <f t="shared" ref="JD551:JD581" si="1791">SUMPRODUCT(IE551:IG551,JA551:JC551)</f>
        <v>2931.2455152614803</v>
      </c>
      <c r="JE551" s="21"/>
      <c r="JF551" s="1">
        <f t="shared" si="1655"/>
        <v>6.2875001493236493E-2</v>
      </c>
      <c r="JG551" s="15">
        <f>INDEX(Input!$1:$1048576,JG$93,$C551*2+6)/(1+VLOOKUP(C551*1000+INDEX(Input!$1:$1048576,JG$93+1,$C551*2+6),$A:$KK,$JK$92,FALSE))</f>
        <v>742</v>
      </c>
      <c r="JH551" s="1">
        <f t="shared" ref="JH551:JH581" si="1792">SUM(HP551:HR551)/SUM(HY551:IA551)</f>
        <v>5.7159849363630756E-2</v>
      </c>
      <c r="JI551" s="1">
        <f t="shared" ref="JI551:JI581" si="1793">SUM(HS551:HU551)/SUM(HY551:IA551)</f>
        <v>4.4034629797541205E-2</v>
      </c>
      <c r="JJ551" s="1">
        <f t="shared" ref="JJ551:JJ559" si="1794">SUM(HV551:HX551)/SUM(HY551:IA551)</f>
        <v>0</v>
      </c>
      <c r="JK551" s="1">
        <f t="shared" ref="JK551:JK559" si="1795">SUM(JH551:JJ551)</f>
        <v>0.10119447916117197</v>
      </c>
      <c r="JL551" s="15">
        <f t="shared" ref="JL551:JL581" si="1796">JG551*JK551</f>
        <v>75.0863035375896</v>
      </c>
      <c r="JM551" s="15">
        <f t="shared" ref="JM551:JM581" si="1797">JG551+JL551</f>
        <v>817.08630353758963</v>
      </c>
      <c r="JN551" s="21"/>
      <c r="JO551" s="19">
        <f>INDEX(Input!$1:$1048576,JO$93,$C551*2+6)</f>
        <v>5908.5</v>
      </c>
      <c r="JP551" s="19">
        <f>INDEX(Input!$1:$1048576,JP$93,$C551*2+6)</f>
        <v>2467.7963733178344</v>
      </c>
      <c r="JQ551" s="39">
        <f t="shared" ref="JQ551:JQ581" si="1798">JO551-JD551</f>
        <v>2977.2544847385197</v>
      </c>
      <c r="JR551" s="39">
        <f t="shared" ref="JR551:JR581" si="1799">JD551-JP551</f>
        <v>463.44914194364583</v>
      </c>
      <c r="JS551" s="39">
        <f t="shared" ref="JS551:JS581" si="1800">JM551*JD551/1000000</f>
        <v>2.3950805628261405</v>
      </c>
      <c r="JT551" s="39">
        <f t="shared" ref="JT551:JT581" si="1801">(JD551*JM551-JP551*JG551)/1000000</f>
        <v>0.56397565382430725</v>
      </c>
      <c r="JU551" s="385">
        <f>(JQ551*JM551-INDEX(Input!$1:$1048576,Input!A$18,$C551*2+6)*JL551*INDEX(Input!$1:$1048576,Input!A$19,$C551*2+6))/1000000</f>
        <v>2.432673861625708</v>
      </c>
      <c r="JV551" s="39">
        <f t="shared" ref="JV551:JV581" si="1802">JU551-(JO551-JP551)*JG551/1000000</f>
        <v>-0.12032822937245857</v>
      </c>
      <c r="JW551" s="1">
        <f t="shared" ref="JW551:JW581" si="1803">JV551/(JU551-JV551)</f>
        <v>-4.7132052808234452E-2</v>
      </c>
      <c r="JX551" s="19">
        <f t="shared" ref="JX551:JX581" si="1804">IF(JL551=0,0,JT551/JL551)*1000000</f>
        <v>7511.0323355040446</v>
      </c>
      <c r="JZ551" s="341"/>
      <c r="KA551" s="342"/>
      <c r="KB551" s="469">
        <f t="shared" ref="KB551:KB581" si="1805">KB550</f>
        <v>2.4623520912331753</v>
      </c>
      <c r="KI551" s="473">
        <f t="shared" ref="KI551:KI559" si="1806">$JM551*IE551-$JG551*HY551/SUM($HY551:$IA551)</f>
        <v>18.833494481026435</v>
      </c>
      <c r="KJ551" s="473">
        <f t="shared" ref="KJ551:KJ559" si="1807">$JM551*IF551-$JG551*HZ551/SUM($HY551:$IA551)</f>
        <v>62.601882998316853</v>
      </c>
      <c r="KK551" s="473">
        <f t="shared" ref="KK551:KK581" si="1808">$JM551*IG551-$JG551*IA551/SUM($HY551:$IA551)</f>
        <v>-6.349073941753673</v>
      </c>
      <c r="KN551" s="544">
        <f t="shared" ref="KN551:KN581" si="1809">KM551+(KN550-KM550)</f>
        <v>5002</v>
      </c>
      <c r="KO551" s="541">
        <f t="shared" si="1659"/>
        <v>2.3211966766381043E-2</v>
      </c>
      <c r="KP551" s="546">
        <f t="shared" si="1660"/>
        <v>112.00014174458857</v>
      </c>
      <c r="KQ551" s="546">
        <f t="shared" si="1661"/>
        <v>72.473069109771131</v>
      </c>
      <c r="KR551" s="548">
        <f t="shared" si="1662"/>
        <v>3.489298748767319</v>
      </c>
      <c r="KS551" s="548">
        <f t="shared" si="1663"/>
        <v>5.3923748400834004</v>
      </c>
      <c r="KT551" s="473">
        <f t="shared" ref="KT551:KT581" si="1810">KT550</f>
        <v>389.37465324503302</v>
      </c>
      <c r="KU551" s="663">
        <f t="shared" si="1685"/>
        <v>7.3805749236135849</v>
      </c>
      <c r="KV551" s="117"/>
    </row>
    <row r="552" spans="1:308" s="26" customFormat="1" ht="15" outlineLevel="1">
      <c r="A552" s="561">
        <f t="shared" si="1770"/>
        <v>5052</v>
      </c>
      <c r="B552" s="561">
        <f t="shared" si="1771"/>
        <v>52</v>
      </c>
      <c r="C552" s="561">
        <f t="shared" si="1772"/>
        <v>5</v>
      </c>
      <c r="D552" s="561" t="str">
        <f t="shared" si="1736"/>
        <v xml:space="preserve">0/0/0/3.9, -360 Lease, </v>
      </c>
      <c r="E552" s="475">
        <f>INDEX(Input!$1:$1048576,E$93,$C552*2+MIN($B552,2)+5)
+INDEX(Scenarios!E$121:E$200,MATCH($B552,Scenarios!$B$121:$B$200,0))</f>
        <v>1250</v>
      </c>
      <c r="F552" s="475">
        <f>INDEX(Input!$1:$1048576,F$93,$C552*2+MIN($B552,2)+5)
+INDEX(Scenarios!F$121:F$200,MATCH($B552,Scenarios!$B$121:$B$200,0))</f>
        <v>0</v>
      </c>
      <c r="G552" s="475">
        <f>INDEX(Input!$1:$1048576,G$93,$C552*2+MIN($B552,2)+5)
+INDEX(Scenarios!G$121:G$200,MATCH($B552,Scenarios!$B$121:$B$200,0))</f>
        <v>0</v>
      </c>
      <c r="H552" s="475">
        <f>INDEX(Input!$1:$1048576,H$93,$C552*2+MIN($B552,2)+5)
+INDEX(Scenarios!H$121:H$200,MATCH($B552,Scenarios!$B$121:$B$200,0))</f>
        <v>0</v>
      </c>
      <c r="I552" s="476">
        <f>INDEX(Input!$1:$1048576,I$93,$C552*2+MIN($B552,2)+5)</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+INDEX(Scenarios!Q$121:Q$200,MATCH($B552,Scenarios!$B$121:$B$200,0))</f>
        <v>0</v>
      </c>
      <c r="R552" s="478">
        <f>IFERROR(MAX(0,INDEX(Input!$1:$1048576,R$93,$C552*2+MIN($B552,2)+5)
+INDEX(Scenarios!R$121:R$200,MATCH($B552,Scenarios!$B$121:$B$200,0)),),"Market")</f>
        <v>0</v>
      </c>
      <c r="S552" s="478">
        <f>IFERROR(MAX(0,INDEX(Input!$1:$1048576,S$93,$C552*2+MIN($B552,2)+5)
+INDEX(Scenarios!S$121:S$200,MATCH($B552,Scenarios!$B$121:$B$200,0)),),"Market")</f>
        <v>0</v>
      </c>
      <c r="T552" s="478">
        <f>IFERROR(MAX(0,INDEX(Input!$1:$1048576,T$93,$C552*2+MIN($B552,2)+5)
+INDEX(Scenarios!T$121:T$200,MATCH($B552,Scenarios!$B$121:$B$200,0)),),"Market")</f>
        <v>0</v>
      </c>
      <c r="U552" s="478">
        <f>IFERROR(MAX(0,INDEX(Input!$1:$1048576,U$93,$C552*2+MIN($B552,2)+5)
+INDEX(Scenarios!U$121:U$200,MATCH($B552,Scenarios!$B$121:$B$200,0)),),"Market")</f>
        <v>0</v>
      </c>
      <c r="V552" s="478">
        <f>IFERROR(MAX(0,INDEX(Input!$1:$1048576,V$93,$C552*2+MIN($B552,2)+5)
+INDEX(Scenarios!V$121:V$200,MATCH($B552,Scenarios!$B$121:$B$200,0)),),"Market")</f>
        <v>0</v>
      </c>
      <c r="W552" s="863">
        <f>IFERROR(MAX(0,INDEX(Input!$1:$1048576,W$93,$C552*2+MIN($B552,2)+5)-0%,),"Market")</f>
        <v>3.9E-2</v>
      </c>
      <c r="X552" s="476" t="str">
        <f>INDEX(Input!$1:$1048576,X$93,$C552*2+MIN($B552,2)+5)</f>
        <v>Y</v>
      </c>
      <c r="Y552" s="475">
        <f>INDEX(Input!$1:$1048576,Y$93,$C552*2+MIN($B552,2)+5)
++INDEX(Scenarios!Y$121:Y$200,MATCH($B552,Scenarios!$B$121:$B$200,0))</f>
        <v>-1458.3618966787526</v>
      </c>
      <c r="Z552" s="477">
        <f>INDEX(Input!$1:$1048576,Z$93,$C552*2+MIN($B552,2)+5)
+INDEX(Scenarios!Z$121:Z$200,MATCH($B552,Scenarios!$B$121:$B$200,0))</f>
        <v>0</v>
      </c>
      <c r="AA552" s="475">
        <f>INDEX(Input!$1:$1048576,AA$93,$C552*2+MIN($B552,2)+5)</f>
        <v>500</v>
      </c>
      <c r="AB552" s="476">
        <f>INDEX(Input!$1:$1048576,AB$93,$C552*2+MIN($B552,2)+5)</f>
        <v>0.43</v>
      </c>
      <c r="AC552" s="475">
        <f>INDEX(Input!$1:$1048576,AC$93,$C552*2+MIN($B552,2)+5)
+INDEX(Scenarios!AC$121:AC$200,MATCH($B552,Scenarios!$B$121:$B$200,0))</f>
        <v>0</v>
      </c>
      <c r="AD552" s="476">
        <f>INDEX(Input!$1:$1048576,AD$93,$C552*2+MIN($B552,2)+5)</f>
        <v>0.35</v>
      </c>
      <c r="AE552" s="475">
        <f>INDEX(Input!$1:$1048576,AE$93,$C552*2+MIN($B552,2)+5)
+INDEX(Scenarios!AE$121:AE$200,MATCH($B552,Scenarios!$B$121:$B$200,0))</f>
        <v>0</v>
      </c>
      <c r="AF552" s="476">
        <f>INDEX(Input!$1:$1048576,AF$93,$C552*2+MIN($B552,2)+5)</f>
        <v>1</v>
      </c>
      <c r="AG552" s="475">
        <f>INDEX(Input!$1:$1048576,AG$93,$C552*2+MIN($B552,2)+5)
+INDEX(Scenarios!AG$121:AG$200,MATCH($B552,Scenarios!$B$121:$B$200,0))</f>
        <v>0</v>
      </c>
      <c r="AH552" s="476">
        <f>INDEX(Input!$1:$1048576,AH$93,$C552*2+MIN($B552,2)+5)</f>
        <v>1</v>
      </c>
      <c r="AI552" s="475">
        <f>INDEX(Input!$1:$1048576,AI$93,$C552*2+MIN($B552,2)+5)
+INDEX(Scenarios!AI$121:AI$200,MATCH($B552,Scenarios!$B$121:$B$200,0))</f>
        <v>0</v>
      </c>
      <c r="AJ552" s="476">
        <f>INDEX(Input!$1:$1048576,AJ$93,$C552*2+MIN($B552,2)+5)</f>
        <v>0.35</v>
      </c>
      <c r="AK552" s="150">
        <f>ROUND(INDEX(Input!$1:$1048576,AK$93,$C551*2+MIN($B552,1)+5)+(Y552-VLOOKUP($C552*1000+1,$A:$HH,Y$92,FALSE)),0)</f>
        <v>4232</v>
      </c>
      <c r="AL552" s="150">
        <f>ROUND(INDEX(Input!$1:$1048576,AL$93,$C551*2+MIN($B552,1)+5)-(Y552-VLOOKUP($C552*1000+1,$A:$HH,Y$92,FALSE))/36,0)</f>
        <v>4753</v>
      </c>
      <c r="AM552" s="32" t="str">
        <f t="shared" si="1773"/>
        <v>std/std/std/std</v>
      </c>
      <c r="AN552" s="32" t="str">
        <f t="shared" si="1774"/>
        <v>$0 + 0/0/0/0/3.9</v>
      </c>
      <c r="AO552" s="32" t="str">
        <f t="shared" si="1775"/>
        <v>0/0/0/0/3.9</v>
      </c>
      <c r="AP552" s="32" t="str">
        <f t="shared" si="1755"/>
        <v>0/0/0/3.9</v>
      </c>
      <c r="AQ552" s="536">
        <f t="shared" si="1754"/>
        <v>0.41349565009498263</v>
      </c>
      <c r="AR552" s="32"/>
      <c r="AS552" s="302"/>
      <c r="AT552" s="3">
        <f t="shared" si="1776"/>
        <v>52</v>
      </c>
      <c r="AU552" s="41" t="s">
        <v>121</v>
      </c>
      <c r="AV552" s="41" t="s">
        <v>116</v>
      </c>
      <c r="AW552" s="41" t="str">
        <f>INDEX(Input!$1:$1048576,AW$93,$C552*2+6)</f>
        <v>Kia</v>
      </c>
      <c r="AX552" s="41" t="str">
        <f>INDEX(Input!$1:$1048576,AX$93,$C552*2+6)</f>
        <v>Kia-LR - R2</v>
      </c>
      <c r="AY552" s="41" t="str">
        <f>IF(LEN(D552)=0,"",INDEX(Input!$1:$1048576,AY$93,$C552*2+6))</f>
        <v>Compact Conventional/Sporty Car (43)</v>
      </c>
      <c r="AZ552" s="41" t="str">
        <f>INDEX(Input!$1:$1048576,AZ$93,$C552*2+6)</f>
        <v>Kia Forte</v>
      </c>
      <c r="BA552" s="3">
        <f>INDEX(Input!$1:$1048576,BA$93,$C552*2+6)</f>
        <v>2020</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19695</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756"/>
        <v>1250</v>
      </c>
      <c r="CJ552" s="16" t="str">
        <f>INDEX(Input!$1:$1048576,CJ$93,$C552*2+6)</f>
        <v>N</v>
      </c>
      <c r="CK552" s="1" t="str">
        <f t="shared" si="1757"/>
        <v>Market</v>
      </c>
      <c r="CL552" s="1" t="str">
        <f t="shared" si="1758"/>
        <v>Market</v>
      </c>
      <c r="CM552" s="1" t="str">
        <f t="shared" si="1759"/>
        <v>Market</v>
      </c>
      <c r="CN552" s="1" t="str">
        <f t="shared" si="1760"/>
        <v>Market</v>
      </c>
      <c r="CO552" s="1" t="str">
        <f t="shared" si="1761"/>
        <v>Market</v>
      </c>
      <c r="CP552" s="304">
        <f t="shared" si="1762"/>
        <v>215</v>
      </c>
      <c r="CQ552" s="1">
        <f t="shared" si="1763"/>
        <v>0</v>
      </c>
      <c r="CR552" s="1">
        <f t="shared" si="1764"/>
        <v>0</v>
      </c>
      <c r="CS552" s="1">
        <f t="shared" si="1765"/>
        <v>0</v>
      </c>
      <c r="CT552" s="1">
        <f t="shared" si="1766"/>
        <v>0</v>
      </c>
      <c r="CU552" s="1">
        <f t="shared" si="1767"/>
        <v>3.9E-2</v>
      </c>
      <c r="CV552" s="304">
        <f t="shared" si="1768"/>
        <v>-1458.3618966787526</v>
      </c>
      <c r="CW552" s="20" t="s">
        <v>122</v>
      </c>
      <c r="CX552" s="20" t="s">
        <v>122</v>
      </c>
      <c r="CY552" s="20" t="s">
        <v>122</v>
      </c>
      <c r="CZ552" s="20" t="s">
        <v>122</v>
      </c>
      <c r="DA552" s="20" t="s">
        <v>122</v>
      </c>
      <c r="DB552" s="503">
        <f t="shared" si="1769"/>
        <v>0</v>
      </c>
      <c r="DC552" s="127">
        <v>0</v>
      </c>
      <c r="DD552" s="127">
        <v>0</v>
      </c>
      <c r="DE552" s="127">
        <v>0</v>
      </c>
      <c r="DF552" s="127">
        <v>0</v>
      </c>
      <c r="DG552" s="127">
        <v>0</v>
      </c>
      <c r="DH552" s="127">
        <v>0</v>
      </c>
      <c r="DI552" s="127">
        <v>0</v>
      </c>
      <c r="DJ552" s="127">
        <v>0</v>
      </c>
      <c r="DK552" s="127">
        <v>0</v>
      </c>
      <c r="DL552" s="127">
        <v>0</v>
      </c>
      <c r="DM552" s="304">
        <f>INDEX(Input!$1:$1048576,DM$93,$C552*2+6)</f>
        <v>20731.578947368424</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4.1518059999293748E-2</v>
      </c>
      <c r="DZ552" s="7">
        <v>0</v>
      </c>
      <c r="EA552" s="7">
        <v>0.73412889545360971</v>
      </c>
      <c r="EB552" s="7">
        <v>0</v>
      </c>
      <c r="EC552" s="7">
        <v>0</v>
      </c>
      <c r="ED552" s="7">
        <v>0</v>
      </c>
      <c r="EE552" s="7">
        <v>0</v>
      </c>
      <c r="EF552" s="7">
        <v>0</v>
      </c>
      <c r="EG552" s="7">
        <v>0</v>
      </c>
      <c r="EH552" s="7">
        <v>7.466930892374977E-3</v>
      </c>
      <c r="EI552" s="7">
        <v>9.4075277704479387E-3</v>
      </c>
      <c r="EJ552" s="7">
        <v>0.1382925144859482</v>
      </c>
      <c r="EK552" s="7">
        <v>0.82084338765783527</v>
      </c>
      <c r="EL552" s="7">
        <v>2.398963919339344E-2</v>
      </c>
      <c r="EM552" s="7">
        <v>0.12521548890679027</v>
      </c>
      <c r="EN552" s="7">
        <v>4.6959452002301186E-2</v>
      </c>
      <c r="EO552" s="7">
        <v>0.58335757075825478</v>
      </c>
      <c r="EP552" s="7">
        <v>0.24969530923376682</v>
      </c>
      <c r="EQ552" s="7">
        <v>7.2901515006326412E-2</v>
      </c>
      <c r="ER552" s="7">
        <v>4.7086152999350948E-2</v>
      </c>
      <c r="ES552" s="7">
        <v>9.9137555640306366E-2</v>
      </c>
      <c r="ET552" s="7">
        <v>0.22435304454709651</v>
      </c>
      <c r="EU552" s="6">
        <v>1600</v>
      </c>
      <c r="EV552" s="6">
        <v>0</v>
      </c>
      <c r="EW552" s="6">
        <v>1600</v>
      </c>
      <c r="EX552" s="6">
        <v>0</v>
      </c>
      <c r="EY552" s="6">
        <v>3344.0806006358112</v>
      </c>
      <c r="EZ552" s="6">
        <v>-2083.0908300335955</v>
      </c>
      <c r="FA552" s="6">
        <v>0</v>
      </c>
      <c r="FB552" s="6">
        <v>0</v>
      </c>
      <c r="FC552" s="6">
        <v>0</v>
      </c>
      <c r="FD552" s="6">
        <v>0</v>
      </c>
      <c r="FE552" s="6">
        <v>0</v>
      </c>
      <c r="FF552" s="6">
        <v>0</v>
      </c>
      <c r="FG552" s="6">
        <v>0</v>
      </c>
      <c r="FH552" s="6">
        <v>1153.9853206202231</v>
      </c>
      <c r="FI552" s="6">
        <v>1531.4299904380623</v>
      </c>
      <c r="FJ552" s="6">
        <v>2070.7205842538224</v>
      </c>
      <c r="FK552" s="6">
        <v>2635.395613320291</v>
      </c>
      <c r="FL552" s="6">
        <v>893.91433563489363</v>
      </c>
      <c r="FM552" s="6">
        <v>2494.0806006358112</v>
      </c>
      <c r="FN552" s="6">
        <v>0</v>
      </c>
      <c r="FO552" s="6">
        <v>0</v>
      </c>
      <c r="FP552" s="6">
        <v>0</v>
      </c>
      <c r="FQ552" s="6">
        <v>0</v>
      </c>
      <c r="FR552" s="6">
        <v>0</v>
      </c>
      <c r="FS552" s="6">
        <v>0</v>
      </c>
      <c r="FT552" s="7">
        <v>0.77564695545290341</v>
      </c>
      <c r="FU552" s="7">
        <v>0.12521548890679027</v>
      </c>
      <c r="FV552" s="7">
        <v>9.9137555640306366E-2</v>
      </c>
      <c r="FW552" s="6">
        <v>1600.0000000000002</v>
      </c>
      <c r="FX552" s="6">
        <v>3344.0806006358112</v>
      </c>
      <c r="FY552" s="6">
        <v>-2083.0908300335955</v>
      </c>
      <c r="FZ552" s="6">
        <v>2411.9063952864503</v>
      </c>
      <c r="GA552" s="6">
        <v>1453.2532830107041</v>
      </c>
      <c r="GB552" s="6">
        <v>18241.746716989295</v>
      </c>
      <c r="GC552" s="7">
        <v>7.6138913542514425E-2</v>
      </c>
      <c r="GD552" s="7">
        <v>6.7500141228716726E-2</v>
      </c>
      <c r="GE552" s="7"/>
      <c r="GF552" s="7"/>
      <c r="GG552" s="7">
        <v>-0.11346067223528195</v>
      </c>
      <c r="GH552" s="42">
        <v>2.3309869973395725</v>
      </c>
      <c r="GI552" s="6">
        <v>9902.4638631119706</v>
      </c>
      <c r="GJ552" s="14">
        <v>0.51074630601039561</v>
      </c>
      <c r="GK552" s="14">
        <v>0.50829519786160993</v>
      </c>
      <c r="GL552" s="14">
        <v>0.48925369398960428</v>
      </c>
      <c r="GM552" s="14">
        <v>0.49170480213839063</v>
      </c>
      <c r="GO552" s="5">
        <v>338.16872463277008</v>
      </c>
      <c r="GP552" s="5">
        <v>307.64377699166363</v>
      </c>
      <c r="GQ552" s="5">
        <v>527.27910984145694</v>
      </c>
      <c r="GR552" s="5">
        <v>404.20319246551543</v>
      </c>
      <c r="GS552" s="5">
        <v>334.50205195691484</v>
      </c>
      <c r="GT552" s="5">
        <v>289.18266033348181</v>
      </c>
      <c r="GU552" s="5">
        <v>254.29573314828914</v>
      </c>
      <c r="GV552" s="39" t="s">
        <v>392</v>
      </c>
      <c r="GW552" s="5">
        <v>468.76388888888891</v>
      </c>
      <c r="GX552" s="5">
        <v>351.57291666666669</v>
      </c>
      <c r="GY552" s="5">
        <v>281.25833333333333</v>
      </c>
      <c r="GZ552" s="5">
        <v>234.38194444444446</v>
      </c>
      <c r="HA552" s="5">
        <v>229.8919505212948</v>
      </c>
      <c r="HB552" s="39">
        <v>243.60947590692663</v>
      </c>
      <c r="HC552" s="5">
        <v>374.25084881396981</v>
      </c>
      <c r="HD552" s="5">
        <v>298.52900980034525</v>
      </c>
      <c r="HE552" s="5">
        <v>295.2186408427836</v>
      </c>
      <c r="HF552" s="5">
        <v>265.87464978663218</v>
      </c>
      <c r="HG552" s="5">
        <v>247.50084178617021</v>
      </c>
      <c r="HH552" s="39">
        <v>296.47500982154156</v>
      </c>
      <c r="HI552" s="16"/>
      <c r="HJ552" s="19" t="str">
        <f t="shared" ref="HJ552" si="1811">HJ551</f>
        <v>On</v>
      </c>
      <c r="HK552" s="1" t="str">
        <f t="shared" si="1778"/>
        <v>On</v>
      </c>
      <c r="HL552" s="16"/>
      <c r="HM552" s="639">
        <f t="shared" si="1636"/>
        <v>5.1181272167489952E-2</v>
      </c>
      <c r="HN552" s="639">
        <f t="shared" si="1637"/>
        <v>4.2792051795134348E-3</v>
      </c>
      <c r="HO552" s="639">
        <f t="shared" si="1638"/>
        <v>7.4145241462331068E-3</v>
      </c>
      <c r="HP552" s="644">
        <f>(FT552*$GD552-HM552)/$JF552*INDEX(Input!$1:$1048576,$JG$93,$C552*2+6)</f>
        <v>13.86648232595317</v>
      </c>
      <c r="HQ552" s="644">
        <f>(FU552*$GD552-HN552)/$JF552*INDEX(Input!$1:$1048576,$JG$93,$C552*2+6)</f>
        <v>49.244700862164045</v>
      </c>
      <c r="HR552" s="644">
        <f>(FV552*$GD552-HO552)/$JF552*INDEX(Input!$1:$1048576,$JG$93,$C552*2+6)</f>
        <v>-8.5290185404471615</v>
      </c>
      <c r="HS552" s="644">
        <f t="shared" si="1779"/>
        <v>-7.6458721991583083</v>
      </c>
      <c r="HT552" s="644">
        <f t="shared" si="1640"/>
        <v>59.952100055404109</v>
      </c>
      <c r="HU552" s="644">
        <f t="shared" si="1641"/>
        <v>0.50533158028475333</v>
      </c>
      <c r="HV552" s="648">
        <f t="shared" si="1642"/>
        <v>0</v>
      </c>
      <c r="HW552" s="648">
        <f t="shared" si="1643"/>
        <v>0</v>
      </c>
      <c r="HX552" s="648">
        <f t="shared" si="1644"/>
        <v>0</v>
      </c>
      <c r="HY552" s="644">
        <f>INDEX(Input!$1:$1048576,HY$93,$C552*2+6)*INDEX(Input!$1:$1048576,$JG$93,$C552*2+6)</f>
        <v>345</v>
      </c>
      <c r="HZ552" s="644">
        <f>INDEX(Input!$1:$1048576,HZ$93,$C552*2+6)*INDEX(Input!$1:$1048576,$JG$93,$C552*2+6)</f>
        <v>299</v>
      </c>
      <c r="IA552" s="644">
        <f>INDEX(Input!$1:$1048576,IA$93,$C552*2+6)*INDEX(Input!$1:$1048576,$JG$93,$C552*2+6)</f>
        <v>98</v>
      </c>
      <c r="IB552" s="644">
        <f t="shared" si="1780"/>
        <v>351.22061012679484</v>
      </c>
      <c r="IC552" s="644">
        <f t="shared" si="1781"/>
        <v>408.19680091756817</v>
      </c>
      <c r="ID552" s="644">
        <f>IF(AND(INDEX(Input!$1:$1048576,IA$93,$C552*2+7)="TOS",Y552&lt;=INDEX(Y:Y,MATCH(C552*1000+2,A:A))),0,1)*MAX(IA552+HR552+HU552+HX552,0%)</f>
        <v>89.976313039837578</v>
      </c>
      <c r="IE552" s="128">
        <f t="shared" si="1782"/>
        <v>0.41349565009498263</v>
      </c>
      <c r="IF552" s="128">
        <f t="shared" si="1783"/>
        <v>0.48057430770126991</v>
      </c>
      <c r="IG552" s="128">
        <f t="shared" si="1784"/>
        <v>0.10593004220374744</v>
      </c>
      <c r="IH552" s="21"/>
      <c r="II552" s="19">
        <f t="shared" si="1647"/>
        <v>1200</v>
      </c>
      <c r="IJ552" s="19">
        <f t="shared" si="1648"/>
        <v>2231.5440334087361</v>
      </c>
      <c r="IK552" s="19">
        <f t="shared" si="1649"/>
        <v>-2048.0908300335955</v>
      </c>
      <c r="IL552" s="19">
        <f t="shared" si="1785"/>
        <v>400.00000000000023</v>
      </c>
      <c r="IM552" s="19">
        <f t="shared" si="1786"/>
        <v>1112.536567227075</v>
      </c>
      <c r="IN552" s="19">
        <f t="shared" si="1787"/>
        <v>-35</v>
      </c>
      <c r="IO552" s="39">
        <f t="shared" si="1652"/>
        <v>0</v>
      </c>
      <c r="IP552" s="39">
        <f t="shared" si="1653"/>
        <v>0</v>
      </c>
      <c r="IQ552" s="39">
        <f t="shared" si="1654"/>
        <v>0</v>
      </c>
      <c r="IR552" s="39">
        <v>0</v>
      </c>
      <c r="IS552" s="39">
        <v>0</v>
      </c>
      <c r="IT552" s="39">
        <v>0</v>
      </c>
      <c r="IU552" s="39">
        <v>0</v>
      </c>
      <c r="IV552" s="39">
        <v>0</v>
      </c>
      <c r="IW552" s="39">
        <v>0</v>
      </c>
      <c r="IX552" s="39">
        <f>INDEX(Input!$1:$1048576,IX$93,$C552*2+6)+INDEX(Input!$1:$1048576,IX$94,$C552*2+6)</f>
        <v>1600</v>
      </c>
      <c r="IY552" s="39">
        <f>INDEX(Input!$1:$1048576,IY$93,$C552*2+6)+INDEX(Input!$1:$1048576,IY$94,$C552*2+6)</f>
        <v>2503.5492916397525</v>
      </c>
      <c r="IZ552" s="39">
        <f>INDEX(Input!$1:$1048576,IZ$93,$C552*2+6)+INDEX(Input!$1:$1048576,IZ$94,$C552*2+6)</f>
        <v>5413.7109265464023</v>
      </c>
      <c r="JA552" s="19">
        <f t="shared" si="1788"/>
        <v>2000.0000000000002</v>
      </c>
      <c r="JB552" s="19">
        <f t="shared" si="1789"/>
        <v>3616.0858588668275</v>
      </c>
      <c r="JC552" s="19">
        <f t="shared" si="1790"/>
        <v>5378.7109265464023</v>
      </c>
      <c r="JD552" s="19">
        <f t="shared" si="1791"/>
        <v>3134.5563338540605</v>
      </c>
      <c r="JE552" s="21"/>
      <c r="JF552" s="1">
        <f t="shared" si="1655"/>
        <v>6.2875001493236493E-2</v>
      </c>
      <c r="JG552" s="15">
        <f>INDEX(Input!$1:$1048576,JG$93,$C552*2+6)/(1+VLOOKUP(C552*1000+INDEX(Input!$1:$1048576,JG$93+1,$C552*2+6),$A:$KK,$JK$92,FALSE))</f>
        <v>742</v>
      </c>
      <c r="JH552" s="1">
        <f t="shared" si="1792"/>
        <v>7.3560868797398996E-2</v>
      </c>
      <c r="JI552" s="1">
        <f t="shared" si="1793"/>
        <v>7.1174608405027692E-2</v>
      </c>
      <c r="JJ552" s="1">
        <f t="shared" si="1794"/>
        <v>0</v>
      </c>
      <c r="JK552" s="1">
        <f t="shared" si="1795"/>
        <v>0.14473547720242669</v>
      </c>
      <c r="JL552" s="15">
        <f t="shared" si="1796"/>
        <v>107.3937240842006</v>
      </c>
      <c r="JM552" s="15">
        <f t="shared" si="1797"/>
        <v>849.39372408420058</v>
      </c>
      <c r="JN552" s="21"/>
      <c r="JO552" s="19">
        <f>INDEX(Input!$1:$1048576,JO$93,$C552*2+6)</f>
        <v>5908.5</v>
      </c>
      <c r="JP552" s="19">
        <f>INDEX(Input!$1:$1048576,JP$93,$C552*2+6)</f>
        <v>2467.7963733178344</v>
      </c>
      <c r="JQ552" s="39">
        <f t="shared" si="1798"/>
        <v>2773.9436661459395</v>
      </c>
      <c r="JR552" s="39">
        <f t="shared" si="1799"/>
        <v>666.75996053622612</v>
      </c>
      <c r="JS552" s="39">
        <f t="shared" si="1800"/>
        <v>2.6624724777640192</v>
      </c>
      <c r="JT552" s="39">
        <f t="shared" si="1801"/>
        <v>0.8313675687621862</v>
      </c>
      <c r="JU552" s="385">
        <f>(JQ552*JM552-INDEX(Input!$1:$1048576,Input!A$18,$C552*2+6)*JL552*INDEX(Input!$1:$1048576,Input!A$19,$C552*2+6))/1000000</f>
        <v>2.3561703409874797</v>
      </c>
      <c r="JV552" s="39">
        <f t="shared" si="1802"/>
        <v>-0.19683175001068687</v>
      </c>
      <c r="JW552" s="1">
        <f t="shared" si="1803"/>
        <v>-7.7098154641044608E-2</v>
      </c>
      <c r="JX552" s="19">
        <f t="shared" si="1804"/>
        <v>7741.3049584756336</v>
      </c>
      <c r="JZ552" s="341"/>
      <c r="KA552" s="342"/>
      <c r="KB552" s="469">
        <f t="shared" si="1805"/>
        <v>2.4623520912331753</v>
      </c>
      <c r="KI552" s="473">
        <f t="shared" si="1806"/>
        <v>6.2206101267948384</v>
      </c>
      <c r="KJ552" s="473">
        <f t="shared" si="1807"/>
        <v>109.19680091756817</v>
      </c>
      <c r="KK552" s="473">
        <f t="shared" si="1808"/>
        <v>-8.0236869601624221</v>
      </c>
      <c r="KN552" s="544">
        <f t="shared" si="1809"/>
        <v>5002</v>
      </c>
      <c r="KO552" s="541">
        <f t="shared" si="1659"/>
        <v>6.3669552673186747E-2</v>
      </c>
      <c r="KP552" s="546">
        <f t="shared" si="1660"/>
        <v>304.2750339315632</v>
      </c>
      <c r="KQ552" s="546">
        <f t="shared" si="1661"/>
        <v>275.78388770235142</v>
      </c>
      <c r="KR552" s="548">
        <f t="shared" si="1662"/>
        <v>3.5229807165138736</v>
      </c>
      <c r="KS552" s="548">
        <f t="shared" si="1663"/>
        <v>3.886938740287988</v>
      </c>
      <c r="KT552" s="473">
        <f t="shared" si="1810"/>
        <v>389.37465324503302</v>
      </c>
      <c r="KU552" s="663">
        <f t="shared" si="1685"/>
        <v>7.4231990695714121</v>
      </c>
      <c r="KV552" s="117"/>
    </row>
    <row r="553" spans="1:308" s="26" customFormat="1" ht="15" outlineLevel="1">
      <c r="A553" s="561">
        <f t="shared" si="1770"/>
        <v>5053</v>
      </c>
      <c r="B553" s="561">
        <f t="shared" si="1771"/>
        <v>53</v>
      </c>
      <c r="C553" s="561">
        <f t="shared" si="1772"/>
        <v>5</v>
      </c>
      <c r="D553" s="561" t="str">
        <f t="shared" ref="D553:D584" si="1812">IF(E553=INDEX(E:E,MATCH(C553*1000+2,A:A,0)),"",E553-INDEX(E:E,MATCH(C553*1000+2,A:A,0))&amp;E$100&amp;", ")
&amp;IF(F553=INDEX(F:F,MATCH(C553*1000+2,A:A,0)),"",F553-INDEX(F:F,MATCH(C553*1000+2,A:A,0))&amp;F$100&amp;", ")
&amp;IF(AM553=INDEX(AM:AM,MATCH(C553*1000+2,A:A,0)),"",AM553&amp;AM$100&amp;", ")
&amp;IF(AP553=INDEX(AP:AP,MATCH(C553*1000+2,A:A,0)),"",AP553&amp;AP$100&amp;", ")
&amp;IF(Q553=INDEX(Q:Q,MATCH(C553*1000+2,A:A,0)),"",Q553-INDEX(Q:Q,MATCH(C553*1000+2,A:A,0))&amp;Q$100&amp;", ")
&amp;IF(Y553=INDEX(Y:Y,MATCH(C553*1000+2,A:A,0)),"",Y553-INDEX(Y:Y,MATCH(C553*1000+2,A:A,0))&amp;Y$100&amp;", ")
&amp;IF(Z553=INDEX(Z:Z,MATCH(C553*1000+2,A:A,0)),"",Z553-INDEX(Z:Z,MATCH(C553*1000+2,A:A,0))&amp;Z$100&amp;", ")
&amp;IF(AA553=INDEX(AA:AA,MATCH(C553*1000+2,A:A,0)),"",AA553-INDEX(AA:AA,MATCH(C553*1000+2,A:A,0))&amp;AA$100&amp;", ")
&amp;IF(AC553=INDEX(AC:AC,MATCH(C553*1000+2,A:A,0)),"",AC553-INDEX(AC:AC,MATCH(C553*1000+2,A:A,0))&amp;AC$100&amp;", ")
&amp;IF(AE553=INDEX(AE:AE,MATCH(C553*1000+2,A:A,0)),"",AE553-INDEX(AE:AE,MATCH(C553*1000+2,A:A,0))&amp;AE$100&amp;", ")
&amp;IF(AG553=INDEX(AG:AG,MATCH(C553*1000+2,A:A,0)),"",AG553-INDEX(AG:AG,MATCH(C553*1000+2,A:A,0))&amp;AG$100&amp;", ")
&amp;IF(AI553=INDEX(AI:AI,MATCH(C553*1000+2,A:A,0)),"",AI553-INDEX(AI:AI,MATCH(C553*1000+2,A:A,0))&amp;AI$100&amp;", ")</f>
        <v xml:space="preserve">0/0/0/3.9, -360 Lease, </v>
      </c>
      <c r="E553" s="475">
        <f>INDEX(Input!$1:$1048576,E$93,$C553*2+MIN($B553,2)+5)
+INDEX(Scenarios!E$121:E$200,MATCH($B553,Scenarios!$B$121:$B$200,0))</f>
        <v>1250</v>
      </c>
      <c r="F553" s="475">
        <f>INDEX(Input!$1:$1048576,F$93,$C553*2+MIN($B553,2)+5)
+INDEX(Scenarios!F$121:F$200,MATCH($B553,Scenarios!$B$121:$B$200,0))</f>
        <v>0</v>
      </c>
      <c r="G553" s="475">
        <f>INDEX(Input!$1:$1048576,G$93,$C553*2+MIN($B553,2)+5)
+INDEX(Scenarios!G$121:G$200,MATCH($B553,Scenarios!$B$121:$B$200,0))</f>
        <v>0</v>
      </c>
      <c r="H553" s="475">
        <f>INDEX(Input!$1:$1048576,H$93,$C553*2+MIN($B553,2)+5)
+INDEX(Scenarios!H$121:H$200,MATCH($B553,Scenarios!$B$121:$B$200,0))</f>
        <v>0</v>
      </c>
      <c r="I553" s="476">
        <f>INDEX(Input!$1:$1048576,I$93,$C553*2+MIN($B553,2)+5)</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+INDEX(Scenarios!Q$121:Q$200,MATCH($B553,Scenarios!$B$121:$B$200,0))</f>
        <v>0</v>
      </c>
      <c r="R553" s="478">
        <f>IFERROR(MAX(0,INDEX(Input!$1:$1048576,R$93,$C553*2+MIN($B553,2)+5)
+INDEX(Scenarios!R$121:R$200,MATCH($B553,Scenarios!$B$121:$B$200,0)),),"Market")</f>
        <v>0</v>
      </c>
      <c r="S553" s="478">
        <f>IFERROR(MAX(0,INDEX(Input!$1:$1048576,S$93,$C553*2+MIN($B553,2)+5)
+INDEX(Scenarios!S$121:S$200,MATCH($B553,Scenarios!$B$121:$B$200,0)),),"Market")</f>
        <v>0</v>
      </c>
      <c r="T553" s="478">
        <f>IFERROR(MAX(0,INDEX(Input!$1:$1048576,T$93,$C553*2+MIN($B553,2)+5)
+INDEX(Scenarios!T$121:T$200,MATCH($B553,Scenarios!$B$121:$B$200,0)),),"Market")</f>
        <v>0</v>
      </c>
      <c r="U553" s="478">
        <f>IFERROR(MAX(0,INDEX(Input!$1:$1048576,U$93,$C553*2+MIN($B553,2)+5)
+INDEX(Scenarios!U$121:U$200,MATCH($B553,Scenarios!$B$121:$B$200,0)),),"Market")</f>
        <v>0</v>
      </c>
      <c r="V553" s="478">
        <f>IFERROR(MAX(0,INDEX(Input!$1:$1048576,V$93,$C553*2+MIN($B553,2)+5)
+INDEX(Scenarios!V$121:V$200,MATCH($B553,Scenarios!$B$121:$B$200,0)),),"Market")</f>
        <v>0</v>
      </c>
      <c r="W553" s="863">
        <f>IFERROR(MAX(0,INDEX(Input!$1:$1048576,W$93,$C553*2+MIN($B553,2)+5)-0%,),"Market")</f>
        <v>3.9E-2</v>
      </c>
      <c r="X553" s="476" t="str">
        <f>INDEX(Input!$1:$1048576,X$93,$C553*2+MIN($B553,2)+5)</f>
        <v>Y</v>
      </c>
      <c r="Y553" s="475">
        <f>INDEX(Input!$1:$1048576,Y$93,$C553*2+MIN($B553,2)+5)
++INDEX(Scenarios!Y$121:Y$200,MATCH($B553,Scenarios!$B$121:$B$200,0))</f>
        <v>-1458.3618966787526</v>
      </c>
      <c r="Z553" s="477">
        <f>INDEX(Input!$1:$1048576,Z$93,$C553*2+MIN($B553,2)+5)
+INDEX(Scenarios!Z$121:Z$200,MATCH($B553,Scenarios!$B$121:$B$200,0))</f>
        <v>0</v>
      </c>
      <c r="AA553" s="475">
        <f>INDEX(Input!$1:$1048576,AA$93,$C553*2+MIN($B553,2)+5)</f>
        <v>500</v>
      </c>
      <c r="AB553" s="476">
        <f>INDEX(Input!$1:$1048576,AB$93,$C553*2+MIN($B553,2)+5)</f>
        <v>0.43</v>
      </c>
      <c r="AC553" s="475">
        <f>INDEX(Input!$1:$1048576,AC$93,$C553*2+MIN($B553,2)+5)
+INDEX(Scenarios!AC$121:AC$200,MATCH($B553,Scenarios!$B$121:$B$200,0))</f>
        <v>0</v>
      </c>
      <c r="AD553" s="476">
        <f>INDEX(Input!$1:$1048576,AD$93,$C553*2+MIN($B553,2)+5)</f>
        <v>0.35</v>
      </c>
      <c r="AE553" s="475">
        <f>INDEX(Input!$1:$1048576,AE$93,$C553*2+MIN($B553,2)+5)
+INDEX(Scenarios!AE$121:AE$200,MATCH($B553,Scenarios!$B$121:$B$200,0))</f>
        <v>0</v>
      </c>
      <c r="AF553" s="476">
        <f>INDEX(Input!$1:$1048576,AF$93,$C553*2+MIN($B553,2)+5)</f>
        <v>1</v>
      </c>
      <c r="AG553" s="475">
        <f>INDEX(Input!$1:$1048576,AG$93,$C553*2+MIN($B553,2)+5)
+INDEX(Scenarios!AG$121:AG$200,MATCH($B553,Scenarios!$B$121:$B$200,0))</f>
        <v>0</v>
      </c>
      <c r="AH553" s="476">
        <f>INDEX(Input!$1:$1048576,AH$93,$C553*2+MIN($B553,2)+5)</f>
        <v>1</v>
      </c>
      <c r="AI553" s="475">
        <f>INDEX(Input!$1:$1048576,AI$93,$C553*2+MIN($B553,2)+5)
+INDEX(Scenarios!AI$121:AI$200,MATCH($B553,Scenarios!$B$121:$B$200,0))</f>
        <v>0</v>
      </c>
      <c r="AJ553" s="476">
        <f>INDEX(Input!$1:$1048576,AJ$93,$C553*2+MIN($B553,2)+5)</f>
        <v>0.35</v>
      </c>
      <c r="AK553" s="150">
        <f>ROUND(INDEX(Input!$1:$1048576,AK$93,$C552*2+MIN($B553,1)+5)+(Y553-VLOOKUP($C553*1000+1,$A:$HH,Y$92,FALSE)),0)</f>
        <v>4232</v>
      </c>
      <c r="AL553" s="150">
        <f>ROUND(INDEX(Input!$1:$1048576,AL$93,$C552*2+MIN($B553,1)+5)-(Y553-VLOOKUP($C553*1000+1,$A:$HH,Y$92,FALSE))/36,0)</f>
        <v>4753</v>
      </c>
      <c r="AM553" s="32" t="str">
        <f t="shared" si="1773"/>
        <v>std/std/std/std</v>
      </c>
      <c r="AN553" s="32" t="str">
        <f t="shared" si="1774"/>
        <v>$0 + 0/0/0/0/3.9</v>
      </c>
      <c r="AO553" s="32" t="str">
        <f t="shared" si="1775"/>
        <v>0/0/0/0/3.9</v>
      </c>
      <c r="AP553" s="32" t="str">
        <f t="shared" si="1755"/>
        <v>0/0/0/3.9</v>
      </c>
      <c r="AQ553" s="536">
        <f t="shared" si="1754"/>
        <v>0.41349565009498263</v>
      </c>
      <c r="AR553" s="32"/>
      <c r="AS553" s="302"/>
      <c r="AT553" s="3">
        <f t="shared" si="1776"/>
        <v>53</v>
      </c>
      <c r="AU553" s="41" t="s">
        <v>121</v>
      </c>
      <c r="AV553" s="41" t="s">
        <v>116</v>
      </c>
      <c r="AW553" s="41" t="str">
        <f>INDEX(Input!$1:$1048576,AW$93,$C553*2+6)</f>
        <v>Kia</v>
      </c>
      <c r="AX553" s="41" t="str">
        <f>INDEX(Input!$1:$1048576,AX$93,$C553*2+6)</f>
        <v>Kia-LR - R2</v>
      </c>
      <c r="AY553" s="41" t="str">
        <f>IF(LEN(D553)=0,"",INDEX(Input!$1:$1048576,AY$93,$C553*2+6))</f>
        <v>Compact Conventional/Sporty Car (43)</v>
      </c>
      <c r="AZ553" s="41" t="str">
        <f>INDEX(Input!$1:$1048576,AZ$93,$C553*2+6)</f>
        <v>Kia Forte</v>
      </c>
      <c r="BA553" s="3">
        <f>INDEX(Input!$1:$1048576,BA$93,$C553*2+6)</f>
        <v>2020</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19695</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756"/>
        <v>1250</v>
      </c>
      <c r="CJ553" s="16" t="str">
        <f>INDEX(Input!$1:$1048576,CJ$93,$C553*2+6)</f>
        <v>N</v>
      </c>
      <c r="CK553" s="1" t="str">
        <f t="shared" si="1757"/>
        <v>Market</v>
      </c>
      <c r="CL553" s="1" t="str">
        <f t="shared" si="1758"/>
        <v>Market</v>
      </c>
      <c r="CM553" s="1" t="str">
        <f t="shared" si="1759"/>
        <v>Market</v>
      </c>
      <c r="CN553" s="1" t="str">
        <f t="shared" si="1760"/>
        <v>Market</v>
      </c>
      <c r="CO553" s="1" t="str">
        <f t="shared" si="1761"/>
        <v>Market</v>
      </c>
      <c r="CP553" s="304">
        <f t="shared" si="1762"/>
        <v>215</v>
      </c>
      <c r="CQ553" s="1">
        <f t="shared" si="1763"/>
        <v>0</v>
      </c>
      <c r="CR553" s="1">
        <f t="shared" si="1764"/>
        <v>0</v>
      </c>
      <c r="CS553" s="1">
        <f t="shared" si="1765"/>
        <v>0</v>
      </c>
      <c r="CT553" s="1">
        <f t="shared" si="1766"/>
        <v>0</v>
      </c>
      <c r="CU553" s="1">
        <f t="shared" si="1767"/>
        <v>3.9E-2</v>
      </c>
      <c r="CV553" s="304">
        <f t="shared" si="1768"/>
        <v>-1458.3618966787526</v>
      </c>
      <c r="CW553" s="20" t="s">
        <v>122</v>
      </c>
      <c r="CX553" s="20" t="s">
        <v>122</v>
      </c>
      <c r="CY553" s="20" t="s">
        <v>122</v>
      </c>
      <c r="CZ553" s="20" t="s">
        <v>122</v>
      </c>
      <c r="DA553" s="20" t="s">
        <v>122</v>
      </c>
      <c r="DB553" s="503">
        <f t="shared" si="1769"/>
        <v>0</v>
      </c>
      <c r="DC553" s="127">
        <v>0</v>
      </c>
      <c r="DD553" s="127">
        <v>0</v>
      </c>
      <c r="DE553" s="127">
        <v>0</v>
      </c>
      <c r="DF553" s="127">
        <v>0</v>
      </c>
      <c r="DG553" s="127">
        <v>0</v>
      </c>
      <c r="DH553" s="127">
        <v>0</v>
      </c>
      <c r="DI553" s="127">
        <v>0</v>
      </c>
      <c r="DJ553" s="127">
        <v>0</v>
      </c>
      <c r="DK553" s="127">
        <v>0</v>
      </c>
      <c r="DL553" s="127">
        <v>0</v>
      </c>
      <c r="DM553" s="304">
        <f>INDEX(Input!$1:$1048576,DM$93,$C553*2+6)</f>
        <v>20731.578947368424</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4.1518059999293748E-2</v>
      </c>
      <c r="DZ553" s="7">
        <v>0</v>
      </c>
      <c r="EA553" s="7">
        <v>0.73412889545360971</v>
      </c>
      <c r="EB553" s="7">
        <v>0</v>
      </c>
      <c r="EC553" s="7">
        <v>0</v>
      </c>
      <c r="ED553" s="7">
        <v>0</v>
      </c>
      <c r="EE553" s="7">
        <v>0</v>
      </c>
      <c r="EF553" s="7">
        <v>0</v>
      </c>
      <c r="EG553" s="7">
        <v>0</v>
      </c>
      <c r="EH553" s="7">
        <v>7.466930892374977E-3</v>
      </c>
      <c r="EI553" s="7">
        <v>9.4075277704479387E-3</v>
      </c>
      <c r="EJ553" s="7">
        <v>0.1382925144859482</v>
      </c>
      <c r="EK553" s="7">
        <v>0.82084338765783527</v>
      </c>
      <c r="EL553" s="7">
        <v>2.398963919339344E-2</v>
      </c>
      <c r="EM553" s="7">
        <v>0.12521548890679027</v>
      </c>
      <c r="EN553" s="7">
        <v>4.6959452002301186E-2</v>
      </c>
      <c r="EO553" s="7">
        <v>0.58335757075825478</v>
      </c>
      <c r="EP553" s="7">
        <v>0.24969530923376682</v>
      </c>
      <c r="EQ553" s="7">
        <v>7.2901515006326412E-2</v>
      </c>
      <c r="ER553" s="7">
        <v>4.7086152999350948E-2</v>
      </c>
      <c r="ES553" s="7">
        <v>9.9137555640306366E-2</v>
      </c>
      <c r="ET553" s="7">
        <v>0.22435304454709651</v>
      </c>
      <c r="EU553" s="6">
        <v>1600</v>
      </c>
      <c r="EV553" s="6">
        <v>0</v>
      </c>
      <c r="EW553" s="6">
        <v>1600</v>
      </c>
      <c r="EX553" s="6">
        <v>0</v>
      </c>
      <c r="EY553" s="6">
        <v>3344.0806006358112</v>
      </c>
      <c r="EZ553" s="6">
        <v>-2083.0908300335955</v>
      </c>
      <c r="FA553" s="6">
        <v>0</v>
      </c>
      <c r="FB553" s="6">
        <v>0</v>
      </c>
      <c r="FC553" s="6">
        <v>0</v>
      </c>
      <c r="FD553" s="6">
        <v>0</v>
      </c>
      <c r="FE553" s="6">
        <v>0</v>
      </c>
      <c r="FF553" s="6">
        <v>0</v>
      </c>
      <c r="FG553" s="6">
        <v>0</v>
      </c>
      <c r="FH553" s="6">
        <v>1153.9853206202231</v>
      </c>
      <c r="FI553" s="6">
        <v>1531.4299904380623</v>
      </c>
      <c r="FJ553" s="6">
        <v>2070.7205842538224</v>
      </c>
      <c r="FK553" s="6">
        <v>2635.395613320291</v>
      </c>
      <c r="FL553" s="6">
        <v>893.91433563489363</v>
      </c>
      <c r="FM553" s="6">
        <v>2494.0806006358112</v>
      </c>
      <c r="FN553" s="6">
        <v>0</v>
      </c>
      <c r="FO553" s="6">
        <v>0</v>
      </c>
      <c r="FP553" s="6">
        <v>0</v>
      </c>
      <c r="FQ553" s="6">
        <v>0</v>
      </c>
      <c r="FR553" s="6">
        <v>0</v>
      </c>
      <c r="FS553" s="6">
        <v>0</v>
      </c>
      <c r="FT553" s="7">
        <v>0.77564695545290341</v>
      </c>
      <c r="FU553" s="7">
        <v>0.12521548890679027</v>
      </c>
      <c r="FV553" s="7">
        <v>9.9137555640306366E-2</v>
      </c>
      <c r="FW553" s="6">
        <v>1600.0000000000002</v>
      </c>
      <c r="FX553" s="6">
        <v>3344.0806006358112</v>
      </c>
      <c r="FY553" s="6">
        <v>-2083.0908300335955</v>
      </c>
      <c r="FZ553" s="6">
        <v>2411.9063952864503</v>
      </c>
      <c r="GA553" s="6">
        <v>1453.2532830107041</v>
      </c>
      <c r="GB553" s="6">
        <v>18241.746716989295</v>
      </c>
      <c r="GC553" s="7">
        <v>7.6138913542514425E-2</v>
      </c>
      <c r="GD553" s="7">
        <v>6.7500141228716726E-2</v>
      </c>
      <c r="GE553" s="7"/>
      <c r="GF553" s="7"/>
      <c r="GG553" s="7">
        <v>-0.11346067223528195</v>
      </c>
      <c r="GH553" s="42">
        <v>2.3309869973395725</v>
      </c>
      <c r="GI553" s="6">
        <v>9902.4638631119706</v>
      </c>
      <c r="GJ553" s="14">
        <v>0.51074630601039561</v>
      </c>
      <c r="GK553" s="14">
        <v>0.50829519786160993</v>
      </c>
      <c r="GL553" s="14">
        <v>0.48925369398960428</v>
      </c>
      <c r="GM553" s="14">
        <v>0.49170480213839063</v>
      </c>
      <c r="GO553" s="5">
        <v>338.16872463277008</v>
      </c>
      <c r="GP553" s="5">
        <v>307.64377699166363</v>
      </c>
      <c r="GQ553" s="5">
        <v>527.27910984145694</v>
      </c>
      <c r="GR553" s="5">
        <v>404.20319246551543</v>
      </c>
      <c r="GS553" s="5">
        <v>334.50205195691484</v>
      </c>
      <c r="GT553" s="5">
        <v>289.18266033348181</v>
      </c>
      <c r="GU553" s="5">
        <v>254.29573314828914</v>
      </c>
      <c r="GV553" s="39" t="s">
        <v>392</v>
      </c>
      <c r="GW553" s="5">
        <v>468.76388888888891</v>
      </c>
      <c r="GX553" s="5">
        <v>351.57291666666669</v>
      </c>
      <c r="GY553" s="5">
        <v>281.25833333333333</v>
      </c>
      <c r="GZ553" s="5">
        <v>234.38194444444446</v>
      </c>
      <c r="HA553" s="5">
        <v>229.8919505212948</v>
      </c>
      <c r="HB553" s="39">
        <v>243.60947590692663</v>
      </c>
      <c r="HC553" s="5">
        <v>374.25084881396981</v>
      </c>
      <c r="HD553" s="5">
        <v>298.52900980034525</v>
      </c>
      <c r="HE553" s="5">
        <v>295.2186408427836</v>
      </c>
      <c r="HF553" s="5">
        <v>265.87464978663218</v>
      </c>
      <c r="HG553" s="5">
        <v>247.50084178617021</v>
      </c>
      <c r="HH553" s="39">
        <v>296.47500982154156</v>
      </c>
      <c r="HI553" s="16"/>
      <c r="HJ553" s="19" t="str">
        <f t="shared" ref="HJ553" si="1813">HJ552</f>
        <v>On</v>
      </c>
      <c r="HK553" s="1" t="str">
        <f t="shared" si="1778"/>
        <v>On</v>
      </c>
      <c r="HL553" s="16"/>
      <c r="HM553" s="639">
        <f t="shared" si="1636"/>
        <v>5.1181272167489952E-2</v>
      </c>
      <c r="HN553" s="639">
        <f t="shared" si="1637"/>
        <v>4.2792051795134348E-3</v>
      </c>
      <c r="HO553" s="639">
        <f t="shared" si="1638"/>
        <v>7.4145241462331068E-3</v>
      </c>
      <c r="HP553" s="644">
        <f>(FT553*$GD553-HM553)/$JF553*INDEX(Input!$1:$1048576,$JG$93,$C553*2+6)</f>
        <v>13.86648232595317</v>
      </c>
      <c r="HQ553" s="644">
        <f>(FU553*$GD553-HN553)/$JF553*INDEX(Input!$1:$1048576,$JG$93,$C553*2+6)</f>
        <v>49.244700862164045</v>
      </c>
      <c r="HR553" s="644">
        <f>(FV553*$GD553-HO553)/$JF553*INDEX(Input!$1:$1048576,$JG$93,$C553*2+6)</f>
        <v>-8.5290185404471615</v>
      </c>
      <c r="HS553" s="644">
        <f t="shared" si="1779"/>
        <v>-7.6458721991583083</v>
      </c>
      <c r="HT553" s="644">
        <f t="shared" si="1640"/>
        <v>59.952100055404109</v>
      </c>
      <c r="HU553" s="644">
        <f t="shared" si="1641"/>
        <v>0.50533158028475333</v>
      </c>
      <c r="HV553" s="648">
        <f t="shared" si="1642"/>
        <v>0</v>
      </c>
      <c r="HW553" s="648">
        <f t="shared" si="1643"/>
        <v>0</v>
      </c>
      <c r="HX553" s="648">
        <f t="shared" si="1644"/>
        <v>0</v>
      </c>
      <c r="HY553" s="644">
        <f>INDEX(Input!$1:$1048576,HY$93,$C553*2+6)*INDEX(Input!$1:$1048576,$JG$93,$C553*2+6)</f>
        <v>345</v>
      </c>
      <c r="HZ553" s="644">
        <f>INDEX(Input!$1:$1048576,HZ$93,$C553*2+6)*INDEX(Input!$1:$1048576,$JG$93,$C553*2+6)</f>
        <v>299</v>
      </c>
      <c r="IA553" s="644">
        <f>INDEX(Input!$1:$1048576,IA$93,$C553*2+6)*INDEX(Input!$1:$1048576,$JG$93,$C553*2+6)</f>
        <v>98</v>
      </c>
      <c r="IB553" s="644">
        <f t="shared" si="1780"/>
        <v>351.22061012679484</v>
      </c>
      <c r="IC553" s="644">
        <f t="shared" si="1781"/>
        <v>408.19680091756817</v>
      </c>
      <c r="ID553" s="644">
        <f>IF(AND(INDEX(Input!$1:$1048576,IA$93,$C553*2+7)="TOS",Y553&lt;=INDEX(Y:Y,MATCH(C553*1000+2,A:A))),0,1)*MAX(IA553+HR553+HU553+HX553,0%)</f>
        <v>89.976313039837578</v>
      </c>
      <c r="IE553" s="128">
        <f t="shared" si="1782"/>
        <v>0.41349565009498263</v>
      </c>
      <c r="IF553" s="128">
        <f t="shared" si="1783"/>
        <v>0.48057430770126991</v>
      </c>
      <c r="IG553" s="128">
        <f t="shared" si="1784"/>
        <v>0.10593004220374744</v>
      </c>
      <c r="IH553" s="21"/>
      <c r="II553" s="19">
        <f t="shared" si="1647"/>
        <v>1200</v>
      </c>
      <c r="IJ553" s="19">
        <f t="shared" si="1648"/>
        <v>2231.5440334087361</v>
      </c>
      <c r="IK553" s="19">
        <f t="shared" si="1649"/>
        <v>-2048.0908300335955</v>
      </c>
      <c r="IL553" s="19">
        <f t="shared" si="1785"/>
        <v>400.00000000000023</v>
      </c>
      <c r="IM553" s="19">
        <f t="shared" si="1786"/>
        <v>1112.536567227075</v>
      </c>
      <c r="IN553" s="19">
        <f t="shared" si="1787"/>
        <v>-35</v>
      </c>
      <c r="IO553" s="39">
        <f t="shared" si="1652"/>
        <v>0</v>
      </c>
      <c r="IP553" s="39">
        <f t="shared" si="1653"/>
        <v>0</v>
      </c>
      <c r="IQ553" s="39">
        <f t="shared" si="1654"/>
        <v>0</v>
      </c>
      <c r="IR553" s="39">
        <v>0</v>
      </c>
      <c r="IS553" s="39">
        <v>0</v>
      </c>
      <c r="IT553" s="39">
        <v>0</v>
      </c>
      <c r="IU553" s="39">
        <v>0</v>
      </c>
      <c r="IV553" s="39">
        <v>0</v>
      </c>
      <c r="IW553" s="39">
        <v>0</v>
      </c>
      <c r="IX553" s="39">
        <f>INDEX(Input!$1:$1048576,IX$93,$C553*2+6)+INDEX(Input!$1:$1048576,IX$94,$C553*2+6)</f>
        <v>1600</v>
      </c>
      <c r="IY553" s="39">
        <f>INDEX(Input!$1:$1048576,IY$93,$C553*2+6)+INDEX(Input!$1:$1048576,IY$94,$C553*2+6)</f>
        <v>2503.5492916397525</v>
      </c>
      <c r="IZ553" s="39">
        <f>INDEX(Input!$1:$1048576,IZ$93,$C553*2+6)+INDEX(Input!$1:$1048576,IZ$94,$C553*2+6)</f>
        <v>5413.7109265464023</v>
      </c>
      <c r="JA553" s="19">
        <f t="shared" si="1788"/>
        <v>2000.0000000000002</v>
      </c>
      <c r="JB553" s="19">
        <f t="shared" si="1789"/>
        <v>3616.0858588668275</v>
      </c>
      <c r="JC553" s="19">
        <f t="shared" si="1790"/>
        <v>5378.7109265464023</v>
      </c>
      <c r="JD553" s="19">
        <f t="shared" si="1791"/>
        <v>3134.5563338540605</v>
      </c>
      <c r="JE553" s="21"/>
      <c r="JF553" s="1">
        <f t="shared" si="1655"/>
        <v>6.2875001493236493E-2</v>
      </c>
      <c r="JG553" s="15">
        <f>INDEX(Input!$1:$1048576,JG$93,$C553*2+6)/(1+VLOOKUP(C553*1000+INDEX(Input!$1:$1048576,JG$93+1,$C553*2+6),$A:$KK,$JK$92,FALSE))</f>
        <v>742</v>
      </c>
      <c r="JH553" s="1">
        <f t="shared" si="1792"/>
        <v>7.3560868797398996E-2</v>
      </c>
      <c r="JI553" s="1">
        <f t="shared" si="1793"/>
        <v>7.1174608405027692E-2</v>
      </c>
      <c r="JJ553" s="1">
        <f t="shared" si="1794"/>
        <v>0</v>
      </c>
      <c r="JK553" s="1">
        <f t="shared" si="1795"/>
        <v>0.14473547720242669</v>
      </c>
      <c r="JL553" s="15">
        <f t="shared" si="1796"/>
        <v>107.3937240842006</v>
      </c>
      <c r="JM553" s="15">
        <f t="shared" si="1797"/>
        <v>849.39372408420058</v>
      </c>
      <c r="JN553" s="21"/>
      <c r="JO553" s="19">
        <f>INDEX(Input!$1:$1048576,JO$93,$C553*2+6)</f>
        <v>5908.5</v>
      </c>
      <c r="JP553" s="19">
        <f>INDEX(Input!$1:$1048576,JP$93,$C553*2+6)</f>
        <v>2467.7963733178344</v>
      </c>
      <c r="JQ553" s="39">
        <f t="shared" si="1798"/>
        <v>2773.9436661459395</v>
      </c>
      <c r="JR553" s="39">
        <f t="shared" si="1799"/>
        <v>666.75996053622612</v>
      </c>
      <c r="JS553" s="39">
        <f t="shared" si="1800"/>
        <v>2.6624724777640192</v>
      </c>
      <c r="JT553" s="39">
        <f t="shared" si="1801"/>
        <v>0.8313675687621862</v>
      </c>
      <c r="JU553" s="385">
        <f>(JQ553*JM553-INDEX(Input!$1:$1048576,Input!A$18,$C553*2+6)*JL553*INDEX(Input!$1:$1048576,Input!A$19,$C553*2+6))/1000000</f>
        <v>2.3561703409874797</v>
      </c>
      <c r="JV553" s="39">
        <f t="shared" si="1802"/>
        <v>-0.19683175001068687</v>
      </c>
      <c r="JW553" s="1">
        <f t="shared" si="1803"/>
        <v>-7.7098154641044608E-2</v>
      </c>
      <c r="JX553" s="19">
        <f t="shared" si="1804"/>
        <v>7741.3049584756336</v>
      </c>
      <c r="JZ553" s="341"/>
      <c r="KA553" s="342"/>
      <c r="KB553" s="469">
        <f t="shared" si="1805"/>
        <v>2.4623520912331753</v>
      </c>
      <c r="KI553" s="473">
        <f t="shared" si="1806"/>
        <v>6.2206101267948384</v>
      </c>
      <c r="KJ553" s="473">
        <f t="shared" si="1807"/>
        <v>109.19680091756817</v>
      </c>
      <c r="KK553" s="473">
        <f t="shared" si="1808"/>
        <v>-8.0236869601624221</v>
      </c>
      <c r="KN553" s="544">
        <f t="shared" si="1809"/>
        <v>5002</v>
      </c>
      <c r="KO553" s="541">
        <f t="shared" si="1659"/>
        <v>6.3669552673186747E-2</v>
      </c>
      <c r="KP553" s="546">
        <f t="shared" si="1660"/>
        <v>304.2750339315632</v>
      </c>
      <c r="KQ553" s="546">
        <f t="shared" si="1661"/>
        <v>275.78388770235142</v>
      </c>
      <c r="KR553" s="548">
        <f t="shared" si="1662"/>
        <v>3.5229807165138736</v>
      </c>
      <c r="KS553" s="548">
        <f t="shared" si="1663"/>
        <v>3.886938740287988</v>
      </c>
      <c r="KT553" s="473">
        <f t="shared" si="1810"/>
        <v>389.37465324503302</v>
      </c>
      <c r="KU553" s="663">
        <f t="shared" si="1685"/>
        <v>7.4232000695714122</v>
      </c>
      <c r="KV553" s="117"/>
    </row>
    <row r="554" spans="1:308" s="26" customFormat="1" ht="15" outlineLevel="1">
      <c r="A554" s="561">
        <f t="shared" si="1770"/>
        <v>5054</v>
      </c>
      <c r="B554" s="561">
        <f t="shared" si="1771"/>
        <v>54</v>
      </c>
      <c r="C554" s="561">
        <f t="shared" si="1772"/>
        <v>5</v>
      </c>
      <c r="D554" s="561" t="str">
        <f t="shared" si="1812"/>
        <v xml:space="preserve">0/0/0/3.9, -360 Lease, </v>
      </c>
      <c r="E554" s="475">
        <f>INDEX(Input!$1:$1048576,E$93,$C554*2+MIN($B554,2)+5)
+INDEX(Scenarios!E$121:E$200,MATCH($B554,Scenarios!$B$121:$B$200,0))</f>
        <v>1250</v>
      </c>
      <c r="F554" s="475">
        <f>INDEX(Input!$1:$1048576,F$93,$C554*2+MIN($B554,2)+5)
+INDEX(Scenarios!F$121:F$200,MATCH($B554,Scenarios!$B$121:$B$200,0))</f>
        <v>0</v>
      </c>
      <c r="G554" s="475">
        <f>INDEX(Input!$1:$1048576,G$93,$C554*2+MIN($B554,2)+5)
+INDEX(Scenarios!G$121:G$200,MATCH($B554,Scenarios!$B$121:$B$200,0))</f>
        <v>0</v>
      </c>
      <c r="H554" s="475">
        <f>INDEX(Input!$1:$1048576,H$93,$C554*2+MIN($B554,2)+5)
+INDEX(Scenarios!H$121:H$200,MATCH($B554,Scenarios!$B$121:$B$200,0))</f>
        <v>0</v>
      </c>
      <c r="I554" s="476">
        <f>INDEX(Input!$1:$1048576,I$93,$C554*2+MIN($B554,2)+5)</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+INDEX(Scenarios!Q$121:Q$200,MATCH($B554,Scenarios!$B$121:$B$200,0))</f>
        <v>0</v>
      </c>
      <c r="R554" s="478">
        <f>IFERROR(MAX(0,INDEX(Input!$1:$1048576,R$93,$C554*2+MIN($B554,2)+5)
+INDEX(Scenarios!R$121:R$200,MATCH($B554,Scenarios!$B$121:$B$200,0)),),"Market")</f>
        <v>0</v>
      </c>
      <c r="S554" s="478">
        <f>IFERROR(MAX(0,INDEX(Input!$1:$1048576,S$93,$C554*2+MIN($B554,2)+5)
+INDEX(Scenarios!S$121:S$200,MATCH($B554,Scenarios!$B$121:$B$200,0)),),"Market")</f>
        <v>0</v>
      </c>
      <c r="T554" s="478">
        <f>IFERROR(MAX(0,INDEX(Input!$1:$1048576,T$93,$C554*2+MIN($B554,2)+5)
+INDEX(Scenarios!T$121:T$200,MATCH($B554,Scenarios!$B$121:$B$200,0)),),"Market")</f>
        <v>0</v>
      </c>
      <c r="U554" s="478">
        <f>IFERROR(MAX(0,INDEX(Input!$1:$1048576,U$93,$C554*2+MIN($B554,2)+5)
+INDEX(Scenarios!U$121:U$200,MATCH($B554,Scenarios!$B$121:$B$200,0)),),"Market")</f>
        <v>0</v>
      </c>
      <c r="V554" s="478">
        <f>IFERROR(MAX(0,INDEX(Input!$1:$1048576,V$93,$C554*2+MIN($B554,2)+5)
+INDEX(Scenarios!V$121:V$200,MATCH($B554,Scenarios!$B$121:$B$200,0)),),"Market")</f>
        <v>0</v>
      </c>
      <c r="W554" s="863">
        <f>IFERROR(MAX(0,INDEX(Input!$1:$1048576,W$93,$C554*2+MIN($B554,2)+5)-0%,),"Market")</f>
        <v>3.9E-2</v>
      </c>
      <c r="X554" s="476" t="str">
        <f>INDEX(Input!$1:$1048576,X$93,$C554*2+MIN($B554,2)+5)</f>
        <v>Y</v>
      </c>
      <c r="Y554" s="475">
        <f>INDEX(Input!$1:$1048576,Y$93,$C554*2+MIN($B554,2)+5)
++INDEX(Scenarios!Y$121:Y$200,MATCH($B554,Scenarios!$B$121:$B$200,0))</f>
        <v>-1458.3618966787526</v>
      </c>
      <c r="Z554" s="477">
        <f>INDEX(Input!$1:$1048576,Z$93,$C554*2+MIN($B554,2)+5)
+INDEX(Scenarios!Z$121:Z$200,MATCH($B554,Scenarios!$B$121:$B$200,0))</f>
        <v>0</v>
      </c>
      <c r="AA554" s="475">
        <f>INDEX(Input!$1:$1048576,AA$93,$C554*2+MIN($B554,2)+5)</f>
        <v>500</v>
      </c>
      <c r="AB554" s="476">
        <f>INDEX(Input!$1:$1048576,AB$93,$C554*2+MIN($B554,2)+5)</f>
        <v>0.43</v>
      </c>
      <c r="AC554" s="475">
        <f>INDEX(Input!$1:$1048576,AC$93,$C554*2+MIN($B554,2)+5)
+INDEX(Scenarios!AC$121:AC$200,MATCH($B554,Scenarios!$B$121:$B$200,0))</f>
        <v>0</v>
      </c>
      <c r="AD554" s="476">
        <f>INDEX(Input!$1:$1048576,AD$93,$C554*2+MIN($B554,2)+5)</f>
        <v>0.35</v>
      </c>
      <c r="AE554" s="475">
        <f>INDEX(Input!$1:$1048576,AE$93,$C554*2+MIN($B554,2)+5)
+INDEX(Scenarios!AE$121:AE$200,MATCH($B554,Scenarios!$B$121:$B$200,0))</f>
        <v>0</v>
      </c>
      <c r="AF554" s="476">
        <f>INDEX(Input!$1:$1048576,AF$93,$C554*2+MIN($B554,2)+5)</f>
        <v>1</v>
      </c>
      <c r="AG554" s="475">
        <f>INDEX(Input!$1:$1048576,AG$93,$C554*2+MIN($B554,2)+5)
+INDEX(Scenarios!AG$121:AG$200,MATCH($B554,Scenarios!$B$121:$B$200,0))</f>
        <v>0</v>
      </c>
      <c r="AH554" s="476">
        <f>INDEX(Input!$1:$1048576,AH$93,$C554*2+MIN($B554,2)+5)</f>
        <v>1</v>
      </c>
      <c r="AI554" s="475">
        <f>INDEX(Input!$1:$1048576,AI$93,$C554*2+MIN($B554,2)+5)
+INDEX(Scenarios!AI$121:AI$200,MATCH($B554,Scenarios!$B$121:$B$200,0))</f>
        <v>0</v>
      </c>
      <c r="AJ554" s="476">
        <f>INDEX(Input!$1:$1048576,AJ$93,$C554*2+MIN($B554,2)+5)</f>
        <v>0.35</v>
      </c>
      <c r="AK554" s="150">
        <f>ROUND(INDEX(Input!$1:$1048576,AK$93,$C553*2+MIN($B554,1)+5)+(Y554-VLOOKUP($C554*1000+1,$A:$HH,Y$92,FALSE)),0)</f>
        <v>4232</v>
      </c>
      <c r="AL554" s="150">
        <f>ROUND(INDEX(Input!$1:$1048576,AL$93,$C553*2+MIN($B554,1)+5)-(Y554-VLOOKUP($C554*1000+1,$A:$HH,Y$92,FALSE))/36,0)</f>
        <v>4753</v>
      </c>
      <c r="AM554" s="32" t="str">
        <f t="shared" si="1773"/>
        <v>std/std/std/std</v>
      </c>
      <c r="AN554" s="32" t="str">
        <f t="shared" si="1774"/>
        <v>$0 + 0/0/0/0/3.9</v>
      </c>
      <c r="AO554" s="32" t="str">
        <f t="shared" si="1775"/>
        <v>0/0/0/0/3.9</v>
      </c>
      <c r="AP554" s="32" t="str">
        <f t="shared" si="1755"/>
        <v>0/0/0/3.9</v>
      </c>
      <c r="AQ554" s="536">
        <f t="shared" si="1754"/>
        <v>0.41349565009498263</v>
      </c>
      <c r="AR554" s="32"/>
      <c r="AS554" s="302"/>
      <c r="AT554" s="3">
        <f t="shared" si="1776"/>
        <v>54</v>
      </c>
      <c r="AU554" s="41" t="s">
        <v>121</v>
      </c>
      <c r="AV554" s="41" t="s">
        <v>116</v>
      </c>
      <c r="AW554" s="41" t="str">
        <f>INDEX(Input!$1:$1048576,AW$93,$C554*2+6)</f>
        <v>Kia</v>
      </c>
      <c r="AX554" s="41" t="str">
        <f>INDEX(Input!$1:$1048576,AX$93,$C554*2+6)</f>
        <v>Kia-LR - R2</v>
      </c>
      <c r="AY554" s="41" t="str">
        <f>IF(LEN(D554)=0,"",INDEX(Input!$1:$1048576,AY$93,$C554*2+6))</f>
        <v>Compact Conventional/Sporty Car (43)</v>
      </c>
      <c r="AZ554" s="41" t="str">
        <f>INDEX(Input!$1:$1048576,AZ$93,$C554*2+6)</f>
        <v>Kia Forte</v>
      </c>
      <c r="BA554" s="3">
        <f>INDEX(Input!$1:$1048576,BA$93,$C554*2+6)</f>
        <v>2020</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19695</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756"/>
        <v>1250</v>
      </c>
      <c r="CJ554" s="16" t="str">
        <f>INDEX(Input!$1:$1048576,CJ$93,$C554*2+6)</f>
        <v>N</v>
      </c>
      <c r="CK554" s="1" t="str">
        <f t="shared" si="1757"/>
        <v>Market</v>
      </c>
      <c r="CL554" s="1" t="str">
        <f t="shared" si="1758"/>
        <v>Market</v>
      </c>
      <c r="CM554" s="1" t="str">
        <f t="shared" si="1759"/>
        <v>Market</v>
      </c>
      <c r="CN554" s="1" t="str">
        <f t="shared" si="1760"/>
        <v>Market</v>
      </c>
      <c r="CO554" s="1" t="str">
        <f t="shared" si="1761"/>
        <v>Market</v>
      </c>
      <c r="CP554" s="304">
        <f t="shared" si="1762"/>
        <v>215</v>
      </c>
      <c r="CQ554" s="1">
        <f t="shared" si="1763"/>
        <v>0</v>
      </c>
      <c r="CR554" s="1">
        <f t="shared" si="1764"/>
        <v>0</v>
      </c>
      <c r="CS554" s="1">
        <f t="shared" si="1765"/>
        <v>0</v>
      </c>
      <c r="CT554" s="1">
        <f t="shared" si="1766"/>
        <v>0</v>
      </c>
      <c r="CU554" s="1">
        <f t="shared" si="1767"/>
        <v>3.9E-2</v>
      </c>
      <c r="CV554" s="304">
        <f t="shared" si="1768"/>
        <v>-1458.3618966787526</v>
      </c>
      <c r="CW554" s="20" t="s">
        <v>122</v>
      </c>
      <c r="CX554" s="20" t="s">
        <v>122</v>
      </c>
      <c r="CY554" s="20" t="s">
        <v>122</v>
      </c>
      <c r="CZ554" s="20" t="s">
        <v>122</v>
      </c>
      <c r="DA554" s="20" t="s">
        <v>122</v>
      </c>
      <c r="DB554" s="503">
        <f t="shared" si="1769"/>
        <v>0</v>
      </c>
      <c r="DC554" s="127">
        <v>0</v>
      </c>
      <c r="DD554" s="127">
        <v>0</v>
      </c>
      <c r="DE554" s="127">
        <v>0</v>
      </c>
      <c r="DF554" s="127">
        <v>0</v>
      </c>
      <c r="DG554" s="127">
        <v>0</v>
      </c>
      <c r="DH554" s="127">
        <v>0</v>
      </c>
      <c r="DI554" s="127">
        <v>0</v>
      </c>
      <c r="DJ554" s="127">
        <v>0</v>
      </c>
      <c r="DK554" s="127">
        <v>0</v>
      </c>
      <c r="DL554" s="127">
        <v>0</v>
      </c>
      <c r="DM554" s="304">
        <f>INDEX(Input!$1:$1048576,DM$93,$C554*2+6)</f>
        <v>20731.578947368424</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4.1518059999293748E-2</v>
      </c>
      <c r="DZ554" s="7">
        <v>0</v>
      </c>
      <c r="EA554" s="7">
        <v>0.73412889545360971</v>
      </c>
      <c r="EB554" s="7">
        <v>0</v>
      </c>
      <c r="EC554" s="7">
        <v>0</v>
      </c>
      <c r="ED554" s="7">
        <v>0</v>
      </c>
      <c r="EE554" s="7">
        <v>0</v>
      </c>
      <c r="EF554" s="7">
        <v>0</v>
      </c>
      <c r="EG554" s="7">
        <v>0</v>
      </c>
      <c r="EH554" s="7">
        <v>7.466930892374977E-3</v>
      </c>
      <c r="EI554" s="7">
        <v>9.4075277704479387E-3</v>
      </c>
      <c r="EJ554" s="7">
        <v>0.1382925144859482</v>
      </c>
      <c r="EK554" s="7">
        <v>0.82084338765783527</v>
      </c>
      <c r="EL554" s="7">
        <v>2.398963919339344E-2</v>
      </c>
      <c r="EM554" s="7">
        <v>0.12521548890679027</v>
      </c>
      <c r="EN554" s="7">
        <v>4.6959452002301186E-2</v>
      </c>
      <c r="EO554" s="7">
        <v>0.58335757075825478</v>
      </c>
      <c r="EP554" s="7">
        <v>0.24969530923376682</v>
      </c>
      <c r="EQ554" s="7">
        <v>7.2901515006326412E-2</v>
      </c>
      <c r="ER554" s="7">
        <v>4.7086152999350948E-2</v>
      </c>
      <c r="ES554" s="7">
        <v>9.9137555640306366E-2</v>
      </c>
      <c r="ET554" s="7">
        <v>0.22435304454709651</v>
      </c>
      <c r="EU554" s="6">
        <v>1600</v>
      </c>
      <c r="EV554" s="6">
        <v>0</v>
      </c>
      <c r="EW554" s="6">
        <v>1600</v>
      </c>
      <c r="EX554" s="6">
        <v>0</v>
      </c>
      <c r="EY554" s="6">
        <v>3344.0806006358112</v>
      </c>
      <c r="EZ554" s="6">
        <v>-2083.0908300335955</v>
      </c>
      <c r="FA554" s="6">
        <v>0</v>
      </c>
      <c r="FB554" s="6">
        <v>0</v>
      </c>
      <c r="FC554" s="6">
        <v>0</v>
      </c>
      <c r="FD554" s="6">
        <v>0</v>
      </c>
      <c r="FE554" s="6">
        <v>0</v>
      </c>
      <c r="FF554" s="6">
        <v>0</v>
      </c>
      <c r="FG554" s="6">
        <v>0</v>
      </c>
      <c r="FH554" s="6">
        <v>1153.9853206202231</v>
      </c>
      <c r="FI554" s="6">
        <v>1531.4299904380623</v>
      </c>
      <c r="FJ554" s="6">
        <v>2070.7205842538224</v>
      </c>
      <c r="FK554" s="6">
        <v>2635.395613320291</v>
      </c>
      <c r="FL554" s="6">
        <v>893.91433563489363</v>
      </c>
      <c r="FM554" s="6">
        <v>2494.0806006358112</v>
      </c>
      <c r="FN554" s="6">
        <v>0</v>
      </c>
      <c r="FO554" s="6">
        <v>0</v>
      </c>
      <c r="FP554" s="6">
        <v>0</v>
      </c>
      <c r="FQ554" s="6">
        <v>0</v>
      </c>
      <c r="FR554" s="6">
        <v>0</v>
      </c>
      <c r="FS554" s="6">
        <v>0</v>
      </c>
      <c r="FT554" s="7">
        <v>0.77564695545290341</v>
      </c>
      <c r="FU554" s="7">
        <v>0.12521548890679027</v>
      </c>
      <c r="FV554" s="7">
        <v>9.9137555640306366E-2</v>
      </c>
      <c r="FW554" s="6">
        <v>1600.0000000000002</v>
      </c>
      <c r="FX554" s="6">
        <v>3344.0806006358112</v>
      </c>
      <c r="FY554" s="6">
        <v>-2083.0908300335955</v>
      </c>
      <c r="FZ554" s="6">
        <v>2411.9063952864503</v>
      </c>
      <c r="GA554" s="6">
        <v>1453.2532830107041</v>
      </c>
      <c r="GB554" s="6">
        <v>18241.746716989295</v>
      </c>
      <c r="GC554" s="7">
        <v>7.6138913542514425E-2</v>
      </c>
      <c r="GD554" s="7">
        <v>6.7500141228716726E-2</v>
      </c>
      <c r="GE554" s="7"/>
      <c r="GF554" s="7"/>
      <c r="GG554" s="7">
        <v>-0.11346067223528195</v>
      </c>
      <c r="GH554" s="42">
        <v>2.3309869973395725</v>
      </c>
      <c r="GI554" s="6">
        <v>9902.4638631119706</v>
      </c>
      <c r="GJ554" s="14">
        <v>0.51074630601039561</v>
      </c>
      <c r="GK554" s="14">
        <v>0.50829519786160993</v>
      </c>
      <c r="GL554" s="14">
        <v>0.48925369398960428</v>
      </c>
      <c r="GM554" s="14">
        <v>0.49170480213839063</v>
      </c>
      <c r="GO554" s="5">
        <v>338.16872463277008</v>
      </c>
      <c r="GP554" s="5">
        <v>307.64377699166363</v>
      </c>
      <c r="GQ554" s="5">
        <v>527.27910984145694</v>
      </c>
      <c r="GR554" s="5">
        <v>404.20319246551543</v>
      </c>
      <c r="GS554" s="5">
        <v>334.50205195691484</v>
      </c>
      <c r="GT554" s="5">
        <v>289.18266033348181</v>
      </c>
      <c r="GU554" s="5">
        <v>254.29573314828914</v>
      </c>
      <c r="GV554" s="39" t="s">
        <v>392</v>
      </c>
      <c r="GW554" s="5">
        <v>468.76388888888891</v>
      </c>
      <c r="GX554" s="5">
        <v>351.57291666666669</v>
      </c>
      <c r="GY554" s="5">
        <v>281.25833333333333</v>
      </c>
      <c r="GZ554" s="5">
        <v>234.38194444444446</v>
      </c>
      <c r="HA554" s="5">
        <v>229.8919505212948</v>
      </c>
      <c r="HB554" s="39">
        <v>243.60947590692663</v>
      </c>
      <c r="HC554" s="5">
        <v>374.25084881396981</v>
      </c>
      <c r="HD554" s="5">
        <v>298.52900980034525</v>
      </c>
      <c r="HE554" s="5">
        <v>295.2186408427836</v>
      </c>
      <c r="HF554" s="5">
        <v>265.87464978663218</v>
      </c>
      <c r="HG554" s="5">
        <v>247.50084178617021</v>
      </c>
      <c r="HH554" s="39">
        <v>296.47500982154156</v>
      </c>
      <c r="HI554" s="16"/>
      <c r="HJ554" s="19" t="str">
        <f t="shared" ref="HJ554" si="1814">HJ553</f>
        <v>On</v>
      </c>
      <c r="HK554" s="1" t="str">
        <f t="shared" si="1778"/>
        <v>On</v>
      </c>
      <c r="HL554" s="16"/>
      <c r="HM554" s="639">
        <f t="shared" si="1636"/>
        <v>5.1181272167489952E-2</v>
      </c>
      <c r="HN554" s="639">
        <f t="shared" si="1637"/>
        <v>4.2792051795134348E-3</v>
      </c>
      <c r="HO554" s="639">
        <f t="shared" si="1638"/>
        <v>7.4145241462331068E-3</v>
      </c>
      <c r="HP554" s="644">
        <f>(FT554*$GD554-HM554)/$JF554*INDEX(Input!$1:$1048576,$JG$93,$C554*2+6)</f>
        <v>13.86648232595317</v>
      </c>
      <c r="HQ554" s="644">
        <f>(FU554*$GD554-HN554)/$JF554*INDEX(Input!$1:$1048576,$JG$93,$C554*2+6)</f>
        <v>49.244700862164045</v>
      </c>
      <c r="HR554" s="644">
        <f>(FV554*$GD554-HO554)/$JF554*INDEX(Input!$1:$1048576,$JG$93,$C554*2+6)</f>
        <v>-8.5290185404471615</v>
      </c>
      <c r="HS554" s="644">
        <f t="shared" si="1779"/>
        <v>-7.6458721991583083</v>
      </c>
      <c r="HT554" s="644">
        <f t="shared" si="1640"/>
        <v>59.952100055404109</v>
      </c>
      <c r="HU554" s="644">
        <f t="shared" si="1641"/>
        <v>0.50533158028475333</v>
      </c>
      <c r="HV554" s="648">
        <f t="shared" si="1642"/>
        <v>0</v>
      </c>
      <c r="HW554" s="648">
        <f t="shared" si="1643"/>
        <v>0</v>
      </c>
      <c r="HX554" s="648">
        <f t="shared" si="1644"/>
        <v>0</v>
      </c>
      <c r="HY554" s="644">
        <f>INDEX(Input!$1:$1048576,HY$93,$C554*2+6)*INDEX(Input!$1:$1048576,$JG$93,$C554*2+6)</f>
        <v>345</v>
      </c>
      <c r="HZ554" s="644">
        <f>INDEX(Input!$1:$1048576,HZ$93,$C554*2+6)*INDEX(Input!$1:$1048576,$JG$93,$C554*2+6)</f>
        <v>299</v>
      </c>
      <c r="IA554" s="644">
        <f>INDEX(Input!$1:$1048576,IA$93,$C554*2+6)*INDEX(Input!$1:$1048576,$JG$93,$C554*2+6)</f>
        <v>98</v>
      </c>
      <c r="IB554" s="644">
        <f t="shared" si="1780"/>
        <v>351.22061012679484</v>
      </c>
      <c r="IC554" s="644">
        <f t="shared" si="1781"/>
        <v>408.19680091756817</v>
      </c>
      <c r="ID554" s="644">
        <f>IF(AND(INDEX(Input!$1:$1048576,IA$93,$C554*2+7)="TOS",Y554&lt;=INDEX(Y:Y,MATCH(C554*1000+2,A:A))),0,1)*MAX(IA554+HR554+HU554+HX554,0%)</f>
        <v>89.976313039837578</v>
      </c>
      <c r="IE554" s="128">
        <f t="shared" si="1782"/>
        <v>0.41349565009498263</v>
      </c>
      <c r="IF554" s="128">
        <f t="shared" si="1783"/>
        <v>0.48057430770126991</v>
      </c>
      <c r="IG554" s="128">
        <f t="shared" si="1784"/>
        <v>0.10593004220374744</v>
      </c>
      <c r="IH554" s="21"/>
      <c r="II554" s="19">
        <f t="shared" si="1647"/>
        <v>1200</v>
      </c>
      <c r="IJ554" s="19">
        <f t="shared" si="1648"/>
        <v>2231.5440334087361</v>
      </c>
      <c r="IK554" s="19">
        <f t="shared" si="1649"/>
        <v>-2048.0908300335955</v>
      </c>
      <c r="IL554" s="19">
        <f t="shared" si="1785"/>
        <v>400.00000000000023</v>
      </c>
      <c r="IM554" s="19">
        <f t="shared" si="1786"/>
        <v>1112.536567227075</v>
      </c>
      <c r="IN554" s="19">
        <f t="shared" si="1787"/>
        <v>-35</v>
      </c>
      <c r="IO554" s="39">
        <f t="shared" si="1652"/>
        <v>0</v>
      </c>
      <c r="IP554" s="39">
        <f t="shared" si="1653"/>
        <v>0</v>
      </c>
      <c r="IQ554" s="39">
        <f t="shared" si="1654"/>
        <v>0</v>
      </c>
      <c r="IR554" s="39">
        <v>0</v>
      </c>
      <c r="IS554" s="39">
        <v>0</v>
      </c>
      <c r="IT554" s="39">
        <v>0</v>
      </c>
      <c r="IU554" s="39">
        <v>0</v>
      </c>
      <c r="IV554" s="39">
        <v>0</v>
      </c>
      <c r="IW554" s="39">
        <v>0</v>
      </c>
      <c r="IX554" s="39">
        <f>INDEX(Input!$1:$1048576,IX$93,$C554*2+6)+INDEX(Input!$1:$1048576,IX$94,$C554*2+6)</f>
        <v>1600</v>
      </c>
      <c r="IY554" s="39">
        <f>INDEX(Input!$1:$1048576,IY$93,$C554*2+6)+INDEX(Input!$1:$1048576,IY$94,$C554*2+6)</f>
        <v>2503.5492916397525</v>
      </c>
      <c r="IZ554" s="39">
        <f>INDEX(Input!$1:$1048576,IZ$93,$C554*2+6)+INDEX(Input!$1:$1048576,IZ$94,$C554*2+6)</f>
        <v>5413.7109265464023</v>
      </c>
      <c r="JA554" s="19">
        <f t="shared" si="1788"/>
        <v>2000.0000000000002</v>
      </c>
      <c r="JB554" s="19">
        <f t="shared" si="1789"/>
        <v>3616.0858588668275</v>
      </c>
      <c r="JC554" s="19">
        <f t="shared" si="1790"/>
        <v>5378.7109265464023</v>
      </c>
      <c r="JD554" s="19">
        <f t="shared" si="1791"/>
        <v>3134.5563338540605</v>
      </c>
      <c r="JE554" s="21"/>
      <c r="JF554" s="1">
        <f t="shared" si="1655"/>
        <v>6.2875001493236493E-2</v>
      </c>
      <c r="JG554" s="15">
        <f>INDEX(Input!$1:$1048576,JG$93,$C554*2+6)/(1+VLOOKUP(C554*1000+INDEX(Input!$1:$1048576,JG$93+1,$C554*2+6),$A:$KK,$JK$92,FALSE))</f>
        <v>742</v>
      </c>
      <c r="JH554" s="1">
        <f t="shared" si="1792"/>
        <v>7.3560868797398996E-2</v>
      </c>
      <c r="JI554" s="1">
        <f t="shared" si="1793"/>
        <v>7.1174608405027692E-2</v>
      </c>
      <c r="JJ554" s="1">
        <f t="shared" si="1794"/>
        <v>0</v>
      </c>
      <c r="JK554" s="1">
        <f t="shared" si="1795"/>
        <v>0.14473547720242669</v>
      </c>
      <c r="JL554" s="15">
        <f t="shared" si="1796"/>
        <v>107.3937240842006</v>
      </c>
      <c r="JM554" s="15">
        <f t="shared" si="1797"/>
        <v>849.39372408420058</v>
      </c>
      <c r="JN554" s="21"/>
      <c r="JO554" s="19">
        <f>INDEX(Input!$1:$1048576,JO$93,$C554*2+6)</f>
        <v>5908.5</v>
      </c>
      <c r="JP554" s="19">
        <f>INDEX(Input!$1:$1048576,JP$93,$C554*2+6)</f>
        <v>2467.7963733178344</v>
      </c>
      <c r="JQ554" s="39">
        <f t="shared" si="1798"/>
        <v>2773.9436661459395</v>
      </c>
      <c r="JR554" s="39">
        <f t="shared" si="1799"/>
        <v>666.75996053622612</v>
      </c>
      <c r="JS554" s="39">
        <f t="shared" si="1800"/>
        <v>2.6624724777640192</v>
      </c>
      <c r="JT554" s="39">
        <f t="shared" si="1801"/>
        <v>0.8313675687621862</v>
      </c>
      <c r="JU554" s="385">
        <f>(JQ554*JM554-INDEX(Input!$1:$1048576,Input!A$18,$C554*2+6)*JL554*INDEX(Input!$1:$1048576,Input!A$19,$C554*2+6))/1000000</f>
        <v>2.3561703409874797</v>
      </c>
      <c r="JV554" s="39">
        <f t="shared" si="1802"/>
        <v>-0.19683175001068687</v>
      </c>
      <c r="JW554" s="1">
        <f t="shared" si="1803"/>
        <v>-7.7098154641044608E-2</v>
      </c>
      <c r="JX554" s="19">
        <f t="shared" si="1804"/>
        <v>7741.3049584756336</v>
      </c>
      <c r="JZ554" s="341"/>
      <c r="KA554" s="342"/>
      <c r="KB554" s="469">
        <f t="shared" si="1805"/>
        <v>2.4623520912331753</v>
      </c>
      <c r="KI554" s="473">
        <f t="shared" si="1806"/>
        <v>6.2206101267948384</v>
      </c>
      <c r="KJ554" s="473">
        <f t="shared" si="1807"/>
        <v>109.19680091756817</v>
      </c>
      <c r="KK554" s="473">
        <f t="shared" si="1808"/>
        <v>-8.0236869601624221</v>
      </c>
      <c r="KN554" s="544">
        <f t="shared" si="1809"/>
        <v>5002</v>
      </c>
      <c r="KO554" s="541">
        <f t="shared" si="1659"/>
        <v>6.3669552673186747E-2</v>
      </c>
      <c r="KP554" s="546">
        <f t="shared" si="1660"/>
        <v>304.2750339315632</v>
      </c>
      <c r="KQ554" s="546">
        <f t="shared" si="1661"/>
        <v>275.78388770235142</v>
      </c>
      <c r="KR554" s="548">
        <f t="shared" si="1662"/>
        <v>3.5229807165138736</v>
      </c>
      <c r="KS554" s="548">
        <f t="shared" si="1663"/>
        <v>3.886938740287988</v>
      </c>
      <c r="KT554" s="473">
        <f t="shared" si="1810"/>
        <v>389.37465324503302</v>
      </c>
      <c r="KU554" s="663">
        <f t="shared" si="1685"/>
        <v>7.4232010695714123</v>
      </c>
      <c r="KV554" s="117"/>
    </row>
    <row r="555" spans="1:308" s="26" customFormat="1" ht="15" outlineLevel="1">
      <c r="A555" s="561">
        <f t="shared" si="1770"/>
        <v>5055</v>
      </c>
      <c r="B555" s="561">
        <f t="shared" si="1771"/>
        <v>55</v>
      </c>
      <c r="C555" s="561">
        <f t="shared" si="1772"/>
        <v>5</v>
      </c>
      <c r="D555" s="561" t="str">
        <f t="shared" si="1812"/>
        <v xml:space="preserve">500 CC, 500 Combo, 360 Lease, </v>
      </c>
      <c r="E555" s="475">
        <f>INDEX(Input!$1:$1048576,E$93,$C555*2+MIN($B555,2)+5)
+INDEX(Scenarios!E$121:E$200,MATCH($B555,Scenarios!$B$121:$B$200,0))</f>
        <v>1750</v>
      </c>
      <c r="F555" s="475">
        <f>INDEX(Input!$1:$1048576,F$93,$C555*2+MIN($B555,2)+5)
+INDEX(Scenarios!F$121:F$200,MATCH($B555,Scenarios!$B$121:$B$200,0))</f>
        <v>0</v>
      </c>
      <c r="G555" s="475">
        <f>INDEX(Input!$1:$1048576,G$93,$C555*2+MIN($B555,2)+5)
+INDEX(Scenarios!G$121:G$200,MATCH($B555,Scenarios!$B$121:$B$200,0))</f>
        <v>0</v>
      </c>
      <c r="H555" s="475">
        <f>INDEX(Input!$1:$1048576,H$93,$C555*2+MIN($B555,2)+5)
+INDEX(Scenarios!H$121:H$200,MATCH($B555,Scenarios!$B$121:$B$200,0))</f>
        <v>0</v>
      </c>
      <c r="I555" s="476">
        <f>INDEX(Input!$1:$1048576,I$93,$C555*2+MIN($B555,2)+5)</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+INDEX(Scenarios!Q$121:Q$200,MATCH($B555,Scenarios!$B$121:$B$200,0))</f>
        <v>500</v>
      </c>
      <c r="R555" s="478">
        <f>IFERROR(MAX(0,INDEX(Input!$1:$1048576,R$93,$C555*2+MIN($B555,2)+5)
+INDEX(Scenarios!R$121:R$200,MATCH($B555,Scenarios!$B$121:$B$200,0)),),"Market")</f>
        <v>0</v>
      </c>
      <c r="S555" s="478">
        <f>IFERROR(MAX(0,INDEX(Input!$1:$1048576,S$93,$C555*2+MIN($B555,2)+5)
+INDEX(Scenarios!S$121:S$200,MATCH($B555,Scenarios!$B$121:$B$200,0)),),"Market")</f>
        <v>0</v>
      </c>
      <c r="T555" s="478">
        <f>IFERROR(MAX(0,INDEX(Input!$1:$1048576,T$93,$C555*2+MIN($B555,2)+5)
+INDEX(Scenarios!T$121:T$200,MATCH($B555,Scenarios!$B$121:$B$200,0)),),"Market")</f>
        <v>0</v>
      </c>
      <c r="U555" s="478">
        <f>IFERROR(MAX(0,INDEX(Input!$1:$1048576,U$93,$C555*2+MIN($B555,2)+5)
+INDEX(Scenarios!U$121:U$200,MATCH($B555,Scenarios!$B$121:$B$200,0)),),"Market")</f>
        <v>0</v>
      </c>
      <c r="V555" s="478">
        <f>IFERROR(MAX(0,INDEX(Input!$1:$1048576,V$93,$C555*2+MIN($B555,2)+5)
+INDEX(Scenarios!V$121:V$200,MATCH($B555,Scenarios!$B$121:$B$200,0)),),"Market")</f>
        <v>1.9E-2</v>
      </c>
      <c r="W555" s="863">
        <f>IFERROR(MAX(0,INDEX(Input!$1:$1048576,W$93,$C555*2+MIN($B555,2)+5)-0%,),"Market")</f>
        <v>3.9E-2</v>
      </c>
      <c r="X555" s="476" t="str">
        <f>INDEX(Input!$1:$1048576,X$93,$C555*2+MIN($B555,2)+5)</f>
        <v>Y</v>
      </c>
      <c r="Y555" s="475">
        <f>INDEX(Input!$1:$1048576,Y$93,$C555*2+MIN($B555,2)+5)
++INDEX(Scenarios!Y$121:Y$200,MATCH($B555,Scenarios!$B$121:$B$200,0))</f>
        <v>-738.3618966787526</v>
      </c>
      <c r="Z555" s="477">
        <f>INDEX(Input!$1:$1048576,Z$93,$C555*2+MIN($B555,2)+5)
+INDEX(Scenarios!Z$121:Z$200,MATCH($B555,Scenarios!$B$121:$B$200,0))</f>
        <v>0</v>
      </c>
      <c r="AA555" s="475">
        <f>INDEX(Input!$1:$1048576,AA$93,$C555*2+MIN($B555,2)+5)</f>
        <v>500</v>
      </c>
      <c r="AB555" s="476">
        <f>INDEX(Input!$1:$1048576,AB$93,$C555*2+MIN($B555,2)+5)</f>
        <v>0.43</v>
      </c>
      <c r="AC555" s="475">
        <f>INDEX(Input!$1:$1048576,AC$93,$C555*2+MIN($B555,2)+5)
+INDEX(Scenarios!AC$121:AC$200,MATCH($B555,Scenarios!$B$121:$B$200,0))</f>
        <v>0</v>
      </c>
      <c r="AD555" s="476">
        <f>INDEX(Input!$1:$1048576,AD$93,$C555*2+MIN($B555,2)+5)</f>
        <v>0.35</v>
      </c>
      <c r="AE555" s="475">
        <f>INDEX(Input!$1:$1048576,AE$93,$C555*2+MIN($B555,2)+5)
+INDEX(Scenarios!AE$121:AE$200,MATCH($B555,Scenarios!$B$121:$B$200,0))</f>
        <v>0</v>
      </c>
      <c r="AF555" s="476">
        <f>INDEX(Input!$1:$1048576,AF$93,$C555*2+MIN($B555,2)+5)</f>
        <v>1</v>
      </c>
      <c r="AG555" s="475">
        <f>INDEX(Input!$1:$1048576,AG$93,$C555*2+MIN($B555,2)+5)
+INDEX(Scenarios!AG$121:AG$200,MATCH($B555,Scenarios!$B$121:$B$200,0))</f>
        <v>0</v>
      </c>
      <c r="AH555" s="476">
        <f>INDEX(Input!$1:$1048576,AH$93,$C555*2+MIN($B555,2)+5)</f>
        <v>1</v>
      </c>
      <c r="AI555" s="475">
        <f>INDEX(Input!$1:$1048576,AI$93,$C555*2+MIN($B555,2)+5)
+INDEX(Scenarios!AI$121:AI$200,MATCH($B555,Scenarios!$B$121:$B$200,0))</f>
        <v>0</v>
      </c>
      <c r="AJ555" s="476">
        <f>INDEX(Input!$1:$1048576,AJ$93,$C555*2+MIN($B555,2)+5)</f>
        <v>0.35</v>
      </c>
      <c r="AK555" s="150">
        <f>ROUND(INDEX(Input!$1:$1048576,AK$93,$C554*2+MIN($B555,1)+5)+(Y555-VLOOKUP($C555*1000+1,$A:$HH,Y$92,FALSE)),0)</f>
        <v>4952</v>
      </c>
      <c r="AL555" s="150">
        <f>ROUND(INDEX(Input!$1:$1048576,AL$93,$C554*2+MIN($B555,1)+5)-(Y555-VLOOKUP($C555*1000+1,$A:$HH,Y$92,FALSE))/36,0)</f>
        <v>4733</v>
      </c>
      <c r="AM555" s="32" t="str">
        <f t="shared" si="1773"/>
        <v>std/std/std/std</v>
      </c>
      <c r="AN555" s="32" t="str">
        <f t="shared" si="1774"/>
        <v>$500 + 0/0/0/1.9/3.9</v>
      </c>
      <c r="AO555" s="32" t="str">
        <f t="shared" si="1775"/>
        <v>0/0/0/1.9/3.9</v>
      </c>
      <c r="AP555" s="32" t="str">
        <f t="shared" si="1755"/>
        <v>0/0.9/1.9/3.9</v>
      </c>
      <c r="AQ555" s="536">
        <f t="shared" si="1754"/>
        <v>0.46475320072504506</v>
      </c>
      <c r="AR555" s="32"/>
      <c r="AS555" s="302"/>
      <c r="AT555" s="3">
        <f t="shared" si="1776"/>
        <v>55</v>
      </c>
      <c r="AU555" s="41" t="s">
        <v>121</v>
      </c>
      <c r="AV555" s="41" t="s">
        <v>116</v>
      </c>
      <c r="AW555" s="41" t="str">
        <f>INDEX(Input!$1:$1048576,AW$93,$C555*2+6)</f>
        <v>Kia</v>
      </c>
      <c r="AX555" s="41" t="str">
        <f>INDEX(Input!$1:$1048576,AX$93,$C555*2+6)</f>
        <v>Kia-LR - R2</v>
      </c>
      <c r="AY555" s="41" t="str">
        <f>IF(LEN(D555)=0,"",INDEX(Input!$1:$1048576,AY$93,$C555*2+6))</f>
        <v>Compact Conventional/Sporty Car (43)</v>
      </c>
      <c r="AZ555" s="41" t="str">
        <f>INDEX(Input!$1:$1048576,AZ$93,$C555*2+6)</f>
        <v>Kia Forte</v>
      </c>
      <c r="BA555" s="3">
        <f>INDEX(Input!$1:$1048576,BA$93,$C555*2+6)</f>
        <v>2020</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19695</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756"/>
        <v>1750</v>
      </c>
      <c r="CJ555" s="16" t="str">
        <f>INDEX(Input!$1:$1048576,CJ$93,$C555*2+6)</f>
        <v>N</v>
      </c>
      <c r="CK555" s="1" t="str">
        <f t="shared" si="1757"/>
        <v>Market</v>
      </c>
      <c r="CL555" s="1" t="str">
        <f t="shared" si="1758"/>
        <v>Market</v>
      </c>
      <c r="CM555" s="1" t="str">
        <f t="shared" si="1759"/>
        <v>Market</v>
      </c>
      <c r="CN555" s="1" t="str">
        <f t="shared" si="1760"/>
        <v>Market</v>
      </c>
      <c r="CO555" s="1" t="str">
        <f t="shared" si="1761"/>
        <v>Market</v>
      </c>
      <c r="CP555" s="304">
        <f t="shared" si="1762"/>
        <v>715</v>
      </c>
      <c r="CQ555" s="1">
        <f t="shared" si="1763"/>
        <v>0</v>
      </c>
      <c r="CR555" s="1">
        <f t="shared" si="1764"/>
        <v>0</v>
      </c>
      <c r="CS555" s="1">
        <f t="shared" si="1765"/>
        <v>0</v>
      </c>
      <c r="CT555" s="1">
        <f t="shared" si="1766"/>
        <v>1.9E-2</v>
      </c>
      <c r="CU555" s="1">
        <f t="shared" si="1767"/>
        <v>3.9E-2</v>
      </c>
      <c r="CV555" s="304">
        <f t="shared" si="1768"/>
        <v>-738.3618966787526</v>
      </c>
      <c r="CW555" s="20" t="s">
        <v>122</v>
      </c>
      <c r="CX555" s="20" t="s">
        <v>122</v>
      </c>
      <c r="CY555" s="20" t="s">
        <v>122</v>
      </c>
      <c r="CZ555" s="20" t="s">
        <v>122</v>
      </c>
      <c r="DA555" s="20" t="s">
        <v>122</v>
      </c>
      <c r="DB555" s="503">
        <f t="shared" si="1769"/>
        <v>0</v>
      </c>
      <c r="DC555" s="127">
        <v>0</v>
      </c>
      <c r="DD555" s="127">
        <v>0</v>
      </c>
      <c r="DE555" s="127">
        <v>0</v>
      </c>
      <c r="DF555" s="127">
        <v>0</v>
      </c>
      <c r="DG555" s="127">
        <v>0</v>
      </c>
      <c r="DH555" s="127">
        <v>0</v>
      </c>
      <c r="DI555" s="127">
        <v>0</v>
      </c>
      <c r="DJ555" s="127">
        <v>0</v>
      </c>
      <c r="DK555" s="127">
        <v>0</v>
      </c>
      <c r="DL555" s="127">
        <v>0</v>
      </c>
      <c r="DM555" s="304">
        <f>INDEX(Input!$1:$1048576,DM$93,$C555*2+6)</f>
        <v>20731.578947368424</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4.4424939809694822E-2</v>
      </c>
      <c r="DZ555" s="7">
        <v>0</v>
      </c>
      <c r="EA555" s="7">
        <v>0.7796792404826981</v>
      </c>
      <c r="EB555" s="7">
        <v>0</v>
      </c>
      <c r="EC555" s="7">
        <v>0</v>
      </c>
      <c r="ED555" s="7">
        <v>0</v>
      </c>
      <c r="EE555" s="7">
        <v>0</v>
      </c>
      <c r="EF555" s="7">
        <v>0</v>
      </c>
      <c r="EG555" s="7">
        <v>0</v>
      </c>
      <c r="EH555" s="7">
        <v>1.4450117298337783E-2</v>
      </c>
      <c r="EI555" s="7">
        <v>1.8188683375551785E-2</v>
      </c>
      <c r="EJ555" s="7">
        <v>0.26776131229805089</v>
      </c>
      <c r="EK555" s="7">
        <v>0.653228289540428</v>
      </c>
      <c r="EL555" s="7">
        <v>4.6371597487631526E-2</v>
      </c>
      <c r="EM555" s="7">
        <v>6.9125015792094652E-2</v>
      </c>
      <c r="EN555" s="7">
        <v>4.7840396308989508E-2</v>
      </c>
      <c r="EO555" s="7">
        <v>0.58178208366402517</v>
      </c>
      <c r="EP555" s="7">
        <v>0.25248170506868134</v>
      </c>
      <c r="EQ555" s="7">
        <v>7.1498051555744679E-2</v>
      </c>
      <c r="ER555" s="7">
        <v>4.6397763402559689E-2</v>
      </c>
      <c r="ES555" s="7">
        <v>0.10677080391551247</v>
      </c>
      <c r="ET555" s="7">
        <v>0.1758958197076072</v>
      </c>
      <c r="EU555" s="6">
        <v>2100</v>
      </c>
      <c r="EV555" s="6">
        <v>0</v>
      </c>
      <c r="EW555" s="6">
        <v>2100</v>
      </c>
      <c r="EX555" s="6">
        <v>0</v>
      </c>
      <c r="EY555" s="6">
        <v>3131.6245970578348</v>
      </c>
      <c r="EZ555" s="6">
        <v>-1363.0908300335955</v>
      </c>
      <c r="FA555" s="6">
        <v>0</v>
      </c>
      <c r="FB555" s="6">
        <v>0</v>
      </c>
      <c r="FC555" s="6">
        <v>0</v>
      </c>
      <c r="FD555" s="6">
        <v>0</v>
      </c>
      <c r="FE555" s="6">
        <v>0</v>
      </c>
      <c r="FF555" s="6">
        <v>0</v>
      </c>
      <c r="FG555" s="6">
        <v>0</v>
      </c>
      <c r="FH555" s="6">
        <v>1153.9896264021015</v>
      </c>
      <c r="FI555" s="6">
        <v>1531.4299904380612</v>
      </c>
      <c r="FJ555" s="6">
        <v>2070.720584253821</v>
      </c>
      <c r="FK555" s="6">
        <v>1746.9903521590441</v>
      </c>
      <c r="FL555" s="6">
        <v>893.91433563489409</v>
      </c>
      <c r="FM555" s="6">
        <v>1781.6245970578345</v>
      </c>
      <c r="FN555" s="6">
        <v>0</v>
      </c>
      <c r="FO555" s="6">
        <v>0</v>
      </c>
      <c r="FP555" s="6">
        <v>0</v>
      </c>
      <c r="FQ555" s="6">
        <v>0</v>
      </c>
      <c r="FR555" s="6">
        <v>0</v>
      </c>
      <c r="FS555" s="6">
        <v>0</v>
      </c>
      <c r="FT555" s="7">
        <v>0.82410418029239296</v>
      </c>
      <c r="FU555" s="7">
        <v>6.9125015792094652E-2</v>
      </c>
      <c r="FV555" s="7">
        <v>0.10677080391551247</v>
      </c>
      <c r="FW555" s="6">
        <v>2100</v>
      </c>
      <c r="FX555" s="6">
        <v>3131.6245970578348</v>
      </c>
      <c r="FY555" s="6">
        <v>-1363.0908300335955</v>
      </c>
      <c r="FZ555" s="6">
        <v>2411.9063952864503</v>
      </c>
      <c r="GA555" s="6">
        <v>1801.5540746080101</v>
      </c>
      <c r="GB555" s="6">
        <v>17893.445925391989</v>
      </c>
      <c r="GC555" s="7">
        <v>7.6138913542514425E-2</v>
      </c>
      <c r="GD555" s="7">
        <v>6.9963550294725618E-2</v>
      </c>
      <c r="GE555" s="7"/>
      <c r="GF555" s="7"/>
      <c r="GG555" s="7">
        <v>-8.1106532264091327E-2</v>
      </c>
      <c r="GH555" s="42">
        <v>2.6171656907369303</v>
      </c>
      <c r="GI555" s="6">
        <v>9326.8705151022186</v>
      </c>
      <c r="GJ555" s="14">
        <v>0.51074630601039572</v>
      </c>
      <c r="GK555" s="14">
        <v>0.50829519786160982</v>
      </c>
      <c r="GL555" s="14">
        <v>0.48925369398960455</v>
      </c>
      <c r="GM555" s="14">
        <v>0.49170480213839046</v>
      </c>
      <c r="GO555" s="5">
        <v>338.16872463277008</v>
      </c>
      <c r="GP555" s="5">
        <v>298.1047308538179</v>
      </c>
      <c r="GQ555" s="5">
        <v>527.27910984145694</v>
      </c>
      <c r="GR555" s="5">
        <v>404.20319246551543</v>
      </c>
      <c r="GS555" s="5">
        <v>334.50205195691484</v>
      </c>
      <c r="GT555" s="5">
        <v>289.18266033348181</v>
      </c>
      <c r="GU555" s="5">
        <v>254.29573314828914</v>
      </c>
      <c r="GV555" s="39" t="s">
        <v>392</v>
      </c>
      <c r="GW555" s="5">
        <v>454.875</v>
      </c>
      <c r="GX555" s="5">
        <v>341.15625</v>
      </c>
      <c r="GY555" s="5">
        <v>272.92500000000001</v>
      </c>
      <c r="GZ555" s="5">
        <v>240.82751152063875</v>
      </c>
      <c r="HA555" s="5">
        <v>223.08053899211657</v>
      </c>
      <c r="HB555" s="39">
        <v>253.51688066423841</v>
      </c>
      <c r="HC555" s="5">
        <v>342.75084881396981</v>
      </c>
      <c r="HD555" s="5">
        <v>277.02900980034525</v>
      </c>
      <c r="HE555" s="5">
        <v>275.25710238124515</v>
      </c>
      <c r="HF555" s="5">
        <v>249.22464978663214</v>
      </c>
      <c r="HG555" s="5">
        <v>233.7008417861702</v>
      </c>
      <c r="HH555" s="39">
        <v>275.72750676459151</v>
      </c>
      <c r="HI555" s="16"/>
      <c r="HJ555" s="19" t="str">
        <f t="shared" ref="HJ555" si="1815">HJ554</f>
        <v>On</v>
      </c>
      <c r="HK555" s="1" t="str">
        <f t="shared" si="1778"/>
        <v>On</v>
      </c>
      <c r="HL555" s="16"/>
      <c r="HM555" s="639">
        <f t="shared" si="1636"/>
        <v>5.1181272167489952E-2</v>
      </c>
      <c r="HN555" s="639">
        <f t="shared" si="1637"/>
        <v>4.2792051795134348E-3</v>
      </c>
      <c r="HO555" s="639">
        <f t="shared" si="1638"/>
        <v>7.4145241462331068E-3</v>
      </c>
      <c r="HP555" s="644">
        <f>(FT555*$GD555-HM555)/$JF555*INDEX(Input!$1:$1048576,$JG$93,$C555*2+6)</f>
        <v>76.424311776705991</v>
      </c>
      <c r="HQ555" s="644">
        <f>(FU555*$GD555-HN555)/$JF555*INDEX(Input!$1:$1048576,$JG$93,$C555*2+6)</f>
        <v>6.573575094689712</v>
      </c>
      <c r="HR555" s="644">
        <f>(FV555*$GD555-HO555)/$JF555*INDEX(Input!$1:$1048576,$JG$93,$C555*2+6)</f>
        <v>0.65544252487835353</v>
      </c>
      <c r="HS555" s="644">
        <f t="shared" si="1779"/>
        <v>-16.867349546389004</v>
      </c>
      <c r="HT555" s="644">
        <f t="shared" si="1640"/>
        <v>47.207513945958404</v>
      </c>
      <c r="HU555" s="644">
        <f t="shared" si="1641"/>
        <v>14.48348538188354</v>
      </c>
      <c r="HV555" s="648">
        <f t="shared" si="1642"/>
        <v>0</v>
      </c>
      <c r="HW555" s="648">
        <f t="shared" si="1643"/>
        <v>0</v>
      </c>
      <c r="HX555" s="648">
        <f t="shared" si="1644"/>
        <v>0</v>
      </c>
      <c r="HY555" s="644">
        <f>INDEX(Input!$1:$1048576,HY$93,$C555*2+6)*INDEX(Input!$1:$1048576,$JG$93,$C555*2+6)</f>
        <v>345</v>
      </c>
      <c r="HZ555" s="644">
        <f>INDEX(Input!$1:$1048576,HZ$93,$C555*2+6)*INDEX(Input!$1:$1048576,$JG$93,$C555*2+6)</f>
        <v>299</v>
      </c>
      <c r="IA555" s="644">
        <f>INDEX(Input!$1:$1048576,IA$93,$C555*2+6)*INDEX(Input!$1:$1048576,$JG$93,$C555*2+6)</f>
        <v>98</v>
      </c>
      <c r="IB555" s="644">
        <f t="shared" si="1780"/>
        <v>404.55696223031703</v>
      </c>
      <c r="IC555" s="644">
        <f t="shared" si="1781"/>
        <v>352.78108904064811</v>
      </c>
      <c r="ID555" s="644">
        <f>IF(AND(INDEX(Input!$1:$1048576,IA$93,$C555*2+7)="TOS",Y555&lt;=INDEX(Y:Y,MATCH(C555*1000+2,A:A))),0,1)*MAX(IA555+HR555+HU555+HX555,0%)</f>
        <v>113.13892790676189</v>
      </c>
      <c r="IE555" s="128">
        <f t="shared" si="1782"/>
        <v>0.46475320072504506</v>
      </c>
      <c r="IF555" s="128">
        <f t="shared" si="1783"/>
        <v>0.40527331276915951</v>
      </c>
      <c r="IG555" s="128">
        <f t="shared" si="1784"/>
        <v>0.12997348650579546</v>
      </c>
      <c r="IH555" s="21"/>
      <c r="II555" s="19">
        <f t="shared" si="1647"/>
        <v>1200</v>
      </c>
      <c r="IJ555" s="19">
        <f t="shared" si="1648"/>
        <v>2231.5440334087361</v>
      </c>
      <c r="IK555" s="19">
        <f t="shared" si="1649"/>
        <v>-2048.0908300335955</v>
      </c>
      <c r="IL555" s="19">
        <f t="shared" si="1785"/>
        <v>900</v>
      </c>
      <c r="IM555" s="19">
        <f t="shared" si="1786"/>
        <v>900.08056364909862</v>
      </c>
      <c r="IN555" s="19">
        <f t="shared" si="1787"/>
        <v>685</v>
      </c>
      <c r="IO555" s="39">
        <f t="shared" si="1652"/>
        <v>0</v>
      </c>
      <c r="IP555" s="39">
        <f t="shared" si="1653"/>
        <v>0</v>
      </c>
      <c r="IQ555" s="39">
        <f t="shared" si="1654"/>
        <v>0</v>
      </c>
      <c r="IR555" s="39">
        <v>0</v>
      </c>
      <c r="IS555" s="39">
        <v>0</v>
      </c>
      <c r="IT555" s="39">
        <v>0</v>
      </c>
      <c r="IU555" s="39">
        <v>0</v>
      </c>
      <c r="IV555" s="39">
        <v>0</v>
      </c>
      <c r="IW555" s="39">
        <v>0</v>
      </c>
      <c r="IX555" s="39">
        <f>INDEX(Input!$1:$1048576,IX$93,$C555*2+6)+INDEX(Input!$1:$1048576,IX$94,$C555*2+6)</f>
        <v>1600</v>
      </c>
      <c r="IY555" s="39">
        <f>INDEX(Input!$1:$1048576,IY$93,$C555*2+6)+INDEX(Input!$1:$1048576,IY$94,$C555*2+6)</f>
        <v>2503.5492916397525</v>
      </c>
      <c r="IZ555" s="39">
        <f>INDEX(Input!$1:$1048576,IZ$93,$C555*2+6)+INDEX(Input!$1:$1048576,IZ$94,$C555*2+6)</f>
        <v>5413.7109265464023</v>
      </c>
      <c r="JA555" s="19">
        <f t="shared" si="1788"/>
        <v>2500</v>
      </c>
      <c r="JB555" s="19">
        <f t="shared" si="1789"/>
        <v>3403.6298552888511</v>
      </c>
      <c r="JC555" s="19">
        <f t="shared" si="1790"/>
        <v>6098.7109265464023</v>
      </c>
      <c r="JD555" s="19">
        <f t="shared" si="1791"/>
        <v>3333.9540710197666</v>
      </c>
      <c r="JE555" s="21"/>
      <c r="JF555" s="1">
        <f t="shared" si="1655"/>
        <v>6.2875001493236493E-2</v>
      </c>
      <c r="JG555" s="15">
        <f>INDEX(Input!$1:$1048576,JG$93,$C555*2+6)/(1+VLOOKUP(C555*1000+INDEX(Input!$1:$1048576,JG$93+1,$C555*2+6),$A:$KK,$JK$92,FALSE))</f>
        <v>742</v>
      </c>
      <c r="JH555" s="1">
        <f t="shared" si="1792"/>
        <v>0.11274033611357689</v>
      </c>
      <c r="JI555" s="1">
        <f t="shared" si="1793"/>
        <v>6.0409231511392103E-2</v>
      </c>
      <c r="JJ555" s="1">
        <f t="shared" si="1794"/>
        <v>0</v>
      </c>
      <c r="JK555" s="1">
        <f t="shared" si="1795"/>
        <v>0.173149567624969</v>
      </c>
      <c r="JL555" s="15">
        <f t="shared" si="1796"/>
        <v>128.476979177727</v>
      </c>
      <c r="JM555" s="15">
        <f t="shared" si="1797"/>
        <v>870.476979177727</v>
      </c>
      <c r="JN555" s="21"/>
      <c r="JO555" s="19">
        <f>INDEX(Input!$1:$1048576,JO$93,$C555*2+6)</f>
        <v>5908.5</v>
      </c>
      <c r="JP555" s="19">
        <f>INDEX(Input!$1:$1048576,JP$93,$C555*2+6)</f>
        <v>2467.7963733178344</v>
      </c>
      <c r="JQ555" s="39">
        <f t="shared" si="1798"/>
        <v>2574.5459289802334</v>
      </c>
      <c r="JR555" s="39">
        <f t="shared" si="1799"/>
        <v>866.15769770193219</v>
      </c>
      <c r="JS555" s="39">
        <f t="shared" si="1800"/>
        <v>2.9021302684585719</v>
      </c>
      <c r="JT555" s="39">
        <f t="shared" si="1801"/>
        <v>1.0710253594567387</v>
      </c>
      <c r="JU555" s="385">
        <f>(JQ555*JM555-INDEX(Input!$1:$1048576,Input!A$18,$C555*2+6)*JL555*INDEX(Input!$1:$1048576,Input!A$19,$C555*2+6))/1000000</f>
        <v>2.2410829630130285</v>
      </c>
      <c r="JV555" s="39">
        <f t="shared" si="1802"/>
        <v>-0.3119191279851381</v>
      </c>
      <c r="JW555" s="1">
        <f t="shared" si="1803"/>
        <v>-0.12217738837150138</v>
      </c>
      <c r="JX555" s="19">
        <f t="shared" si="1804"/>
        <v>8336.3211550541637</v>
      </c>
      <c r="JZ555" s="341"/>
      <c r="KA555" s="342"/>
      <c r="KB555" s="469">
        <f t="shared" si="1805"/>
        <v>2.4623520912331753</v>
      </c>
      <c r="KI555" s="473">
        <f t="shared" si="1806"/>
        <v>59.556962230317026</v>
      </c>
      <c r="KJ555" s="473">
        <f t="shared" si="1807"/>
        <v>53.781089040648112</v>
      </c>
      <c r="KK555" s="473">
        <f t="shared" si="1808"/>
        <v>15.138927906761893</v>
      </c>
      <c r="KN555" s="544">
        <f t="shared" si="1809"/>
        <v>5002</v>
      </c>
      <c r="KO555" s="541">
        <f t="shared" si="1659"/>
        <v>9.0071462504113242E-2</v>
      </c>
      <c r="KP555" s="546">
        <f t="shared" si="1660"/>
        <v>481.82209473855033</v>
      </c>
      <c r="KQ555" s="546">
        <f t="shared" si="1661"/>
        <v>475.1816248680575</v>
      </c>
      <c r="KR555" s="548">
        <f t="shared" si="1662"/>
        <v>3.1473518034701971</v>
      </c>
      <c r="KS555" s="548">
        <f t="shared" si="1663"/>
        <v>3.1913347643613896</v>
      </c>
      <c r="KT555" s="473">
        <f t="shared" si="1810"/>
        <v>389.37465324503302</v>
      </c>
      <c r="KU555" s="663">
        <f t="shared" si="1685"/>
        <v>7.2991018594908912</v>
      </c>
      <c r="KV555" s="117"/>
    </row>
    <row r="556" spans="1:308" s="26" customFormat="1" ht="15" outlineLevel="1">
      <c r="A556" s="561">
        <f t="shared" si="1770"/>
        <v>5056</v>
      </c>
      <c r="B556" s="561">
        <f t="shared" si="1771"/>
        <v>56</v>
      </c>
      <c r="C556" s="561">
        <f t="shared" si="1772"/>
        <v>5</v>
      </c>
      <c r="D556" s="561" t="str">
        <f t="shared" si="1812"/>
        <v xml:space="preserve">1000 CC, 1000 Combo, 720 Lease, </v>
      </c>
      <c r="E556" s="475">
        <f>INDEX(Input!$1:$1048576,E$93,$C556*2+MIN($B556,2)+5)
+INDEX(Scenarios!E$121:E$200,MATCH($B556,Scenarios!$B$121:$B$200,0))</f>
        <v>2250</v>
      </c>
      <c r="F556" s="475">
        <f>INDEX(Input!$1:$1048576,F$93,$C556*2+MIN($B556,2)+5)
+INDEX(Scenarios!F$121:F$200,MATCH($B556,Scenarios!$B$121:$B$200,0))</f>
        <v>0</v>
      </c>
      <c r="G556" s="475">
        <f>INDEX(Input!$1:$1048576,G$93,$C556*2+MIN($B556,2)+5)
+INDEX(Scenarios!G$121:G$200,MATCH($B556,Scenarios!$B$121:$B$200,0))</f>
        <v>0</v>
      </c>
      <c r="H556" s="475">
        <f>INDEX(Input!$1:$1048576,H$93,$C556*2+MIN($B556,2)+5)
+INDEX(Scenarios!H$121:H$200,MATCH($B556,Scenarios!$B$121:$B$200,0))</f>
        <v>0</v>
      </c>
      <c r="I556" s="476">
        <f>INDEX(Input!$1:$1048576,I$93,$C556*2+MIN($B556,2)+5)</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+INDEX(Scenarios!Q$121:Q$200,MATCH($B556,Scenarios!$B$121:$B$200,0))</f>
        <v>1000</v>
      </c>
      <c r="R556" s="478">
        <f>IFERROR(MAX(0,INDEX(Input!$1:$1048576,R$93,$C556*2+MIN($B556,2)+5)
+INDEX(Scenarios!R$121:R$200,MATCH($B556,Scenarios!$B$121:$B$200,0)),),"Market")</f>
        <v>0</v>
      </c>
      <c r="S556" s="478">
        <f>IFERROR(MAX(0,INDEX(Input!$1:$1048576,S$93,$C556*2+MIN($B556,2)+5)
+INDEX(Scenarios!S$121:S$200,MATCH($B556,Scenarios!$B$121:$B$200,0)),),"Market")</f>
        <v>0</v>
      </c>
      <c r="T556" s="478">
        <f>IFERROR(MAX(0,INDEX(Input!$1:$1048576,T$93,$C556*2+MIN($B556,2)+5)
+INDEX(Scenarios!T$121:T$200,MATCH($B556,Scenarios!$B$121:$B$200,0)),),"Market")</f>
        <v>0</v>
      </c>
      <c r="U556" s="478">
        <f>IFERROR(MAX(0,INDEX(Input!$1:$1048576,U$93,$C556*2+MIN($B556,2)+5)
+INDEX(Scenarios!U$121:U$200,MATCH($B556,Scenarios!$B$121:$B$200,0)),),"Market")</f>
        <v>0</v>
      </c>
      <c r="V556" s="478">
        <f>IFERROR(MAX(0,INDEX(Input!$1:$1048576,V$93,$C556*2+MIN($B556,2)+5)
+INDEX(Scenarios!V$121:V$200,MATCH($B556,Scenarios!$B$121:$B$200,0)),),"Market")</f>
        <v>1.9E-2</v>
      </c>
      <c r="W556" s="863">
        <f>IFERROR(MAX(0,INDEX(Input!$1:$1048576,W$93,$C556*2+MIN($B556,2)+5)-0%,),"Market")</f>
        <v>3.9E-2</v>
      </c>
      <c r="X556" s="476" t="str">
        <f>INDEX(Input!$1:$1048576,X$93,$C556*2+MIN($B556,2)+5)</f>
        <v>Y</v>
      </c>
      <c r="Y556" s="475">
        <f>INDEX(Input!$1:$1048576,Y$93,$C556*2+MIN($B556,2)+5)
++INDEX(Scenarios!Y$121:Y$200,MATCH($B556,Scenarios!$B$121:$B$200,0))</f>
        <v>-378.3618966787526</v>
      </c>
      <c r="Z556" s="477">
        <f>INDEX(Input!$1:$1048576,Z$93,$C556*2+MIN($B556,2)+5)
+INDEX(Scenarios!Z$121:Z$200,MATCH($B556,Scenarios!$B$121:$B$200,0))</f>
        <v>0</v>
      </c>
      <c r="AA556" s="475">
        <f>INDEX(Input!$1:$1048576,AA$93,$C556*2+MIN($B556,2)+5)</f>
        <v>500</v>
      </c>
      <c r="AB556" s="476">
        <f>INDEX(Input!$1:$1048576,AB$93,$C556*2+MIN($B556,2)+5)</f>
        <v>0.43</v>
      </c>
      <c r="AC556" s="475">
        <f>INDEX(Input!$1:$1048576,AC$93,$C556*2+MIN($B556,2)+5)
+INDEX(Scenarios!AC$121:AC$200,MATCH($B556,Scenarios!$B$121:$B$200,0))</f>
        <v>0</v>
      </c>
      <c r="AD556" s="476">
        <f>INDEX(Input!$1:$1048576,AD$93,$C556*2+MIN($B556,2)+5)</f>
        <v>0.35</v>
      </c>
      <c r="AE556" s="475">
        <f>INDEX(Input!$1:$1048576,AE$93,$C556*2+MIN($B556,2)+5)
+INDEX(Scenarios!AE$121:AE$200,MATCH($B556,Scenarios!$B$121:$B$200,0))</f>
        <v>0</v>
      </c>
      <c r="AF556" s="476">
        <f>INDEX(Input!$1:$1048576,AF$93,$C556*2+MIN($B556,2)+5)</f>
        <v>1</v>
      </c>
      <c r="AG556" s="475">
        <f>INDEX(Input!$1:$1048576,AG$93,$C556*2+MIN($B556,2)+5)
+INDEX(Scenarios!AG$121:AG$200,MATCH($B556,Scenarios!$B$121:$B$200,0))</f>
        <v>0</v>
      </c>
      <c r="AH556" s="476">
        <f>INDEX(Input!$1:$1048576,AH$93,$C556*2+MIN($B556,2)+5)</f>
        <v>1</v>
      </c>
      <c r="AI556" s="475">
        <f>INDEX(Input!$1:$1048576,AI$93,$C556*2+MIN($B556,2)+5)
+INDEX(Scenarios!AI$121:AI$200,MATCH($B556,Scenarios!$B$121:$B$200,0))</f>
        <v>0</v>
      </c>
      <c r="AJ556" s="476">
        <f>INDEX(Input!$1:$1048576,AJ$93,$C556*2+MIN($B556,2)+5)</f>
        <v>0.35</v>
      </c>
      <c r="AK556" s="150">
        <f>ROUND(INDEX(Input!$1:$1048576,AK$93,$C555*2+MIN($B556,1)+5)+(Y556-VLOOKUP($C556*1000+1,$A:$HH,Y$92,FALSE)),0)</f>
        <v>5312</v>
      </c>
      <c r="AL556" s="150">
        <f>ROUND(INDEX(Input!$1:$1048576,AL$93,$C555*2+MIN($B556,1)+5)-(Y556-VLOOKUP($C556*1000+1,$A:$HH,Y$92,FALSE))/36,0)</f>
        <v>4723</v>
      </c>
      <c r="AM556" s="32" t="str">
        <f t="shared" si="1773"/>
        <v>std/std/std/std</v>
      </c>
      <c r="AN556" s="32" t="str">
        <f t="shared" si="1774"/>
        <v>$1000 + 0/0/0/1.9/3.9</v>
      </c>
      <c r="AO556" s="32" t="str">
        <f t="shared" si="1775"/>
        <v>0/0/0/1.9/3.9</v>
      </c>
      <c r="AP556" s="32" t="str">
        <f t="shared" si="1755"/>
        <v>0/0.9/1.9/3.9</v>
      </c>
      <c r="AQ556" s="536">
        <f t="shared" si="1754"/>
        <v>0.46684637925327543</v>
      </c>
      <c r="AR556" s="32"/>
      <c r="AS556" s="302"/>
      <c r="AT556" s="3">
        <f t="shared" si="1776"/>
        <v>56</v>
      </c>
      <c r="AU556" s="41" t="s">
        <v>121</v>
      </c>
      <c r="AV556" s="41" t="s">
        <v>116</v>
      </c>
      <c r="AW556" s="41" t="str">
        <f>INDEX(Input!$1:$1048576,AW$93,$C556*2+6)</f>
        <v>Kia</v>
      </c>
      <c r="AX556" s="41" t="str">
        <f>INDEX(Input!$1:$1048576,AX$93,$C556*2+6)</f>
        <v>Kia-LR - R2</v>
      </c>
      <c r="AY556" s="41" t="str">
        <f>IF(LEN(D556)=0,"",INDEX(Input!$1:$1048576,AY$93,$C556*2+6))</f>
        <v>Compact Conventional/Sporty Car (43)</v>
      </c>
      <c r="AZ556" s="41" t="str">
        <f>INDEX(Input!$1:$1048576,AZ$93,$C556*2+6)</f>
        <v>Kia Forte</v>
      </c>
      <c r="BA556" s="3">
        <f>INDEX(Input!$1:$1048576,BA$93,$C556*2+6)</f>
        <v>2020</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19695</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756"/>
        <v>2250</v>
      </c>
      <c r="CJ556" s="16" t="str">
        <f>INDEX(Input!$1:$1048576,CJ$93,$C556*2+6)</f>
        <v>N</v>
      </c>
      <c r="CK556" s="1" t="str">
        <f t="shared" si="1757"/>
        <v>Market</v>
      </c>
      <c r="CL556" s="1" t="str">
        <f t="shared" si="1758"/>
        <v>Market</v>
      </c>
      <c r="CM556" s="1" t="str">
        <f t="shared" si="1759"/>
        <v>Market</v>
      </c>
      <c r="CN556" s="1" t="str">
        <f t="shared" si="1760"/>
        <v>Market</v>
      </c>
      <c r="CO556" s="1" t="str">
        <f t="shared" si="1761"/>
        <v>Market</v>
      </c>
      <c r="CP556" s="304">
        <f t="shared" si="1762"/>
        <v>1215</v>
      </c>
      <c r="CQ556" s="1">
        <f t="shared" si="1763"/>
        <v>0</v>
      </c>
      <c r="CR556" s="1">
        <f t="shared" si="1764"/>
        <v>0</v>
      </c>
      <c r="CS556" s="1">
        <f t="shared" si="1765"/>
        <v>0</v>
      </c>
      <c r="CT556" s="1">
        <f t="shared" si="1766"/>
        <v>1.9E-2</v>
      </c>
      <c r="CU556" s="1">
        <f t="shared" si="1767"/>
        <v>3.9E-2</v>
      </c>
      <c r="CV556" s="304">
        <f t="shared" si="1768"/>
        <v>-378.3618966787526</v>
      </c>
      <c r="CW556" s="20" t="s">
        <v>122</v>
      </c>
      <c r="CX556" s="20" t="s">
        <v>122</v>
      </c>
      <c r="CY556" s="20" t="s">
        <v>122</v>
      </c>
      <c r="CZ556" s="20" t="s">
        <v>122</v>
      </c>
      <c r="DA556" s="20" t="s">
        <v>122</v>
      </c>
      <c r="DB556" s="503">
        <f t="shared" si="1769"/>
        <v>0</v>
      </c>
      <c r="DC556" s="127">
        <v>0</v>
      </c>
      <c r="DD556" s="127">
        <v>0</v>
      </c>
      <c r="DE556" s="127">
        <v>0</v>
      </c>
      <c r="DF556" s="127">
        <v>0</v>
      </c>
      <c r="DG556" s="127">
        <v>0</v>
      </c>
      <c r="DH556" s="127">
        <v>0</v>
      </c>
      <c r="DI556" s="127">
        <v>0</v>
      </c>
      <c r="DJ556" s="127">
        <v>0</v>
      </c>
      <c r="DK556" s="127">
        <v>0</v>
      </c>
      <c r="DL556" s="127">
        <v>0</v>
      </c>
      <c r="DM556" s="304">
        <f>INDEX(Input!$1:$1048576,DM$93,$C556*2+6)</f>
        <v>20731.578947368424</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4.5045009018169532E-2</v>
      </c>
      <c r="DZ556" s="7">
        <v>0</v>
      </c>
      <c r="EA556" s="7">
        <v>0.78442837463517179</v>
      </c>
      <c r="EB556" s="7">
        <v>0</v>
      </c>
      <c r="EC556" s="7">
        <v>0</v>
      </c>
      <c r="ED556" s="7">
        <v>0</v>
      </c>
      <c r="EE556" s="7">
        <v>0</v>
      </c>
      <c r="EF556" s="7">
        <v>0</v>
      </c>
      <c r="EG556" s="7">
        <v>0</v>
      </c>
      <c r="EH556" s="7">
        <v>1.445448832091578E-2</v>
      </c>
      <c r="EI556" s="7">
        <v>1.8188247752119056E-2</v>
      </c>
      <c r="EJ556" s="7">
        <v>0.26789120823410439</v>
      </c>
      <c r="EK556" s="7">
        <v>0.6531003800094447</v>
      </c>
      <c r="EL556" s="7">
        <v>4.636567568341609E-2</v>
      </c>
      <c r="EM556" s="7">
        <v>6.9700188824474957E-2</v>
      </c>
      <c r="EN556" s="7">
        <v>4.8318968589983927E-2</v>
      </c>
      <c r="EO556" s="7">
        <v>0.58096393593510809</v>
      </c>
      <c r="EP556" s="7">
        <v>0.25392539389996405</v>
      </c>
      <c r="EQ556" s="7">
        <v>7.0766935771736691E-2</v>
      </c>
      <c r="ER556" s="7">
        <v>4.6024765803207281E-2</v>
      </c>
      <c r="ES556" s="7">
        <v>0.10082642752218375</v>
      </c>
      <c r="ET556" s="7">
        <v>0.17052661634665869</v>
      </c>
      <c r="EU556" s="6">
        <v>2600</v>
      </c>
      <c r="EV556" s="6">
        <v>0</v>
      </c>
      <c r="EW556" s="6">
        <v>2600</v>
      </c>
      <c r="EX556" s="6">
        <v>0</v>
      </c>
      <c r="EY556" s="6">
        <v>3631.6692302347437</v>
      </c>
      <c r="EZ556" s="6">
        <v>-1003.0908300335955</v>
      </c>
      <c r="FA556" s="6">
        <v>0</v>
      </c>
      <c r="FB556" s="6">
        <v>0</v>
      </c>
      <c r="FC556" s="6">
        <v>0</v>
      </c>
      <c r="FD556" s="6">
        <v>0</v>
      </c>
      <c r="FE556" s="6">
        <v>0</v>
      </c>
      <c r="FF556" s="6">
        <v>0</v>
      </c>
      <c r="FG556" s="6">
        <v>0</v>
      </c>
      <c r="FH556" s="6">
        <v>1153.9915844546606</v>
      </c>
      <c r="FI556" s="6">
        <v>1531.4299904380623</v>
      </c>
      <c r="FJ556" s="6">
        <v>2070.7205842538224</v>
      </c>
      <c r="FK556" s="6">
        <v>1746.9903521590441</v>
      </c>
      <c r="FL556" s="6">
        <v>893.91433563489375</v>
      </c>
      <c r="FM556" s="6">
        <v>1781.6692302347437</v>
      </c>
      <c r="FN556" s="6">
        <v>0</v>
      </c>
      <c r="FO556" s="6">
        <v>0</v>
      </c>
      <c r="FP556" s="6">
        <v>0</v>
      </c>
      <c r="FQ556" s="6">
        <v>0</v>
      </c>
      <c r="FR556" s="6">
        <v>0</v>
      </c>
      <c r="FS556" s="6">
        <v>0</v>
      </c>
      <c r="FT556" s="7">
        <v>0.82947338365334133</v>
      </c>
      <c r="FU556" s="7">
        <v>6.9700188824474957E-2</v>
      </c>
      <c r="FV556" s="7">
        <v>0.10082642752218375</v>
      </c>
      <c r="FW556" s="6">
        <v>2600</v>
      </c>
      <c r="FX556" s="6">
        <v>3631.6692302347437</v>
      </c>
      <c r="FY556" s="6">
        <v>-1003.0908300335955</v>
      </c>
      <c r="FZ556" s="6">
        <v>2411.9063952864503</v>
      </c>
      <c r="GA556" s="6">
        <v>2308.6207637215352</v>
      </c>
      <c r="GB556" s="6">
        <v>17386.379236278466</v>
      </c>
      <c r="GC556" s="7">
        <v>7.6138913542514425E-2</v>
      </c>
      <c r="GD556" s="7">
        <v>7.4219540408463153E-2</v>
      </c>
      <c r="GE556" s="7"/>
      <c r="GF556" s="7"/>
      <c r="GG556" s="7">
        <v>-2.5208832707857502E-2</v>
      </c>
      <c r="GH556" s="42">
        <v>4.8069412236610134</v>
      </c>
      <c r="GI556" s="6">
        <v>6405.8208507656791</v>
      </c>
      <c r="GJ556" s="14">
        <v>0.51074630601039517</v>
      </c>
      <c r="GK556" s="14">
        <v>0.5082951978616097</v>
      </c>
      <c r="GL556" s="14">
        <v>0.48925369398960433</v>
      </c>
      <c r="GM556" s="14">
        <v>0.49170480213839013</v>
      </c>
      <c r="GO556" s="5">
        <v>338.16872463277008</v>
      </c>
      <c r="GP556" s="5">
        <v>288.56568471597211</v>
      </c>
      <c r="GQ556" s="5">
        <v>527.27910984145694</v>
      </c>
      <c r="GR556" s="5">
        <v>404.20319246551543</v>
      </c>
      <c r="GS556" s="5">
        <v>334.50205195691484</v>
      </c>
      <c r="GT556" s="5">
        <v>289.18266033348181</v>
      </c>
      <c r="GU556" s="5">
        <v>254.29573314828914</v>
      </c>
      <c r="GV556" s="39" t="s">
        <v>392</v>
      </c>
      <c r="GW556" s="5">
        <v>440.98611111111109</v>
      </c>
      <c r="GX556" s="5">
        <v>330.73958333333331</v>
      </c>
      <c r="GY556" s="5">
        <v>264.59166666666664</v>
      </c>
      <c r="GZ556" s="5">
        <v>233.47422424633754</v>
      </c>
      <c r="HA556" s="5">
        <v>216.26912746293831</v>
      </c>
      <c r="HB556" s="39">
        <v>245.78115214982498</v>
      </c>
      <c r="HC556" s="5">
        <v>327.00084881396981</v>
      </c>
      <c r="HD556" s="5">
        <v>266.27900980034525</v>
      </c>
      <c r="HE556" s="5">
        <v>265.27633315047592</v>
      </c>
      <c r="HF556" s="5">
        <v>240.89964978663215</v>
      </c>
      <c r="HG556" s="5">
        <v>226.80084178617022</v>
      </c>
      <c r="HH556" s="39">
        <v>265.34542839188799</v>
      </c>
      <c r="HI556" s="16"/>
      <c r="HJ556" s="19" t="str">
        <f t="shared" ref="HJ556" si="1816">HJ555</f>
        <v>On</v>
      </c>
      <c r="HK556" s="1" t="str">
        <f t="shared" si="1778"/>
        <v>On</v>
      </c>
      <c r="HL556" s="16"/>
      <c r="HM556" s="639">
        <f t="shared" si="1636"/>
        <v>5.1181272167489952E-2</v>
      </c>
      <c r="HN556" s="639">
        <f t="shared" si="1637"/>
        <v>4.2792051795134348E-3</v>
      </c>
      <c r="HO556" s="639">
        <f t="shared" si="1638"/>
        <v>7.4145241462331068E-3</v>
      </c>
      <c r="HP556" s="644">
        <f>(FT556*$GD556-HM556)/$JF556*INDEX(Input!$1:$1048576,$JG$93,$C556*2+6)</f>
        <v>122.51834257017948</v>
      </c>
      <c r="HQ556" s="644">
        <f>(FU556*$GD556-HN556)/$JF556*INDEX(Input!$1:$1048576,$JG$93,$C556*2+6)</f>
        <v>10.549213501436169</v>
      </c>
      <c r="HR556" s="644">
        <f>(FV556*$GD556-HO556)/$JF556*INDEX(Input!$1:$1048576,$JG$93,$C556*2+6)</f>
        <v>0.81153220170512086</v>
      </c>
      <c r="HS556" s="644">
        <f t="shared" si="1779"/>
        <v>-26.238099268319239</v>
      </c>
      <c r="HT556" s="644">
        <f t="shared" si="1640"/>
        <v>73.433903778088393</v>
      </c>
      <c r="HU556" s="644">
        <f t="shared" si="1641"/>
        <v>22.161619509650784</v>
      </c>
      <c r="HV556" s="648">
        <f t="shared" si="1642"/>
        <v>0</v>
      </c>
      <c r="HW556" s="648">
        <f t="shared" si="1643"/>
        <v>0</v>
      </c>
      <c r="HX556" s="648">
        <f t="shared" si="1644"/>
        <v>0</v>
      </c>
      <c r="HY556" s="644">
        <f>INDEX(Input!$1:$1048576,HY$93,$C556*2+6)*INDEX(Input!$1:$1048576,$JG$93,$C556*2+6)</f>
        <v>345</v>
      </c>
      <c r="HZ556" s="644">
        <f>INDEX(Input!$1:$1048576,HZ$93,$C556*2+6)*INDEX(Input!$1:$1048576,$JG$93,$C556*2+6)</f>
        <v>299</v>
      </c>
      <c r="IA556" s="644">
        <f>INDEX(Input!$1:$1048576,IA$93,$C556*2+6)*INDEX(Input!$1:$1048576,$JG$93,$C556*2+6)</f>
        <v>98</v>
      </c>
      <c r="IB556" s="644">
        <f t="shared" si="1780"/>
        <v>441.28024330186025</v>
      </c>
      <c r="IC556" s="644">
        <f t="shared" si="1781"/>
        <v>382.98311727952455</v>
      </c>
      <c r="ID556" s="644">
        <f>IF(AND(INDEX(Input!$1:$1048576,IA$93,$C556*2+7)="TOS",Y556&lt;=INDEX(Y:Y,MATCH(C556*1000+2,A:A))),0,1)*MAX(IA556+HR556+HU556+HX556,0%)</f>
        <v>120.97315171135591</v>
      </c>
      <c r="IE556" s="128">
        <f t="shared" si="1782"/>
        <v>0.46684637925327543</v>
      </c>
      <c r="IF556" s="128">
        <f t="shared" si="1783"/>
        <v>0.40517173458584538</v>
      </c>
      <c r="IG556" s="128">
        <f t="shared" si="1784"/>
        <v>0.12798188616087905</v>
      </c>
      <c r="IH556" s="21"/>
      <c r="II556" s="19">
        <f t="shared" si="1647"/>
        <v>1200</v>
      </c>
      <c r="IJ556" s="19">
        <f t="shared" si="1648"/>
        <v>2231.5440334087361</v>
      </c>
      <c r="IK556" s="19">
        <f t="shared" si="1649"/>
        <v>-2048.0908300335955</v>
      </c>
      <c r="IL556" s="19">
        <f t="shared" si="1785"/>
        <v>1400</v>
      </c>
      <c r="IM556" s="19">
        <f t="shared" si="1786"/>
        <v>1400.1251968260076</v>
      </c>
      <c r="IN556" s="19">
        <f t="shared" si="1787"/>
        <v>1045</v>
      </c>
      <c r="IO556" s="39">
        <f t="shared" si="1652"/>
        <v>0</v>
      </c>
      <c r="IP556" s="39">
        <f t="shared" si="1653"/>
        <v>0</v>
      </c>
      <c r="IQ556" s="39">
        <f t="shared" si="1654"/>
        <v>0</v>
      </c>
      <c r="IR556" s="39">
        <v>0</v>
      </c>
      <c r="IS556" s="39">
        <v>0</v>
      </c>
      <c r="IT556" s="39">
        <v>0</v>
      </c>
      <c r="IU556" s="39">
        <v>0</v>
      </c>
      <c r="IV556" s="39">
        <v>0</v>
      </c>
      <c r="IW556" s="39">
        <v>0</v>
      </c>
      <c r="IX556" s="39">
        <f>INDEX(Input!$1:$1048576,IX$93,$C556*2+6)+INDEX(Input!$1:$1048576,IX$94,$C556*2+6)</f>
        <v>1600</v>
      </c>
      <c r="IY556" s="39">
        <f>INDEX(Input!$1:$1048576,IY$93,$C556*2+6)+INDEX(Input!$1:$1048576,IY$94,$C556*2+6)</f>
        <v>2503.5492916397525</v>
      </c>
      <c r="IZ556" s="39">
        <f>INDEX(Input!$1:$1048576,IZ$93,$C556*2+6)+INDEX(Input!$1:$1048576,IZ$94,$C556*2+6)</f>
        <v>5413.7109265464023</v>
      </c>
      <c r="JA556" s="19">
        <f t="shared" si="1788"/>
        <v>3000</v>
      </c>
      <c r="JB556" s="19">
        <f t="shared" si="1789"/>
        <v>3903.6744884657601</v>
      </c>
      <c r="JC556" s="19">
        <f t="shared" si="1790"/>
        <v>6458.7109265464023</v>
      </c>
      <c r="JD556" s="19">
        <f t="shared" si="1791"/>
        <v>3808.7957080572983</v>
      </c>
      <c r="JE556" s="21"/>
      <c r="JF556" s="1">
        <f t="shared" si="1655"/>
        <v>6.2875001493236493E-2</v>
      </c>
      <c r="JG556" s="15">
        <f>INDEX(Input!$1:$1048576,JG$93,$C556*2+6)/(1+VLOOKUP(C556*1000+INDEX(Input!$1:$1048576,JG$93+1,$C556*2+6),$A:$KK,$JK$92,FALSE))</f>
        <v>742</v>
      </c>
      <c r="JH556" s="1">
        <f t="shared" si="1792"/>
        <v>0.18043003810420591</v>
      </c>
      <c r="JI556" s="1">
        <f t="shared" si="1793"/>
        <v>9.3473617276846277E-2</v>
      </c>
      <c r="JJ556" s="1">
        <f t="shared" si="1794"/>
        <v>0</v>
      </c>
      <c r="JK556" s="1">
        <f t="shared" si="1795"/>
        <v>0.27390365538105221</v>
      </c>
      <c r="JL556" s="15">
        <f t="shared" si="1796"/>
        <v>203.23651229274074</v>
      </c>
      <c r="JM556" s="15">
        <f t="shared" si="1797"/>
        <v>945.23651229274071</v>
      </c>
      <c r="JN556" s="21"/>
      <c r="JO556" s="19">
        <f>INDEX(Input!$1:$1048576,JO$93,$C556*2+6)</f>
        <v>5908.5</v>
      </c>
      <c r="JP556" s="19">
        <f>INDEX(Input!$1:$1048576,JP$93,$C556*2+6)</f>
        <v>2467.7963733178344</v>
      </c>
      <c r="JQ556" s="39">
        <f t="shared" si="1798"/>
        <v>2099.7042919427017</v>
      </c>
      <c r="JR556" s="39">
        <f t="shared" si="1799"/>
        <v>1340.9993347394638</v>
      </c>
      <c r="JS556" s="39">
        <f t="shared" si="1800"/>
        <v>3.6002127711196406</v>
      </c>
      <c r="JT556" s="39">
        <f t="shared" si="1801"/>
        <v>1.7691078621178076</v>
      </c>
      <c r="JU556" s="385">
        <f>(JQ556*JM556-INDEX(Input!$1:$1048576,Input!A$18,$C556*2+6)*JL556*INDEX(Input!$1:$1048576,Input!A$19,$C556*2+6))/1000000</f>
        <v>1.9847171617620181</v>
      </c>
      <c r="JV556" s="39">
        <f t="shared" si="1802"/>
        <v>-0.56828492923614848</v>
      </c>
      <c r="JW556" s="1">
        <f t="shared" si="1803"/>
        <v>-0.22259477625964724</v>
      </c>
      <c r="JX556" s="19">
        <f t="shared" si="1804"/>
        <v>8704.6753664498756</v>
      </c>
      <c r="JZ556" s="341"/>
      <c r="KA556" s="342"/>
      <c r="KB556" s="469">
        <f t="shared" si="1805"/>
        <v>2.4623520912331753</v>
      </c>
      <c r="KI556" s="473">
        <f t="shared" si="1806"/>
        <v>96.280243301860196</v>
      </c>
      <c r="KJ556" s="473">
        <f t="shared" si="1807"/>
        <v>83.983117279524492</v>
      </c>
      <c r="KK556" s="473">
        <f t="shared" si="1808"/>
        <v>22.973151711355897</v>
      </c>
      <c r="KN556" s="544">
        <f t="shared" si="1809"/>
        <v>5002</v>
      </c>
      <c r="KO556" s="541">
        <f t="shared" si="1659"/>
        <v>0.18369051912269052</v>
      </c>
      <c r="KP556" s="546">
        <f t="shared" si="1660"/>
        <v>964.20153421852456</v>
      </c>
      <c r="KQ556" s="546">
        <f t="shared" si="1661"/>
        <v>950.02326190558915</v>
      </c>
      <c r="KR556" s="548">
        <f t="shared" si="1662"/>
        <v>3.2074781772056644</v>
      </c>
      <c r="KS556" s="548">
        <f t="shared" si="1663"/>
        <v>3.2553470040626</v>
      </c>
      <c r="KT556" s="473">
        <f t="shared" si="1810"/>
        <v>389.37465324503302</v>
      </c>
      <c r="KU556" s="663">
        <f t="shared" si="1685"/>
        <v>7.3819448958163907</v>
      </c>
      <c r="KV556" s="117"/>
    </row>
    <row r="557" spans="1:308" s="26" customFormat="1" ht="15" outlineLevel="1">
      <c r="A557" s="561">
        <f t="shared" si="1770"/>
        <v>5057</v>
      </c>
      <c r="B557" s="561">
        <f t="shared" si="1771"/>
        <v>57</v>
      </c>
      <c r="C557" s="561">
        <f t="shared" si="1772"/>
        <v>5</v>
      </c>
      <c r="D557" s="561" t="str">
        <f t="shared" si="1812"/>
        <v xml:space="preserve">500 CC, 0/0/0.9/3.9, 360 Lease, </v>
      </c>
      <c r="E557" s="475">
        <f>INDEX(Input!$1:$1048576,E$93,$C557*2+MIN($B557,2)+5)
+INDEX(Scenarios!E$121:E$200,MATCH($B557,Scenarios!$B$121:$B$200,0))</f>
        <v>1750</v>
      </c>
      <c r="F557" s="475">
        <f>INDEX(Input!$1:$1048576,F$93,$C557*2+MIN($B557,2)+5)
+INDEX(Scenarios!F$121:F$200,MATCH($B557,Scenarios!$B$121:$B$200,0))</f>
        <v>0</v>
      </c>
      <c r="G557" s="475">
        <f>INDEX(Input!$1:$1048576,G$93,$C557*2+MIN($B557,2)+5)
+INDEX(Scenarios!G$121:G$200,MATCH($B557,Scenarios!$B$121:$B$200,0))</f>
        <v>0</v>
      </c>
      <c r="H557" s="475">
        <f>INDEX(Input!$1:$1048576,H$93,$C557*2+MIN($B557,2)+5)
+INDEX(Scenarios!H$121:H$200,MATCH($B557,Scenarios!$B$121:$B$200,0))</f>
        <v>0</v>
      </c>
      <c r="I557" s="476">
        <f>INDEX(Input!$1:$1048576,I$93,$C557*2+MIN($B557,2)+5)</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+INDEX(Scenarios!Q$121:Q$200,MATCH($B557,Scenarios!$B$121:$B$200,0))</f>
        <v>0</v>
      </c>
      <c r="R557" s="478">
        <f>IFERROR(MAX(0,INDEX(Input!$1:$1048576,R$93,$C557*2+MIN($B557,2)+5)
+INDEX(Scenarios!R$121:R$200,MATCH($B557,Scenarios!$B$121:$B$200,0)),),"Market")</f>
        <v>0</v>
      </c>
      <c r="S557" s="478">
        <f>IFERROR(MAX(0,INDEX(Input!$1:$1048576,S$93,$C557*2+MIN($B557,2)+5)
+INDEX(Scenarios!S$121:S$200,MATCH($B557,Scenarios!$B$121:$B$200,0)),),"Market")</f>
        <v>0</v>
      </c>
      <c r="T557" s="478">
        <f>IFERROR(MAX(0,INDEX(Input!$1:$1048576,T$93,$C557*2+MIN($B557,2)+5)
+INDEX(Scenarios!T$121:T$200,MATCH($B557,Scenarios!$B$121:$B$200,0)),),"Market")</f>
        <v>0</v>
      </c>
      <c r="U557" s="478">
        <f>IFERROR(MAX(0,INDEX(Input!$1:$1048576,U$93,$C557*2+MIN($B557,2)+5)
+INDEX(Scenarios!U$121:U$200,MATCH($B557,Scenarios!$B$121:$B$200,0)),),"Market")</f>
        <v>0</v>
      </c>
      <c r="V557" s="478">
        <f>IFERROR(MAX(0,INDEX(Input!$1:$1048576,V$93,$C557*2+MIN($B557,2)+5)
+INDEX(Scenarios!V$121:V$200,MATCH($B557,Scenarios!$B$121:$B$200,0)),),"Market")</f>
        <v>8.9999999999999993E-3</v>
      </c>
      <c r="W557" s="863">
        <f>IFERROR(MAX(0,INDEX(Input!$1:$1048576,W$93,$C557*2+MIN($B557,2)+5)-0%,),"Market")</f>
        <v>3.9E-2</v>
      </c>
      <c r="X557" s="476" t="str">
        <f>INDEX(Input!$1:$1048576,X$93,$C557*2+MIN($B557,2)+5)</f>
        <v>Y</v>
      </c>
      <c r="Y557" s="475">
        <f>INDEX(Input!$1:$1048576,Y$93,$C557*2+MIN($B557,2)+5)
++INDEX(Scenarios!Y$121:Y$200,MATCH($B557,Scenarios!$B$121:$B$200,0))</f>
        <v>-738.3618966787526</v>
      </c>
      <c r="Z557" s="477">
        <f>INDEX(Input!$1:$1048576,Z$93,$C557*2+MIN($B557,2)+5)
+INDEX(Scenarios!Z$121:Z$200,MATCH($B557,Scenarios!$B$121:$B$200,0))</f>
        <v>0</v>
      </c>
      <c r="AA557" s="475">
        <f>INDEX(Input!$1:$1048576,AA$93,$C557*2+MIN($B557,2)+5)</f>
        <v>500</v>
      </c>
      <c r="AB557" s="476">
        <f>INDEX(Input!$1:$1048576,AB$93,$C557*2+MIN($B557,2)+5)</f>
        <v>0.43</v>
      </c>
      <c r="AC557" s="475">
        <f>INDEX(Input!$1:$1048576,AC$93,$C557*2+MIN($B557,2)+5)
+INDEX(Scenarios!AC$121:AC$200,MATCH($B557,Scenarios!$B$121:$B$200,0))</f>
        <v>0</v>
      </c>
      <c r="AD557" s="476">
        <f>INDEX(Input!$1:$1048576,AD$93,$C557*2+MIN($B557,2)+5)</f>
        <v>0.35</v>
      </c>
      <c r="AE557" s="475">
        <f>INDEX(Input!$1:$1048576,AE$93,$C557*2+MIN($B557,2)+5)
+INDEX(Scenarios!AE$121:AE$200,MATCH($B557,Scenarios!$B$121:$B$200,0))</f>
        <v>0</v>
      </c>
      <c r="AF557" s="476">
        <f>INDEX(Input!$1:$1048576,AF$93,$C557*2+MIN($B557,2)+5)</f>
        <v>1</v>
      </c>
      <c r="AG557" s="475">
        <f>INDEX(Input!$1:$1048576,AG$93,$C557*2+MIN($B557,2)+5)
+INDEX(Scenarios!AG$121:AG$200,MATCH($B557,Scenarios!$B$121:$B$200,0))</f>
        <v>0</v>
      </c>
      <c r="AH557" s="476">
        <f>INDEX(Input!$1:$1048576,AH$93,$C557*2+MIN($B557,2)+5)</f>
        <v>1</v>
      </c>
      <c r="AI557" s="475">
        <f>INDEX(Input!$1:$1048576,AI$93,$C557*2+MIN($B557,2)+5)
+INDEX(Scenarios!AI$121:AI$200,MATCH($B557,Scenarios!$B$121:$B$200,0))</f>
        <v>0</v>
      </c>
      <c r="AJ557" s="476">
        <f>INDEX(Input!$1:$1048576,AJ$93,$C557*2+MIN($B557,2)+5)</f>
        <v>0.35</v>
      </c>
      <c r="AK557" s="150">
        <f>ROUND(INDEX(Input!$1:$1048576,AK$93,$C556*2+MIN($B557,1)+5)+(Y557-VLOOKUP($C557*1000+1,$A:$HH,Y$92,FALSE)),0)</f>
        <v>4952</v>
      </c>
      <c r="AL557" s="150">
        <f>ROUND(INDEX(Input!$1:$1048576,AL$93,$C556*2+MIN($B557,1)+5)-(Y557-VLOOKUP($C557*1000+1,$A:$HH,Y$92,FALSE))/36,0)</f>
        <v>4733</v>
      </c>
      <c r="AM557" s="32" t="str">
        <f t="shared" si="1773"/>
        <v>std/std/std/std</v>
      </c>
      <c r="AN557" s="32" t="str">
        <f t="shared" si="1774"/>
        <v>$0 + 0/0/0/0.9/3.9</v>
      </c>
      <c r="AO557" s="32" t="str">
        <f t="shared" si="1775"/>
        <v>0/0/0/0.9/3.9</v>
      </c>
      <c r="AP557" s="32" t="str">
        <f t="shared" si="1755"/>
        <v>0/0/0.9/3.9</v>
      </c>
      <c r="AQ557" s="536">
        <f t="shared" si="1754"/>
        <v>0.46100289602578304</v>
      </c>
      <c r="AR557" s="32"/>
      <c r="AS557" s="302"/>
      <c r="AT557" s="3">
        <f t="shared" si="1776"/>
        <v>57</v>
      </c>
      <c r="AU557" s="41" t="s">
        <v>121</v>
      </c>
      <c r="AV557" s="41" t="s">
        <v>116</v>
      </c>
      <c r="AW557" s="41" t="str">
        <f>INDEX(Input!$1:$1048576,AW$93,$C557*2+6)</f>
        <v>Kia</v>
      </c>
      <c r="AX557" s="41" t="str">
        <f>INDEX(Input!$1:$1048576,AX$93,$C557*2+6)</f>
        <v>Kia-LR - R2</v>
      </c>
      <c r="AY557" s="41" t="str">
        <f>IF(LEN(D557)=0,"",INDEX(Input!$1:$1048576,AY$93,$C557*2+6))</f>
        <v>Compact Conventional/Sporty Car (43)</v>
      </c>
      <c r="AZ557" s="41" t="str">
        <f>INDEX(Input!$1:$1048576,AZ$93,$C557*2+6)</f>
        <v>Kia Forte</v>
      </c>
      <c r="BA557" s="3">
        <f>INDEX(Input!$1:$1048576,BA$93,$C557*2+6)</f>
        <v>2020</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19695</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756"/>
        <v>1750</v>
      </c>
      <c r="CJ557" s="16" t="str">
        <f>INDEX(Input!$1:$1048576,CJ$93,$C557*2+6)</f>
        <v>N</v>
      </c>
      <c r="CK557" s="1" t="str">
        <f t="shared" si="1757"/>
        <v>Market</v>
      </c>
      <c r="CL557" s="1" t="str">
        <f t="shared" si="1758"/>
        <v>Market</v>
      </c>
      <c r="CM557" s="1" t="str">
        <f t="shared" si="1759"/>
        <v>Market</v>
      </c>
      <c r="CN557" s="1" t="str">
        <f t="shared" si="1760"/>
        <v>Market</v>
      </c>
      <c r="CO557" s="1" t="str">
        <f t="shared" si="1761"/>
        <v>Market</v>
      </c>
      <c r="CP557" s="304">
        <f t="shared" si="1762"/>
        <v>215</v>
      </c>
      <c r="CQ557" s="1">
        <f t="shared" si="1763"/>
        <v>0</v>
      </c>
      <c r="CR557" s="1">
        <f t="shared" si="1764"/>
        <v>0</v>
      </c>
      <c r="CS557" s="1">
        <f t="shared" si="1765"/>
        <v>0</v>
      </c>
      <c r="CT557" s="1">
        <f t="shared" si="1766"/>
        <v>8.9999999999999993E-3</v>
      </c>
      <c r="CU557" s="1">
        <f t="shared" si="1767"/>
        <v>3.9E-2</v>
      </c>
      <c r="CV557" s="304">
        <f t="shared" si="1768"/>
        <v>-738.3618966787526</v>
      </c>
      <c r="CW557" s="20" t="s">
        <v>122</v>
      </c>
      <c r="CX557" s="20" t="s">
        <v>122</v>
      </c>
      <c r="CY557" s="20" t="s">
        <v>122</v>
      </c>
      <c r="CZ557" s="20" t="s">
        <v>122</v>
      </c>
      <c r="DA557" s="20" t="s">
        <v>122</v>
      </c>
      <c r="DB557" s="503">
        <f t="shared" si="1769"/>
        <v>0</v>
      </c>
      <c r="DC557" s="127">
        <v>0</v>
      </c>
      <c r="DD557" s="127">
        <v>0</v>
      </c>
      <c r="DE557" s="127">
        <v>0</v>
      </c>
      <c r="DF557" s="127">
        <v>0</v>
      </c>
      <c r="DG557" s="127">
        <v>0</v>
      </c>
      <c r="DH557" s="127">
        <v>0</v>
      </c>
      <c r="DI557" s="127">
        <v>0</v>
      </c>
      <c r="DJ557" s="127">
        <v>0</v>
      </c>
      <c r="DK557" s="127">
        <v>0</v>
      </c>
      <c r="DL557" s="127">
        <v>0</v>
      </c>
      <c r="DM557" s="304">
        <f>INDEX(Input!$1:$1048576,DM$93,$C557*2+6)</f>
        <v>20731.578947368424</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4.3779328576805505E-2</v>
      </c>
      <c r="DZ557" s="7">
        <v>0</v>
      </c>
      <c r="EA557" s="7">
        <v>0.7693276375691207</v>
      </c>
      <c r="EB557" s="7">
        <v>0</v>
      </c>
      <c r="EC557" s="7">
        <v>0</v>
      </c>
      <c r="ED557" s="7">
        <v>0</v>
      </c>
      <c r="EE557" s="7">
        <v>0</v>
      </c>
      <c r="EF557" s="7">
        <v>0</v>
      </c>
      <c r="EG557" s="7">
        <v>0</v>
      </c>
      <c r="EH557" s="7">
        <v>1.0395919220143145E-2</v>
      </c>
      <c r="EI557" s="7">
        <v>1.3087434598765855E-2</v>
      </c>
      <c r="EJ557" s="7">
        <v>0.19262308302741693</v>
      </c>
      <c r="EK557" s="7">
        <v>0.75052812957590231</v>
      </c>
      <c r="EL557" s="7">
        <v>3.3365433577771428E-2</v>
      </c>
      <c r="EM557" s="7">
        <v>8.1760294242111439E-2</v>
      </c>
      <c r="EN557" s="7">
        <v>4.7839829040960742E-2</v>
      </c>
      <c r="EO557" s="7">
        <v>0.58178227052433673</v>
      </c>
      <c r="EP557" s="7">
        <v>0.25248559603260867</v>
      </c>
      <c r="EQ557" s="7">
        <v>7.1498738310486157E-2</v>
      </c>
      <c r="ER557" s="7">
        <v>4.6393566091608107E-2</v>
      </c>
      <c r="ES557" s="7">
        <v>0.10513273961196236</v>
      </c>
      <c r="ET557" s="7">
        <v>0.18689303385407385</v>
      </c>
      <c r="EU557" s="6">
        <v>2100</v>
      </c>
      <c r="EV557" s="6">
        <v>0</v>
      </c>
      <c r="EW557" s="6">
        <v>2100</v>
      </c>
      <c r="EX557" s="6">
        <v>0</v>
      </c>
      <c r="EY557" s="6">
        <v>2975.8849428923691</v>
      </c>
      <c r="EZ557" s="6">
        <v>-1363.0908300335955</v>
      </c>
      <c r="FA557" s="6">
        <v>0</v>
      </c>
      <c r="FB557" s="6">
        <v>0</v>
      </c>
      <c r="FC557" s="6">
        <v>0</v>
      </c>
      <c r="FD557" s="6">
        <v>0</v>
      </c>
      <c r="FE557" s="6">
        <v>0</v>
      </c>
      <c r="FF557" s="6">
        <v>0</v>
      </c>
      <c r="FG557" s="6">
        <v>0</v>
      </c>
      <c r="FH557" s="6">
        <v>1153.9887836443031</v>
      </c>
      <c r="FI557" s="6">
        <v>1531.4299904380612</v>
      </c>
      <c r="FJ557" s="6">
        <v>2070.7205842538224</v>
      </c>
      <c r="FK557" s="6">
        <v>2218.6393698501029</v>
      </c>
      <c r="FL557" s="6">
        <v>893.91433563489375</v>
      </c>
      <c r="FM557" s="6">
        <v>2125.8849428923691</v>
      </c>
      <c r="FN557" s="6">
        <v>0</v>
      </c>
      <c r="FO557" s="6">
        <v>0</v>
      </c>
      <c r="FP557" s="6">
        <v>0</v>
      </c>
      <c r="FQ557" s="6">
        <v>0</v>
      </c>
      <c r="FR557" s="6">
        <v>0</v>
      </c>
      <c r="FS557" s="6">
        <v>0</v>
      </c>
      <c r="FT557" s="7">
        <v>0.81310696614592626</v>
      </c>
      <c r="FU557" s="7">
        <v>8.1760294242111439E-2</v>
      </c>
      <c r="FV557" s="7">
        <v>0.10513273961196236</v>
      </c>
      <c r="FW557" s="6">
        <v>2100</v>
      </c>
      <c r="FX557" s="6">
        <v>2975.8849428923691</v>
      </c>
      <c r="FY557" s="6">
        <v>-1363.0908300335955</v>
      </c>
      <c r="FZ557" s="6">
        <v>2411.9063952864503</v>
      </c>
      <c r="GA557" s="6">
        <v>1807.5283841666187</v>
      </c>
      <c r="GB557" s="6">
        <v>17887.471615833383</v>
      </c>
      <c r="GC557" s="7">
        <v>7.6138913542514425E-2</v>
      </c>
      <c r="GD557" s="7">
        <v>7.0410147612622945E-2</v>
      </c>
      <c r="GE557" s="7"/>
      <c r="GF557" s="7"/>
      <c r="GG557" s="7">
        <v>-7.5240972892168384E-2</v>
      </c>
      <c r="GH557" s="42">
        <v>2.4518942348110047</v>
      </c>
      <c r="GI557" s="6">
        <v>9840.0934599265529</v>
      </c>
      <c r="GJ557" s="14">
        <v>0.5107463060103955</v>
      </c>
      <c r="GK557" s="14">
        <v>0.5082951978616097</v>
      </c>
      <c r="GL557" s="14">
        <v>0.48925369398960433</v>
      </c>
      <c r="GM557" s="14">
        <v>0.49170480213839035</v>
      </c>
      <c r="GO557" s="5">
        <v>338.16872463277008</v>
      </c>
      <c r="GP557" s="5">
        <v>298.1047308538179</v>
      </c>
      <c r="GQ557" s="5">
        <v>527.27910984145694</v>
      </c>
      <c r="GR557" s="5">
        <v>404.20319246551543</v>
      </c>
      <c r="GS557" s="5">
        <v>334.50205195691484</v>
      </c>
      <c r="GT557" s="5">
        <v>289.18266033348181</v>
      </c>
      <c r="GU557" s="5">
        <v>254.29573314828914</v>
      </c>
      <c r="GV557" s="39" t="s">
        <v>392</v>
      </c>
      <c r="GW557" s="5">
        <v>468.76388888888891</v>
      </c>
      <c r="GX557" s="5">
        <v>351.57291666666669</v>
      </c>
      <c r="GY557" s="5">
        <v>281.25833333333333</v>
      </c>
      <c r="GZ557" s="5">
        <v>240.8550698915011</v>
      </c>
      <c r="HA557" s="5">
        <v>229.8919505212948</v>
      </c>
      <c r="HB557" s="39">
        <v>252.0902160793251</v>
      </c>
      <c r="HC557" s="5">
        <v>342.75084881396981</v>
      </c>
      <c r="HD557" s="5">
        <v>277.02900980034525</v>
      </c>
      <c r="HE557" s="5">
        <v>275.25710238124515</v>
      </c>
      <c r="HF557" s="5">
        <v>249.22464978663214</v>
      </c>
      <c r="HG557" s="5">
        <v>233.7008417861702</v>
      </c>
      <c r="HH557" s="39">
        <v>275.72762535528364</v>
      </c>
      <c r="HI557" s="16"/>
      <c r="HJ557" s="19" t="str">
        <f t="shared" ref="HJ557" si="1817">HJ556</f>
        <v>On</v>
      </c>
      <c r="HK557" s="1" t="str">
        <f t="shared" si="1778"/>
        <v>On</v>
      </c>
      <c r="HL557" s="16"/>
      <c r="HM557" s="639">
        <f t="shared" si="1636"/>
        <v>5.1181272167489952E-2</v>
      </c>
      <c r="HN557" s="639">
        <f t="shared" si="1637"/>
        <v>4.2792051795134348E-3</v>
      </c>
      <c r="HO557" s="639">
        <f t="shared" si="1638"/>
        <v>7.4145241462331068E-3</v>
      </c>
      <c r="HP557" s="644">
        <f>(FT557*$GD557-HM557)/$JF557*INDEX(Input!$1:$1048576,$JG$93,$C557*2+6)</f>
        <v>71.629808764417078</v>
      </c>
      <c r="HQ557" s="644">
        <f>(FU557*$GD557-HN557)/$JF557*INDEX(Input!$1:$1048576,$JG$93,$C557*2+6)</f>
        <v>17.436842711747236</v>
      </c>
      <c r="HR557" s="644">
        <f>(FV557*$GD557-HO557)/$JF557*INDEX(Input!$1:$1048576,$JG$93,$C557*2+6)</f>
        <v>-0.14294113341091638</v>
      </c>
      <c r="HS557" s="644">
        <f t="shared" si="1779"/>
        <v>-16.834721325706919</v>
      </c>
      <c r="HT557" s="644">
        <f t="shared" si="1640"/>
        <v>38.689168835033755</v>
      </c>
      <c r="HU557" s="644">
        <f t="shared" si="1641"/>
        <v>14.450857161201455</v>
      </c>
      <c r="HV557" s="648">
        <f t="shared" si="1642"/>
        <v>0</v>
      </c>
      <c r="HW557" s="648">
        <f t="shared" si="1643"/>
        <v>0</v>
      </c>
      <c r="HX557" s="648">
        <f t="shared" si="1644"/>
        <v>0</v>
      </c>
      <c r="HY557" s="644">
        <f>INDEX(Input!$1:$1048576,HY$93,$C557*2+6)*INDEX(Input!$1:$1048576,$JG$93,$C557*2+6)</f>
        <v>345</v>
      </c>
      <c r="HZ557" s="644">
        <f>INDEX(Input!$1:$1048576,HZ$93,$C557*2+6)*INDEX(Input!$1:$1048576,$JG$93,$C557*2+6)</f>
        <v>299</v>
      </c>
      <c r="IA557" s="644">
        <f>INDEX(Input!$1:$1048576,IA$93,$C557*2+6)*INDEX(Input!$1:$1048576,$JG$93,$C557*2+6)</f>
        <v>98</v>
      </c>
      <c r="IB557" s="644">
        <f t="shared" si="1780"/>
        <v>399.79508743871014</v>
      </c>
      <c r="IC557" s="644">
        <f t="shared" si="1781"/>
        <v>355.126011546781</v>
      </c>
      <c r="ID557" s="644">
        <f>IF(AND(INDEX(Input!$1:$1048576,IA$93,$C557*2+7)="TOS",Y557&lt;=INDEX(Y:Y,MATCH(C557*1000+2,A:A))),0,1)*MAX(IA557+HR557+HU557+HX557,0%)</f>
        <v>112.30791602779054</v>
      </c>
      <c r="IE557" s="128">
        <f t="shared" si="1782"/>
        <v>0.46100289602578304</v>
      </c>
      <c r="IF557" s="128">
        <f t="shared" si="1783"/>
        <v>0.40949507615510561</v>
      </c>
      <c r="IG557" s="128">
        <f t="shared" si="1784"/>
        <v>0.12950202781911135</v>
      </c>
      <c r="IH557" s="21"/>
      <c r="II557" s="19">
        <f t="shared" si="1647"/>
        <v>1200</v>
      </c>
      <c r="IJ557" s="19">
        <f t="shared" si="1648"/>
        <v>2231.5440334087361</v>
      </c>
      <c r="IK557" s="19">
        <f t="shared" si="1649"/>
        <v>-2048.0908300335955</v>
      </c>
      <c r="IL557" s="19">
        <f t="shared" si="1785"/>
        <v>900</v>
      </c>
      <c r="IM557" s="19">
        <f t="shared" si="1786"/>
        <v>744.34090948363291</v>
      </c>
      <c r="IN557" s="19">
        <f t="shared" si="1787"/>
        <v>685</v>
      </c>
      <c r="IO557" s="39">
        <f t="shared" si="1652"/>
        <v>0</v>
      </c>
      <c r="IP557" s="39">
        <f t="shared" si="1653"/>
        <v>0</v>
      </c>
      <c r="IQ557" s="39">
        <f t="shared" si="1654"/>
        <v>0</v>
      </c>
      <c r="IR557" s="39">
        <v>0</v>
      </c>
      <c r="IS557" s="39">
        <v>0</v>
      </c>
      <c r="IT557" s="39">
        <v>0</v>
      </c>
      <c r="IU557" s="39">
        <v>0</v>
      </c>
      <c r="IV557" s="39">
        <v>0</v>
      </c>
      <c r="IW557" s="39">
        <v>0</v>
      </c>
      <c r="IX557" s="39">
        <f>INDEX(Input!$1:$1048576,IX$93,$C557*2+6)+INDEX(Input!$1:$1048576,IX$94,$C557*2+6)</f>
        <v>1600</v>
      </c>
      <c r="IY557" s="39">
        <f>INDEX(Input!$1:$1048576,IY$93,$C557*2+6)+INDEX(Input!$1:$1048576,IY$94,$C557*2+6)</f>
        <v>2503.5492916397525</v>
      </c>
      <c r="IZ557" s="39">
        <f>INDEX(Input!$1:$1048576,IZ$93,$C557*2+6)+INDEX(Input!$1:$1048576,IZ$94,$C557*2+6)</f>
        <v>5413.7109265464023</v>
      </c>
      <c r="JA557" s="19">
        <f t="shared" si="1788"/>
        <v>2500</v>
      </c>
      <c r="JB557" s="19">
        <f t="shared" si="1789"/>
        <v>3247.8902011233854</v>
      </c>
      <c r="JC557" s="19">
        <f t="shared" si="1790"/>
        <v>6098.7109265464023</v>
      </c>
      <c r="JD557" s="19">
        <f t="shared" si="1791"/>
        <v>3272.29771738723</v>
      </c>
      <c r="JE557" s="21"/>
      <c r="JF557" s="1">
        <f t="shared" si="1655"/>
        <v>6.2875001493236493E-2</v>
      </c>
      <c r="JG557" s="15">
        <f>INDEX(Input!$1:$1048576,JG$93,$C557*2+6)/(1+VLOOKUP(C557*1000+INDEX(Input!$1:$1048576,JG$93+1,$C557*2+6),$A:$KK,$JK$92,FALSE))</f>
        <v>742</v>
      </c>
      <c r="JH557" s="1">
        <f t="shared" si="1792"/>
        <v>0.11984327539454635</v>
      </c>
      <c r="JI557" s="1">
        <f t="shared" si="1793"/>
        <v>4.8928982035752411E-2</v>
      </c>
      <c r="JJ557" s="1">
        <f t="shared" si="1794"/>
        <v>0</v>
      </c>
      <c r="JK557" s="1">
        <f t="shared" si="1795"/>
        <v>0.16877225743029878</v>
      </c>
      <c r="JL557" s="15">
        <f t="shared" si="1796"/>
        <v>125.2290150132817</v>
      </c>
      <c r="JM557" s="15">
        <f t="shared" si="1797"/>
        <v>867.2290150132817</v>
      </c>
      <c r="JN557" s="21"/>
      <c r="JO557" s="19">
        <f>INDEX(Input!$1:$1048576,JO$93,$C557*2+6)</f>
        <v>5908.5</v>
      </c>
      <c r="JP557" s="19">
        <f>INDEX(Input!$1:$1048576,JP$93,$C557*2+6)</f>
        <v>2467.7963733178344</v>
      </c>
      <c r="JQ557" s="39">
        <f t="shared" si="1798"/>
        <v>2636.20228261277</v>
      </c>
      <c r="JR557" s="39">
        <f t="shared" si="1799"/>
        <v>804.5013440693956</v>
      </c>
      <c r="JS557" s="39">
        <f t="shared" si="1800"/>
        <v>2.8378315262799374</v>
      </c>
      <c r="JT557" s="39">
        <f t="shared" si="1801"/>
        <v>1.0067266172781044</v>
      </c>
      <c r="JU557" s="385">
        <f>(JQ557*JM557-INDEX(Input!$1:$1048576,Input!A$18,$C557*2+6)*JL557*INDEX(Input!$1:$1048576,Input!A$19,$C557*2+6))/1000000</f>
        <v>2.2861911089260372</v>
      </c>
      <c r="JV557" s="39">
        <f t="shared" si="1802"/>
        <v>-0.26681098207212939</v>
      </c>
      <c r="JW557" s="1">
        <f t="shared" si="1803"/>
        <v>-0.10450872054233699</v>
      </c>
      <c r="JX557" s="19">
        <f t="shared" si="1804"/>
        <v>8039.0843701144795</v>
      </c>
      <c r="JZ557" s="341"/>
      <c r="KA557" s="342"/>
      <c r="KB557" s="469">
        <f t="shared" si="1805"/>
        <v>2.4623520912331753</v>
      </c>
      <c r="KI557" s="473">
        <f t="shared" si="1806"/>
        <v>54.795087438710141</v>
      </c>
      <c r="KJ557" s="473">
        <f t="shared" si="1807"/>
        <v>56.126011546781001</v>
      </c>
      <c r="KK557" s="473">
        <f t="shared" si="1808"/>
        <v>14.30791602779054</v>
      </c>
      <c r="KN557" s="544">
        <f t="shared" si="1809"/>
        <v>5002</v>
      </c>
      <c r="KO557" s="541">
        <f t="shared" si="1659"/>
        <v>8.6004137196737274E-2</v>
      </c>
      <c r="KP557" s="546">
        <f t="shared" si="1660"/>
        <v>418.11366890738987</v>
      </c>
      <c r="KQ557" s="546">
        <f t="shared" si="1661"/>
        <v>413.5252712355209</v>
      </c>
      <c r="KR557" s="548">
        <f t="shared" si="1662"/>
        <v>3.4631377352491635</v>
      </c>
      <c r="KS557" s="548">
        <f t="shared" si="1663"/>
        <v>3.5015640521567186</v>
      </c>
      <c r="KT557" s="473">
        <f t="shared" si="1810"/>
        <v>389.37465324503302</v>
      </c>
      <c r="KU557" s="663">
        <f t="shared" si="1685"/>
        <v>7.3864269041604063</v>
      </c>
      <c r="KV557" s="117"/>
    </row>
    <row r="558" spans="1:308" s="26" customFormat="1" ht="15" outlineLevel="1">
      <c r="A558" s="561">
        <f t="shared" si="1770"/>
        <v>5058</v>
      </c>
      <c r="B558" s="561">
        <f t="shared" si="1771"/>
        <v>58</v>
      </c>
      <c r="C558" s="561">
        <f t="shared" si="1772"/>
        <v>5</v>
      </c>
      <c r="D558" s="561" t="str">
        <f t="shared" si="1812"/>
        <v xml:space="preserve">1000 CC, 0/0/0.9/3.9, 360 Lease, </v>
      </c>
      <c r="E558" s="475">
        <f>INDEX(Input!$1:$1048576,E$93,$C558*2+MIN($B558,2)+5)
+INDEX(Scenarios!E$121:E$200,MATCH($B558,Scenarios!$B$121:$B$200,0))</f>
        <v>2250</v>
      </c>
      <c r="F558" s="475">
        <f>INDEX(Input!$1:$1048576,F$93,$C558*2+MIN($B558,2)+5)
+INDEX(Scenarios!F$121:F$200,MATCH($B558,Scenarios!$B$121:$B$200,0))</f>
        <v>0</v>
      </c>
      <c r="G558" s="475">
        <f>INDEX(Input!$1:$1048576,G$93,$C558*2+MIN($B558,2)+5)
+INDEX(Scenarios!G$121:G$200,MATCH($B558,Scenarios!$B$121:$B$200,0))</f>
        <v>0</v>
      </c>
      <c r="H558" s="475">
        <f>INDEX(Input!$1:$1048576,H$93,$C558*2+MIN($B558,2)+5)
+INDEX(Scenarios!H$121:H$200,MATCH($B558,Scenarios!$B$121:$B$200,0))</f>
        <v>0</v>
      </c>
      <c r="I558" s="476">
        <f>INDEX(Input!$1:$1048576,I$93,$C558*2+MIN($B558,2)+5)</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+INDEX(Scenarios!Q$121:Q$200,MATCH($B558,Scenarios!$B$121:$B$200,0))</f>
        <v>0</v>
      </c>
      <c r="R558" s="478">
        <f>IFERROR(MAX(0,INDEX(Input!$1:$1048576,R$93,$C558*2+MIN($B558,2)+5)
+INDEX(Scenarios!R$121:R$200,MATCH($B558,Scenarios!$B$121:$B$200,0)),),"Market")</f>
        <v>0</v>
      </c>
      <c r="S558" s="478">
        <f>IFERROR(MAX(0,INDEX(Input!$1:$1048576,S$93,$C558*2+MIN($B558,2)+5)
+INDEX(Scenarios!S$121:S$200,MATCH($B558,Scenarios!$B$121:$B$200,0)),),"Market")</f>
        <v>0</v>
      </c>
      <c r="T558" s="478">
        <f>IFERROR(MAX(0,INDEX(Input!$1:$1048576,T$93,$C558*2+MIN($B558,2)+5)
+INDEX(Scenarios!T$121:T$200,MATCH($B558,Scenarios!$B$121:$B$200,0)),),"Market")</f>
        <v>0</v>
      </c>
      <c r="U558" s="478">
        <f>IFERROR(MAX(0,INDEX(Input!$1:$1048576,U$93,$C558*2+MIN($B558,2)+5)
+INDEX(Scenarios!U$121:U$200,MATCH($B558,Scenarios!$B$121:$B$200,0)),),"Market")</f>
        <v>0</v>
      </c>
      <c r="V558" s="478">
        <f>IFERROR(MAX(0,INDEX(Input!$1:$1048576,V$93,$C558*2+MIN($B558,2)+5)
+INDEX(Scenarios!V$121:V$200,MATCH($B558,Scenarios!$B$121:$B$200,0)),),"Market")</f>
        <v>8.9999999999999993E-3</v>
      </c>
      <c r="W558" s="863">
        <f>IFERROR(MAX(0,INDEX(Input!$1:$1048576,W$93,$C558*2+MIN($B558,2)+5)-0%,),"Market")</f>
        <v>3.9E-2</v>
      </c>
      <c r="X558" s="476" t="str">
        <f>INDEX(Input!$1:$1048576,X$93,$C558*2+MIN($B558,2)+5)</f>
        <v>Y</v>
      </c>
      <c r="Y558" s="475">
        <f>INDEX(Input!$1:$1048576,Y$93,$C558*2+MIN($B558,2)+5)
++INDEX(Scenarios!Y$121:Y$200,MATCH($B558,Scenarios!$B$121:$B$200,0))</f>
        <v>-738.3618966787526</v>
      </c>
      <c r="Z558" s="477">
        <f>INDEX(Input!$1:$1048576,Z$93,$C558*2+MIN($B558,2)+5)
+INDEX(Scenarios!Z$121:Z$200,MATCH($B558,Scenarios!$B$121:$B$200,0))</f>
        <v>0</v>
      </c>
      <c r="AA558" s="475">
        <f>INDEX(Input!$1:$1048576,AA$93,$C558*2+MIN($B558,2)+5)</f>
        <v>500</v>
      </c>
      <c r="AB558" s="476">
        <f>INDEX(Input!$1:$1048576,AB$93,$C558*2+MIN($B558,2)+5)</f>
        <v>0.43</v>
      </c>
      <c r="AC558" s="475">
        <f>INDEX(Input!$1:$1048576,AC$93,$C558*2+MIN($B558,2)+5)
+INDEX(Scenarios!AC$121:AC$200,MATCH($B558,Scenarios!$B$121:$B$200,0))</f>
        <v>0</v>
      </c>
      <c r="AD558" s="476">
        <f>INDEX(Input!$1:$1048576,AD$93,$C558*2+MIN($B558,2)+5)</f>
        <v>0.35</v>
      </c>
      <c r="AE558" s="475">
        <f>INDEX(Input!$1:$1048576,AE$93,$C558*2+MIN($B558,2)+5)
+INDEX(Scenarios!AE$121:AE$200,MATCH($B558,Scenarios!$B$121:$B$200,0))</f>
        <v>0</v>
      </c>
      <c r="AF558" s="476">
        <f>INDEX(Input!$1:$1048576,AF$93,$C558*2+MIN($B558,2)+5)</f>
        <v>1</v>
      </c>
      <c r="AG558" s="475">
        <f>INDEX(Input!$1:$1048576,AG$93,$C558*2+MIN($B558,2)+5)
+INDEX(Scenarios!AG$121:AG$200,MATCH($B558,Scenarios!$B$121:$B$200,0))</f>
        <v>0</v>
      </c>
      <c r="AH558" s="476">
        <f>INDEX(Input!$1:$1048576,AH$93,$C558*2+MIN($B558,2)+5)</f>
        <v>1</v>
      </c>
      <c r="AI558" s="475">
        <f>INDEX(Input!$1:$1048576,AI$93,$C558*2+MIN($B558,2)+5)
+INDEX(Scenarios!AI$121:AI$200,MATCH($B558,Scenarios!$B$121:$B$200,0))</f>
        <v>0</v>
      </c>
      <c r="AJ558" s="476">
        <f>INDEX(Input!$1:$1048576,AJ$93,$C558*2+MIN($B558,2)+5)</f>
        <v>0.35</v>
      </c>
      <c r="AK558" s="150">
        <f>ROUND(INDEX(Input!$1:$1048576,AK$93,$C557*2+MIN($B558,1)+5)+(Y558-VLOOKUP($C558*1000+1,$A:$HH,Y$92,FALSE)),0)</f>
        <v>4952</v>
      </c>
      <c r="AL558" s="150">
        <f>ROUND(INDEX(Input!$1:$1048576,AL$93,$C557*2+MIN($B558,1)+5)-(Y558-VLOOKUP($C558*1000+1,$A:$HH,Y$92,FALSE))/36,0)</f>
        <v>4733</v>
      </c>
      <c r="AM558" s="32" t="str">
        <f t="shared" si="1773"/>
        <v>std/std/std/std</v>
      </c>
      <c r="AN558" s="32" t="str">
        <f t="shared" si="1774"/>
        <v>$0 + 0/0/0/0.9/3.9</v>
      </c>
      <c r="AO558" s="32" t="str">
        <f t="shared" si="1775"/>
        <v>0/0/0/0.9/3.9</v>
      </c>
      <c r="AP558" s="32" t="str">
        <f t="shared" si="1755"/>
        <v>0/0/0.9/3.9</v>
      </c>
      <c r="AQ558" s="536">
        <f t="shared" si="1754"/>
        <v>0.49273662895727588</v>
      </c>
      <c r="AR558" s="32"/>
      <c r="AS558" s="302"/>
      <c r="AT558" s="3">
        <f t="shared" si="1776"/>
        <v>58</v>
      </c>
      <c r="AU558" s="41" t="s">
        <v>121</v>
      </c>
      <c r="AV558" s="41" t="s">
        <v>116</v>
      </c>
      <c r="AW558" s="41" t="str">
        <f>INDEX(Input!$1:$1048576,AW$93,$C558*2+6)</f>
        <v>Kia</v>
      </c>
      <c r="AX558" s="41" t="str">
        <f>INDEX(Input!$1:$1048576,AX$93,$C558*2+6)</f>
        <v>Kia-LR - R2</v>
      </c>
      <c r="AY558" s="41" t="str">
        <f>IF(LEN(D558)=0,"",INDEX(Input!$1:$1048576,AY$93,$C558*2+6))</f>
        <v>Compact Conventional/Sporty Car (43)</v>
      </c>
      <c r="AZ558" s="41" t="str">
        <f>INDEX(Input!$1:$1048576,AZ$93,$C558*2+6)</f>
        <v>Kia Forte</v>
      </c>
      <c r="BA558" s="3">
        <f>INDEX(Input!$1:$1048576,BA$93,$C558*2+6)</f>
        <v>2020</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19695</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756"/>
        <v>2250</v>
      </c>
      <c r="CJ558" s="16" t="str">
        <f>INDEX(Input!$1:$1048576,CJ$93,$C558*2+6)</f>
        <v>N</v>
      </c>
      <c r="CK558" s="1" t="str">
        <f t="shared" si="1757"/>
        <v>Market</v>
      </c>
      <c r="CL558" s="1" t="str">
        <f t="shared" si="1758"/>
        <v>Market</v>
      </c>
      <c r="CM558" s="1" t="str">
        <f t="shared" si="1759"/>
        <v>Market</v>
      </c>
      <c r="CN558" s="1" t="str">
        <f t="shared" si="1760"/>
        <v>Market</v>
      </c>
      <c r="CO558" s="1" t="str">
        <f t="shared" si="1761"/>
        <v>Market</v>
      </c>
      <c r="CP558" s="304">
        <f t="shared" si="1762"/>
        <v>215</v>
      </c>
      <c r="CQ558" s="1">
        <f t="shared" si="1763"/>
        <v>0</v>
      </c>
      <c r="CR558" s="1">
        <f t="shared" si="1764"/>
        <v>0</v>
      </c>
      <c r="CS558" s="1">
        <f t="shared" si="1765"/>
        <v>0</v>
      </c>
      <c r="CT558" s="1">
        <f t="shared" si="1766"/>
        <v>8.9999999999999993E-3</v>
      </c>
      <c r="CU558" s="1">
        <f t="shared" si="1767"/>
        <v>3.9E-2</v>
      </c>
      <c r="CV558" s="304">
        <f t="shared" si="1768"/>
        <v>-738.3618966787526</v>
      </c>
      <c r="CW558" s="20" t="s">
        <v>122</v>
      </c>
      <c r="CX558" s="20" t="s">
        <v>122</v>
      </c>
      <c r="CY558" s="20" t="s">
        <v>122</v>
      </c>
      <c r="CZ558" s="20" t="s">
        <v>122</v>
      </c>
      <c r="DA558" s="20" t="s">
        <v>122</v>
      </c>
      <c r="DB558" s="503">
        <f t="shared" si="1769"/>
        <v>0</v>
      </c>
      <c r="DC558" s="127">
        <v>0</v>
      </c>
      <c r="DD558" s="127">
        <v>0</v>
      </c>
      <c r="DE558" s="127">
        <v>0</v>
      </c>
      <c r="DF558" s="127">
        <v>0</v>
      </c>
      <c r="DG558" s="127">
        <v>0</v>
      </c>
      <c r="DH558" s="127">
        <v>0</v>
      </c>
      <c r="DI558" s="127">
        <v>0</v>
      </c>
      <c r="DJ558" s="127">
        <v>0</v>
      </c>
      <c r="DK558" s="127">
        <v>0</v>
      </c>
      <c r="DL558" s="127">
        <v>0</v>
      </c>
      <c r="DM558" s="304">
        <f>INDEX(Input!$1:$1048576,DM$93,$C558*2+6)</f>
        <v>20731.578947368424</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4.5188243493511443E-2</v>
      </c>
      <c r="DZ558" s="7">
        <v>0</v>
      </c>
      <c r="EA558" s="7">
        <v>0.78875458637431395</v>
      </c>
      <c r="EB558" s="7">
        <v>0</v>
      </c>
      <c r="EC558" s="7">
        <v>0</v>
      </c>
      <c r="ED558" s="7">
        <v>0</v>
      </c>
      <c r="EE558" s="7">
        <v>0</v>
      </c>
      <c r="EF558" s="7">
        <v>0</v>
      </c>
      <c r="EG558" s="7">
        <v>0</v>
      </c>
      <c r="EH558" s="7">
        <v>1.0403069430041139E-2</v>
      </c>
      <c r="EI558" s="7">
        <v>1.3089532007113679E-2</v>
      </c>
      <c r="EJ558" s="7">
        <v>0.19281533607707377</v>
      </c>
      <c r="EK558" s="7">
        <v>0.75033074304278091</v>
      </c>
      <c r="EL558" s="7">
        <v>3.336131944299036E-2</v>
      </c>
      <c r="EM558" s="7">
        <v>7.2630379769658041E-2</v>
      </c>
      <c r="EN558" s="7">
        <v>4.7840249253598262E-2</v>
      </c>
      <c r="EO558" s="7">
        <v>0.58177687905004194</v>
      </c>
      <c r="EP558" s="7">
        <v>0.25247760939464325</v>
      </c>
      <c r="EQ558" s="7">
        <v>7.1497091880340355E-2</v>
      </c>
      <c r="ER558" s="7">
        <v>4.6408170421376183E-2</v>
      </c>
      <c r="ES558" s="7">
        <v>9.3426790362516624E-2</v>
      </c>
      <c r="ET558" s="7">
        <v>0.16605717013217453</v>
      </c>
      <c r="EU558" s="6">
        <v>2600</v>
      </c>
      <c r="EV558" s="6">
        <v>0</v>
      </c>
      <c r="EW558" s="6">
        <v>2600</v>
      </c>
      <c r="EX558" s="6">
        <v>0</v>
      </c>
      <c r="EY558" s="6">
        <v>2975.8529360512111</v>
      </c>
      <c r="EZ558" s="6">
        <v>-1363.0908300335955</v>
      </c>
      <c r="FA558" s="6">
        <v>0</v>
      </c>
      <c r="FB558" s="6">
        <v>0</v>
      </c>
      <c r="FC558" s="6">
        <v>0</v>
      </c>
      <c r="FD558" s="6">
        <v>0</v>
      </c>
      <c r="FE558" s="6">
        <v>0</v>
      </c>
      <c r="FF558" s="6">
        <v>0</v>
      </c>
      <c r="FG558" s="6">
        <v>0</v>
      </c>
      <c r="FH558" s="6">
        <v>1153.9921223687354</v>
      </c>
      <c r="FI558" s="6">
        <v>1531.4299904380614</v>
      </c>
      <c r="FJ558" s="6">
        <v>2070.7205842538224</v>
      </c>
      <c r="FK558" s="6">
        <v>2218.6393698501042</v>
      </c>
      <c r="FL558" s="6">
        <v>893.91433563489375</v>
      </c>
      <c r="FM558" s="6">
        <v>2125.8529360512111</v>
      </c>
      <c r="FN558" s="6">
        <v>0</v>
      </c>
      <c r="FO558" s="6">
        <v>0</v>
      </c>
      <c r="FP558" s="6">
        <v>0</v>
      </c>
      <c r="FQ558" s="6">
        <v>0</v>
      </c>
      <c r="FR558" s="6">
        <v>0</v>
      </c>
      <c r="FS558" s="6">
        <v>0</v>
      </c>
      <c r="FT558" s="7">
        <v>0.83394282986782542</v>
      </c>
      <c r="FU558" s="7">
        <v>7.2630379769658041E-2</v>
      </c>
      <c r="FV558" s="7">
        <v>9.3426790362516624E-2</v>
      </c>
      <c r="FW558" s="6">
        <v>2600</v>
      </c>
      <c r="FX558" s="6">
        <v>2975.8529360512111</v>
      </c>
      <c r="FY558" s="6">
        <v>-1363.0908300335955</v>
      </c>
      <c r="FZ558" s="6">
        <v>2411.9063952864503</v>
      </c>
      <c r="GA558" s="6">
        <v>2257.03948531778</v>
      </c>
      <c r="GB558" s="6">
        <v>17437.960514682221</v>
      </c>
      <c r="GC558" s="7">
        <v>7.6138913542514425E-2</v>
      </c>
      <c r="GD558" s="7">
        <v>7.4112198806084023E-2</v>
      </c>
      <c r="GE558" s="7"/>
      <c r="GF558" s="7"/>
      <c r="GG558" s="7">
        <v>-2.6618645343536789E-2</v>
      </c>
      <c r="GH558" s="42">
        <v>3.3851919699761162</v>
      </c>
      <c r="GI558" s="6">
        <v>8075.0256363776098</v>
      </c>
      <c r="GJ558" s="14">
        <v>0.5107463060103955</v>
      </c>
      <c r="GK558" s="14">
        <v>0.50829519786160926</v>
      </c>
      <c r="GL558" s="14">
        <v>0.48925369398960405</v>
      </c>
      <c r="GM558" s="14">
        <v>0.49170480213838985</v>
      </c>
      <c r="GO558" s="5">
        <v>338.16872463277008</v>
      </c>
      <c r="GP558" s="5">
        <v>288.56568471597211</v>
      </c>
      <c r="GQ558" s="5">
        <v>527.27910984145694</v>
      </c>
      <c r="GR558" s="5">
        <v>404.20319246551543</v>
      </c>
      <c r="GS558" s="5">
        <v>334.50205195691484</v>
      </c>
      <c r="GT558" s="5">
        <v>289.18266033348181</v>
      </c>
      <c r="GU558" s="5">
        <v>254.29573314828914</v>
      </c>
      <c r="GV558" s="39" t="s">
        <v>392</v>
      </c>
      <c r="GW558" s="5">
        <v>468.76388888888891</v>
      </c>
      <c r="GX558" s="5">
        <v>351.57291666666669</v>
      </c>
      <c r="GY558" s="5">
        <v>281.25833333333333</v>
      </c>
      <c r="GZ558" s="5">
        <v>240.8550698915011</v>
      </c>
      <c r="HA558" s="5">
        <v>229.8919505212948</v>
      </c>
      <c r="HB558" s="39">
        <v>252.09989065011814</v>
      </c>
      <c r="HC558" s="5">
        <v>342.75084881396981</v>
      </c>
      <c r="HD558" s="5">
        <v>277.02900980034525</v>
      </c>
      <c r="HE558" s="5">
        <v>275.25710238124515</v>
      </c>
      <c r="HF558" s="5">
        <v>249.22464978663214</v>
      </c>
      <c r="HG558" s="5">
        <v>233.7008417861702</v>
      </c>
      <c r="HH558" s="39">
        <v>275.72708012309653</v>
      </c>
      <c r="HI558" s="16"/>
      <c r="HJ558" s="19" t="str">
        <f t="shared" ref="HJ558" si="1818">HJ557</f>
        <v>On</v>
      </c>
      <c r="HK558" s="1" t="str">
        <f t="shared" si="1778"/>
        <v>On</v>
      </c>
      <c r="HL558" s="16"/>
      <c r="HM558" s="639">
        <f t="shared" si="1636"/>
        <v>5.1181272167489952E-2</v>
      </c>
      <c r="HN558" s="639">
        <f t="shared" si="1637"/>
        <v>4.2792051795134348E-3</v>
      </c>
      <c r="HO558" s="639">
        <f t="shared" si="1638"/>
        <v>7.4145241462331068E-3</v>
      </c>
      <c r="HP558" s="644">
        <f>(FT558*$GD558-HM558)/$JF558*INDEX(Input!$1:$1048576,$JG$93,$C558*2+6)</f>
        <v>125.37663252738523</v>
      </c>
      <c r="HQ558" s="644">
        <f>(FU558*$GD558-HN558)/$JF558*INDEX(Input!$1:$1048576,$JG$93,$C558*2+6)</f>
        <v>13.023701293558222</v>
      </c>
      <c r="HR558" s="644">
        <f>(FV558*$GD558-HO558)/$JF558*INDEX(Input!$1:$1048576,$JG$93,$C558*2+6)</f>
        <v>-5.7880044672846171</v>
      </c>
      <c r="HS558" s="644">
        <f t="shared" si="1779"/>
        <v>-26.10070254114536</v>
      </c>
      <c r="HT558" s="644">
        <f t="shared" si="1640"/>
        <v>37.56333790866843</v>
      </c>
      <c r="HU558" s="644">
        <f t="shared" si="1641"/>
        <v>15.574930733945832</v>
      </c>
      <c r="HV558" s="648">
        <f t="shared" si="1642"/>
        <v>0</v>
      </c>
      <c r="HW558" s="648">
        <f t="shared" si="1643"/>
        <v>0</v>
      </c>
      <c r="HX558" s="648">
        <f t="shared" si="1644"/>
        <v>0</v>
      </c>
      <c r="HY558" s="644">
        <f>INDEX(Input!$1:$1048576,HY$93,$C558*2+6)*INDEX(Input!$1:$1048576,$JG$93,$C558*2+6)</f>
        <v>345</v>
      </c>
      <c r="HZ558" s="644">
        <f>INDEX(Input!$1:$1048576,HZ$93,$C558*2+6)*INDEX(Input!$1:$1048576,$JG$93,$C558*2+6)</f>
        <v>299</v>
      </c>
      <c r="IA558" s="644">
        <f>INDEX(Input!$1:$1048576,IA$93,$C558*2+6)*INDEX(Input!$1:$1048576,$JG$93,$C558*2+6)</f>
        <v>98</v>
      </c>
      <c r="IB558" s="644">
        <f t="shared" si="1780"/>
        <v>444.27592998623993</v>
      </c>
      <c r="IC558" s="644">
        <f t="shared" si="1781"/>
        <v>349.58703920222666</v>
      </c>
      <c r="ID558" s="644">
        <f>IF(AND(INDEX(Input!$1:$1048576,IA$93,$C558*2+7)="TOS",Y558&lt;=INDEX(Y:Y,MATCH(C558*1000+2,A:A))),0,1)*MAX(IA558+HR558+HU558+HX558,0%)</f>
        <v>107.78692626666121</v>
      </c>
      <c r="IE558" s="128">
        <f t="shared" si="1782"/>
        <v>0.49273662895727588</v>
      </c>
      <c r="IF558" s="128">
        <f t="shared" si="1783"/>
        <v>0.38771926993432948</v>
      </c>
      <c r="IG558" s="128">
        <f t="shared" si="1784"/>
        <v>0.11954410110839458</v>
      </c>
      <c r="IH558" s="21"/>
      <c r="II558" s="19">
        <f t="shared" si="1647"/>
        <v>1200</v>
      </c>
      <c r="IJ558" s="19">
        <f t="shared" si="1648"/>
        <v>2231.5440334087361</v>
      </c>
      <c r="IK558" s="19">
        <f t="shared" si="1649"/>
        <v>-2048.0908300335955</v>
      </c>
      <c r="IL558" s="19">
        <f t="shared" si="1785"/>
        <v>1400</v>
      </c>
      <c r="IM558" s="19">
        <f t="shared" si="1786"/>
        <v>744.308902642475</v>
      </c>
      <c r="IN558" s="19">
        <f t="shared" si="1787"/>
        <v>685</v>
      </c>
      <c r="IO558" s="39">
        <f t="shared" si="1652"/>
        <v>0</v>
      </c>
      <c r="IP558" s="39">
        <f t="shared" si="1653"/>
        <v>0</v>
      </c>
      <c r="IQ558" s="39">
        <f t="shared" si="1654"/>
        <v>0</v>
      </c>
      <c r="IR558" s="39">
        <v>0</v>
      </c>
      <c r="IS558" s="39">
        <v>0</v>
      </c>
      <c r="IT558" s="39">
        <v>0</v>
      </c>
      <c r="IU558" s="39">
        <v>0</v>
      </c>
      <c r="IV558" s="39">
        <v>0</v>
      </c>
      <c r="IW558" s="39">
        <v>0</v>
      </c>
      <c r="IX558" s="39">
        <f>INDEX(Input!$1:$1048576,IX$93,$C558*2+6)+INDEX(Input!$1:$1048576,IX$94,$C558*2+6)</f>
        <v>1600</v>
      </c>
      <c r="IY558" s="39">
        <f>INDEX(Input!$1:$1048576,IY$93,$C558*2+6)+INDEX(Input!$1:$1048576,IY$94,$C558*2+6)</f>
        <v>2503.5492916397525</v>
      </c>
      <c r="IZ558" s="39">
        <f>INDEX(Input!$1:$1048576,IZ$93,$C558*2+6)+INDEX(Input!$1:$1048576,IZ$94,$C558*2+6)</f>
        <v>5413.7109265464023</v>
      </c>
      <c r="JA558" s="19">
        <f t="shared" si="1788"/>
        <v>3000</v>
      </c>
      <c r="JB558" s="19">
        <f t="shared" si="1789"/>
        <v>3247.8581942822275</v>
      </c>
      <c r="JC558" s="19">
        <f t="shared" si="1790"/>
        <v>6098.7109265464023</v>
      </c>
      <c r="JD558" s="19">
        <f t="shared" si="1791"/>
        <v>3466.5320104430966</v>
      </c>
      <c r="JE558" s="21"/>
      <c r="JF558" s="1">
        <f t="shared" si="1655"/>
        <v>6.2875001493236493E-2</v>
      </c>
      <c r="JG558" s="15">
        <f>INDEX(Input!$1:$1048576,JG$93,$C558*2+6)/(1+VLOOKUP(C558*1000+INDEX(Input!$1:$1048576,JG$93+1,$C558*2+6),$A:$KK,$JK$92,FALSE))</f>
        <v>742</v>
      </c>
      <c r="JH558" s="1">
        <f t="shared" si="1792"/>
        <v>0.17872281584051053</v>
      </c>
      <c r="JI558" s="1">
        <f t="shared" si="1793"/>
        <v>3.6438768330820624E-2</v>
      </c>
      <c r="JJ558" s="1">
        <f t="shared" si="1794"/>
        <v>0</v>
      </c>
      <c r="JK558" s="1">
        <f t="shared" si="1795"/>
        <v>0.21516158417133116</v>
      </c>
      <c r="JL558" s="15">
        <f t="shared" si="1796"/>
        <v>159.64989545512773</v>
      </c>
      <c r="JM558" s="15">
        <f t="shared" si="1797"/>
        <v>901.64989545512776</v>
      </c>
      <c r="JN558" s="21"/>
      <c r="JO558" s="19">
        <f>INDEX(Input!$1:$1048576,JO$93,$C558*2+6)</f>
        <v>5908.5</v>
      </c>
      <c r="JP558" s="19">
        <f>INDEX(Input!$1:$1048576,JP$93,$C558*2+6)</f>
        <v>2467.7963733178344</v>
      </c>
      <c r="JQ558" s="39">
        <f t="shared" si="1798"/>
        <v>2441.9679895569034</v>
      </c>
      <c r="JR558" s="39">
        <f t="shared" si="1799"/>
        <v>998.7356371252622</v>
      </c>
      <c r="JS558" s="39">
        <f t="shared" si="1800"/>
        <v>3.125598224807872</v>
      </c>
      <c r="JT558" s="39">
        <f t="shared" si="1801"/>
        <v>1.294493315806039</v>
      </c>
      <c r="JU558" s="385">
        <f>(JQ558*JM558-INDEX(Input!$1:$1048576,Input!A$18,$C558*2+6)*JL558*INDEX(Input!$1:$1048576,Input!A$19,$C558*2+6))/1000000</f>
        <v>2.2018001824887508</v>
      </c>
      <c r="JV558" s="39">
        <f t="shared" si="1802"/>
        <v>-0.35120190850941579</v>
      </c>
      <c r="JW558" s="1">
        <f t="shared" si="1803"/>
        <v>-0.13756428549265454</v>
      </c>
      <c r="JX558" s="19">
        <f t="shared" si="1804"/>
        <v>8108.3254838076482</v>
      </c>
      <c r="JZ558" s="341"/>
      <c r="KA558" s="342"/>
      <c r="KB558" s="469">
        <f t="shared" si="1805"/>
        <v>2.4623520912331753</v>
      </c>
      <c r="KI558" s="473">
        <f t="shared" si="1806"/>
        <v>99.275929986239873</v>
      </c>
      <c r="KJ558" s="473">
        <f t="shared" si="1807"/>
        <v>50.587039202226663</v>
      </c>
      <c r="KK558" s="473">
        <f t="shared" si="1808"/>
        <v>9.7869262666611974</v>
      </c>
      <c r="KN558" s="544">
        <f t="shared" si="1809"/>
        <v>5002</v>
      </c>
      <c r="KO558" s="541">
        <f t="shared" si="1659"/>
        <v>0.12910834371965496</v>
      </c>
      <c r="KP558" s="546">
        <f t="shared" si="1660"/>
        <v>669.25405225457325</v>
      </c>
      <c r="KQ558" s="546">
        <f t="shared" si="1661"/>
        <v>607.75956429138751</v>
      </c>
      <c r="KR558" s="548">
        <f t="shared" si="1662"/>
        <v>3.247940668632264</v>
      </c>
      <c r="KS558" s="548">
        <f t="shared" si="1663"/>
        <v>3.5765746549772128</v>
      </c>
      <c r="KT558" s="473">
        <f t="shared" si="1810"/>
        <v>389.37465324503302</v>
      </c>
      <c r="KU558" s="663">
        <f t="shared" si="1685"/>
        <v>7.4748043596079885</v>
      </c>
      <c r="KV558" s="117"/>
    </row>
    <row r="559" spans="1:308" s="26" customFormat="1" ht="15" outlineLevel="1">
      <c r="A559" s="561">
        <f t="shared" si="1770"/>
        <v>5059</v>
      </c>
      <c r="B559" s="561">
        <f t="shared" si="1771"/>
        <v>59</v>
      </c>
      <c r="C559" s="561">
        <f t="shared" si="1772"/>
        <v>5</v>
      </c>
      <c r="D559" s="561" t="str">
        <f t="shared" si="1812"/>
        <v xml:space="preserve">250 CC, 0/0/0.9/3.9, -360 Lease, </v>
      </c>
      <c r="E559" s="475">
        <f>INDEX(Input!$1:$1048576,E$93,$C559*2+MIN($B559,2)+5)
+INDEX(Scenarios!E$121:E$200,MATCH($B559,Scenarios!$B$121:$B$200,0))</f>
        <v>1500</v>
      </c>
      <c r="F559" s="475">
        <f>INDEX(Input!$1:$1048576,F$93,$C559*2+MIN($B559,2)+5)
+INDEX(Scenarios!F$121:F$200,MATCH($B559,Scenarios!$B$121:$B$200,0))</f>
        <v>0</v>
      </c>
      <c r="G559" s="475">
        <f>INDEX(Input!$1:$1048576,G$93,$C559*2+MIN($B559,2)+5)
+INDEX(Scenarios!G$121:G$200,MATCH($B559,Scenarios!$B$121:$B$200,0))</f>
        <v>0</v>
      </c>
      <c r="H559" s="475">
        <f>INDEX(Input!$1:$1048576,H$93,$C559*2+MIN($B559,2)+5)
+INDEX(Scenarios!H$121:H$200,MATCH($B559,Scenarios!$B$121:$B$200,0))</f>
        <v>0</v>
      </c>
      <c r="I559" s="476">
        <f>INDEX(Input!$1:$1048576,I$93,$C559*2+MIN($B559,2)+5)</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+INDEX(Scenarios!Q$121:Q$200,MATCH($B559,Scenarios!$B$121:$B$200,0))</f>
        <v>0</v>
      </c>
      <c r="R559" s="478">
        <f>IFERROR(MAX(0,INDEX(Input!$1:$1048576,R$93,$C559*2+MIN($B559,2)+5)
+INDEX(Scenarios!R$121:R$200,MATCH($B559,Scenarios!$B$121:$B$200,0)),),"Market")</f>
        <v>0</v>
      </c>
      <c r="S559" s="478">
        <f>IFERROR(MAX(0,INDEX(Input!$1:$1048576,S$93,$C559*2+MIN($B559,2)+5)
+INDEX(Scenarios!S$121:S$200,MATCH($B559,Scenarios!$B$121:$B$200,0)),),"Market")</f>
        <v>0</v>
      </c>
      <c r="T559" s="478">
        <f>IFERROR(MAX(0,INDEX(Input!$1:$1048576,T$93,$C559*2+MIN($B559,2)+5)
+INDEX(Scenarios!T$121:T$200,MATCH($B559,Scenarios!$B$121:$B$200,0)),),"Market")</f>
        <v>0</v>
      </c>
      <c r="U559" s="478">
        <f>IFERROR(MAX(0,INDEX(Input!$1:$1048576,U$93,$C559*2+MIN($B559,2)+5)
+INDEX(Scenarios!U$121:U$200,MATCH($B559,Scenarios!$B$121:$B$200,0)),),"Market")</f>
        <v>0</v>
      </c>
      <c r="V559" s="478">
        <f>IFERROR(MAX(0,INDEX(Input!$1:$1048576,V$93,$C559*2+MIN($B559,2)+5)
+INDEX(Scenarios!V$121:V$200,MATCH($B559,Scenarios!$B$121:$B$200,0)),),"Market")</f>
        <v>8.9999999999999993E-3</v>
      </c>
      <c r="W559" s="863">
        <f>IFERROR(MAX(0,INDEX(Input!$1:$1048576,W$93,$C559*2+MIN($B559,2)+5)-0%,),"Market")</f>
        <v>3.9E-2</v>
      </c>
      <c r="X559" s="476" t="str">
        <f>INDEX(Input!$1:$1048576,X$93,$C559*2+MIN($B559,2)+5)</f>
        <v>Y</v>
      </c>
      <c r="Y559" s="475">
        <f>INDEX(Input!$1:$1048576,Y$93,$C559*2+MIN($B559,2)+5)
++INDEX(Scenarios!Y$121:Y$200,MATCH($B559,Scenarios!$B$121:$B$200,0))</f>
        <v>-1458.3618966787526</v>
      </c>
      <c r="Z559" s="477">
        <f>INDEX(Input!$1:$1048576,Z$93,$C559*2+MIN($B559,2)+5)
+INDEX(Scenarios!Z$121:Z$200,MATCH($B559,Scenarios!$B$121:$B$200,0))</f>
        <v>0</v>
      </c>
      <c r="AA559" s="475">
        <f>INDEX(Input!$1:$1048576,AA$93,$C559*2+MIN($B559,2)+5)</f>
        <v>500</v>
      </c>
      <c r="AB559" s="476">
        <f>INDEX(Input!$1:$1048576,AB$93,$C559*2+MIN($B559,2)+5)</f>
        <v>0.43</v>
      </c>
      <c r="AC559" s="475">
        <f>INDEX(Input!$1:$1048576,AC$93,$C559*2+MIN($B559,2)+5)
+INDEX(Scenarios!AC$121:AC$200,MATCH($B559,Scenarios!$B$121:$B$200,0))</f>
        <v>0</v>
      </c>
      <c r="AD559" s="476">
        <f>INDEX(Input!$1:$1048576,AD$93,$C559*2+MIN($B559,2)+5)</f>
        <v>0.35</v>
      </c>
      <c r="AE559" s="475">
        <f>INDEX(Input!$1:$1048576,AE$93,$C559*2+MIN($B559,2)+5)
+INDEX(Scenarios!AE$121:AE$200,MATCH($B559,Scenarios!$B$121:$B$200,0))</f>
        <v>0</v>
      </c>
      <c r="AF559" s="476">
        <f>INDEX(Input!$1:$1048576,AF$93,$C559*2+MIN($B559,2)+5)</f>
        <v>1</v>
      </c>
      <c r="AG559" s="475">
        <f>INDEX(Input!$1:$1048576,AG$93,$C559*2+MIN($B559,2)+5)
+INDEX(Scenarios!AG$121:AG$200,MATCH($B559,Scenarios!$B$121:$B$200,0))</f>
        <v>0</v>
      </c>
      <c r="AH559" s="476">
        <f>INDEX(Input!$1:$1048576,AH$93,$C559*2+MIN($B559,2)+5)</f>
        <v>1</v>
      </c>
      <c r="AI559" s="475">
        <f>INDEX(Input!$1:$1048576,AI$93,$C559*2+MIN($B559,2)+5)
+INDEX(Scenarios!AI$121:AI$200,MATCH($B559,Scenarios!$B$121:$B$200,0))</f>
        <v>0</v>
      </c>
      <c r="AJ559" s="476">
        <f>INDEX(Input!$1:$1048576,AJ$93,$C559*2+MIN($B559,2)+5)</f>
        <v>0.35</v>
      </c>
      <c r="AK559" s="150">
        <f>ROUND(INDEX(Input!$1:$1048576,AK$93,$C558*2+MIN($B559,1)+5)+(Y559-VLOOKUP($C559*1000+1,$A:$HH,Y$92,FALSE)),0)</f>
        <v>4232</v>
      </c>
      <c r="AL559" s="150">
        <f>ROUND(INDEX(Input!$1:$1048576,AL$93,$C558*2+MIN($B559,1)+5)-(Y559-VLOOKUP($C559*1000+1,$A:$HH,Y$92,FALSE))/36,0)</f>
        <v>4753</v>
      </c>
      <c r="AM559" s="32" t="str">
        <f t="shared" si="1773"/>
        <v>std/std/std/std</v>
      </c>
      <c r="AN559" s="32" t="str">
        <f t="shared" si="1774"/>
        <v>$0 + 0/0/0/0.9/3.9</v>
      </c>
      <c r="AO559" s="32" t="str">
        <f t="shared" si="1775"/>
        <v>0/0/0/0.9/3.9</v>
      </c>
      <c r="AP559" s="32" t="str">
        <f t="shared" si="1755"/>
        <v>0/0/0.9/3.9</v>
      </c>
      <c r="AQ559" s="536">
        <f t="shared" si="1754"/>
        <v>0.46158087988905067</v>
      </c>
      <c r="AR559" s="32"/>
      <c r="AS559" s="302"/>
      <c r="AT559" s="3">
        <f t="shared" si="1776"/>
        <v>59</v>
      </c>
      <c r="AU559" s="41" t="s">
        <v>121</v>
      </c>
      <c r="AV559" s="41" t="s">
        <v>116</v>
      </c>
      <c r="AW559" s="41" t="str">
        <f>INDEX(Input!$1:$1048576,AW$93,$C559*2+6)</f>
        <v>Kia</v>
      </c>
      <c r="AX559" s="41" t="str">
        <f>INDEX(Input!$1:$1048576,AX$93,$C559*2+6)</f>
        <v>Kia-LR - R2</v>
      </c>
      <c r="AY559" s="41" t="str">
        <f>IF(LEN(D559)=0,"",INDEX(Input!$1:$1048576,AY$93,$C559*2+6))</f>
        <v>Compact Conventional/Sporty Car (43)</v>
      </c>
      <c r="AZ559" s="41" t="str">
        <f>INDEX(Input!$1:$1048576,AZ$93,$C559*2+6)</f>
        <v>Kia Forte</v>
      </c>
      <c r="BA559" s="3">
        <f>INDEX(Input!$1:$1048576,BA$93,$C559*2+6)</f>
        <v>2020</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19695</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756"/>
        <v>1500</v>
      </c>
      <c r="CJ559" s="16" t="str">
        <f>INDEX(Input!$1:$1048576,CJ$93,$C559*2+6)</f>
        <v>N</v>
      </c>
      <c r="CK559" s="1" t="str">
        <f t="shared" si="1757"/>
        <v>Market</v>
      </c>
      <c r="CL559" s="1" t="str">
        <f t="shared" si="1758"/>
        <v>Market</v>
      </c>
      <c r="CM559" s="1" t="str">
        <f t="shared" si="1759"/>
        <v>Market</v>
      </c>
      <c r="CN559" s="1" t="str">
        <f t="shared" si="1760"/>
        <v>Market</v>
      </c>
      <c r="CO559" s="1" t="str">
        <f t="shared" si="1761"/>
        <v>Market</v>
      </c>
      <c r="CP559" s="304">
        <f t="shared" si="1762"/>
        <v>215</v>
      </c>
      <c r="CQ559" s="1">
        <f t="shared" si="1763"/>
        <v>0</v>
      </c>
      <c r="CR559" s="1">
        <f t="shared" si="1764"/>
        <v>0</v>
      </c>
      <c r="CS559" s="1">
        <f t="shared" si="1765"/>
        <v>0</v>
      </c>
      <c r="CT559" s="1">
        <f t="shared" si="1766"/>
        <v>8.9999999999999993E-3</v>
      </c>
      <c r="CU559" s="1">
        <f t="shared" si="1767"/>
        <v>3.9E-2</v>
      </c>
      <c r="CV559" s="304">
        <f t="shared" si="1768"/>
        <v>-1458.3618966787526</v>
      </c>
      <c r="CW559" s="20" t="s">
        <v>122</v>
      </c>
      <c r="CX559" s="20" t="s">
        <v>122</v>
      </c>
      <c r="CY559" s="20" t="s">
        <v>122</v>
      </c>
      <c r="CZ559" s="20" t="s">
        <v>122</v>
      </c>
      <c r="DA559" s="20" t="s">
        <v>122</v>
      </c>
      <c r="DB559" s="503">
        <f t="shared" si="1769"/>
        <v>0</v>
      </c>
      <c r="DC559" s="127">
        <v>0</v>
      </c>
      <c r="DD559" s="127">
        <v>0</v>
      </c>
      <c r="DE559" s="127">
        <v>0</v>
      </c>
      <c r="DF559" s="127">
        <v>0</v>
      </c>
      <c r="DG559" s="127">
        <v>0</v>
      </c>
      <c r="DH559" s="127">
        <v>0</v>
      </c>
      <c r="DI559" s="127">
        <v>0</v>
      </c>
      <c r="DJ559" s="127">
        <v>0</v>
      </c>
      <c r="DK559" s="127">
        <v>0</v>
      </c>
      <c r="DL559" s="127">
        <v>0</v>
      </c>
      <c r="DM559" s="304">
        <f>INDEX(Input!$1:$1048576,DM$93,$C559*2+6)</f>
        <v>20731.578947368424</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4.373162927374194E-2</v>
      </c>
      <c r="DZ559" s="7">
        <v>0</v>
      </c>
      <c r="EA559" s="7">
        <v>0.77101290757691554</v>
      </c>
      <c r="EB559" s="7">
        <v>0</v>
      </c>
      <c r="EC559" s="7">
        <v>0</v>
      </c>
      <c r="ED559" s="7">
        <v>0</v>
      </c>
      <c r="EE559" s="7">
        <v>0</v>
      </c>
      <c r="EF559" s="7">
        <v>0</v>
      </c>
      <c r="EG559" s="7">
        <v>0</v>
      </c>
      <c r="EH559" s="7">
        <v>1.0395232331142644E-2</v>
      </c>
      <c r="EI559" s="7">
        <v>1.3088388578522316E-2</v>
      </c>
      <c r="EJ559" s="7">
        <v>0.19259759426977333</v>
      </c>
      <c r="EK559" s="7">
        <v>0.75055158217945095</v>
      </c>
      <c r="EL559" s="7">
        <v>3.3367202641110955E-2</v>
      </c>
      <c r="EM559" s="7">
        <v>8.8146893213896363E-2</v>
      </c>
      <c r="EN559" s="7">
        <v>4.6960946811423661E-2</v>
      </c>
      <c r="EO559" s="7">
        <v>0.58335361620385595</v>
      </c>
      <c r="EP559" s="7">
        <v>0.24968168094966867</v>
      </c>
      <c r="EQ559" s="7">
        <v>7.2898875852058481E-2</v>
      </c>
      <c r="ER559" s="7">
        <v>4.7104880182993206E-2</v>
      </c>
      <c r="ES559" s="7">
        <v>9.7108569935446198E-2</v>
      </c>
      <c r="ET559" s="7">
        <v>0.18525546314934246</v>
      </c>
      <c r="EU559" s="6">
        <v>1850</v>
      </c>
      <c r="EV559" s="6">
        <v>0</v>
      </c>
      <c r="EW559" s="6">
        <v>1850</v>
      </c>
      <c r="EX559" s="6">
        <v>0</v>
      </c>
      <c r="EY559" s="6">
        <v>2975.886446140787</v>
      </c>
      <c r="EZ559" s="6">
        <v>-2083.0908300335955</v>
      </c>
      <c r="FA559" s="6">
        <v>0</v>
      </c>
      <c r="FB559" s="6">
        <v>0</v>
      </c>
      <c r="FC559" s="6">
        <v>0</v>
      </c>
      <c r="FD559" s="6">
        <v>0</v>
      </c>
      <c r="FE559" s="6">
        <v>0</v>
      </c>
      <c r="FF559" s="6">
        <v>0</v>
      </c>
      <c r="FG559" s="6">
        <v>0</v>
      </c>
      <c r="FH559" s="6">
        <v>1153.9888598227587</v>
      </c>
      <c r="FI559" s="6">
        <v>1531.4299904380609</v>
      </c>
      <c r="FJ559" s="6">
        <v>2070.720584253821</v>
      </c>
      <c r="FK559" s="6">
        <v>2218.639369850102</v>
      </c>
      <c r="FL559" s="6">
        <v>893.9143356348942</v>
      </c>
      <c r="FM559" s="6">
        <v>2125.886446140787</v>
      </c>
      <c r="FN559" s="6">
        <v>0</v>
      </c>
      <c r="FO559" s="6">
        <v>0</v>
      </c>
      <c r="FP559" s="6">
        <v>0</v>
      </c>
      <c r="FQ559" s="6">
        <v>0</v>
      </c>
      <c r="FR559" s="6">
        <v>0</v>
      </c>
      <c r="FS559" s="6">
        <v>0</v>
      </c>
      <c r="FT559" s="7">
        <v>0.81474453685065751</v>
      </c>
      <c r="FU559" s="7">
        <v>8.8146893213896363E-2</v>
      </c>
      <c r="FV559" s="7">
        <v>9.7108569935446198E-2</v>
      </c>
      <c r="FW559" s="6">
        <v>1849.9999999999998</v>
      </c>
      <c r="FX559" s="6">
        <v>2975.886446140787</v>
      </c>
      <c r="FY559" s="6">
        <v>-2083.0908300335955</v>
      </c>
      <c r="FZ559" s="6">
        <v>2411.9063952864503</v>
      </c>
      <c r="GA559" s="6">
        <v>1567.3065664081657</v>
      </c>
      <c r="GB559" s="6">
        <v>18127.693433591834</v>
      </c>
      <c r="GC559" s="7">
        <v>7.6138913542514425E-2</v>
      </c>
      <c r="GD559" s="7">
        <v>6.8176894460294082E-2</v>
      </c>
      <c r="GE559" s="7"/>
      <c r="GF559" s="7"/>
      <c r="GG559" s="7">
        <v>-0.10457227075842779</v>
      </c>
      <c r="GH559" s="42">
        <v>2.4384931208457981</v>
      </c>
      <c r="GI559" s="6">
        <v>9644.0158388824439</v>
      </c>
      <c r="GJ559" s="14">
        <v>0.5107463060103955</v>
      </c>
      <c r="GK559" s="14">
        <v>0.50829519786160993</v>
      </c>
      <c r="GL559" s="14">
        <v>0.4892536939896045</v>
      </c>
      <c r="GM559" s="14">
        <v>0.49170480213839057</v>
      </c>
      <c r="GO559" s="5">
        <v>338.16872463277008</v>
      </c>
      <c r="GP559" s="5">
        <v>302.87425392274076</v>
      </c>
      <c r="GQ559" s="5">
        <v>527.27910984145694</v>
      </c>
      <c r="GR559" s="5">
        <v>404.20319246551543</v>
      </c>
      <c r="GS559" s="5">
        <v>334.50205195691484</v>
      </c>
      <c r="GT559" s="5">
        <v>289.18266033348181</v>
      </c>
      <c r="GU559" s="5">
        <v>254.29573314828914</v>
      </c>
      <c r="GV559" s="39" t="s">
        <v>392</v>
      </c>
      <c r="GW559" s="5">
        <v>468.76388888888891</v>
      </c>
      <c r="GX559" s="5">
        <v>351.57291666666669</v>
      </c>
      <c r="GY559" s="5">
        <v>281.25833333333333</v>
      </c>
      <c r="GZ559" s="5">
        <v>240.8550698915011</v>
      </c>
      <c r="HA559" s="5">
        <v>229.8919505212948</v>
      </c>
      <c r="HB559" s="39">
        <v>252.08911593040639</v>
      </c>
      <c r="HC559" s="5">
        <v>374.25084881396981</v>
      </c>
      <c r="HD559" s="5">
        <v>298.52900980034525</v>
      </c>
      <c r="HE559" s="5">
        <v>295.2186408427836</v>
      </c>
      <c r="HF559" s="5">
        <v>265.87464978663218</v>
      </c>
      <c r="HG559" s="5">
        <v>247.50084178617021</v>
      </c>
      <c r="HH559" s="39">
        <v>296.4742986919062</v>
      </c>
      <c r="HI559" s="16"/>
      <c r="HJ559" s="19" t="str">
        <f t="shared" ref="HJ559" si="1819">HJ558</f>
        <v>On</v>
      </c>
      <c r="HK559" s="1" t="str">
        <f t="shared" si="1778"/>
        <v>On</v>
      </c>
      <c r="HL559" s="16"/>
      <c r="HM559" s="639">
        <f t="shared" si="1636"/>
        <v>5.1181272167489952E-2</v>
      </c>
      <c r="HN559" s="639">
        <f t="shared" si="1637"/>
        <v>4.2792051795134348E-3</v>
      </c>
      <c r="HO559" s="639">
        <f t="shared" si="1638"/>
        <v>7.4145241462331068E-3</v>
      </c>
      <c r="HP559" s="644">
        <f>(FT559*$GD559-HM559)/$JF559*INDEX(Input!$1:$1048576,$JG$93,$C559*2+6)</f>
        <v>51.51787168370074</v>
      </c>
      <c r="HQ559" s="644">
        <f>(FU559*$GD559-HN559)/$JF559*INDEX(Input!$1:$1048576,$JG$93,$C559*2+6)</f>
        <v>20.42050340450395</v>
      </c>
      <c r="HR559" s="644">
        <f>(FV559*$GD559-HO559)/$JF559*INDEX(Input!$1:$1048576,$JG$93,$C559*2+6)</f>
        <v>-9.3697152372794399</v>
      </c>
      <c r="HS559" s="644">
        <f t="shared" si="1779"/>
        <v>-12.201727680130572</v>
      </c>
      <c r="HT559" s="644">
        <f t="shared" si="1640"/>
        <v>39.251291195963184</v>
      </c>
      <c r="HU559" s="644">
        <f t="shared" si="1641"/>
        <v>0.99023323990999468</v>
      </c>
      <c r="HV559" s="648">
        <f t="shared" si="1642"/>
        <v>0</v>
      </c>
      <c r="HW559" s="648">
        <f t="shared" si="1643"/>
        <v>0</v>
      </c>
      <c r="HX559" s="648">
        <f t="shared" si="1644"/>
        <v>0</v>
      </c>
      <c r="HY559" s="644">
        <f>INDEX(Input!$1:$1048576,HY$93,$C559*2+6)*INDEX(Input!$1:$1048576,$JG$93,$C559*2+6)</f>
        <v>345</v>
      </c>
      <c r="HZ559" s="644">
        <f>INDEX(Input!$1:$1048576,HZ$93,$C559*2+6)*INDEX(Input!$1:$1048576,$JG$93,$C559*2+6)</f>
        <v>299</v>
      </c>
      <c r="IA559" s="644">
        <f>INDEX(Input!$1:$1048576,IA$93,$C559*2+6)*INDEX(Input!$1:$1048576,$JG$93,$C559*2+6)</f>
        <v>98</v>
      </c>
      <c r="IB559" s="644">
        <f t="shared" si="1780"/>
        <v>384.31614400357023</v>
      </c>
      <c r="IC559" s="644">
        <f t="shared" si="1781"/>
        <v>358.67179460046714</v>
      </c>
      <c r="ID559" s="644">
        <f>IF(AND(INDEX(Input!$1:$1048576,IA$93,$C559*2+7)="TOS",Y559&lt;=INDEX(Y:Y,MATCH(C559*1000+2,A:A))),0,1)*MAX(IA559+HR559+HU559+HX559,0%)</f>
        <v>89.620518002630561</v>
      </c>
      <c r="IE559" s="128">
        <f t="shared" si="1782"/>
        <v>0.46158087988905067</v>
      </c>
      <c r="IF559" s="128">
        <f t="shared" si="1783"/>
        <v>0.4307808691521699</v>
      </c>
      <c r="IG559" s="128">
        <f t="shared" si="1784"/>
        <v>0.10763825095877946</v>
      </c>
      <c r="IH559" s="21"/>
      <c r="II559" s="19">
        <f t="shared" si="1647"/>
        <v>1200</v>
      </c>
      <c r="IJ559" s="19">
        <f t="shared" si="1648"/>
        <v>2231.5440334087361</v>
      </c>
      <c r="IK559" s="19">
        <f t="shared" si="1649"/>
        <v>-2048.0908300335955</v>
      </c>
      <c r="IL559" s="19">
        <f t="shared" si="1785"/>
        <v>649.99999999999977</v>
      </c>
      <c r="IM559" s="19">
        <f t="shared" si="1786"/>
        <v>744.34241273205089</v>
      </c>
      <c r="IN559" s="19">
        <f t="shared" si="1787"/>
        <v>-35</v>
      </c>
      <c r="IO559" s="39">
        <f t="shared" si="1652"/>
        <v>0</v>
      </c>
      <c r="IP559" s="39">
        <f t="shared" si="1653"/>
        <v>0</v>
      </c>
      <c r="IQ559" s="39">
        <f t="shared" si="1654"/>
        <v>0</v>
      </c>
      <c r="IR559" s="39">
        <v>0</v>
      </c>
      <c r="IS559" s="39">
        <v>0</v>
      </c>
      <c r="IT559" s="39">
        <v>0</v>
      </c>
      <c r="IU559" s="39">
        <v>0</v>
      </c>
      <c r="IV559" s="39">
        <v>0</v>
      </c>
      <c r="IW559" s="39">
        <v>0</v>
      </c>
      <c r="IX559" s="39">
        <f>INDEX(Input!$1:$1048576,IX$93,$C559*2+6)+INDEX(Input!$1:$1048576,IX$94,$C559*2+6)</f>
        <v>1600</v>
      </c>
      <c r="IY559" s="39">
        <f>INDEX(Input!$1:$1048576,IY$93,$C559*2+6)+INDEX(Input!$1:$1048576,IY$94,$C559*2+6)</f>
        <v>2503.5492916397525</v>
      </c>
      <c r="IZ559" s="39">
        <f>INDEX(Input!$1:$1048576,IZ$93,$C559*2+6)+INDEX(Input!$1:$1048576,IZ$94,$C559*2+6)</f>
        <v>5413.7109265464023</v>
      </c>
      <c r="JA559" s="19">
        <f t="shared" si="1788"/>
        <v>2250</v>
      </c>
      <c r="JB559" s="19">
        <f t="shared" si="1789"/>
        <v>3247.8917043718034</v>
      </c>
      <c r="JC559" s="19">
        <f t="shared" si="1790"/>
        <v>5378.7109265464023</v>
      </c>
      <c r="JD559" s="19">
        <f t="shared" si="1791"/>
        <v>3016.641627618103</v>
      </c>
      <c r="JE559" s="21"/>
      <c r="JF559" s="1">
        <f t="shared" si="1655"/>
        <v>6.2875001493236493E-2</v>
      </c>
      <c r="JG559" s="15">
        <f>INDEX(Input!$1:$1048576,JG$93,$C559*2+6)/(1+VLOOKUP(C559*1000+INDEX(Input!$1:$1048576,JG$93+1,$C559*2+6),$A:$KK,$JK$92,FALSE))</f>
        <v>742</v>
      </c>
      <c r="JH559" s="1">
        <f t="shared" si="1792"/>
        <v>8.4324339421732147E-2</v>
      </c>
      <c r="JI559" s="1">
        <f t="shared" si="1793"/>
        <v>3.7789483498305396E-2</v>
      </c>
      <c r="JJ559" s="1">
        <f t="shared" si="1794"/>
        <v>0</v>
      </c>
      <c r="JK559" s="1">
        <f t="shared" si="1795"/>
        <v>0.12211382292003754</v>
      </c>
      <c r="JL559" s="15">
        <f t="shared" si="1796"/>
        <v>90.608456606667858</v>
      </c>
      <c r="JM559" s="15">
        <f t="shared" si="1797"/>
        <v>832.60845660666791</v>
      </c>
      <c r="JN559" s="21"/>
      <c r="JO559" s="19">
        <f>INDEX(Input!$1:$1048576,JO$93,$C559*2+6)</f>
        <v>5908.5</v>
      </c>
      <c r="JP559" s="19">
        <f>INDEX(Input!$1:$1048576,JP$93,$C559*2+6)</f>
        <v>2467.7963733178344</v>
      </c>
      <c r="JQ559" s="39">
        <f t="shared" si="1798"/>
        <v>2891.858372381897</v>
      </c>
      <c r="JR559" s="39">
        <f t="shared" si="1799"/>
        <v>548.84525430026861</v>
      </c>
      <c r="JS559" s="39">
        <f t="shared" si="1800"/>
        <v>2.5116813297065352</v>
      </c>
      <c r="JT559" s="39">
        <f t="shared" si="1801"/>
        <v>0.68057642070470215</v>
      </c>
      <c r="JU559" s="385">
        <f>(JQ559*JM559-INDEX(Input!$1:$1048576,Input!A$18,$C559*2+6)*JL559*INDEX(Input!$1:$1048576,Input!A$19,$C559*2+6))/1000000</f>
        <v>2.4077857361539623</v>
      </c>
      <c r="JV559" s="39">
        <f t="shared" si="1802"/>
        <v>-0.14521635484420425</v>
      </c>
      <c r="JW559" s="1">
        <f t="shared" si="1803"/>
        <v>-5.6880625110427512E-2</v>
      </c>
      <c r="JX559" s="19">
        <f t="shared" si="1804"/>
        <v>7511.1799294749126</v>
      </c>
      <c r="JZ559" s="341"/>
      <c r="KA559" s="342"/>
      <c r="KB559" s="469">
        <f t="shared" si="1805"/>
        <v>2.4623520912331753</v>
      </c>
      <c r="KI559" s="473">
        <f t="shared" si="1806"/>
        <v>39.31614400357023</v>
      </c>
      <c r="KJ559" s="473">
        <f t="shared" si="1807"/>
        <v>59.671794600467138</v>
      </c>
      <c r="KK559" s="473">
        <f t="shared" si="1808"/>
        <v>-8.3794819973694388</v>
      </c>
      <c r="KN559" s="544">
        <f t="shared" si="1809"/>
        <v>5002</v>
      </c>
      <c r="KO559" s="541">
        <f t="shared" si="1659"/>
        <v>4.2649880119593586E-2</v>
      </c>
      <c r="KP559" s="546">
        <f t="shared" si="1660"/>
        <v>224.96640804119906</v>
      </c>
      <c r="KQ559" s="546">
        <f t="shared" si="1661"/>
        <v>157.86918146639391</v>
      </c>
      <c r="KR559" s="548">
        <f t="shared" si="1662"/>
        <v>3.1918680352771864</v>
      </c>
      <c r="KS559" s="548">
        <f t="shared" si="1663"/>
        <v>4.5484690562653247</v>
      </c>
      <c r="KT559" s="473">
        <f t="shared" si="1810"/>
        <v>389.37465324503302</v>
      </c>
      <c r="KU559" s="663">
        <f t="shared" si="1685"/>
        <v>7.4319180221511578</v>
      </c>
      <c r="KV559" s="117"/>
    </row>
    <row r="560" spans="1:308" s="26" customFormat="1" ht="15" outlineLevel="1">
      <c r="A560" s="561">
        <f t="shared" si="1770"/>
        <v>5060</v>
      </c>
      <c r="B560" s="561">
        <f t="shared" si="1771"/>
        <v>60</v>
      </c>
      <c r="C560" s="561">
        <f t="shared" si="1772"/>
        <v>5</v>
      </c>
      <c r="D560" s="561" t="str">
        <f t="shared" si="1812"/>
        <v xml:space="preserve">500 CC, 0/0/0.9/3.9, -360 Lease, </v>
      </c>
      <c r="E560" s="475">
        <f>INDEX(Input!$1:$1048576,E$93,$C560*2+MIN($B560,2)+5)
+INDEX(Scenarios!E$121:E$200,MATCH($B560,Scenarios!$B$121:$B$200,0))</f>
        <v>1750</v>
      </c>
      <c r="F560" s="475">
        <f>INDEX(Input!$1:$1048576,F$93,$C560*2+MIN($B560,2)+5)
+INDEX(Scenarios!F$121:F$200,MATCH($B560,Scenarios!$B$121:$B$200,0))</f>
        <v>0</v>
      </c>
      <c r="G560" s="475">
        <f>INDEX(Input!$1:$1048576,G$93,$C560*2+MIN($B560,2)+5)
+INDEX(Scenarios!G$121:G$200,MATCH($B560,Scenarios!$B$121:$B$200,0))</f>
        <v>0</v>
      </c>
      <c r="H560" s="475">
        <f>INDEX(Input!$1:$1048576,H$93,$C560*2+MIN($B560,2)+5)
+INDEX(Scenarios!H$121:H$200,MATCH($B560,Scenarios!$B$121:$B$200,0))</f>
        <v>0</v>
      </c>
      <c r="I560" s="476">
        <f>INDEX(Input!$1:$1048576,I$93,$C560*2+MIN($B560,2)+5)</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+INDEX(Scenarios!Q$121:Q$200,MATCH($B560,Scenarios!$B$121:$B$200,0))</f>
        <v>0</v>
      </c>
      <c r="R560" s="478">
        <f>IFERROR(MAX(0,INDEX(Input!$1:$1048576,R$93,$C560*2+MIN($B560,2)+5)
+INDEX(Scenarios!R$121:R$200,MATCH($B560,Scenarios!$B$121:$B$200,0)),),"Market")</f>
        <v>0</v>
      </c>
      <c r="S560" s="478">
        <f>IFERROR(MAX(0,INDEX(Input!$1:$1048576,S$93,$C560*2+MIN($B560,2)+5)
+INDEX(Scenarios!S$121:S$200,MATCH($B560,Scenarios!$B$121:$B$200,0)),),"Market")</f>
        <v>0</v>
      </c>
      <c r="T560" s="478">
        <f>IFERROR(MAX(0,INDEX(Input!$1:$1048576,T$93,$C560*2+MIN($B560,2)+5)
+INDEX(Scenarios!T$121:T$200,MATCH($B560,Scenarios!$B$121:$B$200,0)),),"Market")</f>
        <v>0</v>
      </c>
      <c r="U560" s="478">
        <f>IFERROR(MAX(0,INDEX(Input!$1:$1048576,U$93,$C560*2+MIN($B560,2)+5)
+INDEX(Scenarios!U$121:U$200,MATCH($B560,Scenarios!$B$121:$B$200,0)),),"Market")</f>
        <v>0</v>
      </c>
      <c r="V560" s="478">
        <f>IFERROR(MAX(0,INDEX(Input!$1:$1048576,V$93,$C560*2+MIN($B560,2)+5)
+INDEX(Scenarios!V$121:V$200,MATCH($B560,Scenarios!$B$121:$B$200,0)),),"Market")</f>
        <v>8.9999999999999993E-3</v>
      </c>
      <c r="W560" s="863">
        <f>IFERROR(MAX(0,INDEX(Input!$1:$1048576,W$93,$C560*2+MIN($B560,2)+5)-0%,),"Market")</f>
        <v>3.9E-2</v>
      </c>
      <c r="X560" s="476" t="str">
        <f>INDEX(Input!$1:$1048576,X$93,$C560*2+MIN($B560,2)+5)</f>
        <v>Y</v>
      </c>
      <c r="Y560" s="475">
        <f>INDEX(Input!$1:$1048576,Y$93,$C560*2+MIN($B560,2)+5)
++INDEX(Scenarios!Y$121:Y$200,MATCH($B560,Scenarios!$B$121:$B$200,0))</f>
        <v>-1458.3618966787526</v>
      </c>
      <c r="Z560" s="477">
        <f>INDEX(Input!$1:$1048576,Z$93,$C560*2+MIN($B560,2)+5)
+INDEX(Scenarios!Z$121:Z$200,MATCH($B560,Scenarios!$B$121:$B$200,0))</f>
        <v>0</v>
      </c>
      <c r="AA560" s="475">
        <f>INDEX(Input!$1:$1048576,AA$93,$C560*2+MIN($B560,2)+5)</f>
        <v>500</v>
      </c>
      <c r="AB560" s="476">
        <f>INDEX(Input!$1:$1048576,AB$93,$C560*2+MIN($B560,2)+5)</f>
        <v>0.43</v>
      </c>
      <c r="AC560" s="475">
        <f>INDEX(Input!$1:$1048576,AC$93,$C560*2+MIN($B560,2)+5)
+INDEX(Scenarios!AC$121:AC$200,MATCH($B560,Scenarios!$B$121:$B$200,0))</f>
        <v>0</v>
      </c>
      <c r="AD560" s="476">
        <f>INDEX(Input!$1:$1048576,AD$93,$C560*2+MIN($B560,2)+5)</f>
        <v>0.35</v>
      </c>
      <c r="AE560" s="475">
        <f>INDEX(Input!$1:$1048576,AE$93,$C560*2+MIN($B560,2)+5)
+INDEX(Scenarios!AE$121:AE$200,MATCH($B560,Scenarios!$B$121:$B$200,0))</f>
        <v>0</v>
      </c>
      <c r="AF560" s="476">
        <f>INDEX(Input!$1:$1048576,AF$93,$C560*2+MIN($B560,2)+5)</f>
        <v>1</v>
      </c>
      <c r="AG560" s="475">
        <f>INDEX(Input!$1:$1048576,AG$93,$C560*2+MIN($B560,2)+5)
+INDEX(Scenarios!AG$121:AG$200,MATCH($B560,Scenarios!$B$121:$B$200,0))</f>
        <v>0</v>
      </c>
      <c r="AH560" s="476">
        <f>INDEX(Input!$1:$1048576,AH$93,$C560*2+MIN($B560,2)+5)</f>
        <v>1</v>
      </c>
      <c r="AI560" s="475">
        <f>INDEX(Input!$1:$1048576,AI$93,$C560*2+MIN($B560,2)+5)
+INDEX(Scenarios!AI$121:AI$200,MATCH($B560,Scenarios!$B$121:$B$200,0))</f>
        <v>0</v>
      </c>
      <c r="AJ560" s="476">
        <f>INDEX(Input!$1:$1048576,AJ$93,$C560*2+MIN($B560,2)+5)</f>
        <v>0.35</v>
      </c>
      <c r="AK560" s="150">
        <f>ROUND(INDEX(Input!$1:$1048576,AK$93,$C559*2+MIN($B560,1)+5)+(Y560-VLOOKUP($C560*1000+1,$A:$HH,Y$92,FALSE)),0)</f>
        <v>4232</v>
      </c>
      <c r="AL560" s="150">
        <f>ROUND(INDEX(Input!$1:$1048576,AL$93,$C559*2+MIN($B560,1)+5)-(Y560-VLOOKUP($C560*1000+1,$A:$HH,Y$92,FALSE))/36,0)</f>
        <v>4753</v>
      </c>
      <c r="AM560" s="32" t="str">
        <f t="shared" si="1773"/>
        <v>std/std/std/std</v>
      </c>
      <c r="AN560" s="32" t="str">
        <f t="shared" si="1774"/>
        <v>$0 + 0/0/0/0.9/3.9</v>
      </c>
      <c r="AO560" s="32" t="str">
        <f t="shared" si="1775"/>
        <v>0/0/0/0.9/3.9</v>
      </c>
      <c r="AP560" s="32" t="str">
        <f t="shared" si="1755"/>
        <v>0/0/0.9/3.9</v>
      </c>
      <c r="AQ560" s="536">
        <f t="shared" si="1754"/>
        <v>0.47763910181544866</v>
      </c>
      <c r="AR560" s="32"/>
      <c r="AS560" s="302"/>
      <c r="AT560" s="3">
        <f t="shared" si="1776"/>
        <v>60</v>
      </c>
      <c r="AU560" s="41" t="s">
        <v>121</v>
      </c>
      <c r="AV560" s="41" t="s">
        <v>116</v>
      </c>
      <c r="AW560" s="41" t="str">
        <f>INDEX(Input!$1:$1048576,AW$93,$C560*2+6)</f>
        <v>Kia</v>
      </c>
      <c r="AX560" s="41" t="str">
        <f>INDEX(Input!$1:$1048576,AX$93,$C560*2+6)</f>
        <v>Kia-LR - R2</v>
      </c>
      <c r="AY560" s="41" t="str">
        <f>IF(LEN(D560)=0,"",INDEX(Input!$1:$1048576,AY$93,$C560*2+6))</f>
        <v>Compact Conventional/Sporty Car (43)</v>
      </c>
      <c r="AZ560" s="41" t="str">
        <f>INDEX(Input!$1:$1048576,AZ$93,$C560*2+6)</f>
        <v>Kia Forte</v>
      </c>
      <c r="BA560" s="3">
        <f>INDEX(Input!$1:$1048576,BA$93,$C560*2+6)</f>
        <v>2020</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19695</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756"/>
        <v>1750</v>
      </c>
      <c r="CJ560" s="16" t="str">
        <f>INDEX(Input!$1:$1048576,CJ$93,$C560*2+6)</f>
        <v>N</v>
      </c>
      <c r="CK560" s="1" t="str">
        <f t="shared" si="1757"/>
        <v>Market</v>
      </c>
      <c r="CL560" s="1" t="str">
        <f t="shared" si="1758"/>
        <v>Market</v>
      </c>
      <c r="CM560" s="1" t="str">
        <f t="shared" si="1759"/>
        <v>Market</v>
      </c>
      <c r="CN560" s="1" t="str">
        <f t="shared" si="1760"/>
        <v>Market</v>
      </c>
      <c r="CO560" s="1" t="str">
        <f t="shared" si="1761"/>
        <v>Market</v>
      </c>
      <c r="CP560" s="304">
        <f t="shared" si="1762"/>
        <v>215</v>
      </c>
      <c r="CQ560" s="1">
        <f t="shared" si="1763"/>
        <v>0</v>
      </c>
      <c r="CR560" s="1">
        <f t="shared" si="1764"/>
        <v>0</v>
      </c>
      <c r="CS560" s="1">
        <f t="shared" si="1765"/>
        <v>0</v>
      </c>
      <c r="CT560" s="1">
        <f t="shared" si="1766"/>
        <v>8.9999999999999993E-3</v>
      </c>
      <c r="CU560" s="1">
        <f t="shared" si="1767"/>
        <v>3.9E-2</v>
      </c>
      <c r="CV560" s="304">
        <f t="shared" si="1768"/>
        <v>-1458.3618966787526</v>
      </c>
      <c r="CW560" s="20" t="s">
        <v>122</v>
      </c>
      <c r="CX560" s="20" t="s">
        <v>122</v>
      </c>
      <c r="CY560" s="20" t="s">
        <v>122</v>
      </c>
      <c r="CZ560" s="20" t="s">
        <v>122</v>
      </c>
      <c r="DA560" s="20" t="s">
        <v>122</v>
      </c>
      <c r="DB560" s="503">
        <f t="shared" si="1769"/>
        <v>0</v>
      </c>
      <c r="DC560" s="127">
        <v>0</v>
      </c>
      <c r="DD560" s="127">
        <v>0</v>
      </c>
      <c r="DE560" s="127">
        <v>0</v>
      </c>
      <c r="DF560" s="127">
        <v>0</v>
      </c>
      <c r="DG560" s="127">
        <v>0</v>
      </c>
      <c r="DH560" s="127">
        <v>0</v>
      </c>
      <c r="DI560" s="127">
        <v>0</v>
      </c>
      <c r="DJ560" s="127">
        <v>0</v>
      </c>
      <c r="DK560" s="127">
        <v>0</v>
      </c>
      <c r="DL560" s="127">
        <v>0</v>
      </c>
      <c r="DM560" s="304">
        <f>INDEX(Input!$1:$1048576,DM$93,$C560*2+6)</f>
        <v>20731.578947368424</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4.4439236787976337E-2</v>
      </c>
      <c r="DZ560" s="7">
        <v>0</v>
      </c>
      <c r="EA560" s="7">
        <v>0.78090076813950471</v>
      </c>
      <c r="EB560" s="7">
        <v>0</v>
      </c>
      <c r="EC560" s="7">
        <v>0</v>
      </c>
      <c r="ED560" s="7">
        <v>0</v>
      </c>
      <c r="EE560" s="7">
        <v>0</v>
      </c>
      <c r="EF560" s="7">
        <v>0</v>
      </c>
      <c r="EG560" s="7">
        <v>0</v>
      </c>
      <c r="EH560" s="7">
        <v>1.0398816955788528E-2</v>
      </c>
      <c r="EI560" s="7">
        <v>1.3089422431647631E-2</v>
      </c>
      <c r="EJ560" s="7">
        <v>0.19269409844062049</v>
      </c>
      <c r="EK560" s="7">
        <v>0.75045256709025576</v>
      </c>
      <c r="EL560" s="7">
        <v>3.3365095081687286E-2</v>
      </c>
      <c r="EM560" s="7">
        <v>8.3097659327802581E-2</v>
      </c>
      <c r="EN560" s="7">
        <v>4.6961172365331684E-2</v>
      </c>
      <c r="EO560" s="7">
        <v>0.58335087102419148</v>
      </c>
      <c r="EP560" s="7">
        <v>0.2496775664536518</v>
      </c>
      <c r="EQ560" s="7">
        <v>7.2898004535081704E-2</v>
      </c>
      <c r="ER560" s="7">
        <v>4.7112385621743247E-2</v>
      </c>
      <c r="ES560" s="7">
        <v>9.1562335744716186E-2</v>
      </c>
      <c r="ET560" s="7">
        <v>0.17465999507251892</v>
      </c>
      <c r="EU560" s="6">
        <v>2100</v>
      </c>
      <c r="EV560" s="6">
        <v>0</v>
      </c>
      <c r="EW560" s="6">
        <v>2100</v>
      </c>
      <c r="EX560" s="6">
        <v>0</v>
      </c>
      <c r="EY560" s="6">
        <v>2975.8704537627641</v>
      </c>
      <c r="EZ560" s="6">
        <v>-2083.0908300335955</v>
      </c>
      <c r="FA560" s="6">
        <v>0</v>
      </c>
      <c r="FB560" s="6">
        <v>0</v>
      </c>
      <c r="FC560" s="6">
        <v>0</v>
      </c>
      <c r="FD560" s="6">
        <v>0</v>
      </c>
      <c r="FE560" s="6">
        <v>0</v>
      </c>
      <c r="FF560" s="6">
        <v>0</v>
      </c>
      <c r="FG560" s="6">
        <v>0</v>
      </c>
      <c r="FH560" s="6">
        <v>1153.9905245339207</v>
      </c>
      <c r="FI560" s="6">
        <v>1531.4299904380616</v>
      </c>
      <c r="FJ560" s="6">
        <v>2070.7205842538215</v>
      </c>
      <c r="FK560" s="6">
        <v>2218.6393698501029</v>
      </c>
      <c r="FL560" s="6">
        <v>893.91433563489397</v>
      </c>
      <c r="FM560" s="6">
        <v>2125.8704537627641</v>
      </c>
      <c r="FN560" s="6">
        <v>0</v>
      </c>
      <c r="FO560" s="6">
        <v>0</v>
      </c>
      <c r="FP560" s="6">
        <v>0</v>
      </c>
      <c r="FQ560" s="6">
        <v>0</v>
      </c>
      <c r="FR560" s="6">
        <v>0</v>
      </c>
      <c r="FS560" s="6">
        <v>0</v>
      </c>
      <c r="FT560" s="7">
        <v>0.82534000492748105</v>
      </c>
      <c r="FU560" s="7">
        <v>8.3097659327802581E-2</v>
      </c>
      <c r="FV560" s="7">
        <v>9.1562335744716186E-2</v>
      </c>
      <c r="FW560" s="6">
        <v>2100</v>
      </c>
      <c r="FX560" s="6">
        <v>2975.8704537627641</v>
      </c>
      <c r="FY560" s="6">
        <v>-2083.0908300335955</v>
      </c>
      <c r="FZ560" s="6">
        <v>2411.9063952864503</v>
      </c>
      <c r="GA560" s="6">
        <v>1789.769217551886</v>
      </c>
      <c r="GB560" s="6">
        <v>17905.230782448114</v>
      </c>
      <c r="GC560" s="7">
        <v>7.6138913542514425E-2</v>
      </c>
      <c r="GD560" s="7">
        <v>6.9947452197891502E-2</v>
      </c>
      <c r="GE560" s="7"/>
      <c r="GF560" s="7"/>
      <c r="GG560" s="7">
        <v>-8.1317962872765923E-2</v>
      </c>
      <c r="GH560" s="42">
        <v>2.5742831904227259</v>
      </c>
      <c r="GI560" s="6">
        <v>9440.4426451190629</v>
      </c>
      <c r="GJ560" s="14">
        <v>0.51074630601039539</v>
      </c>
      <c r="GK560" s="14">
        <v>0.50829519786160982</v>
      </c>
      <c r="GL560" s="14">
        <v>0.48925369398960439</v>
      </c>
      <c r="GM560" s="14">
        <v>0.49170480213839052</v>
      </c>
      <c r="GO560" s="5">
        <v>338.16872463277008</v>
      </c>
      <c r="GP560" s="5">
        <v>298.1047308538179</v>
      </c>
      <c r="GQ560" s="5">
        <v>527.27910984145694</v>
      </c>
      <c r="GR560" s="5">
        <v>404.20319246551543</v>
      </c>
      <c r="GS560" s="5">
        <v>334.50205195691484</v>
      </c>
      <c r="GT560" s="5">
        <v>289.18266033348181</v>
      </c>
      <c r="GU560" s="5">
        <v>254.29573314828914</v>
      </c>
      <c r="GV560" s="39" t="s">
        <v>392</v>
      </c>
      <c r="GW560" s="5">
        <v>468.76388888888891</v>
      </c>
      <c r="GX560" s="5">
        <v>351.57291666666669</v>
      </c>
      <c r="GY560" s="5">
        <v>281.25833333333333</v>
      </c>
      <c r="GZ560" s="5">
        <v>240.8550698915011</v>
      </c>
      <c r="HA560" s="5">
        <v>229.8919505212948</v>
      </c>
      <c r="HB560" s="39">
        <v>252.09396955283128</v>
      </c>
      <c r="HC560" s="5">
        <v>374.25084881396981</v>
      </c>
      <c r="HD560" s="5">
        <v>298.52900980034525</v>
      </c>
      <c r="HE560" s="5">
        <v>295.2186408427836</v>
      </c>
      <c r="HF560" s="5">
        <v>265.87464978663218</v>
      </c>
      <c r="HG560" s="5">
        <v>247.50084178617021</v>
      </c>
      <c r="HH560" s="39">
        <v>296.47397485527142</v>
      </c>
      <c r="HI560" s="16"/>
      <c r="HJ560" s="19" t="str">
        <f t="shared" ref="HJ560:HK560" si="1820">HJ559</f>
        <v>On</v>
      </c>
      <c r="HK560" s="1" t="str">
        <f t="shared" si="1820"/>
        <v>On</v>
      </c>
      <c r="HL560" s="16"/>
      <c r="HM560" s="639">
        <f t="shared" si="1636"/>
        <v>5.1181272167489952E-2</v>
      </c>
      <c r="HN560" s="639">
        <f t="shared" si="1637"/>
        <v>4.2792051795134348E-3</v>
      </c>
      <c r="HO560" s="639">
        <f t="shared" si="1638"/>
        <v>7.4145241462331068E-3</v>
      </c>
      <c r="HP560" s="644">
        <f>(FT560*$GD560-HM560)/$JF560*INDEX(Input!$1:$1048576,$JG$93,$C560*2+6)</f>
        <v>77.287879097167121</v>
      </c>
      <c r="HQ560" s="644">
        <f>(FU560*$GD560-HN560)/$JF560*INDEX(Input!$1:$1048576,$JG$93,$C560*2+6)</f>
        <v>18.094348127941046</v>
      </c>
      <c r="HR560" s="644">
        <f>(FV560*$GD560-HO560)/$JF560*INDEX(Input!$1:$1048576,$JG$93,$C560*2+6)</f>
        <v>-11.918874569466288</v>
      </c>
      <c r="HS560" s="644">
        <f t="shared" ref="HS560:HS567" si="1821">IF(AND(HJ560="On",HK560="On"),IL560/1000*INDEX(KG:KG,MATCH(C560*1000+3,$KF:$KF,0))*SUM(HY560:IA560)*1.1
+INDEX(HR:HR,MATCH(C560*1000+4,$KF:$KF,0))/INDEX(IM:IM,MATCH(C560*1000+4,$KF:$KF,0))*IM560*20%,0)</f>
        <v>-16.83471829016327</v>
      </c>
      <c r="HT560" s="644">
        <f t="shared" si="1640"/>
        <v>38.688376336764804</v>
      </c>
      <c r="HU560" s="644">
        <f t="shared" si="1641"/>
        <v>1.5522700285956539</v>
      </c>
      <c r="HV560" s="648">
        <f t="shared" si="1642"/>
        <v>0</v>
      </c>
      <c r="HW560" s="648">
        <f t="shared" si="1643"/>
        <v>0</v>
      </c>
      <c r="HX560" s="648">
        <f t="shared" si="1644"/>
        <v>0</v>
      </c>
      <c r="HY560" s="644">
        <f>INDEX(Input!$1:$1048576,HY$93,$C560*2+6)*INDEX(Input!$1:$1048576,$JG$93,$C560*2+6)</f>
        <v>345</v>
      </c>
      <c r="HZ560" s="644">
        <f>INDEX(Input!$1:$1048576,HZ$93,$C560*2+6)*INDEX(Input!$1:$1048576,$JG$93,$C560*2+6)</f>
        <v>299</v>
      </c>
      <c r="IA560" s="644">
        <f>INDEX(Input!$1:$1048576,IA$93,$C560*2+6)*INDEX(Input!$1:$1048576,$JG$93,$C560*2+6)</f>
        <v>98</v>
      </c>
      <c r="IB560" s="644">
        <f t="shared" si="1780"/>
        <v>405.45316080700394</v>
      </c>
      <c r="IC560" s="644">
        <f t="shared" si="1781"/>
        <v>355.78272446470584</v>
      </c>
      <c r="ID560" s="644">
        <f>IF(AND(INDEX(Input!$1:$1048576,IA$93,$C560*2+7)="TOS",Y560&lt;=INDEX(Y:Y,MATCH(C560*1000+2,A:A))),0,1)*MAX(IA560+HR560+HU560+HX560,0%)</f>
        <v>87.633395459129375</v>
      </c>
      <c r="IE560" s="128">
        <f t="shared" ref="IE560:IE567" si="1822">IB560/SUM($IB560:$ID560)</f>
        <v>0.47763910181544866</v>
      </c>
      <c r="IF560" s="128">
        <f t="shared" ref="IF560:IF567" si="1823">IC560/SUM($IB560:$ID560)</f>
        <v>0.41912545611073659</v>
      </c>
      <c r="IG560" s="128">
        <f t="shared" si="1784"/>
        <v>0.1032354420738148</v>
      </c>
      <c r="IH560" s="21"/>
      <c r="II560" s="19">
        <f t="shared" si="1647"/>
        <v>1200</v>
      </c>
      <c r="IJ560" s="19">
        <f t="shared" si="1648"/>
        <v>2231.5440334087361</v>
      </c>
      <c r="IK560" s="19">
        <f t="shared" si="1649"/>
        <v>-2048.0908300335955</v>
      </c>
      <c r="IL560" s="19">
        <f t="shared" si="1785"/>
        <v>900</v>
      </c>
      <c r="IM560" s="19">
        <f t="shared" si="1786"/>
        <v>744.32642035402796</v>
      </c>
      <c r="IN560" s="19">
        <f t="shared" si="1787"/>
        <v>-35</v>
      </c>
      <c r="IO560" s="39">
        <f t="shared" si="1652"/>
        <v>0</v>
      </c>
      <c r="IP560" s="39">
        <f t="shared" si="1653"/>
        <v>0</v>
      </c>
      <c r="IQ560" s="39">
        <f t="shared" si="1654"/>
        <v>0</v>
      </c>
      <c r="IR560" s="39">
        <v>0</v>
      </c>
      <c r="IS560" s="39">
        <v>0</v>
      </c>
      <c r="IT560" s="39">
        <v>0</v>
      </c>
      <c r="IU560" s="39">
        <v>0</v>
      </c>
      <c r="IV560" s="39">
        <v>0</v>
      </c>
      <c r="IW560" s="39">
        <v>0</v>
      </c>
      <c r="IX560" s="39">
        <f>INDEX(Input!$1:$1048576,IX$93,$C560*2+6)+INDEX(Input!$1:$1048576,IX$94,$C560*2+6)</f>
        <v>1600</v>
      </c>
      <c r="IY560" s="39">
        <f>INDEX(Input!$1:$1048576,IY$93,$C560*2+6)+INDEX(Input!$1:$1048576,IY$94,$C560*2+6)</f>
        <v>2503.5492916397525</v>
      </c>
      <c r="IZ560" s="39">
        <f>INDEX(Input!$1:$1048576,IZ$93,$C560*2+6)+INDEX(Input!$1:$1048576,IZ$94,$C560*2+6)</f>
        <v>5413.7109265464023</v>
      </c>
      <c r="JA560" s="19">
        <f t="shared" si="1788"/>
        <v>2500</v>
      </c>
      <c r="JB560" s="19">
        <f t="shared" si="1789"/>
        <v>3247.8757119937804</v>
      </c>
      <c r="JC560" s="19">
        <f t="shared" si="1790"/>
        <v>5378.7109265464023</v>
      </c>
      <c r="JD560" s="19">
        <f t="shared" si="1791"/>
        <v>3110.638744008274</v>
      </c>
      <c r="JE560" s="21"/>
      <c r="JF560" s="1">
        <f t="shared" si="1655"/>
        <v>6.2875001493236493E-2</v>
      </c>
      <c r="JG560" s="15">
        <f>INDEX(Input!$1:$1048576,JG$93,$C560*2+6)/(1+VLOOKUP(C560*1000+INDEX(Input!$1:$1048576,JG$93+1,$C560*2+6),$A:$KK,$JK$92,FALSE))</f>
        <v>742</v>
      </c>
      <c r="JH560" s="1">
        <f t="shared" si="1792"/>
        <v>0.11248430277040686</v>
      </c>
      <c r="JI560" s="1">
        <f t="shared" si="1793"/>
        <v>3.1544377459834488E-2</v>
      </c>
      <c r="JJ560" s="1">
        <f t="shared" ref="JJ560:JJ567" si="1824">SUM(HV560:HX560)/SUM(HY560:IA560)</f>
        <v>0</v>
      </c>
      <c r="JK560" s="1">
        <f t="shared" ref="JK560:JK567" si="1825">SUM(JH560:JJ560)</f>
        <v>0.14402868023024135</v>
      </c>
      <c r="JL560" s="15">
        <f t="shared" si="1796"/>
        <v>106.86928073083908</v>
      </c>
      <c r="JM560" s="15">
        <f t="shared" si="1797"/>
        <v>848.86928073083914</v>
      </c>
      <c r="JN560" s="21"/>
      <c r="JO560" s="19">
        <f>INDEX(Input!$1:$1048576,JO$93,$C560*2+6)</f>
        <v>5908.5</v>
      </c>
      <c r="JP560" s="19">
        <f>INDEX(Input!$1:$1048576,JP$93,$C560*2+6)</f>
        <v>2467.7963733178344</v>
      </c>
      <c r="JQ560" s="39">
        <f t="shared" si="1798"/>
        <v>2797.861255991726</v>
      </c>
      <c r="JR560" s="39">
        <f t="shared" si="1799"/>
        <v>642.84237069043957</v>
      </c>
      <c r="JS560" s="39">
        <f t="shared" si="1800"/>
        <v>2.6405256732397842</v>
      </c>
      <c r="JT560" s="39">
        <f t="shared" si="1801"/>
        <v>0.80942076423795128</v>
      </c>
      <c r="JU560" s="385">
        <f>(JQ560*JM560-INDEX(Input!$1:$1048576,Input!A$18,$C560*2+6)*JL560*INDEX(Input!$1:$1048576,Input!A$19,$C560*2+6))/1000000</f>
        <v>2.3750184719583789</v>
      </c>
      <c r="JV560" s="39">
        <f t="shared" si="1802"/>
        <v>-0.17798361903978765</v>
      </c>
      <c r="JW560" s="1">
        <f t="shared" si="1803"/>
        <v>-6.9715422352121956E-2</v>
      </c>
      <c r="JX560" s="19">
        <f t="shared" si="1804"/>
        <v>7573.9329272418145</v>
      </c>
      <c r="JZ560" s="341"/>
      <c r="KA560" s="342"/>
      <c r="KB560" s="469">
        <f t="shared" si="1805"/>
        <v>2.4623520912331753</v>
      </c>
      <c r="KI560" s="473">
        <f t="shared" ref="KI560:KI567" si="1826">$JM560*IE560-$JG560*HY560/SUM($HY560:$IA560)</f>
        <v>60.45316080700394</v>
      </c>
      <c r="KJ560" s="473">
        <f t="shared" ref="KJ560:KJ567" si="1827">$JM560*IF560-$JG560*HZ560/SUM($HY560:$IA560)</f>
        <v>56.782724464705836</v>
      </c>
      <c r="KK560" s="473">
        <f t="shared" si="1808"/>
        <v>-10.366604540870625</v>
      </c>
      <c r="KN560" s="544">
        <f t="shared" si="1809"/>
        <v>5002</v>
      </c>
      <c r="KO560" s="541">
        <f t="shared" si="1659"/>
        <v>6.3012808443443591E-2</v>
      </c>
      <c r="KP560" s="546">
        <f t="shared" si="1660"/>
        <v>345.95600463752129</v>
      </c>
      <c r="KQ560" s="546">
        <f t="shared" si="1661"/>
        <v>251.86629785656487</v>
      </c>
      <c r="KR560" s="548">
        <f t="shared" si="1662"/>
        <v>3.0665690652556679</v>
      </c>
      <c r="KS560" s="548">
        <f t="shared" si="1663"/>
        <v>4.2121474400875938</v>
      </c>
      <c r="KT560" s="473">
        <f t="shared" si="1810"/>
        <v>389.37465324503302</v>
      </c>
      <c r="KU560" s="663">
        <f t="shared" si="1685"/>
        <v>7.4717555753210441</v>
      </c>
      <c r="KV560" s="117"/>
    </row>
    <row r="561" spans="1:308" s="26" customFormat="1" ht="15" outlineLevel="1">
      <c r="A561" s="561">
        <f t="shared" si="1770"/>
        <v>5061</v>
      </c>
      <c r="B561" s="561">
        <f t="shared" si="1771"/>
        <v>61</v>
      </c>
      <c r="C561" s="561">
        <f t="shared" si="1772"/>
        <v>5</v>
      </c>
      <c r="D561" s="561" t="str">
        <f t="shared" si="1812"/>
        <v xml:space="preserve">750 CC, 0/0/0.9/3.9, -360 Lease, </v>
      </c>
      <c r="E561" s="475">
        <f>INDEX(Input!$1:$1048576,E$93,$C561*2+MIN($B561,2)+5)
+INDEX(Scenarios!E$121:E$200,MATCH($B561,Scenarios!$B$121:$B$200,0))</f>
        <v>2000</v>
      </c>
      <c r="F561" s="475">
        <f>INDEX(Input!$1:$1048576,F$93,$C561*2+MIN($B561,2)+5)
+INDEX(Scenarios!F$121:F$200,MATCH($B561,Scenarios!$B$121:$B$200,0))</f>
        <v>0</v>
      </c>
      <c r="G561" s="475">
        <f>INDEX(Input!$1:$1048576,G$93,$C561*2+MIN($B561,2)+5)
+INDEX(Scenarios!G$121:G$200,MATCH($B561,Scenarios!$B$121:$B$200,0))</f>
        <v>0</v>
      </c>
      <c r="H561" s="475">
        <f>INDEX(Input!$1:$1048576,H$93,$C561*2+MIN($B561,2)+5)
+INDEX(Scenarios!H$121:H$200,MATCH($B561,Scenarios!$B$121:$B$200,0))</f>
        <v>0</v>
      </c>
      <c r="I561" s="476">
        <f>INDEX(Input!$1:$1048576,I$93,$C561*2+MIN($B561,2)+5)</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+INDEX(Scenarios!Q$121:Q$200,MATCH($B561,Scenarios!$B$121:$B$200,0))</f>
        <v>0</v>
      </c>
      <c r="R561" s="478">
        <f>IFERROR(MAX(0,INDEX(Input!$1:$1048576,R$93,$C561*2+MIN($B561,2)+5)
+INDEX(Scenarios!R$121:R$200,MATCH($B561,Scenarios!$B$121:$B$200,0)),),"Market")</f>
        <v>0</v>
      </c>
      <c r="S561" s="478">
        <f>IFERROR(MAX(0,INDEX(Input!$1:$1048576,S$93,$C561*2+MIN($B561,2)+5)
+INDEX(Scenarios!S$121:S$200,MATCH($B561,Scenarios!$B$121:$B$200,0)),),"Market")</f>
        <v>0</v>
      </c>
      <c r="T561" s="478">
        <f>IFERROR(MAX(0,INDEX(Input!$1:$1048576,T$93,$C561*2+MIN($B561,2)+5)
+INDEX(Scenarios!T$121:T$200,MATCH($B561,Scenarios!$B$121:$B$200,0)),),"Market")</f>
        <v>0</v>
      </c>
      <c r="U561" s="478">
        <f>IFERROR(MAX(0,INDEX(Input!$1:$1048576,U$93,$C561*2+MIN($B561,2)+5)
+INDEX(Scenarios!U$121:U$200,MATCH($B561,Scenarios!$B$121:$B$200,0)),),"Market")</f>
        <v>0</v>
      </c>
      <c r="V561" s="478">
        <f>IFERROR(MAX(0,INDEX(Input!$1:$1048576,V$93,$C561*2+MIN($B561,2)+5)
+INDEX(Scenarios!V$121:V$200,MATCH($B561,Scenarios!$B$121:$B$200,0)),),"Market")</f>
        <v>8.9999999999999993E-3</v>
      </c>
      <c r="W561" s="863">
        <f>IFERROR(MAX(0,INDEX(Input!$1:$1048576,W$93,$C561*2+MIN($B561,2)+5)-0%,),"Market")</f>
        <v>3.9E-2</v>
      </c>
      <c r="X561" s="476" t="str">
        <f>INDEX(Input!$1:$1048576,X$93,$C561*2+MIN($B561,2)+5)</f>
        <v>Y</v>
      </c>
      <c r="Y561" s="475">
        <f>INDEX(Input!$1:$1048576,Y$93,$C561*2+MIN($B561,2)+5)
++INDEX(Scenarios!Y$121:Y$200,MATCH($B561,Scenarios!$B$121:$B$200,0))</f>
        <v>-1458.3618966787526</v>
      </c>
      <c r="Z561" s="477">
        <f>INDEX(Input!$1:$1048576,Z$93,$C561*2+MIN($B561,2)+5)
+INDEX(Scenarios!Z$121:Z$200,MATCH($B561,Scenarios!$B$121:$B$200,0))</f>
        <v>0</v>
      </c>
      <c r="AA561" s="475">
        <f>INDEX(Input!$1:$1048576,AA$93,$C561*2+MIN($B561,2)+5)</f>
        <v>500</v>
      </c>
      <c r="AB561" s="476">
        <f>INDEX(Input!$1:$1048576,AB$93,$C561*2+MIN($B561,2)+5)</f>
        <v>0.43</v>
      </c>
      <c r="AC561" s="475">
        <f>INDEX(Input!$1:$1048576,AC$93,$C561*2+MIN($B561,2)+5)
+INDEX(Scenarios!AC$121:AC$200,MATCH($B561,Scenarios!$B$121:$B$200,0))</f>
        <v>0</v>
      </c>
      <c r="AD561" s="476">
        <f>INDEX(Input!$1:$1048576,AD$93,$C561*2+MIN($B561,2)+5)</f>
        <v>0.35</v>
      </c>
      <c r="AE561" s="475">
        <f>INDEX(Input!$1:$1048576,AE$93,$C561*2+MIN($B561,2)+5)
+INDEX(Scenarios!AE$121:AE$200,MATCH($B561,Scenarios!$B$121:$B$200,0))</f>
        <v>0</v>
      </c>
      <c r="AF561" s="476">
        <f>INDEX(Input!$1:$1048576,AF$93,$C561*2+MIN($B561,2)+5)</f>
        <v>1</v>
      </c>
      <c r="AG561" s="475">
        <f>INDEX(Input!$1:$1048576,AG$93,$C561*2+MIN($B561,2)+5)
+INDEX(Scenarios!AG$121:AG$200,MATCH($B561,Scenarios!$B$121:$B$200,0))</f>
        <v>0</v>
      </c>
      <c r="AH561" s="476">
        <f>INDEX(Input!$1:$1048576,AH$93,$C561*2+MIN($B561,2)+5)</f>
        <v>1</v>
      </c>
      <c r="AI561" s="475">
        <f>INDEX(Input!$1:$1048576,AI$93,$C561*2+MIN($B561,2)+5)
+INDEX(Scenarios!AI$121:AI$200,MATCH($B561,Scenarios!$B$121:$B$200,0))</f>
        <v>0</v>
      </c>
      <c r="AJ561" s="476">
        <f>INDEX(Input!$1:$1048576,AJ$93,$C561*2+MIN($B561,2)+5)</f>
        <v>0.35</v>
      </c>
      <c r="AK561" s="150">
        <f>ROUND(INDEX(Input!$1:$1048576,AK$93,$C560*2+MIN($B561,1)+5)+(Y561-VLOOKUP($C561*1000+1,$A:$HH,Y$92,FALSE)),0)</f>
        <v>4232</v>
      </c>
      <c r="AL561" s="150">
        <f>ROUND(INDEX(Input!$1:$1048576,AL$93,$C560*2+MIN($B561,1)+5)-(Y561-VLOOKUP($C561*1000+1,$A:$HH,Y$92,FALSE))/36,0)</f>
        <v>4753</v>
      </c>
      <c r="AM561" s="32" t="str">
        <f t="shared" si="1773"/>
        <v>std/std/std/std</v>
      </c>
      <c r="AN561" s="32" t="str">
        <f t="shared" si="1774"/>
        <v>$0 + 0/0/0/0.9/3.9</v>
      </c>
      <c r="AO561" s="32" t="str">
        <f t="shared" si="1775"/>
        <v>0/0/0/0.9/3.9</v>
      </c>
      <c r="AP561" s="32" t="str">
        <f t="shared" si="1755"/>
        <v>0/0/0.9/3.9</v>
      </c>
      <c r="AQ561" s="536">
        <f t="shared" si="1754"/>
        <v>0.49343252762396989</v>
      </c>
      <c r="AR561" s="32"/>
      <c r="AS561" s="302"/>
      <c r="AT561" s="3">
        <f t="shared" si="1776"/>
        <v>61</v>
      </c>
      <c r="AU561" s="41" t="s">
        <v>121</v>
      </c>
      <c r="AV561" s="41" t="s">
        <v>116</v>
      </c>
      <c r="AW561" s="41" t="str">
        <f>INDEX(Input!$1:$1048576,AW$93,$C561*2+6)</f>
        <v>Kia</v>
      </c>
      <c r="AX561" s="41" t="str">
        <f>INDEX(Input!$1:$1048576,AX$93,$C561*2+6)</f>
        <v>Kia-LR - R2</v>
      </c>
      <c r="AY561" s="41" t="str">
        <f>IF(LEN(D561)=0,"",INDEX(Input!$1:$1048576,AY$93,$C561*2+6))</f>
        <v>Compact Conventional/Sporty Car (43)</v>
      </c>
      <c r="AZ561" s="41" t="str">
        <f>INDEX(Input!$1:$1048576,AZ$93,$C561*2+6)</f>
        <v>Kia Forte</v>
      </c>
      <c r="BA561" s="3">
        <f>INDEX(Input!$1:$1048576,BA$93,$C561*2+6)</f>
        <v>2020</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19695</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756"/>
        <v>2000</v>
      </c>
      <c r="CJ561" s="16" t="str">
        <f>INDEX(Input!$1:$1048576,CJ$93,$C561*2+6)</f>
        <v>N</v>
      </c>
      <c r="CK561" s="1" t="str">
        <f t="shared" si="1757"/>
        <v>Market</v>
      </c>
      <c r="CL561" s="1" t="str">
        <f t="shared" si="1758"/>
        <v>Market</v>
      </c>
      <c r="CM561" s="1" t="str">
        <f t="shared" si="1759"/>
        <v>Market</v>
      </c>
      <c r="CN561" s="1" t="str">
        <f t="shared" si="1760"/>
        <v>Market</v>
      </c>
      <c r="CO561" s="1" t="str">
        <f t="shared" si="1761"/>
        <v>Market</v>
      </c>
      <c r="CP561" s="304">
        <f t="shared" si="1762"/>
        <v>215</v>
      </c>
      <c r="CQ561" s="1">
        <f t="shared" si="1763"/>
        <v>0</v>
      </c>
      <c r="CR561" s="1">
        <f t="shared" si="1764"/>
        <v>0</v>
      </c>
      <c r="CS561" s="1">
        <f t="shared" si="1765"/>
        <v>0</v>
      </c>
      <c r="CT561" s="1">
        <f t="shared" si="1766"/>
        <v>8.9999999999999993E-3</v>
      </c>
      <c r="CU561" s="1">
        <f t="shared" si="1767"/>
        <v>3.9E-2</v>
      </c>
      <c r="CV561" s="304">
        <f t="shared" si="1768"/>
        <v>-1458.3618966787526</v>
      </c>
      <c r="CW561" s="20" t="s">
        <v>122</v>
      </c>
      <c r="CX561" s="20" t="s">
        <v>122</v>
      </c>
      <c r="CY561" s="20" t="s">
        <v>122</v>
      </c>
      <c r="CZ561" s="20" t="s">
        <v>122</v>
      </c>
      <c r="DA561" s="20" t="s">
        <v>122</v>
      </c>
      <c r="DB561" s="503">
        <f t="shared" si="1769"/>
        <v>0</v>
      </c>
      <c r="DC561" s="127">
        <v>0</v>
      </c>
      <c r="DD561" s="127">
        <v>0</v>
      </c>
      <c r="DE561" s="127">
        <v>0</v>
      </c>
      <c r="DF561" s="127">
        <v>0</v>
      </c>
      <c r="DG561" s="127">
        <v>0</v>
      </c>
      <c r="DH561" s="127">
        <v>0</v>
      </c>
      <c r="DI561" s="127">
        <v>0</v>
      </c>
      <c r="DJ561" s="127">
        <v>0</v>
      </c>
      <c r="DK561" s="127">
        <v>0</v>
      </c>
      <c r="DL561" s="127">
        <v>0</v>
      </c>
      <c r="DM561" s="304">
        <f>INDEX(Input!$1:$1048576,DM$93,$C561*2+6)</f>
        <v>20731.578947368424</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4.5126507949440842E-2</v>
      </c>
      <c r="DZ561" s="7">
        <v>0</v>
      </c>
      <c r="EA561" s="7">
        <v>0.79032752902928349</v>
      </c>
      <c r="EB561" s="7">
        <v>0</v>
      </c>
      <c r="EC561" s="7">
        <v>0</v>
      </c>
      <c r="ED561" s="7">
        <v>0</v>
      </c>
      <c r="EE561" s="7">
        <v>0</v>
      </c>
      <c r="EF561" s="7">
        <v>0</v>
      </c>
      <c r="EG561" s="7">
        <v>0</v>
      </c>
      <c r="EH561" s="7">
        <v>1.0402288420718319E-2</v>
      </c>
      <c r="EI561" s="7">
        <v>1.3090393239359033E-2</v>
      </c>
      <c r="EJ561" s="7">
        <v>0.19278773080285647</v>
      </c>
      <c r="EK561" s="7">
        <v>0.75035655288724445</v>
      </c>
      <c r="EL561" s="7">
        <v>3.3363034649821662E-2</v>
      </c>
      <c r="EM561" s="7">
        <v>7.827886781293017E-2</v>
      </c>
      <c r="EN561" s="7">
        <v>4.6961430341244899E-2</v>
      </c>
      <c r="EO561" s="7">
        <v>0.58334830073565647</v>
      </c>
      <c r="EP561" s="7">
        <v>0.24967340606440147</v>
      </c>
      <c r="EQ561" s="7">
        <v>7.2897133373586151E-2</v>
      </c>
      <c r="ER561" s="7">
        <v>4.7119729485111221E-2</v>
      </c>
      <c r="ES561" s="7">
        <v>8.6267095208345509E-2</v>
      </c>
      <c r="ET561" s="7">
        <v>0.16454596302127567</v>
      </c>
      <c r="EU561" s="6">
        <v>2350</v>
      </c>
      <c r="EV561" s="6">
        <v>0</v>
      </c>
      <c r="EW561" s="6">
        <v>2350</v>
      </c>
      <c r="EX561" s="6">
        <v>0</v>
      </c>
      <c r="EY561" s="6">
        <v>2975.8549869207059</v>
      </c>
      <c r="EZ561" s="6">
        <v>-2083.0908300335955</v>
      </c>
      <c r="FA561" s="6">
        <v>0</v>
      </c>
      <c r="FB561" s="6">
        <v>0</v>
      </c>
      <c r="FC561" s="6">
        <v>0</v>
      </c>
      <c r="FD561" s="6">
        <v>0</v>
      </c>
      <c r="FE561" s="6">
        <v>0</v>
      </c>
      <c r="FF561" s="6">
        <v>0</v>
      </c>
      <c r="FG561" s="6">
        <v>0</v>
      </c>
      <c r="FH561" s="6">
        <v>1153.9921277270439</v>
      </c>
      <c r="FI561" s="6">
        <v>1531.4299904380618</v>
      </c>
      <c r="FJ561" s="6">
        <v>2070.720584253821</v>
      </c>
      <c r="FK561" s="6">
        <v>2218.639369850101</v>
      </c>
      <c r="FL561" s="6">
        <v>893.91433563489363</v>
      </c>
      <c r="FM561" s="6">
        <v>2125.8549869207059</v>
      </c>
      <c r="FN561" s="6">
        <v>0</v>
      </c>
      <c r="FO561" s="6">
        <v>0</v>
      </c>
      <c r="FP561" s="6">
        <v>0</v>
      </c>
      <c r="FQ561" s="6">
        <v>0</v>
      </c>
      <c r="FR561" s="6">
        <v>0</v>
      </c>
      <c r="FS561" s="6">
        <v>0</v>
      </c>
      <c r="FT561" s="7">
        <v>0.83545403697872433</v>
      </c>
      <c r="FU561" s="7">
        <v>7.827886781293017E-2</v>
      </c>
      <c r="FV561" s="7">
        <v>8.6267095208345509E-2</v>
      </c>
      <c r="FW561" s="6">
        <v>2350</v>
      </c>
      <c r="FX561" s="6">
        <v>2975.8549869207059</v>
      </c>
      <c r="FY561" s="6">
        <v>-2083.0908300335955</v>
      </c>
      <c r="FZ561" s="6">
        <v>2411.9063952864503</v>
      </c>
      <c r="GA561" s="6">
        <v>2016.5613510894775</v>
      </c>
      <c r="GB561" s="6">
        <v>17678.438648910524</v>
      </c>
      <c r="GC561" s="7">
        <v>7.6138913542514425E-2</v>
      </c>
      <c r="GD561" s="7">
        <v>7.1781895832279438E-2</v>
      </c>
      <c r="GE561" s="7"/>
      <c r="GF561" s="7"/>
      <c r="GG561" s="7">
        <v>-5.722458474275597E-2</v>
      </c>
      <c r="GH561" s="42">
        <v>2.850771024075502</v>
      </c>
      <c r="GI561" s="6">
        <v>8925.2186349157182</v>
      </c>
      <c r="GJ561" s="14">
        <v>0.5107463060103955</v>
      </c>
      <c r="GK561" s="14">
        <v>0.5082951978616097</v>
      </c>
      <c r="GL561" s="14">
        <v>0.48925369398960422</v>
      </c>
      <c r="GM561" s="14">
        <v>0.49170480213839024</v>
      </c>
      <c r="GO561" s="5">
        <v>338.16872463277008</v>
      </c>
      <c r="GP561" s="5">
        <v>293.33520778489498</v>
      </c>
      <c r="GQ561" s="5">
        <v>527.27910984145694</v>
      </c>
      <c r="GR561" s="5">
        <v>404.20319246551543</v>
      </c>
      <c r="GS561" s="5">
        <v>334.50205195691484</v>
      </c>
      <c r="GT561" s="5">
        <v>289.18266033348181</v>
      </c>
      <c r="GU561" s="5">
        <v>254.29573314828914</v>
      </c>
      <c r="GV561" s="39" t="s">
        <v>392</v>
      </c>
      <c r="GW561" s="5">
        <v>468.76388888888891</v>
      </c>
      <c r="GX561" s="5">
        <v>351.57291666666669</v>
      </c>
      <c r="GY561" s="5">
        <v>281.25833333333333</v>
      </c>
      <c r="GZ561" s="5">
        <v>240.8550698915011</v>
      </c>
      <c r="HA561" s="5">
        <v>229.8919505212948</v>
      </c>
      <c r="HB561" s="39">
        <v>252.09867385780174</v>
      </c>
      <c r="HC561" s="5">
        <v>374.25084881396981</v>
      </c>
      <c r="HD561" s="5">
        <v>298.52900980034525</v>
      </c>
      <c r="HE561" s="5">
        <v>295.2186408427836</v>
      </c>
      <c r="HF561" s="5">
        <v>265.87464978663218</v>
      </c>
      <c r="HG561" s="5">
        <v>247.50084178617021</v>
      </c>
      <c r="HH561" s="39">
        <v>296.47366186543286</v>
      </c>
      <c r="HI561" s="16"/>
      <c r="HJ561" s="19" t="str">
        <f t="shared" ref="HJ561:HK561" si="1828">HJ560</f>
        <v>On</v>
      </c>
      <c r="HK561" s="1" t="str">
        <f t="shared" si="1828"/>
        <v>On</v>
      </c>
      <c r="HL561" s="16"/>
      <c r="HM561" s="639">
        <f t="shared" si="1636"/>
        <v>5.1181272167489952E-2</v>
      </c>
      <c r="HN561" s="639">
        <f t="shared" si="1637"/>
        <v>4.2792051795134348E-3</v>
      </c>
      <c r="HO561" s="639">
        <f t="shared" si="1638"/>
        <v>7.4145241462331068E-3</v>
      </c>
      <c r="HP561" s="644">
        <f>(FT561*$GD561-HM561)/$JF561*INDEX(Input!$1:$1048576,$JG$93,$C561*2+6)</f>
        <v>103.72307102818226</v>
      </c>
      <c r="HQ561" s="644">
        <f>(FU561*$GD561-HN561)/$JF561*INDEX(Input!$1:$1048576,$JG$93,$C561*2+6)</f>
        <v>15.81124199318918</v>
      </c>
      <c r="HR561" s="644">
        <f>(FV561*$GD561-HO561)/$JF561*INDEX(Input!$1:$1048576,$JG$93,$C561*2+6)</f>
        <v>-14.422337790948742</v>
      </c>
      <c r="HS561" s="644">
        <f t="shared" si="1821"/>
        <v>-21.467709010298314</v>
      </c>
      <c r="HT561" s="644">
        <f t="shared" si="1640"/>
        <v>38.125490222311882</v>
      </c>
      <c r="HU561" s="644">
        <f t="shared" si="1641"/>
        <v>2.1143069273836725</v>
      </c>
      <c r="HV561" s="648">
        <f t="shared" si="1642"/>
        <v>0</v>
      </c>
      <c r="HW561" s="648">
        <f t="shared" si="1643"/>
        <v>0</v>
      </c>
      <c r="HX561" s="648">
        <f t="shared" si="1644"/>
        <v>0</v>
      </c>
      <c r="HY561" s="644">
        <f>INDEX(Input!$1:$1048576,HY$93,$C561*2+6)*INDEX(Input!$1:$1048576,$JG$93,$C561*2+6)</f>
        <v>345</v>
      </c>
      <c r="HZ561" s="644">
        <f>INDEX(Input!$1:$1048576,HZ$93,$C561*2+6)*INDEX(Input!$1:$1048576,$JG$93,$C561*2+6)</f>
        <v>299</v>
      </c>
      <c r="IA561" s="644">
        <f>INDEX(Input!$1:$1048576,IA$93,$C561*2+6)*INDEX(Input!$1:$1048576,$JG$93,$C561*2+6)</f>
        <v>98</v>
      </c>
      <c r="IB561" s="644">
        <f t="shared" si="1780"/>
        <v>427.2553620178839</v>
      </c>
      <c r="IC561" s="644">
        <f t="shared" si="1781"/>
        <v>352.93673221550108</v>
      </c>
      <c r="ID561" s="644">
        <f>IF(AND(INDEX(Input!$1:$1048576,IA$93,$C561*2+7)="TOS",Y561&lt;=INDEX(Y:Y,MATCH(C561*1000+2,A:A))),0,1)*MAX(IA561+HR561+HU561+HX561,0%)</f>
        <v>85.691969136434921</v>
      </c>
      <c r="IE561" s="128">
        <f t="shared" si="1822"/>
        <v>0.49343252762396989</v>
      </c>
      <c r="IF561" s="128">
        <f t="shared" si="1823"/>
        <v>0.40760275785877526</v>
      </c>
      <c r="IG561" s="128">
        <f t="shared" si="1784"/>
        <v>9.8964714517254956E-2</v>
      </c>
      <c r="IH561" s="21"/>
      <c r="II561" s="19">
        <f t="shared" si="1647"/>
        <v>1200</v>
      </c>
      <c r="IJ561" s="19">
        <f t="shared" si="1648"/>
        <v>2231.5440334087361</v>
      </c>
      <c r="IK561" s="19">
        <f t="shared" si="1649"/>
        <v>-2048.0908300335955</v>
      </c>
      <c r="IL561" s="19">
        <f t="shared" si="1785"/>
        <v>1150</v>
      </c>
      <c r="IM561" s="19">
        <f t="shared" si="1786"/>
        <v>744.31095351196973</v>
      </c>
      <c r="IN561" s="19">
        <f t="shared" si="1787"/>
        <v>-35</v>
      </c>
      <c r="IO561" s="39">
        <f t="shared" si="1652"/>
        <v>0</v>
      </c>
      <c r="IP561" s="39">
        <f t="shared" si="1653"/>
        <v>0</v>
      </c>
      <c r="IQ561" s="39">
        <f t="shared" si="1654"/>
        <v>0</v>
      </c>
      <c r="IR561" s="39">
        <v>0</v>
      </c>
      <c r="IS561" s="39">
        <v>0</v>
      </c>
      <c r="IT561" s="39">
        <v>0</v>
      </c>
      <c r="IU561" s="39">
        <v>0</v>
      </c>
      <c r="IV561" s="39">
        <v>0</v>
      </c>
      <c r="IW561" s="39">
        <v>0</v>
      </c>
      <c r="IX561" s="39">
        <f>INDEX(Input!$1:$1048576,IX$93,$C561*2+6)+INDEX(Input!$1:$1048576,IX$94,$C561*2+6)</f>
        <v>1600</v>
      </c>
      <c r="IY561" s="39">
        <f>INDEX(Input!$1:$1048576,IY$93,$C561*2+6)+INDEX(Input!$1:$1048576,IY$94,$C561*2+6)</f>
        <v>2503.5492916397525</v>
      </c>
      <c r="IZ561" s="39">
        <f>INDEX(Input!$1:$1048576,IZ$93,$C561*2+6)+INDEX(Input!$1:$1048576,IZ$94,$C561*2+6)</f>
        <v>5413.7109265464023</v>
      </c>
      <c r="JA561" s="19">
        <f t="shared" si="1788"/>
        <v>2750</v>
      </c>
      <c r="JB561" s="19">
        <f t="shared" si="1789"/>
        <v>3247.8602451517222</v>
      </c>
      <c r="JC561" s="19">
        <f t="shared" si="1790"/>
        <v>5378.7109265464023</v>
      </c>
      <c r="JD561" s="19">
        <f t="shared" si="1791"/>
        <v>3213.0788353461417</v>
      </c>
      <c r="JE561" s="21"/>
      <c r="JF561" s="1">
        <f t="shared" si="1655"/>
        <v>6.2875001493236493E-2</v>
      </c>
      <c r="JG561" s="15">
        <f>INDEX(Input!$1:$1048576,JG$93,$C561*2+6)/(1+VLOOKUP(C561*1000+INDEX(Input!$1:$1048576,JG$93+1,$C561*2+6),$A:$KK,$JK$92,FALSE))</f>
        <v>742</v>
      </c>
      <c r="JH561" s="1">
        <f t="shared" si="1792"/>
        <v>0.14166034397631092</v>
      </c>
      <c r="JI561" s="1">
        <f t="shared" si="1793"/>
        <v>2.5299310160912723E-2</v>
      </c>
      <c r="JJ561" s="1">
        <f t="shared" si="1824"/>
        <v>0</v>
      </c>
      <c r="JK561" s="1">
        <f t="shared" si="1825"/>
        <v>0.16695965413722363</v>
      </c>
      <c r="JL561" s="15">
        <f t="shared" si="1796"/>
        <v>123.88406336981994</v>
      </c>
      <c r="JM561" s="15">
        <f t="shared" si="1797"/>
        <v>865.88406336981996</v>
      </c>
      <c r="JN561" s="21"/>
      <c r="JO561" s="19">
        <f>INDEX(Input!$1:$1048576,JO$93,$C561*2+6)</f>
        <v>5908.5</v>
      </c>
      <c r="JP561" s="19">
        <f>INDEX(Input!$1:$1048576,JP$93,$C561*2+6)</f>
        <v>2467.7963733178344</v>
      </c>
      <c r="JQ561" s="39">
        <f t="shared" si="1798"/>
        <v>2695.4211646538583</v>
      </c>
      <c r="JR561" s="39">
        <f t="shared" si="1799"/>
        <v>745.28246202830724</v>
      </c>
      <c r="JS561" s="39">
        <f t="shared" si="1800"/>
        <v>2.7821537578770856</v>
      </c>
      <c r="JT561" s="39">
        <f t="shared" si="1801"/>
        <v>0.95104884887525276</v>
      </c>
      <c r="JU561" s="385">
        <f>(JQ561*JM561-INDEX(Input!$1:$1048576,Input!A$18,$C561*2+6)*JL561*INDEX(Input!$1:$1048576,Input!A$19,$C561*2+6))/1000000</f>
        <v>2.3339222305434952</v>
      </c>
      <c r="JV561" s="39">
        <f t="shared" si="1802"/>
        <v>-0.21907986045467132</v>
      </c>
      <c r="JW561" s="1">
        <f t="shared" si="1803"/>
        <v>-8.5812644348056924E-2</v>
      </c>
      <c r="JX561" s="19">
        <f t="shared" si="1804"/>
        <v>7676.9264989006069</v>
      </c>
      <c r="JZ561" s="341"/>
      <c r="KA561" s="342"/>
      <c r="KB561" s="469">
        <f t="shared" si="1805"/>
        <v>2.4623520912331753</v>
      </c>
      <c r="KI561" s="473">
        <f t="shared" si="1826"/>
        <v>82.255362017883954</v>
      </c>
      <c r="KJ561" s="473">
        <f t="shared" si="1827"/>
        <v>53.936732215501138</v>
      </c>
      <c r="KK561" s="473">
        <f t="shared" si="1808"/>
        <v>-12.308030863565065</v>
      </c>
      <c r="KN561" s="544">
        <f t="shared" si="1809"/>
        <v>5002</v>
      </c>
      <c r="KO561" s="541">
        <f t="shared" si="1659"/>
        <v>8.4319895752040352E-2</v>
      </c>
      <c r="KP561" s="546">
        <f t="shared" si="1660"/>
        <v>474.77484324966343</v>
      </c>
      <c r="KQ561" s="546">
        <f t="shared" si="1661"/>
        <v>354.30638919443254</v>
      </c>
      <c r="KR561" s="548">
        <f t="shared" si="1662"/>
        <v>2.9901098855222958</v>
      </c>
      <c r="KS561" s="548">
        <f t="shared" si="1663"/>
        <v>4.0067833815411893</v>
      </c>
      <c r="KT561" s="473">
        <f t="shared" si="1810"/>
        <v>389.37465324503302</v>
      </c>
      <c r="KU561" s="663">
        <f t="shared" si="1685"/>
        <v>7.5013933583850978</v>
      </c>
      <c r="KV561" s="117"/>
    </row>
    <row r="562" spans="1:308" s="26" customFormat="1" ht="15" outlineLevel="1">
      <c r="A562" s="561">
        <f t="shared" si="1770"/>
        <v>5062</v>
      </c>
      <c r="B562" s="561">
        <f t="shared" si="1771"/>
        <v>62</v>
      </c>
      <c r="C562" s="561">
        <f t="shared" si="1772"/>
        <v>5</v>
      </c>
      <c r="D562" s="561" t="str">
        <f t="shared" si="1812"/>
        <v xml:space="preserve">1000 CC, 0/0/0.9/3.9, -360 Lease, </v>
      </c>
      <c r="E562" s="475">
        <f>INDEX(Input!$1:$1048576,E$93,$C562*2+MIN($B562,2)+5)
+INDEX(Scenarios!E$121:E$200,MATCH($B562,Scenarios!$B$121:$B$200,0))</f>
        <v>2250</v>
      </c>
      <c r="F562" s="475">
        <f>INDEX(Input!$1:$1048576,F$93,$C562*2+MIN($B562,2)+5)
+INDEX(Scenarios!F$121:F$200,MATCH($B562,Scenarios!$B$121:$B$200,0))</f>
        <v>0</v>
      </c>
      <c r="G562" s="475">
        <f>INDEX(Input!$1:$1048576,G$93,$C562*2+MIN($B562,2)+5)
+INDEX(Scenarios!G$121:G$200,MATCH($B562,Scenarios!$B$121:$B$200,0))</f>
        <v>0</v>
      </c>
      <c r="H562" s="475">
        <f>INDEX(Input!$1:$1048576,H$93,$C562*2+MIN($B562,2)+5)
+INDEX(Scenarios!H$121:H$200,MATCH($B562,Scenarios!$B$121:$B$200,0))</f>
        <v>0</v>
      </c>
      <c r="I562" s="476">
        <f>INDEX(Input!$1:$1048576,I$93,$C562*2+MIN($B562,2)+5)</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+INDEX(Scenarios!Q$121:Q$200,MATCH($B562,Scenarios!$B$121:$B$200,0))</f>
        <v>0</v>
      </c>
      <c r="R562" s="478">
        <f>IFERROR(MAX(0,INDEX(Input!$1:$1048576,R$93,$C562*2+MIN($B562,2)+5)
+INDEX(Scenarios!R$121:R$200,MATCH($B562,Scenarios!$B$121:$B$200,0)),),"Market")</f>
        <v>0</v>
      </c>
      <c r="S562" s="478">
        <f>IFERROR(MAX(0,INDEX(Input!$1:$1048576,S$93,$C562*2+MIN($B562,2)+5)
+INDEX(Scenarios!S$121:S$200,MATCH($B562,Scenarios!$B$121:$B$200,0)),),"Market")</f>
        <v>0</v>
      </c>
      <c r="T562" s="478">
        <f>IFERROR(MAX(0,INDEX(Input!$1:$1048576,T$93,$C562*2+MIN($B562,2)+5)
+INDEX(Scenarios!T$121:T$200,MATCH($B562,Scenarios!$B$121:$B$200,0)),),"Market")</f>
        <v>0</v>
      </c>
      <c r="U562" s="478">
        <f>IFERROR(MAX(0,INDEX(Input!$1:$1048576,U$93,$C562*2+MIN($B562,2)+5)
+INDEX(Scenarios!U$121:U$200,MATCH($B562,Scenarios!$B$121:$B$200,0)),),"Market")</f>
        <v>0</v>
      </c>
      <c r="V562" s="478">
        <f>IFERROR(MAX(0,INDEX(Input!$1:$1048576,V$93,$C562*2+MIN($B562,2)+5)
+INDEX(Scenarios!V$121:V$200,MATCH($B562,Scenarios!$B$121:$B$200,0)),),"Market")</f>
        <v>8.9999999999999993E-3</v>
      </c>
      <c r="W562" s="863">
        <f>IFERROR(MAX(0,INDEX(Input!$1:$1048576,W$93,$C562*2+MIN($B562,2)+5)-0%,),"Market")</f>
        <v>3.9E-2</v>
      </c>
      <c r="X562" s="476" t="str">
        <f>INDEX(Input!$1:$1048576,X$93,$C562*2+MIN($B562,2)+5)</f>
        <v>Y</v>
      </c>
      <c r="Y562" s="475">
        <f>INDEX(Input!$1:$1048576,Y$93,$C562*2+MIN($B562,2)+5)
++INDEX(Scenarios!Y$121:Y$200,MATCH($B562,Scenarios!$B$121:$B$200,0))</f>
        <v>-1458.3618966787526</v>
      </c>
      <c r="Z562" s="477">
        <f>INDEX(Input!$1:$1048576,Z$93,$C562*2+MIN($B562,2)+5)
+INDEX(Scenarios!Z$121:Z$200,MATCH($B562,Scenarios!$B$121:$B$200,0))</f>
        <v>0</v>
      </c>
      <c r="AA562" s="475">
        <f>INDEX(Input!$1:$1048576,AA$93,$C562*2+MIN($B562,2)+5)</f>
        <v>500</v>
      </c>
      <c r="AB562" s="476">
        <f>INDEX(Input!$1:$1048576,AB$93,$C562*2+MIN($B562,2)+5)</f>
        <v>0.43</v>
      </c>
      <c r="AC562" s="475">
        <f>INDEX(Input!$1:$1048576,AC$93,$C562*2+MIN($B562,2)+5)
+INDEX(Scenarios!AC$121:AC$200,MATCH($B562,Scenarios!$B$121:$B$200,0))</f>
        <v>0</v>
      </c>
      <c r="AD562" s="476">
        <f>INDEX(Input!$1:$1048576,AD$93,$C562*2+MIN($B562,2)+5)</f>
        <v>0.35</v>
      </c>
      <c r="AE562" s="475">
        <f>INDEX(Input!$1:$1048576,AE$93,$C562*2+MIN($B562,2)+5)
+INDEX(Scenarios!AE$121:AE$200,MATCH($B562,Scenarios!$B$121:$B$200,0))</f>
        <v>0</v>
      </c>
      <c r="AF562" s="476">
        <f>INDEX(Input!$1:$1048576,AF$93,$C562*2+MIN($B562,2)+5)</f>
        <v>1</v>
      </c>
      <c r="AG562" s="475">
        <f>INDEX(Input!$1:$1048576,AG$93,$C562*2+MIN($B562,2)+5)
+INDEX(Scenarios!AG$121:AG$200,MATCH($B562,Scenarios!$B$121:$B$200,0))</f>
        <v>0</v>
      </c>
      <c r="AH562" s="476">
        <f>INDEX(Input!$1:$1048576,AH$93,$C562*2+MIN($B562,2)+5)</f>
        <v>1</v>
      </c>
      <c r="AI562" s="475">
        <f>INDEX(Input!$1:$1048576,AI$93,$C562*2+MIN($B562,2)+5)
+INDEX(Scenarios!AI$121:AI$200,MATCH($B562,Scenarios!$B$121:$B$200,0))</f>
        <v>0</v>
      </c>
      <c r="AJ562" s="476">
        <f>INDEX(Input!$1:$1048576,AJ$93,$C562*2+MIN($B562,2)+5)</f>
        <v>0.35</v>
      </c>
      <c r="AK562" s="150">
        <f>ROUND(INDEX(Input!$1:$1048576,AK$93,$C561*2+MIN($B562,1)+5)+(Y562-VLOOKUP($C562*1000+1,$A:$HH,Y$92,FALSE)),0)</f>
        <v>4232</v>
      </c>
      <c r="AL562" s="150">
        <f>ROUND(INDEX(Input!$1:$1048576,AL$93,$C561*2+MIN($B562,1)+5)-(Y562-VLOOKUP($C562*1000+1,$A:$HH,Y$92,FALSE))/36,0)</f>
        <v>4753</v>
      </c>
      <c r="AM562" s="32" t="str">
        <f t="shared" si="1773"/>
        <v>std/std/std/std</v>
      </c>
      <c r="AN562" s="32" t="str">
        <f t="shared" si="1774"/>
        <v>$0 + 0/0/0/0.9/3.9</v>
      </c>
      <c r="AO562" s="32" t="str">
        <f t="shared" si="1775"/>
        <v>0/0/0/0.9/3.9</v>
      </c>
      <c r="AP562" s="32" t="str">
        <f t="shared" si="1755"/>
        <v>0/0/0.9/3.9</v>
      </c>
      <c r="AQ562" s="536">
        <f t="shared" si="1754"/>
        <v>0.50894003905492524</v>
      </c>
      <c r="AR562" s="32"/>
      <c r="AS562" s="302"/>
      <c r="AT562" s="3">
        <f t="shared" si="1776"/>
        <v>62</v>
      </c>
      <c r="AU562" s="41" t="s">
        <v>121</v>
      </c>
      <c r="AV562" s="41" t="s">
        <v>116</v>
      </c>
      <c r="AW562" s="41" t="str">
        <f>INDEX(Input!$1:$1048576,AW$93,$C562*2+6)</f>
        <v>Kia</v>
      </c>
      <c r="AX562" s="41" t="str">
        <f>INDEX(Input!$1:$1048576,AX$93,$C562*2+6)</f>
        <v>Kia-LR - R2</v>
      </c>
      <c r="AY562" s="41" t="str">
        <f>IF(LEN(D562)=0,"",INDEX(Input!$1:$1048576,AY$93,$C562*2+6))</f>
        <v>Compact Conventional/Sporty Car (43)</v>
      </c>
      <c r="AZ562" s="41" t="str">
        <f>INDEX(Input!$1:$1048576,AZ$93,$C562*2+6)</f>
        <v>Kia Forte</v>
      </c>
      <c r="BA562" s="3">
        <f>INDEX(Input!$1:$1048576,BA$93,$C562*2+6)</f>
        <v>2020</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19695</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756"/>
        <v>2250</v>
      </c>
      <c r="CJ562" s="16" t="str">
        <f>INDEX(Input!$1:$1048576,CJ$93,$C562*2+6)</f>
        <v>N</v>
      </c>
      <c r="CK562" s="1" t="str">
        <f t="shared" si="1757"/>
        <v>Market</v>
      </c>
      <c r="CL562" s="1" t="str">
        <f t="shared" si="1758"/>
        <v>Market</v>
      </c>
      <c r="CM562" s="1" t="str">
        <f t="shared" si="1759"/>
        <v>Market</v>
      </c>
      <c r="CN562" s="1" t="str">
        <f t="shared" si="1760"/>
        <v>Market</v>
      </c>
      <c r="CO562" s="1" t="str">
        <f t="shared" si="1761"/>
        <v>Market</v>
      </c>
      <c r="CP562" s="304">
        <f t="shared" si="1762"/>
        <v>215</v>
      </c>
      <c r="CQ562" s="1">
        <f t="shared" si="1763"/>
        <v>0</v>
      </c>
      <c r="CR562" s="1">
        <f t="shared" si="1764"/>
        <v>0</v>
      </c>
      <c r="CS562" s="1">
        <f t="shared" si="1765"/>
        <v>0</v>
      </c>
      <c r="CT562" s="1">
        <f t="shared" si="1766"/>
        <v>8.9999999999999993E-3</v>
      </c>
      <c r="CU562" s="1">
        <f t="shared" si="1767"/>
        <v>3.9E-2</v>
      </c>
      <c r="CV562" s="304">
        <f t="shared" si="1768"/>
        <v>-1458.3618966787526</v>
      </c>
      <c r="CW562" s="20" t="s">
        <v>122</v>
      </c>
      <c r="CX562" s="20" t="s">
        <v>122</v>
      </c>
      <c r="CY562" s="20" t="s">
        <v>122</v>
      </c>
      <c r="CZ562" s="20" t="s">
        <v>122</v>
      </c>
      <c r="DA562" s="20" t="s">
        <v>122</v>
      </c>
      <c r="DB562" s="503">
        <f t="shared" si="1769"/>
        <v>0</v>
      </c>
      <c r="DC562" s="127">
        <v>0</v>
      </c>
      <c r="DD562" s="127">
        <v>0</v>
      </c>
      <c r="DE562" s="127">
        <v>0</v>
      </c>
      <c r="DF562" s="127">
        <v>0</v>
      </c>
      <c r="DG562" s="127">
        <v>0</v>
      </c>
      <c r="DH562" s="127">
        <v>0</v>
      </c>
      <c r="DI562" s="127">
        <v>0</v>
      </c>
      <c r="DJ562" s="127">
        <v>0</v>
      </c>
      <c r="DK562" s="127">
        <v>0</v>
      </c>
      <c r="DL562" s="127">
        <v>0</v>
      </c>
      <c r="DM562" s="304">
        <f>INDEX(Input!$1:$1048576,DM$93,$C562*2+6)</f>
        <v>20731.578947368424</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4.579359740350826E-2</v>
      </c>
      <c r="DZ562" s="7">
        <v>0</v>
      </c>
      <c r="EA562" s="7">
        <v>0.79930085603551349</v>
      </c>
      <c r="EB562" s="7">
        <v>0</v>
      </c>
      <c r="EC562" s="7">
        <v>0</v>
      </c>
      <c r="ED562" s="7">
        <v>0</v>
      </c>
      <c r="EE562" s="7">
        <v>0</v>
      </c>
      <c r="EF562" s="7">
        <v>0</v>
      </c>
      <c r="EG562" s="7">
        <v>0</v>
      </c>
      <c r="EH562" s="7">
        <v>1.0405651363948271E-2</v>
      </c>
      <c r="EI562" s="7">
        <v>1.3091302981817612E-2</v>
      </c>
      <c r="EJ562" s="7">
        <v>0.19287861241728818</v>
      </c>
      <c r="EK562" s="7">
        <v>0.75026341402179919</v>
      </c>
      <c r="EL562" s="7">
        <v>3.3361019215146469E-2</v>
      </c>
      <c r="EM562" s="7">
        <v>7.3686638107196653E-2</v>
      </c>
      <c r="EN562" s="7">
        <v>4.696172018865543E-2</v>
      </c>
      <c r="EO562" s="7">
        <v>0.58334589973560314</v>
      </c>
      <c r="EP562" s="7">
        <v>0.24966919803881771</v>
      </c>
      <c r="EQ562" s="7">
        <v>7.2896261785127606E-2</v>
      </c>
      <c r="ER562" s="7">
        <v>4.7126920251796295E-2</v>
      </c>
      <c r="ES562" s="7">
        <v>8.1218908453781574E-2</v>
      </c>
      <c r="ET562" s="7">
        <v>0.15490554656097819</v>
      </c>
      <c r="EU562" s="6">
        <v>2600</v>
      </c>
      <c r="EV562" s="6">
        <v>0</v>
      </c>
      <c r="EW562" s="6">
        <v>2600</v>
      </c>
      <c r="EX562" s="6">
        <v>0</v>
      </c>
      <c r="EY562" s="6">
        <v>2975.8400242553712</v>
      </c>
      <c r="EZ562" s="6">
        <v>-2083.0908300335955</v>
      </c>
      <c r="FA562" s="6">
        <v>0</v>
      </c>
      <c r="FB562" s="6">
        <v>0</v>
      </c>
      <c r="FC562" s="6">
        <v>0</v>
      </c>
      <c r="FD562" s="6">
        <v>0</v>
      </c>
      <c r="FE562" s="6">
        <v>0</v>
      </c>
      <c r="FF562" s="6">
        <v>0</v>
      </c>
      <c r="FG562" s="6">
        <v>0</v>
      </c>
      <c r="FH562" s="6">
        <v>1153.9936718612744</v>
      </c>
      <c r="FI562" s="6">
        <v>1531.4299904380625</v>
      </c>
      <c r="FJ562" s="6">
        <v>2070.7205842538215</v>
      </c>
      <c r="FK562" s="6">
        <v>2218.639369850101</v>
      </c>
      <c r="FL562" s="6">
        <v>893.91433563489363</v>
      </c>
      <c r="FM562" s="6">
        <v>2125.8400242553712</v>
      </c>
      <c r="FN562" s="6">
        <v>0</v>
      </c>
      <c r="FO562" s="6">
        <v>0</v>
      </c>
      <c r="FP562" s="6">
        <v>0</v>
      </c>
      <c r="FQ562" s="6">
        <v>0</v>
      </c>
      <c r="FR562" s="6">
        <v>0</v>
      </c>
      <c r="FS562" s="6">
        <v>0</v>
      </c>
      <c r="FT562" s="7">
        <v>0.84509445343902179</v>
      </c>
      <c r="FU562" s="7">
        <v>7.3686638107196653E-2</v>
      </c>
      <c r="FV562" s="7">
        <v>8.1218908453781574E-2</v>
      </c>
      <c r="FW562" s="6">
        <v>2600</v>
      </c>
      <c r="FX562" s="6">
        <v>2975.8400242553712</v>
      </c>
      <c r="FY562" s="6">
        <v>-2083.0908300335955</v>
      </c>
      <c r="FZ562" s="6">
        <v>2411.9063952864503</v>
      </c>
      <c r="GA562" s="6">
        <v>2247.3388624482632</v>
      </c>
      <c r="GB562" s="6">
        <v>17447.661137551739</v>
      </c>
      <c r="GC562" s="7">
        <v>7.6138913542514425E-2</v>
      </c>
      <c r="GD562" s="7">
        <v>7.3681520062112746E-2</v>
      </c>
      <c r="GE562" s="7"/>
      <c r="GF562" s="7"/>
      <c r="GG562" s="7">
        <v>-3.2275131940640578E-2</v>
      </c>
      <c r="GH562" s="42">
        <v>3.8626010404855169</v>
      </c>
      <c r="GI562" s="6">
        <v>7346.2346048686131</v>
      </c>
      <c r="GJ562" s="14">
        <v>0.51074630601039561</v>
      </c>
      <c r="GK562" s="14">
        <v>0.5082951978616097</v>
      </c>
      <c r="GL562" s="14">
        <v>0.48925369398960467</v>
      </c>
      <c r="GM562" s="14">
        <v>0.49170480213839035</v>
      </c>
      <c r="GO562" s="5">
        <v>338.16872463277008</v>
      </c>
      <c r="GP562" s="5">
        <v>288.56568471597211</v>
      </c>
      <c r="GQ562" s="5">
        <v>527.27910984145694</v>
      </c>
      <c r="GR562" s="5">
        <v>404.20319246551543</v>
      </c>
      <c r="GS562" s="5">
        <v>334.50205195691484</v>
      </c>
      <c r="GT562" s="5">
        <v>289.18266033348181</v>
      </c>
      <c r="GU562" s="5">
        <v>254.29573314828914</v>
      </c>
      <c r="GV562" s="39" t="s">
        <v>392</v>
      </c>
      <c r="GW562" s="5">
        <v>468.76388888888891</v>
      </c>
      <c r="GX562" s="5">
        <v>351.57291666666669</v>
      </c>
      <c r="GY562" s="5">
        <v>281.25833333333333</v>
      </c>
      <c r="GZ562" s="5">
        <v>240.8550698915011</v>
      </c>
      <c r="HA562" s="5">
        <v>229.8919505212948</v>
      </c>
      <c r="HB562" s="39">
        <v>252.10323503620856</v>
      </c>
      <c r="HC562" s="5">
        <v>374.25084881396981</v>
      </c>
      <c r="HD562" s="5">
        <v>298.52900980034525</v>
      </c>
      <c r="HE562" s="5">
        <v>295.2186408427836</v>
      </c>
      <c r="HF562" s="5">
        <v>265.87464978663218</v>
      </c>
      <c r="HG562" s="5">
        <v>247.50084178617021</v>
      </c>
      <c r="HH562" s="39">
        <v>296.47335927284178</v>
      </c>
      <c r="HI562" s="16"/>
      <c r="HJ562" s="19" t="str">
        <f t="shared" ref="HJ562:HK562" si="1829">HJ561</f>
        <v>On</v>
      </c>
      <c r="HK562" s="1" t="str">
        <f t="shared" si="1829"/>
        <v>On</v>
      </c>
      <c r="HL562" s="16"/>
      <c r="HM562" s="639">
        <f t="shared" si="1636"/>
        <v>5.1181272167489952E-2</v>
      </c>
      <c r="HN562" s="639">
        <f t="shared" si="1637"/>
        <v>4.2792051795134348E-3</v>
      </c>
      <c r="HO562" s="639">
        <f t="shared" si="1638"/>
        <v>7.4145241462331068E-3</v>
      </c>
      <c r="HP562" s="644">
        <f>(FT562*$GD562-HM562)/$JF562*INDEX(Input!$1:$1048576,$JG$93,$C562*2+6)</f>
        <v>130.83476817554268</v>
      </c>
      <c r="HQ562" s="644">
        <f>(FU562*$GD562-HN562)/$JF562*INDEX(Input!$1:$1048576,$JG$93,$C562*2+6)</f>
        <v>13.573003841034993</v>
      </c>
      <c r="HR562" s="644">
        <f>(FV562*$GD562-HO562)/$JF562*INDEX(Input!$1:$1048576,$JG$93,$C562*2+6)</f>
        <v>-16.877965453173736</v>
      </c>
      <c r="HS562" s="644">
        <f t="shared" si="1821"/>
        <v>-26.100699836060862</v>
      </c>
      <c r="HT562" s="644">
        <f t="shared" si="1640"/>
        <v>37.562631684338115</v>
      </c>
      <c r="HU562" s="644">
        <f t="shared" si="1641"/>
        <v>2.6763439317991851</v>
      </c>
      <c r="HV562" s="648">
        <f t="shared" si="1642"/>
        <v>0</v>
      </c>
      <c r="HW562" s="648">
        <f t="shared" si="1643"/>
        <v>0</v>
      </c>
      <c r="HX562" s="648">
        <f t="shared" si="1644"/>
        <v>0</v>
      </c>
      <c r="HY562" s="644">
        <f>INDEX(Input!$1:$1048576,HY$93,$C562*2+6)*INDEX(Input!$1:$1048576,$JG$93,$C562*2+6)</f>
        <v>345</v>
      </c>
      <c r="HZ562" s="644">
        <f>INDEX(Input!$1:$1048576,HZ$93,$C562*2+6)*INDEX(Input!$1:$1048576,$JG$93,$C562*2+6)</f>
        <v>299</v>
      </c>
      <c r="IA562" s="644">
        <f>INDEX(Input!$1:$1048576,IA$93,$C562*2+6)*INDEX(Input!$1:$1048576,$JG$93,$C562*2+6)</f>
        <v>98</v>
      </c>
      <c r="IB562" s="644">
        <f t="shared" si="1780"/>
        <v>449.73406833948184</v>
      </c>
      <c r="IC562" s="644">
        <f t="shared" si="1781"/>
        <v>350.13563552537312</v>
      </c>
      <c r="ID562" s="644">
        <f>IF(AND(INDEX(Input!$1:$1048576,IA$93,$C562*2+7)="TOS",Y562&lt;=INDEX(Y:Y,MATCH(C562*1000+2,A:A))),0,1)*MAX(IA562+HR562+HU562+HX562,0%)</f>
        <v>83.798378478625438</v>
      </c>
      <c r="IE562" s="128">
        <f t="shared" si="1822"/>
        <v>0.50894003905492524</v>
      </c>
      <c r="IF562" s="128">
        <f t="shared" si="1823"/>
        <v>0.39622980904415644</v>
      </c>
      <c r="IG562" s="128">
        <f t="shared" si="1784"/>
        <v>9.4830151900918314E-2</v>
      </c>
      <c r="IH562" s="21"/>
      <c r="II562" s="19">
        <f t="shared" si="1647"/>
        <v>1200</v>
      </c>
      <c r="IJ562" s="19">
        <f t="shared" si="1648"/>
        <v>2231.5440334087361</v>
      </c>
      <c r="IK562" s="19">
        <f t="shared" si="1649"/>
        <v>-2048.0908300335955</v>
      </c>
      <c r="IL562" s="19">
        <f t="shared" si="1785"/>
        <v>1400</v>
      </c>
      <c r="IM562" s="19">
        <f t="shared" si="1786"/>
        <v>744.29599084663505</v>
      </c>
      <c r="IN562" s="19">
        <f t="shared" si="1787"/>
        <v>-35</v>
      </c>
      <c r="IO562" s="39">
        <f t="shared" si="1652"/>
        <v>0</v>
      </c>
      <c r="IP562" s="39">
        <f t="shared" si="1653"/>
        <v>0</v>
      </c>
      <c r="IQ562" s="39">
        <f t="shared" si="1654"/>
        <v>0</v>
      </c>
      <c r="IR562" s="39">
        <v>0</v>
      </c>
      <c r="IS562" s="39">
        <v>0</v>
      </c>
      <c r="IT562" s="39">
        <v>0</v>
      </c>
      <c r="IU562" s="39">
        <v>0</v>
      </c>
      <c r="IV562" s="39">
        <v>0</v>
      </c>
      <c r="IW562" s="39">
        <v>0</v>
      </c>
      <c r="IX562" s="39">
        <f>INDEX(Input!$1:$1048576,IX$93,$C562*2+6)+INDEX(Input!$1:$1048576,IX$94,$C562*2+6)</f>
        <v>1600</v>
      </c>
      <c r="IY562" s="39">
        <f>INDEX(Input!$1:$1048576,IY$93,$C562*2+6)+INDEX(Input!$1:$1048576,IY$94,$C562*2+6)</f>
        <v>2503.5492916397525</v>
      </c>
      <c r="IZ562" s="39">
        <f>INDEX(Input!$1:$1048576,IZ$93,$C562*2+6)+INDEX(Input!$1:$1048576,IZ$94,$C562*2+6)</f>
        <v>5413.7109265464023</v>
      </c>
      <c r="JA562" s="19">
        <f t="shared" si="1788"/>
        <v>3000</v>
      </c>
      <c r="JB562" s="19">
        <f t="shared" si="1789"/>
        <v>3247.8452824863875</v>
      </c>
      <c r="JC562" s="19">
        <f t="shared" si="1790"/>
        <v>5378.7109265464023</v>
      </c>
      <c r="JD562" s="19">
        <f t="shared" si="1791"/>
        <v>3323.7772074448453</v>
      </c>
      <c r="JE562" s="21"/>
      <c r="JF562" s="1">
        <f t="shared" si="1655"/>
        <v>6.2875001493236493E-2</v>
      </c>
      <c r="JG562" s="15">
        <f>INDEX(Input!$1:$1048576,JG$93,$C562*2+6)/(1+VLOOKUP(C562*1000+INDEX(Input!$1:$1048576,JG$93+1,$C562*2+6),$A:$KK,$JK$92,FALSE))</f>
        <v>742</v>
      </c>
      <c r="JH562" s="1">
        <f t="shared" si="1792"/>
        <v>0.17187305466766029</v>
      </c>
      <c r="JI562" s="1">
        <f t="shared" si="1793"/>
        <v>1.9054280027057193E-2</v>
      </c>
      <c r="JJ562" s="1">
        <f t="shared" si="1824"/>
        <v>0</v>
      </c>
      <c r="JK562" s="1">
        <f t="shared" si="1825"/>
        <v>0.19092733469471748</v>
      </c>
      <c r="JL562" s="15">
        <f t="shared" si="1796"/>
        <v>141.66808234348036</v>
      </c>
      <c r="JM562" s="15">
        <f t="shared" si="1797"/>
        <v>883.66808234348036</v>
      </c>
      <c r="JN562" s="21"/>
      <c r="JO562" s="19">
        <f>INDEX(Input!$1:$1048576,JO$93,$C562*2+6)</f>
        <v>5908.5</v>
      </c>
      <c r="JP562" s="19">
        <f>INDEX(Input!$1:$1048576,JP$93,$C562*2+6)</f>
        <v>2467.7963733178344</v>
      </c>
      <c r="JQ562" s="39">
        <f t="shared" si="1798"/>
        <v>2584.7227925551547</v>
      </c>
      <c r="JR562" s="39">
        <f t="shared" si="1799"/>
        <v>855.98083412701089</v>
      </c>
      <c r="JS562" s="39">
        <f t="shared" si="1800"/>
        <v>2.9371158310397547</v>
      </c>
      <c r="JT562" s="39">
        <f t="shared" si="1801"/>
        <v>1.1060109220379215</v>
      </c>
      <c r="JU562" s="385">
        <f>(JQ562*JM562-INDEX(Input!$1:$1048576,Input!A$18,$C562*2+6)*JL562*INDEX(Input!$1:$1048576,Input!A$19,$C562*2+6))/1000000</f>
        <v>2.2840370334866988</v>
      </c>
      <c r="JV562" s="39">
        <f t="shared" si="1802"/>
        <v>-0.26896505751146771</v>
      </c>
      <c r="JW562" s="1">
        <f t="shared" si="1803"/>
        <v>-0.10535246267906831</v>
      </c>
      <c r="JX562" s="19">
        <f t="shared" si="1804"/>
        <v>7807.0579042380941</v>
      </c>
      <c r="JZ562" s="341"/>
      <c r="KA562" s="342"/>
      <c r="KB562" s="469">
        <f t="shared" si="1805"/>
        <v>2.4623520912331753</v>
      </c>
      <c r="KI562" s="473">
        <f t="shared" si="1826"/>
        <v>104.73406833948178</v>
      </c>
      <c r="KJ562" s="473">
        <f t="shared" si="1827"/>
        <v>51.135635525373118</v>
      </c>
      <c r="KK562" s="473">
        <f t="shared" si="1808"/>
        <v>-14.201621521374562</v>
      </c>
      <c r="KN562" s="544">
        <f t="shared" si="1809"/>
        <v>5002</v>
      </c>
      <c r="KO562" s="541">
        <f t="shared" si="1659"/>
        <v>0.10659027398781085</v>
      </c>
      <c r="KP562" s="546">
        <f t="shared" si="1660"/>
        <v>611.20757000292781</v>
      </c>
      <c r="KQ562" s="546">
        <f t="shared" si="1661"/>
        <v>465.0047612931362</v>
      </c>
      <c r="KR562" s="548">
        <f t="shared" si="1662"/>
        <v>2.936118915996448</v>
      </c>
      <c r="KS562" s="548">
        <f t="shared" si="1663"/>
        <v>3.8592682425342488</v>
      </c>
      <c r="KT562" s="473">
        <f t="shared" si="1810"/>
        <v>389.37465324503302</v>
      </c>
      <c r="KU562" s="663">
        <f t="shared" si="1685"/>
        <v>7.5221990140567847</v>
      </c>
      <c r="KV562" s="117"/>
    </row>
    <row r="563" spans="1:308" s="26" customFormat="1" ht="15" outlineLevel="1">
      <c r="A563" s="561">
        <f t="shared" si="1770"/>
        <v>5063</v>
      </c>
      <c r="B563" s="561">
        <f t="shared" si="1771"/>
        <v>63</v>
      </c>
      <c r="C563" s="561">
        <f t="shared" si="1772"/>
        <v>5</v>
      </c>
      <c r="D563" s="561" t="str">
        <f t="shared" si="1812"/>
        <v xml:space="preserve">-250 CC, 0/0/0.9/3.9, </v>
      </c>
      <c r="E563" s="475">
        <f>INDEX(Input!$1:$1048576,E$93,$C563*2+MIN($B563,2)+5)
+INDEX(Scenarios!E$121:E$200,MATCH($B563,Scenarios!$B$121:$B$200,0))</f>
        <v>1000</v>
      </c>
      <c r="F563" s="475">
        <f>INDEX(Input!$1:$1048576,F$93,$C563*2+MIN($B563,2)+5)
+INDEX(Scenarios!F$121:F$200,MATCH($B563,Scenarios!$B$121:$B$200,0))</f>
        <v>0</v>
      </c>
      <c r="G563" s="475">
        <f>INDEX(Input!$1:$1048576,G$93,$C563*2+MIN($B563,2)+5)
+INDEX(Scenarios!G$121:G$200,MATCH($B563,Scenarios!$B$121:$B$200,0))</f>
        <v>0</v>
      </c>
      <c r="H563" s="475">
        <f>INDEX(Input!$1:$1048576,H$93,$C563*2+MIN($B563,2)+5)
+INDEX(Scenarios!H$121:H$200,MATCH($B563,Scenarios!$B$121:$B$200,0))</f>
        <v>0</v>
      </c>
      <c r="I563" s="476">
        <f>INDEX(Input!$1:$1048576,I$93,$C563*2+MIN($B563,2)+5)</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+INDEX(Scenarios!Q$121:Q$200,MATCH($B563,Scenarios!$B$121:$B$200,0))</f>
        <v>0</v>
      </c>
      <c r="R563" s="478">
        <f>IFERROR(MAX(0,INDEX(Input!$1:$1048576,R$93,$C563*2+MIN($B563,2)+5)
+INDEX(Scenarios!R$121:R$200,MATCH($B563,Scenarios!$B$121:$B$200,0)),),"Market")</f>
        <v>0</v>
      </c>
      <c r="S563" s="478">
        <f>IFERROR(MAX(0,INDEX(Input!$1:$1048576,S$93,$C563*2+MIN($B563,2)+5)
+INDEX(Scenarios!S$121:S$200,MATCH($B563,Scenarios!$B$121:$B$200,0)),),"Market")</f>
        <v>0</v>
      </c>
      <c r="T563" s="478">
        <f>IFERROR(MAX(0,INDEX(Input!$1:$1048576,T$93,$C563*2+MIN($B563,2)+5)
+INDEX(Scenarios!T$121:T$200,MATCH($B563,Scenarios!$B$121:$B$200,0)),),"Market")</f>
        <v>0</v>
      </c>
      <c r="U563" s="478">
        <f>IFERROR(MAX(0,INDEX(Input!$1:$1048576,U$93,$C563*2+MIN($B563,2)+5)
+INDEX(Scenarios!U$121:U$200,MATCH($B563,Scenarios!$B$121:$B$200,0)),),"Market")</f>
        <v>0</v>
      </c>
      <c r="V563" s="478">
        <f>IFERROR(MAX(0,INDEX(Input!$1:$1048576,V$93,$C563*2+MIN($B563,2)+5)
+INDEX(Scenarios!V$121:V$200,MATCH($B563,Scenarios!$B$121:$B$200,0)),),"Market")</f>
        <v>8.9999999999999993E-3</v>
      </c>
      <c r="W563" s="863">
        <f>IFERROR(MAX(0,INDEX(Input!$1:$1048576,W$93,$C563*2+MIN($B563,2)+5)-0%,),"Market")</f>
        <v>3.9E-2</v>
      </c>
      <c r="X563" s="476" t="str">
        <f>INDEX(Input!$1:$1048576,X$93,$C563*2+MIN($B563,2)+5)</f>
        <v>Y</v>
      </c>
      <c r="Y563" s="475">
        <f>INDEX(Input!$1:$1048576,Y$93,$C563*2+MIN($B563,2)+5)
++INDEX(Scenarios!Y$121:Y$200,MATCH($B563,Scenarios!$B$121:$B$200,0))</f>
        <v>-1098.3618966787526</v>
      </c>
      <c r="Z563" s="477">
        <f>INDEX(Input!$1:$1048576,Z$93,$C563*2+MIN($B563,2)+5)
+INDEX(Scenarios!Z$121:Z$200,MATCH($B563,Scenarios!$B$121:$B$200,0))</f>
        <v>0</v>
      </c>
      <c r="AA563" s="475">
        <f>INDEX(Input!$1:$1048576,AA$93,$C563*2+MIN($B563,2)+5)</f>
        <v>500</v>
      </c>
      <c r="AB563" s="476">
        <f>INDEX(Input!$1:$1048576,AB$93,$C563*2+MIN($B563,2)+5)</f>
        <v>0.43</v>
      </c>
      <c r="AC563" s="475">
        <f>INDEX(Input!$1:$1048576,AC$93,$C563*2+MIN($B563,2)+5)
+INDEX(Scenarios!AC$121:AC$200,MATCH($B563,Scenarios!$B$121:$B$200,0))</f>
        <v>0</v>
      </c>
      <c r="AD563" s="476">
        <f>INDEX(Input!$1:$1048576,AD$93,$C563*2+MIN($B563,2)+5)</f>
        <v>0.35</v>
      </c>
      <c r="AE563" s="475">
        <f>INDEX(Input!$1:$1048576,AE$93,$C563*2+MIN($B563,2)+5)
+INDEX(Scenarios!AE$121:AE$200,MATCH($B563,Scenarios!$B$121:$B$200,0))</f>
        <v>0</v>
      </c>
      <c r="AF563" s="476">
        <f>INDEX(Input!$1:$1048576,AF$93,$C563*2+MIN($B563,2)+5)</f>
        <v>1</v>
      </c>
      <c r="AG563" s="475">
        <f>INDEX(Input!$1:$1048576,AG$93,$C563*2+MIN($B563,2)+5)
+INDEX(Scenarios!AG$121:AG$200,MATCH($B563,Scenarios!$B$121:$B$200,0))</f>
        <v>0</v>
      </c>
      <c r="AH563" s="476">
        <f>INDEX(Input!$1:$1048576,AH$93,$C563*2+MIN($B563,2)+5)</f>
        <v>1</v>
      </c>
      <c r="AI563" s="475">
        <f>INDEX(Input!$1:$1048576,AI$93,$C563*2+MIN($B563,2)+5)
+INDEX(Scenarios!AI$121:AI$200,MATCH($B563,Scenarios!$B$121:$B$200,0))</f>
        <v>0</v>
      </c>
      <c r="AJ563" s="476">
        <f>INDEX(Input!$1:$1048576,AJ$93,$C563*2+MIN($B563,2)+5)</f>
        <v>0.35</v>
      </c>
      <c r="AK563" s="150">
        <f>ROUND(INDEX(Input!$1:$1048576,AK$93,$C562*2+MIN($B563,1)+5)+(Y563-VLOOKUP($C563*1000+1,$A:$HH,Y$92,FALSE)),0)</f>
        <v>4592</v>
      </c>
      <c r="AL563" s="150">
        <f>ROUND(INDEX(Input!$1:$1048576,AL$93,$C562*2+MIN($B563,1)+5)-(Y563-VLOOKUP($C563*1000+1,$A:$HH,Y$92,FALSE))/36,0)</f>
        <v>4743</v>
      </c>
      <c r="AM563" s="32" t="str">
        <f t="shared" si="1773"/>
        <v>std/std/std/std</v>
      </c>
      <c r="AN563" s="32" t="str">
        <f t="shared" si="1774"/>
        <v>$0 + 0/0/0/0.9/3.9</v>
      </c>
      <c r="AO563" s="32" t="str">
        <f t="shared" si="1775"/>
        <v>0/0/0/0.9/3.9</v>
      </c>
      <c r="AP563" s="32" t="str">
        <f t="shared" si="1755"/>
        <v>0/0/0.9/3.9</v>
      </c>
      <c r="AQ563" s="536">
        <f t="shared" si="1754"/>
        <v>0.4203489362011853</v>
      </c>
      <c r="AR563" s="32"/>
      <c r="AS563" s="302"/>
      <c r="AT563" s="3">
        <f t="shared" si="1776"/>
        <v>63</v>
      </c>
      <c r="AU563" s="41" t="s">
        <v>121</v>
      </c>
      <c r="AV563" s="41" t="s">
        <v>116</v>
      </c>
      <c r="AW563" s="41" t="str">
        <f>INDEX(Input!$1:$1048576,AW$93,$C563*2+6)</f>
        <v>Kia</v>
      </c>
      <c r="AX563" s="41" t="str">
        <f>INDEX(Input!$1:$1048576,AX$93,$C563*2+6)</f>
        <v>Kia-LR - R2</v>
      </c>
      <c r="AY563" s="41" t="str">
        <f>IF(LEN(D563)=0,"",INDEX(Input!$1:$1048576,AY$93,$C563*2+6))</f>
        <v>Compact Conventional/Sporty Car (43)</v>
      </c>
      <c r="AZ563" s="41" t="str">
        <f>INDEX(Input!$1:$1048576,AZ$93,$C563*2+6)</f>
        <v>Kia Forte</v>
      </c>
      <c r="BA563" s="3">
        <f>INDEX(Input!$1:$1048576,BA$93,$C563*2+6)</f>
        <v>2020</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19695</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756"/>
        <v>1000</v>
      </c>
      <c r="CJ563" s="16" t="str">
        <f>INDEX(Input!$1:$1048576,CJ$93,$C563*2+6)</f>
        <v>N</v>
      </c>
      <c r="CK563" s="1" t="str">
        <f t="shared" si="1757"/>
        <v>Market</v>
      </c>
      <c r="CL563" s="1" t="str">
        <f t="shared" si="1758"/>
        <v>Market</v>
      </c>
      <c r="CM563" s="1" t="str">
        <f t="shared" si="1759"/>
        <v>Market</v>
      </c>
      <c r="CN563" s="1" t="str">
        <f t="shared" si="1760"/>
        <v>Market</v>
      </c>
      <c r="CO563" s="1" t="str">
        <f t="shared" si="1761"/>
        <v>Market</v>
      </c>
      <c r="CP563" s="304">
        <f t="shared" si="1762"/>
        <v>215</v>
      </c>
      <c r="CQ563" s="1">
        <f t="shared" si="1763"/>
        <v>0</v>
      </c>
      <c r="CR563" s="1">
        <f t="shared" si="1764"/>
        <v>0</v>
      </c>
      <c r="CS563" s="1">
        <f t="shared" si="1765"/>
        <v>0</v>
      </c>
      <c r="CT563" s="1">
        <f t="shared" si="1766"/>
        <v>8.9999999999999993E-3</v>
      </c>
      <c r="CU563" s="1">
        <f t="shared" si="1767"/>
        <v>3.9E-2</v>
      </c>
      <c r="CV563" s="304">
        <f t="shared" si="1768"/>
        <v>-1098.3618966787526</v>
      </c>
      <c r="CW563" s="20" t="s">
        <v>122</v>
      </c>
      <c r="CX563" s="20" t="s">
        <v>122</v>
      </c>
      <c r="CY563" s="20" t="s">
        <v>122</v>
      </c>
      <c r="CZ563" s="20" t="s">
        <v>122</v>
      </c>
      <c r="DA563" s="20" t="s">
        <v>122</v>
      </c>
      <c r="DB563" s="503">
        <f t="shared" si="1769"/>
        <v>0</v>
      </c>
      <c r="DC563" s="127">
        <v>0</v>
      </c>
      <c r="DD563" s="127">
        <v>0</v>
      </c>
      <c r="DE563" s="127">
        <v>0</v>
      </c>
      <c r="DF563" s="127">
        <v>0</v>
      </c>
      <c r="DG563" s="127">
        <v>0</v>
      </c>
      <c r="DH563" s="127">
        <v>0</v>
      </c>
      <c r="DI563" s="127">
        <v>0</v>
      </c>
      <c r="DJ563" s="127">
        <v>0</v>
      </c>
      <c r="DK563" s="127">
        <v>0</v>
      </c>
      <c r="DL563" s="127">
        <v>0</v>
      </c>
      <c r="DM563" s="304">
        <f>INDEX(Input!$1:$1048576,DM$93,$C563*2+6)</f>
        <v>20731.578947368424</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4.1899183800809509E-2</v>
      </c>
      <c r="DZ563" s="7">
        <v>0</v>
      </c>
      <c r="EA563" s="7">
        <v>0.74352655831404457</v>
      </c>
      <c r="EB563" s="7">
        <v>0</v>
      </c>
      <c r="EC563" s="7">
        <v>0</v>
      </c>
      <c r="ED563" s="7">
        <v>0</v>
      </c>
      <c r="EE563" s="7">
        <v>0</v>
      </c>
      <c r="EF563" s="7">
        <v>0</v>
      </c>
      <c r="EG563" s="7">
        <v>0</v>
      </c>
      <c r="EH563" s="7">
        <v>1.0386072312971614E-2</v>
      </c>
      <c r="EI563" s="7">
        <v>1.3085000439392197E-2</v>
      </c>
      <c r="EJ563" s="7">
        <v>0.19235549060774834</v>
      </c>
      <c r="EK563" s="7">
        <v>0.75080167886505322</v>
      </c>
      <c r="EL563" s="7">
        <v>3.3371757774834476E-2</v>
      </c>
      <c r="EM563" s="7">
        <v>9.8044719336302502E-2</v>
      </c>
      <c r="EN563" s="7">
        <v>4.7387652758491182E-2</v>
      </c>
      <c r="EO563" s="7">
        <v>0.58258486412831434</v>
      </c>
      <c r="EP563" s="7">
        <v>0.25107904868099618</v>
      </c>
      <c r="EQ563" s="7">
        <v>7.221073910305767E-2</v>
      </c>
      <c r="ER563" s="7">
        <v>4.6737695329141099E-2</v>
      </c>
      <c r="ES563" s="7">
        <v>0.11652953854884346</v>
      </c>
      <c r="ET563" s="7">
        <v>0.21457425788514592</v>
      </c>
      <c r="EU563" s="6">
        <v>1350</v>
      </c>
      <c r="EV563" s="6">
        <v>0</v>
      </c>
      <c r="EW563" s="6">
        <v>1350</v>
      </c>
      <c r="EX563" s="6">
        <v>0</v>
      </c>
      <c r="EY563" s="6">
        <v>2975.9282572881966</v>
      </c>
      <c r="EZ563" s="6">
        <v>-1723.0908300335955</v>
      </c>
      <c r="FA563" s="6">
        <v>0</v>
      </c>
      <c r="FB563" s="6">
        <v>0</v>
      </c>
      <c r="FC563" s="6">
        <v>0</v>
      </c>
      <c r="FD563" s="6">
        <v>0</v>
      </c>
      <c r="FE563" s="6">
        <v>0</v>
      </c>
      <c r="FF563" s="6">
        <v>0</v>
      </c>
      <c r="FG563" s="6">
        <v>0</v>
      </c>
      <c r="FH563" s="6">
        <v>1153.9843526720292</v>
      </c>
      <c r="FI563" s="6">
        <v>1531.4299904380614</v>
      </c>
      <c r="FJ563" s="6">
        <v>2070.7205842538215</v>
      </c>
      <c r="FK563" s="6">
        <v>2218.639369850102</v>
      </c>
      <c r="FL563" s="6">
        <v>893.91433563489397</v>
      </c>
      <c r="FM563" s="6">
        <v>2125.9282572881966</v>
      </c>
      <c r="FN563" s="6">
        <v>0</v>
      </c>
      <c r="FO563" s="6">
        <v>0</v>
      </c>
      <c r="FP563" s="6">
        <v>0</v>
      </c>
      <c r="FQ563" s="6">
        <v>0</v>
      </c>
      <c r="FR563" s="6">
        <v>0</v>
      </c>
      <c r="FS563" s="6">
        <v>0</v>
      </c>
      <c r="FT563" s="7">
        <v>0.78542574211485405</v>
      </c>
      <c r="FU563" s="7">
        <v>9.8044719336302502E-2</v>
      </c>
      <c r="FV563" s="7">
        <v>0.11652953854884346</v>
      </c>
      <c r="FW563" s="6">
        <v>1350</v>
      </c>
      <c r="FX563" s="6">
        <v>2975.9282572881966</v>
      </c>
      <c r="FY563" s="6">
        <v>-1723.0908300335955</v>
      </c>
      <c r="FZ563" s="6">
        <v>2411.9063952864503</v>
      </c>
      <c r="GA563" s="6">
        <v>1151.3078233042875</v>
      </c>
      <c r="GB563" s="6">
        <v>18543.692176695713</v>
      </c>
      <c r="GC563" s="7">
        <v>7.6138913542514425E-2</v>
      </c>
      <c r="GD563" s="7">
        <v>6.5066603023789624E-2</v>
      </c>
      <c r="GE563" s="7"/>
      <c r="GF563" s="7"/>
      <c r="GG563" s="7">
        <v>-0.14542249164800924</v>
      </c>
      <c r="GH563" s="42">
        <v>2.2720127062368816</v>
      </c>
      <c r="GI563" s="6">
        <v>9819.8332879442678</v>
      </c>
      <c r="GJ563" s="14">
        <v>0.51074630601039539</v>
      </c>
      <c r="GK563" s="14">
        <v>0.50829519786160959</v>
      </c>
      <c r="GL563" s="14">
        <v>0.48925369398960417</v>
      </c>
      <c r="GM563" s="14">
        <v>0.49170480213839007</v>
      </c>
      <c r="GO563" s="5">
        <v>338.16872463277008</v>
      </c>
      <c r="GP563" s="5">
        <v>312.41330006058649</v>
      </c>
      <c r="GQ563" s="5">
        <v>527.27910984145694</v>
      </c>
      <c r="GR563" s="5">
        <v>404.20319246551543</v>
      </c>
      <c r="GS563" s="5">
        <v>334.50205195691484</v>
      </c>
      <c r="GT563" s="5">
        <v>289.18266033348181</v>
      </c>
      <c r="GU563" s="5">
        <v>254.29573314828914</v>
      </c>
      <c r="GV563" s="39" t="s">
        <v>392</v>
      </c>
      <c r="GW563" s="5">
        <v>468.76388888888891</v>
      </c>
      <c r="GX563" s="5">
        <v>351.57291666666669</v>
      </c>
      <c r="GY563" s="5">
        <v>281.25833333333333</v>
      </c>
      <c r="GZ563" s="5">
        <v>240.8550698915011</v>
      </c>
      <c r="HA563" s="5">
        <v>229.8919505212948</v>
      </c>
      <c r="HB563" s="39">
        <v>252.07682143750213</v>
      </c>
      <c r="HC563" s="5">
        <v>358.50084881396981</v>
      </c>
      <c r="HD563" s="5">
        <v>287.77900980034525</v>
      </c>
      <c r="HE563" s="5">
        <v>285.23787161201437</v>
      </c>
      <c r="HF563" s="5">
        <v>257.54964978663213</v>
      </c>
      <c r="HG563" s="5">
        <v>240.60084178617024</v>
      </c>
      <c r="HH563" s="39">
        <v>286.10444191903571</v>
      </c>
      <c r="HI563" s="16"/>
      <c r="HJ563" s="19" t="str">
        <f t="shared" ref="HJ563:HK563" si="1830">HJ562</f>
        <v>On</v>
      </c>
      <c r="HK563" s="1" t="str">
        <f t="shared" si="1830"/>
        <v>On</v>
      </c>
      <c r="HL563" s="16"/>
      <c r="HM563" s="639">
        <f t="shared" si="1636"/>
        <v>5.1181272167489952E-2</v>
      </c>
      <c r="HN563" s="639">
        <f t="shared" si="1637"/>
        <v>4.2792051795134348E-3</v>
      </c>
      <c r="HO563" s="639">
        <f t="shared" si="1638"/>
        <v>7.4145241462331068E-3</v>
      </c>
      <c r="HP563" s="644">
        <f>(FT563*$GD563-HM563)/$JF563*INDEX(Input!$1:$1048576,$JG$93,$C563*2+6)</f>
        <v>-0.90027994478898288</v>
      </c>
      <c r="HQ563" s="644">
        <f>(FU563*$GD563-HN563)/$JF563*INDEX(Input!$1:$1048576,$JG$93,$C563*2+6)</f>
        <v>24.785238152895197</v>
      </c>
      <c r="HR563" s="644">
        <f>(FV563*$GD563-HO563)/$JF563*INDEX(Input!$1:$1048576,$JG$93,$C563*2+6)</f>
        <v>1.9785534745988587</v>
      </c>
      <c r="HS563" s="644">
        <f t="shared" si="1821"/>
        <v>-2.9357485187423364</v>
      </c>
      <c r="HT563" s="644">
        <f t="shared" si="1640"/>
        <v>40.377658379228968</v>
      </c>
      <c r="HU563" s="644">
        <f t="shared" si="1641"/>
        <v>6.3154537697468944</v>
      </c>
      <c r="HV563" s="648">
        <f t="shared" si="1642"/>
        <v>0</v>
      </c>
      <c r="HW563" s="648">
        <f t="shared" si="1643"/>
        <v>0</v>
      </c>
      <c r="HX563" s="648">
        <f t="shared" si="1644"/>
        <v>0</v>
      </c>
      <c r="HY563" s="644">
        <f>INDEX(Input!$1:$1048576,HY$93,$C563*2+6)*INDEX(Input!$1:$1048576,$JG$93,$C563*2+6)</f>
        <v>345</v>
      </c>
      <c r="HZ563" s="644">
        <f>INDEX(Input!$1:$1048576,HZ$93,$C563*2+6)*INDEX(Input!$1:$1048576,$JG$93,$C563*2+6)</f>
        <v>299</v>
      </c>
      <c r="IA563" s="644">
        <f>INDEX(Input!$1:$1048576,IA$93,$C563*2+6)*INDEX(Input!$1:$1048576,$JG$93,$C563*2+6)</f>
        <v>98</v>
      </c>
      <c r="IB563" s="644">
        <f t="shared" si="1780"/>
        <v>341.16397153646858</v>
      </c>
      <c r="IC563" s="644">
        <f t="shared" si="1781"/>
        <v>364.16289653212419</v>
      </c>
      <c r="ID563" s="644">
        <f>IF(AND(INDEX(Input!$1:$1048576,IA$93,$C563*2+7)="TOS",Y563&lt;=INDEX(Y:Y,MATCH(C563*1000+2,A:A))),0,1)*MAX(IA563+HR563+HU563+HX563,0%)</f>
        <v>106.29400724434575</v>
      </c>
      <c r="IE563" s="128">
        <f t="shared" si="1822"/>
        <v>0.4203489362011853</v>
      </c>
      <c r="IF563" s="128">
        <f t="shared" si="1823"/>
        <v>0.44868596608202449</v>
      </c>
      <c r="IG563" s="128">
        <f t="shared" si="1784"/>
        <v>0.13096509771679016</v>
      </c>
      <c r="IH563" s="21"/>
      <c r="II563" s="19">
        <f t="shared" si="1647"/>
        <v>1200</v>
      </c>
      <c r="IJ563" s="19">
        <f t="shared" si="1648"/>
        <v>2231.5440334087361</v>
      </c>
      <c r="IK563" s="19">
        <f t="shared" si="1649"/>
        <v>-2048.0908300335955</v>
      </c>
      <c r="IL563" s="19">
        <f t="shared" si="1785"/>
        <v>150</v>
      </c>
      <c r="IM563" s="19">
        <f t="shared" si="1786"/>
        <v>744.38422387946048</v>
      </c>
      <c r="IN563" s="19">
        <f t="shared" si="1787"/>
        <v>325</v>
      </c>
      <c r="IO563" s="39">
        <f t="shared" si="1652"/>
        <v>0</v>
      </c>
      <c r="IP563" s="39">
        <f t="shared" si="1653"/>
        <v>0</v>
      </c>
      <c r="IQ563" s="39">
        <f t="shared" si="1654"/>
        <v>0</v>
      </c>
      <c r="IR563" s="39">
        <v>0</v>
      </c>
      <c r="IS563" s="39">
        <v>0</v>
      </c>
      <c r="IT563" s="39">
        <v>0</v>
      </c>
      <c r="IU563" s="39">
        <v>0</v>
      </c>
      <c r="IV563" s="39">
        <v>0</v>
      </c>
      <c r="IW563" s="39">
        <v>0</v>
      </c>
      <c r="IX563" s="39">
        <f>INDEX(Input!$1:$1048576,IX$93,$C563*2+6)+INDEX(Input!$1:$1048576,IX$94,$C563*2+6)</f>
        <v>1600</v>
      </c>
      <c r="IY563" s="39">
        <f>INDEX(Input!$1:$1048576,IY$93,$C563*2+6)+INDEX(Input!$1:$1048576,IY$94,$C563*2+6)</f>
        <v>2503.5492916397525</v>
      </c>
      <c r="IZ563" s="39">
        <f>INDEX(Input!$1:$1048576,IZ$93,$C563*2+6)+INDEX(Input!$1:$1048576,IZ$94,$C563*2+6)</f>
        <v>5413.7109265464023</v>
      </c>
      <c r="JA563" s="19">
        <f t="shared" si="1788"/>
        <v>1750</v>
      </c>
      <c r="JB563" s="19">
        <f t="shared" si="1789"/>
        <v>3247.933515519213</v>
      </c>
      <c r="JC563" s="19">
        <f t="shared" si="1790"/>
        <v>5738.7109265464023</v>
      </c>
      <c r="JD563" s="19">
        <f t="shared" si="1791"/>
        <v>2944.4836627965592</v>
      </c>
      <c r="JE563" s="21"/>
      <c r="JF563" s="1">
        <f t="shared" si="1655"/>
        <v>6.2875001493236493E-2</v>
      </c>
      <c r="JG563" s="15">
        <f>INDEX(Input!$1:$1048576,JG$93,$C563*2+6)/(1+VLOOKUP(C563*1000+INDEX(Input!$1:$1048576,JG$93+1,$C563*2+6),$A:$KK,$JK$92,FALSE))</f>
        <v>742</v>
      </c>
      <c r="JH563" s="1">
        <f t="shared" si="1792"/>
        <v>3.4856484747580956E-2</v>
      </c>
      <c r="JI563" s="1">
        <f t="shared" si="1793"/>
        <v>5.8972188180907721E-2</v>
      </c>
      <c r="JJ563" s="1">
        <f t="shared" si="1824"/>
        <v>0</v>
      </c>
      <c r="JK563" s="1">
        <f t="shared" si="1825"/>
        <v>9.3828672928488677E-2</v>
      </c>
      <c r="JL563" s="15">
        <f t="shared" si="1796"/>
        <v>69.620875312938594</v>
      </c>
      <c r="JM563" s="15">
        <f t="shared" si="1797"/>
        <v>811.62087531293855</v>
      </c>
      <c r="JN563" s="21"/>
      <c r="JO563" s="19">
        <f>INDEX(Input!$1:$1048576,JO$93,$C563*2+6)</f>
        <v>5908.5</v>
      </c>
      <c r="JP563" s="19">
        <f>INDEX(Input!$1:$1048576,JP$93,$C563*2+6)</f>
        <v>2467.7963733178344</v>
      </c>
      <c r="JQ563" s="39">
        <f t="shared" si="1798"/>
        <v>2964.0163372034408</v>
      </c>
      <c r="JR563" s="39">
        <f t="shared" si="1799"/>
        <v>476.68728947872478</v>
      </c>
      <c r="JS563" s="39">
        <f t="shared" si="1800"/>
        <v>2.3898044077435907</v>
      </c>
      <c r="JT563" s="39">
        <f t="shared" si="1801"/>
        <v>0.55869949874175784</v>
      </c>
      <c r="JU563" s="385">
        <f>(JQ563*JM563-INDEX(Input!$1:$1048576,Input!A$18,$C563*2+6)*JL563*INDEX(Input!$1:$1048576,Input!A$19,$C563*2+6))/1000000</f>
        <v>2.4056575340429065</v>
      </c>
      <c r="JV563" s="39">
        <f t="shared" si="1802"/>
        <v>-0.14734455695526005</v>
      </c>
      <c r="JW563" s="1">
        <f t="shared" si="1803"/>
        <v>-5.7714232775129312E-2</v>
      </c>
      <c r="JX563" s="19">
        <f t="shared" si="1804"/>
        <v>8024.8847235898957</v>
      </c>
      <c r="JZ563" s="341"/>
      <c r="KA563" s="342"/>
      <c r="KB563" s="469">
        <f t="shared" si="1805"/>
        <v>2.4623520912331753</v>
      </c>
      <c r="KI563" s="473">
        <f t="shared" si="1826"/>
        <v>-3.8360284635314201</v>
      </c>
      <c r="KJ563" s="473">
        <f t="shared" si="1827"/>
        <v>65.162896532124194</v>
      </c>
      <c r="KK563" s="473">
        <f t="shared" si="1808"/>
        <v>8.2940072443457638</v>
      </c>
      <c r="KN563" s="544">
        <f t="shared" si="1809"/>
        <v>5002</v>
      </c>
      <c r="KO563" s="541">
        <f t="shared" si="1659"/>
        <v>1.6367779636142998E-2</v>
      </c>
      <c r="KP563" s="546">
        <f t="shared" si="1660"/>
        <v>49.417338375767784</v>
      </c>
      <c r="KQ563" s="546">
        <f t="shared" si="1661"/>
        <v>85.711216644850083</v>
      </c>
      <c r="KR563" s="548">
        <f t="shared" si="1662"/>
        <v>5.5764165283429472</v>
      </c>
      <c r="KS563" s="548">
        <f t="shared" si="1663"/>
        <v>3.2151178491281542</v>
      </c>
      <c r="KT563" s="473">
        <f t="shared" si="1810"/>
        <v>389.37465324503302</v>
      </c>
      <c r="KU563" s="663">
        <f t="shared" si="1685"/>
        <v>7.2535181729441112</v>
      </c>
      <c r="KV563" s="117"/>
    </row>
    <row r="564" spans="1:308" s="26" customFormat="1" ht="15" outlineLevel="1">
      <c r="A564" s="561">
        <f t="shared" si="1770"/>
        <v>5064</v>
      </c>
      <c r="B564" s="561">
        <f t="shared" si="1771"/>
        <v>64</v>
      </c>
      <c r="C564" s="561">
        <f t="shared" si="1772"/>
        <v>5</v>
      </c>
      <c r="D564" s="561" t="str">
        <f t="shared" si="1812"/>
        <v xml:space="preserve">-500 CC, 0/0/0.9/3.9, </v>
      </c>
      <c r="E564" s="475">
        <f>INDEX(Input!$1:$1048576,E$93,$C564*2+MIN($B564,2)+5)
+INDEX(Scenarios!E$121:E$200,MATCH($B564,Scenarios!$B$121:$B$200,0))</f>
        <v>750</v>
      </c>
      <c r="F564" s="475">
        <f>INDEX(Input!$1:$1048576,F$93,$C564*2+MIN($B564,2)+5)
+INDEX(Scenarios!F$121:F$200,MATCH($B564,Scenarios!$B$121:$B$200,0))</f>
        <v>0</v>
      </c>
      <c r="G564" s="475">
        <f>INDEX(Input!$1:$1048576,G$93,$C564*2+MIN($B564,2)+5)
+INDEX(Scenarios!G$121:G$200,MATCH($B564,Scenarios!$B$121:$B$200,0))</f>
        <v>0</v>
      </c>
      <c r="H564" s="475">
        <f>INDEX(Input!$1:$1048576,H$93,$C564*2+MIN($B564,2)+5)
+INDEX(Scenarios!H$121:H$200,MATCH($B564,Scenarios!$B$121:$B$200,0))</f>
        <v>0</v>
      </c>
      <c r="I564" s="476">
        <f>INDEX(Input!$1:$1048576,I$93,$C564*2+MIN($B564,2)+5)</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+INDEX(Scenarios!Q$121:Q$200,MATCH($B564,Scenarios!$B$121:$B$200,0))</f>
        <v>0</v>
      </c>
      <c r="R564" s="478">
        <f>IFERROR(MAX(0,INDEX(Input!$1:$1048576,R$93,$C564*2+MIN($B564,2)+5)
+INDEX(Scenarios!R$121:R$200,MATCH($B564,Scenarios!$B$121:$B$200,0)),),"Market")</f>
        <v>0</v>
      </c>
      <c r="S564" s="478">
        <f>IFERROR(MAX(0,INDEX(Input!$1:$1048576,S$93,$C564*2+MIN($B564,2)+5)
+INDEX(Scenarios!S$121:S$200,MATCH($B564,Scenarios!$B$121:$B$200,0)),),"Market")</f>
        <v>0</v>
      </c>
      <c r="T564" s="478">
        <f>IFERROR(MAX(0,INDEX(Input!$1:$1048576,T$93,$C564*2+MIN($B564,2)+5)
+INDEX(Scenarios!T$121:T$200,MATCH($B564,Scenarios!$B$121:$B$200,0)),),"Market")</f>
        <v>0</v>
      </c>
      <c r="U564" s="478">
        <f>IFERROR(MAX(0,INDEX(Input!$1:$1048576,U$93,$C564*2+MIN($B564,2)+5)
+INDEX(Scenarios!U$121:U$200,MATCH($B564,Scenarios!$B$121:$B$200,0)),),"Market")</f>
        <v>0</v>
      </c>
      <c r="V564" s="478">
        <f>IFERROR(MAX(0,INDEX(Input!$1:$1048576,V$93,$C564*2+MIN($B564,2)+5)
+INDEX(Scenarios!V$121:V$200,MATCH($B564,Scenarios!$B$121:$B$200,0)),),"Market")</f>
        <v>8.9999999999999993E-3</v>
      </c>
      <c r="W564" s="863">
        <f>IFERROR(MAX(0,INDEX(Input!$1:$1048576,W$93,$C564*2+MIN($B564,2)+5)-0%,),"Market")</f>
        <v>3.9E-2</v>
      </c>
      <c r="X564" s="476" t="str">
        <f>INDEX(Input!$1:$1048576,X$93,$C564*2+MIN($B564,2)+5)</f>
        <v>Y</v>
      </c>
      <c r="Y564" s="475">
        <f>INDEX(Input!$1:$1048576,Y$93,$C564*2+MIN($B564,2)+5)
++INDEX(Scenarios!Y$121:Y$200,MATCH($B564,Scenarios!$B$121:$B$200,0))</f>
        <v>-1098.3618966787526</v>
      </c>
      <c r="Z564" s="477">
        <f>INDEX(Input!$1:$1048576,Z$93,$C564*2+MIN($B564,2)+5)
+INDEX(Scenarios!Z$121:Z$200,MATCH($B564,Scenarios!$B$121:$B$200,0))</f>
        <v>0</v>
      </c>
      <c r="AA564" s="475">
        <f>INDEX(Input!$1:$1048576,AA$93,$C564*2+MIN($B564,2)+5)</f>
        <v>500</v>
      </c>
      <c r="AB564" s="476">
        <f>INDEX(Input!$1:$1048576,AB$93,$C564*2+MIN($B564,2)+5)</f>
        <v>0.43</v>
      </c>
      <c r="AC564" s="475">
        <f>INDEX(Input!$1:$1048576,AC$93,$C564*2+MIN($B564,2)+5)
+INDEX(Scenarios!AC$121:AC$200,MATCH($B564,Scenarios!$B$121:$B$200,0))</f>
        <v>0</v>
      </c>
      <c r="AD564" s="476">
        <f>INDEX(Input!$1:$1048576,AD$93,$C564*2+MIN($B564,2)+5)</f>
        <v>0.35</v>
      </c>
      <c r="AE564" s="475">
        <f>INDEX(Input!$1:$1048576,AE$93,$C564*2+MIN($B564,2)+5)
+INDEX(Scenarios!AE$121:AE$200,MATCH($B564,Scenarios!$B$121:$B$200,0))</f>
        <v>0</v>
      </c>
      <c r="AF564" s="476">
        <f>INDEX(Input!$1:$1048576,AF$93,$C564*2+MIN($B564,2)+5)</f>
        <v>1</v>
      </c>
      <c r="AG564" s="475">
        <f>INDEX(Input!$1:$1048576,AG$93,$C564*2+MIN($B564,2)+5)
+INDEX(Scenarios!AG$121:AG$200,MATCH($B564,Scenarios!$B$121:$B$200,0))</f>
        <v>0</v>
      </c>
      <c r="AH564" s="476">
        <f>INDEX(Input!$1:$1048576,AH$93,$C564*2+MIN($B564,2)+5)</f>
        <v>1</v>
      </c>
      <c r="AI564" s="475">
        <f>INDEX(Input!$1:$1048576,AI$93,$C564*2+MIN($B564,2)+5)
+INDEX(Scenarios!AI$121:AI$200,MATCH($B564,Scenarios!$B$121:$B$200,0))</f>
        <v>0</v>
      </c>
      <c r="AJ564" s="476">
        <f>INDEX(Input!$1:$1048576,AJ$93,$C564*2+MIN($B564,2)+5)</f>
        <v>0.35</v>
      </c>
      <c r="AK564" s="150">
        <f>ROUND(INDEX(Input!$1:$1048576,AK$93,$C563*2+MIN($B564,1)+5)+(Y564-VLOOKUP($C564*1000+1,$A:$HH,Y$92,FALSE)),0)</f>
        <v>4592</v>
      </c>
      <c r="AL564" s="150">
        <f>ROUND(INDEX(Input!$1:$1048576,AL$93,$C563*2+MIN($B564,1)+5)-(Y564-VLOOKUP($C564*1000+1,$A:$HH,Y$92,FALSE))/36,0)</f>
        <v>4743</v>
      </c>
      <c r="AM564" s="32" t="str">
        <f t="shared" si="1773"/>
        <v>std/std/std/std</v>
      </c>
      <c r="AN564" s="32" t="str">
        <f t="shared" si="1774"/>
        <v>$0 + 0/0/0/0.9/3.9</v>
      </c>
      <c r="AO564" s="32" t="str">
        <f t="shared" si="1775"/>
        <v>0/0/0/0.9/3.9</v>
      </c>
      <c r="AP564" s="32" t="str">
        <f t="shared" si="1755"/>
        <v>0/0/0.9/3.9</v>
      </c>
      <c r="AQ564" s="536">
        <f t="shared" si="1754"/>
        <v>0.40360259561246103</v>
      </c>
      <c r="AR564" s="32"/>
      <c r="AS564" s="302"/>
      <c r="AT564" s="3">
        <f t="shared" si="1776"/>
        <v>64</v>
      </c>
      <c r="AU564" s="41" t="s">
        <v>121</v>
      </c>
      <c r="AV564" s="41" t="s">
        <v>116</v>
      </c>
      <c r="AW564" s="41" t="str">
        <f>INDEX(Input!$1:$1048576,AW$93,$C564*2+6)</f>
        <v>Kia</v>
      </c>
      <c r="AX564" s="41" t="str">
        <f>INDEX(Input!$1:$1048576,AX$93,$C564*2+6)</f>
        <v>Kia-LR - R2</v>
      </c>
      <c r="AY564" s="41" t="str">
        <f>IF(LEN(D564)=0,"",INDEX(Input!$1:$1048576,AY$93,$C564*2+6))</f>
        <v>Compact Conventional/Sporty Car (43)</v>
      </c>
      <c r="AZ564" s="41" t="str">
        <f>INDEX(Input!$1:$1048576,AZ$93,$C564*2+6)</f>
        <v>Kia Forte</v>
      </c>
      <c r="BA564" s="3">
        <f>INDEX(Input!$1:$1048576,BA$93,$C564*2+6)</f>
        <v>2020</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19695</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756"/>
        <v>750</v>
      </c>
      <c r="CJ564" s="16" t="str">
        <f>INDEX(Input!$1:$1048576,CJ$93,$C564*2+6)</f>
        <v>N</v>
      </c>
      <c r="CK564" s="1" t="str">
        <f t="shared" si="1757"/>
        <v>Market</v>
      </c>
      <c r="CL564" s="1" t="str">
        <f t="shared" si="1758"/>
        <v>Market</v>
      </c>
      <c r="CM564" s="1" t="str">
        <f t="shared" si="1759"/>
        <v>Market</v>
      </c>
      <c r="CN564" s="1" t="str">
        <f t="shared" si="1760"/>
        <v>Market</v>
      </c>
      <c r="CO564" s="1" t="str">
        <f t="shared" si="1761"/>
        <v>Market</v>
      </c>
      <c r="CP564" s="304">
        <f t="shared" si="1762"/>
        <v>215</v>
      </c>
      <c r="CQ564" s="1">
        <f t="shared" si="1763"/>
        <v>0</v>
      </c>
      <c r="CR564" s="1">
        <f t="shared" si="1764"/>
        <v>0</v>
      </c>
      <c r="CS564" s="1">
        <f t="shared" si="1765"/>
        <v>0</v>
      </c>
      <c r="CT564" s="1">
        <f t="shared" si="1766"/>
        <v>8.9999999999999993E-3</v>
      </c>
      <c r="CU564" s="1">
        <f t="shared" si="1767"/>
        <v>3.9E-2</v>
      </c>
      <c r="CV564" s="304">
        <f t="shared" si="1768"/>
        <v>-1098.3618966787526</v>
      </c>
      <c r="CW564" s="20" t="s">
        <v>122</v>
      </c>
      <c r="CX564" s="20" t="s">
        <v>122</v>
      </c>
      <c r="CY564" s="20" t="s">
        <v>122</v>
      </c>
      <c r="CZ564" s="20" t="s">
        <v>122</v>
      </c>
      <c r="DA564" s="20" t="s">
        <v>122</v>
      </c>
      <c r="DB564" s="503">
        <f t="shared" si="1769"/>
        <v>0</v>
      </c>
      <c r="DC564" s="127">
        <v>0</v>
      </c>
      <c r="DD564" s="127">
        <v>0</v>
      </c>
      <c r="DE564" s="127">
        <v>0</v>
      </c>
      <c r="DF564" s="127">
        <v>0</v>
      </c>
      <c r="DG564" s="127">
        <v>0</v>
      </c>
      <c r="DH564" s="127">
        <v>0</v>
      </c>
      <c r="DI564" s="127">
        <v>0</v>
      </c>
      <c r="DJ564" s="127">
        <v>0</v>
      </c>
      <c r="DK564" s="127">
        <v>0</v>
      </c>
      <c r="DL564" s="127">
        <v>0</v>
      </c>
      <c r="DM564" s="304">
        <f>INDEX(Input!$1:$1048576,DM$93,$C564*2+6)</f>
        <v>20731.578947368424</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4.1117430067116115E-2</v>
      </c>
      <c r="DZ564" s="7">
        <v>0</v>
      </c>
      <c r="EA564" s="7">
        <v>0.73197298441533454</v>
      </c>
      <c r="EB564" s="7">
        <v>0</v>
      </c>
      <c r="EC564" s="7">
        <v>0</v>
      </c>
      <c r="ED564" s="7">
        <v>0</v>
      </c>
      <c r="EE564" s="7">
        <v>0</v>
      </c>
      <c r="EF564" s="7">
        <v>0</v>
      </c>
      <c r="EG564" s="7">
        <v>0</v>
      </c>
      <c r="EH564" s="7">
        <v>1.038203330634589E-2</v>
      </c>
      <c r="EI564" s="7">
        <v>1.3083703889021655E-2</v>
      </c>
      <c r="EJ564" s="7">
        <v>0.19224752165626999</v>
      </c>
      <c r="EK564" s="7">
        <v>0.75091271236477497</v>
      </c>
      <c r="EL564" s="7">
        <v>3.3374028783587785E-2</v>
      </c>
      <c r="EM564" s="7">
        <v>0.10369380006743663</v>
      </c>
      <c r="EN564" s="7">
        <v>4.7387566480536755E-2</v>
      </c>
      <c r="EO564" s="7">
        <v>0.58258828975920118</v>
      </c>
      <c r="EP564" s="7">
        <v>0.2510829196184709</v>
      </c>
      <c r="EQ564" s="7">
        <v>7.2211587522316975E-2</v>
      </c>
      <c r="ER564" s="7">
        <v>4.6729636619473866E-2</v>
      </c>
      <c r="ES564" s="7">
        <v>0.12321578545011273</v>
      </c>
      <c r="ET564" s="7">
        <v>0.22690958551754942</v>
      </c>
      <c r="EU564" s="6">
        <v>1100</v>
      </c>
      <c r="EV564" s="6">
        <v>0</v>
      </c>
      <c r="EW564" s="6">
        <v>1100</v>
      </c>
      <c r="EX564" s="6">
        <v>0</v>
      </c>
      <c r="EY564" s="6">
        <v>2975.9463907029199</v>
      </c>
      <c r="EZ564" s="6">
        <v>-1723.0908300335955</v>
      </c>
      <c r="FA564" s="6">
        <v>0</v>
      </c>
      <c r="FB564" s="6">
        <v>0</v>
      </c>
      <c r="FC564" s="6">
        <v>0</v>
      </c>
      <c r="FD564" s="6">
        <v>0</v>
      </c>
      <c r="FE564" s="6">
        <v>0</v>
      </c>
      <c r="FF564" s="6">
        <v>0</v>
      </c>
      <c r="FG564" s="6">
        <v>0</v>
      </c>
      <c r="FH564" s="6">
        <v>1153.9824349785606</v>
      </c>
      <c r="FI564" s="6">
        <v>1531.4299904380618</v>
      </c>
      <c r="FJ564" s="6">
        <v>2070.7205842538215</v>
      </c>
      <c r="FK564" s="6">
        <v>2218.6393698501006</v>
      </c>
      <c r="FL564" s="6">
        <v>893.91433563489375</v>
      </c>
      <c r="FM564" s="6">
        <v>2125.9463907029199</v>
      </c>
      <c r="FN564" s="6">
        <v>0</v>
      </c>
      <c r="FO564" s="6">
        <v>0</v>
      </c>
      <c r="FP564" s="6">
        <v>0</v>
      </c>
      <c r="FQ564" s="6">
        <v>0</v>
      </c>
      <c r="FR564" s="6">
        <v>0</v>
      </c>
      <c r="FS564" s="6">
        <v>0</v>
      </c>
      <c r="FT564" s="7">
        <v>0.77309041448245064</v>
      </c>
      <c r="FU564" s="7">
        <v>0.10369380006743663</v>
      </c>
      <c r="FV564" s="7">
        <v>0.12321578545011273</v>
      </c>
      <c r="FW564" s="6">
        <v>1100</v>
      </c>
      <c r="FX564" s="6">
        <v>2975.9463907029199</v>
      </c>
      <c r="FY564" s="6">
        <v>-1723.0908300335955</v>
      </c>
      <c r="FZ564" s="6">
        <v>2411.9063952864503</v>
      </c>
      <c r="GA564" s="6">
        <v>946.67465595517785</v>
      </c>
      <c r="GB564" s="6">
        <v>18748.325344044821</v>
      </c>
      <c r="GC564" s="7">
        <v>7.6138913542514425E-2</v>
      </c>
      <c r="GD564" s="7">
        <v>6.3488184076847448E-2</v>
      </c>
      <c r="GE564" s="7"/>
      <c r="GF564" s="7"/>
      <c r="GG564" s="7">
        <v>-0.16615327008314962</v>
      </c>
      <c r="GH564" s="42">
        <v>2.2333591106763362</v>
      </c>
      <c r="GI564" s="6">
        <v>9765.2295877841643</v>
      </c>
      <c r="GJ564" s="14">
        <v>0.5107463060103955</v>
      </c>
      <c r="GK564" s="14">
        <v>0.50829519786160993</v>
      </c>
      <c r="GL564" s="14">
        <v>0.48925369398960444</v>
      </c>
      <c r="GM564" s="14">
        <v>0.49170480213839024</v>
      </c>
      <c r="GO564" s="5">
        <v>338.16872463277008</v>
      </c>
      <c r="GP564" s="5">
        <v>317.18282312950942</v>
      </c>
      <c r="GQ564" s="5">
        <v>527.27910984145694</v>
      </c>
      <c r="GR564" s="5">
        <v>404.20319246551543</v>
      </c>
      <c r="GS564" s="5">
        <v>334.50205195691484</v>
      </c>
      <c r="GT564" s="5">
        <v>289.18266033348181</v>
      </c>
      <c r="GU564" s="5">
        <v>254.29573314828914</v>
      </c>
      <c r="GV564" s="39" t="s">
        <v>392</v>
      </c>
      <c r="GW564" s="5">
        <v>468.76388888888891</v>
      </c>
      <c r="GX564" s="5">
        <v>351.57291666666669</v>
      </c>
      <c r="GY564" s="5">
        <v>281.25833333333333</v>
      </c>
      <c r="GZ564" s="5">
        <v>240.8550698915011</v>
      </c>
      <c r="HA564" s="5">
        <v>229.8919505212948</v>
      </c>
      <c r="HB564" s="39">
        <v>252.0713701656768</v>
      </c>
      <c r="HC564" s="5">
        <v>358.50084881396981</v>
      </c>
      <c r="HD564" s="5">
        <v>287.77900980034525</v>
      </c>
      <c r="HE564" s="5">
        <v>285.23787161201437</v>
      </c>
      <c r="HF564" s="5">
        <v>257.54964978663213</v>
      </c>
      <c r="HG564" s="5">
        <v>240.60084178617024</v>
      </c>
      <c r="HH564" s="39">
        <v>286.1047805287003</v>
      </c>
      <c r="HI564" s="16"/>
      <c r="HJ564" s="19" t="str">
        <f t="shared" ref="HJ564:HK564" si="1831">HJ563</f>
        <v>On</v>
      </c>
      <c r="HK564" s="1" t="str">
        <f t="shared" si="1831"/>
        <v>On</v>
      </c>
      <c r="HL564" s="16"/>
      <c r="HM564" s="639">
        <f t="shared" si="1636"/>
        <v>5.1181272167489952E-2</v>
      </c>
      <c r="HN564" s="639">
        <f t="shared" si="1637"/>
        <v>4.2792051795134348E-3</v>
      </c>
      <c r="HO564" s="639">
        <f t="shared" si="1638"/>
        <v>7.4145241462331068E-3</v>
      </c>
      <c r="HP564" s="644">
        <f>(FT564*$GD564-HM564)/$JF564*INDEX(Input!$1:$1048576,$JG$93,$C564*2+6)</f>
        <v>-24.772657758993031</v>
      </c>
      <c r="HQ564" s="644">
        <f>(FU564*$GD564-HN564)/$JF564*INDEX(Input!$1:$1048576,$JG$93,$C564*2+6)</f>
        <v>27.191433278715571</v>
      </c>
      <c r="HR564" s="644">
        <f>(FV564*$GD564-HO564)/$JF564*INDEX(Input!$1:$1048576,$JG$93,$C564*2+6)</f>
        <v>4.8175102255473004</v>
      </c>
      <c r="HS564" s="644">
        <f t="shared" si="1821"/>
        <v>1.6972416427326746</v>
      </c>
      <c r="HT564" s="644">
        <f t="shared" si="1640"/>
        <v>40.940690344694247</v>
      </c>
      <c r="HU564" s="644">
        <f t="shared" si="1641"/>
        <v>5.7534174296189144</v>
      </c>
      <c r="HV564" s="648">
        <f t="shared" si="1642"/>
        <v>0</v>
      </c>
      <c r="HW564" s="648">
        <f t="shared" si="1643"/>
        <v>0</v>
      </c>
      <c r="HX564" s="648">
        <f t="shared" si="1644"/>
        <v>0</v>
      </c>
      <c r="HY564" s="644">
        <f>INDEX(Input!$1:$1048576,HY$93,$C564*2+6)*INDEX(Input!$1:$1048576,$JG$93,$C564*2+6)</f>
        <v>345</v>
      </c>
      <c r="HZ564" s="644">
        <f>INDEX(Input!$1:$1048576,HZ$93,$C564*2+6)*INDEX(Input!$1:$1048576,$JG$93,$C564*2+6)</f>
        <v>299</v>
      </c>
      <c r="IA564" s="644">
        <f>INDEX(Input!$1:$1048576,IA$93,$C564*2+6)*INDEX(Input!$1:$1048576,$JG$93,$C564*2+6)</f>
        <v>98</v>
      </c>
      <c r="IB564" s="644">
        <f t="shared" si="1780"/>
        <v>321.92458388373973</v>
      </c>
      <c r="IC564" s="644">
        <f t="shared" si="1781"/>
        <v>367.13212362340983</v>
      </c>
      <c r="ID564" s="644">
        <f>IF(AND(INDEX(Input!$1:$1048576,IA$93,$C564*2+7)="TOS",Y564&lt;=INDEX(Y:Y,MATCH(C564*1000+2,A:A))),0,1)*MAX(IA564+HR564+HU564+HX564,0%)</f>
        <v>108.57092765516622</v>
      </c>
      <c r="IE564" s="128">
        <f t="shared" si="1822"/>
        <v>0.40360259561246103</v>
      </c>
      <c r="IF564" s="128">
        <f t="shared" si="1823"/>
        <v>0.4602800949201053</v>
      </c>
      <c r="IG564" s="128">
        <f t="shared" si="1784"/>
        <v>0.13611730946743367</v>
      </c>
      <c r="IH564" s="21"/>
      <c r="II564" s="19">
        <f t="shared" si="1647"/>
        <v>1200</v>
      </c>
      <c r="IJ564" s="19">
        <f t="shared" si="1648"/>
        <v>2231.5440334087361</v>
      </c>
      <c r="IK564" s="19">
        <f t="shared" si="1649"/>
        <v>-2048.0908300335955</v>
      </c>
      <c r="IL564" s="19">
        <f t="shared" si="1785"/>
        <v>-100</v>
      </c>
      <c r="IM564" s="19">
        <f t="shared" si="1786"/>
        <v>744.40235729418373</v>
      </c>
      <c r="IN564" s="19">
        <f t="shared" si="1787"/>
        <v>325</v>
      </c>
      <c r="IO564" s="39">
        <f t="shared" si="1652"/>
        <v>0</v>
      </c>
      <c r="IP564" s="39">
        <f t="shared" si="1653"/>
        <v>0</v>
      </c>
      <c r="IQ564" s="39">
        <f t="shared" si="1654"/>
        <v>0</v>
      </c>
      <c r="IR564" s="39">
        <v>0</v>
      </c>
      <c r="IS564" s="39">
        <v>0</v>
      </c>
      <c r="IT564" s="39">
        <v>0</v>
      </c>
      <c r="IU564" s="39">
        <v>0</v>
      </c>
      <c r="IV564" s="39">
        <v>0</v>
      </c>
      <c r="IW564" s="39">
        <v>0</v>
      </c>
      <c r="IX564" s="39">
        <f>INDEX(Input!$1:$1048576,IX$93,$C564*2+6)+INDEX(Input!$1:$1048576,IX$94,$C564*2+6)</f>
        <v>1600</v>
      </c>
      <c r="IY564" s="39">
        <f>INDEX(Input!$1:$1048576,IY$93,$C564*2+6)+INDEX(Input!$1:$1048576,IY$94,$C564*2+6)</f>
        <v>2503.5492916397525</v>
      </c>
      <c r="IZ564" s="39">
        <f>INDEX(Input!$1:$1048576,IZ$93,$C564*2+6)+INDEX(Input!$1:$1048576,IZ$94,$C564*2+6)</f>
        <v>5413.7109265464023</v>
      </c>
      <c r="JA564" s="19">
        <f t="shared" si="1788"/>
        <v>1500</v>
      </c>
      <c r="JB564" s="19">
        <f t="shared" si="1789"/>
        <v>3247.9516489339362</v>
      </c>
      <c r="JC564" s="19">
        <f t="shared" si="1790"/>
        <v>5738.7109265464023</v>
      </c>
      <c r="JD564" s="19">
        <f t="shared" si="1791"/>
        <v>2881.5092778187759</v>
      </c>
      <c r="JE564" s="21"/>
      <c r="JF564" s="1">
        <f t="shared" si="1655"/>
        <v>6.2875001493236493E-2</v>
      </c>
      <c r="JG564" s="15">
        <f>INDEX(Input!$1:$1048576,JG$93,$C564*2+6)/(1+VLOOKUP(C564*1000+INDEX(Input!$1:$1048576,JG$93+1,$C564*2+6),$A:$KK,$JK$92,FALSE))</f>
        <v>742</v>
      </c>
      <c r="JH564" s="1">
        <f t="shared" si="1792"/>
        <v>9.752406664784153E-3</v>
      </c>
      <c r="JI564" s="1">
        <f t="shared" si="1793"/>
        <v>6.5217452044536176E-2</v>
      </c>
      <c r="JJ564" s="1">
        <f t="shared" si="1824"/>
        <v>0</v>
      </c>
      <c r="JK564" s="1">
        <f t="shared" si="1825"/>
        <v>7.4969858709320325E-2</v>
      </c>
      <c r="JL564" s="15">
        <f t="shared" si="1796"/>
        <v>55.627635162315684</v>
      </c>
      <c r="JM564" s="15">
        <f t="shared" si="1797"/>
        <v>797.62763516231564</v>
      </c>
      <c r="JN564" s="21"/>
      <c r="JO564" s="19">
        <f>INDEX(Input!$1:$1048576,JO$93,$C564*2+6)</f>
        <v>5908.5</v>
      </c>
      <c r="JP564" s="19">
        <f>INDEX(Input!$1:$1048576,JP$93,$C564*2+6)</f>
        <v>2467.7963733178344</v>
      </c>
      <c r="JQ564" s="39">
        <f t="shared" si="1798"/>
        <v>3026.9907221812241</v>
      </c>
      <c r="JR564" s="39">
        <f t="shared" si="1799"/>
        <v>413.71290450094148</v>
      </c>
      <c r="JS564" s="39">
        <f t="shared" si="1800"/>
        <v>2.298371430964862</v>
      </c>
      <c r="JT564" s="39">
        <f t="shared" si="1801"/>
        <v>0.46726652196302892</v>
      </c>
      <c r="JU564" s="385">
        <f>(JQ564*JM564-INDEX(Input!$1:$1048576,Input!A$18,$C564*2+6)*JL564*INDEX(Input!$1:$1048576,Input!A$19,$C564*2+6))/1000000</f>
        <v>2.4144114513916799</v>
      </c>
      <c r="JV564" s="39">
        <f t="shared" si="1802"/>
        <v>-0.13859063960648665</v>
      </c>
      <c r="JW564" s="1">
        <f t="shared" si="1803"/>
        <v>-5.4285360789618792E-2</v>
      </c>
      <c r="JX564" s="19">
        <f t="shared" si="1804"/>
        <v>8399.8990897167114</v>
      </c>
      <c r="JZ564" s="341"/>
      <c r="KA564" s="342"/>
      <c r="KB564" s="469">
        <f t="shared" si="1805"/>
        <v>2.4623520912331753</v>
      </c>
      <c r="KI564" s="473">
        <f t="shared" si="1826"/>
        <v>-23.075416116260328</v>
      </c>
      <c r="KJ564" s="473">
        <f t="shared" si="1827"/>
        <v>68.132123623409768</v>
      </c>
      <c r="KK564" s="473">
        <f t="shared" si="1808"/>
        <v>10.570927655166187</v>
      </c>
      <c r="KN564" s="544">
        <f t="shared" si="1809"/>
        <v>5002</v>
      </c>
      <c r="KO564" s="541">
        <f t="shared" si="1659"/>
        <v>-1.1555232438134055E-3</v>
      </c>
      <c r="KP564" s="546">
        <f t="shared" si="1660"/>
        <v>-43.295952034457315</v>
      </c>
      <c r="KQ564" s="546">
        <f t="shared" si="1661"/>
        <v>22.736831667066781</v>
      </c>
      <c r="KR564" s="548">
        <f t="shared" si="1662"/>
        <v>0.44934113612100096</v>
      </c>
      <c r="KS564" s="548">
        <f t="shared" si="1663"/>
        <v>-0.85564482164780031</v>
      </c>
      <c r="KT564" s="473">
        <f t="shared" si="1810"/>
        <v>389.37465324503302</v>
      </c>
      <c r="KU564" s="663">
        <f t="shared" si="1685"/>
        <v>7.1664079965581031</v>
      </c>
      <c r="KV564" s="117"/>
    </row>
    <row r="565" spans="1:308" s="26" customFormat="1" ht="15" outlineLevel="1">
      <c r="A565" s="561">
        <f t="shared" si="1770"/>
        <v>5065</v>
      </c>
      <c r="B565" s="561">
        <f t="shared" si="1771"/>
        <v>65</v>
      </c>
      <c r="C565" s="561">
        <f t="shared" si="1772"/>
        <v>5</v>
      </c>
      <c r="D565" s="561" t="str">
        <f t="shared" si="1812"/>
        <v xml:space="preserve">250 CC, 0.9/1.9/2.9/3.9, </v>
      </c>
      <c r="E565" s="475">
        <f>INDEX(Input!$1:$1048576,E$93,$C565*2+MIN($B565,2)+5)
+INDEX(Scenarios!E$121:E$200,MATCH($B565,Scenarios!$B$121:$B$200,0))</f>
        <v>1500</v>
      </c>
      <c r="F565" s="475">
        <f>INDEX(Input!$1:$1048576,F$93,$C565*2+MIN($B565,2)+5)
+INDEX(Scenarios!F$121:F$200,MATCH($B565,Scenarios!$B$121:$B$200,0))</f>
        <v>0</v>
      </c>
      <c r="G565" s="475">
        <f>INDEX(Input!$1:$1048576,G$93,$C565*2+MIN($B565,2)+5)
+INDEX(Scenarios!G$121:G$200,MATCH($B565,Scenarios!$B$121:$B$200,0))</f>
        <v>0</v>
      </c>
      <c r="H565" s="475">
        <f>INDEX(Input!$1:$1048576,H$93,$C565*2+MIN($B565,2)+5)
+INDEX(Scenarios!H$121:H$200,MATCH($B565,Scenarios!$B$121:$B$200,0))</f>
        <v>0</v>
      </c>
      <c r="I565" s="476">
        <f>INDEX(Input!$1:$1048576,I$93,$C565*2+MIN($B565,2)+5)</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+INDEX(Scenarios!Q$121:Q$200,MATCH($B565,Scenarios!$B$121:$B$200,0))</f>
        <v>0</v>
      </c>
      <c r="R565" s="478">
        <f>IFERROR(MAX(0,INDEX(Input!$1:$1048576,R$93,$C565*2+MIN($B565,2)+5)
+INDEX(Scenarios!R$121:R$200,MATCH($B565,Scenarios!$B$121:$B$200,0)),),"Market")</f>
        <v>9.0000000000000011E-3</v>
      </c>
      <c r="S565" s="478">
        <f>IFERROR(MAX(0,INDEX(Input!$1:$1048576,S$93,$C565*2+MIN($B565,2)+5)
+INDEX(Scenarios!S$121:S$200,MATCH($B565,Scenarios!$B$121:$B$200,0)),),"Market")</f>
        <v>9.0000000000000011E-3</v>
      </c>
      <c r="T565" s="478">
        <f>IFERROR(MAX(0,INDEX(Input!$1:$1048576,T$93,$C565*2+MIN($B565,2)+5)
+INDEX(Scenarios!T$121:T$200,MATCH($B565,Scenarios!$B$121:$B$200,0)),),"Market")</f>
        <v>9.0000000000000011E-3</v>
      </c>
      <c r="U565" s="478">
        <f>IFERROR(MAX(0,INDEX(Input!$1:$1048576,U$93,$C565*2+MIN($B565,2)+5)
+INDEX(Scenarios!U$121:U$200,MATCH($B565,Scenarios!$B$121:$B$200,0)),),"Market")</f>
        <v>9.0000000000000011E-3</v>
      </c>
      <c r="V565" s="478">
        <f>IFERROR(MAX(0,INDEX(Input!$1:$1048576,V$93,$C565*2+MIN($B565,2)+5)
+INDEX(Scenarios!V$121:V$200,MATCH($B565,Scenarios!$B$121:$B$200,0)),),"Market")</f>
        <v>2.8999999999999998E-2</v>
      </c>
      <c r="W565" s="863">
        <f>IFERROR(MAX(0,INDEX(Input!$1:$1048576,W$93,$C565*2+MIN($B565,2)+5)-0%,),"Market")</f>
        <v>3.9E-2</v>
      </c>
      <c r="X565" s="476" t="str">
        <f>INDEX(Input!$1:$1048576,X$93,$C565*2+MIN($B565,2)+5)</f>
        <v>Y</v>
      </c>
      <c r="Y565" s="475">
        <f>INDEX(Input!$1:$1048576,Y$93,$C565*2+MIN($B565,2)+5)
++INDEX(Scenarios!Y$121:Y$200,MATCH($B565,Scenarios!$B$121:$B$200,0))</f>
        <v>-1098.3618966787526</v>
      </c>
      <c r="Z565" s="477">
        <f>INDEX(Input!$1:$1048576,Z$93,$C565*2+MIN($B565,2)+5)
+INDEX(Scenarios!Z$121:Z$200,MATCH($B565,Scenarios!$B$121:$B$200,0))</f>
        <v>0</v>
      </c>
      <c r="AA565" s="475">
        <f>INDEX(Input!$1:$1048576,AA$93,$C565*2+MIN($B565,2)+5)</f>
        <v>500</v>
      </c>
      <c r="AB565" s="476">
        <f>INDEX(Input!$1:$1048576,AB$93,$C565*2+MIN($B565,2)+5)</f>
        <v>0.43</v>
      </c>
      <c r="AC565" s="475">
        <f>INDEX(Input!$1:$1048576,AC$93,$C565*2+MIN($B565,2)+5)
+INDEX(Scenarios!AC$121:AC$200,MATCH($B565,Scenarios!$B$121:$B$200,0))</f>
        <v>0</v>
      </c>
      <c r="AD565" s="476">
        <f>INDEX(Input!$1:$1048576,AD$93,$C565*2+MIN($B565,2)+5)</f>
        <v>0.35</v>
      </c>
      <c r="AE565" s="475">
        <f>INDEX(Input!$1:$1048576,AE$93,$C565*2+MIN($B565,2)+5)
+INDEX(Scenarios!AE$121:AE$200,MATCH($B565,Scenarios!$B$121:$B$200,0))</f>
        <v>0</v>
      </c>
      <c r="AF565" s="476">
        <f>INDEX(Input!$1:$1048576,AF$93,$C565*2+MIN($B565,2)+5)</f>
        <v>1</v>
      </c>
      <c r="AG565" s="475">
        <f>INDEX(Input!$1:$1048576,AG$93,$C565*2+MIN($B565,2)+5)
+INDEX(Scenarios!AG$121:AG$200,MATCH($B565,Scenarios!$B$121:$B$200,0))</f>
        <v>0</v>
      </c>
      <c r="AH565" s="476">
        <f>INDEX(Input!$1:$1048576,AH$93,$C565*2+MIN($B565,2)+5)</f>
        <v>1</v>
      </c>
      <c r="AI565" s="475">
        <f>INDEX(Input!$1:$1048576,AI$93,$C565*2+MIN($B565,2)+5)
+INDEX(Scenarios!AI$121:AI$200,MATCH($B565,Scenarios!$B$121:$B$200,0))</f>
        <v>0</v>
      </c>
      <c r="AJ565" s="476">
        <f>INDEX(Input!$1:$1048576,AJ$93,$C565*2+MIN($B565,2)+5)</f>
        <v>0.35</v>
      </c>
      <c r="AK565" s="150">
        <f>ROUND(INDEX(Input!$1:$1048576,AK$93,$C564*2+MIN($B565,1)+5)+(Y565-VLOOKUP($C565*1000+1,$A:$HH,Y$92,FALSE)),0)</f>
        <v>4592</v>
      </c>
      <c r="AL565" s="150">
        <f>ROUND(INDEX(Input!$1:$1048576,AL$93,$C564*2+MIN($B565,1)+5)-(Y565-VLOOKUP($C565*1000+1,$A:$HH,Y$92,FALSE))/36,0)</f>
        <v>4743</v>
      </c>
      <c r="AM565" s="32" t="str">
        <f t="shared" si="1773"/>
        <v>std/std/std/std</v>
      </c>
      <c r="AN565" s="32" t="str">
        <f t="shared" si="1774"/>
        <v>$0 + 0.9/0.9/0.9/2.9/3.9</v>
      </c>
      <c r="AO565" s="32" t="str">
        <f t="shared" si="1775"/>
        <v>0.9/0.9/0.9/2.9/3.9</v>
      </c>
      <c r="AP565" s="32" t="str">
        <f t="shared" si="1755"/>
        <v>0.9/1.9/2.9/3.9</v>
      </c>
      <c r="AQ565" s="536">
        <f t="shared" si="1754"/>
        <v>0.50839356420646731</v>
      </c>
      <c r="AR565" s="32"/>
      <c r="AS565" s="302"/>
      <c r="AT565" s="3">
        <f t="shared" si="1776"/>
        <v>65</v>
      </c>
      <c r="AU565" s="41" t="s">
        <v>121</v>
      </c>
      <c r="AV565" s="41" t="s">
        <v>116</v>
      </c>
      <c r="AW565" s="41" t="str">
        <f>INDEX(Input!$1:$1048576,AW$93,$C565*2+6)</f>
        <v>Kia</v>
      </c>
      <c r="AX565" s="41" t="str">
        <f>INDEX(Input!$1:$1048576,AX$93,$C565*2+6)</f>
        <v>Kia-LR - R2</v>
      </c>
      <c r="AY565" s="41" t="str">
        <f>IF(LEN(D565)=0,"",INDEX(Input!$1:$1048576,AY$93,$C565*2+6))</f>
        <v>Compact Conventional/Sporty Car (43)</v>
      </c>
      <c r="AZ565" s="41" t="str">
        <f>INDEX(Input!$1:$1048576,AZ$93,$C565*2+6)</f>
        <v>Kia Forte</v>
      </c>
      <c r="BA565" s="3">
        <f>INDEX(Input!$1:$1048576,BA$93,$C565*2+6)</f>
        <v>2020</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19695</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756"/>
        <v>1500</v>
      </c>
      <c r="CJ565" s="16" t="str">
        <f>INDEX(Input!$1:$1048576,CJ$93,$C565*2+6)</f>
        <v>N</v>
      </c>
      <c r="CK565" s="1" t="str">
        <f t="shared" si="1757"/>
        <v>Market</v>
      </c>
      <c r="CL565" s="1" t="str">
        <f t="shared" si="1758"/>
        <v>Market</v>
      </c>
      <c r="CM565" s="1" t="str">
        <f t="shared" si="1759"/>
        <v>Market</v>
      </c>
      <c r="CN565" s="1" t="str">
        <f t="shared" si="1760"/>
        <v>Market</v>
      </c>
      <c r="CO565" s="1" t="str">
        <f t="shared" si="1761"/>
        <v>Market</v>
      </c>
      <c r="CP565" s="304">
        <f t="shared" si="1762"/>
        <v>215</v>
      </c>
      <c r="CQ565" s="1">
        <f t="shared" si="1763"/>
        <v>9.0000000000000011E-3</v>
      </c>
      <c r="CR565" s="1">
        <f t="shared" si="1764"/>
        <v>9.0000000000000011E-3</v>
      </c>
      <c r="CS565" s="1">
        <f t="shared" si="1765"/>
        <v>9.0000000000000011E-3</v>
      </c>
      <c r="CT565" s="1">
        <f t="shared" si="1766"/>
        <v>2.8999999999999998E-2</v>
      </c>
      <c r="CU565" s="1">
        <f t="shared" si="1767"/>
        <v>3.9E-2</v>
      </c>
      <c r="CV565" s="304">
        <f t="shared" si="1768"/>
        <v>-1098.3618966787526</v>
      </c>
      <c r="CW565" s="20" t="s">
        <v>122</v>
      </c>
      <c r="CX565" s="20" t="s">
        <v>122</v>
      </c>
      <c r="CY565" s="20" t="s">
        <v>122</v>
      </c>
      <c r="CZ565" s="20" t="s">
        <v>122</v>
      </c>
      <c r="DA565" s="20" t="s">
        <v>122</v>
      </c>
      <c r="DB565" s="503">
        <f t="shared" si="1769"/>
        <v>0</v>
      </c>
      <c r="DC565" s="127">
        <v>0</v>
      </c>
      <c r="DD565" s="127">
        <v>0</v>
      </c>
      <c r="DE565" s="127">
        <v>0</v>
      </c>
      <c r="DF565" s="127">
        <v>0</v>
      </c>
      <c r="DG565" s="127">
        <v>0</v>
      </c>
      <c r="DH565" s="127">
        <v>0</v>
      </c>
      <c r="DI565" s="127">
        <v>0</v>
      </c>
      <c r="DJ565" s="127">
        <v>0</v>
      </c>
      <c r="DK565" s="127">
        <v>0</v>
      </c>
      <c r="DL565" s="127">
        <v>0</v>
      </c>
      <c r="DM565" s="304">
        <f>INDEX(Input!$1:$1048576,DM$93,$C565*2+6)</f>
        <v>20731.578947368424</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4.5463275201861816E-2</v>
      </c>
      <c r="DZ565" s="7">
        <v>0</v>
      </c>
      <c r="EA565" s="7">
        <v>0.80092589566247041</v>
      </c>
      <c r="EB565" s="7">
        <v>0</v>
      </c>
      <c r="EC565" s="7">
        <v>0</v>
      </c>
      <c r="ED565" s="7">
        <v>0</v>
      </c>
      <c r="EE565" s="7">
        <v>0</v>
      </c>
      <c r="EF565" s="7">
        <v>0</v>
      </c>
      <c r="EG565" s="7">
        <v>0</v>
      </c>
      <c r="EH565" s="7">
        <v>1.7853699136180651E-2</v>
      </c>
      <c r="EI565" s="7">
        <v>2.1030829288514897E-2</v>
      </c>
      <c r="EJ565" s="7">
        <v>0.29140030489698626</v>
      </c>
      <c r="EK565" s="7">
        <v>0.60062057988465933</v>
      </c>
      <c r="EL565" s="7">
        <v>6.9094586793658694E-2</v>
      </c>
      <c r="EM565" s="7">
        <v>4.4361934072313688E-2</v>
      </c>
      <c r="EN565" s="7">
        <v>4.7389910078793458E-2</v>
      </c>
      <c r="EO565" s="7">
        <v>0.58257708392971896</v>
      </c>
      <c r="EP565" s="7">
        <v>0.25105673056181388</v>
      </c>
      <c r="EQ565" s="7">
        <v>7.2206418134105277E-2</v>
      </c>
      <c r="ER565" s="7">
        <v>4.6769857295569171E-2</v>
      </c>
      <c r="ES565" s="7">
        <v>0.10924889506335413</v>
      </c>
      <c r="ET565" s="7">
        <v>0.15361082913566768</v>
      </c>
      <c r="EU565" s="6">
        <v>1850</v>
      </c>
      <c r="EV565" s="6">
        <v>0</v>
      </c>
      <c r="EW565" s="6">
        <v>1850</v>
      </c>
      <c r="EX565" s="6">
        <v>0</v>
      </c>
      <c r="EY565" s="6">
        <v>2213.0788280784063</v>
      </c>
      <c r="EZ565" s="6">
        <v>-1723.0908300335955</v>
      </c>
      <c r="FA565" s="6">
        <v>0</v>
      </c>
      <c r="FB565" s="6">
        <v>0</v>
      </c>
      <c r="FC565" s="6">
        <v>0</v>
      </c>
      <c r="FD565" s="6">
        <v>0</v>
      </c>
      <c r="FE565" s="6">
        <v>0</v>
      </c>
      <c r="FF565" s="6">
        <v>0</v>
      </c>
      <c r="FG565" s="6">
        <v>0</v>
      </c>
      <c r="FH565" s="6">
        <v>926.09858825385516</v>
      </c>
      <c r="FI565" s="6">
        <v>1232.1164465304234</v>
      </c>
      <c r="FJ565" s="6">
        <v>1709.9775738488463</v>
      </c>
      <c r="FK565" s="6">
        <v>1266.3227157028189</v>
      </c>
      <c r="FL565" s="6">
        <v>893.91433563489352</v>
      </c>
      <c r="FM565" s="6">
        <v>1363.0788280784061</v>
      </c>
      <c r="FN565" s="6">
        <v>0</v>
      </c>
      <c r="FO565" s="6">
        <v>0</v>
      </c>
      <c r="FP565" s="6">
        <v>0</v>
      </c>
      <c r="FQ565" s="6">
        <v>0</v>
      </c>
      <c r="FR565" s="6">
        <v>0</v>
      </c>
      <c r="FS565" s="6">
        <v>0</v>
      </c>
      <c r="FT565" s="7">
        <v>0.84638917086433219</v>
      </c>
      <c r="FU565" s="7">
        <v>4.4361934072313688E-2</v>
      </c>
      <c r="FV565" s="7">
        <v>0.10924889506335413</v>
      </c>
      <c r="FW565" s="6">
        <v>1849.9999999999998</v>
      </c>
      <c r="FX565" s="6">
        <v>2213.0788280784063</v>
      </c>
      <c r="FY565" s="6">
        <v>-1723.0908300335955</v>
      </c>
      <c r="FZ565" s="6">
        <v>2411.9063952864503</v>
      </c>
      <c r="GA565" s="6">
        <v>1475.7506538920939</v>
      </c>
      <c r="GB565" s="6">
        <v>18219.249346107907</v>
      </c>
      <c r="GC565" s="7">
        <v>7.6138913542514425E-2</v>
      </c>
      <c r="GD565" s="7">
        <v>6.7029627347982776E-2</v>
      </c>
      <c r="GE565" s="7"/>
      <c r="GF565" s="7"/>
      <c r="GG565" s="7">
        <v>-0.11964034907649698</v>
      </c>
      <c r="GH565" s="42">
        <v>2.5170135383157444</v>
      </c>
      <c r="GI565" s="6">
        <v>9300.4999848706157</v>
      </c>
      <c r="GJ565" s="14">
        <v>0.51074630601039528</v>
      </c>
      <c r="GK565" s="14">
        <v>0.50829519786160959</v>
      </c>
      <c r="GL565" s="14">
        <v>0.48925369398960389</v>
      </c>
      <c r="GM565" s="14">
        <v>0.49170480213839035</v>
      </c>
      <c r="GO565" s="5">
        <v>338.16872463277008</v>
      </c>
      <c r="GP565" s="5">
        <v>302.87425392274076</v>
      </c>
      <c r="GQ565" s="5">
        <v>527.27910984145694</v>
      </c>
      <c r="GR565" s="5">
        <v>404.20319246551543</v>
      </c>
      <c r="GS565" s="5">
        <v>334.50205195691484</v>
      </c>
      <c r="GT565" s="5">
        <v>289.18266033348181</v>
      </c>
      <c r="GU565" s="5">
        <v>254.29573314828914</v>
      </c>
      <c r="GV565" s="39" t="s">
        <v>392</v>
      </c>
      <c r="GW565" s="5">
        <v>475.29643226912253</v>
      </c>
      <c r="GX565" s="5">
        <v>358.07100736083845</v>
      </c>
      <c r="GY565" s="5">
        <v>287.73954748358943</v>
      </c>
      <c r="GZ565" s="5">
        <v>255.64660634518972</v>
      </c>
      <c r="HA565" s="5">
        <v>229.8919505212948</v>
      </c>
      <c r="HB565" s="39">
        <v>269.29462387589433</v>
      </c>
      <c r="HC565" s="5">
        <v>358.50084881396981</v>
      </c>
      <c r="HD565" s="5">
        <v>287.77900980034525</v>
      </c>
      <c r="HE565" s="5">
        <v>285.23787161201437</v>
      </c>
      <c r="HF565" s="5">
        <v>257.54964978663213</v>
      </c>
      <c r="HG565" s="5">
        <v>240.60084178617024</v>
      </c>
      <c r="HH565" s="39">
        <v>286.10327155177396</v>
      </c>
      <c r="HI565" s="16"/>
      <c r="HJ565" s="19" t="str">
        <f t="shared" ref="HJ565:HK565" si="1832">HJ564</f>
        <v>On</v>
      </c>
      <c r="HK565" s="1" t="str">
        <f t="shared" si="1832"/>
        <v>On</v>
      </c>
      <c r="HL565" s="16"/>
      <c r="HM565" s="639">
        <f t="shared" ref="HM565:HM581" si="1833">VLOOKUP($C565*1000+1,$A:$HH,FT$92,FALSE)*$JF565</f>
        <v>5.1181272167489952E-2</v>
      </c>
      <c r="HN565" s="639">
        <f t="shared" ref="HN565:HN581" si="1834">VLOOKUP($C565*1000+1,$A:$HH,FU$92,FALSE)*$JF565</f>
        <v>4.2792051795134348E-3</v>
      </c>
      <c r="HO565" s="639">
        <f t="shared" ref="HO565:HO581" si="1835">VLOOKUP($C565*1000+1,$A:$HH,FV$92,FALSE)*$JF565</f>
        <v>7.4145241462331068E-3</v>
      </c>
      <c r="HP565" s="644">
        <f>(FT565*$GD565-HM565)/$JF565*INDEX(Input!$1:$1048576,$JG$93,$C565*2+6)</f>
        <v>65.518787816706293</v>
      </c>
      <c r="HQ565" s="644">
        <f>(FU565*$GD565-HN565)/$JF565*INDEX(Input!$1:$1048576,$JG$93,$C565*2+6)</f>
        <v>-15.408124047525956</v>
      </c>
      <c r="HR565" s="644">
        <f>(FV565*$GD565-HO565)/$JF565*INDEX(Input!$1:$1048576,$JG$93,$C565*2+6)</f>
        <v>-1.0811240314619261</v>
      </c>
      <c r="HS565" s="644">
        <f t="shared" si="1821"/>
        <v>-12.041915746339635</v>
      </c>
      <c r="HT565" s="644">
        <f t="shared" ref="HT565:HT567" si="1836">IF(AND(HJ565="On",HK565="On"),IM565/1000*INDEX(KG:KG,MATCH(C565*1000+4,$KF:$KF,0))*SUM(HY565:IA565)*1.1
+INDEX(HR:HR,MATCH(C565*1000+3,$KF:$KF,0))/INDEX(IL:IL,MATCH(C565*1000+3,$KF:$KF,0))*IL565*20%,0)</f>
        <v>-2.4712782980855743</v>
      </c>
      <c r="HU565" s="644">
        <f t="shared" ref="HU565:HU581" si="1837">IF(HJ565="On",IN565/1000*INDEX(KG:KG,MATCH(C565*1000+5,$KF:$KF,0))*SUM(HY565:IA565)*1.1
-INDEX(HR:HR,MATCH(C565*1000+3,$KF:$KF,0))/INDEX(IL:IL,MATCH(C565*1000+3,$KF:$KF,0))*IL565*20%
-INDEX(HR:HR,MATCH(C565*1000+4,$KF:$KF,0))/INDEX(IM:IM,MATCH(C565*1000+4,$KF:$KF,0))*IM565*20%,0)</f>
        <v>7.2797133546501351</v>
      </c>
      <c r="HV565" s="648">
        <f t="shared" ref="HV565:HV581" si="1838">IL565/1000*0+IM565/1000*0+IN565/1000*0
+(CP565-INDEX(CP:CP,MATCH(C565*1000+1,A:A,0)))/1000*0+IF(FU565&gt;0,0,0)</f>
        <v>0</v>
      </c>
      <c r="HW565" s="648">
        <f t="shared" ref="HW565:HW581" si="1839">IL565/1000*0+IM565/1000*0+IN565/1000*0
+(CP565-INDEX(CP:CP,MATCH(C565*1000+1,A:A,0)))/1000*0+IF(FU565&gt;0,0,0)</f>
        <v>0</v>
      </c>
      <c r="HX565" s="648">
        <f t="shared" ref="HX565:HX581" si="1840">IL565/1000*0+IM565/1000*0+IN565/1000*0
+(CP565-INDEX(CP:CP,MATCH(C565*1000+1,A:A,0)))/1000*0+IF(FU565&gt;0,0,0)</f>
        <v>0</v>
      </c>
      <c r="HY565" s="644">
        <f>INDEX(Input!$1:$1048576,HY$93,$C565*2+6)*INDEX(Input!$1:$1048576,$JG$93,$C565*2+6)</f>
        <v>345</v>
      </c>
      <c r="HZ565" s="644">
        <f>INDEX(Input!$1:$1048576,HZ$93,$C565*2+6)*INDEX(Input!$1:$1048576,$JG$93,$C565*2+6)</f>
        <v>299</v>
      </c>
      <c r="IA565" s="644">
        <f>INDEX(Input!$1:$1048576,IA$93,$C565*2+6)*INDEX(Input!$1:$1048576,$JG$93,$C565*2+6)</f>
        <v>98</v>
      </c>
      <c r="IB565" s="644">
        <f t="shared" si="1780"/>
        <v>398.47687207036665</v>
      </c>
      <c r="IC565" s="644">
        <f t="shared" si="1781"/>
        <v>281.12059765438846</v>
      </c>
      <c r="ID565" s="644">
        <f>IF(AND(INDEX(Input!$1:$1048576,IA$93,$C565*2+7)="TOS",Y565&lt;=INDEX(Y:Y,MATCH(C565*1000+2,A:A))),0,1)*MAX(IA565+HR565+HU565+HX565,0%)</f>
        <v>104.19858932318822</v>
      </c>
      <c r="IE565" s="128">
        <f t="shared" si="1822"/>
        <v>0.50839356420646731</v>
      </c>
      <c r="IF565" s="128">
        <f t="shared" si="1823"/>
        <v>0.3586654900968223</v>
      </c>
      <c r="IG565" s="128">
        <f t="shared" si="1784"/>
        <v>0.13294094569671036</v>
      </c>
      <c r="IH565" s="21"/>
      <c r="II565" s="19">
        <f t="shared" ref="II565:II581" si="1841">VLOOKUP($C565*1000+1,$A:$HH,FW$92,FALSE)-VLOOKUP($C565*1000+1,$A:$HH,FA$92,FALSE)*VLOOKUP($C565*1000+1,$A:$HH,DZ$92,FALSE)/VLOOKUP($C565*1000+1,$A:$HH,FT$92,FALSE)</f>
        <v>1200</v>
      </c>
      <c r="IJ565" s="19">
        <f t="shared" ref="IJ565:IJ581" si="1842">VLOOKUP($C565*1000+1,$A:$HH,FX$92,FALSE)</f>
        <v>2231.5440334087361</v>
      </c>
      <c r="IK565" s="19">
        <f t="shared" ref="IK565:IK581" si="1843">VLOOKUP($C565*1000+1,$A:$HH,FY$92,FALSE)</f>
        <v>-2048.0908300335955</v>
      </c>
      <c r="IL565" s="19">
        <f t="shared" si="1785"/>
        <v>649.99999999999977</v>
      </c>
      <c r="IM565" s="19">
        <f t="shared" si="1786"/>
        <v>-18.465205330329809</v>
      </c>
      <c r="IN565" s="19">
        <f t="shared" si="1787"/>
        <v>325</v>
      </c>
      <c r="IO565" s="39">
        <f t="shared" ref="IO565:IO581" si="1844">(F565-VLOOKUP($C565*1000+1,$A:$HH,F$92,FALSE))*(1-$I565)</f>
        <v>0</v>
      </c>
      <c r="IP565" s="39">
        <f t="shared" ref="IP565:IP581" si="1845">(G565-VLOOKUP($C565*1000+1,$A:$HH,G$92,FALSE))*(1-$I565)</f>
        <v>0</v>
      </c>
      <c r="IQ565" s="39">
        <f t="shared" ref="IQ565:IQ581" si="1846">(H565-VLOOKUP($C565*1000+1,$A:$HH,H$92,FALSE))*(1-$I565)</f>
        <v>0</v>
      </c>
      <c r="IR565" s="39">
        <v>0</v>
      </c>
      <c r="IS565" s="39">
        <v>0</v>
      </c>
      <c r="IT565" s="39">
        <v>0</v>
      </c>
      <c r="IU565" s="39">
        <v>0</v>
      </c>
      <c r="IV565" s="39">
        <v>0</v>
      </c>
      <c r="IW565" s="39">
        <v>0</v>
      </c>
      <c r="IX565" s="39">
        <f>INDEX(Input!$1:$1048576,IX$93,$C565*2+6)+INDEX(Input!$1:$1048576,IX$94,$C565*2+6)</f>
        <v>1600</v>
      </c>
      <c r="IY565" s="39">
        <f>INDEX(Input!$1:$1048576,IY$93,$C565*2+6)+INDEX(Input!$1:$1048576,IY$94,$C565*2+6)</f>
        <v>2503.5492916397525</v>
      </c>
      <c r="IZ565" s="39">
        <f>INDEX(Input!$1:$1048576,IZ$93,$C565*2+6)+INDEX(Input!$1:$1048576,IZ$94,$C565*2+6)</f>
        <v>5413.7109265464023</v>
      </c>
      <c r="JA565" s="19">
        <f t="shared" si="1788"/>
        <v>2250</v>
      </c>
      <c r="JB565" s="19">
        <f t="shared" si="1789"/>
        <v>2485.0840863094227</v>
      </c>
      <c r="JC565" s="19">
        <f t="shared" si="1790"/>
        <v>5738.7109265464023</v>
      </c>
      <c r="JD565" s="19">
        <f t="shared" si="1791"/>
        <v>2798.1090788676579</v>
      </c>
      <c r="JE565" s="21"/>
      <c r="JF565" s="1">
        <f t="shared" ref="JF565:JF581" si="1847">VLOOKUP($C565*1000+1,$A:$HH,GD$92,FALSE)</f>
        <v>6.2875001493236493E-2</v>
      </c>
      <c r="JG565" s="15">
        <f>INDEX(Input!$1:$1048576,JG$93,$C565*2+6)/(1+VLOOKUP(C565*1000+INDEX(Input!$1:$1048576,JG$93+1,$C565*2+6),$A:$KK,$JK$92,FALSE))</f>
        <v>742</v>
      </c>
      <c r="JH565" s="1">
        <f t="shared" si="1792"/>
        <v>6.6077546816332086E-2</v>
      </c>
      <c r="JI565" s="1">
        <f t="shared" si="1793"/>
        <v>-9.7486262665432265E-3</v>
      </c>
      <c r="JJ565" s="1">
        <f t="shared" si="1824"/>
        <v>0</v>
      </c>
      <c r="JK565" s="1">
        <f t="shared" si="1825"/>
        <v>5.6328920549788858E-2</v>
      </c>
      <c r="JL565" s="15">
        <f t="shared" si="1796"/>
        <v>41.796059047943331</v>
      </c>
      <c r="JM565" s="15">
        <f t="shared" si="1797"/>
        <v>783.79605904794334</v>
      </c>
      <c r="JN565" s="21"/>
      <c r="JO565" s="19">
        <f>INDEX(Input!$1:$1048576,JO$93,$C565*2+6)</f>
        <v>5908.5</v>
      </c>
      <c r="JP565" s="19">
        <f>INDEX(Input!$1:$1048576,JP$93,$C565*2+6)</f>
        <v>2467.7963733178344</v>
      </c>
      <c r="JQ565" s="39">
        <f t="shared" si="1798"/>
        <v>3110.3909211323421</v>
      </c>
      <c r="JR565" s="39">
        <f t="shared" si="1799"/>
        <v>330.31270554982348</v>
      </c>
      <c r="JS565" s="39">
        <f t="shared" si="1800"/>
        <v>2.1931468688027413</v>
      </c>
      <c r="JT565" s="39">
        <f t="shared" si="1801"/>
        <v>0.36204195980090809</v>
      </c>
      <c r="JU565" s="385">
        <f>(JQ565*JM565-INDEX(Input!$1:$1048576,Input!A$18,$C565*2+6)*JL565*INDEX(Input!$1:$1048576,Input!A$19,$C565*2+6))/1000000</f>
        <v>2.4379121460820321</v>
      </c>
      <c r="JV565" s="39">
        <f t="shared" si="1802"/>
        <v>-0.11508994491613445</v>
      </c>
      <c r="JW565" s="1">
        <f t="shared" si="1803"/>
        <v>-4.5080239190535429E-2</v>
      </c>
      <c r="JX565" s="19">
        <f t="shared" si="1804"/>
        <v>8662.1075777890401</v>
      </c>
      <c r="JZ565" s="341"/>
      <c r="KA565" s="342"/>
      <c r="KB565" s="469">
        <f t="shared" si="1805"/>
        <v>2.4623520912331753</v>
      </c>
      <c r="KI565" s="473">
        <f t="shared" si="1826"/>
        <v>53.476872070366653</v>
      </c>
      <c r="KJ565" s="473">
        <f t="shared" si="1827"/>
        <v>-17.879402345611538</v>
      </c>
      <c r="KK565" s="473">
        <f t="shared" si="1808"/>
        <v>6.1985893231882301</v>
      </c>
      <c r="KN565" s="544">
        <f t="shared" si="1809"/>
        <v>5002</v>
      </c>
      <c r="KO565" s="541">
        <f t="shared" ref="KO565:KO581" si="1848">JM565/INDEX(JM:JM,MATCH(KN565,A:A,0))-1</f>
        <v>-1.8476379239308227E-2</v>
      </c>
      <c r="KP565" s="546">
        <f t="shared" ref="KP565:KP581" si="1849">(IL565-INDEX(IL:IL,MATCH(KN565,A:A,0)))*IE565
+(IM565-IF(HN565=0,INDEX(IX:IX,MATCH(KN565,A:A,0)),INDEX(IM:IM,MATCH(KN565,A:A,0))))*IF565
+(IN565-INDEX(IN:IN,MATCH(KN565,A:A,0)))*IG565</f>
        <v>-23.003263548782712</v>
      </c>
      <c r="KQ565" s="546">
        <f t="shared" ref="KQ565:KQ581" si="1850">JD565-INDEX(JD:JD,MATCH(KN565,A:A,0))</f>
        <v>-60.663367284051219</v>
      </c>
      <c r="KR565" s="548">
        <f t="shared" ref="KR565:KR581" si="1851">KO565/(KP565/(BX565-INDEX(JD:JD,MATCH(KN565,A:A,0))))</f>
        <v>13.522973580879267</v>
      </c>
      <c r="KS565" s="548">
        <f t="shared" ref="KS565:KS581" si="1852">KO565/(KQ565/(BX565-INDEX(JD:JD,MATCH(KN565,A:A,0))))</f>
        <v>5.1278479776373143</v>
      </c>
      <c r="KT565" s="473">
        <f t="shared" si="1810"/>
        <v>389.37465324503302</v>
      </c>
      <c r="KU565" s="663">
        <f t="shared" si="1685"/>
        <v>7.1299765780930988</v>
      </c>
      <c r="KV565" s="117"/>
    </row>
    <row r="566" spans="1:308" s="26" customFormat="1" ht="15" outlineLevel="1">
      <c r="A566" s="561">
        <f t="shared" si="1770"/>
        <v>5066</v>
      </c>
      <c r="B566" s="561">
        <f t="shared" si="1771"/>
        <v>66</v>
      </c>
      <c r="C566" s="561">
        <f t="shared" si="1772"/>
        <v>5</v>
      </c>
      <c r="D566" s="561" t="str">
        <f t="shared" si="1812"/>
        <v xml:space="preserve">500 CC, 0.9/1.9/2.9/3.9, </v>
      </c>
      <c r="E566" s="475">
        <f>INDEX(Input!$1:$1048576,E$93,$C566*2+MIN($B566,2)+5)
+INDEX(Scenarios!E$121:E$200,MATCH($B566,Scenarios!$B$121:$B$200,0))</f>
        <v>1750</v>
      </c>
      <c r="F566" s="475">
        <f>INDEX(Input!$1:$1048576,F$93,$C566*2+MIN($B566,2)+5)
+INDEX(Scenarios!F$121:F$200,MATCH($B566,Scenarios!$B$121:$B$200,0))</f>
        <v>0</v>
      </c>
      <c r="G566" s="475">
        <f>INDEX(Input!$1:$1048576,G$93,$C566*2+MIN($B566,2)+5)
+INDEX(Scenarios!G$121:G$200,MATCH($B566,Scenarios!$B$121:$B$200,0))</f>
        <v>0</v>
      </c>
      <c r="H566" s="475">
        <f>INDEX(Input!$1:$1048576,H$93,$C566*2+MIN($B566,2)+5)
+INDEX(Scenarios!H$121:H$200,MATCH($B566,Scenarios!$B$121:$B$200,0))</f>
        <v>0</v>
      </c>
      <c r="I566" s="476">
        <f>INDEX(Input!$1:$1048576,I$93,$C566*2+MIN($B566,2)+5)</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+INDEX(Scenarios!Q$121:Q$200,MATCH($B566,Scenarios!$B$121:$B$200,0))</f>
        <v>0</v>
      </c>
      <c r="R566" s="478">
        <f>IFERROR(MAX(0,INDEX(Input!$1:$1048576,R$93,$C566*2+MIN($B566,2)+5)
+INDEX(Scenarios!R$121:R$200,MATCH($B566,Scenarios!$B$121:$B$200,0)),),"Market")</f>
        <v>9.0000000000000011E-3</v>
      </c>
      <c r="S566" s="478">
        <f>IFERROR(MAX(0,INDEX(Input!$1:$1048576,S$93,$C566*2+MIN($B566,2)+5)
+INDEX(Scenarios!S$121:S$200,MATCH($B566,Scenarios!$B$121:$B$200,0)),),"Market")</f>
        <v>9.0000000000000011E-3</v>
      </c>
      <c r="T566" s="478">
        <f>IFERROR(MAX(0,INDEX(Input!$1:$1048576,T$93,$C566*2+MIN($B566,2)+5)
+INDEX(Scenarios!T$121:T$200,MATCH($B566,Scenarios!$B$121:$B$200,0)),),"Market")</f>
        <v>9.0000000000000011E-3</v>
      </c>
      <c r="U566" s="478">
        <f>IFERROR(MAX(0,INDEX(Input!$1:$1048576,U$93,$C566*2+MIN($B566,2)+5)
+INDEX(Scenarios!U$121:U$200,MATCH($B566,Scenarios!$B$121:$B$200,0)),),"Market")</f>
        <v>9.0000000000000011E-3</v>
      </c>
      <c r="V566" s="478">
        <f>IFERROR(MAX(0,INDEX(Input!$1:$1048576,V$93,$C566*2+MIN($B566,2)+5)
+INDEX(Scenarios!V$121:V$200,MATCH($B566,Scenarios!$B$121:$B$200,0)),),"Market")</f>
        <v>2.8999999999999998E-2</v>
      </c>
      <c r="W566" s="863">
        <f>IFERROR(MAX(0,INDEX(Input!$1:$1048576,W$93,$C566*2+MIN($B566,2)+5)-0%,),"Market")</f>
        <v>3.9E-2</v>
      </c>
      <c r="X566" s="476" t="str">
        <f>INDEX(Input!$1:$1048576,X$93,$C566*2+MIN($B566,2)+5)</f>
        <v>Y</v>
      </c>
      <c r="Y566" s="475">
        <f>INDEX(Input!$1:$1048576,Y$93,$C566*2+MIN($B566,2)+5)
++INDEX(Scenarios!Y$121:Y$200,MATCH($B566,Scenarios!$B$121:$B$200,0))</f>
        <v>-1098.3618966787526</v>
      </c>
      <c r="Z566" s="477">
        <f>INDEX(Input!$1:$1048576,Z$93,$C566*2+MIN($B566,2)+5)
+INDEX(Scenarios!Z$121:Z$200,MATCH($B566,Scenarios!$B$121:$B$200,0))</f>
        <v>0</v>
      </c>
      <c r="AA566" s="475">
        <f>INDEX(Input!$1:$1048576,AA$93,$C566*2+MIN($B566,2)+5)</f>
        <v>500</v>
      </c>
      <c r="AB566" s="476">
        <f>INDEX(Input!$1:$1048576,AB$93,$C566*2+MIN($B566,2)+5)</f>
        <v>0.43</v>
      </c>
      <c r="AC566" s="475">
        <f>INDEX(Input!$1:$1048576,AC$93,$C566*2+MIN($B566,2)+5)
+INDEX(Scenarios!AC$121:AC$200,MATCH($B566,Scenarios!$B$121:$B$200,0))</f>
        <v>0</v>
      </c>
      <c r="AD566" s="476">
        <f>INDEX(Input!$1:$1048576,AD$93,$C566*2+MIN($B566,2)+5)</f>
        <v>0.35</v>
      </c>
      <c r="AE566" s="475">
        <f>INDEX(Input!$1:$1048576,AE$93,$C566*2+MIN($B566,2)+5)
+INDEX(Scenarios!AE$121:AE$200,MATCH($B566,Scenarios!$B$121:$B$200,0))</f>
        <v>0</v>
      </c>
      <c r="AF566" s="476">
        <f>INDEX(Input!$1:$1048576,AF$93,$C566*2+MIN($B566,2)+5)</f>
        <v>1</v>
      </c>
      <c r="AG566" s="475">
        <f>INDEX(Input!$1:$1048576,AG$93,$C566*2+MIN($B566,2)+5)
+INDEX(Scenarios!AG$121:AG$200,MATCH($B566,Scenarios!$B$121:$B$200,0))</f>
        <v>0</v>
      </c>
      <c r="AH566" s="476">
        <f>INDEX(Input!$1:$1048576,AH$93,$C566*2+MIN($B566,2)+5)</f>
        <v>1</v>
      </c>
      <c r="AI566" s="475">
        <f>INDEX(Input!$1:$1048576,AI$93,$C566*2+MIN($B566,2)+5)
+INDEX(Scenarios!AI$121:AI$200,MATCH($B566,Scenarios!$B$121:$B$200,0))</f>
        <v>0</v>
      </c>
      <c r="AJ566" s="476">
        <f>INDEX(Input!$1:$1048576,AJ$93,$C566*2+MIN($B566,2)+5)</f>
        <v>0.35</v>
      </c>
      <c r="AK566" s="150">
        <f>ROUND(INDEX(Input!$1:$1048576,AK$93,$C565*2+MIN($B566,1)+5)+(Y566-VLOOKUP($C566*1000+1,$A:$HH,Y$92,FALSE)),0)</f>
        <v>4592</v>
      </c>
      <c r="AL566" s="150">
        <f>ROUND(INDEX(Input!$1:$1048576,AL$93,$C565*2+MIN($B566,1)+5)-(Y566-VLOOKUP($C566*1000+1,$A:$HH,Y$92,FALSE))/36,0)</f>
        <v>4743</v>
      </c>
      <c r="AM566" s="32" t="str">
        <f t="shared" si="1773"/>
        <v>std/std/std/std</v>
      </c>
      <c r="AN566" s="32" t="str">
        <f t="shared" si="1774"/>
        <v>$0 + 0.9/0.9/0.9/2.9/3.9</v>
      </c>
      <c r="AO566" s="32" t="str">
        <f t="shared" si="1775"/>
        <v>0.9/0.9/0.9/2.9/3.9</v>
      </c>
      <c r="AP566" s="32" t="str">
        <f t="shared" si="1755"/>
        <v>0.9/1.9/2.9/3.9</v>
      </c>
      <c r="AQ566" s="536">
        <f t="shared" si="1754"/>
        <v>0.52382710024432744</v>
      </c>
      <c r="AR566" s="32"/>
      <c r="AS566" s="302"/>
      <c r="AT566" s="3">
        <f t="shared" si="1776"/>
        <v>66</v>
      </c>
      <c r="AU566" s="41" t="s">
        <v>121</v>
      </c>
      <c r="AV566" s="41" t="s">
        <v>116</v>
      </c>
      <c r="AW566" s="41" t="str">
        <f>INDEX(Input!$1:$1048576,AW$93,$C566*2+6)</f>
        <v>Kia</v>
      </c>
      <c r="AX566" s="41" t="str">
        <f>INDEX(Input!$1:$1048576,AX$93,$C566*2+6)</f>
        <v>Kia-LR - R2</v>
      </c>
      <c r="AY566" s="41" t="str">
        <f>IF(LEN(D566)=0,"",INDEX(Input!$1:$1048576,AY$93,$C566*2+6))</f>
        <v>Compact Conventional/Sporty Car (43)</v>
      </c>
      <c r="AZ566" s="41" t="str">
        <f>INDEX(Input!$1:$1048576,AZ$93,$C566*2+6)</f>
        <v>Kia Forte</v>
      </c>
      <c r="BA566" s="3">
        <f>INDEX(Input!$1:$1048576,BA$93,$C566*2+6)</f>
        <v>2020</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19695</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756"/>
        <v>1750</v>
      </c>
      <c r="CJ566" s="16" t="str">
        <f>INDEX(Input!$1:$1048576,CJ$93,$C566*2+6)</f>
        <v>N</v>
      </c>
      <c r="CK566" s="1" t="str">
        <f t="shared" si="1757"/>
        <v>Market</v>
      </c>
      <c r="CL566" s="1" t="str">
        <f t="shared" si="1758"/>
        <v>Market</v>
      </c>
      <c r="CM566" s="1" t="str">
        <f t="shared" si="1759"/>
        <v>Market</v>
      </c>
      <c r="CN566" s="1" t="str">
        <f t="shared" si="1760"/>
        <v>Market</v>
      </c>
      <c r="CO566" s="1" t="str">
        <f t="shared" si="1761"/>
        <v>Market</v>
      </c>
      <c r="CP566" s="304">
        <f t="shared" si="1762"/>
        <v>215</v>
      </c>
      <c r="CQ566" s="1">
        <f t="shared" si="1763"/>
        <v>9.0000000000000011E-3</v>
      </c>
      <c r="CR566" s="1">
        <f t="shared" si="1764"/>
        <v>9.0000000000000011E-3</v>
      </c>
      <c r="CS566" s="1">
        <f t="shared" si="1765"/>
        <v>9.0000000000000011E-3</v>
      </c>
      <c r="CT566" s="1">
        <f t="shared" si="1766"/>
        <v>2.8999999999999998E-2</v>
      </c>
      <c r="CU566" s="1">
        <f t="shared" si="1767"/>
        <v>3.9E-2</v>
      </c>
      <c r="CV566" s="304">
        <f t="shared" si="1768"/>
        <v>-1098.3618966787526</v>
      </c>
      <c r="CW566" s="20" t="s">
        <v>122</v>
      </c>
      <c r="CX566" s="20" t="s">
        <v>122</v>
      </c>
      <c r="CY566" s="20" t="s">
        <v>122</v>
      </c>
      <c r="CZ566" s="20" t="s">
        <v>122</v>
      </c>
      <c r="DA566" s="20" t="s">
        <v>122</v>
      </c>
      <c r="DB566" s="503">
        <f t="shared" si="1769"/>
        <v>0</v>
      </c>
      <c r="DC566" s="127">
        <v>0</v>
      </c>
      <c r="DD566" s="127">
        <v>0</v>
      </c>
      <c r="DE566" s="127">
        <v>0</v>
      </c>
      <c r="DF566" s="127">
        <v>0</v>
      </c>
      <c r="DG566" s="127">
        <v>0</v>
      </c>
      <c r="DH566" s="127">
        <v>0</v>
      </c>
      <c r="DI566" s="127">
        <v>0</v>
      </c>
      <c r="DJ566" s="127">
        <v>0</v>
      </c>
      <c r="DK566" s="127">
        <v>0</v>
      </c>
      <c r="DL566" s="127">
        <v>0</v>
      </c>
      <c r="DM566" s="304">
        <f>INDEX(Input!$1:$1048576,DM$93,$C566*2+6)</f>
        <v>20731.578947368424</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4.6095014402462969E-2</v>
      </c>
      <c r="DZ566" s="7">
        <v>0</v>
      </c>
      <c r="EA566" s="7">
        <v>0.80941410354888943</v>
      </c>
      <c r="EB566" s="7">
        <v>0</v>
      </c>
      <c r="EC566" s="7">
        <v>0</v>
      </c>
      <c r="ED566" s="7">
        <v>0</v>
      </c>
      <c r="EE566" s="7">
        <v>0</v>
      </c>
      <c r="EF566" s="7">
        <v>0</v>
      </c>
      <c r="EG566" s="7">
        <v>0</v>
      </c>
      <c r="EH566" s="7">
        <v>1.7857748079162478E-2</v>
      </c>
      <c r="EI566" s="7">
        <v>2.1030705595200504E-2</v>
      </c>
      <c r="EJ566" s="7">
        <v>0.29150873646485598</v>
      </c>
      <c r="EK566" s="7">
        <v>0.6005194621078257</v>
      </c>
      <c r="EL566" s="7">
        <v>6.9083347752955451E-2</v>
      </c>
      <c r="EM566" s="7">
        <v>4.1725785570337133E-2</v>
      </c>
      <c r="EN566" s="7">
        <v>4.7389983803780018E-2</v>
      </c>
      <c r="EO566" s="7">
        <v>0.5825742741016684</v>
      </c>
      <c r="EP566" s="7">
        <v>0.25105353607567732</v>
      </c>
      <c r="EQ566" s="7">
        <v>7.2205718795689947E-2</v>
      </c>
      <c r="ER566" s="7">
        <v>4.6776487223184497E-2</v>
      </c>
      <c r="ES566" s="7">
        <v>0.1027650964783105</v>
      </c>
      <c r="ET566" s="7">
        <v>0.1444908820486476</v>
      </c>
      <c r="EU566" s="6">
        <v>2100</v>
      </c>
      <c r="EV566" s="6">
        <v>0</v>
      </c>
      <c r="EW566" s="6">
        <v>2100</v>
      </c>
      <c r="EX566" s="6">
        <v>0</v>
      </c>
      <c r="EY566" s="6">
        <v>2213.1297719412401</v>
      </c>
      <c r="EZ566" s="6">
        <v>-1723.0908300335955</v>
      </c>
      <c r="FA566" s="6">
        <v>0</v>
      </c>
      <c r="FB566" s="6">
        <v>0</v>
      </c>
      <c r="FC566" s="6">
        <v>0</v>
      </c>
      <c r="FD566" s="6">
        <v>0</v>
      </c>
      <c r="FE566" s="6">
        <v>0</v>
      </c>
      <c r="FF566" s="6">
        <v>0</v>
      </c>
      <c r="FG566" s="6">
        <v>0</v>
      </c>
      <c r="FH566" s="6">
        <v>926.10001480753624</v>
      </c>
      <c r="FI566" s="6">
        <v>1232.1164465304237</v>
      </c>
      <c r="FJ566" s="6">
        <v>1709.9775738488456</v>
      </c>
      <c r="FK566" s="6">
        <v>1266.3227157028193</v>
      </c>
      <c r="FL566" s="6">
        <v>893.91433563489363</v>
      </c>
      <c r="FM566" s="6">
        <v>1363.1297719412401</v>
      </c>
      <c r="FN566" s="6">
        <v>0</v>
      </c>
      <c r="FO566" s="6">
        <v>0</v>
      </c>
      <c r="FP566" s="6">
        <v>0</v>
      </c>
      <c r="FQ566" s="6">
        <v>0</v>
      </c>
      <c r="FR566" s="6">
        <v>0</v>
      </c>
      <c r="FS566" s="6">
        <v>0</v>
      </c>
      <c r="FT566" s="7">
        <v>0.85550911795135243</v>
      </c>
      <c r="FU566" s="7">
        <v>4.1725785570337133E-2</v>
      </c>
      <c r="FV566" s="7">
        <v>0.1027650964783105</v>
      </c>
      <c r="FW566" s="6">
        <v>2100</v>
      </c>
      <c r="FX566" s="6">
        <v>2213.1297719412401</v>
      </c>
      <c r="FY566" s="6">
        <v>-1723.0908300335955</v>
      </c>
      <c r="FZ566" s="6">
        <v>2411.9063952864503</v>
      </c>
      <c r="GA566" s="6">
        <v>1711.8401306118949</v>
      </c>
      <c r="GB566" s="6">
        <v>17983.159869388106</v>
      </c>
      <c r="GC566" s="7">
        <v>7.6138913542514425E-2</v>
      </c>
      <c r="GD566" s="7">
        <v>6.8841005173110689E-2</v>
      </c>
      <c r="GE566" s="7"/>
      <c r="GF566" s="7"/>
      <c r="GG566" s="7">
        <v>-9.5849914713173986E-2</v>
      </c>
      <c r="GH566" s="42">
        <v>2.6965505489020236</v>
      </c>
      <c r="GI566" s="6">
        <v>9015.6156923269809</v>
      </c>
      <c r="GJ566" s="14">
        <v>0.51074630601039561</v>
      </c>
      <c r="GK566" s="14">
        <v>0.50829519786161004</v>
      </c>
      <c r="GL566" s="14">
        <v>0.48925369398960433</v>
      </c>
      <c r="GM566" s="14">
        <v>0.49170480213839035</v>
      </c>
      <c r="GO566" s="5">
        <v>338.16872463277008</v>
      </c>
      <c r="GP566" s="5">
        <v>298.1047308538179</v>
      </c>
      <c r="GQ566" s="5">
        <v>527.27910984145694</v>
      </c>
      <c r="GR566" s="5">
        <v>404.20319246551543</v>
      </c>
      <c r="GS566" s="5">
        <v>334.50205195691484</v>
      </c>
      <c r="GT566" s="5">
        <v>289.18266033348181</v>
      </c>
      <c r="GU566" s="5">
        <v>254.29573314828914</v>
      </c>
      <c r="GV566" s="39" t="s">
        <v>392</v>
      </c>
      <c r="GW566" s="5">
        <v>475.29643226912253</v>
      </c>
      <c r="GX566" s="5">
        <v>358.07100736083845</v>
      </c>
      <c r="GY566" s="5">
        <v>287.73954748358943</v>
      </c>
      <c r="GZ566" s="5">
        <v>255.64660634518972</v>
      </c>
      <c r="HA566" s="5">
        <v>229.8919505212948</v>
      </c>
      <c r="HB566" s="39">
        <v>269.2992699018522</v>
      </c>
      <c r="HC566" s="5">
        <v>358.50084881396981</v>
      </c>
      <c r="HD566" s="5">
        <v>287.77900980034525</v>
      </c>
      <c r="HE566" s="5">
        <v>285.23787161201437</v>
      </c>
      <c r="HF566" s="5">
        <v>257.54964978663213</v>
      </c>
      <c r="HG566" s="5">
        <v>240.60084178617024</v>
      </c>
      <c r="HH566" s="39">
        <v>286.10299323608496</v>
      </c>
      <c r="HI566" s="16"/>
      <c r="HJ566" s="19" t="str">
        <f t="shared" ref="HJ566:HK566" si="1853">HJ565</f>
        <v>On</v>
      </c>
      <c r="HK566" s="1" t="str">
        <f t="shared" si="1853"/>
        <v>On</v>
      </c>
      <c r="HL566" s="16"/>
      <c r="HM566" s="639">
        <f t="shared" si="1833"/>
        <v>5.1181272167489952E-2</v>
      </c>
      <c r="HN566" s="639">
        <f t="shared" si="1834"/>
        <v>4.2792051795134348E-3</v>
      </c>
      <c r="HO566" s="639">
        <f t="shared" si="1835"/>
        <v>7.4145241462331068E-3</v>
      </c>
      <c r="HP566" s="644">
        <f>(FT566*$GD566-HM566)/$JF566*INDEX(Input!$1:$1048576,$JG$93,$C566*2+6)</f>
        <v>91.020656314753708</v>
      </c>
      <c r="HQ566" s="644">
        <f>(FU566*$GD566-HN566)/$JF566*INDEX(Input!$1:$1048576,$JG$93,$C566*2+6)</f>
        <v>-16.601447528377168</v>
      </c>
      <c r="HR566" s="644">
        <f>(FV566*$GD566-HO566)/$JF566*INDEX(Input!$1:$1048576,$JG$93,$C566*2+6)</f>
        <v>-4.0132505305688726</v>
      </c>
      <c r="HS566" s="644">
        <f t="shared" si="1821"/>
        <v>-16.674920379842785</v>
      </c>
      <c r="HT566" s="644">
        <f t="shared" si="1836"/>
        <v>-3.0305320087916114</v>
      </c>
      <c r="HU566" s="644">
        <f t="shared" si="1837"/>
        <v>7.8417641668062448</v>
      </c>
      <c r="HV566" s="648">
        <f t="shared" si="1838"/>
        <v>0</v>
      </c>
      <c r="HW566" s="648">
        <f t="shared" si="1839"/>
        <v>0</v>
      </c>
      <c r="HX566" s="648">
        <f t="shared" si="1840"/>
        <v>0</v>
      </c>
      <c r="HY566" s="644">
        <f>INDEX(Input!$1:$1048576,HY$93,$C566*2+6)*INDEX(Input!$1:$1048576,$JG$93,$C566*2+6)</f>
        <v>345</v>
      </c>
      <c r="HZ566" s="644">
        <f>INDEX(Input!$1:$1048576,HZ$93,$C566*2+6)*INDEX(Input!$1:$1048576,$JG$93,$C566*2+6)</f>
        <v>299</v>
      </c>
      <c r="IA566" s="644">
        <f>INDEX(Input!$1:$1048576,IA$93,$C566*2+6)*INDEX(Input!$1:$1048576,$JG$93,$C566*2+6)</f>
        <v>98</v>
      </c>
      <c r="IB566" s="644">
        <f t="shared" si="1780"/>
        <v>419.34573593491086</v>
      </c>
      <c r="IC566" s="644">
        <f t="shared" si="1781"/>
        <v>279.36802046283123</v>
      </c>
      <c r="ID566" s="644">
        <f>IF(AND(INDEX(Input!$1:$1048576,IA$93,$C566*2+7)="TOS",Y566&lt;=INDEX(Y:Y,MATCH(C566*1000+2,A:A))),0,1)*MAX(IA566+HR566+HU566+HX566,0%)</f>
        <v>101.82851363623737</v>
      </c>
      <c r="IE566" s="128">
        <f t="shared" si="1822"/>
        <v>0.52382710024432744</v>
      </c>
      <c r="IF566" s="128">
        <f t="shared" si="1823"/>
        <v>0.34897347825365083</v>
      </c>
      <c r="IG566" s="128">
        <f t="shared" si="1784"/>
        <v>0.12719942150202163</v>
      </c>
      <c r="IH566" s="21"/>
      <c r="II566" s="19">
        <f t="shared" si="1841"/>
        <v>1200</v>
      </c>
      <c r="IJ566" s="19">
        <f t="shared" si="1842"/>
        <v>2231.5440334087361</v>
      </c>
      <c r="IK566" s="19">
        <f t="shared" si="1843"/>
        <v>-2048.0908300335955</v>
      </c>
      <c r="IL566" s="19">
        <f t="shared" si="1785"/>
        <v>900</v>
      </c>
      <c r="IM566" s="19">
        <f t="shared" si="1786"/>
        <v>-18.41426146749609</v>
      </c>
      <c r="IN566" s="19">
        <f t="shared" si="1787"/>
        <v>325</v>
      </c>
      <c r="IO566" s="39">
        <f t="shared" si="1844"/>
        <v>0</v>
      </c>
      <c r="IP566" s="39">
        <f t="shared" si="1845"/>
        <v>0</v>
      </c>
      <c r="IQ566" s="39">
        <f t="shared" si="1846"/>
        <v>0</v>
      </c>
      <c r="IR566" s="39">
        <v>0</v>
      </c>
      <c r="IS566" s="39">
        <v>0</v>
      </c>
      <c r="IT566" s="39">
        <v>0</v>
      </c>
      <c r="IU566" s="39">
        <v>0</v>
      </c>
      <c r="IV566" s="39">
        <v>0</v>
      </c>
      <c r="IW566" s="39">
        <v>0</v>
      </c>
      <c r="IX566" s="39">
        <f>INDEX(Input!$1:$1048576,IX$93,$C566*2+6)+INDEX(Input!$1:$1048576,IX$94,$C566*2+6)</f>
        <v>1600</v>
      </c>
      <c r="IY566" s="39">
        <f>INDEX(Input!$1:$1048576,IY$93,$C566*2+6)+INDEX(Input!$1:$1048576,IY$94,$C566*2+6)</f>
        <v>2503.5492916397525</v>
      </c>
      <c r="IZ566" s="39">
        <f>INDEX(Input!$1:$1048576,IZ$93,$C566*2+6)+INDEX(Input!$1:$1048576,IZ$94,$C566*2+6)</f>
        <v>5413.7109265464023</v>
      </c>
      <c r="JA566" s="19">
        <f t="shared" si="1788"/>
        <v>2500</v>
      </c>
      <c r="JB566" s="19">
        <f t="shared" si="1789"/>
        <v>2485.1350301722564</v>
      </c>
      <c r="JC566" s="19">
        <f t="shared" si="1790"/>
        <v>5738.7109265464023</v>
      </c>
      <c r="JD566" s="19">
        <f t="shared" si="1791"/>
        <v>2906.774676044055</v>
      </c>
      <c r="JE566" s="21"/>
      <c r="JF566" s="1">
        <f t="shared" si="1847"/>
        <v>6.2875001493236493E-2</v>
      </c>
      <c r="JG566" s="15">
        <f>INDEX(Input!$1:$1048576,JG$93,$C566*2+6)/(1+VLOOKUP(C566*1000+INDEX(Input!$1:$1048576,JG$93+1,$C566*2+6),$A:$KK,$JK$92,FALSE))</f>
        <v>742</v>
      </c>
      <c r="JH566" s="1">
        <f t="shared" si="1792"/>
        <v>9.4886736193810883E-2</v>
      </c>
      <c r="JI566" s="1">
        <f t="shared" si="1793"/>
        <v>-1.5988798142625538E-2</v>
      </c>
      <c r="JJ566" s="1">
        <f t="shared" si="1824"/>
        <v>0</v>
      </c>
      <c r="JK566" s="1">
        <f t="shared" si="1825"/>
        <v>7.8897938051185348E-2</v>
      </c>
      <c r="JL566" s="15">
        <f t="shared" si="1796"/>
        <v>58.542270033979527</v>
      </c>
      <c r="JM566" s="15">
        <f t="shared" si="1797"/>
        <v>800.54227003397955</v>
      </c>
      <c r="JN566" s="21"/>
      <c r="JO566" s="19">
        <f>INDEX(Input!$1:$1048576,JO$93,$C566*2+6)</f>
        <v>5908.5</v>
      </c>
      <c r="JP566" s="19">
        <f>INDEX(Input!$1:$1048576,JP$93,$C566*2+6)</f>
        <v>2467.7963733178344</v>
      </c>
      <c r="JQ566" s="39">
        <f t="shared" si="1798"/>
        <v>3001.725323955945</v>
      </c>
      <c r="JR566" s="39">
        <f t="shared" si="1799"/>
        <v>438.97830272622059</v>
      </c>
      <c r="JS566" s="39">
        <f t="shared" si="1800"/>
        <v>2.3269959976375931</v>
      </c>
      <c r="JT566" s="39">
        <f t="shared" si="1801"/>
        <v>0.49589108863576015</v>
      </c>
      <c r="JU566" s="385">
        <f>(JQ566*JM566-INDEX(Input!$1:$1048576,Input!A$18,$C566*2+6)*JL566*INDEX(Input!$1:$1048576,Input!A$19,$C566*2+6))/1000000</f>
        <v>2.403008004858175</v>
      </c>
      <c r="JV566" s="39">
        <f t="shared" si="1802"/>
        <v>-0.14999408613999154</v>
      </c>
      <c r="JW566" s="1">
        <f t="shared" si="1803"/>
        <v>-5.8752042024903799E-2</v>
      </c>
      <c r="JX566" s="19">
        <f t="shared" si="1804"/>
        <v>8470.6501532641523</v>
      </c>
      <c r="JZ566" s="341"/>
      <c r="KA566" s="342"/>
      <c r="KB566" s="469">
        <f t="shared" si="1805"/>
        <v>2.4623520912331753</v>
      </c>
      <c r="KI566" s="473">
        <f t="shared" si="1826"/>
        <v>74.345735934910863</v>
      </c>
      <c r="KJ566" s="473">
        <f t="shared" si="1827"/>
        <v>-19.631979537168775</v>
      </c>
      <c r="KK566" s="473">
        <f t="shared" si="1808"/>
        <v>3.8285136362373748</v>
      </c>
      <c r="KN566" s="544">
        <f t="shared" si="1809"/>
        <v>5002</v>
      </c>
      <c r="KO566" s="541">
        <f t="shared" si="1848"/>
        <v>2.4943840750699664E-3</v>
      </c>
      <c r="KP566" s="546">
        <f t="shared" si="1849"/>
        <v>115.88578450729864</v>
      </c>
      <c r="KQ566" s="546">
        <f t="shared" si="1850"/>
        <v>48.002229892345895</v>
      </c>
      <c r="KR566" s="548">
        <f t="shared" si="1851"/>
        <v>0.36239145356028019</v>
      </c>
      <c r="KS566" s="548">
        <f t="shared" si="1852"/>
        <v>0.87487639613320844</v>
      </c>
      <c r="KT566" s="473">
        <f t="shared" si="1810"/>
        <v>389.37465324503302</v>
      </c>
      <c r="KU566" s="663">
        <f t="shared" ref="KU566:KU581" si="1854">IF(D566="",0,IFERROR((JM566/KT566-1)/(JD566/BX566)+B566*10^-6,0))</f>
        <v>7.154838723305649</v>
      </c>
      <c r="KV566" s="117"/>
    </row>
    <row r="567" spans="1:308" s="26" customFormat="1" ht="15" outlineLevel="1">
      <c r="A567" s="561">
        <f t="shared" si="1770"/>
        <v>5067</v>
      </c>
      <c r="B567" s="561">
        <f t="shared" si="1771"/>
        <v>67</v>
      </c>
      <c r="C567" s="561">
        <f t="shared" si="1772"/>
        <v>5</v>
      </c>
      <c r="D567" s="561" t="str">
        <f t="shared" si="1812"/>
        <v xml:space="preserve">250 CC, 0.9/1.9/2.9/3.9, -360 Lease, </v>
      </c>
      <c r="E567" s="475">
        <f>INDEX(Input!$1:$1048576,E$93,$C567*2+MIN($B567,2)+5)
+INDEX(Scenarios!E$121:E$200,MATCH($B567,Scenarios!$B$121:$B$200,0))</f>
        <v>1500</v>
      </c>
      <c r="F567" s="475">
        <f>INDEX(Input!$1:$1048576,F$93,$C567*2+MIN($B567,2)+5)
+INDEX(Scenarios!F$121:F$200,MATCH($B567,Scenarios!$B$121:$B$200,0))</f>
        <v>0</v>
      </c>
      <c r="G567" s="475">
        <f>INDEX(Input!$1:$1048576,G$93,$C567*2+MIN($B567,2)+5)
+INDEX(Scenarios!G$121:G$200,MATCH($B567,Scenarios!$B$121:$B$200,0))</f>
        <v>0</v>
      </c>
      <c r="H567" s="475">
        <f>INDEX(Input!$1:$1048576,H$93,$C567*2+MIN($B567,2)+5)
+INDEX(Scenarios!H$121:H$200,MATCH($B567,Scenarios!$B$121:$B$200,0))</f>
        <v>0</v>
      </c>
      <c r="I567" s="476">
        <f>INDEX(Input!$1:$1048576,I$93,$C567*2+MIN($B567,2)+5)</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+INDEX(Scenarios!Q$121:Q$200,MATCH($B567,Scenarios!$B$121:$B$200,0))</f>
        <v>0</v>
      </c>
      <c r="R567" s="478">
        <f>IFERROR(MAX(0,INDEX(Input!$1:$1048576,R$93,$C567*2+MIN($B567,2)+5)
+INDEX(Scenarios!R$121:R$200,MATCH($B567,Scenarios!$B$121:$B$200,0)),),"Market")</f>
        <v>9.0000000000000011E-3</v>
      </c>
      <c r="S567" s="478">
        <f>IFERROR(MAX(0,INDEX(Input!$1:$1048576,S$93,$C567*2+MIN($B567,2)+5)
+INDEX(Scenarios!S$121:S$200,MATCH($B567,Scenarios!$B$121:$B$200,0)),),"Market")</f>
        <v>9.0000000000000011E-3</v>
      </c>
      <c r="T567" s="478">
        <f>IFERROR(MAX(0,INDEX(Input!$1:$1048576,T$93,$C567*2+MIN($B567,2)+5)
+INDEX(Scenarios!T$121:T$200,MATCH($B567,Scenarios!$B$121:$B$200,0)),),"Market")</f>
        <v>9.0000000000000011E-3</v>
      </c>
      <c r="U567" s="478">
        <f>IFERROR(MAX(0,INDEX(Input!$1:$1048576,U$93,$C567*2+MIN($B567,2)+5)
+INDEX(Scenarios!U$121:U$200,MATCH($B567,Scenarios!$B$121:$B$200,0)),),"Market")</f>
        <v>9.0000000000000011E-3</v>
      </c>
      <c r="V567" s="478">
        <f>IFERROR(MAX(0,INDEX(Input!$1:$1048576,V$93,$C567*2+MIN($B567,2)+5)
+INDEX(Scenarios!V$121:V$200,MATCH($B567,Scenarios!$B$121:$B$200,0)),),"Market")</f>
        <v>2.8999999999999998E-2</v>
      </c>
      <c r="W567" s="863">
        <f>IFERROR(MAX(0,INDEX(Input!$1:$1048576,W$93,$C567*2+MIN($B567,2)+5)-0%,),"Market")</f>
        <v>3.9E-2</v>
      </c>
      <c r="X567" s="476" t="str">
        <f>INDEX(Input!$1:$1048576,X$93,$C567*2+MIN($B567,2)+5)</f>
        <v>Y</v>
      </c>
      <c r="Y567" s="475">
        <f>INDEX(Input!$1:$1048576,Y$93,$C567*2+MIN($B567,2)+5)
++INDEX(Scenarios!Y$121:Y$200,MATCH($B567,Scenarios!$B$121:$B$200,0))</f>
        <v>-1458.3618966787526</v>
      </c>
      <c r="Z567" s="477">
        <f>INDEX(Input!$1:$1048576,Z$93,$C567*2+MIN($B567,2)+5)
+INDEX(Scenarios!Z$121:Z$200,MATCH($B567,Scenarios!$B$121:$B$200,0))</f>
        <v>0</v>
      </c>
      <c r="AA567" s="475">
        <f>INDEX(Input!$1:$1048576,AA$93,$C567*2+MIN($B567,2)+5)</f>
        <v>500</v>
      </c>
      <c r="AB567" s="476">
        <f>INDEX(Input!$1:$1048576,AB$93,$C567*2+MIN($B567,2)+5)</f>
        <v>0.43</v>
      </c>
      <c r="AC567" s="475">
        <f>INDEX(Input!$1:$1048576,AC$93,$C567*2+MIN($B567,2)+5)
+INDEX(Scenarios!AC$121:AC$200,MATCH($B567,Scenarios!$B$121:$B$200,0))</f>
        <v>0</v>
      </c>
      <c r="AD567" s="476">
        <f>INDEX(Input!$1:$1048576,AD$93,$C567*2+MIN($B567,2)+5)</f>
        <v>0.35</v>
      </c>
      <c r="AE567" s="475">
        <f>INDEX(Input!$1:$1048576,AE$93,$C567*2+MIN($B567,2)+5)
+INDEX(Scenarios!AE$121:AE$200,MATCH($B567,Scenarios!$B$121:$B$200,0))</f>
        <v>0</v>
      </c>
      <c r="AF567" s="476">
        <f>INDEX(Input!$1:$1048576,AF$93,$C567*2+MIN($B567,2)+5)</f>
        <v>1</v>
      </c>
      <c r="AG567" s="475">
        <f>INDEX(Input!$1:$1048576,AG$93,$C567*2+MIN($B567,2)+5)
+INDEX(Scenarios!AG$121:AG$200,MATCH($B567,Scenarios!$B$121:$B$200,0))</f>
        <v>0</v>
      </c>
      <c r="AH567" s="476">
        <f>INDEX(Input!$1:$1048576,AH$93,$C567*2+MIN($B567,2)+5)</f>
        <v>1</v>
      </c>
      <c r="AI567" s="475">
        <f>INDEX(Input!$1:$1048576,AI$93,$C567*2+MIN($B567,2)+5)
+INDEX(Scenarios!AI$121:AI$200,MATCH($B567,Scenarios!$B$121:$B$200,0))</f>
        <v>0</v>
      </c>
      <c r="AJ567" s="476">
        <f>INDEX(Input!$1:$1048576,AJ$93,$C567*2+MIN($B567,2)+5)</f>
        <v>0.35</v>
      </c>
      <c r="AK567" s="150">
        <f>ROUND(INDEX(Input!$1:$1048576,AK$93,$C566*2+MIN($B567,1)+5)+(Y567-VLOOKUP($C567*1000+1,$A:$HH,Y$92,FALSE)),0)</f>
        <v>4232</v>
      </c>
      <c r="AL567" s="150">
        <f>ROUND(INDEX(Input!$1:$1048576,AL$93,$C566*2+MIN($B567,1)+5)-(Y567-VLOOKUP($C567*1000+1,$A:$HH,Y$92,FALSE))/36,0)</f>
        <v>4753</v>
      </c>
      <c r="AM567" s="32" t="str">
        <f t="shared" si="1773"/>
        <v>std/std/std/std</v>
      </c>
      <c r="AN567" s="32" t="str">
        <f t="shared" si="1774"/>
        <v>$0 + 0.9/0.9/0.9/2.9/3.9</v>
      </c>
      <c r="AO567" s="32" t="str">
        <f t="shared" si="1775"/>
        <v>0.9/0.9/0.9/2.9/3.9</v>
      </c>
      <c r="AP567" s="32" t="str">
        <f t="shared" si="1755"/>
        <v>0.9/1.9/2.9/3.9</v>
      </c>
      <c r="AQ567" s="536">
        <f t="shared" si="1754"/>
        <v>0.51829119338684548</v>
      </c>
      <c r="AR567" s="32"/>
      <c r="AS567" s="302"/>
      <c r="AT567" s="3">
        <f t="shared" si="1776"/>
        <v>67</v>
      </c>
      <c r="AU567" s="41" t="s">
        <v>121</v>
      </c>
      <c r="AV567" s="41" t="s">
        <v>116</v>
      </c>
      <c r="AW567" s="41" t="str">
        <f>INDEX(Input!$1:$1048576,AW$93,$C567*2+6)</f>
        <v>Kia</v>
      </c>
      <c r="AX567" s="41" t="str">
        <f>INDEX(Input!$1:$1048576,AX$93,$C567*2+6)</f>
        <v>Kia-LR - R2</v>
      </c>
      <c r="AY567" s="41" t="str">
        <f>IF(LEN(D567)=0,"",INDEX(Input!$1:$1048576,AY$93,$C567*2+6))</f>
        <v>Compact Conventional/Sporty Car (43)</v>
      </c>
      <c r="AZ567" s="41" t="str">
        <f>INDEX(Input!$1:$1048576,AZ$93,$C567*2+6)</f>
        <v>Kia Forte</v>
      </c>
      <c r="BA567" s="3">
        <f>INDEX(Input!$1:$1048576,BA$93,$C567*2+6)</f>
        <v>2020</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19695</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756"/>
        <v>1500</v>
      </c>
      <c r="CJ567" s="16" t="str">
        <f>INDEX(Input!$1:$1048576,CJ$93,$C567*2+6)</f>
        <v>N</v>
      </c>
      <c r="CK567" s="1" t="str">
        <f t="shared" si="1757"/>
        <v>Market</v>
      </c>
      <c r="CL567" s="1" t="str">
        <f t="shared" si="1758"/>
        <v>Market</v>
      </c>
      <c r="CM567" s="1" t="str">
        <f t="shared" si="1759"/>
        <v>Market</v>
      </c>
      <c r="CN567" s="1" t="str">
        <f t="shared" si="1760"/>
        <v>Market</v>
      </c>
      <c r="CO567" s="1" t="str">
        <f t="shared" si="1761"/>
        <v>Market</v>
      </c>
      <c r="CP567" s="304">
        <f t="shared" si="1762"/>
        <v>215</v>
      </c>
      <c r="CQ567" s="1">
        <f t="shared" si="1763"/>
        <v>9.0000000000000011E-3</v>
      </c>
      <c r="CR567" s="1">
        <f t="shared" si="1764"/>
        <v>9.0000000000000011E-3</v>
      </c>
      <c r="CS567" s="1">
        <f t="shared" si="1765"/>
        <v>9.0000000000000011E-3</v>
      </c>
      <c r="CT567" s="1">
        <f t="shared" si="1766"/>
        <v>2.8999999999999998E-2</v>
      </c>
      <c r="CU567" s="1">
        <f t="shared" si="1767"/>
        <v>3.9E-2</v>
      </c>
      <c r="CV567" s="304">
        <f t="shared" si="1768"/>
        <v>-1458.3618966787526</v>
      </c>
      <c r="CW567" s="20" t="s">
        <v>122</v>
      </c>
      <c r="CX567" s="20" t="s">
        <v>122</v>
      </c>
      <c r="CY567" s="20" t="s">
        <v>122</v>
      </c>
      <c r="CZ567" s="20" t="s">
        <v>122</v>
      </c>
      <c r="DA567" s="20" t="s">
        <v>122</v>
      </c>
      <c r="DB567" s="503">
        <f t="shared" si="1769"/>
        <v>0</v>
      </c>
      <c r="DC567" s="127">
        <v>0</v>
      </c>
      <c r="DD567" s="127">
        <v>0</v>
      </c>
      <c r="DE567" s="127">
        <v>0</v>
      </c>
      <c r="DF567" s="127">
        <v>0</v>
      </c>
      <c r="DG567" s="127">
        <v>0</v>
      </c>
      <c r="DH567" s="127">
        <v>0</v>
      </c>
      <c r="DI567" s="127">
        <v>0</v>
      </c>
      <c r="DJ567" s="127">
        <v>0</v>
      </c>
      <c r="DK567" s="127">
        <v>0</v>
      </c>
      <c r="DL567" s="127">
        <v>0</v>
      </c>
      <c r="DM567" s="304">
        <f>INDEX(Input!$1:$1048576,DM$93,$C567*2+6)</f>
        <v>20731.578947368424</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4.5827165849733342E-2</v>
      </c>
      <c r="DZ567" s="7">
        <v>0</v>
      </c>
      <c r="EA567" s="7">
        <v>0.80732090062119855</v>
      </c>
      <c r="EB567" s="7">
        <v>0</v>
      </c>
      <c r="EC567" s="7">
        <v>0</v>
      </c>
      <c r="ED567" s="7">
        <v>0</v>
      </c>
      <c r="EE567" s="7">
        <v>0</v>
      </c>
      <c r="EF567" s="7">
        <v>0</v>
      </c>
      <c r="EG567" s="7">
        <v>0</v>
      </c>
      <c r="EH567" s="7">
        <v>1.7855639506038121E-2</v>
      </c>
      <c r="EI567" s="7">
        <v>2.1031667834388295E-2</v>
      </c>
      <c r="EJ567" s="7">
        <v>0.29144671237966674</v>
      </c>
      <c r="EK567" s="7">
        <v>0.60057491366252491</v>
      </c>
      <c r="EL567" s="7">
        <v>6.9091066617381347E-2</v>
      </c>
      <c r="EM567" s="7">
        <v>4.4749520166475404E-2</v>
      </c>
      <c r="EN567" s="7">
        <v>4.6962918603758071E-2</v>
      </c>
      <c r="EO567" s="7">
        <v>0.58335195086580749</v>
      </c>
      <c r="EP567" s="7">
        <v>0.24966710569991349</v>
      </c>
      <c r="EQ567" s="7">
        <v>7.2896176507769875E-2</v>
      </c>
      <c r="ER567" s="7">
        <v>4.712184832275107E-2</v>
      </c>
      <c r="ES567" s="7">
        <v>0.10210241336259276</v>
      </c>
      <c r="ET567" s="7">
        <v>0.14685193352906814</v>
      </c>
      <c r="EU567" s="6">
        <v>1850</v>
      </c>
      <c r="EV567" s="6">
        <v>0</v>
      </c>
      <c r="EW567" s="6">
        <v>1850</v>
      </c>
      <c r="EX567" s="6">
        <v>0</v>
      </c>
      <c r="EY567" s="6">
        <v>2213.1000536441334</v>
      </c>
      <c r="EZ567" s="6">
        <v>-2083.0908300335955</v>
      </c>
      <c r="FA567" s="6">
        <v>0</v>
      </c>
      <c r="FB567" s="6">
        <v>0</v>
      </c>
      <c r="FC567" s="6">
        <v>0</v>
      </c>
      <c r="FD567" s="6">
        <v>0</v>
      </c>
      <c r="FE567" s="6">
        <v>0</v>
      </c>
      <c r="FF567" s="6">
        <v>0</v>
      </c>
      <c r="FG567" s="6">
        <v>0</v>
      </c>
      <c r="FH567" s="6">
        <v>926.09940377235807</v>
      </c>
      <c r="FI567" s="6">
        <v>1232.1164465304232</v>
      </c>
      <c r="FJ567" s="6">
        <v>1709.9775738488456</v>
      </c>
      <c r="FK567" s="6">
        <v>1266.3227157028198</v>
      </c>
      <c r="FL567" s="6">
        <v>893.91433563489375</v>
      </c>
      <c r="FM567" s="6">
        <v>1363.1000536441334</v>
      </c>
      <c r="FN567" s="6">
        <v>0</v>
      </c>
      <c r="FO567" s="6">
        <v>0</v>
      </c>
      <c r="FP567" s="6">
        <v>0</v>
      </c>
      <c r="FQ567" s="6">
        <v>0</v>
      </c>
      <c r="FR567" s="6">
        <v>0</v>
      </c>
      <c r="FS567" s="6">
        <v>0</v>
      </c>
      <c r="FT567" s="7">
        <v>0.85314806647093189</v>
      </c>
      <c r="FU567" s="7">
        <v>4.4749520166475404E-2</v>
      </c>
      <c r="FV567" s="7">
        <v>0.10210241336259276</v>
      </c>
      <c r="FW567" s="6">
        <v>1850.0000000000002</v>
      </c>
      <c r="FX567" s="6">
        <v>2213.1000536441334</v>
      </c>
      <c r="FY567" s="6">
        <v>-2083.0908300335955</v>
      </c>
      <c r="FZ567" s="6">
        <v>2411.9063952864503</v>
      </c>
      <c r="GA567" s="6">
        <v>1464.6704874522836</v>
      </c>
      <c r="GB567" s="6">
        <v>18230.329512547716</v>
      </c>
      <c r="GC567" s="7">
        <v>7.6138913542514425E-2</v>
      </c>
      <c r="GD567" s="7">
        <v>6.6794091758457186E-2</v>
      </c>
      <c r="GE567" s="7"/>
      <c r="GF567" s="7"/>
      <c r="GG567" s="7">
        <v>-0.12273384724408078</v>
      </c>
      <c r="GH567" s="42">
        <v>2.5518913519644144</v>
      </c>
      <c r="GI567" s="6">
        <v>9182.4755518563907</v>
      </c>
      <c r="GJ567" s="14">
        <v>0.51074630601039517</v>
      </c>
      <c r="GK567" s="14">
        <v>0.5082951978616097</v>
      </c>
      <c r="GL567" s="14">
        <v>0.48925369398960411</v>
      </c>
      <c r="GM567" s="14">
        <v>0.49170480213839041</v>
      </c>
      <c r="GO567" s="5">
        <v>338.16872463277008</v>
      </c>
      <c r="GP567" s="5">
        <v>302.87425392274076</v>
      </c>
      <c r="GQ567" s="5">
        <v>527.27910984145694</v>
      </c>
      <c r="GR567" s="5">
        <v>404.20319246551543</v>
      </c>
      <c r="GS567" s="5">
        <v>334.50205195691484</v>
      </c>
      <c r="GT567" s="5">
        <v>289.18266033348181</v>
      </c>
      <c r="GU567" s="5">
        <v>254.29573314828914</v>
      </c>
      <c r="GV567" s="39" t="s">
        <v>392</v>
      </c>
      <c r="GW567" s="5">
        <v>475.29643226912253</v>
      </c>
      <c r="GX567" s="5">
        <v>358.07100736083845</v>
      </c>
      <c r="GY567" s="5">
        <v>287.73954748358943</v>
      </c>
      <c r="GZ567" s="5">
        <v>255.64660634518972</v>
      </c>
      <c r="HA567" s="5">
        <v>229.8919505212948</v>
      </c>
      <c r="HB567" s="39">
        <v>269.29671597889296</v>
      </c>
      <c r="HC567" s="5">
        <v>374.25084881396981</v>
      </c>
      <c r="HD567" s="5">
        <v>298.52900980034525</v>
      </c>
      <c r="HE567" s="5">
        <v>295.2186408427836</v>
      </c>
      <c r="HF567" s="5">
        <v>265.87464978663218</v>
      </c>
      <c r="HG567" s="5">
        <v>247.50084178617021</v>
      </c>
      <c r="HH567" s="39">
        <v>296.47371854137594</v>
      </c>
      <c r="HI567" s="16"/>
      <c r="HJ567" s="19" t="str">
        <f t="shared" ref="HJ567:HK567" si="1855">HJ566</f>
        <v>On</v>
      </c>
      <c r="HK567" s="1" t="str">
        <f t="shared" si="1855"/>
        <v>On</v>
      </c>
      <c r="HL567" s="16"/>
      <c r="HM567" s="639">
        <f t="shared" si="1833"/>
        <v>5.1181272167489952E-2</v>
      </c>
      <c r="HN567" s="639">
        <f t="shared" si="1834"/>
        <v>4.2792051795134348E-3</v>
      </c>
      <c r="HO567" s="639">
        <f t="shared" si="1835"/>
        <v>7.4145241462331068E-3</v>
      </c>
      <c r="HP567" s="644">
        <f>(FT567*$GD567-HM567)/$JF567*INDEX(Input!$1:$1048576,$JG$93,$C567*2+6)</f>
        <v>68.493862809049048</v>
      </c>
      <c r="HQ567" s="644">
        <f>(FU567*$GD567-HN567)/$JF567*INDEX(Input!$1:$1048576,$JG$93,$C567*2+6)</f>
        <v>-15.225917802025895</v>
      </c>
      <c r="HR567" s="644">
        <f>(FV567*$GD567-HO567)/$JF567*INDEX(Input!$1:$1048576,$JG$93,$C567*2+6)</f>
        <v>-7.0180061166587748</v>
      </c>
      <c r="HS567" s="644">
        <f t="shared" si="1821"/>
        <v>-12.041920193199672</v>
      </c>
      <c r="HT567" s="644">
        <f t="shared" si="1836"/>
        <v>-2.4701173433177845</v>
      </c>
      <c r="HU567" s="644">
        <f t="shared" si="1837"/>
        <v>0.83042575297908627</v>
      </c>
      <c r="HV567" s="648">
        <f t="shared" si="1838"/>
        <v>0</v>
      </c>
      <c r="HW567" s="648">
        <f t="shared" si="1839"/>
        <v>0</v>
      </c>
      <c r="HX567" s="648">
        <f t="shared" si="1840"/>
        <v>0</v>
      </c>
      <c r="HY567" s="644">
        <f>INDEX(Input!$1:$1048576,HY$93,$C567*2+6)*INDEX(Input!$1:$1048576,$JG$93,$C567*2+6)</f>
        <v>345</v>
      </c>
      <c r="HZ567" s="644">
        <f>INDEX(Input!$1:$1048576,HZ$93,$C567*2+6)*INDEX(Input!$1:$1048576,$JG$93,$C567*2+6)</f>
        <v>299</v>
      </c>
      <c r="IA567" s="644">
        <f>INDEX(Input!$1:$1048576,IA$93,$C567*2+6)*INDEX(Input!$1:$1048576,$JG$93,$C567*2+6)</f>
        <v>98</v>
      </c>
      <c r="IB567" s="644">
        <f t="shared" si="1780"/>
        <v>401.45194261584936</v>
      </c>
      <c r="IC567" s="644">
        <f t="shared" si="1781"/>
        <v>281.30396485465633</v>
      </c>
      <c r="ID567" s="644">
        <f>IF(AND(INDEX(Input!$1:$1048576,IA$93,$C567*2+7)="TOS",Y567&lt;=INDEX(Y:Y,MATCH(C567*1000+2,A:A))),0,1)*MAX(IA567+HR567+HU567+HX567,0%)</f>
        <v>91.812419636320314</v>
      </c>
      <c r="IE567" s="128">
        <f t="shared" si="1822"/>
        <v>0.51829119338684548</v>
      </c>
      <c r="IF567" s="128">
        <f t="shared" si="1823"/>
        <v>0.3631751454457029</v>
      </c>
      <c r="IG567" s="128">
        <f t="shared" si="1784"/>
        <v>0.11853366116745158</v>
      </c>
      <c r="IH567" s="21"/>
      <c r="II567" s="19">
        <f t="shared" si="1841"/>
        <v>1200</v>
      </c>
      <c r="IJ567" s="19">
        <f t="shared" si="1842"/>
        <v>2231.5440334087361</v>
      </c>
      <c r="IK567" s="19">
        <f t="shared" si="1843"/>
        <v>-2048.0908300335955</v>
      </c>
      <c r="IL567" s="19">
        <f t="shared" si="1785"/>
        <v>650.00000000000023</v>
      </c>
      <c r="IM567" s="19">
        <f t="shared" si="1786"/>
        <v>-18.443979764602773</v>
      </c>
      <c r="IN567" s="19">
        <f t="shared" si="1787"/>
        <v>-35</v>
      </c>
      <c r="IO567" s="39">
        <f t="shared" si="1844"/>
        <v>0</v>
      </c>
      <c r="IP567" s="39">
        <f t="shared" si="1845"/>
        <v>0</v>
      </c>
      <c r="IQ567" s="39">
        <f t="shared" si="1846"/>
        <v>0</v>
      </c>
      <c r="IR567" s="39">
        <v>0</v>
      </c>
      <c r="IS567" s="39">
        <v>0</v>
      </c>
      <c r="IT567" s="39">
        <v>0</v>
      </c>
      <c r="IU567" s="39">
        <v>0</v>
      </c>
      <c r="IV567" s="39">
        <v>0</v>
      </c>
      <c r="IW567" s="39">
        <v>0</v>
      </c>
      <c r="IX567" s="39">
        <f>INDEX(Input!$1:$1048576,IX$93,$C567*2+6)+INDEX(Input!$1:$1048576,IX$94,$C567*2+6)</f>
        <v>1600</v>
      </c>
      <c r="IY567" s="39">
        <f>INDEX(Input!$1:$1048576,IY$93,$C567*2+6)+INDEX(Input!$1:$1048576,IY$94,$C567*2+6)</f>
        <v>2503.5492916397525</v>
      </c>
      <c r="IZ567" s="39">
        <f>INDEX(Input!$1:$1048576,IZ$93,$C567*2+6)+INDEX(Input!$1:$1048576,IZ$94,$C567*2+6)</f>
        <v>5413.7109265464023</v>
      </c>
      <c r="JA567" s="19">
        <f t="shared" si="1788"/>
        <v>2250</v>
      </c>
      <c r="JB567" s="19">
        <f t="shared" si="1789"/>
        <v>2485.1053118751497</v>
      </c>
      <c r="JC567" s="19">
        <f t="shared" si="1790"/>
        <v>5378.7109265464023</v>
      </c>
      <c r="JD567" s="19">
        <f t="shared" si="1791"/>
        <v>2706.2419666934693</v>
      </c>
      <c r="JE567" s="21"/>
      <c r="JF567" s="1">
        <f t="shared" si="1847"/>
        <v>6.2875001493236493E-2</v>
      </c>
      <c r="JG567" s="15">
        <f>INDEX(Input!$1:$1048576,JG$93,$C567*2+6)/(1+VLOOKUP(C567*1000+INDEX(Input!$1:$1048576,JG$93+1,$C567*2+6),$A:$KK,$JK$92,FALSE))</f>
        <v>742</v>
      </c>
      <c r="JH567" s="1">
        <f t="shared" si="1792"/>
        <v>6.2331454030140669E-2</v>
      </c>
      <c r="JI567" s="1">
        <f t="shared" si="1793"/>
        <v>-1.8438829896951982E-2</v>
      </c>
      <c r="JJ567" s="1">
        <f t="shared" si="1824"/>
        <v>0</v>
      </c>
      <c r="JK567" s="1">
        <f t="shared" si="1825"/>
        <v>4.3892624133188687E-2</v>
      </c>
      <c r="JL567" s="15">
        <f t="shared" si="1796"/>
        <v>32.568327106826004</v>
      </c>
      <c r="JM567" s="15">
        <f t="shared" si="1797"/>
        <v>774.56832710682602</v>
      </c>
      <c r="JN567" s="21"/>
      <c r="JO567" s="19">
        <f>INDEX(Input!$1:$1048576,JO$93,$C567*2+6)</f>
        <v>5908.5</v>
      </c>
      <c r="JP567" s="19">
        <f>INDEX(Input!$1:$1048576,JP$93,$C567*2+6)</f>
        <v>2467.7963733178344</v>
      </c>
      <c r="JQ567" s="39">
        <f t="shared" si="1798"/>
        <v>3202.2580333065307</v>
      </c>
      <c r="JR567" s="39">
        <f t="shared" si="1799"/>
        <v>238.44559337563487</v>
      </c>
      <c r="JS567" s="39">
        <f t="shared" si="1800"/>
        <v>2.0961693128880472</v>
      </c>
      <c r="JT567" s="39">
        <f t="shared" si="1801"/>
        <v>0.26506440388621411</v>
      </c>
      <c r="JU567" s="385">
        <f>(JQ567*JM567-INDEX(Input!$1:$1048576,Input!A$18,$C567*2+6)*JL567*INDEX(Input!$1:$1048576,Input!A$19,$C567*2+6))/1000000</f>
        <v>2.4803676478226344</v>
      </c>
      <c r="JV567" s="39">
        <f t="shared" si="1802"/>
        <v>-7.2634443175532137E-2</v>
      </c>
      <c r="JW567" s="1">
        <f t="shared" si="1803"/>
        <v>-2.8450600738495164E-2</v>
      </c>
      <c r="JX567" s="19">
        <f t="shared" si="1804"/>
        <v>8138.7171965200259</v>
      </c>
      <c r="JZ567" s="341"/>
      <c r="KA567" s="342"/>
      <c r="KB567" s="469">
        <f t="shared" si="1805"/>
        <v>2.4623520912331753</v>
      </c>
      <c r="KI567" s="473">
        <f t="shared" si="1826"/>
        <v>56.451942615849362</v>
      </c>
      <c r="KJ567" s="473">
        <f t="shared" si="1827"/>
        <v>-17.696035145343672</v>
      </c>
      <c r="KK567" s="473">
        <f t="shared" si="1808"/>
        <v>-6.187580363679686</v>
      </c>
      <c r="KN567" s="544">
        <f t="shared" si="1809"/>
        <v>5002</v>
      </c>
      <c r="KO567" s="541">
        <f t="shared" si="1848"/>
        <v>-3.0031983227999048E-2</v>
      </c>
      <c r="KP567" s="546">
        <f t="shared" si="1849"/>
        <v>-65.080558287786744</v>
      </c>
      <c r="KQ567" s="546">
        <f t="shared" si="1850"/>
        <v>-152.53047945823982</v>
      </c>
      <c r="KR567" s="548">
        <f t="shared" si="1851"/>
        <v>7.7692219738507493</v>
      </c>
      <c r="KS567" s="548">
        <f t="shared" si="1852"/>
        <v>3.3149132246606401</v>
      </c>
      <c r="KT567" s="473">
        <f t="shared" si="1810"/>
        <v>389.37465324503302</v>
      </c>
      <c r="KU567" s="663">
        <f t="shared" si="1854"/>
        <v>7.1995420229161597</v>
      </c>
      <c r="KV567" s="117"/>
    </row>
    <row r="568" spans="1:308" s="26" customFormat="1" ht="15" outlineLevel="1">
      <c r="A568" s="561">
        <f t="shared" si="1770"/>
        <v>5068</v>
      </c>
      <c r="B568" s="561">
        <f t="shared" si="1771"/>
        <v>68</v>
      </c>
      <c r="C568" s="561">
        <f t="shared" si="1772"/>
        <v>5</v>
      </c>
      <c r="D568" s="561" t="str">
        <f t="shared" si="1812"/>
        <v xml:space="preserve">500 CC, 0.9/1.9/2.9/3.9, -360 Lease, </v>
      </c>
      <c r="E568" s="475">
        <f>INDEX(Input!$1:$1048576,E$93,$C568*2+MIN($B568,2)+5)
+INDEX(Scenarios!E$121:E$200,MATCH($B568,Scenarios!$B$121:$B$200,0))</f>
        <v>1750</v>
      </c>
      <c r="F568" s="475">
        <f>INDEX(Input!$1:$1048576,F$93,$C568*2+MIN($B568,2)+5)
+INDEX(Scenarios!F$121:F$200,MATCH($B568,Scenarios!$B$121:$B$200,0))</f>
        <v>0</v>
      </c>
      <c r="G568" s="475">
        <f>INDEX(Input!$1:$1048576,G$93,$C568*2+MIN($B568,2)+5)
+INDEX(Scenarios!G$121:G$200,MATCH($B568,Scenarios!$B$121:$B$200,0))</f>
        <v>0</v>
      </c>
      <c r="H568" s="475">
        <f>INDEX(Input!$1:$1048576,H$93,$C568*2+MIN($B568,2)+5)
+INDEX(Scenarios!H$121:H$200,MATCH($B568,Scenarios!$B$121:$B$200,0))</f>
        <v>0</v>
      </c>
      <c r="I568" s="476">
        <f>INDEX(Input!$1:$1048576,I$93,$C568*2+MIN($B568,2)+5)</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+INDEX(Scenarios!Q$121:Q$200,MATCH($B568,Scenarios!$B$121:$B$200,0))</f>
        <v>0</v>
      </c>
      <c r="R568" s="478">
        <f>IFERROR(MAX(0,INDEX(Input!$1:$1048576,R$93,$C568*2+MIN($B568,2)+5)
+INDEX(Scenarios!R$121:R$200,MATCH($B568,Scenarios!$B$121:$B$200,0)),),"Market")</f>
        <v>9.0000000000000011E-3</v>
      </c>
      <c r="S568" s="478">
        <f>IFERROR(MAX(0,INDEX(Input!$1:$1048576,S$93,$C568*2+MIN($B568,2)+5)
+INDEX(Scenarios!S$121:S$200,MATCH($B568,Scenarios!$B$121:$B$200,0)),),"Market")</f>
        <v>9.0000000000000011E-3</v>
      </c>
      <c r="T568" s="478">
        <f>IFERROR(MAX(0,INDEX(Input!$1:$1048576,T$93,$C568*2+MIN($B568,2)+5)
+INDEX(Scenarios!T$121:T$200,MATCH($B568,Scenarios!$B$121:$B$200,0)),),"Market")</f>
        <v>9.0000000000000011E-3</v>
      </c>
      <c r="U568" s="478">
        <f>IFERROR(MAX(0,INDEX(Input!$1:$1048576,U$93,$C568*2+MIN($B568,2)+5)
+INDEX(Scenarios!U$121:U$200,MATCH($B568,Scenarios!$B$121:$B$200,0)),),"Market")</f>
        <v>9.0000000000000011E-3</v>
      </c>
      <c r="V568" s="478">
        <f>IFERROR(MAX(0,INDEX(Input!$1:$1048576,V$93,$C568*2+MIN($B568,2)+5)
+INDEX(Scenarios!V$121:V$200,MATCH($B568,Scenarios!$B$121:$B$200,0)),),"Market")</f>
        <v>2.8999999999999998E-2</v>
      </c>
      <c r="W568" s="863">
        <f>IFERROR(MAX(0,INDEX(Input!$1:$1048576,W$93,$C568*2+MIN($B568,2)+5)-0%,),"Market")</f>
        <v>3.9E-2</v>
      </c>
      <c r="X568" s="476" t="str">
        <f>INDEX(Input!$1:$1048576,X$93,$C568*2+MIN($B568,2)+5)</f>
        <v>Y</v>
      </c>
      <c r="Y568" s="475">
        <f>INDEX(Input!$1:$1048576,Y$93,$C568*2+MIN($B568,2)+5)
++INDEX(Scenarios!Y$121:Y$200,MATCH($B568,Scenarios!$B$121:$B$200,0))</f>
        <v>-1458.3618966787526</v>
      </c>
      <c r="Z568" s="477">
        <f>INDEX(Input!$1:$1048576,Z$93,$C568*2+MIN($B568,2)+5)
+INDEX(Scenarios!Z$121:Z$200,MATCH($B568,Scenarios!$B$121:$B$200,0))</f>
        <v>0</v>
      </c>
      <c r="AA568" s="475">
        <f>INDEX(Input!$1:$1048576,AA$93,$C568*2+MIN($B568,2)+5)</f>
        <v>500</v>
      </c>
      <c r="AB568" s="476">
        <f>INDEX(Input!$1:$1048576,AB$93,$C568*2+MIN($B568,2)+5)</f>
        <v>0.43</v>
      </c>
      <c r="AC568" s="475">
        <f>INDEX(Input!$1:$1048576,AC$93,$C568*2+MIN($B568,2)+5)
+INDEX(Scenarios!AC$121:AC$200,MATCH($B568,Scenarios!$B$121:$B$200,0))</f>
        <v>0</v>
      </c>
      <c r="AD568" s="476">
        <f>INDEX(Input!$1:$1048576,AD$93,$C568*2+MIN($B568,2)+5)</f>
        <v>0.35</v>
      </c>
      <c r="AE568" s="475">
        <f>INDEX(Input!$1:$1048576,AE$93,$C568*2+MIN($B568,2)+5)
+INDEX(Scenarios!AE$121:AE$200,MATCH($B568,Scenarios!$B$121:$B$200,0))</f>
        <v>0</v>
      </c>
      <c r="AF568" s="476">
        <f>INDEX(Input!$1:$1048576,AF$93,$C568*2+MIN($B568,2)+5)</f>
        <v>1</v>
      </c>
      <c r="AG568" s="475">
        <f>INDEX(Input!$1:$1048576,AG$93,$C568*2+MIN($B568,2)+5)
+INDEX(Scenarios!AG$121:AG$200,MATCH($B568,Scenarios!$B$121:$B$200,0))</f>
        <v>0</v>
      </c>
      <c r="AH568" s="476">
        <f>INDEX(Input!$1:$1048576,AH$93,$C568*2+MIN($B568,2)+5)</f>
        <v>1</v>
      </c>
      <c r="AI568" s="475">
        <f>INDEX(Input!$1:$1048576,AI$93,$C568*2+MIN($B568,2)+5)
+INDEX(Scenarios!AI$121:AI$200,MATCH($B568,Scenarios!$B$121:$B$200,0))</f>
        <v>0</v>
      </c>
      <c r="AJ568" s="476">
        <f>INDEX(Input!$1:$1048576,AJ$93,$C568*2+MIN($B568,2)+5)</f>
        <v>0.35</v>
      </c>
      <c r="AK568" s="150">
        <f>ROUND(INDEX(Input!$1:$1048576,AK$93,$C567*2+MIN($B568,1)+5)+(Y568-VLOOKUP($C568*1000+1,$A:$HH,Y$92,FALSE)),0)</f>
        <v>4232</v>
      </c>
      <c r="AL568" s="150">
        <f>ROUND(INDEX(Input!$1:$1048576,AL$93,$C567*2+MIN($B568,1)+5)-(Y568-VLOOKUP($C568*1000+1,$A:$HH,Y$92,FALSE))/36,0)</f>
        <v>4753</v>
      </c>
      <c r="AM568" s="32" t="str">
        <f t="shared" si="1773"/>
        <v>std/std/std/std</v>
      </c>
      <c r="AN568" s="32" t="str">
        <f t="shared" si="1774"/>
        <v>$0 + 0.9/0.9/0.9/2.9/3.9</v>
      </c>
      <c r="AO568" s="32" t="str">
        <f t="shared" si="1775"/>
        <v>0.9/0.9/0.9/2.9/3.9</v>
      </c>
      <c r="AP568" s="32" t="str">
        <f t="shared" si="1755"/>
        <v>0.9/1.9/2.9/3.9</v>
      </c>
      <c r="AQ568" s="536">
        <f t="shared" si="1754"/>
        <v>0.53355000829139598</v>
      </c>
      <c r="AR568" s="32"/>
      <c r="AS568" s="302"/>
      <c r="AT568" s="3">
        <f t="shared" si="1776"/>
        <v>68</v>
      </c>
      <c r="AU568" s="41" t="s">
        <v>121</v>
      </c>
      <c r="AV568" s="41" t="s">
        <v>116</v>
      </c>
      <c r="AW568" s="41" t="str">
        <f>INDEX(Input!$1:$1048576,AW$93,$C568*2+6)</f>
        <v>Kia</v>
      </c>
      <c r="AX568" s="41" t="str">
        <f>INDEX(Input!$1:$1048576,AX$93,$C568*2+6)</f>
        <v>Kia-LR - R2</v>
      </c>
      <c r="AY568" s="41" t="str">
        <f>IF(LEN(D568)=0,"",INDEX(Input!$1:$1048576,AY$93,$C568*2+6))</f>
        <v>Compact Conventional/Sporty Car (43)</v>
      </c>
      <c r="AZ568" s="41" t="str">
        <f>INDEX(Input!$1:$1048576,AZ$93,$C568*2+6)</f>
        <v>Kia Forte</v>
      </c>
      <c r="BA568" s="3">
        <f>INDEX(Input!$1:$1048576,BA$93,$C568*2+6)</f>
        <v>2020</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19695</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756"/>
        <v>1750</v>
      </c>
      <c r="CJ568" s="16" t="str">
        <f>INDEX(Input!$1:$1048576,CJ$93,$C568*2+6)</f>
        <v>N</v>
      </c>
      <c r="CK568" s="1" t="str">
        <f t="shared" si="1757"/>
        <v>Market</v>
      </c>
      <c r="CL568" s="1" t="str">
        <f t="shared" si="1758"/>
        <v>Market</v>
      </c>
      <c r="CM568" s="1" t="str">
        <f t="shared" si="1759"/>
        <v>Market</v>
      </c>
      <c r="CN568" s="1" t="str">
        <f t="shared" si="1760"/>
        <v>Market</v>
      </c>
      <c r="CO568" s="1" t="str">
        <f t="shared" si="1761"/>
        <v>Market</v>
      </c>
      <c r="CP568" s="304">
        <f t="shared" si="1762"/>
        <v>215</v>
      </c>
      <c r="CQ568" s="1">
        <f t="shared" si="1763"/>
        <v>9.0000000000000011E-3</v>
      </c>
      <c r="CR568" s="1">
        <f t="shared" si="1764"/>
        <v>9.0000000000000011E-3</v>
      </c>
      <c r="CS568" s="1">
        <f t="shared" si="1765"/>
        <v>9.0000000000000011E-3</v>
      </c>
      <c r="CT568" s="1">
        <f t="shared" si="1766"/>
        <v>2.8999999999999998E-2</v>
      </c>
      <c r="CU568" s="1">
        <f t="shared" si="1767"/>
        <v>3.9E-2</v>
      </c>
      <c r="CV568" s="304">
        <f t="shared" si="1768"/>
        <v>-1458.3618966787526</v>
      </c>
      <c r="CW568" s="20" t="s">
        <v>122</v>
      </c>
      <c r="CX568" s="20" t="s">
        <v>122</v>
      </c>
      <c r="CY568" s="20" t="s">
        <v>122</v>
      </c>
      <c r="CZ568" s="20" t="s">
        <v>122</v>
      </c>
      <c r="DA568" s="20" t="s">
        <v>122</v>
      </c>
      <c r="DB568" s="503">
        <f t="shared" si="1769"/>
        <v>0</v>
      </c>
      <c r="DC568" s="127">
        <v>0</v>
      </c>
      <c r="DD568" s="127">
        <v>0</v>
      </c>
      <c r="DE568" s="127">
        <v>0</v>
      </c>
      <c r="DF568" s="127">
        <v>0</v>
      </c>
      <c r="DG568" s="127">
        <v>0</v>
      </c>
      <c r="DH568" s="127">
        <v>0</v>
      </c>
      <c r="DI568" s="127">
        <v>0</v>
      </c>
      <c r="DJ568" s="127">
        <v>0</v>
      </c>
      <c r="DK568" s="127">
        <v>0</v>
      </c>
      <c r="DL568" s="127">
        <v>0</v>
      </c>
      <c r="DM568" s="304">
        <f>INDEX(Input!$1:$1048576,DM$93,$C568*2+6)</f>
        <v>20731.578947368424</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4.644218577125106E-2</v>
      </c>
      <c r="DZ568" s="7">
        <v>0</v>
      </c>
      <c r="EA568" s="7">
        <v>0.81549592767202317</v>
      </c>
      <c r="EB568" s="7">
        <v>0</v>
      </c>
      <c r="EC568" s="7">
        <v>0</v>
      </c>
      <c r="ED568" s="7">
        <v>0</v>
      </c>
      <c r="EE568" s="7">
        <v>0</v>
      </c>
      <c r="EF568" s="7">
        <v>0</v>
      </c>
      <c r="EG568" s="7">
        <v>0</v>
      </c>
      <c r="EH568" s="7">
        <v>1.7859575245721102E-2</v>
      </c>
      <c r="EI568" s="7">
        <v>2.1031498194669377E-2</v>
      </c>
      <c r="EJ568" s="7">
        <v>0.29155241880161786</v>
      </c>
      <c r="EK568" s="7">
        <v>0.60047647058983267</v>
      </c>
      <c r="EL568" s="7">
        <v>6.9080037168158887E-2</v>
      </c>
      <c r="EM568" s="7">
        <v>4.2068877788587346E-2</v>
      </c>
      <c r="EN568" s="7">
        <v>4.6963025343519371E-2</v>
      </c>
      <c r="EO568" s="7">
        <v>0.58334926170913093</v>
      </c>
      <c r="EP568" s="7">
        <v>0.24966382700284953</v>
      </c>
      <c r="EQ568" s="7">
        <v>7.2895458084628689E-2</v>
      </c>
      <c r="ER568" s="7">
        <v>4.7128427859871383E-2</v>
      </c>
      <c r="ES568" s="7">
        <v>9.5993008768138391E-2</v>
      </c>
      <c r="ET568" s="7">
        <v>0.13806188655672569</v>
      </c>
      <c r="EU568" s="6">
        <v>2100</v>
      </c>
      <c r="EV568" s="6">
        <v>0</v>
      </c>
      <c r="EW568" s="6">
        <v>2100</v>
      </c>
      <c r="EX568" s="6">
        <v>0</v>
      </c>
      <c r="EY568" s="6">
        <v>2213.1497496707616</v>
      </c>
      <c r="EZ568" s="6">
        <v>-2083.0908300335955</v>
      </c>
      <c r="FA568" s="6">
        <v>0</v>
      </c>
      <c r="FB568" s="6">
        <v>0</v>
      </c>
      <c r="FC568" s="6">
        <v>0</v>
      </c>
      <c r="FD568" s="6">
        <v>0</v>
      </c>
      <c r="FE568" s="6">
        <v>0</v>
      </c>
      <c r="FF568" s="6">
        <v>0</v>
      </c>
      <c r="FG568" s="6">
        <v>0</v>
      </c>
      <c r="FH568" s="6">
        <v>926.1007827145778</v>
      </c>
      <c r="FI568" s="6">
        <v>1232.1164465304232</v>
      </c>
      <c r="FJ568" s="6">
        <v>1709.9775738488447</v>
      </c>
      <c r="FK568" s="6">
        <v>1266.3227157028193</v>
      </c>
      <c r="FL568" s="6">
        <v>893.91433563489363</v>
      </c>
      <c r="FM568" s="6">
        <v>1363.1497496707616</v>
      </c>
      <c r="FN568" s="6">
        <v>0</v>
      </c>
      <c r="FO568" s="6">
        <v>0</v>
      </c>
      <c r="FP568" s="6">
        <v>0</v>
      </c>
      <c r="FQ568" s="6">
        <v>0</v>
      </c>
      <c r="FR568" s="6">
        <v>0</v>
      </c>
      <c r="FS568" s="6">
        <v>0</v>
      </c>
      <c r="FT568" s="7">
        <v>0.8619381134432742</v>
      </c>
      <c r="FU568" s="7">
        <v>4.2068877788587346E-2</v>
      </c>
      <c r="FV568" s="7">
        <v>9.5993008768138391E-2</v>
      </c>
      <c r="FW568" s="6">
        <v>2100</v>
      </c>
      <c r="FX568" s="6">
        <v>2213.1497496707616</v>
      </c>
      <c r="FY568" s="6">
        <v>-2083.0908300335955</v>
      </c>
      <c r="FZ568" s="6">
        <v>2411.9063952864503</v>
      </c>
      <c r="GA568" s="6">
        <v>1703.2126082653742</v>
      </c>
      <c r="GB568" s="6">
        <v>17991.787391734626</v>
      </c>
      <c r="GC568" s="7">
        <v>7.6138913542514425E-2</v>
      </c>
      <c r="GD568" s="7">
        <v>6.8613984861314828E-2</v>
      </c>
      <c r="GE568" s="7"/>
      <c r="GF568" s="7"/>
      <c r="GG568" s="7">
        <v>-9.8831574172618439E-2</v>
      </c>
      <c r="GH568" s="42">
        <v>2.7465851810435482</v>
      </c>
      <c r="GI568" s="6">
        <v>8873.9350515128863</v>
      </c>
      <c r="GJ568" s="14">
        <v>0.5107463060103955</v>
      </c>
      <c r="GK568" s="14">
        <v>0.5082951978616097</v>
      </c>
      <c r="GL568" s="14">
        <v>0.48925369398960428</v>
      </c>
      <c r="GM568" s="14">
        <v>0.49170480213839018</v>
      </c>
      <c r="GO568" s="5">
        <v>338.16872463277008</v>
      </c>
      <c r="GP568" s="5">
        <v>298.1047308538179</v>
      </c>
      <c r="GQ568" s="5">
        <v>527.27910984145694</v>
      </c>
      <c r="GR568" s="5">
        <v>404.20319246551543</v>
      </c>
      <c r="GS568" s="5">
        <v>334.50205195691484</v>
      </c>
      <c r="GT568" s="5">
        <v>289.18266033348181</v>
      </c>
      <c r="GU568" s="5">
        <v>254.29573314828914</v>
      </c>
      <c r="GV568" s="39" t="s">
        <v>392</v>
      </c>
      <c r="GW568" s="5">
        <v>475.29643226912253</v>
      </c>
      <c r="GX568" s="5">
        <v>358.07100736083845</v>
      </c>
      <c r="GY568" s="5">
        <v>287.73954748358943</v>
      </c>
      <c r="GZ568" s="5">
        <v>255.64660634518972</v>
      </c>
      <c r="HA568" s="5">
        <v>229.8919505212948</v>
      </c>
      <c r="HB568" s="39">
        <v>269.30123957782899</v>
      </c>
      <c r="HC568" s="5">
        <v>374.25084881396981</v>
      </c>
      <c r="HD568" s="5">
        <v>298.52900980034525</v>
      </c>
      <c r="HE568" s="5">
        <v>295.2186408427836</v>
      </c>
      <c r="HF568" s="5">
        <v>265.87464978663218</v>
      </c>
      <c r="HG568" s="5">
        <v>247.50084178617021</v>
      </c>
      <c r="HH568" s="39">
        <v>296.47342519552626</v>
      </c>
      <c r="HI568" s="16"/>
      <c r="HJ568" s="19" t="str">
        <f t="shared" ref="HJ568:HK568" si="1856">HJ567</f>
        <v>On</v>
      </c>
      <c r="HK568" s="1" t="str">
        <f t="shared" si="1856"/>
        <v>On</v>
      </c>
      <c r="HL568" s="16"/>
      <c r="HM568" s="639">
        <f t="shared" si="1833"/>
        <v>5.1181272167489952E-2</v>
      </c>
      <c r="HN568" s="639">
        <f t="shared" si="1834"/>
        <v>4.2792051795134348E-3</v>
      </c>
      <c r="HO568" s="639">
        <f t="shared" si="1835"/>
        <v>7.4145241462331068E-3</v>
      </c>
      <c r="HP568" s="644">
        <f>(FT568*$GD568-HM568)/$JF568*INDEX(Input!$1:$1048576,$JG$93,$C568*2+6)</f>
        <v>93.934383181057939</v>
      </c>
      <c r="HQ568" s="644">
        <f>(FU568*$GD568-HN568)/$JF568*INDEX(Input!$1:$1048576,$JG$93,$C568*2+6)</f>
        <v>-16.435424534676187</v>
      </c>
      <c r="HR568" s="644">
        <f>(FV568*$GD568-HO568)/$JF568*INDEX(Input!$1:$1048576,$JG$93,$C568*2+6)</f>
        <v>-9.7721108057150534</v>
      </c>
      <c r="HS568" s="644">
        <f t="shared" ref="HS568:HS581" si="1857">IF(AND(HJ568="On",HK568="On"),IL568/1000*INDEX(KG:KG,MATCH(C568*1000+3,$KF:$KF,0))*SUM(HY568:IA568)*1.1
+INDEX(HR:HR,MATCH(C568*1000+4,$KF:$KF,0))/INDEX(IM:IM,MATCH(C568*1000+4,$KF:$KF,0))*IM568*20%,0)</f>
        <v>-16.674924565275013</v>
      </c>
      <c r="HT568" s="644">
        <f t="shared" ref="HT568:HT581" si="1858">IF(AND(HJ568="On",HK568="On"),IM568/1000*INDEX(KG:KG,MATCH(C568*1000+4,$KF:$KF,0))*SUM(HY568:IA568)*1.1
+INDEX(HR:HR,MATCH(C568*1000+3,$KF:$KF,0))/INDEX(IL:IL,MATCH(C568*1000+3,$KF:$KF,0))*IL568*20%,0)</f>
        <v>-3.0294393057449205</v>
      </c>
      <c r="HU568" s="644">
        <f t="shared" si="1837"/>
        <v>1.3924763037073962</v>
      </c>
      <c r="HV568" s="648">
        <f t="shared" si="1838"/>
        <v>0</v>
      </c>
      <c r="HW568" s="648">
        <f t="shared" si="1839"/>
        <v>0</v>
      </c>
      <c r="HX568" s="648">
        <f t="shared" si="1840"/>
        <v>0</v>
      </c>
      <c r="HY568" s="644">
        <f>INDEX(Input!$1:$1048576,HY$93,$C568*2+6)*INDEX(Input!$1:$1048576,$JG$93,$C568*2+6)</f>
        <v>345</v>
      </c>
      <c r="HZ568" s="644">
        <f>INDEX(Input!$1:$1048576,HZ$93,$C568*2+6)*INDEX(Input!$1:$1048576,$JG$93,$C568*2+6)</f>
        <v>299</v>
      </c>
      <c r="IA568" s="644">
        <f>INDEX(Input!$1:$1048576,IA$93,$C568*2+6)*INDEX(Input!$1:$1048576,$JG$93,$C568*2+6)</f>
        <v>98</v>
      </c>
      <c r="IB568" s="644">
        <f t="shared" si="1780"/>
        <v>422.25945861578293</v>
      </c>
      <c r="IC568" s="644">
        <f t="shared" si="1781"/>
        <v>279.53513615957888</v>
      </c>
      <c r="ID568" s="644">
        <f>IF(AND(INDEX(Input!$1:$1048576,IA$93,$C568*2+7)="TOS",Y568&lt;=INDEX(Y:Y,MATCH(C568*1000+2,A:A))),0,1)*MAX(IA568+HR568+HU568+HX568,0%)</f>
        <v>89.620365497992339</v>
      </c>
      <c r="IE568" s="128">
        <f t="shared" ref="IE568:IE572" si="1859">IB568/SUM($IB568:$ID568)</f>
        <v>0.53355000829139598</v>
      </c>
      <c r="IF568" s="128">
        <f t="shared" ref="IF568:IF572" si="1860">IC568/SUM($IB568:$ID568)</f>
        <v>0.35320931520302273</v>
      </c>
      <c r="IG568" s="128">
        <f t="shared" si="1784"/>
        <v>0.11324067650558126</v>
      </c>
      <c r="IH568" s="21"/>
      <c r="II568" s="19">
        <f t="shared" si="1841"/>
        <v>1200</v>
      </c>
      <c r="IJ568" s="19">
        <f t="shared" si="1842"/>
        <v>2231.5440334087361</v>
      </c>
      <c r="IK568" s="19">
        <f t="shared" si="1843"/>
        <v>-2048.0908300335955</v>
      </c>
      <c r="IL568" s="19">
        <f t="shared" si="1785"/>
        <v>900</v>
      </c>
      <c r="IM568" s="19">
        <f t="shared" si="1786"/>
        <v>-18.394283737974547</v>
      </c>
      <c r="IN568" s="19">
        <f t="shared" si="1787"/>
        <v>-35</v>
      </c>
      <c r="IO568" s="39">
        <f t="shared" si="1844"/>
        <v>0</v>
      </c>
      <c r="IP568" s="39">
        <f t="shared" si="1845"/>
        <v>0</v>
      </c>
      <c r="IQ568" s="39">
        <f t="shared" si="1846"/>
        <v>0</v>
      </c>
      <c r="IR568" s="39">
        <v>0</v>
      </c>
      <c r="IS568" s="39">
        <v>0</v>
      </c>
      <c r="IT568" s="39">
        <v>0</v>
      </c>
      <c r="IU568" s="39">
        <v>0</v>
      </c>
      <c r="IV568" s="39">
        <v>0</v>
      </c>
      <c r="IW568" s="39">
        <v>0</v>
      </c>
      <c r="IX568" s="39">
        <f>INDEX(Input!$1:$1048576,IX$93,$C568*2+6)+INDEX(Input!$1:$1048576,IX$94,$C568*2+6)</f>
        <v>1600</v>
      </c>
      <c r="IY568" s="39">
        <f>INDEX(Input!$1:$1048576,IY$93,$C568*2+6)+INDEX(Input!$1:$1048576,IY$94,$C568*2+6)</f>
        <v>2503.5492916397525</v>
      </c>
      <c r="IZ568" s="39">
        <f>INDEX(Input!$1:$1048576,IZ$93,$C568*2+6)+INDEX(Input!$1:$1048576,IZ$94,$C568*2+6)</f>
        <v>5413.7109265464023</v>
      </c>
      <c r="JA568" s="19">
        <f t="shared" si="1788"/>
        <v>2500</v>
      </c>
      <c r="JB568" s="19">
        <f t="shared" si="1789"/>
        <v>2485.1550079017779</v>
      </c>
      <c r="JC568" s="19">
        <f t="shared" si="1790"/>
        <v>5378.7109265464023</v>
      </c>
      <c r="JD568" s="19">
        <f t="shared" si="1791"/>
        <v>2820.7437832929154</v>
      </c>
      <c r="JE568" s="21"/>
      <c r="JF568" s="1">
        <f t="shared" si="1847"/>
        <v>6.2875001493236493E-2</v>
      </c>
      <c r="JG568" s="15">
        <f>INDEX(Input!$1:$1048576,JG$93,$C568*2+6)/(1+VLOOKUP(C568*1000+INDEX(Input!$1:$1048576,JG$93+1,$C568*2+6),$A:$KK,$JK$92,FALSE))</f>
        <v>742</v>
      </c>
      <c r="JH568" s="1">
        <f t="shared" si="1792"/>
        <v>9.1276075256963199E-2</v>
      </c>
      <c r="JI568" s="1">
        <f t="shared" si="1793"/>
        <v>-2.4679093756485897E-2</v>
      </c>
      <c r="JJ568" s="1">
        <f t="shared" ref="JJ568:JJ572" si="1861">SUM(HV568:HX568)/SUM(HY568:IA568)</f>
        <v>0</v>
      </c>
      <c r="JK568" s="1">
        <f t="shared" ref="JK568:JK572" si="1862">SUM(JH568:JJ568)</f>
        <v>6.6596981500477298E-2</v>
      </c>
      <c r="JL568" s="15">
        <f t="shared" si="1796"/>
        <v>49.414960273354154</v>
      </c>
      <c r="JM568" s="15">
        <f t="shared" si="1797"/>
        <v>791.41496027335415</v>
      </c>
      <c r="JN568" s="21"/>
      <c r="JO568" s="19">
        <f>INDEX(Input!$1:$1048576,JO$93,$C568*2+6)</f>
        <v>5908.5</v>
      </c>
      <c r="JP568" s="19">
        <f>INDEX(Input!$1:$1048576,JP$93,$C568*2+6)</f>
        <v>2467.7963733178344</v>
      </c>
      <c r="JQ568" s="39">
        <f t="shared" si="1798"/>
        <v>3087.7562167070846</v>
      </c>
      <c r="JR568" s="39">
        <f t="shared" si="1799"/>
        <v>352.94740997508097</v>
      </c>
      <c r="JS568" s="39">
        <f t="shared" si="1800"/>
        <v>2.2323788291960733</v>
      </c>
      <c r="JT568" s="39">
        <f t="shared" si="1801"/>
        <v>0.40127392019424007</v>
      </c>
      <c r="JU568" s="385">
        <f>(JQ568*JM568-INDEX(Input!$1:$1048576,Input!A$18,$C568*2+6)*JL568*INDEX(Input!$1:$1048576,Input!A$19,$C568*2+6))/1000000</f>
        <v>2.4436964635790397</v>
      </c>
      <c r="JV568" s="39">
        <f t="shared" si="1802"/>
        <v>-0.10930562741912686</v>
      </c>
      <c r="JW568" s="1">
        <f t="shared" si="1803"/>
        <v>-4.2814546766152789E-2</v>
      </c>
      <c r="JX568" s="19">
        <f t="shared" si="1804"/>
        <v>8120.4946432106626</v>
      </c>
      <c r="JZ568" s="341"/>
      <c r="KA568" s="342"/>
      <c r="KB568" s="469">
        <f t="shared" si="1805"/>
        <v>2.4623520912331753</v>
      </c>
      <c r="KI568" s="473">
        <f t="shared" ref="KI568:KI572" si="1863">$JM568*IE568-$JG568*HY568/SUM($HY568:$IA568)</f>
        <v>77.259458615782933</v>
      </c>
      <c r="KJ568" s="473">
        <f t="shared" ref="KJ568:KJ572" si="1864">$JM568*IF568-$JG568*HZ568/SUM($HY568:$IA568)</f>
        <v>-19.464863840421117</v>
      </c>
      <c r="KK568" s="473">
        <f t="shared" si="1808"/>
        <v>-8.3796345020076615</v>
      </c>
      <c r="KN568" s="544">
        <f t="shared" si="1809"/>
        <v>5002</v>
      </c>
      <c r="KO568" s="541">
        <f t="shared" si="1848"/>
        <v>-8.9354643155118429E-3</v>
      </c>
      <c r="KP568" s="546">
        <f t="shared" si="1849"/>
        <v>78.215167599563159</v>
      </c>
      <c r="KQ568" s="546">
        <f t="shared" si="1850"/>
        <v>-38.028662858793723</v>
      </c>
      <c r="KR568" s="548">
        <f t="shared" si="1851"/>
        <v>-1.9234058448286042</v>
      </c>
      <c r="KS568" s="548">
        <f t="shared" si="1852"/>
        <v>3.9559505700700992</v>
      </c>
      <c r="KT568" s="473">
        <f t="shared" si="1810"/>
        <v>389.37465324503302</v>
      </c>
      <c r="KU568" s="663">
        <f t="shared" si="1854"/>
        <v>7.2093873565443838</v>
      </c>
      <c r="KV568" s="117"/>
    </row>
    <row r="569" spans="1:308" s="26" customFormat="1" ht="15" outlineLevel="1">
      <c r="A569" s="561">
        <f t="shared" si="1770"/>
        <v>5069</v>
      </c>
      <c r="B569" s="561">
        <f t="shared" ref="B569:B599" si="1865">B568+1</f>
        <v>69</v>
      </c>
      <c r="C569" s="561">
        <f t="shared" ref="C569:C599" si="1866">C568</f>
        <v>5</v>
      </c>
      <c r="D569" s="561" t="str">
        <f t="shared" si="1812"/>
        <v xml:space="preserve">500 CC, 180 Lease, </v>
      </c>
      <c r="E569" s="475">
        <f>INDEX(Input!$1:$1048576,E$93,$C569*2+MIN($B569,2)+5)
+INDEX(Scenarios!E$121:E$200,MATCH($B569,Scenarios!$B$121:$B$200,0))</f>
        <v>1750</v>
      </c>
      <c r="F569" s="475">
        <f>INDEX(Input!$1:$1048576,F$93,$C569*2+MIN($B569,2)+5)
+INDEX(Scenarios!F$121:F$200,MATCH($B569,Scenarios!$B$121:$B$200,0))</f>
        <v>0</v>
      </c>
      <c r="G569" s="475">
        <f>INDEX(Input!$1:$1048576,G$93,$C569*2+MIN($B569,2)+5)
+INDEX(Scenarios!G$121:G$200,MATCH($B569,Scenarios!$B$121:$B$200,0))</f>
        <v>0</v>
      </c>
      <c r="H569" s="475">
        <f>INDEX(Input!$1:$1048576,H$93,$C569*2+MIN($B569,2)+5)
+INDEX(Scenarios!H$121:H$200,MATCH($B569,Scenarios!$B$121:$B$200,0))</f>
        <v>0</v>
      </c>
      <c r="I569" s="476">
        <f>INDEX(Input!$1:$1048576,I$93,$C569*2+MIN($B569,2)+5)</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+INDEX(Scenarios!Q$121:Q$200,MATCH($B569,Scenarios!$B$121:$B$200,0))</f>
        <v>0</v>
      </c>
      <c r="R569" s="478">
        <f>IFERROR(MAX(0,INDEX(Input!$1:$1048576,R$93,$C569*2+MIN($B569,2)+5)
+INDEX(Scenarios!R$121:R$200,MATCH($B569,Scenarios!$B$121:$B$200,0)),),"Market")</f>
        <v>0</v>
      </c>
      <c r="S569" s="478">
        <f>IFERROR(MAX(0,INDEX(Input!$1:$1048576,S$93,$C569*2+MIN($B569,2)+5)
+INDEX(Scenarios!S$121:S$200,MATCH($B569,Scenarios!$B$121:$B$200,0)),),"Market")</f>
        <v>0</v>
      </c>
      <c r="T569" s="478">
        <f>IFERROR(MAX(0,INDEX(Input!$1:$1048576,T$93,$C569*2+MIN($B569,2)+5)
+INDEX(Scenarios!T$121:T$200,MATCH($B569,Scenarios!$B$121:$B$200,0)),),"Market")</f>
        <v>0</v>
      </c>
      <c r="U569" s="478">
        <f>IFERROR(MAX(0,INDEX(Input!$1:$1048576,U$93,$C569*2+MIN($B569,2)+5)
+INDEX(Scenarios!U$121:U$200,MATCH($B569,Scenarios!$B$121:$B$200,0)),),"Market")</f>
        <v>0</v>
      </c>
      <c r="V569" s="478">
        <f>IFERROR(MAX(0,INDEX(Input!$1:$1048576,V$93,$C569*2+MIN($B569,2)+5)
+INDEX(Scenarios!V$121:V$200,MATCH($B569,Scenarios!$B$121:$B$200,0)),),"Market")</f>
        <v>1.9E-2</v>
      </c>
      <c r="W569" s="863">
        <f>IFERROR(MAX(0,INDEX(Input!$1:$1048576,W$93,$C569*2+MIN($B569,2)+5)-0%,),"Market")</f>
        <v>3.9E-2</v>
      </c>
      <c r="X569" s="476" t="str">
        <f>INDEX(Input!$1:$1048576,X$93,$C569*2+MIN($B569,2)+5)</f>
        <v>Y</v>
      </c>
      <c r="Y569" s="475">
        <f>INDEX(Input!$1:$1048576,Y$93,$C569*2+MIN($B569,2)+5)
++INDEX(Scenarios!Y$121:Y$200,MATCH($B569,Scenarios!$B$121:$B$200,0))</f>
        <v>-918.3618966787526</v>
      </c>
      <c r="Z569" s="477">
        <f>INDEX(Input!$1:$1048576,Z$93,$C569*2+MIN($B569,2)+5)
+INDEX(Scenarios!Z$121:Z$200,MATCH($B569,Scenarios!$B$121:$B$200,0))</f>
        <v>0</v>
      </c>
      <c r="AA569" s="475">
        <f>INDEX(Input!$1:$1048576,AA$93,$C569*2+MIN($B569,2)+5)</f>
        <v>500</v>
      </c>
      <c r="AB569" s="476">
        <f>INDEX(Input!$1:$1048576,AB$93,$C569*2+MIN($B569,2)+5)</f>
        <v>0.43</v>
      </c>
      <c r="AC569" s="475">
        <f>INDEX(Input!$1:$1048576,AC$93,$C569*2+MIN($B569,2)+5)
+INDEX(Scenarios!AC$121:AC$200,MATCH($B569,Scenarios!$B$121:$B$200,0))</f>
        <v>0</v>
      </c>
      <c r="AD569" s="476">
        <f>INDEX(Input!$1:$1048576,AD$93,$C569*2+MIN($B569,2)+5)</f>
        <v>0.35</v>
      </c>
      <c r="AE569" s="475">
        <f>INDEX(Input!$1:$1048576,AE$93,$C569*2+MIN($B569,2)+5)
+INDEX(Scenarios!AE$121:AE$200,MATCH($B569,Scenarios!$B$121:$B$200,0))</f>
        <v>0</v>
      </c>
      <c r="AF569" s="476">
        <f>INDEX(Input!$1:$1048576,AF$93,$C569*2+MIN($B569,2)+5)</f>
        <v>1</v>
      </c>
      <c r="AG569" s="475">
        <f>INDEX(Input!$1:$1048576,AG$93,$C569*2+MIN($B569,2)+5)
+INDEX(Scenarios!AG$121:AG$200,MATCH($B569,Scenarios!$B$121:$B$200,0))</f>
        <v>0</v>
      </c>
      <c r="AH569" s="476">
        <f>INDEX(Input!$1:$1048576,AH$93,$C569*2+MIN($B569,2)+5)</f>
        <v>1</v>
      </c>
      <c r="AI569" s="475">
        <f>INDEX(Input!$1:$1048576,AI$93,$C569*2+MIN($B569,2)+5)
+INDEX(Scenarios!AI$121:AI$200,MATCH($B569,Scenarios!$B$121:$B$200,0))</f>
        <v>0</v>
      </c>
      <c r="AJ569" s="476">
        <f>INDEX(Input!$1:$1048576,AJ$93,$C569*2+MIN($B569,2)+5)</f>
        <v>0.35</v>
      </c>
      <c r="AK569" s="150">
        <f>ROUND(INDEX(Input!$1:$1048576,AK$93,$C568*2+MIN($B569,1)+5)+(Y569-VLOOKUP($C569*1000+1,$A:$HH,Y$92,FALSE)),0)</f>
        <v>4772</v>
      </c>
      <c r="AL569" s="150">
        <f>ROUND(INDEX(Input!$1:$1048576,AL$93,$C568*2+MIN($B569,1)+5)-(Y569-VLOOKUP($C569*1000+1,$A:$HH,Y$92,FALSE))/36,0)</f>
        <v>4738</v>
      </c>
      <c r="AM569" s="32" t="str">
        <f t="shared" si="1773"/>
        <v>std/std/std/std</v>
      </c>
      <c r="AN569" s="32" t="str">
        <f t="shared" si="1774"/>
        <v>$0 + 0/0/0/1.9/3.9</v>
      </c>
      <c r="AO569" s="32" t="str">
        <f t="shared" si="1775"/>
        <v>0/0/0/1.9/3.9</v>
      </c>
      <c r="AP569" s="32" t="str">
        <f t="shared" si="1755"/>
        <v>0/0.9/1.9/3.9</v>
      </c>
      <c r="AQ569" s="536">
        <f t="shared" si="1754"/>
        <v>0.49104520955286041</v>
      </c>
      <c r="AR569" s="32"/>
      <c r="AS569" s="302"/>
      <c r="AT569" s="3">
        <f t="shared" ref="AT569:AT599" si="1867">AT568+1</f>
        <v>69</v>
      </c>
      <c r="AU569" s="41" t="s">
        <v>121</v>
      </c>
      <c r="AV569" s="41" t="s">
        <v>116</v>
      </c>
      <c r="AW569" s="41" t="str">
        <f>INDEX(Input!$1:$1048576,AW$93,$C569*2+6)</f>
        <v>Kia</v>
      </c>
      <c r="AX569" s="41" t="str">
        <f>INDEX(Input!$1:$1048576,AX$93,$C569*2+6)</f>
        <v>Kia-LR - R2</v>
      </c>
      <c r="AY569" s="41" t="str">
        <f>IF(LEN(D569)=0,"",INDEX(Input!$1:$1048576,AY$93,$C569*2+6))</f>
        <v>Compact Conventional/Sporty Car (43)</v>
      </c>
      <c r="AZ569" s="41" t="str">
        <f>INDEX(Input!$1:$1048576,AZ$93,$C569*2+6)</f>
        <v>Kia Forte</v>
      </c>
      <c r="BA569" s="3">
        <f>INDEX(Input!$1:$1048576,BA$93,$C569*2+6)</f>
        <v>2020</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19695</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756"/>
        <v>1750</v>
      </c>
      <c r="CJ569" s="16" t="str">
        <f>INDEX(Input!$1:$1048576,CJ$93,$C569*2+6)</f>
        <v>N</v>
      </c>
      <c r="CK569" s="1" t="str">
        <f t="shared" si="1757"/>
        <v>Market</v>
      </c>
      <c r="CL569" s="1" t="str">
        <f t="shared" si="1758"/>
        <v>Market</v>
      </c>
      <c r="CM569" s="1" t="str">
        <f t="shared" si="1759"/>
        <v>Market</v>
      </c>
      <c r="CN569" s="1" t="str">
        <f t="shared" si="1760"/>
        <v>Market</v>
      </c>
      <c r="CO569" s="1" t="str">
        <f t="shared" si="1761"/>
        <v>Market</v>
      </c>
      <c r="CP569" s="304">
        <f t="shared" si="1762"/>
        <v>215</v>
      </c>
      <c r="CQ569" s="1">
        <f t="shared" si="1763"/>
        <v>0</v>
      </c>
      <c r="CR569" s="1">
        <f t="shared" si="1764"/>
        <v>0</v>
      </c>
      <c r="CS569" s="1">
        <f t="shared" si="1765"/>
        <v>0</v>
      </c>
      <c r="CT569" s="1">
        <f t="shared" si="1766"/>
        <v>1.9E-2</v>
      </c>
      <c r="CU569" s="1">
        <f t="shared" si="1767"/>
        <v>3.9E-2</v>
      </c>
      <c r="CV569" s="304">
        <f t="shared" si="1768"/>
        <v>-918.3618966787526</v>
      </c>
      <c r="CW569" s="20" t="s">
        <v>122</v>
      </c>
      <c r="CX569" s="20" t="s">
        <v>122</v>
      </c>
      <c r="CY569" s="20" t="s">
        <v>122</v>
      </c>
      <c r="CZ569" s="20" t="s">
        <v>122</v>
      </c>
      <c r="DA569" s="20" t="s">
        <v>122</v>
      </c>
      <c r="DB569" s="503">
        <f t="shared" si="1769"/>
        <v>0</v>
      </c>
      <c r="DC569" s="127">
        <v>0</v>
      </c>
      <c r="DD569" s="127">
        <v>0</v>
      </c>
      <c r="DE569" s="127">
        <v>0</v>
      </c>
      <c r="DF569" s="127">
        <v>0</v>
      </c>
      <c r="DG569" s="127">
        <v>0</v>
      </c>
      <c r="DH569" s="127">
        <v>0</v>
      </c>
      <c r="DI569" s="127">
        <v>0</v>
      </c>
      <c r="DJ569" s="127">
        <v>0</v>
      </c>
      <c r="DK569" s="127">
        <v>0</v>
      </c>
      <c r="DL569" s="127">
        <v>0</v>
      </c>
      <c r="DM569" s="304">
        <f>INDEX(Input!$1:$1048576,DM$93,$C569*2+6)</f>
        <v>20731.578947368424</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4.498131687505854E-2</v>
      </c>
      <c r="DZ569" s="7">
        <v>0</v>
      </c>
      <c r="EA569" s="7">
        <v>0.79041025045754365</v>
      </c>
      <c r="EB569" s="7">
        <v>0</v>
      </c>
      <c r="EC569" s="7">
        <v>0</v>
      </c>
      <c r="ED569" s="7">
        <v>0</v>
      </c>
      <c r="EE569" s="7">
        <v>0</v>
      </c>
      <c r="EF569" s="7">
        <v>0</v>
      </c>
      <c r="EG569" s="7">
        <v>0</v>
      </c>
      <c r="EH569" s="7">
        <v>1.4452610964205519E-2</v>
      </c>
      <c r="EI569" s="7">
        <v>1.8189008976584251E-2</v>
      </c>
      <c r="EJ569" s="7">
        <v>0.26783358875113222</v>
      </c>
      <c r="EK569" s="7">
        <v>0.65315873876911501</v>
      </c>
      <c r="EL569" s="7">
        <v>4.6366052538963018E-2</v>
      </c>
      <c r="EM569" s="7">
        <v>6.0557283991107873E-2</v>
      </c>
      <c r="EN569" s="7">
        <v>4.7611707531511761E-2</v>
      </c>
      <c r="EO569" s="7">
        <v>0.5821807824446551</v>
      </c>
      <c r="EP569" s="7">
        <v>0.25176587879593915</v>
      </c>
      <c r="EQ569" s="7">
        <v>7.1854758249605619E-2</v>
      </c>
      <c r="ER569" s="7">
        <v>4.6586872978287938E-2</v>
      </c>
      <c r="ES569" s="7">
        <v>0.1040511486762899</v>
      </c>
      <c r="ET569" s="7">
        <v>0.16460843266739777</v>
      </c>
      <c r="EU569" s="6">
        <v>2100</v>
      </c>
      <c r="EV569" s="6">
        <v>0</v>
      </c>
      <c r="EW569" s="6">
        <v>2100</v>
      </c>
      <c r="EX569" s="6">
        <v>0</v>
      </c>
      <c r="EY569" s="6">
        <v>2631.6511892904336</v>
      </c>
      <c r="EZ569" s="6">
        <v>-1543.0908300335955</v>
      </c>
      <c r="FA569" s="6">
        <v>0</v>
      </c>
      <c r="FB569" s="6">
        <v>0</v>
      </c>
      <c r="FC569" s="6">
        <v>0</v>
      </c>
      <c r="FD569" s="6">
        <v>0</v>
      </c>
      <c r="FE569" s="6">
        <v>0</v>
      </c>
      <c r="FF569" s="6">
        <v>0</v>
      </c>
      <c r="FG569" s="6">
        <v>0</v>
      </c>
      <c r="FH569" s="6">
        <v>1153.990514081999</v>
      </c>
      <c r="FI569" s="6">
        <v>1531.4299904380621</v>
      </c>
      <c r="FJ569" s="6">
        <v>2070.7205842538219</v>
      </c>
      <c r="FK569" s="6">
        <v>1746.9903521590434</v>
      </c>
      <c r="FL569" s="6">
        <v>893.91433563489409</v>
      </c>
      <c r="FM569" s="6">
        <v>1781.6511892904336</v>
      </c>
      <c r="FN569" s="6">
        <v>0</v>
      </c>
      <c r="FO569" s="6">
        <v>0</v>
      </c>
      <c r="FP569" s="6">
        <v>0</v>
      </c>
      <c r="FQ569" s="6">
        <v>0</v>
      </c>
      <c r="FR569" s="6">
        <v>0</v>
      </c>
      <c r="FS569" s="6">
        <v>0</v>
      </c>
      <c r="FT569" s="7">
        <v>0.83539156733260223</v>
      </c>
      <c r="FU569" s="7">
        <v>6.0557283991107873E-2</v>
      </c>
      <c r="FV569" s="7">
        <v>0.1040511486762899</v>
      </c>
      <c r="FW569" s="6">
        <v>2100</v>
      </c>
      <c r="FX569" s="6">
        <v>2631.6511892904336</v>
      </c>
      <c r="FY569" s="6">
        <v>-1543.0908300335955</v>
      </c>
      <c r="FZ569" s="6">
        <v>2411.9063952864503</v>
      </c>
      <c r="GA569" s="6">
        <v>1753.1275664570169</v>
      </c>
      <c r="GB569" s="6">
        <v>17941.872433542983</v>
      </c>
      <c r="GC569" s="7">
        <v>7.6138913542514425E-2</v>
      </c>
      <c r="GD569" s="7">
        <v>6.9582252621586849E-2</v>
      </c>
      <c r="GE569" s="7"/>
      <c r="GF569" s="7"/>
      <c r="GG569" s="7">
        <v>-8.6114453383504999E-2</v>
      </c>
      <c r="GH569" s="42">
        <v>2.5744970620894896</v>
      </c>
      <c r="GI569" s="6">
        <v>9403.1654282269301</v>
      </c>
      <c r="GJ569" s="14">
        <v>0.51074630601039517</v>
      </c>
      <c r="GK569" s="14">
        <v>0.50829519786160982</v>
      </c>
      <c r="GL569" s="14">
        <v>0.48925369398960439</v>
      </c>
      <c r="GM569" s="14">
        <v>0.4917048021383903</v>
      </c>
      <c r="GO569" s="5">
        <v>338.16872463277008</v>
      </c>
      <c r="GP569" s="5">
        <v>298.1047308538179</v>
      </c>
      <c r="GQ569" s="5">
        <v>527.27910984145694</v>
      </c>
      <c r="GR569" s="5">
        <v>404.20319246551543</v>
      </c>
      <c r="GS569" s="5">
        <v>334.50205195691484</v>
      </c>
      <c r="GT569" s="5">
        <v>289.18266033348181</v>
      </c>
      <c r="GU569" s="5">
        <v>254.29573314828914</v>
      </c>
      <c r="GV569" s="39" t="s">
        <v>392</v>
      </c>
      <c r="GW569" s="5">
        <v>468.76388888888891</v>
      </c>
      <c r="GX569" s="5">
        <v>351.57291666666669</v>
      </c>
      <c r="GY569" s="5">
        <v>281.25833333333333</v>
      </c>
      <c r="GZ569" s="5">
        <v>248.18079879493993</v>
      </c>
      <c r="HA569" s="5">
        <v>229.8919505212948</v>
      </c>
      <c r="HB569" s="39">
        <v>261.26069362395145</v>
      </c>
      <c r="HC569" s="5">
        <v>350.62584881396981</v>
      </c>
      <c r="HD569" s="5">
        <v>282.40400980034525</v>
      </c>
      <c r="HE569" s="5">
        <v>280.24748699662979</v>
      </c>
      <c r="HF569" s="5">
        <v>253.38714978663216</v>
      </c>
      <c r="HG569" s="5">
        <v>237.15084178617022</v>
      </c>
      <c r="HH569" s="39">
        <v>280.91602613631329</v>
      </c>
      <c r="HI569" s="16"/>
      <c r="HJ569" s="19" t="str">
        <f t="shared" ref="HJ569:HK569" si="1868">HJ568</f>
        <v>On</v>
      </c>
      <c r="HK569" s="1" t="str">
        <f t="shared" si="1868"/>
        <v>On</v>
      </c>
      <c r="HL569" s="16"/>
      <c r="HM569" s="639">
        <f t="shared" si="1833"/>
        <v>5.1181272167489952E-2</v>
      </c>
      <c r="HN569" s="639">
        <f t="shared" si="1834"/>
        <v>4.2792051795134348E-3</v>
      </c>
      <c r="HO569" s="639">
        <f t="shared" si="1835"/>
        <v>7.4145241462331068E-3</v>
      </c>
      <c r="HP569" s="644">
        <f>(FT569*$GD569-HM569)/$JF569*INDEX(Input!$1:$1048576,$JG$93,$C569*2+6)</f>
        <v>81.984712838992067</v>
      </c>
      <c r="HQ569" s="644">
        <f>(FU569*$GD569-HN569)/$JF569*INDEX(Input!$1:$1048576,$JG$93,$C569*2+6)</f>
        <v>-0.77289487629410081</v>
      </c>
      <c r="HR569" s="644">
        <f>(FV569*$GD569-HO569)/$JF569*INDEX(Input!$1:$1048576,$JG$93,$C569*2+6)</f>
        <v>-2.0582558308335597</v>
      </c>
      <c r="HS569" s="644">
        <f t="shared" si="1857"/>
        <v>-16.762602667559566</v>
      </c>
      <c r="HT569" s="644">
        <f t="shared" si="1858"/>
        <v>19.860939584602367</v>
      </c>
      <c r="HU569" s="644">
        <f t="shared" si="1837"/>
        <v>11.154092478788565</v>
      </c>
      <c r="HV569" s="648">
        <f t="shared" si="1838"/>
        <v>0</v>
      </c>
      <c r="HW569" s="648">
        <f t="shared" si="1839"/>
        <v>0</v>
      </c>
      <c r="HX569" s="648">
        <f t="shared" si="1840"/>
        <v>0</v>
      </c>
      <c r="HY569" s="644">
        <f>INDEX(Input!$1:$1048576,HY$93,$C569*2+6)*INDEX(Input!$1:$1048576,$JG$93,$C569*2+6)</f>
        <v>345</v>
      </c>
      <c r="HZ569" s="644">
        <f>INDEX(Input!$1:$1048576,HZ$93,$C569*2+6)*INDEX(Input!$1:$1048576,$JG$93,$C569*2+6)</f>
        <v>299</v>
      </c>
      <c r="IA569" s="644">
        <f>INDEX(Input!$1:$1048576,IA$93,$C569*2+6)*INDEX(Input!$1:$1048576,$JG$93,$C569*2+6)</f>
        <v>98</v>
      </c>
      <c r="IB569" s="644">
        <f t="shared" si="1780"/>
        <v>410.22211017143252</v>
      </c>
      <c r="IC569" s="644">
        <f t="shared" si="1781"/>
        <v>318.08804470830825</v>
      </c>
      <c r="ID569" s="644">
        <f>IF(AND(INDEX(Input!$1:$1048576,IA$93,$C569*2+7)="TOS",Y569&lt;=INDEX(Y:Y,MATCH(C569*1000+2,A:A))),0,1)*MAX(IA569+HR569+HU569+HX569,0%)</f>
        <v>107.09583664795501</v>
      </c>
      <c r="IE569" s="128">
        <f t="shared" si="1859"/>
        <v>0.49104520955286041</v>
      </c>
      <c r="IF569" s="128">
        <f t="shared" si="1860"/>
        <v>0.38075863464496451</v>
      </c>
      <c r="IG569" s="128">
        <f t="shared" si="1784"/>
        <v>0.12819615580217503</v>
      </c>
      <c r="IH569" s="21"/>
      <c r="II569" s="19">
        <f t="shared" si="1841"/>
        <v>1200</v>
      </c>
      <c r="IJ569" s="19">
        <f t="shared" si="1842"/>
        <v>2231.5440334087361</v>
      </c>
      <c r="IK569" s="19">
        <f t="shared" si="1843"/>
        <v>-2048.0908300335955</v>
      </c>
      <c r="IL569" s="19">
        <f t="shared" si="1785"/>
        <v>900</v>
      </c>
      <c r="IM569" s="19">
        <f t="shared" si="1786"/>
        <v>400.10715588169751</v>
      </c>
      <c r="IN569" s="19">
        <f t="shared" si="1787"/>
        <v>505</v>
      </c>
      <c r="IO569" s="39">
        <f t="shared" si="1844"/>
        <v>0</v>
      </c>
      <c r="IP569" s="39">
        <f t="shared" si="1845"/>
        <v>0</v>
      </c>
      <c r="IQ569" s="39">
        <f t="shared" si="1846"/>
        <v>0</v>
      </c>
      <c r="IR569" s="39">
        <v>0</v>
      </c>
      <c r="IS569" s="39">
        <v>0</v>
      </c>
      <c r="IT569" s="39">
        <v>0</v>
      </c>
      <c r="IU569" s="39">
        <v>0</v>
      </c>
      <c r="IV569" s="39">
        <v>0</v>
      </c>
      <c r="IW569" s="39">
        <v>0</v>
      </c>
      <c r="IX569" s="39">
        <f>INDEX(Input!$1:$1048576,IX$93,$C569*2+6)+INDEX(Input!$1:$1048576,IX$94,$C569*2+6)</f>
        <v>1600</v>
      </c>
      <c r="IY569" s="39">
        <f>INDEX(Input!$1:$1048576,IY$93,$C569*2+6)+INDEX(Input!$1:$1048576,IY$94,$C569*2+6)</f>
        <v>2503.5492916397525</v>
      </c>
      <c r="IZ569" s="39">
        <f>INDEX(Input!$1:$1048576,IZ$93,$C569*2+6)+INDEX(Input!$1:$1048576,IZ$94,$C569*2+6)</f>
        <v>5413.7109265464023</v>
      </c>
      <c r="JA569" s="19">
        <f t="shared" si="1788"/>
        <v>2500</v>
      </c>
      <c r="JB569" s="19">
        <f t="shared" si="1789"/>
        <v>2903.65644752145</v>
      </c>
      <c r="JC569" s="19">
        <f t="shared" si="1790"/>
        <v>5918.7109265464023</v>
      </c>
      <c r="JD569" s="19">
        <f t="shared" si="1791"/>
        <v>3091.9612764060448</v>
      </c>
      <c r="JE569" s="21"/>
      <c r="JF569" s="1">
        <f t="shared" si="1847"/>
        <v>6.2875001493236493E-2</v>
      </c>
      <c r="JG569" s="15">
        <f>INDEX(Input!$1:$1048576,JG$93,$C569*2+6)/(1+VLOOKUP(C569*1000+INDEX(Input!$1:$1048576,JG$93+1,$C569*2+6),$A:$KK,$JK$92,FALSE))</f>
        <v>742</v>
      </c>
      <c r="JH569" s="1">
        <f t="shared" si="1792"/>
        <v>0.10667595974644799</v>
      </c>
      <c r="JI569" s="1">
        <f t="shared" si="1793"/>
        <v>1.9208125870392674E-2</v>
      </c>
      <c r="JJ569" s="1">
        <f t="shared" si="1861"/>
        <v>0</v>
      </c>
      <c r="JK569" s="1">
        <f t="shared" si="1862"/>
        <v>0.12588408561684067</v>
      </c>
      <c r="JL569" s="15">
        <f t="shared" si="1796"/>
        <v>93.405991527695775</v>
      </c>
      <c r="JM569" s="15">
        <f t="shared" si="1797"/>
        <v>835.40599152769573</v>
      </c>
      <c r="JN569" s="21"/>
      <c r="JO569" s="19">
        <f>INDEX(Input!$1:$1048576,JO$93,$C569*2+6)</f>
        <v>5908.5</v>
      </c>
      <c r="JP569" s="19">
        <f>INDEX(Input!$1:$1048576,JP$93,$C569*2+6)</f>
        <v>2467.7963733178344</v>
      </c>
      <c r="JQ569" s="39">
        <f t="shared" si="1798"/>
        <v>2816.5387235939552</v>
      </c>
      <c r="JR569" s="39">
        <f t="shared" si="1799"/>
        <v>624.16490308821039</v>
      </c>
      <c r="JS569" s="39">
        <f t="shared" si="1800"/>
        <v>2.5830429758812317</v>
      </c>
      <c r="JT569" s="39">
        <f t="shared" si="1801"/>
        <v>0.75193806687939846</v>
      </c>
      <c r="JU569" s="385">
        <f>(JQ569*JM569-INDEX(Input!$1:$1048576,Input!A$18,$C569*2+6)*JL569*INDEX(Input!$1:$1048576,Input!A$19,$C569*2+6))/1000000</f>
        <v>2.3529533250601586</v>
      </c>
      <c r="JV569" s="39">
        <f t="shared" si="1802"/>
        <v>-0.20004876593800791</v>
      </c>
      <c r="JW569" s="1">
        <f t="shared" si="1803"/>
        <v>-7.8358246020783062E-2</v>
      </c>
      <c r="JX569" s="19">
        <f t="shared" si="1804"/>
        <v>8050.2123534167677</v>
      </c>
      <c r="JZ569" s="341"/>
      <c r="KA569" s="342"/>
      <c r="KB569" s="469">
        <f t="shared" si="1805"/>
        <v>2.4623520912331753</v>
      </c>
      <c r="KI569" s="473">
        <f t="shared" si="1863"/>
        <v>65.222110171432462</v>
      </c>
      <c r="KJ569" s="473">
        <f t="shared" si="1864"/>
        <v>19.088044708308189</v>
      </c>
      <c r="KK569" s="473">
        <f t="shared" si="1808"/>
        <v>9.0958366479549966</v>
      </c>
      <c r="KN569" s="544">
        <f t="shared" si="1809"/>
        <v>5002</v>
      </c>
      <c r="KO569" s="541">
        <f t="shared" si="1848"/>
        <v>4.6153146783407983E-2</v>
      </c>
      <c r="KP569" s="546">
        <f t="shared" si="1849"/>
        <v>268.62530892761686</v>
      </c>
      <c r="KQ569" s="546">
        <f t="shared" si="1850"/>
        <v>233.1888302543357</v>
      </c>
      <c r="KR569" s="548">
        <f t="shared" si="1851"/>
        <v>2.8926718955621515</v>
      </c>
      <c r="KS569" s="548">
        <f t="shared" si="1852"/>
        <v>3.332256012108755</v>
      </c>
      <c r="KT569" s="473">
        <f t="shared" si="1810"/>
        <v>389.37465324503302</v>
      </c>
      <c r="KU569" s="663">
        <f t="shared" si="1854"/>
        <v>7.2966538165582744</v>
      </c>
    </row>
    <row r="570" spans="1:308" s="26" customFormat="1" ht="15" outlineLevel="1">
      <c r="A570" s="561">
        <f t="shared" si="1770"/>
        <v>5070</v>
      </c>
      <c r="B570" s="561">
        <f t="shared" si="1865"/>
        <v>70</v>
      </c>
      <c r="C570" s="561">
        <f t="shared" si="1866"/>
        <v>5</v>
      </c>
      <c r="D570" s="561" t="str">
        <f t="shared" si="1812"/>
        <v xml:space="preserve">1000 CC, 180 Lease, </v>
      </c>
      <c r="E570" s="475">
        <f>INDEX(Input!$1:$1048576,E$93,$C570*2+MIN($B570,2)+5)
+INDEX(Scenarios!E$121:E$200,MATCH($B570,Scenarios!$B$121:$B$200,0))</f>
        <v>2250</v>
      </c>
      <c r="F570" s="475">
        <f>INDEX(Input!$1:$1048576,F$93,$C570*2+MIN($B570,2)+5)
+INDEX(Scenarios!F$121:F$200,MATCH($B570,Scenarios!$B$121:$B$200,0))</f>
        <v>0</v>
      </c>
      <c r="G570" s="475">
        <f>INDEX(Input!$1:$1048576,G$93,$C570*2+MIN($B570,2)+5)
+INDEX(Scenarios!G$121:G$200,MATCH($B570,Scenarios!$B$121:$B$200,0))</f>
        <v>0</v>
      </c>
      <c r="H570" s="475">
        <f>INDEX(Input!$1:$1048576,H$93,$C570*2+MIN($B570,2)+5)
+INDEX(Scenarios!H$121:H$200,MATCH($B570,Scenarios!$B$121:$B$200,0))</f>
        <v>0</v>
      </c>
      <c r="I570" s="476">
        <f>INDEX(Input!$1:$1048576,I$93,$C570*2+MIN($B570,2)+5)</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+INDEX(Scenarios!Q$121:Q$200,MATCH($B570,Scenarios!$B$121:$B$200,0))</f>
        <v>0</v>
      </c>
      <c r="R570" s="478">
        <f>IFERROR(MAX(0,INDEX(Input!$1:$1048576,R$93,$C570*2+MIN($B570,2)+5)
+INDEX(Scenarios!R$121:R$200,MATCH($B570,Scenarios!$B$121:$B$200,0)),),"Market")</f>
        <v>0</v>
      </c>
      <c r="S570" s="478">
        <f>IFERROR(MAX(0,INDEX(Input!$1:$1048576,S$93,$C570*2+MIN($B570,2)+5)
+INDEX(Scenarios!S$121:S$200,MATCH($B570,Scenarios!$B$121:$B$200,0)),),"Market")</f>
        <v>0</v>
      </c>
      <c r="T570" s="478">
        <f>IFERROR(MAX(0,INDEX(Input!$1:$1048576,T$93,$C570*2+MIN($B570,2)+5)
+INDEX(Scenarios!T$121:T$200,MATCH($B570,Scenarios!$B$121:$B$200,0)),),"Market")</f>
        <v>0</v>
      </c>
      <c r="U570" s="478">
        <f>IFERROR(MAX(0,INDEX(Input!$1:$1048576,U$93,$C570*2+MIN($B570,2)+5)
+INDEX(Scenarios!U$121:U$200,MATCH($B570,Scenarios!$B$121:$B$200,0)),),"Market")</f>
        <v>0</v>
      </c>
      <c r="V570" s="478">
        <f>IFERROR(MAX(0,INDEX(Input!$1:$1048576,V$93,$C570*2+MIN($B570,2)+5)
+INDEX(Scenarios!V$121:V$200,MATCH($B570,Scenarios!$B$121:$B$200,0)),),"Market")</f>
        <v>1.9E-2</v>
      </c>
      <c r="W570" s="863">
        <f>IFERROR(MAX(0,INDEX(Input!$1:$1048576,W$93,$C570*2+MIN($B570,2)+5)-0%,),"Market")</f>
        <v>3.9E-2</v>
      </c>
      <c r="X570" s="476" t="str">
        <f>INDEX(Input!$1:$1048576,X$93,$C570*2+MIN($B570,2)+5)</f>
        <v>Y</v>
      </c>
      <c r="Y570" s="475">
        <f>INDEX(Input!$1:$1048576,Y$93,$C570*2+MIN($B570,2)+5)
++INDEX(Scenarios!Y$121:Y$200,MATCH($B570,Scenarios!$B$121:$B$200,0))</f>
        <v>-918.3618966787526</v>
      </c>
      <c r="Z570" s="477">
        <f>INDEX(Input!$1:$1048576,Z$93,$C570*2+MIN($B570,2)+5)
+INDEX(Scenarios!Z$121:Z$200,MATCH($B570,Scenarios!$B$121:$B$200,0))</f>
        <v>0</v>
      </c>
      <c r="AA570" s="475">
        <f>INDEX(Input!$1:$1048576,AA$93,$C570*2+MIN($B570,2)+5)</f>
        <v>500</v>
      </c>
      <c r="AB570" s="476">
        <f>INDEX(Input!$1:$1048576,AB$93,$C570*2+MIN($B570,2)+5)</f>
        <v>0.43</v>
      </c>
      <c r="AC570" s="475">
        <f>INDEX(Input!$1:$1048576,AC$93,$C570*2+MIN($B570,2)+5)
+INDEX(Scenarios!AC$121:AC$200,MATCH($B570,Scenarios!$B$121:$B$200,0))</f>
        <v>0</v>
      </c>
      <c r="AD570" s="476">
        <f>INDEX(Input!$1:$1048576,AD$93,$C570*2+MIN($B570,2)+5)</f>
        <v>0.35</v>
      </c>
      <c r="AE570" s="475">
        <f>INDEX(Input!$1:$1048576,AE$93,$C570*2+MIN($B570,2)+5)
+INDEX(Scenarios!AE$121:AE$200,MATCH($B570,Scenarios!$B$121:$B$200,0))</f>
        <v>0</v>
      </c>
      <c r="AF570" s="476">
        <f>INDEX(Input!$1:$1048576,AF$93,$C570*2+MIN($B570,2)+5)</f>
        <v>1</v>
      </c>
      <c r="AG570" s="475">
        <f>INDEX(Input!$1:$1048576,AG$93,$C570*2+MIN($B570,2)+5)
+INDEX(Scenarios!AG$121:AG$200,MATCH($B570,Scenarios!$B$121:$B$200,0))</f>
        <v>0</v>
      </c>
      <c r="AH570" s="476">
        <f>INDEX(Input!$1:$1048576,AH$93,$C570*2+MIN($B570,2)+5)</f>
        <v>1</v>
      </c>
      <c r="AI570" s="475">
        <f>INDEX(Input!$1:$1048576,AI$93,$C570*2+MIN($B570,2)+5)
+INDEX(Scenarios!AI$121:AI$200,MATCH($B570,Scenarios!$B$121:$B$200,0))</f>
        <v>0</v>
      </c>
      <c r="AJ570" s="476">
        <f>INDEX(Input!$1:$1048576,AJ$93,$C570*2+MIN($B570,2)+5)</f>
        <v>0.35</v>
      </c>
      <c r="AK570" s="150">
        <f>ROUND(INDEX(Input!$1:$1048576,AK$93,$C569*2+MIN($B570,1)+5)+(Y570-VLOOKUP($C570*1000+1,$A:$HH,Y$92,FALSE)),0)</f>
        <v>4772</v>
      </c>
      <c r="AL570" s="150">
        <f>ROUND(INDEX(Input!$1:$1048576,AL$93,$C569*2+MIN($B570,1)+5)-(Y570-VLOOKUP($C570*1000+1,$A:$HH,Y$92,FALSE))/36,0)</f>
        <v>4738</v>
      </c>
      <c r="AM570" s="32" t="str">
        <f t="shared" si="1773"/>
        <v>std/std/std/std</v>
      </c>
      <c r="AN570" s="32" t="str">
        <f t="shared" si="1774"/>
        <v>$0 + 0/0/0/1.9/3.9</v>
      </c>
      <c r="AO570" s="32" t="str">
        <f t="shared" si="1775"/>
        <v>0/0/0/1.9/3.9</v>
      </c>
      <c r="AP570" s="32" t="str">
        <f t="shared" si="1755"/>
        <v>0/0.9/1.9/3.9</v>
      </c>
      <c r="AQ570" s="536">
        <f t="shared" si="1754"/>
        <v>0.52188173505529012</v>
      </c>
      <c r="AR570" s="32"/>
      <c r="AS570" s="302"/>
      <c r="AT570" s="3">
        <f t="shared" si="1867"/>
        <v>70</v>
      </c>
      <c r="AU570" s="41" t="s">
        <v>121</v>
      </c>
      <c r="AV570" s="41" t="s">
        <v>116</v>
      </c>
      <c r="AW570" s="41" t="str">
        <f>INDEX(Input!$1:$1048576,AW$93,$C570*2+6)</f>
        <v>Kia</v>
      </c>
      <c r="AX570" s="41" t="str">
        <f>INDEX(Input!$1:$1048576,AX$93,$C570*2+6)</f>
        <v>Kia-LR - R2</v>
      </c>
      <c r="AY570" s="41" t="str">
        <f>IF(LEN(D570)=0,"",INDEX(Input!$1:$1048576,AY$93,$C570*2+6))</f>
        <v>Compact Conventional/Sporty Car (43)</v>
      </c>
      <c r="AZ570" s="41" t="str">
        <f>INDEX(Input!$1:$1048576,AZ$93,$C570*2+6)</f>
        <v>Kia Forte</v>
      </c>
      <c r="BA570" s="3">
        <f>INDEX(Input!$1:$1048576,BA$93,$C570*2+6)</f>
        <v>2020</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19695</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756"/>
        <v>2250</v>
      </c>
      <c r="CJ570" s="16" t="str">
        <f>INDEX(Input!$1:$1048576,CJ$93,$C570*2+6)</f>
        <v>N</v>
      </c>
      <c r="CK570" s="1" t="str">
        <f t="shared" si="1757"/>
        <v>Market</v>
      </c>
      <c r="CL570" s="1" t="str">
        <f t="shared" si="1758"/>
        <v>Market</v>
      </c>
      <c r="CM570" s="1" t="str">
        <f t="shared" si="1759"/>
        <v>Market</v>
      </c>
      <c r="CN570" s="1" t="str">
        <f t="shared" si="1760"/>
        <v>Market</v>
      </c>
      <c r="CO570" s="1" t="str">
        <f t="shared" si="1761"/>
        <v>Market</v>
      </c>
      <c r="CP570" s="304">
        <f t="shared" si="1762"/>
        <v>215</v>
      </c>
      <c r="CQ570" s="1">
        <f t="shared" si="1763"/>
        <v>0</v>
      </c>
      <c r="CR570" s="1">
        <f t="shared" si="1764"/>
        <v>0</v>
      </c>
      <c r="CS570" s="1">
        <f t="shared" si="1765"/>
        <v>0</v>
      </c>
      <c r="CT570" s="1">
        <f t="shared" si="1766"/>
        <v>1.9E-2</v>
      </c>
      <c r="CU570" s="1">
        <f t="shared" si="1767"/>
        <v>3.9E-2</v>
      </c>
      <c r="CV570" s="304">
        <f t="shared" si="1768"/>
        <v>-918.3618966787526</v>
      </c>
      <c r="CW570" s="20" t="s">
        <v>122</v>
      </c>
      <c r="CX570" s="20" t="s">
        <v>122</v>
      </c>
      <c r="CY570" s="20" t="s">
        <v>122</v>
      </c>
      <c r="CZ570" s="20" t="s">
        <v>122</v>
      </c>
      <c r="DA570" s="20" t="s">
        <v>122</v>
      </c>
      <c r="DB570" s="503">
        <f t="shared" si="1769"/>
        <v>0</v>
      </c>
      <c r="DC570" s="127">
        <v>0</v>
      </c>
      <c r="DD570" s="127">
        <v>0</v>
      </c>
      <c r="DE570" s="127">
        <v>0</v>
      </c>
      <c r="DF570" s="127">
        <v>0</v>
      </c>
      <c r="DG570" s="127">
        <v>0</v>
      </c>
      <c r="DH570" s="127">
        <v>0</v>
      </c>
      <c r="DI570" s="127">
        <v>0</v>
      </c>
      <c r="DJ570" s="127">
        <v>0</v>
      </c>
      <c r="DK570" s="127">
        <v>0</v>
      </c>
      <c r="DL570" s="127">
        <v>0</v>
      </c>
      <c r="DM570" s="304">
        <f>INDEX(Input!$1:$1048576,DM$93,$C570*2+6)</f>
        <v>20731.578947368424</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4.6288060793124038E-2</v>
      </c>
      <c r="DZ570" s="7">
        <v>0</v>
      </c>
      <c r="EA570" s="7">
        <v>0.80791508842254145</v>
      </c>
      <c r="EB570" s="7">
        <v>0</v>
      </c>
      <c r="EC570" s="7">
        <v>0</v>
      </c>
      <c r="ED570" s="7">
        <v>0</v>
      </c>
      <c r="EE570" s="7">
        <v>0</v>
      </c>
      <c r="EF570" s="7">
        <v>0</v>
      </c>
      <c r="EG570" s="7">
        <v>0</v>
      </c>
      <c r="EH570" s="7">
        <v>1.4460025444329777E-2</v>
      </c>
      <c r="EI570" s="7">
        <v>1.8189318545933923E-2</v>
      </c>
      <c r="EJ570" s="7">
        <v>0.26804927395143058</v>
      </c>
      <c r="EK570" s="7">
        <v>0.65294711828462237</v>
      </c>
      <c r="EL570" s="7">
        <v>4.6354263773683395E-2</v>
      </c>
      <c r="EM570" s="7">
        <v>5.3629526524652783E-2</v>
      </c>
      <c r="EN570" s="7">
        <v>4.7612049342450662E-2</v>
      </c>
      <c r="EO570" s="7">
        <v>0.58217552464401767</v>
      </c>
      <c r="EP570" s="7">
        <v>0.25175854916014234</v>
      </c>
      <c r="EQ570" s="7">
        <v>7.1853221426914124E-2</v>
      </c>
      <c r="ER570" s="7">
        <v>4.6600655426474659E-2</v>
      </c>
      <c r="ES570" s="7">
        <v>9.2167324259681771E-2</v>
      </c>
      <c r="ET570" s="7">
        <v>0.14579685078433449</v>
      </c>
      <c r="EU570" s="6">
        <v>2600</v>
      </c>
      <c r="EV570" s="6">
        <v>0</v>
      </c>
      <c r="EW570" s="6">
        <v>2600</v>
      </c>
      <c r="EX570" s="6">
        <v>0</v>
      </c>
      <c r="EY570" s="6">
        <v>2631.7266520635344</v>
      </c>
      <c r="EZ570" s="6">
        <v>-1543.0908300335955</v>
      </c>
      <c r="FA570" s="6">
        <v>0</v>
      </c>
      <c r="FB570" s="6">
        <v>0</v>
      </c>
      <c r="FC570" s="6">
        <v>0</v>
      </c>
      <c r="FD570" s="6">
        <v>0</v>
      </c>
      <c r="FE570" s="6">
        <v>0</v>
      </c>
      <c r="FF570" s="6">
        <v>0</v>
      </c>
      <c r="FG570" s="6">
        <v>0</v>
      </c>
      <c r="FH570" s="6">
        <v>1153.9936784345609</v>
      </c>
      <c r="FI570" s="6">
        <v>1531.4299904380628</v>
      </c>
      <c r="FJ570" s="6">
        <v>2070.7205842538215</v>
      </c>
      <c r="FK570" s="6">
        <v>1746.9903521590431</v>
      </c>
      <c r="FL570" s="6">
        <v>893.91433563489363</v>
      </c>
      <c r="FM570" s="6">
        <v>1781.7266520635344</v>
      </c>
      <c r="FN570" s="6">
        <v>0</v>
      </c>
      <c r="FO570" s="6">
        <v>0</v>
      </c>
      <c r="FP570" s="6">
        <v>0</v>
      </c>
      <c r="FQ570" s="6">
        <v>0</v>
      </c>
      <c r="FR570" s="6">
        <v>0</v>
      </c>
      <c r="FS570" s="6">
        <v>0</v>
      </c>
      <c r="FT570" s="7">
        <v>0.85420314921566554</v>
      </c>
      <c r="FU570" s="7">
        <v>5.3629526524652783E-2</v>
      </c>
      <c r="FV570" s="7">
        <v>9.2167324259681771E-2</v>
      </c>
      <c r="FW570" s="6">
        <v>2600.0000000000005</v>
      </c>
      <c r="FX570" s="6">
        <v>2631.7266520635339</v>
      </c>
      <c r="FY570" s="6">
        <v>-1543.0908300335955</v>
      </c>
      <c r="FZ570" s="6">
        <v>2411.9063952864503</v>
      </c>
      <c r="GA570" s="6">
        <v>2219.8438893593598</v>
      </c>
      <c r="GB570" s="6">
        <v>17475.156110640641</v>
      </c>
      <c r="GC570" s="7">
        <v>7.6138913542514425E-2</v>
      </c>
      <c r="GD570" s="7">
        <v>7.3342329626854483E-2</v>
      </c>
      <c r="GE570" s="7"/>
      <c r="GF570" s="7"/>
      <c r="GG570" s="7">
        <v>-3.6730021293229859E-2</v>
      </c>
      <c r="GH570" s="42">
        <v>3.7664705345705176</v>
      </c>
      <c r="GI570" s="6">
        <v>7448.8772295194922</v>
      </c>
      <c r="GJ570" s="14">
        <v>0.51074630601039528</v>
      </c>
      <c r="GK570" s="14">
        <v>0.50829519786160959</v>
      </c>
      <c r="GL570" s="14">
        <v>0.48925369398960428</v>
      </c>
      <c r="GM570" s="14">
        <v>0.49170480213839013</v>
      </c>
      <c r="GO570" s="5">
        <v>338.16872463277008</v>
      </c>
      <c r="GP570" s="5">
        <v>288.56568471597211</v>
      </c>
      <c r="GQ570" s="5">
        <v>527.27910984145694</v>
      </c>
      <c r="GR570" s="5">
        <v>404.20319246551543</v>
      </c>
      <c r="GS570" s="5">
        <v>334.50205195691484</v>
      </c>
      <c r="GT570" s="5">
        <v>289.18266033348181</v>
      </c>
      <c r="GU570" s="5">
        <v>254.29573314828914</v>
      </c>
      <c r="GV570" s="39" t="s">
        <v>392</v>
      </c>
      <c r="GW570" s="5">
        <v>468.76388888888891</v>
      </c>
      <c r="GX570" s="5">
        <v>351.57291666666669</v>
      </c>
      <c r="GY570" s="5">
        <v>281.25833333333333</v>
      </c>
      <c r="GZ570" s="5">
        <v>248.18079879493993</v>
      </c>
      <c r="HA570" s="5">
        <v>229.8919505212948</v>
      </c>
      <c r="HB570" s="39">
        <v>261.26971107752126</v>
      </c>
      <c r="HC570" s="5">
        <v>350.62584881396981</v>
      </c>
      <c r="HD570" s="5">
        <v>282.40400980034525</v>
      </c>
      <c r="HE570" s="5">
        <v>280.24748699662979</v>
      </c>
      <c r="HF570" s="5">
        <v>253.38714978663216</v>
      </c>
      <c r="HG570" s="5">
        <v>237.15084178617022</v>
      </c>
      <c r="HH570" s="39">
        <v>280.9154861561363</v>
      </c>
      <c r="HI570" s="16"/>
      <c r="HJ570" s="19" t="str">
        <f t="shared" ref="HJ570:HK570" si="1869">HJ569</f>
        <v>On</v>
      </c>
      <c r="HK570" s="1" t="str">
        <f t="shared" si="1869"/>
        <v>On</v>
      </c>
      <c r="HL570" s="16"/>
      <c r="HM570" s="639">
        <f t="shared" si="1833"/>
        <v>5.1181272167489952E-2</v>
      </c>
      <c r="HN570" s="639">
        <f t="shared" si="1834"/>
        <v>4.2792051795134348E-3</v>
      </c>
      <c r="HO570" s="639">
        <f t="shared" si="1835"/>
        <v>7.4145241462331068E-3</v>
      </c>
      <c r="HP570" s="644">
        <f>(FT570*$GD570-HM570)/$JF570*INDEX(Input!$1:$1048576,$JG$93,$C570*2+6)</f>
        <v>135.33580217389903</v>
      </c>
      <c r="HQ570" s="644">
        <f>(FU570*$GD570-HN570)/$JF570*INDEX(Input!$1:$1048576,$JG$93,$C570*2+6)</f>
        <v>-4.0819235518584858</v>
      </c>
      <c r="HR570" s="644">
        <f>(FV570*$GD570-HO570)/$JF570*INDEX(Input!$1:$1048576,$JG$93,$C570*2+6)</f>
        <v>-7.7269237005359761</v>
      </c>
      <c r="HS570" s="644">
        <f t="shared" si="1857"/>
        <v>-26.028606398408808</v>
      </c>
      <c r="HT570" s="644">
        <f t="shared" si="1858"/>
        <v>18.740986822459874</v>
      </c>
      <c r="HU570" s="644">
        <f t="shared" si="1837"/>
        <v>12.278188566943738</v>
      </c>
      <c r="HV570" s="648">
        <f t="shared" si="1838"/>
        <v>0</v>
      </c>
      <c r="HW570" s="648">
        <f t="shared" si="1839"/>
        <v>0</v>
      </c>
      <c r="HX570" s="648">
        <f t="shared" si="1840"/>
        <v>0</v>
      </c>
      <c r="HY570" s="644">
        <f>INDEX(Input!$1:$1048576,HY$93,$C570*2+6)*INDEX(Input!$1:$1048576,$JG$93,$C570*2+6)</f>
        <v>345</v>
      </c>
      <c r="HZ570" s="644">
        <f>INDEX(Input!$1:$1048576,HZ$93,$C570*2+6)*INDEX(Input!$1:$1048576,$JG$93,$C570*2+6)</f>
        <v>299</v>
      </c>
      <c r="IA570" s="644">
        <f>INDEX(Input!$1:$1048576,IA$93,$C570*2+6)*INDEX(Input!$1:$1048576,$JG$93,$C570*2+6)</f>
        <v>98</v>
      </c>
      <c r="IB570" s="644">
        <f t="shared" si="1780"/>
        <v>454.30719577549007</v>
      </c>
      <c r="IC570" s="644">
        <f t="shared" si="1781"/>
        <v>313.65906327060139</v>
      </c>
      <c r="ID570" s="644">
        <f>IF(AND(INDEX(Input!$1:$1048576,IA$93,$C570*2+7)="TOS",Y570&lt;=INDEX(Y:Y,MATCH(C570*1000+2,A:A))),0,1)*MAX(IA570+HR570+HU570+HX570,0%)</f>
        <v>102.55126486640776</v>
      </c>
      <c r="IE570" s="128">
        <f t="shared" si="1859"/>
        <v>0.52188173505529012</v>
      </c>
      <c r="IF570" s="128">
        <f t="shared" si="1860"/>
        <v>0.36031332472306338</v>
      </c>
      <c r="IG570" s="128">
        <f t="shared" si="1784"/>
        <v>0.11780494022164657</v>
      </c>
      <c r="IH570" s="21"/>
      <c r="II570" s="19">
        <f t="shared" si="1841"/>
        <v>1200</v>
      </c>
      <c r="IJ570" s="19">
        <f t="shared" si="1842"/>
        <v>2231.5440334087361</v>
      </c>
      <c r="IK570" s="19">
        <f t="shared" si="1843"/>
        <v>-2048.0908300335955</v>
      </c>
      <c r="IL570" s="19">
        <f t="shared" si="1785"/>
        <v>1400.0000000000005</v>
      </c>
      <c r="IM570" s="19">
        <f t="shared" si="1786"/>
        <v>400.18261865479781</v>
      </c>
      <c r="IN570" s="19">
        <f t="shared" si="1787"/>
        <v>505</v>
      </c>
      <c r="IO570" s="39">
        <f t="shared" si="1844"/>
        <v>0</v>
      </c>
      <c r="IP570" s="39">
        <f t="shared" si="1845"/>
        <v>0</v>
      </c>
      <c r="IQ570" s="39">
        <f t="shared" si="1846"/>
        <v>0</v>
      </c>
      <c r="IR570" s="39">
        <v>0</v>
      </c>
      <c r="IS570" s="39">
        <v>0</v>
      </c>
      <c r="IT570" s="39">
        <v>0</v>
      </c>
      <c r="IU570" s="39">
        <v>0</v>
      </c>
      <c r="IV570" s="39">
        <v>0</v>
      </c>
      <c r="IW570" s="39">
        <v>0</v>
      </c>
      <c r="IX570" s="39">
        <f>INDEX(Input!$1:$1048576,IX$93,$C570*2+6)+INDEX(Input!$1:$1048576,IX$94,$C570*2+6)</f>
        <v>1600</v>
      </c>
      <c r="IY570" s="39">
        <f>INDEX(Input!$1:$1048576,IY$93,$C570*2+6)+INDEX(Input!$1:$1048576,IY$94,$C570*2+6)</f>
        <v>2503.5492916397525</v>
      </c>
      <c r="IZ570" s="39">
        <f>INDEX(Input!$1:$1048576,IZ$93,$C570*2+6)+INDEX(Input!$1:$1048576,IZ$94,$C570*2+6)</f>
        <v>5413.7109265464023</v>
      </c>
      <c r="JA570" s="19">
        <f t="shared" si="1788"/>
        <v>3000.0000000000005</v>
      </c>
      <c r="JB570" s="19">
        <f t="shared" si="1789"/>
        <v>2903.7319102945503</v>
      </c>
      <c r="JC570" s="19">
        <f t="shared" si="1790"/>
        <v>5918.7109265464023</v>
      </c>
      <c r="JD570" s="19">
        <f t="shared" si="1791"/>
        <v>3309.1518907595573</v>
      </c>
      <c r="JE570" s="21"/>
      <c r="JF570" s="1">
        <f t="shared" si="1847"/>
        <v>6.2875001493236493E-2</v>
      </c>
      <c r="JG570" s="15">
        <f>INDEX(Input!$1:$1048576,JG$93,$C570*2+6)/(1+VLOOKUP(C570*1000+INDEX(Input!$1:$1048576,JG$93+1,$C570*2+6),$A:$KK,$JK$92,FALSE))</f>
        <v>742</v>
      </c>
      <c r="JH570" s="1">
        <f t="shared" si="1792"/>
        <v>0.16647837590499265</v>
      </c>
      <c r="JI570" s="1">
        <f t="shared" si="1793"/>
        <v>6.7258342196695473E-3</v>
      </c>
      <c r="JJ570" s="1">
        <f t="shared" si="1861"/>
        <v>0</v>
      </c>
      <c r="JK570" s="1">
        <f t="shared" si="1862"/>
        <v>0.17320421012466219</v>
      </c>
      <c r="JL570" s="15">
        <f t="shared" si="1796"/>
        <v>128.51752391249934</v>
      </c>
      <c r="JM570" s="15">
        <f t="shared" si="1797"/>
        <v>870.51752391249931</v>
      </c>
      <c r="JN570" s="21"/>
      <c r="JO570" s="19">
        <f>INDEX(Input!$1:$1048576,JO$93,$C570*2+6)</f>
        <v>5908.5</v>
      </c>
      <c r="JP570" s="19">
        <f>INDEX(Input!$1:$1048576,JP$93,$C570*2+6)</f>
        <v>2467.7963733178344</v>
      </c>
      <c r="JQ570" s="39">
        <f t="shared" si="1798"/>
        <v>2599.3481092404427</v>
      </c>
      <c r="JR570" s="39">
        <f t="shared" si="1799"/>
        <v>841.3555174417229</v>
      </c>
      <c r="JS570" s="39">
        <f t="shared" si="1800"/>
        <v>2.8806747101943753</v>
      </c>
      <c r="JT570" s="39">
        <f t="shared" si="1801"/>
        <v>1.0495698011925423</v>
      </c>
      <c r="JU570" s="385">
        <f>(JQ570*JM570-INDEX(Input!$1:$1048576,Input!A$18,$C570*2+6)*JL570*INDEX(Input!$1:$1048576,Input!A$19,$C570*2+6))/1000000</f>
        <v>2.2627780798426271</v>
      </c>
      <c r="JV570" s="39">
        <f t="shared" si="1802"/>
        <v>-0.29022401115553942</v>
      </c>
      <c r="JW570" s="1">
        <f t="shared" si="1803"/>
        <v>-0.1136795038981219</v>
      </c>
      <c r="JX570" s="19">
        <f t="shared" si="1804"/>
        <v>8166.7446527147367</v>
      </c>
      <c r="JZ570" s="341"/>
      <c r="KA570" s="342"/>
      <c r="KB570" s="469">
        <f t="shared" si="1805"/>
        <v>2.4623520912331753</v>
      </c>
      <c r="KI570" s="473">
        <f t="shared" si="1863"/>
        <v>109.30719577549013</v>
      </c>
      <c r="KJ570" s="473">
        <f t="shared" si="1864"/>
        <v>14.65906327060145</v>
      </c>
      <c r="KK570" s="473">
        <f t="shared" si="1808"/>
        <v>4.5512648664077773</v>
      </c>
      <c r="KN570" s="544">
        <f t="shared" si="1809"/>
        <v>5002</v>
      </c>
      <c r="KO570" s="541">
        <f t="shared" si="1848"/>
        <v>9.0122235424463071E-2</v>
      </c>
      <c r="KP570" s="546">
        <f t="shared" si="1849"/>
        <v>543.13973957651672</v>
      </c>
      <c r="KQ570" s="546">
        <f t="shared" si="1850"/>
        <v>450.3794446078482</v>
      </c>
      <c r="KR570" s="548">
        <f t="shared" si="1851"/>
        <v>2.7936060514570213</v>
      </c>
      <c r="KS570" s="548">
        <f t="shared" si="1852"/>
        <v>3.3689780504723044</v>
      </c>
      <c r="KT570" s="473">
        <f t="shared" si="1810"/>
        <v>389.37465324503302</v>
      </c>
      <c r="KU570" s="663">
        <f t="shared" si="1854"/>
        <v>7.3544431423103189</v>
      </c>
    </row>
    <row r="571" spans="1:308" s="26" customFormat="1" ht="15" outlineLevel="1">
      <c r="A571" s="561">
        <f t="shared" si="1770"/>
        <v>5071</v>
      </c>
      <c r="B571" s="561">
        <f t="shared" si="1865"/>
        <v>71</v>
      </c>
      <c r="C571" s="561">
        <f t="shared" si="1866"/>
        <v>5</v>
      </c>
      <c r="D571" s="561" t="str">
        <f t="shared" si="1812"/>
        <v xml:space="preserve">500 CC, 0/0/0.9/3.9, 180 Lease, </v>
      </c>
      <c r="E571" s="475">
        <f>INDEX(Input!$1:$1048576,E$93,$C571*2+MIN($B571,2)+5)
+INDEX(Scenarios!E$121:E$200,MATCH($B571,Scenarios!$B$121:$B$200,0))</f>
        <v>1750</v>
      </c>
      <c r="F571" s="475">
        <f>INDEX(Input!$1:$1048576,F$93,$C571*2+MIN($B571,2)+5)
+INDEX(Scenarios!F$121:F$200,MATCH($B571,Scenarios!$B$121:$B$200,0))</f>
        <v>0</v>
      </c>
      <c r="G571" s="475">
        <f>INDEX(Input!$1:$1048576,G$93,$C571*2+MIN($B571,2)+5)
+INDEX(Scenarios!G$121:G$200,MATCH($B571,Scenarios!$B$121:$B$200,0))</f>
        <v>0</v>
      </c>
      <c r="H571" s="475">
        <f>INDEX(Input!$1:$1048576,H$93,$C571*2+MIN($B571,2)+5)
+INDEX(Scenarios!H$121:H$200,MATCH($B571,Scenarios!$B$121:$B$200,0))</f>
        <v>0</v>
      </c>
      <c r="I571" s="476">
        <f>INDEX(Input!$1:$1048576,I$93,$C571*2+MIN($B571,2)+5)</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+INDEX(Scenarios!Q$121:Q$200,MATCH($B571,Scenarios!$B$121:$B$200,0))</f>
        <v>0</v>
      </c>
      <c r="R571" s="478">
        <f>IFERROR(MAX(0,INDEX(Input!$1:$1048576,R$93,$C571*2+MIN($B571,2)+5)
+INDEX(Scenarios!R$121:R$200,MATCH($B571,Scenarios!$B$121:$B$200,0)),),"Market")</f>
        <v>0</v>
      </c>
      <c r="S571" s="478">
        <f>IFERROR(MAX(0,INDEX(Input!$1:$1048576,S$93,$C571*2+MIN($B571,2)+5)
+INDEX(Scenarios!S$121:S$200,MATCH($B571,Scenarios!$B$121:$B$200,0)),),"Market")</f>
        <v>0</v>
      </c>
      <c r="T571" s="478">
        <f>IFERROR(MAX(0,INDEX(Input!$1:$1048576,T$93,$C571*2+MIN($B571,2)+5)
+INDEX(Scenarios!T$121:T$200,MATCH($B571,Scenarios!$B$121:$B$200,0)),),"Market")</f>
        <v>0</v>
      </c>
      <c r="U571" s="478">
        <f>IFERROR(MAX(0,INDEX(Input!$1:$1048576,U$93,$C571*2+MIN($B571,2)+5)
+INDEX(Scenarios!U$121:U$200,MATCH($B571,Scenarios!$B$121:$B$200,0)),),"Market")</f>
        <v>0</v>
      </c>
      <c r="V571" s="478">
        <f>IFERROR(MAX(0,INDEX(Input!$1:$1048576,V$93,$C571*2+MIN($B571,2)+5)
+INDEX(Scenarios!V$121:V$200,MATCH($B571,Scenarios!$B$121:$B$200,0)),),"Market")</f>
        <v>8.9999999999999993E-3</v>
      </c>
      <c r="W571" s="863">
        <f>IFERROR(MAX(0,INDEX(Input!$1:$1048576,W$93,$C571*2+MIN($B571,2)+5)-0%,),"Market")</f>
        <v>3.9E-2</v>
      </c>
      <c r="X571" s="476" t="str">
        <f>INDEX(Input!$1:$1048576,X$93,$C571*2+MIN($B571,2)+5)</f>
        <v>Y</v>
      </c>
      <c r="Y571" s="475">
        <f>INDEX(Input!$1:$1048576,Y$93,$C571*2+MIN($B571,2)+5)
++INDEX(Scenarios!Y$121:Y$200,MATCH($B571,Scenarios!$B$121:$B$200,0))</f>
        <v>-918.3618966787526</v>
      </c>
      <c r="Z571" s="477">
        <f>INDEX(Input!$1:$1048576,Z$93,$C571*2+MIN($B571,2)+5)
+INDEX(Scenarios!Z$121:Z$200,MATCH($B571,Scenarios!$B$121:$B$200,0))</f>
        <v>0</v>
      </c>
      <c r="AA571" s="475">
        <f>INDEX(Input!$1:$1048576,AA$93,$C571*2+MIN($B571,2)+5)</f>
        <v>500</v>
      </c>
      <c r="AB571" s="476">
        <f>INDEX(Input!$1:$1048576,AB$93,$C571*2+MIN($B571,2)+5)</f>
        <v>0.43</v>
      </c>
      <c r="AC571" s="475">
        <f>INDEX(Input!$1:$1048576,AC$93,$C571*2+MIN($B571,2)+5)
+INDEX(Scenarios!AC$121:AC$200,MATCH($B571,Scenarios!$B$121:$B$200,0))</f>
        <v>0</v>
      </c>
      <c r="AD571" s="476">
        <f>INDEX(Input!$1:$1048576,AD$93,$C571*2+MIN($B571,2)+5)</f>
        <v>0.35</v>
      </c>
      <c r="AE571" s="475">
        <f>INDEX(Input!$1:$1048576,AE$93,$C571*2+MIN($B571,2)+5)
+INDEX(Scenarios!AE$121:AE$200,MATCH($B571,Scenarios!$B$121:$B$200,0))</f>
        <v>0</v>
      </c>
      <c r="AF571" s="476">
        <f>INDEX(Input!$1:$1048576,AF$93,$C571*2+MIN($B571,2)+5)</f>
        <v>1</v>
      </c>
      <c r="AG571" s="475">
        <f>INDEX(Input!$1:$1048576,AG$93,$C571*2+MIN($B571,2)+5)
+INDEX(Scenarios!AG$121:AG$200,MATCH($B571,Scenarios!$B$121:$B$200,0))</f>
        <v>0</v>
      </c>
      <c r="AH571" s="476">
        <f>INDEX(Input!$1:$1048576,AH$93,$C571*2+MIN($B571,2)+5)</f>
        <v>1</v>
      </c>
      <c r="AI571" s="475">
        <f>INDEX(Input!$1:$1048576,AI$93,$C571*2+MIN($B571,2)+5)
+INDEX(Scenarios!AI$121:AI$200,MATCH($B571,Scenarios!$B$121:$B$200,0))</f>
        <v>0</v>
      </c>
      <c r="AJ571" s="476">
        <f>INDEX(Input!$1:$1048576,AJ$93,$C571*2+MIN($B571,2)+5)</f>
        <v>0.35</v>
      </c>
      <c r="AK571" s="150">
        <f>ROUND(INDEX(Input!$1:$1048576,AK$93,$C570*2+MIN($B571,1)+5)+(Y571-VLOOKUP($C571*1000+1,$A:$HH,Y$92,FALSE)),0)</f>
        <v>4772</v>
      </c>
      <c r="AL571" s="150">
        <f>ROUND(INDEX(Input!$1:$1048576,AL$93,$C570*2+MIN($B571,1)+5)-(Y571-VLOOKUP($C571*1000+1,$A:$HH,Y$92,FALSE))/36,0)</f>
        <v>4738</v>
      </c>
      <c r="AM571" s="32" t="str">
        <f t="shared" si="1773"/>
        <v>std/std/std/std</v>
      </c>
      <c r="AN571" s="32" t="str">
        <f t="shared" si="1774"/>
        <v>$0 + 0/0/0/0.9/3.9</v>
      </c>
      <c r="AO571" s="32" t="str">
        <f t="shared" si="1775"/>
        <v>0/0/0/0.9/3.9</v>
      </c>
      <c r="AP571" s="32" t="str">
        <f t="shared" si="1755"/>
        <v>0/0/0.9/3.9</v>
      </c>
      <c r="AQ571" s="536">
        <f t="shared" si="1754"/>
        <v>0.46525841403076262</v>
      </c>
      <c r="AR571" s="32"/>
      <c r="AS571" s="302"/>
      <c r="AT571" s="3">
        <f t="shared" si="1867"/>
        <v>71</v>
      </c>
      <c r="AU571" s="41" t="s">
        <v>121</v>
      </c>
      <c r="AV571" s="41" t="s">
        <v>116</v>
      </c>
      <c r="AW571" s="41" t="str">
        <f>INDEX(Input!$1:$1048576,AW$93,$C571*2+6)</f>
        <v>Kia</v>
      </c>
      <c r="AX571" s="41" t="str">
        <f>INDEX(Input!$1:$1048576,AX$93,$C571*2+6)</f>
        <v>Kia-LR - R2</v>
      </c>
      <c r="AY571" s="41" t="str">
        <f>IF(LEN(D571)=0,"",INDEX(Input!$1:$1048576,AY$93,$C571*2+6))</f>
        <v>Compact Conventional/Sporty Car (43)</v>
      </c>
      <c r="AZ571" s="41" t="str">
        <f>INDEX(Input!$1:$1048576,AZ$93,$C571*2+6)</f>
        <v>Kia Forte</v>
      </c>
      <c r="BA571" s="3">
        <f>INDEX(Input!$1:$1048576,BA$93,$C571*2+6)</f>
        <v>2020</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19695</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756"/>
        <v>1750</v>
      </c>
      <c r="CJ571" s="16" t="str">
        <f>INDEX(Input!$1:$1048576,CJ$93,$C571*2+6)</f>
        <v>N</v>
      </c>
      <c r="CK571" s="1" t="str">
        <f t="shared" si="1757"/>
        <v>Market</v>
      </c>
      <c r="CL571" s="1" t="str">
        <f t="shared" si="1758"/>
        <v>Market</v>
      </c>
      <c r="CM571" s="1" t="str">
        <f t="shared" si="1759"/>
        <v>Market</v>
      </c>
      <c r="CN571" s="1" t="str">
        <f t="shared" si="1760"/>
        <v>Market</v>
      </c>
      <c r="CO571" s="1" t="str">
        <f t="shared" si="1761"/>
        <v>Market</v>
      </c>
      <c r="CP571" s="304">
        <f t="shared" si="1762"/>
        <v>215</v>
      </c>
      <c r="CQ571" s="1">
        <f t="shared" si="1763"/>
        <v>0</v>
      </c>
      <c r="CR571" s="1">
        <f t="shared" si="1764"/>
        <v>0</v>
      </c>
      <c r="CS571" s="1">
        <f t="shared" si="1765"/>
        <v>0</v>
      </c>
      <c r="CT571" s="1">
        <f t="shared" si="1766"/>
        <v>8.9999999999999993E-3</v>
      </c>
      <c r="CU571" s="1">
        <f t="shared" si="1767"/>
        <v>3.9E-2</v>
      </c>
      <c r="CV571" s="304">
        <f t="shared" si="1768"/>
        <v>-918.3618966787526</v>
      </c>
      <c r="CW571" s="20" t="s">
        <v>122</v>
      </c>
      <c r="CX571" s="20" t="s">
        <v>122</v>
      </c>
      <c r="CY571" s="20" t="s">
        <v>122</v>
      </c>
      <c r="CZ571" s="20" t="s">
        <v>122</v>
      </c>
      <c r="DA571" s="20" t="s">
        <v>122</v>
      </c>
      <c r="DB571" s="503">
        <f t="shared" si="1769"/>
        <v>0</v>
      </c>
      <c r="DC571" s="127">
        <v>0</v>
      </c>
      <c r="DD571" s="127">
        <v>0</v>
      </c>
      <c r="DE571" s="127">
        <v>0</v>
      </c>
      <c r="DF571" s="127">
        <v>0</v>
      </c>
      <c r="DG571" s="127">
        <v>0</v>
      </c>
      <c r="DH571" s="127">
        <v>0</v>
      </c>
      <c r="DI571" s="127">
        <v>0</v>
      </c>
      <c r="DJ571" s="127">
        <v>0</v>
      </c>
      <c r="DK571" s="127">
        <v>0</v>
      </c>
      <c r="DL571" s="127">
        <v>0</v>
      </c>
      <c r="DM571" s="304">
        <f>INDEX(Input!$1:$1048576,DM$93,$C571*2+6)</f>
        <v>20731.578947368424</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4.3954895772637941E-2</v>
      </c>
      <c r="DZ571" s="7">
        <v>0</v>
      </c>
      <c r="EA571" s="7">
        <v>0.77240666047640727</v>
      </c>
      <c r="EB571" s="7">
        <v>0</v>
      </c>
      <c r="EC571" s="7">
        <v>0</v>
      </c>
      <c r="ED571" s="7">
        <v>0</v>
      </c>
      <c r="EE571" s="7">
        <v>0</v>
      </c>
      <c r="EF571" s="7">
        <v>0</v>
      </c>
      <c r="EG571" s="7">
        <v>0</v>
      </c>
      <c r="EH571" s="7">
        <v>1.0396693416795059E-2</v>
      </c>
      <c r="EI571" s="7">
        <v>1.3087964961647689E-2</v>
      </c>
      <c r="EJ571" s="7">
        <v>0.19264206045189711</v>
      </c>
      <c r="EK571" s="7">
        <v>0.75050793819652994</v>
      </c>
      <c r="EL571" s="7">
        <v>3.3365342973130492E-2</v>
      </c>
      <c r="EM571" s="7">
        <v>8.211589075478215E-2</v>
      </c>
      <c r="EN571" s="7">
        <v>4.7610749628960808E-2</v>
      </c>
      <c r="EO571" s="7">
        <v>0.58218136327323033</v>
      </c>
      <c r="EP571" s="7">
        <v>0.25177271612249275</v>
      </c>
      <c r="EQ571" s="7">
        <v>7.1855986560549256E-2</v>
      </c>
      <c r="ER571" s="7">
        <v>4.6579184414767251E-2</v>
      </c>
      <c r="ES571" s="7">
        <v>0.10152255299617259</v>
      </c>
      <c r="ET571" s="7">
        <v>0.18363844375095478</v>
      </c>
      <c r="EU571" s="6">
        <v>2100</v>
      </c>
      <c r="EV571" s="6">
        <v>0</v>
      </c>
      <c r="EW571" s="6">
        <v>2100</v>
      </c>
      <c r="EX571" s="6">
        <v>0</v>
      </c>
      <c r="EY571" s="6">
        <v>2975.8810719169483</v>
      </c>
      <c r="EZ571" s="6">
        <v>-1543.0908300335955</v>
      </c>
      <c r="FA571" s="6">
        <v>0</v>
      </c>
      <c r="FB571" s="6">
        <v>0</v>
      </c>
      <c r="FC571" s="6">
        <v>0</v>
      </c>
      <c r="FD571" s="6">
        <v>0</v>
      </c>
      <c r="FE571" s="6">
        <v>0</v>
      </c>
      <c r="FF571" s="6">
        <v>0</v>
      </c>
      <c r="FG571" s="6">
        <v>0</v>
      </c>
      <c r="FH571" s="6">
        <v>1153.9892487142984</v>
      </c>
      <c r="FI571" s="6">
        <v>1531.4299904380621</v>
      </c>
      <c r="FJ571" s="6">
        <v>2070.7205842538224</v>
      </c>
      <c r="FK571" s="6">
        <v>2218.6393698501033</v>
      </c>
      <c r="FL571" s="6">
        <v>893.91433563489363</v>
      </c>
      <c r="FM571" s="6">
        <v>2125.8810719169483</v>
      </c>
      <c r="FN571" s="6">
        <v>0</v>
      </c>
      <c r="FO571" s="6">
        <v>0</v>
      </c>
      <c r="FP571" s="6">
        <v>0</v>
      </c>
      <c r="FQ571" s="6">
        <v>0</v>
      </c>
      <c r="FR571" s="6">
        <v>0</v>
      </c>
      <c r="FS571" s="6">
        <v>0</v>
      </c>
      <c r="FT571" s="7">
        <v>0.81636155624904516</v>
      </c>
      <c r="FU571" s="7">
        <v>8.211589075478215E-2</v>
      </c>
      <c r="FV571" s="7">
        <v>0.10152255299617259</v>
      </c>
      <c r="FW571" s="6">
        <v>2100</v>
      </c>
      <c r="FX571" s="6">
        <v>2975.8810719169483</v>
      </c>
      <c r="FY571" s="6">
        <v>-1543.0908300335955</v>
      </c>
      <c r="FZ571" s="6">
        <v>2411.9063952864503</v>
      </c>
      <c r="GA571" s="6">
        <v>1802.0678725537571</v>
      </c>
      <c r="GB571" s="6">
        <v>17892.932127446242</v>
      </c>
      <c r="GC571" s="7">
        <v>7.6138913542514425E-2</v>
      </c>
      <c r="GD571" s="7">
        <v>7.0286047605735716E-2</v>
      </c>
      <c r="GE571" s="7"/>
      <c r="GF571" s="7"/>
      <c r="GG571" s="7">
        <v>-7.6870888543879565E-2</v>
      </c>
      <c r="GH571" s="42">
        <v>2.4825787375444599</v>
      </c>
      <c r="GI571" s="6">
        <v>9735.3509955214886</v>
      </c>
      <c r="GJ571" s="14">
        <v>0.51074630601039561</v>
      </c>
      <c r="GK571" s="14">
        <v>0.5082951978616097</v>
      </c>
      <c r="GL571" s="14">
        <v>0.48925369398960455</v>
      </c>
      <c r="GM571" s="14">
        <v>0.49170480213839046</v>
      </c>
      <c r="GO571" s="5">
        <v>338.16872463277008</v>
      </c>
      <c r="GP571" s="5">
        <v>298.1047308538179</v>
      </c>
      <c r="GQ571" s="5">
        <v>527.27910984145694</v>
      </c>
      <c r="GR571" s="5">
        <v>404.20319246551543</v>
      </c>
      <c r="GS571" s="5">
        <v>334.50205195691484</v>
      </c>
      <c r="GT571" s="5">
        <v>289.18266033348181</v>
      </c>
      <c r="GU571" s="5">
        <v>254.29573314828914</v>
      </c>
      <c r="GV571" s="39" t="s">
        <v>392</v>
      </c>
      <c r="GW571" s="5">
        <v>468.76388888888891</v>
      </c>
      <c r="GX571" s="5">
        <v>351.57291666666669</v>
      </c>
      <c r="GY571" s="5">
        <v>281.25833333333333</v>
      </c>
      <c r="GZ571" s="5">
        <v>240.8550698915011</v>
      </c>
      <c r="HA571" s="5">
        <v>229.8919505212948</v>
      </c>
      <c r="HB571" s="39">
        <v>252.09121898939634</v>
      </c>
      <c r="HC571" s="5">
        <v>350.62584881396981</v>
      </c>
      <c r="HD571" s="5">
        <v>282.40400980034525</v>
      </c>
      <c r="HE571" s="5">
        <v>280.24748699662979</v>
      </c>
      <c r="HF571" s="5">
        <v>253.38714978663216</v>
      </c>
      <c r="HG571" s="5">
        <v>237.15084178617022</v>
      </c>
      <c r="HH571" s="39">
        <v>280.91625833171935</v>
      </c>
      <c r="HI571" s="16"/>
      <c r="HJ571" s="19" t="str">
        <f t="shared" ref="HJ571:HK571" si="1870">HJ570</f>
        <v>On</v>
      </c>
      <c r="HK571" s="1" t="str">
        <f t="shared" si="1870"/>
        <v>On</v>
      </c>
      <c r="HL571" s="16"/>
      <c r="HM571" s="639">
        <f t="shared" si="1833"/>
        <v>5.1181272167489952E-2</v>
      </c>
      <c r="HN571" s="639">
        <f t="shared" si="1834"/>
        <v>4.2792051795134348E-3</v>
      </c>
      <c r="HO571" s="639">
        <f t="shared" si="1835"/>
        <v>7.4145241462331068E-3</v>
      </c>
      <c r="HP571" s="644">
        <f>(FT571*$GD571-HM571)/$JF571*INDEX(Input!$1:$1048576,$JG$93,$C571*2+6)</f>
        <v>73.13854042736979</v>
      </c>
      <c r="HQ571" s="644">
        <f>(FU571*$GD571-HN571)/$JF571*INDEX(Input!$1:$1048576,$JG$93,$C571*2+6)</f>
        <v>17.612055257755109</v>
      </c>
      <c r="HR571" s="644">
        <f>(FV571*$GD571-HO571)/$JF571*INDEX(Input!$1:$1048576,$JG$93,$C571*2+6)</f>
        <v>-3.2914134206768146</v>
      </c>
      <c r="HS571" s="644">
        <f t="shared" si="1857"/>
        <v>-16.834720514718601</v>
      </c>
      <c r="HT571" s="644">
        <f t="shared" si="1858"/>
        <v>38.688957107938762</v>
      </c>
      <c r="HU571" s="644">
        <f t="shared" si="1837"/>
        <v>11.2262103259476</v>
      </c>
      <c r="HV571" s="648">
        <f t="shared" si="1838"/>
        <v>0</v>
      </c>
      <c r="HW571" s="648">
        <f t="shared" si="1839"/>
        <v>0</v>
      </c>
      <c r="HX571" s="648">
        <f t="shared" si="1840"/>
        <v>0</v>
      </c>
      <c r="HY571" s="644">
        <f>INDEX(Input!$1:$1048576,HY$93,$C571*2+6)*INDEX(Input!$1:$1048576,$JG$93,$C571*2+6)</f>
        <v>345</v>
      </c>
      <c r="HZ571" s="644">
        <f>INDEX(Input!$1:$1048576,HZ$93,$C571*2+6)*INDEX(Input!$1:$1048576,$JG$93,$C571*2+6)</f>
        <v>299</v>
      </c>
      <c r="IA571" s="644">
        <f>INDEX(Input!$1:$1048576,IA$93,$C571*2+6)*INDEX(Input!$1:$1048576,$JG$93,$C571*2+6)</f>
        <v>98</v>
      </c>
      <c r="IB571" s="644">
        <f t="shared" si="1780"/>
        <v>401.30381991265119</v>
      </c>
      <c r="IC571" s="644">
        <f t="shared" si="1781"/>
        <v>355.30101236569385</v>
      </c>
      <c r="ID571" s="644">
        <f>IF(AND(INDEX(Input!$1:$1048576,IA$93,$C571*2+7)="TOS",Y571&lt;=INDEX(Y:Y,MATCH(C571*1000+2,A:A))),0,1)*MAX(IA571+HR571+HU571+HX571,0%)</f>
        <v>105.93479690527079</v>
      </c>
      <c r="IE571" s="128">
        <f t="shared" si="1859"/>
        <v>0.46525841403076262</v>
      </c>
      <c r="IF571" s="128">
        <f t="shared" si="1860"/>
        <v>0.41192427610773352</v>
      </c>
      <c r="IG571" s="128">
        <f t="shared" si="1784"/>
        <v>0.12281730986150387</v>
      </c>
      <c r="IH571" s="21"/>
      <c r="II571" s="19">
        <f t="shared" si="1841"/>
        <v>1200</v>
      </c>
      <c r="IJ571" s="19">
        <f t="shared" si="1842"/>
        <v>2231.5440334087361</v>
      </c>
      <c r="IK571" s="19">
        <f t="shared" si="1843"/>
        <v>-2048.0908300335955</v>
      </c>
      <c r="IL571" s="19">
        <f t="shared" si="1785"/>
        <v>900</v>
      </c>
      <c r="IM571" s="19">
        <f t="shared" si="1786"/>
        <v>744.33703850821212</v>
      </c>
      <c r="IN571" s="19">
        <f t="shared" si="1787"/>
        <v>505</v>
      </c>
      <c r="IO571" s="39">
        <f t="shared" si="1844"/>
        <v>0</v>
      </c>
      <c r="IP571" s="39">
        <f t="shared" si="1845"/>
        <v>0</v>
      </c>
      <c r="IQ571" s="39">
        <f t="shared" si="1846"/>
        <v>0</v>
      </c>
      <c r="IR571" s="39">
        <v>0</v>
      </c>
      <c r="IS571" s="39">
        <v>0</v>
      </c>
      <c r="IT571" s="39">
        <v>0</v>
      </c>
      <c r="IU571" s="39">
        <v>0</v>
      </c>
      <c r="IV571" s="39">
        <v>0</v>
      </c>
      <c r="IW571" s="39">
        <v>0</v>
      </c>
      <c r="IX571" s="39">
        <f>INDEX(Input!$1:$1048576,IX$93,$C571*2+6)+INDEX(Input!$1:$1048576,IX$94,$C571*2+6)</f>
        <v>1600</v>
      </c>
      <c r="IY571" s="39">
        <f>INDEX(Input!$1:$1048576,IY$93,$C571*2+6)+INDEX(Input!$1:$1048576,IY$94,$C571*2+6)</f>
        <v>2503.5492916397525</v>
      </c>
      <c r="IZ571" s="39">
        <f>INDEX(Input!$1:$1048576,IZ$93,$C571*2+6)+INDEX(Input!$1:$1048576,IZ$94,$C571*2+6)</f>
        <v>5413.7109265464023</v>
      </c>
      <c r="JA571" s="19">
        <f t="shared" si="1788"/>
        <v>2500</v>
      </c>
      <c r="JB571" s="19">
        <f t="shared" si="1789"/>
        <v>3247.8863301479646</v>
      </c>
      <c r="JC571" s="19">
        <f t="shared" si="1790"/>
        <v>5918.7109265464023</v>
      </c>
      <c r="JD571" s="19">
        <f t="shared" si="1791"/>
        <v>3227.9494143496281</v>
      </c>
      <c r="JE571" s="21"/>
      <c r="JF571" s="1">
        <f t="shared" si="1847"/>
        <v>6.2875001493236493E-2</v>
      </c>
      <c r="JG571" s="15">
        <f>INDEX(Input!$1:$1048576,JG$93,$C571*2+6)/(1+VLOOKUP(C571*1000+INDEX(Input!$1:$1048576,JG$93+1,$C571*2+6),$A:$KK,$JK$92,FALSE))</f>
        <v>742</v>
      </c>
      <c r="JH571" s="1">
        <f t="shared" si="1792"/>
        <v>0.11786951787661465</v>
      </c>
      <c r="JI571" s="1">
        <f t="shared" si="1793"/>
        <v>4.4582812559525287E-2</v>
      </c>
      <c r="JJ571" s="1">
        <f t="shared" si="1861"/>
        <v>0</v>
      </c>
      <c r="JK571" s="1">
        <f t="shared" si="1862"/>
        <v>0.16245233043613994</v>
      </c>
      <c r="JL571" s="15">
        <f t="shared" si="1796"/>
        <v>120.53962918361583</v>
      </c>
      <c r="JM571" s="15">
        <f t="shared" si="1797"/>
        <v>862.53962918361583</v>
      </c>
      <c r="JN571" s="21"/>
      <c r="JO571" s="19">
        <f>INDEX(Input!$1:$1048576,JO$93,$C571*2+6)</f>
        <v>5908.5</v>
      </c>
      <c r="JP571" s="19">
        <f>INDEX(Input!$1:$1048576,JP$93,$C571*2+6)</f>
        <v>2467.7963733178344</v>
      </c>
      <c r="JQ571" s="39">
        <f t="shared" si="1798"/>
        <v>2680.5505856503719</v>
      </c>
      <c r="JR571" s="39">
        <f t="shared" si="1799"/>
        <v>760.15304103179369</v>
      </c>
      <c r="JS571" s="39">
        <f t="shared" si="1800"/>
        <v>2.784234290876598</v>
      </c>
      <c r="JT571" s="39">
        <f t="shared" si="1801"/>
        <v>0.95312938187476504</v>
      </c>
      <c r="JU571" s="385">
        <f>(JQ571*JM571-INDEX(Input!$1:$1048576,Input!A$18,$C571*2+6)*JL571*INDEX(Input!$1:$1048576,Input!A$19,$C571*2+6))/1000000</f>
        <v>2.3120811081547963</v>
      </c>
      <c r="JV571" s="39">
        <f t="shared" si="1802"/>
        <v>-0.24092098284337027</v>
      </c>
      <c r="JW571" s="1">
        <f t="shared" si="1803"/>
        <v>-9.4367718574478551E-2</v>
      </c>
      <c r="JX571" s="19">
        <f t="shared" si="1804"/>
        <v>7907.1869420046114</v>
      </c>
      <c r="JZ571" s="341"/>
      <c r="KA571" s="342"/>
      <c r="KB571" s="469">
        <f t="shared" si="1805"/>
        <v>2.4623520912331753</v>
      </c>
      <c r="KI571" s="473">
        <f t="shared" si="1863"/>
        <v>56.303819912651193</v>
      </c>
      <c r="KJ571" s="473">
        <f t="shared" si="1864"/>
        <v>56.30101236569385</v>
      </c>
      <c r="KK571" s="473">
        <f t="shared" si="1808"/>
        <v>7.9347969052707867</v>
      </c>
      <c r="KN571" s="544">
        <f t="shared" si="1809"/>
        <v>5002</v>
      </c>
      <c r="KO571" s="541">
        <f t="shared" si="1848"/>
        <v>8.0131764012993045E-2</v>
      </c>
      <c r="KP571" s="546">
        <f t="shared" si="1849"/>
        <v>396.56260652353842</v>
      </c>
      <c r="KQ571" s="546">
        <f t="shared" si="1850"/>
        <v>369.176968197919</v>
      </c>
      <c r="KR571" s="548">
        <f t="shared" si="1851"/>
        <v>3.4020267948131515</v>
      </c>
      <c r="KS571" s="548">
        <f t="shared" si="1852"/>
        <v>3.6543899794169961</v>
      </c>
      <c r="KT571" s="473">
        <f t="shared" si="1810"/>
        <v>389.37465324503302</v>
      </c>
      <c r="KU571" s="663">
        <f t="shared" si="1854"/>
        <v>7.4144396875586143</v>
      </c>
    </row>
    <row r="572" spans="1:308" s="26" customFormat="1" ht="15" outlineLevel="1">
      <c r="A572" s="561">
        <f t="shared" si="1770"/>
        <v>5072</v>
      </c>
      <c r="B572" s="561">
        <f t="shared" si="1865"/>
        <v>72</v>
      </c>
      <c r="C572" s="561">
        <f t="shared" si="1866"/>
        <v>5</v>
      </c>
      <c r="D572" s="561" t="str">
        <f t="shared" si="1812"/>
        <v xml:space="preserve">1000 CC, 0/0/0.9/3.9, 180 Lease, </v>
      </c>
      <c r="E572" s="475">
        <f>INDEX(Input!$1:$1048576,E$93,$C572*2+MIN($B572,2)+5)
+INDEX(Scenarios!E$121:E$200,MATCH($B572,Scenarios!$B$121:$B$200,0))</f>
        <v>2250</v>
      </c>
      <c r="F572" s="475">
        <f>INDEX(Input!$1:$1048576,F$93,$C572*2+MIN($B572,2)+5)
+INDEX(Scenarios!F$121:F$200,MATCH($B572,Scenarios!$B$121:$B$200,0))</f>
        <v>0</v>
      </c>
      <c r="G572" s="475">
        <f>INDEX(Input!$1:$1048576,G$93,$C572*2+MIN($B572,2)+5)
+INDEX(Scenarios!G$121:G$200,MATCH($B572,Scenarios!$B$121:$B$200,0))</f>
        <v>0</v>
      </c>
      <c r="H572" s="475">
        <f>INDEX(Input!$1:$1048576,H$93,$C572*2+MIN($B572,2)+5)
+INDEX(Scenarios!H$121:H$200,MATCH($B572,Scenarios!$B$121:$B$200,0))</f>
        <v>0</v>
      </c>
      <c r="I572" s="476">
        <f>INDEX(Input!$1:$1048576,I$93,$C572*2+MIN($B572,2)+5)</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+INDEX(Scenarios!Q$121:Q$200,MATCH($B572,Scenarios!$B$121:$B$200,0))</f>
        <v>0</v>
      </c>
      <c r="R572" s="478">
        <f>IFERROR(MAX(0,INDEX(Input!$1:$1048576,R$93,$C572*2+MIN($B572,2)+5)
+INDEX(Scenarios!R$121:R$200,MATCH($B572,Scenarios!$B$121:$B$200,0)),),"Market")</f>
        <v>0</v>
      </c>
      <c r="S572" s="478">
        <f>IFERROR(MAX(0,INDEX(Input!$1:$1048576,S$93,$C572*2+MIN($B572,2)+5)
+INDEX(Scenarios!S$121:S$200,MATCH($B572,Scenarios!$B$121:$B$200,0)),),"Market")</f>
        <v>0</v>
      </c>
      <c r="T572" s="478">
        <f>IFERROR(MAX(0,INDEX(Input!$1:$1048576,T$93,$C572*2+MIN($B572,2)+5)
+INDEX(Scenarios!T$121:T$200,MATCH($B572,Scenarios!$B$121:$B$200,0)),),"Market")</f>
        <v>0</v>
      </c>
      <c r="U572" s="478">
        <f>IFERROR(MAX(0,INDEX(Input!$1:$1048576,U$93,$C572*2+MIN($B572,2)+5)
+INDEX(Scenarios!U$121:U$200,MATCH($B572,Scenarios!$B$121:$B$200,0)),),"Market")</f>
        <v>0</v>
      </c>
      <c r="V572" s="478">
        <f>IFERROR(MAX(0,INDEX(Input!$1:$1048576,V$93,$C572*2+MIN($B572,2)+5)
+INDEX(Scenarios!V$121:V$200,MATCH($B572,Scenarios!$B$121:$B$200,0)),),"Market")</f>
        <v>8.9999999999999993E-3</v>
      </c>
      <c r="W572" s="863">
        <f>IFERROR(MAX(0,INDEX(Input!$1:$1048576,W$93,$C572*2+MIN($B572,2)+5)-0%,),"Market")</f>
        <v>3.9E-2</v>
      </c>
      <c r="X572" s="476" t="str">
        <f>INDEX(Input!$1:$1048576,X$93,$C572*2+MIN($B572,2)+5)</f>
        <v>Y</v>
      </c>
      <c r="Y572" s="475">
        <f>INDEX(Input!$1:$1048576,Y$93,$C572*2+MIN($B572,2)+5)
++INDEX(Scenarios!Y$121:Y$200,MATCH($B572,Scenarios!$B$121:$B$200,0))</f>
        <v>-918.3618966787526</v>
      </c>
      <c r="Z572" s="477">
        <f>INDEX(Input!$1:$1048576,Z$93,$C572*2+MIN($B572,2)+5)
+INDEX(Scenarios!Z$121:Z$200,MATCH($B572,Scenarios!$B$121:$B$200,0))</f>
        <v>0</v>
      </c>
      <c r="AA572" s="475">
        <f>INDEX(Input!$1:$1048576,AA$93,$C572*2+MIN($B572,2)+5)</f>
        <v>500</v>
      </c>
      <c r="AB572" s="476">
        <f>INDEX(Input!$1:$1048576,AB$93,$C572*2+MIN($B572,2)+5)</f>
        <v>0.43</v>
      </c>
      <c r="AC572" s="475">
        <f>INDEX(Input!$1:$1048576,AC$93,$C572*2+MIN($B572,2)+5)
+INDEX(Scenarios!AC$121:AC$200,MATCH($B572,Scenarios!$B$121:$B$200,0))</f>
        <v>0</v>
      </c>
      <c r="AD572" s="476">
        <f>INDEX(Input!$1:$1048576,AD$93,$C572*2+MIN($B572,2)+5)</f>
        <v>0.35</v>
      </c>
      <c r="AE572" s="475">
        <f>INDEX(Input!$1:$1048576,AE$93,$C572*2+MIN($B572,2)+5)
+INDEX(Scenarios!AE$121:AE$200,MATCH($B572,Scenarios!$B$121:$B$200,0))</f>
        <v>0</v>
      </c>
      <c r="AF572" s="476">
        <f>INDEX(Input!$1:$1048576,AF$93,$C572*2+MIN($B572,2)+5)</f>
        <v>1</v>
      </c>
      <c r="AG572" s="475">
        <f>INDEX(Input!$1:$1048576,AG$93,$C572*2+MIN($B572,2)+5)
+INDEX(Scenarios!AG$121:AG$200,MATCH($B572,Scenarios!$B$121:$B$200,0))</f>
        <v>0</v>
      </c>
      <c r="AH572" s="476">
        <f>INDEX(Input!$1:$1048576,AH$93,$C572*2+MIN($B572,2)+5)</f>
        <v>1</v>
      </c>
      <c r="AI572" s="475">
        <f>INDEX(Input!$1:$1048576,AI$93,$C572*2+MIN($B572,2)+5)
+INDEX(Scenarios!AI$121:AI$200,MATCH($B572,Scenarios!$B$121:$B$200,0))</f>
        <v>0</v>
      </c>
      <c r="AJ572" s="476">
        <f>INDEX(Input!$1:$1048576,AJ$93,$C572*2+MIN($B572,2)+5)</f>
        <v>0.35</v>
      </c>
      <c r="AK572" s="150">
        <f>ROUND(INDEX(Input!$1:$1048576,AK$93,$C571*2+MIN($B572,1)+5)+(Y572-VLOOKUP($C572*1000+1,$A:$HH,Y$92,FALSE)),0)</f>
        <v>4772</v>
      </c>
      <c r="AL572" s="150">
        <f>ROUND(INDEX(Input!$1:$1048576,AL$93,$C571*2+MIN($B572,1)+5)-(Y572-VLOOKUP($C572*1000+1,$A:$HH,Y$92,FALSE))/36,0)</f>
        <v>4738</v>
      </c>
      <c r="AM572" s="32" t="str">
        <f t="shared" si="1773"/>
        <v>std/std/std/std</v>
      </c>
      <c r="AN572" s="32" t="str">
        <f t="shared" si="1774"/>
        <v>$0 + 0/0/0/0.9/3.9</v>
      </c>
      <c r="AO572" s="32" t="str">
        <f t="shared" si="1775"/>
        <v>0/0/0/0.9/3.9</v>
      </c>
      <c r="AP572" s="32" t="str">
        <f t="shared" si="1755"/>
        <v>0/0/0.9/3.9</v>
      </c>
      <c r="AQ572" s="536">
        <f t="shared" si="1754"/>
        <v>0.49688116156078349</v>
      </c>
      <c r="AR572" s="32"/>
      <c r="AS572" s="302"/>
      <c r="AT572" s="3">
        <f t="shared" si="1867"/>
        <v>72</v>
      </c>
      <c r="AU572" s="41" t="s">
        <v>121</v>
      </c>
      <c r="AV572" s="41" t="s">
        <v>116</v>
      </c>
      <c r="AW572" s="41" t="str">
        <f>INDEX(Input!$1:$1048576,AW$93,$C572*2+6)</f>
        <v>Kia</v>
      </c>
      <c r="AX572" s="41" t="str">
        <f>INDEX(Input!$1:$1048576,AX$93,$C572*2+6)</f>
        <v>Kia-LR - R2</v>
      </c>
      <c r="AY572" s="41" t="str">
        <f>IF(LEN(D572)=0,"",INDEX(Input!$1:$1048576,AY$93,$C572*2+6))</f>
        <v>Compact Conventional/Sporty Car (43)</v>
      </c>
      <c r="AZ572" s="41" t="str">
        <f>INDEX(Input!$1:$1048576,AZ$93,$C572*2+6)</f>
        <v>Kia Forte</v>
      </c>
      <c r="BA572" s="3">
        <f>INDEX(Input!$1:$1048576,BA$93,$C572*2+6)</f>
        <v>2020</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19695</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756"/>
        <v>2250</v>
      </c>
      <c r="CJ572" s="16" t="str">
        <f>INDEX(Input!$1:$1048576,CJ$93,$C572*2+6)</f>
        <v>N</v>
      </c>
      <c r="CK572" s="1" t="str">
        <f t="shared" si="1757"/>
        <v>Market</v>
      </c>
      <c r="CL572" s="1" t="str">
        <f t="shared" si="1758"/>
        <v>Market</v>
      </c>
      <c r="CM572" s="1" t="str">
        <f t="shared" si="1759"/>
        <v>Market</v>
      </c>
      <c r="CN572" s="1" t="str">
        <f t="shared" si="1760"/>
        <v>Market</v>
      </c>
      <c r="CO572" s="1" t="str">
        <f t="shared" si="1761"/>
        <v>Market</v>
      </c>
      <c r="CP572" s="304">
        <f t="shared" si="1762"/>
        <v>215</v>
      </c>
      <c r="CQ572" s="1">
        <f t="shared" si="1763"/>
        <v>0</v>
      </c>
      <c r="CR572" s="1">
        <f t="shared" si="1764"/>
        <v>0</v>
      </c>
      <c r="CS572" s="1">
        <f t="shared" si="1765"/>
        <v>0</v>
      </c>
      <c r="CT572" s="1">
        <f t="shared" si="1766"/>
        <v>8.9999999999999993E-3</v>
      </c>
      <c r="CU572" s="1">
        <f t="shared" si="1767"/>
        <v>3.9E-2</v>
      </c>
      <c r="CV572" s="304">
        <f t="shared" si="1768"/>
        <v>-918.3618966787526</v>
      </c>
      <c r="CW572" s="20" t="s">
        <v>122</v>
      </c>
      <c r="CX572" s="20" t="s">
        <v>122</v>
      </c>
      <c r="CY572" s="20" t="s">
        <v>122</v>
      </c>
      <c r="CZ572" s="20" t="s">
        <v>122</v>
      </c>
      <c r="DA572" s="20" t="s">
        <v>122</v>
      </c>
      <c r="DB572" s="503">
        <f t="shared" si="1769"/>
        <v>0</v>
      </c>
      <c r="DC572" s="127">
        <v>0</v>
      </c>
      <c r="DD572" s="127">
        <v>0</v>
      </c>
      <c r="DE572" s="127">
        <v>0</v>
      </c>
      <c r="DF572" s="127">
        <v>0</v>
      </c>
      <c r="DG572" s="127">
        <v>0</v>
      </c>
      <c r="DH572" s="127">
        <v>0</v>
      </c>
      <c r="DI572" s="127">
        <v>0</v>
      </c>
      <c r="DJ572" s="127">
        <v>0</v>
      </c>
      <c r="DK572" s="127">
        <v>0</v>
      </c>
      <c r="DL572" s="127">
        <v>0</v>
      </c>
      <c r="DM572" s="304">
        <f>INDEX(Input!$1:$1048576,DM$93,$C572*2+6)</f>
        <v>20731.578947368424</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4.5349508067440793E-2</v>
      </c>
      <c r="DZ572" s="7">
        <v>0</v>
      </c>
      <c r="EA572" s="7">
        <v>0.79156409396889282</v>
      </c>
      <c r="EB572" s="7">
        <v>0</v>
      </c>
      <c r="EC572" s="7">
        <v>0</v>
      </c>
      <c r="ED572" s="7">
        <v>0</v>
      </c>
      <c r="EE572" s="7">
        <v>0</v>
      </c>
      <c r="EF572" s="7">
        <v>0</v>
      </c>
      <c r="EG572" s="7">
        <v>0</v>
      </c>
      <c r="EH572" s="7">
        <v>1.0403759898918237E-2</v>
      </c>
      <c r="EI572" s="7">
        <v>1.3090005046282251E-2</v>
      </c>
      <c r="EJ572" s="7">
        <v>0.19283226072642529</v>
      </c>
      <c r="EK572" s="7">
        <v>0.75031273532005305</v>
      </c>
      <c r="EL572" s="7">
        <v>3.3361239008321317E-2</v>
      </c>
      <c r="EM572" s="7">
        <v>7.2911619665069385E-2</v>
      </c>
      <c r="EN572" s="7">
        <v>4.7611203829650374E-2</v>
      </c>
      <c r="EO572" s="7">
        <v>0.58217608324907288</v>
      </c>
      <c r="EP572" s="7">
        <v>0.25176462873337785</v>
      </c>
      <c r="EQ572" s="7">
        <v>7.1854315610200087E-2</v>
      </c>
      <c r="ER572" s="7">
        <v>4.6593768577699229E-2</v>
      </c>
      <c r="ES572" s="7">
        <v>9.017477829859713E-2</v>
      </c>
      <c r="ET572" s="7">
        <v>0.16308639796366645</v>
      </c>
      <c r="EU572" s="6">
        <v>2600</v>
      </c>
      <c r="EV572" s="6">
        <v>0</v>
      </c>
      <c r="EW572" s="6">
        <v>2600</v>
      </c>
      <c r="EX572" s="6">
        <v>0</v>
      </c>
      <c r="EY572" s="6">
        <v>2975.8494832593265</v>
      </c>
      <c r="EZ572" s="6">
        <v>-1543.0908300335955</v>
      </c>
      <c r="FA572" s="6">
        <v>0</v>
      </c>
      <c r="FB572" s="6">
        <v>0</v>
      </c>
      <c r="FC572" s="6">
        <v>0</v>
      </c>
      <c r="FD572" s="6">
        <v>0</v>
      </c>
      <c r="FE572" s="6">
        <v>0</v>
      </c>
      <c r="FF572" s="6">
        <v>0</v>
      </c>
      <c r="FG572" s="6">
        <v>0</v>
      </c>
      <c r="FH572" s="6">
        <v>1153.9925367015235</v>
      </c>
      <c r="FI572" s="6">
        <v>1531.4299904380605</v>
      </c>
      <c r="FJ572" s="6">
        <v>2070.7205842538228</v>
      </c>
      <c r="FK572" s="6">
        <v>2218.639369850102</v>
      </c>
      <c r="FL572" s="6">
        <v>893.9143356348934</v>
      </c>
      <c r="FM572" s="6">
        <v>2125.8494832593265</v>
      </c>
      <c r="FN572" s="6">
        <v>0</v>
      </c>
      <c r="FO572" s="6">
        <v>0</v>
      </c>
      <c r="FP572" s="6">
        <v>0</v>
      </c>
      <c r="FQ572" s="6">
        <v>0</v>
      </c>
      <c r="FR572" s="6">
        <v>0</v>
      </c>
      <c r="FS572" s="6">
        <v>0</v>
      </c>
      <c r="FT572" s="7">
        <v>0.83691360203633358</v>
      </c>
      <c r="FU572" s="7">
        <v>7.2911619665069385E-2</v>
      </c>
      <c r="FV572" s="7">
        <v>9.017477829859713E-2</v>
      </c>
      <c r="FW572" s="6">
        <v>2600</v>
      </c>
      <c r="FX572" s="6">
        <v>2975.8494832593265</v>
      </c>
      <c r="FY572" s="6">
        <v>-1543.0908300335955</v>
      </c>
      <c r="FZ572" s="6">
        <v>2411.9063952864503</v>
      </c>
      <c r="GA572" s="6">
        <v>2253.8014975054866</v>
      </c>
      <c r="GB572" s="6">
        <v>17441.198502494513</v>
      </c>
      <c r="GC572" s="7">
        <v>7.6138913542514425E-2</v>
      </c>
      <c r="GD572" s="7">
        <v>7.3996639009341503E-2</v>
      </c>
      <c r="GE572" s="7"/>
      <c r="GF572" s="7"/>
      <c r="GG572" s="7">
        <v>-2.8136394827550558E-2</v>
      </c>
      <c r="GH572" s="42">
        <v>3.5049280819643851</v>
      </c>
      <c r="GI572" s="6">
        <v>7873.0323460202599</v>
      </c>
      <c r="GJ572" s="14">
        <v>0.51074630601039539</v>
      </c>
      <c r="GK572" s="14">
        <v>0.50829519786160982</v>
      </c>
      <c r="GL572" s="14">
        <v>0.48925369398960428</v>
      </c>
      <c r="GM572" s="14">
        <v>0.49170480213839046</v>
      </c>
      <c r="GO572" s="5">
        <v>338.16872463277008</v>
      </c>
      <c r="GP572" s="5">
        <v>288.56568471597211</v>
      </c>
      <c r="GQ572" s="5">
        <v>527.27910984145694</v>
      </c>
      <c r="GR572" s="5">
        <v>404.20319246551543</v>
      </c>
      <c r="GS572" s="5">
        <v>334.50205195691484</v>
      </c>
      <c r="GT572" s="5">
        <v>289.18266033348181</v>
      </c>
      <c r="GU572" s="5">
        <v>254.29573314828914</v>
      </c>
      <c r="GV572" s="39" t="s">
        <v>392</v>
      </c>
      <c r="GW572" s="5">
        <v>468.76388888888891</v>
      </c>
      <c r="GX572" s="5">
        <v>351.57291666666669</v>
      </c>
      <c r="GY572" s="5">
        <v>281.25833333333333</v>
      </c>
      <c r="GZ572" s="5">
        <v>240.8550698915011</v>
      </c>
      <c r="HA572" s="5">
        <v>229.8919505212948</v>
      </c>
      <c r="HB572" s="39">
        <v>252.10078508082401</v>
      </c>
      <c r="HC572" s="5">
        <v>350.62584881396981</v>
      </c>
      <c r="HD572" s="5">
        <v>282.40400980034525</v>
      </c>
      <c r="HE572" s="5">
        <v>280.24748699662979</v>
      </c>
      <c r="HF572" s="5">
        <v>253.38714978663216</v>
      </c>
      <c r="HG572" s="5">
        <v>237.15084178617022</v>
      </c>
      <c r="HH572" s="39">
        <v>280.91569526492162</v>
      </c>
      <c r="HI572" s="16"/>
      <c r="HJ572" s="19" t="str">
        <f t="shared" ref="HJ572:HK572" si="1871">HJ571</f>
        <v>On</v>
      </c>
      <c r="HK572" s="1" t="str">
        <f t="shared" si="1871"/>
        <v>On</v>
      </c>
      <c r="HL572" s="16"/>
      <c r="HM572" s="639">
        <f t="shared" si="1833"/>
        <v>5.1181272167489952E-2</v>
      </c>
      <c r="HN572" s="639">
        <f t="shared" si="1834"/>
        <v>4.2792051795134348E-3</v>
      </c>
      <c r="HO572" s="639">
        <f t="shared" si="1835"/>
        <v>7.4145241462331068E-3</v>
      </c>
      <c r="HP572" s="644">
        <f>(FT572*$GD572-HM572)/$JF572*INDEX(Input!$1:$1048576,$JG$93,$C572*2+6)</f>
        <v>126.83357108091482</v>
      </c>
      <c r="HQ572" s="644">
        <f>(FU572*$GD572-HN572)/$JF572*INDEX(Input!$1:$1048576,$JG$93,$C572*2+6)</f>
        <v>13.17024443247888</v>
      </c>
      <c r="HR572" s="644">
        <f>(FV572*$GD572-HO572)/$JF572*INDEX(Input!$1:$1048576,$JG$93,$C572*2+6)</f>
        <v>-8.7552295735966013</v>
      </c>
      <c r="HS572" s="644">
        <f t="shared" si="1857"/>
        <v>-26.100701817768538</v>
      </c>
      <c r="HT572" s="644">
        <f t="shared" si="1858"/>
        <v>37.563149054564278</v>
      </c>
      <c r="HU572" s="644">
        <f t="shared" si="1837"/>
        <v>12.350283986303477</v>
      </c>
      <c r="HV572" s="648">
        <f t="shared" si="1838"/>
        <v>0</v>
      </c>
      <c r="HW572" s="648">
        <f t="shared" si="1839"/>
        <v>0</v>
      </c>
      <c r="HX572" s="648">
        <f t="shared" si="1840"/>
        <v>0</v>
      </c>
      <c r="HY572" s="644">
        <f>INDEX(Input!$1:$1048576,HY$93,$C572*2+6)*INDEX(Input!$1:$1048576,$JG$93,$C572*2+6)</f>
        <v>345</v>
      </c>
      <c r="HZ572" s="644">
        <f>INDEX(Input!$1:$1048576,HZ$93,$C572*2+6)*INDEX(Input!$1:$1048576,$JG$93,$C572*2+6)</f>
        <v>299</v>
      </c>
      <c r="IA572" s="644">
        <f>INDEX(Input!$1:$1048576,IA$93,$C572*2+6)*INDEX(Input!$1:$1048576,$JG$93,$C572*2+6)</f>
        <v>98</v>
      </c>
      <c r="IB572" s="644">
        <f t="shared" si="1780"/>
        <v>445.73286926314631</v>
      </c>
      <c r="IC572" s="644">
        <f t="shared" si="1781"/>
        <v>349.73339348704314</v>
      </c>
      <c r="ID572" s="644">
        <f>IF(AND(INDEX(Input!$1:$1048576,IA$93,$C572*2+7)="TOS",Y572&lt;=INDEX(Y:Y,MATCH(C572*1000+2,A:A))),0,1)*MAX(IA572+HR572+HU572+HX572,0%)</f>
        <v>101.59505441270687</v>
      </c>
      <c r="IE572" s="128">
        <f t="shared" si="1859"/>
        <v>0.49688116156078349</v>
      </c>
      <c r="IF572" s="128">
        <f t="shared" si="1860"/>
        <v>0.38986564997934858</v>
      </c>
      <c r="IG572" s="128">
        <f t="shared" si="1784"/>
        <v>0.11325318845986795</v>
      </c>
      <c r="IH572" s="21"/>
      <c r="II572" s="19">
        <f t="shared" si="1841"/>
        <v>1200</v>
      </c>
      <c r="IJ572" s="19">
        <f t="shared" si="1842"/>
        <v>2231.5440334087361</v>
      </c>
      <c r="IK572" s="19">
        <f t="shared" si="1843"/>
        <v>-2048.0908300335955</v>
      </c>
      <c r="IL572" s="19">
        <f t="shared" si="1785"/>
        <v>1400</v>
      </c>
      <c r="IM572" s="19">
        <f t="shared" si="1786"/>
        <v>744.30544985059032</v>
      </c>
      <c r="IN572" s="19">
        <f t="shared" si="1787"/>
        <v>505</v>
      </c>
      <c r="IO572" s="39">
        <f t="shared" si="1844"/>
        <v>0</v>
      </c>
      <c r="IP572" s="39">
        <f t="shared" si="1845"/>
        <v>0</v>
      </c>
      <c r="IQ572" s="39">
        <f t="shared" si="1846"/>
        <v>0</v>
      </c>
      <c r="IR572" s="39">
        <v>0</v>
      </c>
      <c r="IS572" s="39">
        <v>0</v>
      </c>
      <c r="IT572" s="39">
        <v>0</v>
      </c>
      <c r="IU572" s="39">
        <v>0</v>
      </c>
      <c r="IV572" s="39">
        <v>0</v>
      </c>
      <c r="IW572" s="39">
        <v>0</v>
      </c>
      <c r="IX572" s="39">
        <f>INDEX(Input!$1:$1048576,IX$93,$C572*2+6)+INDEX(Input!$1:$1048576,IX$94,$C572*2+6)</f>
        <v>1600</v>
      </c>
      <c r="IY572" s="39">
        <f>INDEX(Input!$1:$1048576,IY$93,$C572*2+6)+INDEX(Input!$1:$1048576,IY$94,$C572*2+6)</f>
        <v>2503.5492916397525</v>
      </c>
      <c r="IZ572" s="39">
        <f>INDEX(Input!$1:$1048576,IZ$93,$C572*2+6)+INDEX(Input!$1:$1048576,IZ$94,$C572*2+6)</f>
        <v>5413.7109265464023</v>
      </c>
      <c r="JA572" s="19">
        <f t="shared" si="1788"/>
        <v>3000</v>
      </c>
      <c r="JB572" s="19">
        <f t="shared" si="1789"/>
        <v>3247.8547414903428</v>
      </c>
      <c r="JC572" s="19">
        <f t="shared" si="1790"/>
        <v>5918.7109265464023</v>
      </c>
      <c r="JD572" s="19">
        <f t="shared" si="1791"/>
        <v>3427.1833685156312</v>
      </c>
      <c r="JE572" s="21"/>
      <c r="JF572" s="1">
        <f t="shared" si="1847"/>
        <v>6.2875001493236493E-2</v>
      </c>
      <c r="JG572" s="15">
        <f>INDEX(Input!$1:$1048576,JG$93,$C572*2+6)/(1+VLOOKUP(C572*1000+INDEX(Input!$1:$1048576,JG$93+1,$C572*2+6),$A:$KK,$JK$92,FALSE))</f>
        <v>742</v>
      </c>
      <c r="JH572" s="1">
        <f t="shared" si="1792"/>
        <v>0.17688488671131683</v>
      </c>
      <c r="JI572" s="1">
        <f t="shared" si="1793"/>
        <v>3.2092629680726709E-2</v>
      </c>
      <c r="JJ572" s="1">
        <f t="shared" si="1861"/>
        <v>0</v>
      </c>
      <c r="JK572" s="1">
        <f t="shared" si="1862"/>
        <v>0.20897751639204354</v>
      </c>
      <c r="JL572" s="15">
        <f t="shared" si="1796"/>
        <v>155.0613171628963</v>
      </c>
      <c r="JM572" s="15">
        <f t="shared" si="1797"/>
        <v>897.06131716289633</v>
      </c>
      <c r="JN572" s="21"/>
      <c r="JO572" s="19">
        <f>INDEX(Input!$1:$1048576,JO$93,$C572*2+6)</f>
        <v>5908.5</v>
      </c>
      <c r="JP572" s="19">
        <f>INDEX(Input!$1:$1048576,JP$93,$C572*2+6)</f>
        <v>2467.7963733178344</v>
      </c>
      <c r="JQ572" s="39">
        <f t="shared" si="1798"/>
        <v>2481.3166314843688</v>
      </c>
      <c r="JR572" s="39">
        <f t="shared" si="1799"/>
        <v>959.38699519779675</v>
      </c>
      <c r="JS572" s="39">
        <f t="shared" si="1800"/>
        <v>3.0743936267194041</v>
      </c>
      <c r="JT572" s="39">
        <f t="shared" si="1801"/>
        <v>1.2432887177175709</v>
      </c>
      <c r="JU572" s="385">
        <f>(JQ572*JM572-INDEX(Input!$1:$1048576,Input!A$18,$C572*2+6)*JL572*INDEX(Input!$1:$1048576,Input!A$19,$C572*2+6))/1000000</f>
        <v>2.2258931657375687</v>
      </c>
      <c r="JV572" s="39">
        <f t="shared" si="1802"/>
        <v>-0.32710892526059787</v>
      </c>
      <c r="JW572" s="1">
        <f t="shared" si="1803"/>
        <v>-0.12812716699840446</v>
      </c>
      <c r="JX572" s="19">
        <f t="shared" si="1804"/>
        <v>8018.0456381101221</v>
      </c>
      <c r="JZ572" s="341"/>
      <c r="KA572" s="342"/>
      <c r="KB572" s="469">
        <f t="shared" si="1805"/>
        <v>2.4623520912331753</v>
      </c>
      <c r="KI572" s="473">
        <f t="shared" si="1863"/>
        <v>100.73286926314631</v>
      </c>
      <c r="KJ572" s="473">
        <f t="shared" si="1864"/>
        <v>50.733393487043145</v>
      </c>
      <c r="KK572" s="473">
        <f t="shared" si="1808"/>
        <v>3.5950544127068724</v>
      </c>
      <c r="KN572" s="544">
        <f t="shared" si="1809"/>
        <v>5002</v>
      </c>
      <c r="KO572" s="541">
        <f t="shared" si="1848"/>
        <v>0.12336220870462888</v>
      </c>
      <c r="KP572" s="546">
        <f t="shared" si="1849"/>
        <v>651.48587845258339</v>
      </c>
      <c r="KQ572" s="546">
        <f t="shared" si="1850"/>
        <v>568.41092236392205</v>
      </c>
      <c r="KR572" s="548">
        <f t="shared" si="1851"/>
        <v>3.1880264576565516</v>
      </c>
      <c r="KS572" s="548">
        <f t="shared" si="1852"/>
        <v>3.6539660579687054</v>
      </c>
      <c r="KT572" s="473">
        <f t="shared" si="1810"/>
        <v>389.37465324503302</v>
      </c>
      <c r="KU572" s="663">
        <f t="shared" si="1854"/>
        <v>7.4929165333930987</v>
      </c>
    </row>
    <row r="573" spans="1:308" s="26" customFormat="1" ht="15" outlineLevel="1">
      <c r="A573" s="561">
        <f t="shared" si="1770"/>
        <v>5073</v>
      </c>
      <c r="B573" s="561">
        <f t="shared" si="1865"/>
        <v>73</v>
      </c>
      <c r="C573" s="561">
        <f t="shared" si="1866"/>
        <v>5</v>
      </c>
      <c r="D573" s="561" t="str">
        <f t="shared" si="1812"/>
        <v xml:space="preserve">500 CC, 0.9/1.9/2.9/3.9, 1000 Combo, </v>
      </c>
      <c r="E573" s="475">
        <f>INDEX(Input!$1:$1048576,E$93,$C573*2+MIN($B573,2)+5)
+INDEX(Scenarios!E$121:E$200,MATCH($B573,Scenarios!$B$121:$B$200,0))</f>
        <v>1750</v>
      </c>
      <c r="F573" s="475">
        <f>INDEX(Input!$1:$1048576,F$93,$C573*2+MIN($B573,2)+5)
+INDEX(Scenarios!F$121:F$200,MATCH($B573,Scenarios!$B$121:$B$200,0))</f>
        <v>0</v>
      </c>
      <c r="G573" s="475">
        <f>INDEX(Input!$1:$1048576,G$93,$C573*2+MIN($B573,2)+5)
+INDEX(Scenarios!G$121:G$200,MATCH($B573,Scenarios!$B$121:$B$200,0))</f>
        <v>0</v>
      </c>
      <c r="H573" s="475">
        <f>INDEX(Input!$1:$1048576,H$93,$C573*2+MIN($B573,2)+5)
+INDEX(Scenarios!H$121:H$200,MATCH($B573,Scenarios!$B$121:$B$200,0))</f>
        <v>0</v>
      </c>
      <c r="I573" s="476">
        <f>INDEX(Input!$1:$1048576,I$93,$C573*2+MIN($B573,2)+5)</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+INDEX(Scenarios!Q$121:Q$200,MATCH($B573,Scenarios!$B$121:$B$200,0))</f>
        <v>1000</v>
      </c>
      <c r="R573" s="478">
        <f>IFERROR(MAX(0,INDEX(Input!$1:$1048576,R$93,$C573*2+MIN($B573,2)+5)
+INDEX(Scenarios!R$121:R$200,MATCH($B573,Scenarios!$B$121:$B$200,0)),),"Market")</f>
        <v>9.0000000000000011E-3</v>
      </c>
      <c r="S573" s="478">
        <f>IFERROR(MAX(0,INDEX(Input!$1:$1048576,S$93,$C573*2+MIN($B573,2)+5)
+INDEX(Scenarios!S$121:S$200,MATCH($B573,Scenarios!$B$121:$B$200,0)),),"Market")</f>
        <v>9.0000000000000011E-3</v>
      </c>
      <c r="T573" s="478">
        <f>IFERROR(MAX(0,INDEX(Input!$1:$1048576,T$93,$C573*2+MIN($B573,2)+5)
+INDEX(Scenarios!T$121:T$200,MATCH($B573,Scenarios!$B$121:$B$200,0)),),"Market")</f>
        <v>9.0000000000000011E-3</v>
      </c>
      <c r="U573" s="478">
        <f>IFERROR(MAX(0,INDEX(Input!$1:$1048576,U$93,$C573*2+MIN($B573,2)+5)
+INDEX(Scenarios!U$121:U$200,MATCH($B573,Scenarios!$B$121:$B$200,0)),),"Market")</f>
        <v>9.0000000000000011E-3</v>
      </c>
      <c r="V573" s="478">
        <f>IFERROR(MAX(0,INDEX(Input!$1:$1048576,V$93,$C573*2+MIN($B573,2)+5)
+INDEX(Scenarios!V$121:V$200,MATCH($B573,Scenarios!$B$121:$B$200,0)),),"Market")</f>
        <v>2.8999999999999998E-2</v>
      </c>
      <c r="W573" s="863">
        <f>IFERROR(MAX(0,INDEX(Input!$1:$1048576,W$93,$C573*2+MIN($B573,2)+5)-0%,),"Market")</f>
        <v>3.9E-2</v>
      </c>
      <c r="X573" s="476" t="str">
        <f>INDEX(Input!$1:$1048576,X$93,$C573*2+MIN($B573,2)+5)</f>
        <v>Y</v>
      </c>
      <c r="Y573" s="475">
        <f>INDEX(Input!$1:$1048576,Y$93,$C573*2+MIN($B573,2)+5)
++INDEX(Scenarios!Y$121:Y$200,MATCH($B573,Scenarios!$B$121:$B$200,0))</f>
        <v>-1098.3618966787526</v>
      </c>
      <c r="Z573" s="477">
        <f>INDEX(Input!$1:$1048576,Z$93,$C573*2+MIN($B573,2)+5)
+INDEX(Scenarios!Z$121:Z$200,MATCH($B573,Scenarios!$B$121:$B$200,0))</f>
        <v>0</v>
      </c>
      <c r="AA573" s="475">
        <f>INDEX(Input!$1:$1048576,AA$93,$C573*2+MIN($B573,2)+5)</f>
        <v>500</v>
      </c>
      <c r="AB573" s="476">
        <f>INDEX(Input!$1:$1048576,AB$93,$C573*2+MIN($B573,2)+5)</f>
        <v>0.43</v>
      </c>
      <c r="AC573" s="475">
        <f>INDEX(Input!$1:$1048576,AC$93,$C573*2+MIN($B573,2)+5)
+INDEX(Scenarios!AC$121:AC$200,MATCH($B573,Scenarios!$B$121:$B$200,0))</f>
        <v>0</v>
      </c>
      <c r="AD573" s="476">
        <f>INDEX(Input!$1:$1048576,AD$93,$C573*2+MIN($B573,2)+5)</f>
        <v>0.35</v>
      </c>
      <c r="AE573" s="475">
        <f>INDEX(Input!$1:$1048576,AE$93,$C573*2+MIN($B573,2)+5)
+INDEX(Scenarios!AE$121:AE$200,MATCH($B573,Scenarios!$B$121:$B$200,0))</f>
        <v>0</v>
      </c>
      <c r="AF573" s="476">
        <f>INDEX(Input!$1:$1048576,AF$93,$C573*2+MIN($B573,2)+5)</f>
        <v>1</v>
      </c>
      <c r="AG573" s="475">
        <f>INDEX(Input!$1:$1048576,AG$93,$C573*2+MIN($B573,2)+5)
+INDEX(Scenarios!AG$121:AG$200,MATCH($B573,Scenarios!$B$121:$B$200,0))</f>
        <v>0</v>
      </c>
      <c r="AH573" s="476">
        <f>INDEX(Input!$1:$1048576,AH$93,$C573*2+MIN($B573,2)+5)</f>
        <v>1</v>
      </c>
      <c r="AI573" s="475">
        <f>INDEX(Input!$1:$1048576,AI$93,$C573*2+MIN($B573,2)+5)
+INDEX(Scenarios!AI$121:AI$200,MATCH($B573,Scenarios!$B$121:$B$200,0))</f>
        <v>0</v>
      </c>
      <c r="AJ573" s="476">
        <f>INDEX(Input!$1:$1048576,AJ$93,$C573*2+MIN($B573,2)+5)</f>
        <v>0.35</v>
      </c>
      <c r="AK573" s="150">
        <f>ROUND(INDEX(Input!$1:$1048576,AK$93,$C572*2+MIN($B573,1)+5)+(Y573-VLOOKUP($C573*1000+1,$A:$HH,Y$92,FALSE)),0)</f>
        <v>4592</v>
      </c>
      <c r="AL573" s="150">
        <f>ROUND(INDEX(Input!$1:$1048576,AL$93,$C572*2+MIN($B573,1)+5)-(Y573-VLOOKUP($C573*1000+1,$A:$HH,Y$92,FALSE))/36,0)</f>
        <v>4743</v>
      </c>
      <c r="AM573" s="32" t="str">
        <f t="shared" si="1773"/>
        <v>std/std/std/std</v>
      </c>
      <c r="AN573" s="32" t="str">
        <f t="shared" si="1774"/>
        <v>$1000 + 0.9/0.9/0.9/2.9/3.9</v>
      </c>
      <c r="AO573" s="32" t="str">
        <f t="shared" si="1775"/>
        <v>0.9/0.9/0.9/2.9/3.9</v>
      </c>
      <c r="AP573" s="32" t="str">
        <f t="shared" si="1755"/>
        <v>0.9/1.9/2.9/3.9</v>
      </c>
      <c r="AQ573" s="536">
        <f t="shared" si="1754"/>
        <v>0.48029695281488943</v>
      </c>
      <c r="AR573" s="32"/>
      <c r="AS573" s="302"/>
      <c r="AT573" s="3">
        <f t="shared" si="1867"/>
        <v>73</v>
      </c>
      <c r="AU573" s="41" t="s">
        <v>121</v>
      </c>
      <c r="AV573" s="41" t="s">
        <v>116</v>
      </c>
      <c r="AW573" s="41" t="str">
        <f>INDEX(Input!$1:$1048576,AW$93,$C573*2+6)</f>
        <v>Kia</v>
      </c>
      <c r="AX573" s="41" t="str">
        <f>INDEX(Input!$1:$1048576,AX$93,$C573*2+6)</f>
        <v>Kia-LR - R2</v>
      </c>
      <c r="AY573" s="41" t="str">
        <f>IF(LEN(D573)=0,"",INDEX(Input!$1:$1048576,AY$93,$C573*2+6))</f>
        <v>Compact Conventional/Sporty Car (43)</v>
      </c>
      <c r="AZ573" s="41" t="str">
        <f>INDEX(Input!$1:$1048576,AZ$93,$C573*2+6)</f>
        <v>Kia Forte</v>
      </c>
      <c r="BA573" s="3">
        <f>INDEX(Input!$1:$1048576,BA$93,$C573*2+6)</f>
        <v>2020</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19695</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756"/>
        <v>1750</v>
      </c>
      <c r="CJ573" s="16" t="str">
        <f>INDEX(Input!$1:$1048576,CJ$93,$C573*2+6)</f>
        <v>N</v>
      </c>
      <c r="CK573" s="1" t="str">
        <f t="shared" si="1757"/>
        <v>Market</v>
      </c>
      <c r="CL573" s="1" t="str">
        <f t="shared" si="1758"/>
        <v>Market</v>
      </c>
      <c r="CM573" s="1" t="str">
        <f t="shared" si="1759"/>
        <v>Market</v>
      </c>
      <c r="CN573" s="1" t="str">
        <f t="shared" si="1760"/>
        <v>Market</v>
      </c>
      <c r="CO573" s="1" t="str">
        <f t="shared" si="1761"/>
        <v>Market</v>
      </c>
      <c r="CP573" s="304">
        <f t="shared" si="1762"/>
        <v>1215</v>
      </c>
      <c r="CQ573" s="1">
        <f t="shared" si="1763"/>
        <v>9.0000000000000011E-3</v>
      </c>
      <c r="CR573" s="1">
        <f t="shared" si="1764"/>
        <v>9.0000000000000011E-3</v>
      </c>
      <c r="CS573" s="1">
        <f t="shared" si="1765"/>
        <v>9.0000000000000011E-3</v>
      </c>
      <c r="CT573" s="1">
        <f t="shared" si="1766"/>
        <v>2.8999999999999998E-2</v>
      </c>
      <c r="CU573" s="1">
        <f t="shared" si="1767"/>
        <v>3.9E-2</v>
      </c>
      <c r="CV573" s="304">
        <f t="shared" si="1768"/>
        <v>-1098.3618966787526</v>
      </c>
      <c r="CW573" s="20" t="s">
        <v>122</v>
      </c>
      <c r="CX573" s="20" t="s">
        <v>122</v>
      </c>
      <c r="CY573" s="20" t="s">
        <v>122</v>
      </c>
      <c r="CZ573" s="20" t="s">
        <v>122</v>
      </c>
      <c r="DA573" s="20" t="s">
        <v>122</v>
      </c>
      <c r="DB573" s="503">
        <f t="shared" si="1769"/>
        <v>0</v>
      </c>
      <c r="DC573" s="127">
        <v>0</v>
      </c>
      <c r="DD573" s="127">
        <v>0</v>
      </c>
      <c r="DE573" s="127">
        <v>0</v>
      </c>
      <c r="DF573" s="127">
        <v>0</v>
      </c>
      <c r="DG573" s="127">
        <v>0</v>
      </c>
      <c r="DH573" s="127">
        <v>0</v>
      </c>
      <c r="DI573" s="127">
        <v>0</v>
      </c>
      <c r="DJ573" s="127">
        <v>0</v>
      </c>
      <c r="DK573" s="127">
        <v>0</v>
      </c>
      <c r="DL573" s="127">
        <v>0</v>
      </c>
      <c r="DM573" s="304">
        <f>INDEX(Input!$1:$1048576,DM$93,$C573*2+6)</f>
        <v>20731.578947368424</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4.5564867453132103E-2</v>
      </c>
      <c r="DZ573" s="7">
        <v>0</v>
      </c>
      <c r="EA573" s="7">
        <v>0.79779660530140262</v>
      </c>
      <c r="EB573" s="7">
        <v>0</v>
      </c>
      <c r="EC573" s="7">
        <v>0</v>
      </c>
      <c r="ED573" s="7">
        <v>0</v>
      </c>
      <c r="EE573" s="7">
        <v>0</v>
      </c>
      <c r="EF573" s="7">
        <v>0</v>
      </c>
      <c r="EG573" s="7">
        <v>0</v>
      </c>
      <c r="EH573" s="7">
        <v>1.7855029921783987E-2</v>
      </c>
      <c r="EI573" s="7">
        <v>2.1031112210267034E-2</v>
      </c>
      <c r="EJ573" s="7">
        <v>0.29143193206877249</v>
      </c>
      <c r="EK573" s="7">
        <v>0.60058495401169554</v>
      </c>
      <c r="EL573" s="7">
        <v>6.9096971787480768E-2</v>
      </c>
      <c r="EM573" s="7">
        <v>5.5156595123542589E-2</v>
      </c>
      <c r="EN573" s="7">
        <v>4.7389414834810642E-2</v>
      </c>
      <c r="EO573" s="7">
        <v>0.58257482350531886</v>
      </c>
      <c r="EP573" s="7">
        <v>0.25105779963266334</v>
      </c>
      <c r="EQ573" s="7">
        <v>7.2206499592515336E-2</v>
      </c>
      <c r="ER573" s="7">
        <v>4.6771462434691546E-2</v>
      </c>
      <c r="ES573" s="7">
        <v>0.10148193212192266</v>
      </c>
      <c r="ET573" s="7">
        <v>0.15663852724546529</v>
      </c>
      <c r="EU573" s="6">
        <v>2100</v>
      </c>
      <c r="EV573" s="6">
        <v>0</v>
      </c>
      <c r="EW573" s="6">
        <v>2100</v>
      </c>
      <c r="EX573" s="6">
        <v>0</v>
      </c>
      <c r="EY573" s="6">
        <v>3213.0915258229311</v>
      </c>
      <c r="EZ573" s="6">
        <v>-1723.0908300335955</v>
      </c>
      <c r="FA573" s="6">
        <v>0</v>
      </c>
      <c r="FB573" s="6">
        <v>0</v>
      </c>
      <c r="FC573" s="6">
        <v>0</v>
      </c>
      <c r="FD573" s="6">
        <v>0</v>
      </c>
      <c r="FE573" s="6">
        <v>0</v>
      </c>
      <c r="FF573" s="6">
        <v>0</v>
      </c>
      <c r="FG573" s="6">
        <v>0</v>
      </c>
      <c r="FH573" s="6">
        <v>926.09953089392206</v>
      </c>
      <c r="FI573" s="6">
        <v>1232.1164465304234</v>
      </c>
      <c r="FJ573" s="6">
        <v>1709.9775738488472</v>
      </c>
      <c r="FK573" s="6">
        <v>1266.3227157028184</v>
      </c>
      <c r="FL573" s="6">
        <v>893.9143356348942</v>
      </c>
      <c r="FM573" s="6">
        <v>1363.0915258229311</v>
      </c>
      <c r="FN573" s="6">
        <v>0</v>
      </c>
      <c r="FO573" s="6">
        <v>0</v>
      </c>
      <c r="FP573" s="6">
        <v>0</v>
      </c>
      <c r="FQ573" s="6">
        <v>0</v>
      </c>
      <c r="FR573" s="6">
        <v>0</v>
      </c>
      <c r="FS573" s="6">
        <v>0</v>
      </c>
      <c r="FT573" s="7">
        <v>0.84336147275453477</v>
      </c>
      <c r="FU573" s="7">
        <v>5.5156595123542589E-2</v>
      </c>
      <c r="FV573" s="7">
        <v>0.10148193212192266</v>
      </c>
      <c r="FW573" s="6">
        <v>2099.9999999999995</v>
      </c>
      <c r="FX573" s="6">
        <v>3213.0915258229311</v>
      </c>
      <c r="FY573" s="6">
        <v>-1723.0908300335955</v>
      </c>
      <c r="FZ573" s="6">
        <v>2411.9063952864503</v>
      </c>
      <c r="GA573" s="6">
        <v>1773.4196945158474</v>
      </c>
      <c r="GB573" s="6">
        <v>17921.580305484153</v>
      </c>
      <c r="GC573" s="7">
        <v>7.6138913542514425E-2</v>
      </c>
      <c r="GD573" s="7">
        <v>6.919108225940826E-2</v>
      </c>
      <c r="GE573" s="7"/>
      <c r="GF573" s="7"/>
      <c r="GG573" s="7">
        <v>-9.1252041299835954E-2</v>
      </c>
      <c r="GH573" s="42">
        <v>2.8147946562256974</v>
      </c>
      <c r="GI573" s="6">
        <v>8770.3776986953199</v>
      </c>
      <c r="GJ573" s="14">
        <v>0.51074630601039528</v>
      </c>
      <c r="GK573" s="14">
        <v>0.50829519786160948</v>
      </c>
      <c r="GL573" s="14">
        <v>0.48925369398960428</v>
      </c>
      <c r="GM573" s="14">
        <v>0.49170480213839035</v>
      </c>
      <c r="GO573" s="5">
        <v>338.16872463277008</v>
      </c>
      <c r="GP573" s="5">
        <v>298.1047308538179</v>
      </c>
      <c r="GQ573" s="5">
        <v>527.27910984145694</v>
      </c>
      <c r="GR573" s="5">
        <v>404.20319246551543</v>
      </c>
      <c r="GS573" s="5">
        <v>334.50205195691484</v>
      </c>
      <c r="GT573" s="5">
        <v>289.18266033348181</v>
      </c>
      <c r="GU573" s="5">
        <v>254.29573314828914</v>
      </c>
      <c r="GV573" s="39" t="s">
        <v>392</v>
      </c>
      <c r="GW573" s="5">
        <v>447.1315522792483</v>
      </c>
      <c r="GX573" s="5">
        <v>336.85261339557292</v>
      </c>
      <c r="GY573" s="5">
        <v>270.68882024685041</v>
      </c>
      <c r="GZ573" s="5">
        <v>240.49762667968707</v>
      </c>
      <c r="HA573" s="5">
        <v>216.26912746293831</v>
      </c>
      <c r="HB573" s="39">
        <v>253.33809608767146</v>
      </c>
      <c r="HC573" s="5">
        <v>358.50084881396981</v>
      </c>
      <c r="HD573" s="5">
        <v>287.77900980034525</v>
      </c>
      <c r="HE573" s="5">
        <v>285.23787161201437</v>
      </c>
      <c r="HF573" s="5">
        <v>257.54964978663213</v>
      </c>
      <c r="HG573" s="5">
        <v>240.60084178617024</v>
      </c>
      <c r="HH573" s="39">
        <v>286.10315562059293</v>
      </c>
      <c r="HI573" s="16"/>
      <c r="HJ573" s="19" t="str">
        <f t="shared" ref="HJ573:HK573" si="1872">HJ572</f>
        <v>On</v>
      </c>
      <c r="HK573" s="1" t="str">
        <f t="shared" si="1872"/>
        <v>On</v>
      </c>
      <c r="HL573" s="16"/>
      <c r="HM573" s="639">
        <f t="shared" si="1833"/>
        <v>5.1181272167489952E-2</v>
      </c>
      <c r="HN573" s="639">
        <f t="shared" si="1834"/>
        <v>4.2792051795134348E-3</v>
      </c>
      <c r="HO573" s="639">
        <f t="shared" si="1835"/>
        <v>7.4145241462331068E-3</v>
      </c>
      <c r="HP573" s="644">
        <f>(FT573*$GD573-HM573)/$JF573*INDEX(Input!$1:$1048576,$JG$93,$C573*2+6)</f>
        <v>84.636039091620972</v>
      </c>
      <c r="HQ573" s="644">
        <f>(FU573*$GD573-HN573)/$JF573*INDEX(Input!$1:$1048576,$JG$93,$C573*2+6)</f>
        <v>-5.4623078865805601</v>
      </c>
      <c r="HR573" s="644">
        <f>(FV573*$GD573-HO573)/$JF573*INDEX(Input!$1:$1048576,$JG$93,$C573*2+6)</f>
        <v>-4.6364458420558403</v>
      </c>
      <c r="HS573" s="644">
        <f t="shared" si="1857"/>
        <v>-16.884417267158522</v>
      </c>
      <c r="HT573" s="644">
        <f t="shared" si="1858"/>
        <v>51.663433782603882</v>
      </c>
      <c r="HU573" s="644">
        <f t="shared" si="1837"/>
        <v>8.0512610541219924</v>
      </c>
      <c r="HV573" s="648">
        <f t="shared" si="1838"/>
        <v>0</v>
      </c>
      <c r="HW573" s="648">
        <f t="shared" si="1839"/>
        <v>0</v>
      </c>
      <c r="HX573" s="648">
        <f t="shared" si="1840"/>
        <v>0</v>
      </c>
      <c r="HY573" s="644">
        <f>INDEX(Input!$1:$1048576,HY$93,$C573*2+6)*INDEX(Input!$1:$1048576,$JG$93,$C573*2+6)</f>
        <v>345</v>
      </c>
      <c r="HZ573" s="644">
        <f>INDEX(Input!$1:$1048576,HZ$93,$C573*2+6)*INDEX(Input!$1:$1048576,$JG$93,$C573*2+6)</f>
        <v>299</v>
      </c>
      <c r="IA573" s="644">
        <f>INDEX(Input!$1:$1048576,IA$93,$C573*2+6)*INDEX(Input!$1:$1048576,$JG$93,$C573*2+6)</f>
        <v>98</v>
      </c>
      <c r="IB573" s="644">
        <f t="shared" si="1780"/>
        <v>412.7516218244624</v>
      </c>
      <c r="IC573" s="644">
        <f t="shared" si="1781"/>
        <v>345.20112589602331</v>
      </c>
      <c r="ID573" s="644">
        <f>IF(AND(INDEX(Input!$1:$1048576,IA$93,$C573*2+7)="TOS",Y573&lt;=INDEX(Y:Y,MATCH(C573*1000+2,A:A))),0,1)*MAX(IA573+HR573+HU573+HX573,0%)</f>
        <v>101.41481521206616</v>
      </c>
      <c r="IE573" s="128">
        <f t="shared" ref="IE573:IE580" si="1873">IB573/SUM($IB573:$ID573)</f>
        <v>0.48029695281488943</v>
      </c>
      <c r="IF573" s="128">
        <f t="shared" ref="IF573:IF580" si="1874">IC573/SUM($IB573:$ID573)</f>
        <v>0.40169205912082662</v>
      </c>
      <c r="IG573" s="128">
        <f t="shared" si="1784"/>
        <v>0.11801098806428394</v>
      </c>
      <c r="IH573" s="21"/>
      <c r="II573" s="19">
        <f t="shared" si="1841"/>
        <v>1200</v>
      </c>
      <c r="IJ573" s="19">
        <f t="shared" si="1842"/>
        <v>2231.5440334087361</v>
      </c>
      <c r="IK573" s="19">
        <f t="shared" si="1843"/>
        <v>-2048.0908300335955</v>
      </c>
      <c r="IL573" s="19">
        <f t="shared" si="1785"/>
        <v>899.99999999999955</v>
      </c>
      <c r="IM573" s="19">
        <f t="shared" si="1786"/>
        <v>981.54749241419495</v>
      </c>
      <c r="IN573" s="19">
        <f t="shared" si="1787"/>
        <v>325</v>
      </c>
      <c r="IO573" s="39">
        <f t="shared" si="1844"/>
        <v>0</v>
      </c>
      <c r="IP573" s="39">
        <f t="shared" si="1845"/>
        <v>0</v>
      </c>
      <c r="IQ573" s="39">
        <f t="shared" si="1846"/>
        <v>0</v>
      </c>
      <c r="IR573" s="39">
        <v>0</v>
      </c>
      <c r="IS573" s="39">
        <v>0</v>
      </c>
      <c r="IT573" s="39">
        <v>0</v>
      </c>
      <c r="IU573" s="39">
        <v>0</v>
      </c>
      <c r="IV573" s="39">
        <v>0</v>
      </c>
      <c r="IW573" s="39">
        <v>0</v>
      </c>
      <c r="IX573" s="39">
        <f>INDEX(Input!$1:$1048576,IX$93,$C573*2+6)+INDEX(Input!$1:$1048576,IX$94,$C573*2+6)</f>
        <v>1600</v>
      </c>
      <c r="IY573" s="39">
        <f>INDEX(Input!$1:$1048576,IY$93,$C573*2+6)+INDEX(Input!$1:$1048576,IY$94,$C573*2+6)</f>
        <v>2503.5492916397525</v>
      </c>
      <c r="IZ573" s="39">
        <f>INDEX(Input!$1:$1048576,IZ$93,$C573*2+6)+INDEX(Input!$1:$1048576,IZ$94,$C573*2+6)</f>
        <v>5413.7109265464023</v>
      </c>
      <c r="JA573" s="19">
        <f t="shared" si="1788"/>
        <v>2499.9999999999995</v>
      </c>
      <c r="JB573" s="19">
        <f t="shared" si="1789"/>
        <v>3485.0967840539474</v>
      </c>
      <c r="JC573" s="19">
        <f t="shared" si="1790"/>
        <v>5738.7109265464023</v>
      </c>
      <c r="JD573" s="19">
        <f t="shared" si="1791"/>
        <v>3277.9090321162676</v>
      </c>
      <c r="JE573" s="21"/>
      <c r="JF573" s="1">
        <f t="shared" si="1847"/>
        <v>6.2875001493236493E-2</v>
      </c>
      <c r="JG573" s="15">
        <f>INDEX(Input!$1:$1048576,JG$93,$C573*2+6)/(1+VLOOKUP(C573*1000+INDEX(Input!$1:$1048576,JG$93+1,$C573*2+6),$A:$KK,$JK$92,FALSE))</f>
        <v>742</v>
      </c>
      <c r="JH573" s="1">
        <f t="shared" si="1792"/>
        <v>0.1004545624838067</v>
      </c>
      <c r="JI573" s="1">
        <f t="shared" si="1793"/>
        <v>5.772274605062986E-2</v>
      </c>
      <c r="JJ573" s="1">
        <f t="shared" ref="JJ573:JJ580" si="1875">SUM(HV573:HX573)/SUM(HY573:IA573)</f>
        <v>0</v>
      </c>
      <c r="JK573" s="1">
        <f t="shared" ref="JK573:JK580" si="1876">SUM(JH573:JJ573)</f>
        <v>0.15817730853443657</v>
      </c>
      <c r="JL573" s="15">
        <f t="shared" si="1796"/>
        <v>117.36756293255193</v>
      </c>
      <c r="JM573" s="15">
        <f t="shared" si="1797"/>
        <v>859.36756293255189</v>
      </c>
      <c r="JN573" s="21"/>
      <c r="JO573" s="19">
        <f>INDEX(Input!$1:$1048576,JO$93,$C573*2+6)</f>
        <v>5908.5</v>
      </c>
      <c r="JP573" s="19">
        <f>INDEX(Input!$1:$1048576,JP$93,$C573*2+6)</f>
        <v>2467.7963733178344</v>
      </c>
      <c r="JQ573" s="39">
        <f t="shared" si="1798"/>
        <v>2630.5909678837324</v>
      </c>
      <c r="JR573" s="39">
        <f t="shared" si="1799"/>
        <v>810.11265879843313</v>
      </c>
      <c r="JS573" s="39">
        <f t="shared" si="1800"/>
        <v>2.8169286964443567</v>
      </c>
      <c r="JT573" s="39">
        <f t="shared" si="1801"/>
        <v>0.98582378744252375</v>
      </c>
      <c r="JU573" s="385">
        <f>(JQ573*JM573-INDEX(Input!$1:$1048576,Input!A$18,$C573*2+6)*JL573*INDEX(Input!$1:$1048576,Input!A$19,$C573*2+6))/1000000</f>
        <v>2.2606445491426261</v>
      </c>
      <c r="JV573" s="39">
        <f t="shared" si="1802"/>
        <v>-0.29235754185554041</v>
      </c>
      <c r="JW573" s="1">
        <f t="shared" si="1803"/>
        <v>-0.11451519874832346</v>
      </c>
      <c r="JX573" s="19">
        <f t="shared" si="1804"/>
        <v>8399.4569096493124</v>
      </c>
      <c r="JZ573" s="341"/>
      <c r="KA573" s="342"/>
      <c r="KB573" s="469">
        <f t="shared" si="1805"/>
        <v>2.4623520912331753</v>
      </c>
      <c r="KI573" s="473">
        <f t="shared" ref="KI573:KI580" si="1877">$JM573*IE573-$JG573*HY573/SUM($HY573:$IA573)</f>
        <v>67.751621824462404</v>
      </c>
      <c r="KJ573" s="473">
        <f t="shared" ref="KJ573:KJ580" si="1878">$JM573*IF573-$JG573*HZ573/SUM($HY573:$IA573)</f>
        <v>46.201125896023314</v>
      </c>
      <c r="KK573" s="473">
        <f t="shared" si="1808"/>
        <v>3.4148152120661592</v>
      </c>
      <c r="KN573" s="544">
        <f t="shared" si="1809"/>
        <v>5002</v>
      </c>
      <c r="KO573" s="541">
        <f t="shared" si="1848"/>
        <v>7.6159483320718424E-2</v>
      </c>
      <c r="KP573" s="546">
        <f t="shared" si="1849"/>
        <v>473.73734474053134</v>
      </c>
      <c r="KQ573" s="546">
        <f t="shared" si="1850"/>
        <v>419.13658596455844</v>
      </c>
      <c r="KR573" s="548">
        <f t="shared" si="1851"/>
        <v>2.7066441052339205</v>
      </c>
      <c r="KS573" s="548">
        <f t="shared" si="1852"/>
        <v>3.059237571972667</v>
      </c>
      <c r="KT573" s="473">
        <f t="shared" si="1810"/>
        <v>389.37465324503302</v>
      </c>
      <c r="KU573" s="663">
        <f t="shared" si="1854"/>
        <v>7.2524891639440741</v>
      </c>
    </row>
    <row r="574" spans="1:308" s="26" customFormat="1" ht="15" outlineLevel="1">
      <c r="A574" s="561">
        <f t="shared" si="1770"/>
        <v>5074</v>
      </c>
      <c r="B574" s="561">
        <f t="shared" si="1865"/>
        <v>74</v>
      </c>
      <c r="C574" s="561">
        <f t="shared" si="1866"/>
        <v>5</v>
      </c>
      <c r="D574" s="561" t="str">
        <f t="shared" si="1812"/>
        <v xml:space="preserve">750 CC, 0.9/1.9/2.9/3.9, 1500 Combo, </v>
      </c>
      <c r="E574" s="475">
        <f>INDEX(Input!$1:$1048576,E$93,$C574*2+MIN($B574,2)+5)
+INDEX(Scenarios!E$121:E$200,MATCH($B574,Scenarios!$B$121:$B$200,0))</f>
        <v>2000</v>
      </c>
      <c r="F574" s="475">
        <f>INDEX(Input!$1:$1048576,F$93,$C574*2+MIN($B574,2)+5)
+INDEX(Scenarios!F$121:F$200,MATCH($B574,Scenarios!$B$121:$B$200,0))</f>
        <v>0</v>
      </c>
      <c r="G574" s="475">
        <f>INDEX(Input!$1:$1048576,G$93,$C574*2+MIN($B574,2)+5)
+INDEX(Scenarios!G$121:G$200,MATCH($B574,Scenarios!$B$121:$B$200,0))</f>
        <v>0</v>
      </c>
      <c r="H574" s="475">
        <f>INDEX(Input!$1:$1048576,H$93,$C574*2+MIN($B574,2)+5)
+INDEX(Scenarios!H$121:H$200,MATCH($B574,Scenarios!$B$121:$B$200,0))</f>
        <v>0</v>
      </c>
      <c r="I574" s="476">
        <f>INDEX(Input!$1:$1048576,I$93,$C574*2+MIN($B574,2)+5)</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+INDEX(Scenarios!Q$121:Q$200,MATCH($B574,Scenarios!$B$121:$B$200,0))</f>
        <v>1500</v>
      </c>
      <c r="R574" s="478">
        <f>IFERROR(MAX(0,INDEX(Input!$1:$1048576,R$93,$C574*2+MIN($B574,2)+5)
+INDEX(Scenarios!R$121:R$200,MATCH($B574,Scenarios!$B$121:$B$200,0)),),"Market")</f>
        <v>9.0000000000000011E-3</v>
      </c>
      <c r="S574" s="478">
        <f>IFERROR(MAX(0,INDEX(Input!$1:$1048576,S$93,$C574*2+MIN($B574,2)+5)
+INDEX(Scenarios!S$121:S$200,MATCH($B574,Scenarios!$B$121:$B$200,0)),),"Market")</f>
        <v>9.0000000000000011E-3</v>
      </c>
      <c r="T574" s="478">
        <f>IFERROR(MAX(0,INDEX(Input!$1:$1048576,T$93,$C574*2+MIN($B574,2)+5)
+INDEX(Scenarios!T$121:T$200,MATCH($B574,Scenarios!$B$121:$B$200,0)),),"Market")</f>
        <v>9.0000000000000011E-3</v>
      </c>
      <c r="U574" s="478">
        <f>IFERROR(MAX(0,INDEX(Input!$1:$1048576,U$93,$C574*2+MIN($B574,2)+5)
+INDEX(Scenarios!U$121:U$200,MATCH($B574,Scenarios!$B$121:$B$200,0)),),"Market")</f>
        <v>9.0000000000000011E-3</v>
      </c>
      <c r="V574" s="478">
        <f>IFERROR(MAX(0,INDEX(Input!$1:$1048576,V$93,$C574*2+MIN($B574,2)+5)
+INDEX(Scenarios!V$121:V$200,MATCH($B574,Scenarios!$B$121:$B$200,0)),),"Market")</f>
        <v>2.8999999999999998E-2</v>
      </c>
      <c r="W574" s="863">
        <f>IFERROR(MAX(0,INDEX(Input!$1:$1048576,W$93,$C574*2+MIN($B574,2)+5)-0%,),"Market")</f>
        <v>3.9E-2</v>
      </c>
      <c r="X574" s="476" t="str">
        <f>INDEX(Input!$1:$1048576,X$93,$C574*2+MIN($B574,2)+5)</f>
        <v>Y</v>
      </c>
      <c r="Y574" s="475">
        <f>INDEX(Input!$1:$1048576,Y$93,$C574*2+MIN($B574,2)+5)
++INDEX(Scenarios!Y$121:Y$200,MATCH($B574,Scenarios!$B$121:$B$200,0))</f>
        <v>-1098.3618966787526</v>
      </c>
      <c r="Z574" s="477">
        <f>INDEX(Input!$1:$1048576,Z$93,$C574*2+MIN($B574,2)+5)
+INDEX(Scenarios!Z$121:Z$200,MATCH($B574,Scenarios!$B$121:$B$200,0))</f>
        <v>0</v>
      </c>
      <c r="AA574" s="475">
        <f>INDEX(Input!$1:$1048576,AA$93,$C574*2+MIN($B574,2)+5)</f>
        <v>500</v>
      </c>
      <c r="AB574" s="476">
        <f>INDEX(Input!$1:$1048576,AB$93,$C574*2+MIN($B574,2)+5)</f>
        <v>0.43</v>
      </c>
      <c r="AC574" s="475">
        <f>INDEX(Input!$1:$1048576,AC$93,$C574*2+MIN($B574,2)+5)
+INDEX(Scenarios!AC$121:AC$200,MATCH($B574,Scenarios!$B$121:$B$200,0))</f>
        <v>0</v>
      </c>
      <c r="AD574" s="476">
        <f>INDEX(Input!$1:$1048576,AD$93,$C574*2+MIN($B574,2)+5)</f>
        <v>0.35</v>
      </c>
      <c r="AE574" s="475">
        <f>INDEX(Input!$1:$1048576,AE$93,$C574*2+MIN($B574,2)+5)
+INDEX(Scenarios!AE$121:AE$200,MATCH($B574,Scenarios!$B$121:$B$200,0))</f>
        <v>0</v>
      </c>
      <c r="AF574" s="476">
        <f>INDEX(Input!$1:$1048576,AF$93,$C574*2+MIN($B574,2)+5)</f>
        <v>1</v>
      </c>
      <c r="AG574" s="475">
        <f>INDEX(Input!$1:$1048576,AG$93,$C574*2+MIN($B574,2)+5)
+INDEX(Scenarios!AG$121:AG$200,MATCH($B574,Scenarios!$B$121:$B$200,0))</f>
        <v>0</v>
      </c>
      <c r="AH574" s="476">
        <f>INDEX(Input!$1:$1048576,AH$93,$C574*2+MIN($B574,2)+5)</f>
        <v>1</v>
      </c>
      <c r="AI574" s="475">
        <f>INDEX(Input!$1:$1048576,AI$93,$C574*2+MIN($B574,2)+5)
+INDEX(Scenarios!AI$121:AI$200,MATCH($B574,Scenarios!$B$121:$B$200,0))</f>
        <v>0</v>
      </c>
      <c r="AJ574" s="476">
        <f>INDEX(Input!$1:$1048576,AJ$93,$C574*2+MIN($B574,2)+5)</f>
        <v>0.35</v>
      </c>
      <c r="AK574" s="150">
        <f>ROUND(INDEX(Input!$1:$1048576,AK$93,$C573*2+MIN($B574,1)+5)+(Y574-VLOOKUP($C574*1000+1,$A:$HH,Y$92,FALSE)),0)</f>
        <v>4592</v>
      </c>
      <c r="AL574" s="150">
        <f>ROUND(INDEX(Input!$1:$1048576,AL$93,$C573*2+MIN($B574,1)+5)-(Y574-VLOOKUP($C574*1000+1,$A:$HH,Y$92,FALSE))/36,0)</f>
        <v>4743</v>
      </c>
      <c r="AM574" s="32" t="str">
        <f t="shared" si="1773"/>
        <v>std/std/std/std</v>
      </c>
      <c r="AN574" s="32" t="str">
        <f t="shared" si="1774"/>
        <v>$1500 + 0.9/0.9/0.9/2.9/3.9</v>
      </c>
      <c r="AO574" s="32" t="str">
        <f t="shared" si="1775"/>
        <v>0.9/0.9/0.9/2.9/3.9</v>
      </c>
      <c r="AP574" s="32" t="str">
        <f t="shared" si="1755"/>
        <v>0.9/1.9/2.9/3.9</v>
      </c>
      <c r="AQ574" s="536">
        <f t="shared" si="1754"/>
        <v>0.47492185375022944</v>
      </c>
      <c r="AR574" s="32"/>
      <c r="AS574" s="302"/>
      <c r="AT574" s="3">
        <f t="shared" si="1867"/>
        <v>74</v>
      </c>
      <c r="AU574" s="41" t="s">
        <v>121</v>
      </c>
      <c r="AV574" s="41" t="s">
        <v>116</v>
      </c>
      <c r="AW574" s="41" t="str">
        <f>INDEX(Input!$1:$1048576,AW$93,$C574*2+6)</f>
        <v>Kia</v>
      </c>
      <c r="AX574" s="41" t="str">
        <f>INDEX(Input!$1:$1048576,AX$93,$C574*2+6)</f>
        <v>Kia-LR - R2</v>
      </c>
      <c r="AY574" s="41" t="str">
        <f>IF(LEN(D574)=0,"",INDEX(Input!$1:$1048576,AY$93,$C574*2+6))</f>
        <v>Compact Conventional/Sporty Car (43)</v>
      </c>
      <c r="AZ574" s="41" t="str">
        <f>INDEX(Input!$1:$1048576,AZ$93,$C574*2+6)</f>
        <v>Kia Forte</v>
      </c>
      <c r="BA574" s="3">
        <f>INDEX(Input!$1:$1048576,BA$93,$C574*2+6)</f>
        <v>2020</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19695</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756"/>
        <v>2000</v>
      </c>
      <c r="CJ574" s="16" t="str">
        <f>INDEX(Input!$1:$1048576,CJ$93,$C574*2+6)</f>
        <v>N</v>
      </c>
      <c r="CK574" s="1" t="str">
        <f t="shared" si="1757"/>
        <v>Market</v>
      </c>
      <c r="CL574" s="1" t="str">
        <f t="shared" si="1758"/>
        <v>Market</v>
      </c>
      <c r="CM574" s="1" t="str">
        <f t="shared" si="1759"/>
        <v>Market</v>
      </c>
      <c r="CN574" s="1" t="str">
        <f t="shared" si="1760"/>
        <v>Market</v>
      </c>
      <c r="CO574" s="1" t="str">
        <f t="shared" si="1761"/>
        <v>Market</v>
      </c>
      <c r="CP574" s="304">
        <f t="shared" si="1762"/>
        <v>1715</v>
      </c>
      <c r="CQ574" s="1">
        <f t="shared" si="1763"/>
        <v>9.0000000000000011E-3</v>
      </c>
      <c r="CR574" s="1">
        <f t="shared" si="1764"/>
        <v>9.0000000000000011E-3</v>
      </c>
      <c r="CS574" s="1">
        <f t="shared" si="1765"/>
        <v>9.0000000000000011E-3</v>
      </c>
      <c r="CT574" s="1">
        <f t="shared" si="1766"/>
        <v>2.8999999999999998E-2</v>
      </c>
      <c r="CU574" s="1">
        <f t="shared" si="1767"/>
        <v>3.9E-2</v>
      </c>
      <c r="CV574" s="304">
        <f t="shared" si="1768"/>
        <v>-1098.3618966787526</v>
      </c>
      <c r="CW574" s="20" t="s">
        <v>122</v>
      </c>
      <c r="CX574" s="20" t="s">
        <v>122</v>
      </c>
      <c r="CY574" s="20" t="s">
        <v>122</v>
      </c>
      <c r="CZ574" s="20" t="s">
        <v>122</v>
      </c>
      <c r="DA574" s="20" t="s">
        <v>122</v>
      </c>
      <c r="DB574" s="503">
        <f t="shared" si="1769"/>
        <v>0</v>
      </c>
      <c r="DC574" s="127">
        <v>0</v>
      </c>
      <c r="DD574" s="127">
        <v>0</v>
      </c>
      <c r="DE574" s="127">
        <v>0</v>
      </c>
      <c r="DF574" s="127">
        <v>0</v>
      </c>
      <c r="DG574" s="127">
        <v>0</v>
      </c>
      <c r="DH574" s="127">
        <v>0</v>
      </c>
      <c r="DI574" s="127">
        <v>0</v>
      </c>
      <c r="DJ574" s="127">
        <v>0</v>
      </c>
      <c r="DK574" s="127">
        <v>0</v>
      </c>
      <c r="DL574" s="127">
        <v>0</v>
      </c>
      <c r="DM574" s="304">
        <f>INDEX(Input!$1:$1048576,DM$93,$C574*2+6)</f>
        <v>20731.578947368424</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4.5893970540400106E-2</v>
      </c>
      <c r="DZ574" s="7">
        <v>0</v>
      </c>
      <c r="EA574" s="7">
        <v>0.7997359186481009</v>
      </c>
      <c r="EB574" s="7">
        <v>0</v>
      </c>
      <c r="EC574" s="7">
        <v>0</v>
      </c>
      <c r="ED574" s="7">
        <v>0</v>
      </c>
      <c r="EE574" s="7">
        <v>0</v>
      </c>
      <c r="EF574" s="7">
        <v>0</v>
      </c>
      <c r="EG574" s="7">
        <v>0</v>
      </c>
      <c r="EH574" s="7">
        <v>1.7857543879826618E-2</v>
      </c>
      <c r="EI574" s="7">
        <v>2.1031150263592934E-2</v>
      </c>
      <c r="EJ574" s="7">
        <v>0.29149755948920825</v>
      </c>
      <c r="EK574" s="7">
        <v>0.60052086040424923</v>
      </c>
      <c r="EL574" s="7">
        <v>6.9092885963122436E-2</v>
      </c>
      <c r="EM574" s="7">
        <v>5.9593945426034405E-2</v>
      </c>
      <c r="EN574" s="7">
        <v>4.7389237124439071E-2</v>
      </c>
      <c r="EO574" s="7">
        <v>0.58257249460628469</v>
      </c>
      <c r="EP574" s="7">
        <v>0.25105671901126253</v>
      </c>
      <c r="EQ574" s="7">
        <v>7.2206197312978143E-2</v>
      </c>
      <c r="ER574" s="7">
        <v>4.6775351945035799E-2</v>
      </c>
      <c r="ES574" s="7">
        <v>9.47761653854646E-2</v>
      </c>
      <c r="ET574" s="7">
        <v>0.15437011081149898</v>
      </c>
      <c r="EU574" s="6">
        <v>2350</v>
      </c>
      <c r="EV574" s="6">
        <v>0</v>
      </c>
      <c r="EW574" s="6">
        <v>2350</v>
      </c>
      <c r="EX574" s="6">
        <v>0</v>
      </c>
      <c r="EY574" s="6">
        <v>3713.121326584665</v>
      </c>
      <c r="EZ574" s="6">
        <v>-1723.0908300335955</v>
      </c>
      <c r="FA574" s="6">
        <v>0</v>
      </c>
      <c r="FB574" s="6">
        <v>0</v>
      </c>
      <c r="FC574" s="6">
        <v>0</v>
      </c>
      <c r="FD574" s="6">
        <v>0</v>
      </c>
      <c r="FE574" s="6">
        <v>0</v>
      </c>
      <c r="FF574" s="6">
        <v>0</v>
      </c>
      <c r="FG574" s="6">
        <v>0</v>
      </c>
      <c r="FH574" s="6">
        <v>926.10064252911229</v>
      </c>
      <c r="FI574" s="6">
        <v>1232.1164465304232</v>
      </c>
      <c r="FJ574" s="6">
        <v>1709.9775738488449</v>
      </c>
      <c r="FK574" s="6">
        <v>1266.3227157028191</v>
      </c>
      <c r="FL574" s="6">
        <v>893.91433563489431</v>
      </c>
      <c r="FM574" s="6">
        <v>1363.121326584665</v>
      </c>
      <c r="FN574" s="6">
        <v>0</v>
      </c>
      <c r="FO574" s="6">
        <v>0</v>
      </c>
      <c r="FP574" s="6">
        <v>0</v>
      </c>
      <c r="FQ574" s="6">
        <v>0</v>
      </c>
      <c r="FR574" s="6">
        <v>0</v>
      </c>
      <c r="FS574" s="6">
        <v>0</v>
      </c>
      <c r="FT574" s="7">
        <v>0.84562988918850102</v>
      </c>
      <c r="FU574" s="7">
        <v>5.9593945426034405E-2</v>
      </c>
      <c r="FV574" s="7">
        <v>9.47761653854646E-2</v>
      </c>
      <c r="FW574" s="6">
        <v>2350</v>
      </c>
      <c r="FX574" s="6">
        <v>3713.1213265846654</v>
      </c>
      <c r="FY574" s="6">
        <v>-1723.0908300335955</v>
      </c>
      <c r="FZ574" s="6">
        <v>2411.9063952864503</v>
      </c>
      <c r="GA574" s="6">
        <v>2045.2018478082668</v>
      </c>
      <c r="GB574" s="6">
        <v>17649.798152191732</v>
      </c>
      <c r="GC574" s="7">
        <v>7.6138913542514425E-2</v>
      </c>
      <c r="GD574" s="7">
        <v>7.1260883681402071E-2</v>
      </c>
      <c r="GE574" s="7"/>
      <c r="GF574" s="7"/>
      <c r="GG574" s="7">
        <v>-6.4067500232828534E-2</v>
      </c>
      <c r="GH574" s="42">
        <v>3.4409429219326149</v>
      </c>
      <c r="GI574" s="6">
        <v>7768.9236435008997</v>
      </c>
      <c r="GJ574" s="14">
        <v>0.5107463060103955</v>
      </c>
      <c r="GK574" s="14">
        <v>0.50829519786160959</v>
      </c>
      <c r="GL574" s="14">
        <v>0.48925369398960433</v>
      </c>
      <c r="GM574" s="14">
        <v>0.49170480213839013</v>
      </c>
      <c r="GO574" s="5">
        <v>338.16872463277008</v>
      </c>
      <c r="GP574" s="5">
        <v>293.33520778489498</v>
      </c>
      <c r="GQ574" s="5">
        <v>527.27910984145694</v>
      </c>
      <c r="GR574" s="5">
        <v>404.20319246551543</v>
      </c>
      <c r="GS574" s="5">
        <v>334.50205195691484</v>
      </c>
      <c r="GT574" s="5">
        <v>289.18266033348181</v>
      </c>
      <c r="GU574" s="5">
        <v>254.29573314828914</v>
      </c>
      <c r="GV574" s="39" t="s">
        <v>392</v>
      </c>
      <c r="GW574" s="5">
        <v>433.04911228431121</v>
      </c>
      <c r="GX574" s="5">
        <v>326.24341641294012</v>
      </c>
      <c r="GY574" s="5">
        <v>262.1634566284809</v>
      </c>
      <c r="GZ574" s="5">
        <v>232.92313684693576</v>
      </c>
      <c r="HA574" s="5">
        <v>209.45771593376008</v>
      </c>
      <c r="HB574" s="39">
        <v>245.36171626076853</v>
      </c>
      <c r="HC574" s="5">
        <v>358.50084881396981</v>
      </c>
      <c r="HD574" s="5">
        <v>287.77900980034525</v>
      </c>
      <c r="HE574" s="5">
        <v>285.23787161201437</v>
      </c>
      <c r="HF574" s="5">
        <v>257.54964978663213</v>
      </c>
      <c r="HG574" s="5">
        <v>240.60084178617024</v>
      </c>
      <c r="HH574" s="39">
        <v>286.10297143634148</v>
      </c>
      <c r="HI574" s="16"/>
      <c r="HJ574" s="19" t="str">
        <f t="shared" ref="HJ574:HK574" si="1879">HJ573</f>
        <v>On</v>
      </c>
      <c r="HK574" s="1" t="str">
        <f t="shared" si="1879"/>
        <v>On</v>
      </c>
      <c r="HL574" s="16"/>
      <c r="HM574" s="639">
        <f t="shared" si="1833"/>
        <v>5.1181272167489952E-2</v>
      </c>
      <c r="HN574" s="639">
        <f t="shared" si="1834"/>
        <v>4.2792051795134348E-3</v>
      </c>
      <c r="HO574" s="639">
        <f t="shared" si="1835"/>
        <v>7.4145241462331068E-3</v>
      </c>
      <c r="HP574" s="644">
        <f>(FT574*$GD574-HM574)/$JF574*INDEX(Input!$1:$1048576,$JG$93,$C574*2+6)</f>
        <v>107.14374719042058</v>
      </c>
      <c r="HQ574" s="644">
        <f>(FU574*$GD574-HN574)/$JF574*INDEX(Input!$1:$1048576,$JG$93,$C574*2+6)</f>
        <v>-0.38339674737311374</v>
      </c>
      <c r="HR574" s="644">
        <f>(FV574*$GD574-HO574)/$JF574*INDEX(Input!$1:$1048576,$JG$93,$C574*2+6)</f>
        <v>-7.7969399326206705</v>
      </c>
      <c r="HS574" s="644">
        <f t="shared" si="1857"/>
        <v>-21.62216992111086</v>
      </c>
      <c r="HT574" s="644">
        <f t="shared" si="1858"/>
        <v>78.451052479264803</v>
      </c>
      <c r="HU574" s="644">
        <f t="shared" si="1837"/>
        <v>8.7180598867272909</v>
      </c>
      <c r="HV574" s="648">
        <f t="shared" si="1838"/>
        <v>0</v>
      </c>
      <c r="HW574" s="648">
        <f t="shared" si="1839"/>
        <v>0</v>
      </c>
      <c r="HX574" s="648">
        <f t="shared" si="1840"/>
        <v>0</v>
      </c>
      <c r="HY574" s="644">
        <f>INDEX(Input!$1:$1048576,HY$93,$C574*2+6)*INDEX(Input!$1:$1048576,$JG$93,$C574*2+6)</f>
        <v>345</v>
      </c>
      <c r="HZ574" s="644">
        <f>INDEX(Input!$1:$1048576,HZ$93,$C574*2+6)*INDEX(Input!$1:$1048576,$JG$93,$C574*2+6)</f>
        <v>299</v>
      </c>
      <c r="IA574" s="644">
        <f>INDEX(Input!$1:$1048576,IA$93,$C574*2+6)*INDEX(Input!$1:$1048576,$JG$93,$C574*2+6)</f>
        <v>98</v>
      </c>
      <c r="IB574" s="644">
        <f t="shared" si="1780"/>
        <v>430.52157726930966</v>
      </c>
      <c r="IC574" s="644">
        <f t="shared" si="1781"/>
        <v>377.0676557318917</v>
      </c>
      <c r="ID574" s="644">
        <f>IF(AND(INDEX(Input!$1:$1048576,IA$93,$C574*2+7)="TOS",Y574&lt;=INDEX(Y:Y,MATCH(C574*1000+2,A:A))),0,1)*MAX(IA574+HR574+HU574+HX574,0%)</f>
        <v>98.921119954106615</v>
      </c>
      <c r="IE574" s="128">
        <f t="shared" si="1873"/>
        <v>0.47492185375022944</v>
      </c>
      <c r="IF574" s="128">
        <f t="shared" si="1874"/>
        <v>0.41595515649944437</v>
      </c>
      <c r="IG574" s="128">
        <f t="shared" si="1784"/>
        <v>0.10912298975032615</v>
      </c>
      <c r="IH574" s="21"/>
      <c r="II574" s="19">
        <f t="shared" si="1841"/>
        <v>1200</v>
      </c>
      <c r="IJ574" s="19">
        <f t="shared" si="1842"/>
        <v>2231.5440334087361</v>
      </c>
      <c r="IK574" s="19">
        <f t="shared" si="1843"/>
        <v>-2048.0908300335955</v>
      </c>
      <c r="IL574" s="19">
        <f t="shared" si="1785"/>
        <v>1150</v>
      </c>
      <c r="IM574" s="19">
        <f t="shared" si="1786"/>
        <v>1481.5772931759293</v>
      </c>
      <c r="IN574" s="19">
        <f t="shared" si="1787"/>
        <v>325</v>
      </c>
      <c r="IO574" s="39">
        <f t="shared" si="1844"/>
        <v>0</v>
      </c>
      <c r="IP574" s="39">
        <f t="shared" si="1845"/>
        <v>0</v>
      </c>
      <c r="IQ574" s="39">
        <f t="shared" si="1846"/>
        <v>0</v>
      </c>
      <c r="IR574" s="39">
        <v>0</v>
      </c>
      <c r="IS574" s="39">
        <v>0</v>
      </c>
      <c r="IT574" s="39">
        <v>0</v>
      </c>
      <c r="IU574" s="39">
        <v>0</v>
      </c>
      <c r="IV574" s="39">
        <v>0</v>
      </c>
      <c r="IW574" s="39">
        <v>0</v>
      </c>
      <c r="IX574" s="39">
        <f>INDEX(Input!$1:$1048576,IX$93,$C574*2+6)+INDEX(Input!$1:$1048576,IX$94,$C574*2+6)</f>
        <v>1600</v>
      </c>
      <c r="IY574" s="39">
        <f>INDEX(Input!$1:$1048576,IY$93,$C574*2+6)+INDEX(Input!$1:$1048576,IY$94,$C574*2+6)</f>
        <v>2503.5492916397525</v>
      </c>
      <c r="IZ574" s="39">
        <f>INDEX(Input!$1:$1048576,IZ$93,$C574*2+6)+INDEX(Input!$1:$1048576,IZ$94,$C574*2+6)</f>
        <v>5413.7109265464023</v>
      </c>
      <c r="JA574" s="19">
        <f t="shared" si="1788"/>
        <v>2750</v>
      </c>
      <c r="JB574" s="19">
        <f t="shared" si="1789"/>
        <v>3985.1265848156818</v>
      </c>
      <c r="JC574" s="19">
        <f t="shared" si="1790"/>
        <v>5738.7109265464023</v>
      </c>
      <c r="JD574" s="19">
        <f t="shared" si="1791"/>
        <v>3589.8943436878421</v>
      </c>
      <c r="JE574" s="21"/>
      <c r="JF574" s="1">
        <f t="shared" si="1847"/>
        <v>6.2875001493236493E-2</v>
      </c>
      <c r="JG574" s="15">
        <f>INDEX(Input!$1:$1048576,JG$93,$C574*2+6)/(1+VLOOKUP(C574*1000+INDEX(Input!$1:$1048576,JG$93+1,$C574*2+6),$A:$KK,$JK$92,FALSE))</f>
        <v>742</v>
      </c>
      <c r="JH574" s="1">
        <f t="shared" si="1792"/>
        <v>0.13337386861243503</v>
      </c>
      <c r="JI574" s="1">
        <f t="shared" si="1793"/>
        <v>8.8338197365069052E-2</v>
      </c>
      <c r="JJ574" s="1">
        <f t="shared" si="1875"/>
        <v>0</v>
      </c>
      <c r="JK574" s="1">
        <f t="shared" si="1876"/>
        <v>0.22171206597750409</v>
      </c>
      <c r="JL574" s="15">
        <f t="shared" si="1796"/>
        <v>164.51035295530804</v>
      </c>
      <c r="JM574" s="15">
        <f t="shared" si="1797"/>
        <v>906.51035295530801</v>
      </c>
      <c r="JN574" s="21"/>
      <c r="JO574" s="19">
        <f>INDEX(Input!$1:$1048576,JO$93,$C574*2+6)</f>
        <v>5908.5</v>
      </c>
      <c r="JP574" s="19">
        <f>INDEX(Input!$1:$1048576,JP$93,$C574*2+6)</f>
        <v>2467.7963733178344</v>
      </c>
      <c r="JQ574" s="39">
        <f t="shared" si="1798"/>
        <v>2318.6056563121579</v>
      </c>
      <c r="JR574" s="39">
        <f t="shared" si="1799"/>
        <v>1122.0979703700077</v>
      </c>
      <c r="JS574" s="39">
        <f t="shared" si="1800"/>
        <v>3.2542763885687296</v>
      </c>
      <c r="JT574" s="39">
        <f t="shared" si="1801"/>
        <v>1.4231714795668966</v>
      </c>
      <c r="JU574" s="385">
        <f>(JQ574*JM574-INDEX(Input!$1:$1048576,Input!A$18,$C574*2+6)*JL574*INDEX(Input!$1:$1048576,Input!A$19,$C574*2+6))/1000000</f>
        <v>2.1018400318677077</v>
      </c>
      <c r="JV574" s="39">
        <f t="shared" si="1802"/>
        <v>-0.45116205913045881</v>
      </c>
      <c r="JW574" s="1">
        <f t="shared" si="1803"/>
        <v>-0.17671824896706786</v>
      </c>
      <c r="JX574" s="19">
        <f t="shared" si="1804"/>
        <v>8650.9539004729049</v>
      </c>
      <c r="JZ574" s="341"/>
      <c r="KA574" s="342"/>
      <c r="KB574" s="469">
        <f t="shared" si="1805"/>
        <v>2.4623520912331753</v>
      </c>
      <c r="KI574" s="473">
        <f t="shared" si="1877"/>
        <v>85.52157726930966</v>
      </c>
      <c r="KJ574" s="473">
        <f t="shared" si="1878"/>
        <v>78.067655731891705</v>
      </c>
      <c r="KK574" s="473">
        <f t="shared" si="1808"/>
        <v>0.92111995410661507</v>
      </c>
      <c r="KN574" s="544">
        <f t="shared" si="1809"/>
        <v>5002</v>
      </c>
      <c r="KO574" s="541">
        <f t="shared" si="1848"/>
        <v>0.13519494467797721</v>
      </c>
      <c r="KP574" s="546">
        <f t="shared" si="1849"/>
        <v>806.06439906526043</v>
      </c>
      <c r="KQ574" s="546">
        <f t="shared" si="1850"/>
        <v>731.12189753613302</v>
      </c>
      <c r="KR574" s="548">
        <f t="shared" si="1851"/>
        <v>2.8238101761694003</v>
      </c>
      <c r="KS574" s="548">
        <f t="shared" si="1852"/>
        <v>3.1132604021285841</v>
      </c>
      <c r="KT574" s="473">
        <f t="shared" si="1810"/>
        <v>389.37465324503302</v>
      </c>
      <c r="KU574" s="663">
        <f t="shared" si="1854"/>
        <v>7.2864429929854619</v>
      </c>
    </row>
    <row r="575" spans="1:308" s="26" customFormat="1" ht="15" outlineLevel="1">
      <c r="A575" s="561">
        <f t="shared" si="1770"/>
        <v>5075</v>
      </c>
      <c r="B575" s="561">
        <f t="shared" si="1865"/>
        <v>75</v>
      </c>
      <c r="C575" s="561">
        <f t="shared" si="1866"/>
        <v>5</v>
      </c>
      <c r="D575" s="561" t="str">
        <f t="shared" si="1812"/>
        <v xml:space="preserve">500 CC, 0/1.8/2.8/3.9, 1000 Combo, </v>
      </c>
      <c r="E575" s="475">
        <f>INDEX(Input!$1:$1048576,E$93,$C575*2+MIN($B575,2)+5)
+INDEX(Scenarios!E$121:E$200,MATCH($B575,Scenarios!$B$121:$B$200,0))</f>
        <v>1750</v>
      </c>
      <c r="F575" s="475">
        <f>INDEX(Input!$1:$1048576,F$93,$C575*2+MIN($B575,2)+5)
+INDEX(Scenarios!F$121:F$200,MATCH($B575,Scenarios!$B$121:$B$200,0))</f>
        <v>0</v>
      </c>
      <c r="G575" s="475">
        <f>INDEX(Input!$1:$1048576,G$93,$C575*2+MIN($B575,2)+5)
+INDEX(Scenarios!G$121:G$200,MATCH($B575,Scenarios!$B$121:$B$200,0))</f>
        <v>0</v>
      </c>
      <c r="H575" s="475">
        <f>INDEX(Input!$1:$1048576,H$93,$C575*2+MIN($B575,2)+5)
+INDEX(Scenarios!H$121:H$200,MATCH($B575,Scenarios!$B$121:$B$200,0))</f>
        <v>0</v>
      </c>
      <c r="I575" s="476">
        <f>INDEX(Input!$1:$1048576,I$93,$C575*2+MIN($B575,2)+5)</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+INDEX(Scenarios!Q$121:Q$200,MATCH($B575,Scenarios!$B$121:$B$200,0))</f>
        <v>1000</v>
      </c>
      <c r="R575" s="478">
        <f>IFERROR(MAX(0,INDEX(Input!$1:$1048576,R$93,$C575*2+MIN($B575,2)+5)
+INDEX(Scenarios!R$121:R$200,MATCH($B575,Scenarios!$B$121:$B$200,0)),),"Market")</f>
        <v>0</v>
      </c>
      <c r="S575" s="478">
        <f>IFERROR(MAX(0,INDEX(Input!$1:$1048576,S$93,$C575*2+MIN($B575,2)+5)
+INDEX(Scenarios!S$121:S$200,MATCH($B575,Scenarios!$B$121:$B$200,0)),),"Market")</f>
        <v>0</v>
      </c>
      <c r="T575" s="478">
        <f>IFERROR(MAX(0,INDEX(Input!$1:$1048576,T$93,$C575*2+MIN($B575,2)+5)
+INDEX(Scenarios!T$121:T$200,MATCH($B575,Scenarios!$B$121:$B$200,0)),),"Market")</f>
        <v>0</v>
      </c>
      <c r="U575" s="478">
        <f>IFERROR(MAX(0,INDEX(Input!$1:$1048576,U$93,$C575*2+MIN($B575,2)+5)
+INDEX(Scenarios!U$121:U$200,MATCH($B575,Scenarios!$B$121:$B$200,0)),),"Market")</f>
        <v>0</v>
      </c>
      <c r="V575" s="478">
        <f>IFERROR(MAX(0,INDEX(Input!$1:$1048576,V$93,$C575*2+MIN($B575,2)+5)
+INDEX(Scenarios!V$121:V$200,MATCH($B575,Scenarios!$B$121:$B$200,0)),),"Market")</f>
        <v>2.7999999999999997E-2</v>
      </c>
      <c r="W575" s="863">
        <f>IFERROR(MAX(0,INDEX(Input!$1:$1048576,W$93,$C575*2+MIN($B575,2)+5)-0%,),"Market")</f>
        <v>3.9E-2</v>
      </c>
      <c r="X575" s="476" t="str">
        <f>INDEX(Input!$1:$1048576,X$93,$C575*2+MIN($B575,2)+5)</f>
        <v>Y</v>
      </c>
      <c r="Y575" s="475">
        <f>INDEX(Input!$1:$1048576,Y$93,$C575*2+MIN($B575,2)+5)
++INDEX(Scenarios!Y$121:Y$200,MATCH($B575,Scenarios!$B$121:$B$200,0))</f>
        <v>-1098.3618966787526</v>
      </c>
      <c r="Z575" s="477">
        <f>INDEX(Input!$1:$1048576,Z$93,$C575*2+MIN($B575,2)+5)
+INDEX(Scenarios!Z$121:Z$200,MATCH($B575,Scenarios!$B$121:$B$200,0))</f>
        <v>0</v>
      </c>
      <c r="AA575" s="475">
        <f>INDEX(Input!$1:$1048576,AA$93,$C575*2+MIN($B575,2)+5)</f>
        <v>500</v>
      </c>
      <c r="AB575" s="476">
        <f>INDEX(Input!$1:$1048576,AB$93,$C575*2+MIN($B575,2)+5)</f>
        <v>0.43</v>
      </c>
      <c r="AC575" s="475">
        <f>INDEX(Input!$1:$1048576,AC$93,$C575*2+MIN($B575,2)+5)
+INDEX(Scenarios!AC$121:AC$200,MATCH($B575,Scenarios!$B$121:$B$200,0))</f>
        <v>0</v>
      </c>
      <c r="AD575" s="476">
        <f>INDEX(Input!$1:$1048576,AD$93,$C575*2+MIN($B575,2)+5)</f>
        <v>0.35</v>
      </c>
      <c r="AE575" s="475">
        <f>INDEX(Input!$1:$1048576,AE$93,$C575*2+MIN($B575,2)+5)
+INDEX(Scenarios!AE$121:AE$200,MATCH($B575,Scenarios!$B$121:$B$200,0))</f>
        <v>0</v>
      </c>
      <c r="AF575" s="476">
        <f>INDEX(Input!$1:$1048576,AF$93,$C575*2+MIN($B575,2)+5)</f>
        <v>1</v>
      </c>
      <c r="AG575" s="475">
        <f>INDEX(Input!$1:$1048576,AG$93,$C575*2+MIN($B575,2)+5)
+INDEX(Scenarios!AG$121:AG$200,MATCH($B575,Scenarios!$B$121:$B$200,0))</f>
        <v>0</v>
      </c>
      <c r="AH575" s="476">
        <f>INDEX(Input!$1:$1048576,AH$93,$C575*2+MIN($B575,2)+5)</f>
        <v>1</v>
      </c>
      <c r="AI575" s="475">
        <f>INDEX(Input!$1:$1048576,AI$93,$C575*2+MIN($B575,2)+5)
+INDEX(Scenarios!AI$121:AI$200,MATCH($B575,Scenarios!$B$121:$B$200,0))</f>
        <v>0</v>
      </c>
      <c r="AJ575" s="476">
        <f>INDEX(Input!$1:$1048576,AJ$93,$C575*2+MIN($B575,2)+5)</f>
        <v>0.35</v>
      </c>
      <c r="AK575" s="150">
        <f>ROUND(INDEX(Input!$1:$1048576,AK$93,$C574*2+MIN($B575,1)+5)+(Y575-VLOOKUP($C575*1000+1,$A:$HH,Y$92,FALSE)),0)</f>
        <v>4592</v>
      </c>
      <c r="AL575" s="150">
        <f>ROUND(INDEX(Input!$1:$1048576,AL$93,$C574*2+MIN($B575,1)+5)-(Y575-VLOOKUP($C575*1000+1,$A:$HH,Y$92,FALSE))/36,0)</f>
        <v>4743</v>
      </c>
      <c r="AM575" s="32" t="str">
        <f t="shared" si="1773"/>
        <v>std/std/std/std</v>
      </c>
      <c r="AN575" s="32" t="str">
        <f t="shared" si="1774"/>
        <v>$1000 + 0/0/0/2.8/3.9</v>
      </c>
      <c r="AO575" s="32" t="str">
        <f t="shared" si="1775"/>
        <v>0/0/0/2.8/3.9</v>
      </c>
      <c r="AP575" s="32" t="str">
        <f t="shared" si="1755"/>
        <v>0/1.8/2.8/3.9</v>
      </c>
      <c r="AQ575" s="536">
        <f t="shared" si="1754"/>
        <v>0.4694501501961662</v>
      </c>
      <c r="AR575" s="32"/>
      <c r="AS575" s="302"/>
      <c r="AT575" s="3">
        <f t="shared" si="1867"/>
        <v>75</v>
      </c>
      <c r="AU575" s="41" t="s">
        <v>121</v>
      </c>
      <c r="AV575" s="41" t="s">
        <v>116</v>
      </c>
      <c r="AW575" s="41" t="str">
        <f>INDEX(Input!$1:$1048576,AW$93,$C575*2+6)</f>
        <v>Kia</v>
      </c>
      <c r="AX575" s="41" t="str">
        <f>INDEX(Input!$1:$1048576,AX$93,$C575*2+6)</f>
        <v>Kia-LR - R2</v>
      </c>
      <c r="AY575" s="41" t="str">
        <f>IF(LEN(D575)=0,"",INDEX(Input!$1:$1048576,AY$93,$C575*2+6))</f>
        <v>Compact Conventional/Sporty Car (43)</v>
      </c>
      <c r="AZ575" s="41" t="str">
        <f>INDEX(Input!$1:$1048576,AZ$93,$C575*2+6)</f>
        <v>Kia Forte</v>
      </c>
      <c r="BA575" s="3">
        <f>INDEX(Input!$1:$1048576,BA$93,$C575*2+6)</f>
        <v>2020</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19695</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756"/>
        <v>1750</v>
      </c>
      <c r="CJ575" s="16" t="str">
        <f>INDEX(Input!$1:$1048576,CJ$93,$C575*2+6)</f>
        <v>N</v>
      </c>
      <c r="CK575" s="1" t="str">
        <f t="shared" si="1757"/>
        <v>Market</v>
      </c>
      <c r="CL575" s="1" t="str">
        <f t="shared" si="1758"/>
        <v>Market</v>
      </c>
      <c r="CM575" s="1" t="str">
        <f t="shared" si="1759"/>
        <v>Market</v>
      </c>
      <c r="CN575" s="1" t="str">
        <f t="shared" si="1760"/>
        <v>Market</v>
      </c>
      <c r="CO575" s="1" t="str">
        <f t="shared" si="1761"/>
        <v>Market</v>
      </c>
      <c r="CP575" s="304">
        <f t="shared" si="1762"/>
        <v>1215</v>
      </c>
      <c r="CQ575" s="1">
        <f t="shared" si="1763"/>
        <v>0</v>
      </c>
      <c r="CR575" s="1">
        <f t="shared" si="1764"/>
        <v>0</v>
      </c>
      <c r="CS575" s="1">
        <f t="shared" si="1765"/>
        <v>0</v>
      </c>
      <c r="CT575" s="1">
        <f t="shared" si="1766"/>
        <v>2.7999999999999997E-2</v>
      </c>
      <c r="CU575" s="1">
        <f t="shared" si="1767"/>
        <v>3.9E-2</v>
      </c>
      <c r="CV575" s="304">
        <f t="shared" si="1768"/>
        <v>-1098.3618966787526</v>
      </c>
      <c r="CW575" s="20" t="s">
        <v>122</v>
      </c>
      <c r="CX575" s="20" t="s">
        <v>122</v>
      </c>
      <c r="CY575" s="20" t="s">
        <v>122</v>
      </c>
      <c r="CZ575" s="20" t="s">
        <v>122</v>
      </c>
      <c r="DA575" s="20" t="s">
        <v>122</v>
      </c>
      <c r="DB575" s="503">
        <f t="shared" si="1769"/>
        <v>0</v>
      </c>
      <c r="DC575" s="127">
        <v>0</v>
      </c>
      <c r="DD575" s="127">
        <v>0</v>
      </c>
      <c r="DE575" s="127">
        <v>0</v>
      </c>
      <c r="DF575" s="127">
        <v>0</v>
      </c>
      <c r="DG575" s="127">
        <v>0</v>
      </c>
      <c r="DH575" s="127">
        <v>0</v>
      </c>
      <c r="DI575" s="127">
        <v>0</v>
      </c>
      <c r="DJ575" s="127">
        <v>0</v>
      </c>
      <c r="DK575" s="127">
        <v>0</v>
      </c>
      <c r="DL575" s="127">
        <v>0</v>
      </c>
      <c r="DM575" s="304">
        <f>INDEX(Input!$1:$1048576,DM$93,$C575*2+6)</f>
        <v>20731.578947368424</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4.5190705521392496E-2</v>
      </c>
      <c r="DZ575" s="7">
        <v>0</v>
      </c>
      <c r="EA575" s="7">
        <v>0.79148258614596434</v>
      </c>
      <c r="EB575" s="7">
        <v>0</v>
      </c>
      <c r="EC575" s="7">
        <v>0</v>
      </c>
      <c r="ED575" s="7">
        <v>0</v>
      </c>
      <c r="EE575" s="7">
        <v>0</v>
      </c>
      <c r="EF575" s="7">
        <v>0</v>
      </c>
      <c r="EG575" s="7">
        <v>0</v>
      </c>
      <c r="EH575" s="7">
        <v>1.8757930481158275E-2</v>
      </c>
      <c r="EI575" s="7">
        <v>2.3607374335194716E-2</v>
      </c>
      <c r="EJ575" s="7">
        <v>0.34761596570574288</v>
      </c>
      <c r="EK575" s="7">
        <v>0.54983508959110372</v>
      </c>
      <c r="EL575" s="7">
        <v>6.018363988680038E-2</v>
      </c>
      <c r="EM575" s="7">
        <v>6.2759217431053241E-2</v>
      </c>
      <c r="EN575" s="7">
        <v>4.7389074841631476E-2</v>
      </c>
      <c r="EO575" s="7">
        <v>0.58257548761553335</v>
      </c>
      <c r="EP575" s="7">
        <v>0.25106067132682941</v>
      </c>
      <c r="EQ575" s="7">
        <v>7.220703951190674E-2</v>
      </c>
      <c r="ER575" s="7">
        <v>4.6767726704099094E-2</v>
      </c>
      <c r="ES575" s="7">
        <v>0.10056749090158999</v>
      </c>
      <c r="ET575" s="7">
        <v>0.16332670833264309</v>
      </c>
      <c r="EU575" s="6">
        <v>2100</v>
      </c>
      <c r="EV575" s="6">
        <v>0</v>
      </c>
      <c r="EW575" s="6">
        <v>2100</v>
      </c>
      <c r="EX575" s="6">
        <v>0</v>
      </c>
      <c r="EY575" s="6">
        <v>3404.3342896467166</v>
      </c>
      <c r="EZ575" s="6">
        <v>-1723.0908300335955</v>
      </c>
      <c r="FA575" s="6">
        <v>0</v>
      </c>
      <c r="FB575" s="6">
        <v>0</v>
      </c>
      <c r="FC575" s="6">
        <v>0</v>
      </c>
      <c r="FD575" s="6">
        <v>0</v>
      </c>
      <c r="FE575" s="6">
        <v>0</v>
      </c>
      <c r="FF575" s="6">
        <v>0</v>
      </c>
      <c r="FG575" s="6">
        <v>0</v>
      </c>
      <c r="FH575" s="6">
        <v>1153.9911161990819</v>
      </c>
      <c r="FI575" s="6">
        <v>1531.4299904380623</v>
      </c>
      <c r="FJ575" s="6">
        <v>2070.7205842538224</v>
      </c>
      <c r="FK575" s="6">
        <v>1314.7946049255024</v>
      </c>
      <c r="FL575" s="6">
        <v>893.9143356348934</v>
      </c>
      <c r="FM575" s="6">
        <v>1554.3342896467166</v>
      </c>
      <c r="FN575" s="6">
        <v>0</v>
      </c>
      <c r="FO575" s="6">
        <v>0</v>
      </c>
      <c r="FP575" s="6">
        <v>0</v>
      </c>
      <c r="FQ575" s="6">
        <v>0</v>
      </c>
      <c r="FR575" s="6">
        <v>0</v>
      </c>
      <c r="FS575" s="6">
        <v>0</v>
      </c>
      <c r="FT575" s="7">
        <v>0.83667329166735682</v>
      </c>
      <c r="FU575" s="7">
        <v>6.2759217431053241E-2</v>
      </c>
      <c r="FV575" s="7">
        <v>0.10056749090158999</v>
      </c>
      <c r="FW575" s="6">
        <v>2100</v>
      </c>
      <c r="FX575" s="6">
        <v>3404.3342896467166</v>
      </c>
      <c r="FY575" s="6">
        <v>-1723.0908300335955</v>
      </c>
      <c r="FZ575" s="6">
        <v>2411.9063952864503</v>
      </c>
      <c r="GA575" s="6">
        <v>1797.3803470213611</v>
      </c>
      <c r="GB575" s="6">
        <v>17897.619652978639</v>
      </c>
      <c r="GC575" s="7">
        <v>7.6138913542514425E-2</v>
      </c>
      <c r="GD575" s="7">
        <v>6.9442688692858565E-2</v>
      </c>
      <c r="GE575" s="7"/>
      <c r="GF575" s="7"/>
      <c r="GG575" s="7">
        <v>-8.7947470460250574E-2</v>
      </c>
      <c r="GH575" s="42">
        <v>2.8186363061496214</v>
      </c>
      <c r="GI575" s="6">
        <v>8784.8018731792417</v>
      </c>
      <c r="GJ575" s="14">
        <v>0.5107463060103955</v>
      </c>
      <c r="GK575" s="14">
        <v>0.50829519786160948</v>
      </c>
      <c r="GL575" s="14">
        <v>0.48925369398960422</v>
      </c>
      <c r="GM575" s="14">
        <v>0.49170480213839013</v>
      </c>
      <c r="GO575" s="5">
        <v>338.16872463277008</v>
      </c>
      <c r="GP575" s="5">
        <v>298.1047308538179</v>
      </c>
      <c r="GQ575" s="5">
        <v>527.27910984145694</v>
      </c>
      <c r="GR575" s="5">
        <v>404.20319246551543</v>
      </c>
      <c r="GS575" s="5">
        <v>334.50205195691484</v>
      </c>
      <c r="GT575" s="5">
        <v>289.18266033348181</v>
      </c>
      <c r="GU575" s="5">
        <v>254.29573314828914</v>
      </c>
      <c r="GV575" s="39" t="s">
        <v>392</v>
      </c>
      <c r="GW575" s="5">
        <v>440.98611111111109</v>
      </c>
      <c r="GX575" s="5">
        <v>330.73958333333331</v>
      </c>
      <c r="GY575" s="5">
        <v>264.59166666666664</v>
      </c>
      <c r="GZ575" s="5">
        <v>239.78936683672671</v>
      </c>
      <c r="HA575" s="5">
        <v>216.26912746293831</v>
      </c>
      <c r="HB575" s="39">
        <v>252.91663897614791</v>
      </c>
      <c r="HC575" s="5">
        <v>358.50084881396981</v>
      </c>
      <c r="HD575" s="5">
        <v>287.77900980034525</v>
      </c>
      <c r="HE575" s="5">
        <v>285.23787161201437</v>
      </c>
      <c r="HF575" s="5">
        <v>257.54964978663213</v>
      </c>
      <c r="HG575" s="5">
        <v>240.60084178617024</v>
      </c>
      <c r="HH575" s="39">
        <v>286.10328420178632</v>
      </c>
      <c r="HI575" s="16"/>
      <c r="HJ575" s="19" t="str">
        <f t="shared" ref="HJ575:HK575" si="1880">HJ574</f>
        <v>On</v>
      </c>
      <c r="HK575" s="1" t="str">
        <f t="shared" si="1880"/>
        <v>On</v>
      </c>
      <c r="HL575" s="16"/>
      <c r="HM575" s="639">
        <f t="shared" si="1833"/>
        <v>5.1181272167489952E-2</v>
      </c>
      <c r="HN575" s="639">
        <f t="shared" si="1834"/>
        <v>4.2792051795134348E-3</v>
      </c>
      <c r="HO575" s="639">
        <f t="shared" si="1835"/>
        <v>7.4145241462331068E-3</v>
      </c>
      <c r="HP575" s="644">
        <f>(FT575*$GD575-HM575)/$JF575*INDEX(Input!$1:$1048576,$JG$93,$C575*2+6)</f>
        <v>81.659187029869244</v>
      </c>
      <c r="HQ575" s="644">
        <f>(FU575*$GD575-HN575)/$JF575*INDEX(Input!$1:$1048576,$JG$93,$C575*2+6)</f>
        <v>0.93186487513638117</v>
      </c>
      <c r="HR575" s="644">
        <f>(FV575*$GD575-HO575)/$JF575*INDEX(Input!$1:$1048576,$JG$93,$C575*2+6)</f>
        <v>-5.084510570866744</v>
      </c>
      <c r="HS575" s="644">
        <f t="shared" si="1857"/>
        <v>-16.92448356328158</v>
      </c>
      <c r="HT575" s="644">
        <f t="shared" si="1858"/>
        <v>62.12365902804622</v>
      </c>
      <c r="HU575" s="644">
        <f t="shared" si="1837"/>
        <v>8.091327350245038</v>
      </c>
      <c r="HV575" s="648">
        <f t="shared" si="1838"/>
        <v>0</v>
      </c>
      <c r="HW575" s="648">
        <f t="shared" si="1839"/>
        <v>0</v>
      </c>
      <c r="HX575" s="648">
        <f t="shared" si="1840"/>
        <v>0</v>
      </c>
      <c r="HY575" s="644">
        <f>INDEX(Input!$1:$1048576,HY$93,$C575*2+6)*INDEX(Input!$1:$1048576,$JG$93,$C575*2+6)</f>
        <v>345</v>
      </c>
      <c r="HZ575" s="644">
        <f>INDEX(Input!$1:$1048576,HZ$93,$C575*2+6)*INDEX(Input!$1:$1048576,$JG$93,$C575*2+6)</f>
        <v>299</v>
      </c>
      <c r="IA575" s="644">
        <f>INDEX(Input!$1:$1048576,IA$93,$C575*2+6)*INDEX(Input!$1:$1048576,$JG$93,$C575*2+6)</f>
        <v>98</v>
      </c>
      <c r="IB575" s="644">
        <f t="shared" si="1780"/>
        <v>409.73470346658769</v>
      </c>
      <c r="IC575" s="644">
        <f t="shared" si="1781"/>
        <v>362.05552390318263</v>
      </c>
      <c r="ID575" s="644">
        <f>IF(AND(INDEX(Input!$1:$1048576,IA$93,$C575*2+7)="TOS",Y575&lt;=INDEX(Y:Y,MATCH(C575*1000+2,A:A))),0,1)*MAX(IA575+HR575+HU575+HX575,0%)</f>
        <v>101.0068167793783</v>
      </c>
      <c r="IE575" s="128">
        <f t="shared" si="1873"/>
        <v>0.4694501501961662</v>
      </c>
      <c r="IF575" s="128">
        <f t="shared" si="1874"/>
        <v>0.41482212426158555</v>
      </c>
      <c r="IG575" s="128">
        <f t="shared" si="1784"/>
        <v>0.11572772554224837</v>
      </c>
      <c r="IH575" s="21"/>
      <c r="II575" s="19">
        <f t="shared" si="1841"/>
        <v>1200</v>
      </c>
      <c r="IJ575" s="19">
        <f t="shared" si="1842"/>
        <v>2231.5440334087361</v>
      </c>
      <c r="IK575" s="19">
        <f t="shared" si="1843"/>
        <v>-2048.0908300335955</v>
      </c>
      <c r="IL575" s="19">
        <f t="shared" si="1785"/>
        <v>900</v>
      </c>
      <c r="IM575" s="19">
        <f t="shared" si="1786"/>
        <v>1172.7902562379804</v>
      </c>
      <c r="IN575" s="19">
        <f t="shared" si="1787"/>
        <v>325</v>
      </c>
      <c r="IO575" s="39">
        <f t="shared" si="1844"/>
        <v>0</v>
      </c>
      <c r="IP575" s="39">
        <f t="shared" si="1845"/>
        <v>0</v>
      </c>
      <c r="IQ575" s="39">
        <f t="shared" si="1846"/>
        <v>0</v>
      </c>
      <c r="IR575" s="39">
        <v>0</v>
      </c>
      <c r="IS575" s="39">
        <v>0</v>
      </c>
      <c r="IT575" s="39">
        <v>0</v>
      </c>
      <c r="IU575" s="39">
        <v>0</v>
      </c>
      <c r="IV575" s="39">
        <v>0</v>
      </c>
      <c r="IW575" s="39">
        <v>0</v>
      </c>
      <c r="IX575" s="39">
        <f>INDEX(Input!$1:$1048576,IX$93,$C575*2+6)+INDEX(Input!$1:$1048576,IX$94,$C575*2+6)</f>
        <v>1600</v>
      </c>
      <c r="IY575" s="39">
        <f>INDEX(Input!$1:$1048576,IY$93,$C575*2+6)+INDEX(Input!$1:$1048576,IY$94,$C575*2+6)</f>
        <v>2503.5492916397525</v>
      </c>
      <c r="IZ575" s="39">
        <f>INDEX(Input!$1:$1048576,IZ$93,$C575*2+6)+INDEX(Input!$1:$1048576,IZ$94,$C575*2+6)</f>
        <v>5413.7109265464023</v>
      </c>
      <c r="JA575" s="19">
        <f t="shared" si="1788"/>
        <v>2500</v>
      </c>
      <c r="JB575" s="19">
        <f t="shared" si="1789"/>
        <v>3676.3395478777329</v>
      </c>
      <c r="JC575" s="19">
        <f t="shared" si="1790"/>
        <v>5738.7109265464023</v>
      </c>
      <c r="JD575" s="19">
        <f t="shared" si="1791"/>
        <v>3362.7803193215977</v>
      </c>
      <c r="JE575" s="21"/>
      <c r="JF575" s="1">
        <f t="shared" si="1847"/>
        <v>6.2875001493236493E-2</v>
      </c>
      <c r="JG575" s="15">
        <f>INDEX(Input!$1:$1048576,JG$93,$C575*2+6)/(1+VLOOKUP(C575*1000+INDEX(Input!$1:$1048576,JG$93+1,$C575*2+6),$A:$KK,$JK$92,FALSE))</f>
        <v>742</v>
      </c>
      <c r="JH575" s="1">
        <f t="shared" si="1792"/>
        <v>0.10445625516730309</v>
      </c>
      <c r="JI575" s="1">
        <f t="shared" si="1793"/>
        <v>7.1820084656347274E-2</v>
      </c>
      <c r="JJ575" s="1">
        <f t="shared" si="1875"/>
        <v>0</v>
      </c>
      <c r="JK575" s="1">
        <f t="shared" si="1876"/>
        <v>0.17627633982365037</v>
      </c>
      <c r="JL575" s="15">
        <f t="shared" si="1796"/>
        <v>130.79704414914858</v>
      </c>
      <c r="JM575" s="15">
        <f t="shared" si="1797"/>
        <v>872.79704414914863</v>
      </c>
      <c r="JN575" s="21"/>
      <c r="JO575" s="19">
        <f>INDEX(Input!$1:$1048576,JO$93,$C575*2+6)</f>
        <v>5908.5</v>
      </c>
      <c r="JP575" s="19">
        <f>INDEX(Input!$1:$1048576,JP$93,$C575*2+6)</f>
        <v>2467.7963733178344</v>
      </c>
      <c r="JQ575" s="39">
        <f t="shared" si="1798"/>
        <v>2545.7196806784023</v>
      </c>
      <c r="JR575" s="39">
        <f t="shared" si="1799"/>
        <v>894.98394600376332</v>
      </c>
      <c r="JS575" s="39">
        <f t="shared" si="1800"/>
        <v>2.9350247228268209</v>
      </c>
      <c r="JT575" s="39">
        <f t="shared" si="1801"/>
        <v>1.1039198138249877</v>
      </c>
      <c r="JU575" s="385">
        <f>(JQ575*JM575-INDEX(Input!$1:$1048576,Input!A$18,$C575*2+6)*JL575*INDEX(Input!$1:$1048576,Input!A$19,$C575*2+6))/1000000</f>
        <v>2.2218966125284241</v>
      </c>
      <c r="JV575" s="39">
        <f t="shared" si="1802"/>
        <v>-0.33110547846974248</v>
      </c>
      <c r="JW575" s="1">
        <f t="shared" si="1803"/>
        <v>-0.12969259979739683</v>
      </c>
      <c r="JX575" s="19">
        <f t="shared" si="1804"/>
        <v>8439.9446562888843</v>
      </c>
      <c r="JZ575" s="341"/>
      <c r="KA575" s="342"/>
      <c r="KB575" s="469">
        <f t="shared" si="1805"/>
        <v>2.4623520912331753</v>
      </c>
      <c r="KI575" s="473">
        <f t="shared" si="1877"/>
        <v>64.734703466587746</v>
      </c>
      <c r="KJ575" s="473">
        <f t="shared" si="1878"/>
        <v>63.055523903182689</v>
      </c>
      <c r="KK575" s="473">
        <f t="shared" si="1808"/>
        <v>3.0068167793783118</v>
      </c>
      <c r="KN575" s="544">
        <f t="shared" si="1809"/>
        <v>5002</v>
      </c>
      <c r="KO575" s="541">
        <f t="shared" si="1848"/>
        <v>9.2976808282345225E-2</v>
      </c>
      <c r="KP575" s="546">
        <f t="shared" si="1849"/>
        <v>555.28096719056896</v>
      </c>
      <c r="KQ575" s="546">
        <f t="shared" si="1850"/>
        <v>504.00787316988863</v>
      </c>
      <c r="KR575" s="548">
        <f t="shared" si="1851"/>
        <v>2.8190750160087195</v>
      </c>
      <c r="KS575" s="548">
        <f t="shared" si="1852"/>
        <v>3.1058616041587905</v>
      </c>
      <c r="KT575" s="473">
        <f t="shared" si="1810"/>
        <v>389.37465324503302</v>
      </c>
      <c r="KU575" s="663">
        <f t="shared" si="1854"/>
        <v>7.271450504336042</v>
      </c>
    </row>
    <row r="576" spans="1:308" s="26" customFormat="1" ht="15" outlineLevel="1">
      <c r="A576" s="561">
        <f t="shared" si="1770"/>
        <v>5076</v>
      </c>
      <c r="B576" s="561">
        <f t="shared" si="1865"/>
        <v>76</v>
      </c>
      <c r="C576" s="561">
        <f t="shared" si="1866"/>
        <v>5</v>
      </c>
      <c r="D576" s="561" t="str">
        <f t="shared" si="1812"/>
        <v xml:space="preserve">750 CC, 0/1.8/2.8/3.9, 1500 Combo, </v>
      </c>
      <c r="E576" s="475">
        <f>INDEX(Input!$1:$1048576,E$93,$C576*2+MIN($B576,2)+5)
+INDEX(Scenarios!E$121:E$200,MATCH($B576,Scenarios!$B$121:$B$200,0))</f>
        <v>2000</v>
      </c>
      <c r="F576" s="475">
        <f>INDEX(Input!$1:$1048576,F$93,$C576*2+MIN($B576,2)+5)
+INDEX(Scenarios!F$121:F$200,MATCH($B576,Scenarios!$B$121:$B$200,0))</f>
        <v>0</v>
      </c>
      <c r="G576" s="475">
        <f>INDEX(Input!$1:$1048576,G$93,$C576*2+MIN($B576,2)+5)
+INDEX(Scenarios!G$121:G$200,MATCH($B576,Scenarios!$B$121:$B$200,0))</f>
        <v>0</v>
      </c>
      <c r="H576" s="475">
        <f>INDEX(Input!$1:$1048576,H$93,$C576*2+MIN($B576,2)+5)
+INDEX(Scenarios!H$121:H$200,MATCH($B576,Scenarios!$B$121:$B$200,0))</f>
        <v>0</v>
      </c>
      <c r="I576" s="476">
        <f>INDEX(Input!$1:$1048576,I$93,$C576*2+MIN($B576,2)+5)</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+INDEX(Scenarios!Q$121:Q$200,MATCH($B576,Scenarios!$B$121:$B$200,0))</f>
        <v>1500</v>
      </c>
      <c r="R576" s="478">
        <f>IFERROR(MAX(0,INDEX(Input!$1:$1048576,R$93,$C576*2+MIN($B576,2)+5)
+INDEX(Scenarios!R$121:R$200,MATCH($B576,Scenarios!$B$121:$B$200,0)),),"Market")</f>
        <v>0</v>
      </c>
      <c r="S576" s="478">
        <f>IFERROR(MAX(0,INDEX(Input!$1:$1048576,S$93,$C576*2+MIN($B576,2)+5)
+INDEX(Scenarios!S$121:S$200,MATCH($B576,Scenarios!$B$121:$B$200,0)),),"Market")</f>
        <v>0</v>
      </c>
      <c r="T576" s="478">
        <f>IFERROR(MAX(0,INDEX(Input!$1:$1048576,T$93,$C576*2+MIN($B576,2)+5)
+INDEX(Scenarios!T$121:T$200,MATCH($B576,Scenarios!$B$121:$B$200,0)),),"Market")</f>
        <v>0</v>
      </c>
      <c r="U576" s="478">
        <f>IFERROR(MAX(0,INDEX(Input!$1:$1048576,U$93,$C576*2+MIN($B576,2)+5)
+INDEX(Scenarios!U$121:U$200,MATCH($B576,Scenarios!$B$121:$B$200,0)),),"Market")</f>
        <v>0</v>
      </c>
      <c r="V576" s="478">
        <f>IFERROR(MAX(0,INDEX(Input!$1:$1048576,V$93,$C576*2+MIN($B576,2)+5)
+INDEX(Scenarios!V$121:V$200,MATCH($B576,Scenarios!$B$121:$B$200,0)),),"Market")</f>
        <v>2.7999999999999997E-2</v>
      </c>
      <c r="W576" s="863">
        <f>IFERROR(MAX(0,INDEX(Input!$1:$1048576,W$93,$C576*2+MIN($B576,2)+5)-0%,),"Market")</f>
        <v>3.9E-2</v>
      </c>
      <c r="X576" s="476" t="str">
        <f>INDEX(Input!$1:$1048576,X$93,$C576*2+MIN($B576,2)+5)</f>
        <v>Y</v>
      </c>
      <c r="Y576" s="475">
        <f>INDEX(Input!$1:$1048576,Y$93,$C576*2+MIN($B576,2)+5)
++INDEX(Scenarios!Y$121:Y$200,MATCH($B576,Scenarios!$B$121:$B$200,0))</f>
        <v>-1098.3618966787526</v>
      </c>
      <c r="Z576" s="477">
        <f>INDEX(Input!$1:$1048576,Z$93,$C576*2+MIN($B576,2)+5)
+INDEX(Scenarios!Z$121:Z$200,MATCH($B576,Scenarios!$B$121:$B$200,0))</f>
        <v>0</v>
      </c>
      <c r="AA576" s="475">
        <f>INDEX(Input!$1:$1048576,AA$93,$C576*2+MIN($B576,2)+5)</f>
        <v>500</v>
      </c>
      <c r="AB576" s="476">
        <f>INDEX(Input!$1:$1048576,AB$93,$C576*2+MIN($B576,2)+5)</f>
        <v>0.43</v>
      </c>
      <c r="AC576" s="475">
        <f>INDEX(Input!$1:$1048576,AC$93,$C576*2+MIN($B576,2)+5)
+INDEX(Scenarios!AC$121:AC$200,MATCH($B576,Scenarios!$B$121:$B$200,0))</f>
        <v>0</v>
      </c>
      <c r="AD576" s="476">
        <f>INDEX(Input!$1:$1048576,AD$93,$C576*2+MIN($B576,2)+5)</f>
        <v>0.35</v>
      </c>
      <c r="AE576" s="475">
        <f>INDEX(Input!$1:$1048576,AE$93,$C576*2+MIN($B576,2)+5)
+INDEX(Scenarios!AE$121:AE$200,MATCH($B576,Scenarios!$B$121:$B$200,0))</f>
        <v>0</v>
      </c>
      <c r="AF576" s="476">
        <f>INDEX(Input!$1:$1048576,AF$93,$C576*2+MIN($B576,2)+5)</f>
        <v>1</v>
      </c>
      <c r="AG576" s="475">
        <f>INDEX(Input!$1:$1048576,AG$93,$C576*2+MIN($B576,2)+5)
+INDEX(Scenarios!AG$121:AG$200,MATCH($B576,Scenarios!$B$121:$B$200,0))</f>
        <v>0</v>
      </c>
      <c r="AH576" s="476">
        <f>INDEX(Input!$1:$1048576,AH$93,$C576*2+MIN($B576,2)+5)</f>
        <v>1</v>
      </c>
      <c r="AI576" s="475">
        <f>INDEX(Input!$1:$1048576,AI$93,$C576*2+MIN($B576,2)+5)
+INDEX(Scenarios!AI$121:AI$200,MATCH($B576,Scenarios!$B$121:$B$200,0))</f>
        <v>0</v>
      </c>
      <c r="AJ576" s="476">
        <f>INDEX(Input!$1:$1048576,AJ$93,$C576*2+MIN($B576,2)+5)</f>
        <v>0.35</v>
      </c>
      <c r="AK576" s="150">
        <f>ROUND(INDEX(Input!$1:$1048576,AK$93,$C575*2+MIN($B576,1)+5)+(Y576-VLOOKUP($C576*1000+1,$A:$HH,Y$92,FALSE)),0)</f>
        <v>4592</v>
      </c>
      <c r="AL576" s="150">
        <f>ROUND(INDEX(Input!$1:$1048576,AL$93,$C575*2+MIN($B576,1)+5)-(Y576-VLOOKUP($C576*1000+1,$A:$HH,Y$92,FALSE))/36,0)</f>
        <v>4743</v>
      </c>
      <c r="AM576" s="32" t="str">
        <f t="shared" si="1773"/>
        <v>std/std/std/std</v>
      </c>
      <c r="AN576" s="32" t="str">
        <f t="shared" si="1774"/>
        <v>$1500 + 0/0/0/2.8/3.9</v>
      </c>
      <c r="AO576" s="32" t="str">
        <f t="shared" si="1775"/>
        <v>0/0/0/2.8/3.9</v>
      </c>
      <c r="AP576" s="32" t="str">
        <f t="shared" si="1755"/>
        <v>0/1.8/2.8/3.9</v>
      </c>
      <c r="AQ576" s="536">
        <f t="shared" si="1754"/>
        <v>0.46416194615578588</v>
      </c>
      <c r="AR576" s="32"/>
      <c r="AS576" s="302"/>
      <c r="AT576" s="3">
        <f t="shared" si="1867"/>
        <v>76</v>
      </c>
      <c r="AU576" s="41" t="s">
        <v>121</v>
      </c>
      <c r="AV576" s="41" t="s">
        <v>116</v>
      </c>
      <c r="AW576" s="41" t="str">
        <f>INDEX(Input!$1:$1048576,AW$93,$C576*2+6)</f>
        <v>Kia</v>
      </c>
      <c r="AX576" s="41" t="str">
        <f>INDEX(Input!$1:$1048576,AX$93,$C576*2+6)</f>
        <v>Kia-LR - R2</v>
      </c>
      <c r="AY576" s="41" t="str">
        <f>IF(LEN(D576)=0,"",INDEX(Input!$1:$1048576,AY$93,$C576*2+6))</f>
        <v>Compact Conventional/Sporty Car (43)</v>
      </c>
      <c r="AZ576" s="41" t="str">
        <f>INDEX(Input!$1:$1048576,AZ$93,$C576*2+6)</f>
        <v>Kia Forte</v>
      </c>
      <c r="BA576" s="3">
        <f>INDEX(Input!$1:$1048576,BA$93,$C576*2+6)</f>
        <v>2020</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19695</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756"/>
        <v>2000</v>
      </c>
      <c r="CJ576" s="16" t="str">
        <f>INDEX(Input!$1:$1048576,CJ$93,$C576*2+6)</f>
        <v>N</v>
      </c>
      <c r="CK576" s="1" t="str">
        <f t="shared" si="1757"/>
        <v>Market</v>
      </c>
      <c r="CL576" s="1" t="str">
        <f t="shared" si="1758"/>
        <v>Market</v>
      </c>
      <c r="CM576" s="1" t="str">
        <f t="shared" si="1759"/>
        <v>Market</v>
      </c>
      <c r="CN576" s="1" t="str">
        <f t="shared" si="1760"/>
        <v>Market</v>
      </c>
      <c r="CO576" s="1" t="str">
        <f t="shared" si="1761"/>
        <v>Market</v>
      </c>
      <c r="CP576" s="304">
        <f t="shared" si="1762"/>
        <v>1715</v>
      </c>
      <c r="CQ576" s="1">
        <f t="shared" si="1763"/>
        <v>0</v>
      </c>
      <c r="CR576" s="1">
        <f t="shared" si="1764"/>
        <v>0</v>
      </c>
      <c r="CS576" s="1">
        <f t="shared" si="1765"/>
        <v>0</v>
      </c>
      <c r="CT576" s="1">
        <f t="shared" si="1766"/>
        <v>2.7999999999999997E-2</v>
      </c>
      <c r="CU576" s="1">
        <f t="shared" si="1767"/>
        <v>3.9E-2</v>
      </c>
      <c r="CV576" s="304">
        <f t="shared" si="1768"/>
        <v>-1098.3618966787526</v>
      </c>
      <c r="CW576" s="20" t="s">
        <v>122</v>
      </c>
      <c r="CX576" s="20" t="s">
        <v>122</v>
      </c>
      <c r="CY576" s="20" t="s">
        <v>122</v>
      </c>
      <c r="CZ576" s="20" t="s">
        <v>122</v>
      </c>
      <c r="DA576" s="20" t="s">
        <v>122</v>
      </c>
      <c r="DB576" s="503">
        <f t="shared" si="1769"/>
        <v>0</v>
      </c>
      <c r="DC576" s="127">
        <v>0</v>
      </c>
      <c r="DD576" s="127">
        <v>0</v>
      </c>
      <c r="DE576" s="127">
        <v>0</v>
      </c>
      <c r="DF576" s="127">
        <v>0</v>
      </c>
      <c r="DG576" s="127">
        <v>0</v>
      </c>
      <c r="DH576" s="127">
        <v>0</v>
      </c>
      <c r="DI576" s="127">
        <v>0</v>
      </c>
      <c r="DJ576" s="127">
        <v>0</v>
      </c>
      <c r="DK576" s="127">
        <v>0</v>
      </c>
      <c r="DL576" s="127">
        <v>0</v>
      </c>
      <c r="DM576" s="304">
        <f>INDEX(Input!$1:$1048576,DM$93,$C576*2+6)</f>
        <v>20731.578947368424</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4.5486945277373111E-2</v>
      </c>
      <c r="DZ576" s="7">
        <v>0</v>
      </c>
      <c r="EA576" s="7">
        <v>0.79289961569273348</v>
      </c>
      <c r="EB576" s="7">
        <v>0</v>
      </c>
      <c r="EC576" s="7">
        <v>0</v>
      </c>
      <c r="ED576" s="7">
        <v>0</v>
      </c>
      <c r="EE576" s="7">
        <v>0</v>
      </c>
      <c r="EF576" s="7">
        <v>0</v>
      </c>
      <c r="EG576" s="7">
        <v>0</v>
      </c>
      <c r="EH576" s="7">
        <v>1.8760030060472877E-2</v>
      </c>
      <c r="EI576" s="7">
        <v>2.3606876371646431E-2</v>
      </c>
      <c r="EJ576" s="7">
        <v>0.34768134207008966</v>
      </c>
      <c r="EK576" s="7">
        <v>0.54977204736849139</v>
      </c>
      <c r="EL576" s="7">
        <v>6.0179704129299183E-2</v>
      </c>
      <c r="EM576" s="7">
        <v>6.7759673796346759E-2</v>
      </c>
      <c r="EN576" s="7">
        <v>4.7388873564215381E-2</v>
      </c>
      <c r="EO576" s="7">
        <v>0.58257321988616939</v>
      </c>
      <c r="EP576" s="7">
        <v>0.25105980436254799</v>
      </c>
      <c r="EQ576" s="7">
        <v>7.2206777963518931E-2</v>
      </c>
      <c r="ER576" s="7">
        <v>4.6771324223548232E-2</v>
      </c>
      <c r="ES576" s="7">
        <v>9.3853765233546604E-2</v>
      </c>
      <c r="ET576" s="7">
        <v>0.16161343902989347</v>
      </c>
      <c r="EU576" s="6">
        <v>2350</v>
      </c>
      <c r="EV576" s="6">
        <v>0</v>
      </c>
      <c r="EW576" s="6">
        <v>2350</v>
      </c>
      <c r="EX576" s="6">
        <v>0</v>
      </c>
      <c r="EY576" s="6">
        <v>3904.3849424631971</v>
      </c>
      <c r="EZ576" s="6">
        <v>-1723.0908300335955</v>
      </c>
      <c r="FA576" s="6">
        <v>0</v>
      </c>
      <c r="FB576" s="6">
        <v>0</v>
      </c>
      <c r="FC576" s="6">
        <v>0</v>
      </c>
      <c r="FD576" s="6">
        <v>0</v>
      </c>
      <c r="FE576" s="6">
        <v>0</v>
      </c>
      <c r="FF576" s="6">
        <v>0</v>
      </c>
      <c r="FG576" s="6">
        <v>0</v>
      </c>
      <c r="FH576" s="6">
        <v>1153.9922962485882</v>
      </c>
      <c r="FI576" s="6">
        <v>1531.4299904380609</v>
      </c>
      <c r="FJ576" s="6">
        <v>2070.7205842538224</v>
      </c>
      <c r="FK576" s="6">
        <v>1314.7946049255022</v>
      </c>
      <c r="FL576" s="6">
        <v>893.91433563489318</v>
      </c>
      <c r="FM576" s="6">
        <v>1554.3849424631969</v>
      </c>
      <c r="FN576" s="6">
        <v>0</v>
      </c>
      <c r="FO576" s="6">
        <v>0</v>
      </c>
      <c r="FP576" s="6">
        <v>0</v>
      </c>
      <c r="FQ576" s="6">
        <v>0</v>
      </c>
      <c r="FR576" s="6">
        <v>0</v>
      </c>
      <c r="FS576" s="6">
        <v>0</v>
      </c>
      <c r="FT576" s="7">
        <v>0.83838656097010655</v>
      </c>
      <c r="FU576" s="7">
        <v>6.7759673796346759E-2</v>
      </c>
      <c r="FV576" s="7">
        <v>9.3853765233546604E-2</v>
      </c>
      <c r="FW576" s="6">
        <v>2350</v>
      </c>
      <c r="FX576" s="6">
        <v>3904.3849424631976</v>
      </c>
      <c r="FY576" s="6">
        <v>-1723.0908300335955</v>
      </c>
      <c r="FZ576" s="6">
        <v>2411.9063952864503</v>
      </c>
      <c r="GA576" s="6">
        <v>2073.0497061183751</v>
      </c>
      <c r="GB576" s="6">
        <v>17621.950293881626</v>
      </c>
      <c r="GC576" s="7">
        <v>7.6138913542514425E-2</v>
      </c>
      <c r="GD576" s="7">
        <v>7.1540132337765017E-2</v>
      </c>
      <c r="GE576" s="7"/>
      <c r="GF576" s="7"/>
      <c r="GG576" s="7">
        <v>-6.0399879519971639E-2</v>
      </c>
      <c r="GH576" s="42">
        <v>3.5105567196160727</v>
      </c>
      <c r="GI576" s="6">
        <v>7683.2709824046997</v>
      </c>
      <c r="GJ576" s="14">
        <v>0.5107463060103955</v>
      </c>
      <c r="GK576" s="14">
        <v>0.50829519786160959</v>
      </c>
      <c r="GL576" s="14">
        <v>0.48925369398960433</v>
      </c>
      <c r="GM576" s="14">
        <v>0.49170480213839024</v>
      </c>
      <c r="GO576" s="5">
        <v>338.16872463277008</v>
      </c>
      <c r="GP576" s="5">
        <v>293.33520778489498</v>
      </c>
      <c r="GQ576" s="5">
        <v>527.27910984145694</v>
      </c>
      <c r="GR576" s="5">
        <v>404.20319246551543</v>
      </c>
      <c r="GS576" s="5">
        <v>334.50205195691484</v>
      </c>
      <c r="GT576" s="5">
        <v>289.18266033348181</v>
      </c>
      <c r="GU576" s="5">
        <v>254.29573314828914</v>
      </c>
      <c r="GV576" s="39" t="s">
        <v>392</v>
      </c>
      <c r="GW576" s="5">
        <v>427.09722222222223</v>
      </c>
      <c r="GX576" s="5">
        <v>320.32291666666669</v>
      </c>
      <c r="GY576" s="5">
        <v>256.25833333333333</v>
      </c>
      <c r="GZ576" s="5">
        <v>232.23718369803106</v>
      </c>
      <c r="HA576" s="5">
        <v>209.45771593376008</v>
      </c>
      <c r="HB576" s="39">
        <v>244.95303679961771</v>
      </c>
      <c r="HC576" s="5">
        <v>358.50084881396981</v>
      </c>
      <c r="HD576" s="5">
        <v>287.77900980034525</v>
      </c>
      <c r="HE576" s="5">
        <v>285.23787161201437</v>
      </c>
      <c r="HF576" s="5">
        <v>257.54964978663213</v>
      </c>
      <c r="HG576" s="5">
        <v>240.60084178617024</v>
      </c>
      <c r="HH576" s="39">
        <v>286.10311035221667</v>
      </c>
      <c r="HI576" s="16"/>
      <c r="HJ576" s="19" t="str">
        <f t="shared" ref="HJ576:HK576" si="1881">HJ575</f>
        <v>On</v>
      </c>
      <c r="HK576" s="1" t="str">
        <f t="shared" si="1881"/>
        <v>On</v>
      </c>
      <c r="HL576" s="16"/>
      <c r="HM576" s="639">
        <f t="shared" si="1833"/>
        <v>5.1181272167489952E-2</v>
      </c>
      <c r="HN576" s="639">
        <f t="shared" si="1834"/>
        <v>4.2792051795134348E-3</v>
      </c>
      <c r="HO576" s="639">
        <f t="shared" si="1835"/>
        <v>7.4145241462331068E-3</v>
      </c>
      <c r="HP576" s="644">
        <f>(FT576*$GD576-HM576)/$JF576*INDEX(Input!$1:$1048576,$JG$93,$C576*2+6)</f>
        <v>103.81524857303437</v>
      </c>
      <c r="HQ576" s="644">
        <f>(FU576*$GD576-HN576)/$JF576*INDEX(Input!$1:$1048576,$JG$93,$C576*2+6)</f>
        <v>6.7069818124423426</v>
      </c>
      <c r="HR576" s="644">
        <f>(FV576*$GD576-HO576)/$JF576*INDEX(Input!$1:$1048576,$JG$93,$C576*2+6)</f>
        <v>-8.2633527084433993</v>
      </c>
      <c r="HS576" s="644">
        <f t="shared" si="1857"/>
        <v>-21.662240585841552</v>
      </c>
      <c r="HT576" s="644">
        <f t="shared" si="1858"/>
        <v>88.912418249896788</v>
      </c>
      <c r="HU576" s="644">
        <f t="shared" si="1837"/>
        <v>8.7581305514579828</v>
      </c>
      <c r="HV576" s="648">
        <f t="shared" si="1838"/>
        <v>0</v>
      </c>
      <c r="HW576" s="648">
        <f t="shared" si="1839"/>
        <v>0</v>
      </c>
      <c r="HX576" s="648">
        <f t="shared" si="1840"/>
        <v>0</v>
      </c>
      <c r="HY576" s="644">
        <f>INDEX(Input!$1:$1048576,HY$93,$C576*2+6)*INDEX(Input!$1:$1048576,$JG$93,$C576*2+6)</f>
        <v>345</v>
      </c>
      <c r="HZ576" s="644">
        <f>INDEX(Input!$1:$1048576,HZ$93,$C576*2+6)*INDEX(Input!$1:$1048576,$JG$93,$C576*2+6)</f>
        <v>299</v>
      </c>
      <c r="IA576" s="644">
        <f>INDEX(Input!$1:$1048576,IA$93,$C576*2+6)*INDEX(Input!$1:$1048576,$JG$93,$C576*2+6)</f>
        <v>98</v>
      </c>
      <c r="IB576" s="644">
        <f t="shared" si="1780"/>
        <v>427.15300798719272</v>
      </c>
      <c r="IC576" s="644">
        <f t="shared" si="1781"/>
        <v>394.61940006233914</v>
      </c>
      <c r="ID576" s="644">
        <f>IF(AND(INDEX(Input!$1:$1048576,IA$93,$C576*2+7)="TOS",Y576&lt;=INDEX(Y:Y,MATCH(C576*1000+2,A:A))),0,1)*MAX(IA576+HR576+HU576+HX576,0%)</f>
        <v>98.494777843014589</v>
      </c>
      <c r="IE576" s="128">
        <f t="shared" si="1873"/>
        <v>0.46416194615578588</v>
      </c>
      <c r="IF576" s="128">
        <f t="shared" si="1874"/>
        <v>0.42880959585623674</v>
      </c>
      <c r="IG576" s="128">
        <f t="shared" si="1784"/>
        <v>0.1070284579879774</v>
      </c>
      <c r="IH576" s="21"/>
      <c r="II576" s="19">
        <f t="shared" si="1841"/>
        <v>1200</v>
      </c>
      <c r="IJ576" s="19">
        <f t="shared" si="1842"/>
        <v>2231.5440334087361</v>
      </c>
      <c r="IK576" s="19">
        <f t="shared" si="1843"/>
        <v>-2048.0908300335955</v>
      </c>
      <c r="IL576" s="19">
        <f t="shared" si="1785"/>
        <v>1150</v>
      </c>
      <c r="IM576" s="19">
        <f t="shared" si="1786"/>
        <v>1672.8409090544615</v>
      </c>
      <c r="IN576" s="19">
        <f t="shared" si="1787"/>
        <v>325</v>
      </c>
      <c r="IO576" s="39">
        <f t="shared" si="1844"/>
        <v>0</v>
      </c>
      <c r="IP576" s="39">
        <f t="shared" si="1845"/>
        <v>0</v>
      </c>
      <c r="IQ576" s="39">
        <f t="shared" si="1846"/>
        <v>0</v>
      </c>
      <c r="IR576" s="39">
        <v>0</v>
      </c>
      <c r="IS576" s="39">
        <v>0</v>
      </c>
      <c r="IT576" s="39">
        <v>0</v>
      </c>
      <c r="IU576" s="39">
        <v>0</v>
      </c>
      <c r="IV576" s="39">
        <v>0</v>
      </c>
      <c r="IW576" s="39">
        <v>0</v>
      </c>
      <c r="IX576" s="39">
        <f>INDEX(Input!$1:$1048576,IX$93,$C576*2+6)+INDEX(Input!$1:$1048576,IX$94,$C576*2+6)</f>
        <v>1600</v>
      </c>
      <c r="IY576" s="39">
        <f>INDEX(Input!$1:$1048576,IY$93,$C576*2+6)+INDEX(Input!$1:$1048576,IY$94,$C576*2+6)</f>
        <v>2503.5492916397525</v>
      </c>
      <c r="IZ576" s="39">
        <f>INDEX(Input!$1:$1048576,IZ$93,$C576*2+6)+INDEX(Input!$1:$1048576,IZ$94,$C576*2+6)</f>
        <v>5413.7109265464023</v>
      </c>
      <c r="JA576" s="19">
        <f t="shared" si="1788"/>
        <v>2750</v>
      </c>
      <c r="JB576" s="19">
        <f t="shared" si="1789"/>
        <v>4176.3902006942135</v>
      </c>
      <c r="JC576" s="19">
        <f t="shared" si="1790"/>
        <v>5738.7109265464023</v>
      </c>
      <c r="JD576" s="19">
        <f t="shared" si="1791"/>
        <v>3681.5269273330628</v>
      </c>
      <c r="JE576" s="21"/>
      <c r="JF576" s="1">
        <f t="shared" si="1847"/>
        <v>6.2875001493236493E-2</v>
      </c>
      <c r="JG576" s="15">
        <f>INDEX(Input!$1:$1048576,JG$93,$C576*2+6)/(1+VLOOKUP(C576*1000+INDEX(Input!$1:$1048576,JG$93+1,$C576*2+6),$A:$KK,$JK$92,FALSE))</f>
        <v>742</v>
      </c>
      <c r="JH576" s="1">
        <f t="shared" si="1792"/>
        <v>0.13781519902565134</v>
      </c>
      <c r="JI576" s="1">
        <f t="shared" si="1793"/>
        <v>0.10243707306672939</v>
      </c>
      <c r="JJ576" s="1">
        <f t="shared" si="1875"/>
        <v>0</v>
      </c>
      <c r="JK576" s="1">
        <f t="shared" si="1876"/>
        <v>0.24025227209238073</v>
      </c>
      <c r="JL576" s="15">
        <f t="shared" si="1796"/>
        <v>178.26718589254651</v>
      </c>
      <c r="JM576" s="15">
        <f t="shared" si="1797"/>
        <v>920.26718589254654</v>
      </c>
      <c r="JN576" s="21"/>
      <c r="JO576" s="19">
        <f>INDEX(Input!$1:$1048576,JO$93,$C576*2+6)</f>
        <v>5908.5</v>
      </c>
      <c r="JP576" s="19">
        <f>INDEX(Input!$1:$1048576,JP$93,$C576*2+6)</f>
        <v>2467.7963733178344</v>
      </c>
      <c r="JQ576" s="39">
        <f t="shared" si="1798"/>
        <v>2226.9730726669372</v>
      </c>
      <c r="JR576" s="39">
        <f t="shared" si="1799"/>
        <v>1213.7305540152283</v>
      </c>
      <c r="JS576" s="39">
        <f t="shared" si="1800"/>
        <v>3.3879884252044312</v>
      </c>
      <c r="JT576" s="39">
        <f t="shared" si="1801"/>
        <v>1.556883516202598</v>
      </c>
      <c r="JU576" s="385">
        <f>(JQ576*JM576-INDEX(Input!$1:$1048576,Input!A$18,$C576*2+6)*JL576*INDEX(Input!$1:$1048576,Input!A$19,$C576*2+6))/1000000</f>
        <v>2.04941024264168</v>
      </c>
      <c r="JV576" s="39">
        <f t="shared" si="1802"/>
        <v>-0.50359184835648652</v>
      </c>
      <c r="JW576" s="1">
        <f t="shared" si="1803"/>
        <v>-0.19725477316769191</v>
      </c>
      <c r="JX576" s="19">
        <f t="shared" si="1804"/>
        <v>8733.42734619166</v>
      </c>
      <c r="JZ576" s="341"/>
      <c r="KA576" s="342"/>
      <c r="KB576" s="469">
        <f t="shared" si="1805"/>
        <v>2.4623520912331753</v>
      </c>
      <c r="KI576" s="473">
        <f t="shared" si="1877"/>
        <v>82.15300798719278</v>
      </c>
      <c r="KJ576" s="473">
        <f t="shared" si="1878"/>
        <v>95.619400062339139</v>
      </c>
      <c r="KK576" s="473">
        <f t="shared" si="1808"/>
        <v>0.49477784301460304</v>
      </c>
      <c r="KN576" s="544">
        <f t="shared" si="1809"/>
        <v>5002</v>
      </c>
      <c r="KO576" s="541">
        <f t="shared" si="1848"/>
        <v>0.15242220209894408</v>
      </c>
      <c r="KP576" s="546">
        <f t="shared" si="1849"/>
        <v>893.91275938690353</v>
      </c>
      <c r="KQ576" s="546">
        <f t="shared" si="1850"/>
        <v>822.75448118135364</v>
      </c>
      <c r="KR576" s="548">
        <f t="shared" si="1851"/>
        <v>2.8707665841536167</v>
      </c>
      <c r="KS576" s="548">
        <f t="shared" si="1852"/>
        <v>3.1190530559150167</v>
      </c>
      <c r="KT576" s="473">
        <f t="shared" si="1810"/>
        <v>389.37465324503302</v>
      </c>
      <c r="KU576" s="663">
        <f t="shared" si="1854"/>
        <v>7.2940958910571165</v>
      </c>
    </row>
    <row r="577" spans="1:307" s="26" customFormat="1" ht="15" outlineLevel="1">
      <c r="A577" s="561">
        <f t="shared" si="1770"/>
        <v>5077</v>
      </c>
      <c r="B577" s="561">
        <f t="shared" si="1865"/>
        <v>77</v>
      </c>
      <c r="C577" s="561">
        <f t="shared" si="1866"/>
        <v>5</v>
      </c>
      <c r="D577" s="561" t="str">
        <f t="shared" si="1812"/>
        <v xml:space="preserve">1000 CC, 0/1.8/2.8/3.9, 2000 Combo, </v>
      </c>
      <c r="E577" s="475">
        <f>INDEX(Input!$1:$1048576,E$93,$C577*2+MIN($B577,2)+5)
+INDEX(Scenarios!E$121:E$200,MATCH($B577,Scenarios!$B$121:$B$200,0))</f>
        <v>2250</v>
      </c>
      <c r="F577" s="475">
        <f>INDEX(Input!$1:$1048576,F$93,$C577*2+MIN($B577,2)+5)
+INDEX(Scenarios!F$121:F$200,MATCH($B577,Scenarios!$B$121:$B$200,0))</f>
        <v>0</v>
      </c>
      <c r="G577" s="475">
        <f>INDEX(Input!$1:$1048576,G$93,$C577*2+MIN($B577,2)+5)
+INDEX(Scenarios!G$121:G$200,MATCH($B577,Scenarios!$B$121:$B$200,0))</f>
        <v>0</v>
      </c>
      <c r="H577" s="475">
        <f>INDEX(Input!$1:$1048576,H$93,$C577*2+MIN($B577,2)+5)
+INDEX(Scenarios!H$121:H$200,MATCH($B577,Scenarios!$B$121:$B$200,0))</f>
        <v>0</v>
      </c>
      <c r="I577" s="476">
        <f>INDEX(Input!$1:$1048576,I$93,$C577*2+MIN($B577,2)+5)</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+INDEX(Scenarios!Q$121:Q$200,MATCH($B577,Scenarios!$B$121:$B$200,0))</f>
        <v>2000</v>
      </c>
      <c r="R577" s="478">
        <f>IFERROR(MAX(0,INDEX(Input!$1:$1048576,R$93,$C577*2+MIN($B577,2)+5)
+INDEX(Scenarios!R$121:R$200,MATCH($B577,Scenarios!$B$121:$B$200,0)),),"Market")</f>
        <v>0</v>
      </c>
      <c r="S577" s="478">
        <f>IFERROR(MAX(0,INDEX(Input!$1:$1048576,S$93,$C577*2+MIN($B577,2)+5)
+INDEX(Scenarios!S$121:S$200,MATCH($B577,Scenarios!$B$121:$B$200,0)),),"Market")</f>
        <v>0</v>
      </c>
      <c r="T577" s="478">
        <f>IFERROR(MAX(0,INDEX(Input!$1:$1048576,T$93,$C577*2+MIN($B577,2)+5)
+INDEX(Scenarios!T$121:T$200,MATCH($B577,Scenarios!$B$121:$B$200,0)),),"Market")</f>
        <v>0</v>
      </c>
      <c r="U577" s="478">
        <f>IFERROR(MAX(0,INDEX(Input!$1:$1048576,U$93,$C577*2+MIN($B577,2)+5)
+INDEX(Scenarios!U$121:U$200,MATCH($B577,Scenarios!$B$121:$B$200,0)),),"Market")</f>
        <v>0</v>
      </c>
      <c r="V577" s="478">
        <f>IFERROR(MAX(0,INDEX(Input!$1:$1048576,V$93,$C577*2+MIN($B577,2)+5)
+INDEX(Scenarios!V$121:V$200,MATCH($B577,Scenarios!$B$121:$B$200,0)),),"Market")</f>
        <v>2.7999999999999997E-2</v>
      </c>
      <c r="W577" s="863">
        <f>IFERROR(MAX(0,INDEX(Input!$1:$1048576,W$93,$C577*2+MIN($B577,2)+5)-0%,),"Market")</f>
        <v>3.9E-2</v>
      </c>
      <c r="X577" s="476" t="str">
        <f>INDEX(Input!$1:$1048576,X$93,$C577*2+MIN($B577,2)+5)</f>
        <v>Y</v>
      </c>
      <c r="Y577" s="475">
        <f>INDEX(Input!$1:$1048576,Y$93,$C577*2+MIN($B577,2)+5)
++INDEX(Scenarios!Y$121:Y$200,MATCH($B577,Scenarios!$B$121:$B$200,0))</f>
        <v>-1098.3618966787526</v>
      </c>
      <c r="Z577" s="477">
        <f>INDEX(Input!$1:$1048576,Z$93,$C577*2+MIN($B577,2)+5)
+INDEX(Scenarios!Z$121:Z$200,MATCH($B577,Scenarios!$B$121:$B$200,0))</f>
        <v>0</v>
      </c>
      <c r="AA577" s="475">
        <f>INDEX(Input!$1:$1048576,AA$93,$C577*2+MIN($B577,2)+5)</f>
        <v>500</v>
      </c>
      <c r="AB577" s="476">
        <f>INDEX(Input!$1:$1048576,AB$93,$C577*2+MIN($B577,2)+5)</f>
        <v>0.43</v>
      </c>
      <c r="AC577" s="475">
        <f>INDEX(Input!$1:$1048576,AC$93,$C577*2+MIN($B577,2)+5)
+INDEX(Scenarios!AC$121:AC$200,MATCH($B577,Scenarios!$B$121:$B$200,0))</f>
        <v>0</v>
      </c>
      <c r="AD577" s="476">
        <f>INDEX(Input!$1:$1048576,AD$93,$C577*2+MIN($B577,2)+5)</f>
        <v>0.35</v>
      </c>
      <c r="AE577" s="475">
        <f>INDEX(Input!$1:$1048576,AE$93,$C577*2+MIN($B577,2)+5)
+INDEX(Scenarios!AE$121:AE$200,MATCH($B577,Scenarios!$B$121:$B$200,0))</f>
        <v>0</v>
      </c>
      <c r="AF577" s="476">
        <f>INDEX(Input!$1:$1048576,AF$93,$C577*2+MIN($B577,2)+5)</f>
        <v>1</v>
      </c>
      <c r="AG577" s="475">
        <f>INDEX(Input!$1:$1048576,AG$93,$C577*2+MIN($B577,2)+5)
+INDEX(Scenarios!AG$121:AG$200,MATCH($B577,Scenarios!$B$121:$B$200,0))</f>
        <v>0</v>
      </c>
      <c r="AH577" s="476">
        <f>INDEX(Input!$1:$1048576,AH$93,$C577*2+MIN($B577,2)+5)</f>
        <v>1</v>
      </c>
      <c r="AI577" s="475">
        <f>INDEX(Input!$1:$1048576,AI$93,$C577*2+MIN($B577,2)+5)
+INDEX(Scenarios!AI$121:AI$200,MATCH($B577,Scenarios!$B$121:$B$200,0))</f>
        <v>0</v>
      </c>
      <c r="AJ577" s="476">
        <f>INDEX(Input!$1:$1048576,AJ$93,$C577*2+MIN($B577,2)+5)</f>
        <v>0.35</v>
      </c>
      <c r="AK577" s="150">
        <f>ROUND(INDEX(Input!$1:$1048576,AK$93,$C576*2+MIN($B577,1)+5)+(Y577-VLOOKUP($C577*1000+1,$A:$HH,Y$92,FALSE)),0)</f>
        <v>4592</v>
      </c>
      <c r="AL577" s="150">
        <f>ROUND(INDEX(Input!$1:$1048576,AL$93,$C576*2+MIN($B577,1)+5)-(Y577-VLOOKUP($C577*1000+1,$A:$HH,Y$92,FALSE))/36,0)</f>
        <v>4743</v>
      </c>
      <c r="AM577" s="32" t="str">
        <f t="shared" si="1773"/>
        <v>std/std/std/std</v>
      </c>
      <c r="AN577" s="32" t="str">
        <f t="shared" si="1774"/>
        <v>$2000 + 0/0/0/2.8/3.9</v>
      </c>
      <c r="AO577" s="32" t="str">
        <f t="shared" si="1775"/>
        <v>0/0/0/2.8/3.9</v>
      </c>
      <c r="AP577" s="32" t="str">
        <f t="shared" si="1755"/>
        <v>0/1.8/2.8/3.9</v>
      </c>
      <c r="AQ577" s="536">
        <f t="shared" si="1754"/>
        <v>0.41789168340314148</v>
      </c>
      <c r="AR577" s="32"/>
      <c r="AS577" s="302"/>
      <c r="AT577" s="3">
        <f t="shared" si="1867"/>
        <v>77</v>
      </c>
      <c r="AU577" s="41" t="s">
        <v>121</v>
      </c>
      <c r="AV577" s="41" t="s">
        <v>116</v>
      </c>
      <c r="AW577" s="41" t="str">
        <f>INDEX(Input!$1:$1048576,AW$93,$C577*2+6)</f>
        <v>Kia</v>
      </c>
      <c r="AX577" s="41" t="str">
        <f>INDEX(Input!$1:$1048576,AX$93,$C577*2+6)</f>
        <v>Kia-LR - R2</v>
      </c>
      <c r="AY577" s="41" t="str">
        <f>IF(LEN(D577)=0,"",INDEX(Input!$1:$1048576,AY$93,$C577*2+6))</f>
        <v>Compact Conventional/Sporty Car (43)</v>
      </c>
      <c r="AZ577" s="41" t="str">
        <f>INDEX(Input!$1:$1048576,AZ$93,$C577*2+6)</f>
        <v>Kia Forte</v>
      </c>
      <c r="BA577" s="3">
        <f>INDEX(Input!$1:$1048576,BA$93,$C577*2+6)</f>
        <v>2020</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19695</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756"/>
        <v>2250</v>
      </c>
      <c r="CJ577" s="16" t="str">
        <f>INDEX(Input!$1:$1048576,CJ$93,$C577*2+6)</f>
        <v>N</v>
      </c>
      <c r="CK577" s="1" t="str">
        <f t="shared" si="1757"/>
        <v>Market</v>
      </c>
      <c r="CL577" s="1" t="str">
        <f t="shared" si="1758"/>
        <v>Market</v>
      </c>
      <c r="CM577" s="1" t="str">
        <f t="shared" si="1759"/>
        <v>Market</v>
      </c>
      <c r="CN577" s="1" t="str">
        <f t="shared" si="1760"/>
        <v>Market</v>
      </c>
      <c r="CO577" s="1" t="str">
        <f t="shared" si="1761"/>
        <v>Market</v>
      </c>
      <c r="CP577" s="304">
        <f t="shared" si="1762"/>
        <v>2215</v>
      </c>
      <c r="CQ577" s="1">
        <f t="shared" si="1763"/>
        <v>0</v>
      </c>
      <c r="CR577" s="1">
        <f t="shared" si="1764"/>
        <v>0</v>
      </c>
      <c r="CS577" s="1">
        <f t="shared" si="1765"/>
        <v>0</v>
      </c>
      <c r="CT577" s="1">
        <f t="shared" si="1766"/>
        <v>2.7999999999999997E-2</v>
      </c>
      <c r="CU577" s="1">
        <f t="shared" si="1767"/>
        <v>3.9E-2</v>
      </c>
      <c r="CV577" s="304">
        <f t="shared" si="1768"/>
        <v>-1098.3618966787526</v>
      </c>
      <c r="CW577" s="20" t="s">
        <v>122</v>
      </c>
      <c r="CX577" s="20" t="s">
        <v>122</v>
      </c>
      <c r="CY577" s="20" t="s">
        <v>122</v>
      </c>
      <c r="CZ577" s="20" t="s">
        <v>122</v>
      </c>
      <c r="DA577" s="20" t="s">
        <v>122</v>
      </c>
      <c r="DB577" s="503">
        <f t="shared" si="1769"/>
        <v>0</v>
      </c>
      <c r="DC577" s="127">
        <v>0</v>
      </c>
      <c r="DD577" s="127">
        <v>0</v>
      </c>
      <c r="DE577" s="127">
        <v>0</v>
      </c>
      <c r="DF577" s="127">
        <v>0</v>
      </c>
      <c r="DG577" s="127">
        <v>0</v>
      </c>
      <c r="DH577" s="127">
        <v>0</v>
      </c>
      <c r="DI577" s="127">
        <v>0</v>
      </c>
      <c r="DJ577" s="127">
        <v>0</v>
      </c>
      <c r="DK577" s="127">
        <v>0</v>
      </c>
      <c r="DL577" s="127">
        <v>0</v>
      </c>
      <c r="DM577" s="304">
        <f>INDEX(Input!$1:$1048576,DM$93,$C577*2+6)</f>
        <v>20731.578947368424</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4.4387227577823478E-2</v>
      </c>
      <c r="DZ577" s="7">
        <v>0</v>
      </c>
      <c r="EA577" s="7">
        <v>0.74138146082376366</v>
      </c>
      <c r="EB577" s="7">
        <v>0</v>
      </c>
      <c r="EC577" s="7">
        <v>0</v>
      </c>
      <c r="ED577" s="7">
        <v>0</v>
      </c>
      <c r="EE577" s="7">
        <v>0</v>
      </c>
      <c r="EF577" s="7">
        <v>0</v>
      </c>
      <c r="EG577" s="7">
        <v>0</v>
      </c>
      <c r="EH577" s="7">
        <v>1.9594068091568113E-2</v>
      </c>
      <c r="EI577" s="7">
        <v>2.176341210168449E-2</v>
      </c>
      <c r="EJ577" s="7">
        <v>0.26471359211139822</v>
      </c>
      <c r="EK577" s="7">
        <v>0.52431244754822903</v>
      </c>
      <c r="EL577" s="7">
        <v>0.1696164801471203</v>
      </c>
      <c r="EM577" s="7">
        <v>0.12924588065913376</v>
      </c>
      <c r="EN577" s="7">
        <v>4.7388913398348331E-2</v>
      </c>
      <c r="EO577" s="7">
        <v>0.58257005664977324</v>
      </c>
      <c r="EP577" s="7">
        <v>0.25105649132436036</v>
      </c>
      <c r="EQ577" s="7">
        <v>7.2206040795329579E-2</v>
      </c>
      <c r="ER577" s="7">
        <v>4.6778497832188196E-2</v>
      </c>
      <c r="ES577" s="7">
        <v>8.4985430939279044E-2</v>
      </c>
      <c r="ET577" s="7">
        <v>0.21423131159841291</v>
      </c>
      <c r="EU577" s="6">
        <v>2600</v>
      </c>
      <c r="EV577" s="6">
        <v>0</v>
      </c>
      <c r="EW577" s="6">
        <v>2600</v>
      </c>
      <c r="EX577" s="6">
        <v>0</v>
      </c>
      <c r="EY577" s="6">
        <v>4295.0058726039224</v>
      </c>
      <c r="EZ577" s="6">
        <v>-1723.0908300335955</v>
      </c>
      <c r="FA577" s="6">
        <v>0</v>
      </c>
      <c r="FB577" s="6">
        <v>0</v>
      </c>
      <c r="FC577" s="6">
        <v>0</v>
      </c>
      <c r="FD577" s="6">
        <v>0</v>
      </c>
      <c r="FE577" s="6">
        <v>0</v>
      </c>
      <c r="FF577" s="6">
        <v>0</v>
      </c>
      <c r="FG577" s="6">
        <v>0</v>
      </c>
      <c r="FH577" s="6">
        <v>1150.5046272070472</v>
      </c>
      <c r="FI577" s="6">
        <v>1531.4299904380618</v>
      </c>
      <c r="FJ577" s="6">
        <v>2070.7205842538215</v>
      </c>
      <c r="FK577" s="6">
        <v>1314.7946049255022</v>
      </c>
      <c r="FL577" s="6">
        <v>893.91433563489409</v>
      </c>
      <c r="FM577" s="6">
        <v>1445.0058726039229</v>
      </c>
      <c r="FN577" s="6">
        <v>0</v>
      </c>
      <c r="FO577" s="6">
        <v>0</v>
      </c>
      <c r="FP577" s="6">
        <v>0</v>
      </c>
      <c r="FQ577" s="6">
        <v>0</v>
      </c>
      <c r="FR577" s="6">
        <v>0</v>
      </c>
      <c r="FS577" s="6">
        <v>0</v>
      </c>
      <c r="FT577" s="7">
        <v>0.78576868840158709</v>
      </c>
      <c r="FU577" s="7">
        <v>0.12924588065913376</v>
      </c>
      <c r="FV577" s="7">
        <v>8.4985430939279044E-2</v>
      </c>
      <c r="FW577" s="6">
        <v>2600.0000000000005</v>
      </c>
      <c r="FX577" s="6">
        <v>4295.0058726039224</v>
      </c>
      <c r="FY577" s="6">
        <v>-1723.0908300335955</v>
      </c>
      <c r="FZ577" s="6">
        <v>2411.9063952864503</v>
      </c>
      <c r="GA577" s="6">
        <v>2451.6727895470467</v>
      </c>
      <c r="GB577" s="6">
        <v>17243.327210452953</v>
      </c>
      <c r="GC577" s="7">
        <v>7.6138913542514425E-2</v>
      </c>
      <c r="GD577" s="7">
        <v>7.4661087710300403E-2</v>
      </c>
      <c r="GE577" s="7"/>
      <c r="GF577" s="7"/>
      <c r="GG577" s="7">
        <v>-1.9409599683725905E-2</v>
      </c>
      <c r="GH577" s="42">
        <v>-9.6129426084216689</v>
      </c>
      <c r="GI577" s="6">
        <v>402.87245834089498</v>
      </c>
      <c r="GJ577" s="14">
        <v>0.51074630601039561</v>
      </c>
      <c r="GK577" s="14">
        <v>0.50829519786160948</v>
      </c>
      <c r="GL577" s="14">
        <v>0.48925369398960422</v>
      </c>
      <c r="GM577" s="14">
        <v>0.49170480213839046</v>
      </c>
      <c r="GO577" s="5">
        <v>338.16872463277008</v>
      </c>
      <c r="GP577" s="5">
        <v>288.56568471597211</v>
      </c>
      <c r="GQ577" s="5">
        <v>527.27910984145694</v>
      </c>
      <c r="GR577" s="5">
        <v>404.20319246551543</v>
      </c>
      <c r="GS577" s="5">
        <v>334.50205195691484</v>
      </c>
      <c r="GT577" s="5">
        <v>289.18266033348181</v>
      </c>
      <c r="GU577" s="5">
        <v>254.29573314828914</v>
      </c>
      <c r="GV577" s="39" t="s">
        <v>392</v>
      </c>
      <c r="GW577" s="5">
        <v>413.20833333333331</v>
      </c>
      <c r="GX577" s="5">
        <v>309.90625</v>
      </c>
      <c r="GY577" s="5">
        <v>247.92500000000001</v>
      </c>
      <c r="GZ577" s="5">
        <v>224.68500055933538</v>
      </c>
      <c r="HA577" s="5">
        <v>202.64630440458183</v>
      </c>
      <c r="HB577" s="39">
        <v>232.64746241376017</v>
      </c>
      <c r="HC577" s="5">
        <v>358.50084881396981</v>
      </c>
      <c r="HD577" s="5">
        <v>287.77900980034525</v>
      </c>
      <c r="HE577" s="5">
        <v>285.23787161201437</v>
      </c>
      <c r="HF577" s="5">
        <v>257.54964978663213</v>
      </c>
      <c r="HG577" s="5">
        <v>240.60084178617024</v>
      </c>
      <c r="HH577" s="39">
        <v>286.10280543465649</v>
      </c>
      <c r="HI577" s="16"/>
      <c r="HJ577" s="19" t="str">
        <f t="shared" ref="HJ577:HK577" si="1882">HJ576</f>
        <v>On</v>
      </c>
      <c r="HK577" s="1" t="str">
        <f t="shared" si="1882"/>
        <v>On</v>
      </c>
      <c r="HL577" s="16"/>
      <c r="HM577" s="639">
        <f t="shared" si="1833"/>
        <v>5.1181272167489952E-2</v>
      </c>
      <c r="HN577" s="639">
        <f t="shared" si="1834"/>
        <v>4.2792051795134348E-3</v>
      </c>
      <c r="HO577" s="639">
        <f t="shared" si="1835"/>
        <v>7.4145241462331068E-3</v>
      </c>
      <c r="HP577" s="644">
        <f>(FT577*$GD577-HM577)/$JF577*INDEX(Input!$1:$1048576,$JG$93,$C577*2+6)</f>
        <v>88.332785426188451</v>
      </c>
      <c r="HQ577" s="644">
        <f>(FU577*$GD577-HN577)/$JF577*INDEX(Input!$1:$1048576,$JG$93,$C577*2+6)</f>
        <v>63.377512238118136</v>
      </c>
      <c r="HR577" s="644">
        <f>(FV577*$GD577-HO577)/$JF577*INDEX(Input!$1:$1048576,$JG$93,$C577*2+6)</f>
        <v>-12.620424656476105</v>
      </c>
      <c r="HS577" s="644">
        <f t="shared" si="1857"/>
        <v>-26.377071545288217</v>
      </c>
      <c r="HT577" s="644">
        <f t="shared" si="1858"/>
        <v>109.71580304581927</v>
      </c>
      <c r="HU577" s="644">
        <f t="shared" si="1837"/>
        <v>9.4020076895576103</v>
      </c>
      <c r="HV577" s="648">
        <f t="shared" si="1838"/>
        <v>0</v>
      </c>
      <c r="HW577" s="648">
        <f t="shared" si="1839"/>
        <v>0</v>
      </c>
      <c r="HX577" s="648">
        <f t="shared" si="1840"/>
        <v>0</v>
      </c>
      <c r="HY577" s="644">
        <f>INDEX(Input!$1:$1048576,HY$93,$C577*2+6)*INDEX(Input!$1:$1048576,$JG$93,$C577*2+6)</f>
        <v>345</v>
      </c>
      <c r="HZ577" s="644">
        <f>INDEX(Input!$1:$1048576,HZ$93,$C577*2+6)*INDEX(Input!$1:$1048576,$JG$93,$C577*2+6)</f>
        <v>299</v>
      </c>
      <c r="IA577" s="644">
        <f>INDEX(Input!$1:$1048576,IA$93,$C577*2+6)*INDEX(Input!$1:$1048576,$JG$93,$C577*2+6)</f>
        <v>98</v>
      </c>
      <c r="IB577" s="644">
        <f t="shared" si="1780"/>
        <v>406.9557138809003</v>
      </c>
      <c r="IC577" s="644">
        <f t="shared" si="1781"/>
        <v>472.09331528393739</v>
      </c>
      <c r="ID577" s="644">
        <f>IF(AND(INDEX(Input!$1:$1048576,IA$93,$C577*2+7)="TOS",Y577&lt;=INDEX(Y:Y,MATCH(C577*1000+2,A:A))),0,1)*MAX(IA577+HR577+HU577+HX577,0%)</f>
        <v>94.781583033081503</v>
      </c>
      <c r="IE577" s="128">
        <f t="shared" si="1873"/>
        <v>0.41789168340314148</v>
      </c>
      <c r="IF577" s="128">
        <f t="shared" si="1874"/>
        <v>0.48477970333919856</v>
      </c>
      <c r="IG577" s="128">
        <f t="shared" si="1784"/>
        <v>9.7328613257659943E-2</v>
      </c>
      <c r="IH577" s="21"/>
      <c r="II577" s="19">
        <f t="shared" si="1841"/>
        <v>1200</v>
      </c>
      <c r="IJ577" s="19">
        <f t="shared" si="1842"/>
        <v>2231.5440334087361</v>
      </c>
      <c r="IK577" s="19">
        <f t="shared" si="1843"/>
        <v>-2048.0908300335955</v>
      </c>
      <c r="IL577" s="19">
        <f t="shared" si="1785"/>
        <v>1400.0000000000005</v>
      </c>
      <c r="IM577" s="19">
        <f t="shared" si="1786"/>
        <v>2063.4618391951863</v>
      </c>
      <c r="IN577" s="19">
        <f t="shared" si="1787"/>
        <v>325</v>
      </c>
      <c r="IO577" s="39">
        <f t="shared" si="1844"/>
        <v>0</v>
      </c>
      <c r="IP577" s="39">
        <f t="shared" si="1845"/>
        <v>0</v>
      </c>
      <c r="IQ577" s="39">
        <f t="shared" si="1846"/>
        <v>0</v>
      </c>
      <c r="IR577" s="39">
        <v>0</v>
      </c>
      <c r="IS577" s="39">
        <v>0</v>
      </c>
      <c r="IT577" s="39">
        <v>0</v>
      </c>
      <c r="IU577" s="39">
        <v>0</v>
      </c>
      <c r="IV577" s="39">
        <v>0</v>
      </c>
      <c r="IW577" s="39">
        <v>0</v>
      </c>
      <c r="IX577" s="39">
        <f>INDEX(Input!$1:$1048576,IX$93,$C577*2+6)+INDEX(Input!$1:$1048576,IX$94,$C577*2+6)</f>
        <v>1600</v>
      </c>
      <c r="IY577" s="39">
        <f>INDEX(Input!$1:$1048576,IY$93,$C577*2+6)+INDEX(Input!$1:$1048576,IY$94,$C577*2+6)</f>
        <v>2503.5492916397525</v>
      </c>
      <c r="IZ577" s="39">
        <f>INDEX(Input!$1:$1048576,IZ$93,$C577*2+6)+INDEX(Input!$1:$1048576,IZ$94,$C577*2+6)</f>
        <v>5413.7109265464023</v>
      </c>
      <c r="JA577" s="19">
        <f t="shared" si="1788"/>
        <v>3000.0000000000005</v>
      </c>
      <c r="JB577" s="19">
        <f t="shared" si="1789"/>
        <v>4567.0111308349387</v>
      </c>
      <c r="JC577" s="19">
        <f t="shared" si="1790"/>
        <v>5738.7109265464023</v>
      </c>
      <c r="JD577" s="19">
        <f t="shared" si="1791"/>
        <v>4026.2101277297461</v>
      </c>
      <c r="JE577" s="21"/>
      <c r="JF577" s="1">
        <f t="shared" si="1847"/>
        <v>6.2875001493236493E-2</v>
      </c>
      <c r="JG577" s="15">
        <f>INDEX(Input!$1:$1048576,JG$93,$C577*2+6)/(1+VLOOKUP(C577*1000+INDEX(Input!$1:$1048576,JG$93+1,$C577*2+6),$A:$KK,$JK$92,FALSE))</f>
        <v>742</v>
      </c>
      <c r="JH577" s="1">
        <f t="shared" si="1792"/>
        <v>0.18745265904020281</v>
      </c>
      <c r="JI577" s="1">
        <f t="shared" si="1793"/>
        <v>0.1249875191241087</v>
      </c>
      <c r="JJ577" s="1">
        <f t="shared" si="1875"/>
        <v>0</v>
      </c>
      <c r="JK577" s="1">
        <f t="shared" si="1876"/>
        <v>0.31244017816431152</v>
      </c>
      <c r="JL577" s="15">
        <f t="shared" si="1796"/>
        <v>231.83061219791915</v>
      </c>
      <c r="JM577" s="15">
        <f t="shared" si="1797"/>
        <v>973.83061219791921</v>
      </c>
      <c r="JN577" s="21"/>
      <c r="JO577" s="19">
        <f>INDEX(Input!$1:$1048576,JO$93,$C577*2+6)</f>
        <v>5908.5</v>
      </c>
      <c r="JP577" s="19">
        <f>INDEX(Input!$1:$1048576,JP$93,$C577*2+6)</f>
        <v>2467.7963733178344</v>
      </c>
      <c r="JQ577" s="39">
        <f t="shared" si="1798"/>
        <v>1882.2898722702539</v>
      </c>
      <c r="JR577" s="39">
        <f t="shared" si="1799"/>
        <v>1558.4137544119117</v>
      </c>
      <c r="JS577" s="39">
        <f t="shared" si="1800"/>
        <v>3.9208466735245211</v>
      </c>
      <c r="JT577" s="39">
        <f t="shared" si="1801"/>
        <v>2.0897417645226883</v>
      </c>
      <c r="JU577" s="385">
        <f>(JQ577*JM577-INDEX(Input!$1:$1048576,Input!A$18,$C577*2+6)*JL577*INDEX(Input!$1:$1048576,Input!A$19,$C577*2+6))/1000000</f>
        <v>1.8330314986468845</v>
      </c>
      <c r="JV577" s="39">
        <f t="shared" si="1802"/>
        <v>-0.71997059235128202</v>
      </c>
      <c r="JW577" s="1">
        <f t="shared" si="1803"/>
        <v>-0.28200940175093614</v>
      </c>
      <c r="JX577" s="19">
        <f t="shared" si="1804"/>
        <v>9014.0889708673476</v>
      </c>
      <c r="JZ577" s="341"/>
      <c r="KA577" s="342"/>
      <c r="KB577" s="469">
        <f t="shared" si="1805"/>
        <v>2.4623520912331753</v>
      </c>
      <c r="KI577" s="473">
        <f t="shared" si="1877"/>
        <v>61.955713880900305</v>
      </c>
      <c r="KJ577" s="473">
        <f t="shared" si="1878"/>
        <v>173.09331528393739</v>
      </c>
      <c r="KK577" s="473">
        <f t="shared" si="1808"/>
        <v>-3.2184169669184968</v>
      </c>
      <c r="KN577" s="544">
        <f t="shared" si="1809"/>
        <v>5002</v>
      </c>
      <c r="KO577" s="541">
        <f t="shared" si="1848"/>
        <v>0.21949802816453801</v>
      </c>
      <c r="KP577" s="546">
        <f t="shared" si="1849"/>
        <v>1224.2871538932984</v>
      </c>
      <c r="KQ577" s="546">
        <f t="shared" si="1850"/>
        <v>1167.437681578037</v>
      </c>
      <c r="KR577" s="548">
        <f t="shared" si="1851"/>
        <v>3.0185065146254426</v>
      </c>
      <c r="KS577" s="548">
        <f t="shared" si="1852"/>
        <v>3.1654955190446601</v>
      </c>
      <c r="KT577" s="473">
        <f t="shared" si="1810"/>
        <v>389.37465324503302</v>
      </c>
      <c r="KU577" s="663">
        <f t="shared" si="1854"/>
        <v>7.342572041094594</v>
      </c>
    </row>
    <row r="578" spans="1:307" s="26" customFormat="1" ht="15" outlineLevel="1">
      <c r="A578" s="561">
        <f t="shared" si="1770"/>
        <v>5078</v>
      </c>
      <c r="B578" s="561">
        <f t="shared" si="1865"/>
        <v>78</v>
      </c>
      <c r="C578" s="561">
        <f t="shared" si="1866"/>
        <v>5</v>
      </c>
      <c r="D578" s="561" t="str">
        <f t="shared" si="1812"/>
        <v xml:space="preserve">500 CC, 0/2.8/3.8/3.9, 1000 Combo, </v>
      </c>
      <c r="E578" s="475">
        <f>INDEX(Input!$1:$1048576,E$93,$C578*2+MIN($B578,2)+5)
+INDEX(Scenarios!E$121:E$200,MATCH($B578,Scenarios!$B$121:$B$200,0))</f>
        <v>1750</v>
      </c>
      <c r="F578" s="475">
        <f>INDEX(Input!$1:$1048576,F$93,$C578*2+MIN($B578,2)+5)
+INDEX(Scenarios!F$121:F$200,MATCH($B578,Scenarios!$B$121:$B$200,0))</f>
        <v>0</v>
      </c>
      <c r="G578" s="475">
        <f>INDEX(Input!$1:$1048576,G$93,$C578*2+MIN($B578,2)+5)
+INDEX(Scenarios!G$121:G$200,MATCH($B578,Scenarios!$B$121:$B$200,0))</f>
        <v>0</v>
      </c>
      <c r="H578" s="475">
        <f>INDEX(Input!$1:$1048576,H$93,$C578*2+MIN($B578,2)+5)
+INDEX(Scenarios!H$121:H$200,MATCH($B578,Scenarios!$B$121:$B$200,0))</f>
        <v>0</v>
      </c>
      <c r="I578" s="476">
        <f>INDEX(Input!$1:$1048576,I$93,$C578*2+MIN($B578,2)+5)</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+INDEX(Scenarios!Q$121:Q$200,MATCH($B578,Scenarios!$B$121:$B$200,0))</f>
        <v>1000</v>
      </c>
      <c r="R578" s="478">
        <f>IFERROR(MAX(0,INDEX(Input!$1:$1048576,R$93,$C578*2+MIN($B578,2)+5)
+INDEX(Scenarios!R$121:R$200,MATCH($B578,Scenarios!$B$121:$B$200,0)),),"Market")</f>
        <v>0</v>
      </c>
      <c r="S578" s="478">
        <f>IFERROR(MAX(0,INDEX(Input!$1:$1048576,S$93,$C578*2+MIN($B578,2)+5)
+INDEX(Scenarios!S$121:S$200,MATCH($B578,Scenarios!$B$121:$B$200,0)),),"Market")</f>
        <v>0</v>
      </c>
      <c r="T578" s="478">
        <f>IFERROR(MAX(0,INDEX(Input!$1:$1048576,T$93,$C578*2+MIN($B578,2)+5)
+INDEX(Scenarios!T$121:T$200,MATCH($B578,Scenarios!$B$121:$B$200,0)),),"Market")</f>
        <v>0</v>
      </c>
      <c r="U578" s="478">
        <f>IFERROR(MAX(0,INDEX(Input!$1:$1048576,U$93,$C578*2+MIN($B578,2)+5)
+INDEX(Scenarios!U$121:U$200,MATCH($B578,Scenarios!$B$121:$B$200,0)),),"Market")</f>
        <v>0</v>
      </c>
      <c r="V578" s="478">
        <f>IFERROR(MAX(0,INDEX(Input!$1:$1048576,V$93,$C578*2+MIN($B578,2)+5)
+INDEX(Scenarios!V$121:V$200,MATCH($B578,Scenarios!$B$121:$B$200,0)),),"Market")</f>
        <v>3.7999999999999999E-2</v>
      </c>
      <c r="W578" s="863">
        <f>IFERROR(MAX(0,INDEX(Input!$1:$1048576,W$93,$C578*2+MIN($B578,2)+5)-0%,),"Market")</f>
        <v>3.9E-2</v>
      </c>
      <c r="X578" s="476" t="str">
        <f>INDEX(Input!$1:$1048576,X$93,$C578*2+MIN($B578,2)+5)</f>
        <v>Y</v>
      </c>
      <c r="Y578" s="475">
        <f>INDEX(Input!$1:$1048576,Y$93,$C578*2+MIN($B578,2)+5)
++INDEX(Scenarios!Y$121:Y$200,MATCH($B578,Scenarios!$B$121:$B$200,0))</f>
        <v>-1098.3618966787526</v>
      </c>
      <c r="Z578" s="477">
        <f>INDEX(Input!$1:$1048576,Z$93,$C578*2+MIN($B578,2)+5)
+INDEX(Scenarios!Z$121:Z$200,MATCH($B578,Scenarios!$B$121:$B$200,0))</f>
        <v>0</v>
      </c>
      <c r="AA578" s="475">
        <f>INDEX(Input!$1:$1048576,AA$93,$C578*2+MIN($B578,2)+5)</f>
        <v>500</v>
      </c>
      <c r="AB578" s="476">
        <f>INDEX(Input!$1:$1048576,AB$93,$C578*2+MIN($B578,2)+5)</f>
        <v>0.43</v>
      </c>
      <c r="AC578" s="475">
        <f>INDEX(Input!$1:$1048576,AC$93,$C578*2+MIN($B578,2)+5)
+INDEX(Scenarios!AC$121:AC$200,MATCH($B578,Scenarios!$B$121:$B$200,0))</f>
        <v>0</v>
      </c>
      <c r="AD578" s="476">
        <f>INDEX(Input!$1:$1048576,AD$93,$C578*2+MIN($B578,2)+5)</f>
        <v>0.35</v>
      </c>
      <c r="AE578" s="475">
        <f>INDEX(Input!$1:$1048576,AE$93,$C578*2+MIN($B578,2)+5)
+INDEX(Scenarios!AE$121:AE$200,MATCH($B578,Scenarios!$B$121:$B$200,0))</f>
        <v>0</v>
      </c>
      <c r="AF578" s="476">
        <f>INDEX(Input!$1:$1048576,AF$93,$C578*2+MIN($B578,2)+5)</f>
        <v>1</v>
      </c>
      <c r="AG578" s="475">
        <f>INDEX(Input!$1:$1048576,AG$93,$C578*2+MIN($B578,2)+5)
+INDEX(Scenarios!AG$121:AG$200,MATCH($B578,Scenarios!$B$121:$B$200,0))</f>
        <v>0</v>
      </c>
      <c r="AH578" s="476">
        <f>INDEX(Input!$1:$1048576,AH$93,$C578*2+MIN($B578,2)+5)</f>
        <v>1</v>
      </c>
      <c r="AI578" s="475">
        <f>INDEX(Input!$1:$1048576,AI$93,$C578*2+MIN($B578,2)+5)
+INDEX(Scenarios!AI$121:AI$200,MATCH($B578,Scenarios!$B$121:$B$200,0))</f>
        <v>0</v>
      </c>
      <c r="AJ578" s="476">
        <f>INDEX(Input!$1:$1048576,AJ$93,$C578*2+MIN($B578,2)+5)</f>
        <v>0.35</v>
      </c>
      <c r="AK578" s="150">
        <f>ROUND(INDEX(Input!$1:$1048576,AK$93,$C577*2+MIN($B578,1)+5)+(Y578-VLOOKUP($C578*1000+1,$A:$HH,Y$92,FALSE)),0)</f>
        <v>4592</v>
      </c>
      <c r="AL578" s="150">
        <f>ROUND(INDEX(Input!$1:$1048576,AL$93,$C577*2+MIN($B578,1)+5)-(Y578-VLOOKUP($C578*1000+1,$A:$HH,Y$92,FALSE))/36,0)</f>
        <v>4743</v>
      </c>
      <c r="AM578" s="32" t="str">
        <f t="shared" si="1773"/>
        <v>std/std/std/std</v>
      </c>
      <c r="AN578" s="32" t="str">
        <f t="shared" si="1774"/>
        <v>$1000 + 0/0/0/3.8/3.9</v>
      </c>
      <c r="AO578" s="32" t="str">
        <f t="shared" si="1775"/>
        <v>0/0/0/3.8/3.9</v>
      </c>
      <c r="AP578" s="32" t="str">
        <f t="shared" si="1755"/>
        <v>0/2.8/3.8/3.9</v>
      </c>
      <c r="AQ578" s="536">
        <f t="shared" si="1754"/>
        <v>0.48235913150310616</v>
      </c>
      <c r="AR578" s="32"/>
      <c r="AS578" s="302"/>
      <c r="AT578" s="3">
        <f t="shared" si="1867"/>
        <v>78</v>
      </c>
      <c r="AU578" s="41" t="s">
        <v>121</v>
      </c>
      <c r="AV578" s="41" t="s">
        <v>116</v>
      </c>
      <c r="AW578" s="41" t="str">
        <f>INDEX(Input!$1:$1048576,AW$93,$C578*2+6)</f>
        <v>Kia</v>
      </c>
      <c r="AX578" s="41" t="str">
        <f>INDEX(Input!$1:$1048576,AX$93,$C578*2+6)</f>
        <v>Kia-LR - R2</v>
      </c>
      <c r="AY578" s="41" t="str">
        <f>IF(LEN(D578)=0,"",INDEX(Input!$1:$1048576,AY$93,$C578*2+6))</f>
        <v>Compact Conventional/Sporty Car (43)</v>
      </c>
      <c r="AZ578" s="41" t="str">
        <f>INDEX(Input!$1:$1048576,AZ$93,$C578*2+6)</f>
        <v>Kia Forte</v>
      </c>
      <c r="BA578" s="3">
        <f>INDEX(Input!$1:$1048576,BA$93,$C578*2+6)</f>
        <v>2020</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19695</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756"/>
        <v>1750</v>
      </c>
      <c r="CJ578" s="16" t="str">
        <f>INDEX(Input!$1:$1048576,CJ$93,$C578*2+6)</f>
        <v>N</v>
      </c>
      <c r="CK578" s="1" t="str">
        <f t="shared" si="1757"/>
        <v>Market</v>
      </c>
      <c r="CL578" s="1" t="str">
        <f t="shared" si="1758"/>
        <v>Market</v>
      </c>
      <c r="CM578" s="1" t="str">
        <f t="shared" si="1759"/>
        <v>Market</v>
      </c>
      <c r="CN578" s="1" t="str">
        <f t="shared" si="1760"/>
        <v>Market</v>
      </c>
      <c r="CO578" s="1" t="str">
        <f t="shared" si="1761"/>
        <v>Market</v>
      </c>
      <c r="CP578" s="304">
        <f t="shared" si="1762"/>
        <v>1215</v>
      </c>
      <c r="CQ578" s="1">
        <f t="shared" si="1763"/>
        <v>0</v>
      </c>
      <c r="CR578" s="1">
        <f t="shared" si="1764"/>
        <v>0</v>
      </c>
      <c r="CS578" s="1">
        <f t="shared" si="1765"/>
        <v>0</v>
      </c>
      <c r="CT578" s="1">
        <f t="shared" si="1766"/>
        <v>3.7999999999999999E-2</v>
      </c>
      <c r="CU578" s="1">
        <f t="shared" si="1767"/>
        <v>3.9E-2</v>
      </c>
      <c r="CV578" s="304">
        <f t="shared" si="1768"/>
        <v>-1098.3618966787526</v>
      </c>
      <c r="CW578" s="20" t="s">
        <v>122</v>
      </c>
      <c r="CX578" s="20" t="s">
        <v>122</v>
      </c>
      <c r="CY578" s="20" t="s">
        <v>122</v>
      </c>
      <c r="CZ578" s="20" t="s">
        <v>122</v>
      </c>
      <c r="DA578" s="20" t="s">
        <v>122</v>
      </c>
      <c r="DB578" s="503">
        <f t="shared" si="1769"/>
        <v>0</v>
      </c>
      <c r="DC578" s="127">
        <v>0</v>
      </c>
      <c r="DD578" s="127">
        <v>0</v>
      </c>
      <c r="DE578" s="127">
        <v>0</v>
      </c>
      <c r="DF578" s="127">
        <v>0</v>
      </c>
      <c r="DG578" s="127">
        <v>0</v>
      </c>
      <c r="DH578" s="127">
        <v>0</v>
      </c>
      <c r="DI578" s="127">
        <v>0</v>
      </c>
      <c r="DJ578" s="127">
        <v>0</v>
      </c>
      <c r="DK578" s="127">
        <v>0</v>
      </c>
      <c r="DL578" s="127">
        <v>0</v>
      </c>
      <c r="DM578" s="304">
        <f>INDEX(Input!$1:$1048576,DM$93,$C578*2+6)</f>
        <v>20731.578947368424</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4.5896813080426667E-2</v>
      </c>
      <c r="DZ578" s="7">
        <v>0</v>
      </c>
      <c r="EA578" s="7">
        <v>0.80274718035801351</v>
      </c>
      <c r="EB578" s="7">
        <v>0</v>
      </c>
      <c r="EC578" s="7">
        <v>0</v>
      </c>
      <c r="ED578" s="7">
        <v>0</v>
      </c>
      <c r="EE578" s="7">
        <v>0</v>
      </c>
      <c r="EF578" s="7">
        <v>0</v>
      </c>
      <c r="EG578" s="7">
        <v>0</v>
      </c>
      <c r="EH578" s="7">
        <v>2.4380063558102249E-2</v>
      </c>
      <c r="EI578" s="7">
        <v>3.0677024934091031E-2</v>
      </c>
      <c r="EJ578" s="7">
        <v>0.45185144345597356</v>
      </c>
      <c r="EK578" s="7">
        <v>0.41488853219634914</v>
      </c>
      <c r="EL578" s="7">
        <v>7.8202935855484476E-2</v>
      </c>
      <c r="EM578" s="7">
        <v>4.9104355246091698E-2</v>
      </c>
      <c r="EN578" s="7">
        <v>4.7389822722665773E-2</v>
      </c>
      <c r="EO578" s="7">
        <v>0.5825751383153277</v>
      </c>
      <c r="EP578" s="7">
        <v>0.25105542680605836</v>
      </c>
      <c r="EQ578" s="7">
        <v>7.2206094633544535E-2</v>
      </c>
      <c r="ER578" s="7">
        <v>4.6773517522403295E-2</v>
      </c>
      <c r="ES578" s="7">
        <v>0.10225165131546811</v>
      </c>
      <c r="ET578" s="7">
        <v>0.15135600656155984</v>
      </c>
      <c r="EU578" s="6">
        <v>2100</v>
      </c>
      <c r="EV578" s="6">
        <v>0</v>
      </c>
      <c r="EW578" s="6">
        <v>2100</v>
      </c>
      <c r="EX578" s="6">
        <v>0</v>
      </c>
      <c r="EY578" s="6">
        <v>3273.3904992411399</v>
      </c>
      <c r="EZ578" s="6">
        <v>-1723.0908300335955</v>
      </c>
      <c r="FA578" s="6">
        <v>0</v>
      </c>
      <c r="FB578" s="6">
        <v>0</v>
      </c>
      <c r="FC578" s="6">
        <v>0</v>
      </c>
      <c r="FD578" s="6">
        <v>0</v>
      </c>
      <c r="FE578" s="6">
        <v>0</v>
      </c>
      <c r="FF578" s="6">
        <v>0</v>
      </c>
      <c r="FG578" s="6">
        <v>0</v>
      </c>
      <c r="FH578" s="6">
        <v>1153.9920456756633</v>
      </c>
      <c r="FI578" s="6">
        <v>1531.4299904380621</v>
      </c>
      <c r="FJ578" s="6">
        <v>2070.7205842538219</v>
      </c>
      <c r="FK578" s="6">
        <v>826.03289024944354</v>
      </c>
      <c r="FL578" s="6">
        <v>893.91433563489397</v>
      </c>
      <c r="FM578" s="6">
        <v>1423.3904992411399</v>
      </c>
      <c r="FN578" s="6">
        <v>0</v>
      </c>
      <c r="FO578" s="6">
        <v>0</v>
      </c>
      <c r="FP578" s="6">
        <v>0</v>
      </c>
      <c r="FQ578" s="6">
        <v>0</v>
      </c>
      <c r="FR578" s="6">
        <v>0</v>
      </c>
      <c r="FS578" s="6">
        <v>0</v>
      </c>
      <c r="FT578" s="7">
        <v>0.84864399343844021</v>
      </c>
      <c r="FU578" s="7">
        <v>4.9104355246091698E-2</v>
      </c>
      <c r="FV578" s="7">
        <v>0.10225165131546811</v>
      </c>
      <c r="FW578" s="6">
        <v>2100</v>
      </c>
      <c r="FX578" s="6">
        <v>3273.3904992411399</v>
      </c>
      <c r="FY578" s="6">
        <v>-1723.0908300335955</v>
      </c>
      <c r="FZ578" s="6">
        <v>2411.9063952864503</v>
      </c>
      <c r="GA578" s="6">
        <v>1766.701233417167</v>
      </c>
      <c r="GB578" s="6">
        <v>17928.298766582833</v>
      </c>
      <c r="GC578" s="7">
        <v>7.6138913542514425E-2</v>
      </c>
      <c r="GD578" s="7">
        <v>6.8974153407278249E-2</v>
      </c>
      <c r="GE578" s="7"/>
      <c r="GF578" s="7"/>
      <c r="GG578" s="7">
        <v>-9.4101160653356566E-2</v>
      </c>
      <c r="GH578" s="42">
        <v>2.8724543270832279</v>
      </c>
      <c r="GI578" s="6">
        <v>8623.2071190995575</v>
      </c>
      <c r="GJ578" s="14">
        <v>0.5107463060103955</v>
      </c>
      <c r="GK578" s="14">
        <v>0.50829519786160959</v>
      </c>
      <c r="GL578" s="14">
        <v>0.48925369398960439</v>
      </c>
      <c r="GM578" s="14">
        <v>0.49170480213839057</v>
      </c>
      <c r="GO578" s="5">
        <v>338.16872463277008</v>
      </c>
      <c r="GP578" s="5">
        <v>298.1047308538179</v>
      </c>
      <c r="GQ578" s="5">
        <v>527.27910984145694</v>
      </c>
      <c r="GR578" s="5">
        <v>404.20319246551543</v>
      </c>
      <c r="GS578" s="5">
        <v>334.50205195691484</v>
      </c>
      <c r="GT578" s="5">
        <v>289.18266033348181</v>
      </c>
      <c r="GU578" s="5">
        <v>254.29573314828914</v>
      </c>
      <c r="GV578" s="39" t="s">
        <v>392</v>
      </c>
      <c r="GW578" s="5">
        <v>440.98611111111109</v>
      </c>
      <c r="GX578" s="5">
        <v>330.73958333333331</v>
      </c>
      <c r="GY578" s="5">
        <v>264.59166666666664</v>
      </c>
      <c r="GZ578" s="5">
        <v>246.93103803700129</v>
      </c>
      <c r="HA578" s="5">
        <v>216.26912746293831</v>
      </c>
      <c r="HB578" s="39">
        <v>259.81523899888998</v>
      </c>
      <c r="HC578" s="5">
        <v>358.50084881396981</v>
      </c>
      <c r="HD578" s="5">
        <v>287.77900980034525</v>
      </c>
      <c r="HE578" s="5">
        <v>285.23787161201437</v>
      </c>
      <c r="HF578" s="5">
        <v>257.54964978663213</v>
      </c>
      <c r="HG578" s="5">
        <v>240.60084178617024</v>
      </c>
      <c r="HH578" s="39">
        <v>286.10310578322958</v>
      </c>
      <c r="HI578" s="16"/>
      <c r="HJ578" s="19" t="str">
        <f t="shared" ref="HJ578:HK578" si="1883">HJ577</f>
        <v>On</v>
      </c>
      <c r="HK578" s="1" t="str">
        <f t="shared" si="1883"/>
        <v>On</v>
      </c>
      <c r="HL578" s="16"/>
      <c r="HM578" s="639">
        <f t="shared" si="1833"/>
        <v>5.1181272167489952E-2</v>
      </c>
      <c r="HN578" s="639">
        <f t="shared" si="1834"/>
        <v>4.2792051795134348E-3</v>
      </c>
      <c r="HO578" s="639">
        <f t="shared" si="1835"/>
        <v>7.4145241462331068E-3</v>
      </c>
      <c r="HP578" s="644">
        <f>(FT578*$GD578-HM578)/$JF578*INDEX(Input!$1:$1048576,$JG$93,$C578*2+6)</f>
        <v>86.776869310576856</v>
      </c>
      <c r="HQ578" s="644">
        <f>(FU578*$GD578-HN578)/$JF578*INDEX(Input!$1:$1048576,$JG$93,$C578*2+6)</f>
        <v>-10.529895496571875</v>
      </c>
      <c r="HR578" s="644">
        <f>(FV578*$GD578-HO578)/$JF578*INDEX(Input!$1:$1048576,$JG$93,$C578*2+6)</f>
        <v>-4.2697076074061258</v>
      </c>
      <c r="HS578" s="644">
        <f t="shared" si="1857"/>
        <v>-16.897050197558535</v>
      </c>
      <c r="HT578" s="644">
        <f t="shared" si="1858"/>
        <v>54.961549912135354</v>
      </c>
      <c r="HU578" s="644">
        <f t="shared" si="1837"/>
        <v>8.063893984521993</v>
      </c>
      <c r="HV578" s="648">
        <f t="shared" si="1838"/>
        <v>0</v>
      </c>
      <c r="HW578" s="648">
        <f t="shared" si="1839"/>
        <v>0</v>
      </c>
      <c r="HX578" s="648">
        <f t="shared" si="1840"/>
        <v>0</v>
      </c>
      <c r="HY578" s="644">
        <f>INDEX(Input!$1:$1048576,HY$93,$C578*2+6)*INDEX(Input!$1:$1048576,$JG$93,$C578*2+6)</f>
        <v>345</v>
      </c>
      <c r="HZ578" s="644">
        <f>INDEX(Input!$1:$1048576,HZ$93,$C578*2+6)*INDEX(Input!$1:$1048576,$JG$93,$C578*2+6)</f>
        <v>299</v>
      </c>
      <c r="IA578" s="644">
        <f>INDEX(Input!$1:$1048576,IA$93,$C578*2+6)*INDEX(Input!$1:$1048576,$JG$93,$C578*2+6)</f>
        <v>98</v>
      </c>
      <c r="IB578" s="644">
        <f t="shared" si="1780"/>
        <v>414.8798191130183</v>
      </c>
      <c r="IC578" s="644">
        <f t="shared" si="1781"/>
        <v>343.43165441556346</v>
      </c>
      <c r="ID578" s="644">
        <f>IF(AND(INDEX(Input!$1:$1048576,IA$93,$C578*2+7)="TOS",Y578&lt;=INDEX(Y:Y,MATCH(C578*1000+2,A:A))),0,1)*MAX(IA578+HR578+HU578+HX578,0%)</f>
        <v>101.79418637711586</v>
      </c>
      <c r="IE578" s="128">
        <f t="shared" si="1873"/>
        <v>0.48235913150310616</v>
      </c>
      <c r="IF578" s="128">
        <f t="shared" si="1874"/>
        <v>0.39929007612066808</v>
      </c>
      <c r="IG578" s="128">
        <f t="shared" si="1784"/>
        <v>0.11835079237622576</v>
      </c>
      <c r="IH578" s="21"/>
      <c r="II578" s="19">
        <f t="shared" si="1841"/>
        <v>1200</v>
      </c>
      <c r="IJ578" s="19">
        <f t="shared" si="1842"/>
        <v>2231.5440334087361</v>
      </c>
      <c r="IK578" s="19">
        <f t="shared" si="1843"/>
        <v>-2048.0908300335955</v>
      </c>
      <c r="IL578" s="19">
        <f t="shared" si="1785"/>
        <v>900</v>
      </c>
      <c r="IM578" s="19">
        <f t="shared" si="1786"/>
        <v>1041.8464658324037</v>
      </c>
      <c r="IN578" s="19">
        <f t="shared" si="1787"/>
        <v>325</v>
      </c>
      <c r="IO578" s="39">
        <f t="shared" si="1844"/>
        <v>0</v>
      </c>
      <c r="IP578" s="39">
        <f t="shared" si="1845"/>
        <v>0</v>
      </c>
      <c r="IQ578" s="39">
        <f t="shared" si="1846"/>
        <v>0</v>
      </c>
      <c r="IR578" s="39">
        <v>0</v>
      </c>
      <c r="IS578" s="39">
        <v>0</v>
      </c>
      <c r="IT578" s="39">
        <v>0</v>
      </c>
      <c r="IU578" s="39">
        <v>0</v>
      </c>
      <c r="IV578" s="39">
        <v>0</v>
      </c>
      <c r="IW578" s="39">
        <v>0</v>
      </c>
      <c r="IX578" s="39">
        <f>INDEX(Input!$1:$1048576,IX$93,$C578*2+6)+INDEX(Input!$1:$1048576,IX$94,$C578*2+6)</f>
        <v>1600</v>
      </c>
      <c r="IY578" s="39">
        <f>INDEX(Input!$1:$1048576,IY$93,$C578*2+6)+INDEX(Input!$1:$1048576,IY$94,$C578*2+6)</f>
        <v>2503.5492916397525</v>
      </c>
      <c r="IZ578" s="39">
        <f>INDEX(Input!$1:$1048576,IZ$93,$C578*2+6)+INDEX(Input!$1:$1048576,IZ$94,$C578*2+6)</f>
        <v>5413.7109265464023</v>
      </c>
      <c r="JA578" s="19">
        <f t="shared" si="1788"/>
        <v>2500</v>
      </c>
      <c r="JB578" s="19">
        <f t="shared" si="1789"/>
        <v>3545.3957574721562</v>
      </c>
      <c r="JC578" s="19">
        <f t="shared" si="1790"/>
        <v>5738.7109265464023</v>
      </c>
      <c r="JD578" s="19">
        <f t="shared" si="1791"/>
        <v>3300.7201560115877</v>
      </c>
      <c r="JE578" s="21"/>
      <c r="JF578" s="1">
        <f t="shared" si="1847"/>
        <v>6.2875001493236493E-2</v>
      </c>
      <c r="JG578" s="15">
        <f>INDEX(Input!$1:$1048576,JG$93,$C578*2+6)/(1+VLOOKUP(C578*1000+INDEX(Input!$1:$1048576,JG$93+1,$C578*2+6),$A:$KK,$JK$92,FALSE))</f>
        <v>742</v>
      </c>
      <c r="JH578" s="1">
        <f t="shared" si="1792"/>
        <v>9.7004401895685766E-2</v>
      </c>
      <c r="JI578" s="1">
        <f t="shared" si="1793"/>
        <v>6.216764649474233E-2</v>
      </c>
      <c r="JJ578" s="1">
        <f t="shared" si="1875"/>
        <v>0</v>
      </c>
      <c r="JK578" s="1">
        <f t="shared" si="1876"/>
        <v>0.15917204839042809</v>
      </c>
      <c r="JL578" s="15">
        <f t="shared" si="1796"/>
        <v>118.10565990569764</v>
      </c>
      <c r="JM578" s="15">
        <f t="shared" si="1797"/>
        <v>860.10565990569762</v>
      </c>
      <c r="JN578" s="21"/>
      <c r="JO578" s="19">
        <f>INDEX(Input!$1:$1048576,JO$93,$C578*2+6)</f>
        <v>5908.5</v>
      </c>
      <c r="JP578" s="19">
        <f>INDEX(Input!$1:$1048576,JP$93,$C578*2+6)</f>
        <v>2467.7963733178344</v>
      </c>
      <c r="JQ578" s="39">
        <f t="shared" si="1798"/>
        <v>2607.7798439884123</v>
      </c>
      <c r="JR578" s="39">
        <f t="shared" si="1799"/>
        <v>832.92378269375331</v>
      </c>
      <c r="JS578" s="39">
        <f t="shared" si="1800"/>
        <v>2.8389680879503838</v>
      </c>
      <c r="JT578" s="39">
        <f t="shared" si="1801"/>
        <v>1.0078631789485508</v>
      </c>
      <c r="JU578" s="385">
        <f>(JQ578*JM578-INDEX(Input!$1:$1048576,Input!A$18,$C578*2+6)*JL578*INDEX(Input!$1:$1048576,Input!A$19,$C578*2+6))/1000000</f>
        <v>2.2429662036024305</v>
      </c>
      <c r="JV578" s="39">
        <f t="shared" si="1802"/>
        <v>-0.31003588739573607</v>
      </c>
      <c r="JW578" s="1">
        <f t="shared" si="1803"/>
        <v>-0.12143973108714494</v>
      </c>
      <c r="JX578" s="19">
        <f t="shared" si="1804"/>
        <v>8533.572224678197</v>
      </c>
      <c r="JZ578" s="341"/>
      <c r="KA578" s="342"/>
      <c r="KB578" s="469">
        <f t="shared" si="1805"/>
        <v>2.4623520912331753</v>
      </c>
      <c r="KI578" s="473">
        <f t="shared" si="1877"/>
        <v>69.8798191130183</v>
      </c>
      <c r="KJ578" s="473">
        <f t="shared" si="1878"/>
        <v>44.431654415563457</v>
      </c>
      <c r="KK578" s="473">
        <f t="shared" si="1808"/>
        <v>3.7941863771158637</v>
      </c>
      <c r="KN578" s="544">
        <f t="shared" si="1809"/>
        <v>5002</v>
      </c>
      <c r="KO578" s="541">
        <f t="shared" si="1848"/>
        <v>7.7083779386246665E-2</v>
      </c>
      <c r="KP578" s="546">
        <f t="shared" si="1849"/>
        <v>497.4484331408608</v>
      </c>
      <c r="KQ578" s="546">
        <f t="shared" si="1850"/>
        <v>441.94770985987861</v>
      </c>
      <c r="KR578" s="548">
        <f t="shared" si="1851"/>
        <v>2.6089137365721591</v>
      </c>
      <c r="KS578" s="548">
        <f t="shared" si="1852"/>
        <v>2.9365466128763558</v>
      </c>
      <c r="KT578" s="473">
        <f t="shared" si="1810"/>
        <v>389.37465324503302</v>
      </c>
      <c r="KU578" s="663">
        <f t="shared" si="1854"/>
        <v>7.2136838445229507</v>
      </c>
    </row>
    <row r="579" spans="1:307" s="26" customFormat="1" ht="15" outlineLevel="1">
      <c r="A579" s="561">
        <f t="shared" si="1770"/>
        <v>5079</v>
      </c>
      <c r="B579" s="561">
        <f t="shared" si="1865"/>
        <v>79</v>
      </c>
      <c r="C579" s="561">
        <f t="shared" si="1866"/>
        <v>5</v>
      </c>
      <c r="D579" s="561" t="str">
        <f t="shared" si="1812"/>
        <v xml:space="preserve">750 CC, 0/2.8/3.8/3.9, 1500 Combo, </v>
      </c>
      <c r="E579" s="475">
        <f>INDEX(Input!$1:$1048576,E$93,$C579*2+MIN($B579,2)+5)
+INDEX(Scenarios!E$121:E$200,MATCH($B579,Scenarios!$B$121:$B$200,0))</f>
        <v>2000</v>
      </c>
      <c r="F579" s="475">
        <f>INDEX(Input!$1:$1048576,F$93,$C579*2+MIN($B579,2)+5)
+INDEX(Scenarios!F$121:F$200,MATCH($B579,Scenarios!$B$121:$B$200,0))</f>
        <v>0</v>
      </c>
      <c r="G579" s="475">
        <f>INDEX(Input!$1:$1048576,G$93,$C579*2+MIN($B579,2)+5)
+INDEX(Scenarios!G$121:G$200,MATCH($B579,Scenarios!$B$121:$B$200,0))</f>
        <v>0</v>
      </c>
      <c r="H579" s="475">
        <f>INDEX(Input!$1:$1048576,H$93,$C579*2+MIN($B579,2)+5)
+INDEX(Scenarios!H$121:H$200,MATCH($B579,Scenarios!$B$121:$B$200,0))</f>
        <v>0</v>
      </c>
      <c r="I579" s="476">
        <f>INDEX(Input!$1:$1048576,I$93,$C579*2+MIN($B579,2)+5)</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+INDEX(Scenarios!Q$121:Q$200,MATCH($B579,Scenarios!$B$121:$B$200,0))</f>
        <v>1500</v>
      </c>
      <c r="R579" s="478">
        <f>IFERROR(MAX(0,INDEX(Input!$1:$1048576,R$93,$C579*2+MIN($B579,2)+5)
+INDEX(Scenarios!R$121:R$200,MATCH($B579,Scenarios!$B$121:$B$200,0)),),"Market")</f>
        <v>0</v>
      </c>
      <c r="S579" s="478">
        <f>IFERROR(MAX(0,INDEX(Input!$1:$1048576,S$93,$C579*2+MIN($B579,2)+5)
+INDEX(Scenarios!S$121:S$200,MATCH($B579,Scenarios!$B$121:$B$200,0)),),"Market")</f>
        <v>0</v>
      </c>
      <c r="T579" s="478">
        <f>IFERROR(MAX(0,INDEX(Input!$1:$1048576,T$93,$C579*2+MIN($B579,2)+5)
+INDEX(Scenarios!T$121:T$200,MATCH($B579,Scenarios!$B$121:$B$200,0)),),"Market")</f>
        <v>0</v>
      </c>
      <c r="U579" s="478">
        <f>IFERROR(MAX(0,INDEX(Input!$1:$1048576,U$93,$C579*2+MIN($B579,2)+5)
+INDEX(Scenarios!U$121:U$200,MATCH($B579,Scenarios!$B$121:$B$200,0)),),"Market")</f>
        <v>0</v>
      </c>
      <c r="V579" s="478">
        <f>IFERROR(MAX(0,INDEX(Input!$1:$1048576,V$93,$C579*2+MIN($B579,2)+5)
+INDEX(Scenarios!V$121:V$200,MATCH($B579,Scenarios!$B$121:$B$200,0)),),"Market")</f>
        <v>3.7999999999999999E-2</v>
      </c>
      <c r="W579" s="863">
        <f>IFERROR(MAX(0,INDEX(Input!$1:$1048576,W$93,$C579*2+MIN($B579,2)+5)-0%,),"Market")</f>
        <v>3.9E-2</v>
      </c>
      <c r="X579" s="476" t="str">
        <f>INDEX(Input!$1:$1048576,X$93,$C579*2+MIN($B579,2)+5)</f>
        <v>Y</v>
      </c>
      <c r="Y579" s="475">
        <f>INDEX(Input!$1:$1048576,Y$93,$C579*2+MIN($B579,2)+5)
++INDEX(Scenarios!Y$121:Y$200,MATCH($B579,Scenarios!$B$121:$B$200,0))</f>
        <v>-1098.3618966787526</v>
      </c>
      <c r="Z579" s="477">
        <f>INDEX(Input!$1:$1048576,Z$93,$C579*2+MIN($B579,2)+5)
+INDEX(Scenarios!Z$121:Z$200,MATCH($B579,Scenarios!$B$121:$B$200,0))</f>
        <v>0</v>
      </c>
      <c r="AA579" s="475">
        <f>INDEX(Input!$1:$1048576,AA$93,$C579*2+MIN($B579,2)+5)</f>
        <v>500</v>
      </c>
      <c r="AB579" s="476">
        <f>INDEX(Input!$1:$1048576,AB$93,$C579*2+MIN($B579,2)+5)</f>
        <v>0.43</v>
      </c>
      <c r="AC579" s="475">
        <f>INDEX(Input!$1:$1048576,AC$93,$C579*2+MIN($B579,2)+5)
+INDEX(Scenarios!AC$121:AC$200,MATCH($B579,Scenarios!$B$121:$B$200,0))</f>
        <v>0</v>
      </c>
      <c r="AD579" s="476">
        <f>INDEX(Input!$1:$1048576,AD$93,$C579*2+MIN($B579,2)+5)</f>
        <v>0.35</v>
      </c>
      <c r="AE579" s="475">
        <f>INDEX(Input!$1:$1048576,AE$93,$C579*2+MIN($B579,2)+5)
+INDEX(Scenarios!AE$121:AE$200,MATCH($B579,Scenarios!$B$121:$B$200,0))</f>
        <v>0</v>
      </c>
      <c r="AF579" s="476">
        <f>INDEX(Input!$1:$1048576,AF$93,$C579*2+MIN($B579,2)+5)</f>
        <v>1</v>
      </c>
      <c r="AG579" s="475">
        <f>INDEX(Input!$1:$1048576,AG$93,$C579*2+MIN($B579,2)+5)
+INDEX(Scenarios!AG$121:AG$200,MATCH($B579,Scenarios!$B$121:$B$200,0))</f>
        <v>0</v>
      </c>
      <c r="AH579" s="476">
        <f>INDEX(Input!$1:$1048576,AH$93,$C579*2+MIN($B579,2)+5)</f>
        <v>1</v>
      </c>
      <c r="AI579" s="475">
        <f>INDEX(Input!$1:$1048576,AI$93,$C579*2+MIN($B579,2)+5)
+INDEX(Scenarios!AI$121:AI$200,MATCH($B579,Scenarios!$B$121:$B$200,0))</f>
        <v>0</v>
      </c>
      <c r="AJ579" s="476">
        <f>INDEX(Input!$1:$1048576,AJ$93,$C579*2+MIN($B579,2)+5)</f>
        <v>0.35</v>
      </c>
      <c r="AK579" s="150">
        <f>ROUND(INDEX(Input!$1:$1048576,AK$93,$C578*2+MIN($B579,1)+5)+(Y579-VLOOKUP($C579*1000+1,$A:$HH,Y$92,FALSE)),0)</f>
        <v>4592</v>
      </c>
      <c r="AL579" s="150">
        <f>ROUND(INDEX(Input!$1:$1048576,AL$93,$C578*2+MIN($B579,1)+5)-(Y579-VLOOKUP($C579*1000+1,$A:$HH,Y$92,FALSE))/36,0)</f>
        <v>4743</v>
      </c>
      <c r="AM579" s="32" t="str">
        <f t="shared" si="1773"/>
        <v>std/std/std/std</v>
      </c>
      <c r="AN579" s="32" t="str">
        <f t="shared" si="1774"/>
        <v>$1500 + 0/0/0/3.8/3.9</v>
      </c>
      <c r="AO579" s="32" t="str">
        <f t="shared" si="1775"/>
        <v>0/0/0/3.8/3.9</v>
      </c>
      <c r="AP579" s="32" t="str">
        <f t="shared" si="1755"/>
        <v>0/2.8/3.8/3.9</v>
      </c>
      <c r="AQ579" s="536">
        <f t="shared" si="1754"/>
        <v>0.47731016926349501</v>
      </c>
      <c r="AR579" s="32"/>
      <c r="AS579" s="302"/>
      <c r="AT579" s="3">
        <f t="shared" si="1867"/>
        <v>79</v>
      </c>
      <c r="AU579" s="41" t="s">
        <v>121</v>
      </c>
      <c r="AV579" s="41" t="s">
        <v>116</v>
      </c>
      <c r="AW579" s="41" t="str">
        <f>INDEX(Input!$1:$1048576,AW$93,$C579*2+6)</f>
        <v>Kia</v>
      </c>
      <c r="AX579" s="41" t="str">
        <f>INDEX(Input!$1:$1048576,AX$93,$C579*2+6)</f>
        <v>Kia-LR - R2</v>
      </c>
      <c r="AY579" s="41" t="str">
        <f>IF(LEN(D579)=0,"",INDEX(Input!$1:$1048576,AY$93,$C579*2+6))</f>
        <v>Compact Conventional/Sporty Car (43)</v>
      </c>
      <c r="AZ579" s="41" t="str">
        <f>INDEX(Input!$1:$1048576,AZ$93,$C579*2+6)</f>
        <v>Kia Forte</v>
      </c>
      <c r="BA579" s="3">
        <f>INDEX(Input!$1:$1048576,BA$93,$C579*2+6)</f>
        <v>2020</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19695</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756"/>
        <v>2000</v>
      </c>
      <c r="CJ579" s="16" t="str">
        <f>INDEX(Input!$1:$1048576,CJ$93,$C579*2+6)</f>
        <v>N</v>
      </c>
      <c r="CK579" s="1" t="str">
        <f t="shared" si="1757"/>
        <v>Market</v>
      </c>
      <c r="CL579" s="1" t="str">
        <f t="shared" si="1758"/>
        <v>Market</v>
      </c>
      <c r="CM579" s="1" t="str">
        <f t="shared" si="1759"/>
        <v>Market</v>
      </c>
      <c r="CN579" s="1" t="str">
        <f t="shared" si="1760"/>
        <v>Market</v>
      </c>
      <c r="CO579" s="1" t="str">
        <f t="shared" si="1761"/>
        <v>Market</v>
      </c>
      <c r="CP579" s="304">
        <f t="shared" si="1762"/>
        <v>1715</v>
      </c>
      <c r="CQ579" s="1">
        <f t="shared" si="1763"/>
        <v>0</v>
      </c>
      <c r="CR579" s="1">
        <f t="shared" si="1764"/>
        <v>0</v>
      </c>
      <c r="CS579" s="1">
        <f t="shared" si="1765"/>
        <v>0</v>
      </c>
      <c r="CT579" s="1">
        <f t="shared" si="1766"/>
        <v>3.7999999999999999E-2</v>
      </c>
      <c r="CU579" s="1">
        <f t="shared" si="1767"/>
        <v>3.9E-2</v>
      </c>
      <c r="CV579" s="304">
        <f t="shared" si="1768"/>
        <v>-1098.3618966787526</v>
      </c>
      <c r="CW579" s="20" t="s">
        <v>122</v>
      </c>
      <c r="CX579" s="20" t="s">
        <v>122</v>
      </c>
      <c r="CY579" s="20" t="s">
        <v>122</v>
      </c>
      <c r="CZ579" s="20" t="s">
        <v>122</v>
      </c>
      <c r="DA579" s="20" t="s">
        <v>122</v>
      </c>
      <c r="DB579" s="503">
        <f t="shared" si="1769"/>
        <v>0</v>
      </c>
      <c r="DC579" s="127">
        <v>0</v>
      </c>
      <c r="DD579" s="127">
        <v>0</v>
      </c>
      <c r="DE579" s="127">
        <v>0</v>
      </c>
      <c r="DF579" s="127">
        <v>0</v>
      </c>
      <c r="DG579" s="127">
        <v>0</v>
      </c>
      <c r="DH579" s="127">
        <v>0</v>
      </c>
      <c r="DI579" s="127">
        <v>0</v>
      </c>
      <c r="DJ579" s="127">
        <v>0</v>
      </c>
      <c r="DK579" s="127">
        <v>0</v>
      </c>
      <c r="DL579" s="127">
        <v>0</v>
      </c>
      <c r="DM579" s="304">
        <f>INDEX(Input!$1:$1048576,DM$93,$C579*2+6)</f>
        <v>20731.578947368424</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4.6255242068267192E-2</v>
      </c>
      <c r="DZ579" s="7">
        <v>0</v>
      </c>
      <c r="EA579" s="7">
        <v>0.80510125800921917</v>
      </c>
      <c r="EB579" s="7">
        <v>0</v>
      </c>
      <c r="EC579" s="7">
        <v>0</v>
      </c>
      <c r="ED579" s="7">
        <v>0</v>
      </c>
      <c r="EE579" s="7">
        <v>0</v>
      </c>
      <c r="EF579" s="7">
        <v>0</v>
      </c>
      <c r="EG579" s="7">
        <v>0</v>
      </c>
      <c r="EH579" s="7">
        <v>2.4381914940638631E-2</v>
      </c>
      <c r="EI579" s="7">
        <v>3.0674805217331496E-2</v>
      </c>
      <c r="EJ579" s="7">
        <v>0.45192394682377135</v>
      </c>
      <c r="EK579" s="7">
        <v>0.41482585090820434</v>
      </c>
      <c r="EL579" s="7">
        <v>7.819348211005428E-2</v>
      </c>
      <c r="EM579" s="7">
        <v>5.3090379596056031E-2</v>
      </c>
      <c r="EN579" s="7">
        <v>4.738967484913012E-2</v>
      </c>
      <c r="EO579" s="7">
        <v>0.58257282530268761</v>
      </c>
      <c r="EP579" s="7">
        <v>0.2510541657234297</v>
      </c>
      <c r="EQ579" s="7">
        <v>7.2205761171519375E-2</v>
      </c>
      <c r="ER579" s="7">
        <v>4.6777572953232975E-2</v>
      </c>
      <c r="ES579" s="7">
        <v>9.5553120326457602E-2</v>
      </c>
      <c r="ET579" s="7">
        <v>0.14864349992251361</v>
      </c>
      <c r="EU579" s="6">
        <v>2350</v>
      </c>
      <c r="EV579" s="6">
        <v>0</v>
      </c>
      <c r="EW579" s="6">
        <v>2350</v>
      </c>
      <c r="EX579" s="6">
        <v>0</v>
      </c>
      <c r="EY579" s="6">
        <v>3773.4791735914132</v>
      </c>
      <c r="EZ579" s="6">
        <v>-1723.0908300335955</v>
      </c>
      <c r="FA579" s="6">
        <v>0</v>
      </c>
      <c r="FB579" s="6">
        <v>0</v>
      </c>
      <c r="FC579" s="6">
        <v>0</v>
      </c>
      <c r="FD579" s="6">
        <v>0</v>
      </c>
      <c r="FE579" s="6">
        <v>0</v>
      </c>
      <c r="FF579" s="6">
        <v>0</v>
      </c>
      <c r="FG579" s="6">
        <v>0</v>
      </c>
      <c r="FH579" s="6">
        <v>1153.9933022799203</v>
      </c>
      <c r="FI579" s="6">
        <v>1531.4299904380628</v>
      </c>
      <c r="FJ579" s="6">
        <v>2070.7205842538228</v>
      </c>
      <c r="FK579" s="6">
        <v>826.03289024944354</v>
      </c>
      <c r="FL579" s="6">
        <v>893.91433563489454</v>
      </c>
      <c r="FM579" s="6">
        <v>1423.4791735914134</v>
      </c>
      <c r="FN579" s="6">
        <v>0</v>
      </c>
      <c r="FO579" s="6">
        <v>0</v>
      </c>
      <c r="FP579" s="6">
        <v>0</v>
      </c>
      <c r="FQ579" s="6">
        <v>0</v>
      </c>
      <c r="FR579" s="6">
        <v>0</v>
      </c>
      <c r="FS579" s="6">
        <v>0</v>
      </c>
      <c r="FT579" s="7">
        <v>0.85135650007748631</v>
      </c>
      <c r="FU579" s="7">
        <v>5.3090379596056031E-2</v>
      </c>
      <c r="FV579" s="7">
        <v>9.5553120326457602E-2</v>
      </c>
      <c r="FW579" s="6">
        <v>2350</v>
      </c>
      <c r="FX579" s="6">
        <v>3773.4791735914137</v>
      </c>
      <c r="FY579" s="6">
        <v>-1723.0908300335955</v>
      </c>
      <c r="FZ579" s="6">
        <v>2411.9063952864503</v>
      </c>
      <c r="GA579" s="6">
        <v>2036.3765114902574</v>
      </c>
      <c r="GB579" s="6">
        <v>17658.623488509744</v>
      </c>
      <c r="GC579" s="7">
        <v>7.6138913542514425E-2</v>
      </c>
      <c r="GD579" s="7">
        <v>7.102019848844382E-2</v>
      </c>
      <c r="GE579" s="7"/>
      <c r="GF579" s="7"/>
      <c r="GG579" s="7">
        <v>-6.7228632717649936E-2</v>
      </c>
      <c r="GH579" s="42">
        <v>3.5258656594496527</v>
      </c>
      <c r="GI579" s="6">
        <v>7622.2387939103301</v>
      </c>
      <c r="GJ579" s="14">
        <v>0.5107463060103955</v>
      </c>
      <c r="GK579" s="14">
        <v>0.5082951978616097</v>
      </c>
      <c r="GL579" s="14">
        <v>0.48925369398960405</v>
      </c>
      <c r="GM579" s="14">
        <v>0.49170480213839024</v>
      </c>
      <c r="GO579" s="5">
        <v>338.16872463277008</v>
      </c>
      <c r="GP579" s="5">
        <v>293.33520778489498</v>
      </c>
      <c r="GQ579" s="5">
        <v>527.27910984145694</v>
      </c>
      <c r="GR579" s="5">
        <v>404.20319246551543</v>
      </c>
      <c r="GS579" s="5">
        <v>334.50205195691484</v>
      </c>
      <c r="GT579" s="5">
        <v>289.18266033348181</v>
      </c>
      <c r="GU579" s="5">
        <v>254.29573314828914</v>
      </c>
      <c r="GV579" s="39" t="s">
        <v>392</v>
      </c>
      <c r="GW579" s="5">
        <v>427.09722222222223</v>
      </c>
      <c r="GX579" s="5">
        <v>320.32291666666669</v>
      </c>
      <c r="GY579" s="5">
        <v>256.25833333333333</v>
      </c>
      <c r="GZ579" s="5">
        <v>239.15392745664155</v>
      </c>
      <c r="HA579" s="5">
        <v>209.45771593376008</v>
      </c>
      <c r="HB579" s="39">
        <v>251.63402824440396</v>
      </c>
      <c r="HC579" s="5">
        <v>358.50084881396981</v>
      </c>
      <c r="HD579" s="5">
        <v>287.77900980034525</v>
      </c>
      <c r="HE579" s="5">
        <v>285.23787161201437</v>
      </c>
      <c r="HF579" s="5">
        <v>257.54964978663213</v>
      </c>
      <c r="HG579" s="5">
        <v>240.60084178617024</v>
      </c>
      <c r="HH579" s="39">
        <v>286.10291728247307</v>
      </c>
      <c r="HI579" s="16"/>
      <c r="HJ579" s="19" t="str">
        <f t="shared" ref="HJ579:HK579" si="1884">HJ578</f>
        <v>On</v>
      </c>
      <c r="HK579" s="1" t="str">
        <f t="shared" si="1884"/>
        <v>On</v>
      </c>
      <c r="HL579" s="16"/>
      <c r="HM579" s="639">
        <f t="shared" si="1833"/>
        <v>5.1181272167489952E-2</v>
      </c>
      <c r="HN579" s="639">
        <f t="shared" si="1834"/>
        <v>4.2792051795134348E-3</v>
      </c>
      <c r="HO579" s="639">
        <f t="shared" si="1835"/>
        <v>7.4145241462331068E-3</v>
      </c>
      <c r="HP579" s="644">
        <f>(FT579*$GD579-HM579)/$JF579*INDEX(Input!$1:$1048576,$JG$93,$C579*2+6)</f>
        <v>109.54144798630875</v>
      </c>
      <c r="HQ579" s="644">
        <f>(FU579*$GD579-HN579)/$JF579*INDEX(Input!$1:$1048576,$JG$93,$C579*2+6)</f>
        <v>-6.0034540923142181</v>
      </c>
      <c r="HR579" s="644">
        <f>(FV579*$GD579-HO579)/$JF579*INDEX(Input!$1:$1048576,$JG$93,$C579*2+6)</f>
        <v>-7.4149556926521409</v>
      </c>
      <c r="HS579" s="644">
        <f t="shared" si="1857"/>
        <v>-21.634815185816141</v>
      </c>
      <c r="HT579" s="644">
        <f t="shared" si="1858"/>
        <v>81.752388761992222</v>
      </c>
      <c r="HU579" s="644">
        <f t="shared" si="1837"/>
        <v>8.7307051514325753</v>
      </c>
      <c r="HV579" s="648">
        <f t="shared" si="1838"/>
        <v>0</v>
      </c>
      <c r="HW579" s="648">
        <f t="shared" si="1839"/>
        <v>0</v>
      </c>
      <c r="HX579" s="648">
        <f t="shared" si="1840"/>
        <v>0</v>
      </c>
      <c r="HY579" s="644">
        <f>INDEX(Input!$1:$1048576,HY$93,$C579*2+6)*INDEX(Input!$1:$1048576,$JG$93,$C579*2+6)</f>
        <v>345</v>
      </c>
      <c r="HZ579" s="644">
        <f>INDEX(Input!$1:$1048576,HZ$93,$C579*2+6)*INDEX(Input!$1:$1048576,$JG$93,$C579*2+6)</f>
        <v>299</v>
      </c>
      <c r="IA579" s="644">
        <f>INDEX(Input!$1:$1048576,IA$93,$C579*2+6)*INDEX(Input!$1:$1048576,$JG$93,$C579*2+6)</f>
        <v>98</v>
      </c>
      <c r="IB579" s="644">
        <f t="shared" si="1780"/>
        <v>432.90663280049256</v>
      </c>
      <c r="IC579" s="644">
        <f t="shared" si="1781"/>
        <v>374.74893466967802</v>
      </c>
      <c r="ID579" s="644">
        <f>IF(AND(INDEX(Input!$1:$1048576,IA$93,$C579*2+7)="TOS",Y579&lt;=INDEX(Y:Y,MATCH(C579*1000+2,A:A))),0,1)*MAX(IA579+HR579+HU579+HX579,0%)</f>
        <v>99.315749458780431</v>
      </c>
      <c r="IE579" s="128">
        <f t="shared" si="1873"/>
        <v>0.47731016926349501</v>
      </c>
      <c r="IF579" s="128">
        <f t="shared" si="1874"/>
        <v>0.41318719531130949</v>
      </c>
      <c r="IG579" s="128">
        <f t="shared" si="1784"/>
        <v>0.10950263542519557</v>
      </c>
      <c r="IH579" s="21"/>
      <c r="II579" s="19">
        <f t="shared" si="1841"/>
        <v>1200</v>
      </c>
      <c r="IJ579" s="19">
        <f t="shared" si="1842"/>
        <v>2231.5440334087361</v>
      </c>
      <c r="IK579" s="19">
        <f t="shared" si="1843"/>
        <v>-2048.0908300335955</v>
      </c>
      <c r="IL579" s="19">
        <f t="shared" si="1785"/>
        <v>1150</v>
      </c>
      <c r="IM579" s="19">
        <f t="shared" si="1786"/>
        <v>1541.9351401826775</v>
      </c>
      <c r="IN579" s="19">
        <f t="shared" si="1787"/>
        <v>325</v>
      </c>
      <c r="IO579" s="39">
        <f t="shared" si="1844"/>
        <v>0</v>
      </c>
      <c r="IP579" s="39">
        <f t="shared" si="1845"/>
        <v>0</v>
      </c>
      <c r="IQ579" s="39">
        <f t="shared" si="1846"/>
        <v>0</v>
      </c>
      <c r="IR579" s="39">
        <v>0</v>
      </c>
      <c r="IS579" s="39">
        <v>0</v>
      </c>
      <c r="IT579" s="39">
        <v>0</v>
      </c>
      <c r="IU579" s="39">
        <v>0</v>
      </c>
      <c r="IV579" s="39">
        <v>0</v>
      </c>
      <c r="IW579" s="39">
        <v>0</v>
      </c>
      <c r="IX579" s="39">
        <f>INDEX(Input!$1:$1048576,IX$93,$C579*2+6)+INDEX(Input!$1:$1048576,IX$94,$C579*2+6)</f>
        <v>1600</v>
      </c>
      <c r="IY579" s="39">
        <f>INDEX(Input!$1:$1048576,IY$93,$C579*2+6)+INDEX(Input!$1:$1048576,IY$94,$C579*2+6)</f>
        <v>2503.5492916397525</v>
      </c>
      <c r="IZ579" s="39">
        <f>INDEX(Input!$1:$1048576,IZ$93,$C579*2+6)+INDEX(Input!$1:$1048576,IZ$94,$C579*2+6)</f>
        <v>5413.7109265464023</v>
      </c>
      <c r="JA579" s="19">
        <f t="shared" si="1788"/>
        <v>2750</v>
      </c>
      <c r="JB579" s="19">
        <f t="shared" si="1789"/>
        <v>4045.48443182243</v>
      </c>
      <c r="JC579" s="19">
        <f t="shared" si="1790"/>
        <v>5738.7109265464023</v>
      </c>
      <c r="JD579" s="19">
        <f t="shared" si="1791"/>
        <v>3612.5493019350843</v>
      </c>
      <c r="JE579" s="21"/>
      <c r="JF579" s="1">
        <f t="shared" si="1847"/>
        <v>6.2875001493236493E-2</v>
      </c>
      <c r="JG579" s="15">
        <f>INDEX(Input!$1:$1048576,JG$93,$C579*2+6)/(1+VLOOKUP(C579*1000+INDEX(Input!$1:$1048576,JG$93+1,$C579*2+6),$A:$KK,$JK$92,FALSE))</f>
        <v>742</v>
      </c>
      <c r="JH579" s="1">
        <f t="shared" si="1792"/>
        <v>0.12954587358671482</v>
      </c>
      <c r="JI579" s="1">
        <f t="shared" si="1793"/>
        <v>9.2787437638286605E-2</v>
      </c>
      <c r="JJ579" s="1">
        <f t="shared" si="1875"/>
        <v>0</v>
      </c>
      <c r="JK579" s="1">
        <f t="shared" si="1876"/>
        <v>0.22233331122500144</v>
      </c>
      <c r="JL579" s="15">
        <f t="shared" si="1796"/>
        <v>164.97131692895107</v>
      </c>
      <c r="JM579" s="15">
        <f t="shared" si="1797"/>
        <v>906.97131692895107</v>
      </c>
      <c r="JN579" s="21"/>
      <c r="JO579" s="19">
        <f>INDEX(Input!$1:$1048576,JO$93,$C579*2+6)</f>
        <v>5908.5</v>
      </c>
      <c r="JP579" s="19">
        <f>INDEX(Input!$1:$1048576,JP$93,$C579*2+6)</f>
        <v>2467.7963733178344</v>
      </c>
      <c r="JQ579" s="39">
        <f t="shared" si="1798"/>
        <v>2295.9506980649157</v>
      </c>
      <c r="JR579" s="39">
        <f t="shared" si="1799"/>
        <v>1144.7529286172498</v>
      </c>
      <c r="JS579" s="39">
        <f t="shared" si="1800"/>
        <v>3.2764785978468263</v>
      </c>
      <c r="JT579" s="39">
        <f t="shared" si="1801"/>
        <v>1.4453736888449931</v>
      </c>
      <c r="JU579" s="385">
        <f>(JQ579*JM579-INDEX(Input!$1:$1048576,Input!A$18,$C579*2+6)*JL579*INDEX(Input!$1:$1048576,Input!A$19,$C579*2+6))/1000000</f>
        <v>2.0823614282278813</v>
      </c>
      <c r="JV579" s="39">
        <f t="shared" si="1802"/>
        <v>-0.47064066277028527</v>
      </c>
      <c r="JW579" s="1">
        <f t="shared" si="1803"/>
        <v>-0.18434793470391375</v>
      </c>
      <c r="JX579" s="19">
        <f t="shared" si="1804"/>
        <v>8761.3635858133966</v>
      </c>
      <c r="JZ579" s="341"/>
      <c r="KA579" s="342"/>
      <c r="KB579" s="469">
        <f t="shared" si="1805"/>
        <v>2.4623520912331753</v>
      </c>
      <c r="KI579" s="473">
        <f t="shared" si="1877"/>
        <v>87.906632800492616</v>
      </c>
      <c r="KJ579" s="473">
        <f t="shared" si="1878"/>
        <v>75.748934669678079</v>
      </c>
      <c r="KK579" s="473">
        <f t="shared" si="1808"/>
        <v>1.315749458780445</v>
      </c>
      <c r="KN579" s="544">
        <f t="shared" si="1809"/>
        <v>5002</v>
      </c>
      <c r="KO579" s="541">
        <f t="shared" si="1848"/>
        <v>0.13577219563915199</v>
      </c>
      <c r="KP579" s="546">
        <f t="shared" si="1849"/>
        <v>829.80105869519002</v>
      </c>
      <c r="KQ579" s="546">
        <f t="shared" si="1850"/>
        <v>753.77685578337514</v>
      </c>
      <c r="KR579" s="548">
        <f t="shared" si="1851"/>
        <v>2.7547465230531185</v>
      </c>
      <c r="KS579" s="548">
        <f t="shared" si="1852"/>
        <v>3.0325839321382726</v>
      </c>
      <c r="KT579" s="473">
        <f t="shared" si="1810"/>
        <v>389.37465324503302</v>
      </c>
      <c r="KU579" s="663">
        <f t="shared" si="1854"/>
        <v>7.2472080251481534</v>
      </c>
    </row>
    <row r="580" spans="1:307" s="26" customFormat="1" ht="15" outlineLevel="1">
      <c r="A580" s="561">
        <f t="shared" ref="A580:A599" si="1885">C580*1000+B580</f>
        <v>5080</v>
      </c>
      <c r="B580" s="561">
        <f t="shared" si="1865"/>
        <v>80</v>
      </c>
      <c r="C580" s="561">
        <f t="shared" si="1866"/>
        <v>5</v>
      </c>
      <c r="D580" s="561" t="str">
        <f t="shared" si="1812"/>
        <v xml:space="preserve">1000 CC, 0/2.8/3.8/3.9, 2000 Combo, </v>
      </c>
      <c r="E580" s="475">
        <f>INDEX(Input!$1:$1048576,E$93,$C580*2+MIN($B580,2)+5)
+INDEX(Scenarios!E$121:E$200,MATCH($B580,Scenarios!$B$121:$B$200,0))</f>
        <v>2250</v>
      </c>
      <c r="F580" s="475">
        <f>INDEX(Input!$1:$1048576,F$93,$C580*2+MIN($B580,2)+5)
+INDEX(Scenarios!F$121:F$200,MATCH($B580,Scenarios!$B$121:$B$200,0))</f>
        <v>0</v>
      </c>
      <c r="G580" s="475">
        <f>INDEX(Input!$1:$1048576,G$93,$C580*2+MIN($B580,2)+5)
+INDEX(Scenarios!G$121:G$200,MATCH($B580,Scenarios!$B$121:$B$200,0))</f>
        <v>0</v>
      </c>
      <c r="H580" s="475">
        <f>INDEX(Input!$1:$1048576,H$93,$C580*2+MIN($B580,2)+5)
+INDEX(Scenarios!H$121:H$200,MATCH($B580,Scenarios!$B$121:$B$200,0))</f>
        <v>0</v>
      </c>
      <c r="I580" s="476">
        <f>INDEX(Input!$1:$1048576,I$93,$C580*2+MIN($B580,2)+5)</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+INDEX(Scenarios!Q$121:Q$200,MATCH($B580,Scenarios!$B$121:$B$200,0))</f>
        <v>2000</v>
      </c>
      <c r="R580" s="478">
        <f>IFERROR(MAX(0,INDEX(Input!$1:$1048576,R$93,$C580*2+MIN($B580,2)+5)
+INDEX(Scenarios!R$121:R$200,MATCH($B580,Scenarios!$B$121:$B$200,0)),),"Market")</f>
        <v>0</v>
      </c>
      <c r="S580" s="478">
        <f>IFERROR(MAX(0,INDEX(Input!$1:$1048576,S$93,$C580*2+MIN($B580,2)+5)
+INDEX(Scenarios!S$121:S$200,MATCH($B580,Scenarios!$B$121:$B$200,0)),),"Market")</f>
        <v>0</v>
      </c>
      <c r="T580" s="478">
        <f>IFERROR(MAX(0,INDEX(Input!$1:$1048576,T$93,$C580*2+MIN($B580,2)+5)
+INDEX(Scenarios!T$121:T$200,MATCH($B580,Scenarios!$B$121:$B$200,0)),),"Market")</f>
        <v>0</v>
      </c>
      <c r="U580" s="478">
        <f>IFERROR(MAX(0,INDEX(Input!$1:$1048576,U$93,$C580*2+MIN($B580,2)+5)
+INDEX(Scenarios!U$121:U$200,MATCH($B580,Scenarios!$B$121:$B$200,0)),),"Market")</f>
        <v>0</v>
      </c>
      <c r="V580" s="478">
        <f>IFERROR(MAX(0,INDEX(Input!$1:$1048576,V$93,$C580*2+MIN($B580,2)+5)
+INDEX(Scenarios!V$121:V$200,MATCH($B580,Scenarios!$B$121:$B$200,0)),),"Market")</f>
        <v>3.7999999999999999E-2</v>
      </c>
      <c r="W580" s="863">
        <f>IFERROR(MAX(0,INDEX(Input!$1:$1048576,W$93,$C580*2+MIN($B580,2)+5)-0%,),"Market")</f>
        <v>3.9E-2</v>
      </c>
      <c r="X580" s="476" t="str">
        <f>INDEX(Input!$1:$1048576,X$93,$C580*2+MIN($B580,2)+5)</f>
        <v>Y</v>
      </c>
      <c r="Y580" s="475">
        <f>INDEX(Input!$1:$1048576,Y$93,$C580*2+MIN($B580,2)+5)
++INDEX(Scenarios!Y$121:Y$200,MATCH($B580,Scenarios!$B$121:$B$200,0))</f>
        <v>-1098.3618966787526</v>
      </c>
      <c r="Z580" s="477">
        <f>INDEX(Input!$1:$1048576,Z$93,$C580*2+MIN($B580,2)+5)
+INDEX(Scenarios!Z$121:Z$200,MATCH($B580,Scenarios!$B$121:$B$200,0))</f>
        <v>0</v>
      </c>
      <c r="AA580" s="475">
        <f>INDEX(Input!$1:$1048576,AA$93,$C580*2+MIN($B580,2)+5)</f>
        <v>500</v>
      </c>
      <c r="AB580" s="476">
        <f>INDEX(Input!$1:$1048576,AB$93,$C580*2+MIN($B580,2)+5)</f>
        <v>0.43</v>
      </c>
      <c r="AC580" s="475">
        <f>INDEX(Input!$1:$1048576,AC$93,$C580*2+MIN($B580,2)+5)
+INDEX(Scenarios!AC$121:AC$200,MATCH($B580,Scenarios!$B$121:$B$200,0))</f>
        <v>0</v>
      </c>
      <c r="AD580" s="476">
        <f>INDEX(Input!$1:$1048576,AD$93,$C580*2+MIN($B580,2)+5)</f>
        <v>0.35</v>
      </c>
      <c r="AE580" s="475">
        <f>INDEX(Input!$1:$1048576,AE$93,$C580*2+MIN($B580,2)+5)
+INDEX(Scenarios!AE$121:AE$200,MATCH($B580,Scenarios!$B$121:$B$200,0))</f>
        <v>0</v>
      </c>
      <c r="AF580" s="476">
        <f>INDEX(Input!$1:$1048576,AF$93,$C580*2+MIN($B580,2)+5)</f>
        <v>1</v>
      </c>
      <c r="AG580" s="475">
        <f>INDEX(Input!$1:$1048576,AG$93,$C580*2+MIN($B580,2)+5)
+INDEX(Scenarios!AG$121:AG$200,MATCH($B580,Scenarios!$B$121:$B$200,0))</f>
        <v>0</v>
      </c>
      <c r="AH580" s="476">
        <f>INDEX(Input!$1:$1048576,AH$93,$C580*2+MIN($B580,2)+5)</f>
        <v>1</v>
      </c>
      <c r="AI580" s="475">
        <f>INDEX(Input!$1:$1048576,AI$93,$C580*2+MIN($B580,2)+5)
+INDEX(Scenarios!AI$121:AI$200,MATCH($B580,Scenarios!$B$121:$B$200,0))</f>
        <v>0</v>
      </c>
      <c r="AJ580" s="476">
        <f>INDEX(Input!$1:$1048576,AJ$93,$C580*2+MIN($B580,2)+5)</f>
        <v>0.35</v>
      </c>
      <c r="AK580" s="150">
        <f>ROUND(INDEX(Input!$1:$1048576,AK$93,$C579*2+MIN($B580,1)+5)+(Y580-VLOOKUP($C580*1000+1,$A:$HH,Y$92,FALSE)),0)</f>
        <v>4592</v>
      </c>
      <c r="AL580" s="150">
        <f>ROUND(INDEX(Input!$1:$1048576,AL$93,$C579*2+MIN($B580,1)+5)-(Y580-VLOOKUP($C580*1000+1,$A:$HH,Y$92,FALSE))/36,0)</f>
        <v>4743</v>
      </c>
      <c r="AM580" s="32" t="str">
        <f t="shared" ref="AM580:AM599" si="1886">IF(K580="market","std",ROUND(K580*1000,0)/10)&amp;"/"&amp;IF(L580="market","std",ROUND(L580*1000,0)/10)&amp;"/"&amp;IF(M580="market","std",ROUND(M580*1000,0)/10)&amp;"/"&amp;IF(N580="market","std",ROUND(N580*1000,0)/10)&amp;IF(P580="N","","/"&amp;IF(O580="market","std",ROUND(O580*1000,0)/10))</f>
        <v>std/std/std/std</v>
      </c>
      <c r="AN580" s="32" t="str">
        <f t="shared" ref="AN580:AN599" si="1887">"$"&amp;ROUND(Q580,0)&amp;" + "&amp;IF(S580="market","std",ROUND(S580*1000,0)/10)&amp;"/"&amp;IF(T580="market","std",ROUND(T580*1000,0)/10)&amp;"/"&amp;IF(U580="market","std",ROUND(U580*1000,0)/10)&amp;"/"&amp;IF(V580="market","std",ROUND(V580*1000,0)/10)&amp;IF(X580="N","","/"&amp;IF(W580="market","std",ROUND(W580*1000,0)/10))</f>
        <v>$2000 + 0/0/0/3.8/3.9</v>
      </c>
      <c r="AO580" s="32" t="str">
        <f t="shared" ref="AO580:AO599" si="1888">IF(S580="market","std",ROUND(S580*1000,0)/10)&amp;"/"&amp;IF(T580="market","std",ROUND(T580*1000,0)/10)&amp;"/"&amp;IF(U580="market","std",ROUND(U580*1000,0)/10)&amp;"/"&amp;IF(V580="market","std",ROUND(V580*1000,0)/10)&amp;IF(X580="N","","/"&amp;IF(W580="market","std",ROUND(W580*1000,0)/10))</f>
        <v>0/0/0/3.8/3.9</v>
      </c>
      <c r="AP580" s="32" t="str">
        <f t="shared" si="1755"/>
        <v>0/2.8/3.8/3.9</v>
      </c>
      <c r="AQ580" s="536">
        <f t="shared" si="1754"/>
        <v>0.43187910539318436</v>
      </c>
      <c r="AR580" s="32"/>
      <c r="AS580" s="302"/>
      <c r="AT580" s="3">
        <f t="shared" si="1867"/>
        <v>80</v>
      </c>
      <c r="AU580" s="41" t="s">
        <v>121</v>
      </c>
      <c r="AV580" s="41" t="s">
        <v>116</v>
      </c>
      <c r="AW580" s="41" t="str">
        <f>INDEX(Input!$1:$1048576,AW$93,$C580*2+6)</f>
        <v>Kia</v>
      </c>
      <c r="AX580" s="41" t="str">
        <f>INDEX(Input!$1:$1048576,AX$93,$C580*2+6)</f>
        <v>Kia-LR - R2</v>
      </c>
      <c r="AY580" s="41" t="str">
        <f>IF(LEN(D580)=0,"",INDEX(Input!$1:$1048576,AY$93,$C580*2+6))</f>
        <v>Compact Conventional/Sporty Car (43)</v>
      </c>
      <c r="AZ580" s="41" t="str">
        <f>INDEX(Input!$1:$1048576,AZ$93,$C580*2+6)</f>
        <v>Kia Forte</v>
      </c>
      <c r="BA580" s="3">
        <f>INDEX(Input!$1:$1048576,BA$93,$C580*2+6)</f>
        <v>2020</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19695</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756"/>
        <v>2250</v>
      </c>
      <c r="CJ580" s="16" t="str">
        <f>INDEX(Input!$1:$1048576,CJ$93,$C580*2+6)</f>
        <v>N</v>
      </c>
      <c r="CK580" s="1" t="str">
        <f t="shared" si="1757"/>
        <v>Market</v>
      </c>
      <c r="CL580" s="1" t="str">
        <f t="shared" si="1758"/>
        <v>Market</v>
      </c>
      <c r="CM580" s="1" t="str">
        <f t="shared" si="1759"/>
        <v>Market</v>
      </c>
      <c r="CN580" s="1" t="str">
        <f t="shared" si="1760"/>
        <v>Market</v>
      </c>
      <c r="CO580" s="1" t="str">
        <f t="shared" si="1761"/>
        <v>Market</v>
      </c>
      <c r="CP580" s="304">
        <f t="shared" si="1762"/>
        <v>2215</v>
      </c>
      <c r="CQ580" s="1">
        <f t="shared" si="1763"/>
        <v>0</v>
      </c>
      <c r="CR580" s="1">
        <f t="shared" si="1764"/>
        <v>0</v>
      </c>
      <c r="CS580" s="1">
        <f t="shared" si="1765"/>
        <v>0</v>
      </c>
      <c r="CT580" s="1">
        <f t="shared" si="1766"/>
        <v>3.7999999999999999E-2</v>
      </c>
      <c r="CU580" s="1">
        <f t="shared" si="1767"/>
        <v>3.9E-2</v>
      </c>
      <c r="CV580" s="304">
        <f t="shared" si="1768"/>
        <v>-1098.3618966787526</v>
      </c>
      <c r="CW580" s="20" t="s">
        <v>122</v>
      </c>
      <c r="CX580" s="20" t="s">
        <v>122</v>
      </c>
      <c r="CY580" s="20" t="s">
        <v>122</v>
      </c>
      <c r="CZ580" s="20" t="s">
        <v>122</v>
      </c>
      <c r="DA580" s="20" t="s">
        <v>122</v>
      </c>
      <c r="DB580" s="503">
        <f t="shared" si="1769"/>
        <v>0</v>
      </c>
      <c r="DC580" s="127">
        <v>0</v>
      </c>
      <c r="DD580" s="127">
        <v>0</v>
      </c>
      <c r="DE580" s="127">
        <v>0</v>
      </c>
      <c r="DF580" s="127">
        <v>0</v>
      </c>
      <c r="DG580" s="127">
        <v>0</v>
      </c>
      <c r="DH580" s="127">
        <v>0</v>
      </c>
      <c r="DI580" s="127">
        <v>0</v>
      </c>
      <c r="DJ580" s="127">
        <v>0</v>
      </c>
      <c r="DK580" s="127">
        <v>0</v>
      </c>
      <c r="DL580" s="127">
        <v>0</v>
      </c>
      <c r="DM580" s="304">
        <f>INDEX(Input!$1:$1048576,DM$93,$C580*2+6)</f>
        <v>20731.578947368424</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4.5175382446556327E-2</v>
      </c>
      <c r="DZ580" s="7">
        <v>0</v>
      </c>
      <c r="EA580" s="7">
        <v>0.75334675636093629</v>
      </c>
      <c r="EB580" s="7">
        <v>0</v>
      </c>
      <c r="EC580" s="7">
        <v>0</v>
      </c>
      <c r="ED580" s="7">
        <v>0</v>
      </c>
      <c r="EE580" s="7">
        <v>0</v>
      </c>
      <c r="EF580" s="7">
        <v>0</v>
      </c>
      <c r="EG580" s="7">
        <v>0</v>
      </c>
      <c r="EH580" s="7">
        <v>2.2457101784688956E-2</v>
      </c>
      <c r="EI580" s="7">
        <v>2.4938938992582756E-2</v>
      </c>
      <c r="EJ580" s="7">
        <v>0.30351292095175664</v>
      </c>
      <c r="EK580" s="7">
        <v>0.45486219163913671</v>
      </c>
      <c r="EL580" s="7">
        <v>0.19422884663183509</v>
      </c>
      <c r="EM580" s="7">
        <v>0.11487412263737035</v>
      </c>
      <c r="EN580" s="7">
        <v>4.7389748892962942E-2</v>
      </c>
      <c r="EO580" s="7">
        <v>0.58256961902948257</v>
      </c>
      <c r="EP580" s="7">
        <v>0.25105058668497243</v>
      </c>
      <c r="EQ580" s="7">
        <v>7.2204974872382782E-2</v>
      </c>
      <c r="ER580" s="7">
        <v>4.6785070520199201E-2</v>
      </c>
      <c r="ES580" s="7">
        <v>8.6603738555136978E-2</v>
      </c>
      <c r="ET580" s="7">
        <v>0.20147786119250743</v>
      </c>
      <c r="EU580" s="6">
        <v>2600</v>
      </c>
      <c r="EV580" s="6">
        <v>0</v>
      </c>
      <c r="EW580" s="6">
        <v>2600</v>
      </c>
      <c r="EX580" s="6">
        <v>0</v>
      </c>
      <c r="EY580" s="6">
        <v>4091.874875723719</v>
      </c>
      <c r="EZ580" s="6">
        <v>-1723.0908300335955</v>
      </c>
      <c r="FA580" s="6">
        <v>0</v>
      </c>
      <c r="FB580" s="6">
        <v>0</v>
      </c>
      <c r="FC580" s="6">
        <v>0</v>
      </c>
      <c r="FD580" s="6">
        <v>0</v>
      </c>
      <c r="FE580" s="6">
        <v>0</v>
      </c>
      <c r="FF580" s="6">
        <v>0</v>
      </c>
      <c r="FG580" s="6">
        <v>0</v>
      </c>
      <c r="FH580" s="6">
        <v>1150.5092083468185</v>
      </c>
      <c r="FI580" s="6">
        <v>1531.4299904380616</v>
      </c>
      <c r="FJ580" s="6">
        <v>2070.7205842538206</v>
      </c>
      <c r="FK580" s="6">
        <v>826.03289024944365</v>
      </c>
      <c r="FL580" s="6">
        <v>893.91433563489363</v>
      </c>
      <c r="FM580" s="6">
        <v>1241.8748757237188</v>
      </c>
      <c r="FN580" s="6">
        <v>0</v>
      </c>
      <c r="FO580" s="6">
        <v>0</v>
      </c>
      <c r="FP580" s="6">
        <v>0</v>
      </c>
      <c r="FQ580" s="6">
        <v>0</v>
      </c>
      <c r="FR580" s="6">
        <v>0</v>
      </c>
      <c r="FS580" s="6">
        <v>0</v>
      </c>
      <c r="FT580" s="7">
        <v>0.79852213880749257</v>
      </c>
      <c r="FU580" s="7">
        <v>0.11487412263737035</v>
      </c>
      <c r="FV580" s="7">
        <v>8.6603738555136978E-2</v>
      </c>
      <c r="FW580" s="6">
        <v>2600</v>
      </c>
      <c r="FX580" s="6">
        <v>4091.874875723719</v>
      </c>
      <c r="FY580" s="6">
        <v>-1723.0908300335955</v>
      </c>
      <c r="FZ580" s="6">
        <v>2411.9063952864503</v>
      </c>
      <c r="GA580" s="6">
        <v>2396.9819894391585</v>
      </c>
      <c r="GB580" s="6">
        <v>17298.018010560842</v>
      </c>
      <c r="GC580" s="7">
        <v>7.6138913542514425E-2</v>
      </c>
      <c r="GD580" s="7">
        <v>7.4093352532059453E-2</v>
      </c>
      <c r="GE580" s="7"/>
      <c r="GF580" s="7"/>
      <c r="GG580" s="7">
        <v>-2.6866170204973724E-2</v>
      </c>
      <c r="GH580" s="42">
        <v>35.453955594686043</v>
      </c>
      <c r="GI580" s="6">
        <v>2952.4912314869525</v>
      </c>
      <c r="GJ580" s="14">
        <v>0.51074630601039583</v>
      </c>
      <c r="GK580" s="14">
        <v>0.50829519786160993</v>
      </c>
      <c r="GL580" s="14">
        <v>0.48925369398960455</v>
      </c>
      <c r="GM580" s="14">
        <v>0.49170480213839057</v>
      </c>
      <c r="GO580" s="5">
        <v>338.16872463277008</v>
      </c>
      <c r="GP580" s="5">
        <v>288.56568471597211</v>
      </c>
      <c r="GQ580" s="5">
        <v>527.27910984145694</v>
      </c>
      <c r="GR580" s="5">
        <v>404.20319246551543</v>
      </c>
      <c r="GS580" s="5">
        <v>334.50205195691484</v>
      </c>
      <c r="GT580" s="5">
        <v>289.18266033348181</v>
      </c>
      <c r="GU580" s="5">
        <v>254.29573314828914</v>
      </c>
      <c r="GV580" s="39" t="s">
        <v>392</v>
      </c>
      <c r="GW580" s="5">
        <v>413.20833333333331</v>
      </c>
      <c r="GX580" s="5">
        <v>309.90625</v>
      </c>
      <c r="GY580" s="5">
        <v>247.92500000000001</v>
      </c>
      <c r="GZ580" s="5">
        <v>231.37681687628188</v>
      </c>
      <c r="HA580" s="5">
        <v>202.64630440458183</v>
      </c>
      <c r="HB580" s="39">
        <v>236.86095958662119</v>
      </c>
      <c r="HC580" s="5">
        <v>358.50084881396981</v>
      </c>
      <c r="HD580" s="5">
        <v>287.77900980034525</v>
      </c>
      <c r="HE580" s="5">
        <v>285.23787161201437</v>
      </c>
      <c r="HF580" s="5">
        <v>257.54964978663213</v>
      </c>
      <c r="HG580" s="5">
        <v>240.60084178617024</v>
      </c>
      <c r="HH580" s="39">
        <v>286.10260166166603</v>
      </c>
      <c r="HI580" s="16"/>
      <c r="HJ580" s="19" t="str">
        <f t="shared" ref="HJ580:HK581" si="1889">HJ579</f>
        <v>On</v>
      </c>
      <c r="HK580" s="1" t="str">
        <f t="shared" si="1889"/>
        <v>On</v>
      </c>
      <c r="HL580" s="16"/>
      <c r="HM580" s="639">
        <f t="shared" si="1833"/>
        <v>5.1181272167489952E-2</v>
      </c>
      <c r="HN580" s="639">
        <f t="shared" si="1834"/>
        <v>4.2792051795134348E-3</v>
      </c>
      <c r="HO580" s="639">
        <f t="shared" si="1835"/>
        <v>7.4145241462331068E-3</v>
      </c>
      <c r="HP580" s="644">
        <f>(FT580*$GD580-HM580)/$JF580*INDEX(Input!$1:$1048576,$JG$93,$C580*2+6)</f>
        <v>94.219661293613072</v>
      </c>
      <c r="HQ580" s="644">
        <f>(FU580*$GD580-HN580)/$JF580*INDEX(Input!$1:$1048576,$JG$93,$C580*2+6)</f>
        <v>49.945050661383533</v>
      </c>
      <c r="HR580" s="644">
        <f>(FV580*$GD580-HO580)/$JF580*INDEX(Input!$1:$1048576,$JG$93,$C580*2+6)</f>
        <v>-11.774791110190748</v>
      </c>
      <c r="HS580" s="644">
        <f t="shared" si="1857"/>
        <v>-26.334514606086731</v>
      </c>
      <c r="HT580" s="644">
        <f t="shared" si="1858"/>
        <v>98.60533831913294</v>
      </c>
      <c r="HU580" s="644">
        <f t="shared" si="1837"/>
        <v>9.3594507503561299</v>
      </c>
      <c r="HV580" s="648">
        <f t="shared" si="1838"/>
        <v>0</v>
      </c>
      <c r="HW580" s="648">
        <f t="shared" si="1839"/>
        <v>0</v>
      </c>
      <c r="HX580" s="648">
        <f t="shared" si="1840"/>
        <v>0</v>
      </c>
      <c r="HY580" s="644">
        <f>INDEX(Input!$1:$1048576,HY$93,$C580*2+6)*INDEX(Input!$1:$1048576,$JG$93,$C580*2+6)</f>
        <v>345</v>
      </c>
      <c r="HZ580" s="644">
        <f>INDEX(Input!$1:$1048576,HZ$93,$C580*2+6)*INDEX(Input!$1:$1048576,$JG$93,$C580*2+6)</f>
        <v>299</v>
      </c>
      <c r="IA580" s="644">
        <f>INDEX(Input!$1:$1048576,IA$93,$C580*2+6)*INDEX(Input!$1:$1048576,$JG$93,$C580*2+6)</f>
        <v>98</v>
      </c>
      <c r="IB580" s="644">
        <f t="shared" si="1780"/>
        <v>412.88514668752634</v>
      </c>
      <c r="IC580" s="644">
        <f t="shared" si="1781"/>
        <v>447.55038898051652</v>
      </c>
      <c r="ID580" s="644">
        <f>IF(AND(INDEX(Input!$1:$1048576,IA$93,$C580*2+7)="TOS",Y580&lt;=INDEX(Y:Y,MATCH(C580*1000+2,A:A))),0,1)*MAX(IA580+HR580+HU580+HX580,0%)</f>
        <v>95.584659640165384</v>
      </c>
      <c r="IE580" s="128">
        <f t="shared" si="1873"/>
        <v>0.43187910539318436</v>
      </c>
      <c r="IF580" s="128">
        <f t="shared" si="1874"/>
        <v>0.46813905310465981</v>
      </c>
      <c r="IG580" s="128">
        <f t="shared" si="1784"/>
        <v>9.9981841502155888E-2</v>
      </c>
      <c r="IH580" s="21"/>
      <c r="II580" s="19">
        <f t="shared" si="1841"/>
        <v>1200</v>
      </c>
      <c r="IJ580" s="19">
        <f t="shared" si="1842"/>
        <v>2231.5440334087361</v>
      </c>
      <c r="IK580" s="19">
        <f t="shared" si="1843"/>
        <v>-2048.0908300335955</v>
      </c>
      <c r="IL580" s="19">
        <f t="shared" si="1785"/>
        <v>1400</v>
      </c>
      <c r="IM580" s="19">
        <f t="shared" si="1786"/>
        <v>1860.3308423149829</v>
      </c>
      <c r="IN580" s="19">
        <f t="shared" si="1787"/>
        <v>325</v>
      </c>
      <c r="IO580" s="39">
        <f t="shared" si="1844"/>
        <v>0</v>
      </c>
      <c r="IP580" s="39">
        <f t="shared" si="1845"/>
        <v>0</v>
      </c>
      <c r="IQ580" s="39">
        <f t="shared" si="1846"/>
        <v>0</v>
      </c>
      <c r="IR580" s="39">
        <v>0</v>
      </c>
      <c r="IS580" s="39">
        <v>0</v>
      </c>
      <c r="IT580" s="39">
        <v>0</v>
      </c>
      <c r="IU580" s="39">
        <v>0</v>
      </c>
      <c r="IV580" s="39">
        <v>0</v>
      </c>
      <c r="IW580" s="39">
        <v>0</v>
      </c>
      <c r="IX580" s="39">
        <f>INDEX(Input!$1:$1048576,IX$93,$C580*2+6)+INDEX(Input!$1:$1048576,IX$94,$C580*2+6)</f>
        <v>1600</v>
      </c>
      <c r="IY580" s="39">
        <f>INDEX(Input!$1:$1048576,IY$93,$C580*2+6)+INDEX(Input!$1:$1048576,IY$94,$C580*2+6)</f>
        <v>2503.5492916397525</v>
      </c>
      <c r="IZ580" s="39">
        <f>INDEX(Input!$1:$1048576,IZ$93,$C580*2+6)+INDEX(Input!$1:$1048576,IZ$94,$C580*2+6)</f>
        <v>5413.7109265464023</v>
      </c>
      <c r="JA580" s="19">
        <f t="shared" si="1788"/>
        <v>3000</v>
      </c>
      <c r="JB580" s="19">
        <f t="shared" si="1789"/>
        <v>4363.8801339547354</v>
      </c>
      <c r="JC580" s="19">
        <f t="shared" si="1790"/>
        <v>5738.7109265464023</v>
      </c>
      <c r="JD580" s="19">
        <f t="shared" si="1791"/>
        <v>3912.3069162360116</v>
      </c>
      <c r="JE580" s="21"/>
      <c r="JF580" s="1">
        <f t="shared" si="1847"/>
        <v>6.2875001493236493E-2</v>
      </c>
      <c r="JG580" s="15">
        <f>INDEX(Input!$1:$1048576,JG$93,$C580*2+6)/(1+VLOOKUP(C580*1000+INDEX(Input!$1:$1048576,JG$93+1,$C580*2+6),$A:$KK,$JK$92,FALSE))</f>
        <v>742</v>
      </c>
      <c r="JH580" s="1">
        <f t="shared" si="1792"/>
        <v>0.17842307391483272</v>
      </c>
      <c r="JI580" s="1">
        <f t="shared" si="1793"/>
        <v>0.11001384698571745</v>
      </c>
      <c r="JJ580" s="1">
        <f t="shared" si="1875"/>
        <v>0</v>
      </c>
      <c r="JK580" s="1">
        <f t="shared" si="1876"/>
        <v>0.28843692090055018</v>
      </c>
      <c r="JL580" s="15">
        <f t="shared" si="1796"/>
        <v>214.02019530820823</v>
      </c>
      <c r="JM580" s="15">
        <f t="shared" si="1797"/>
        <v>956.02019530820826</v>
      </c>
      <c r="JN580" s="21"/>
      <c r="JO580" s="19">
        <f>INDEX(Input!$1:$1048576,JO$93,$C580*2+6)</f>
        <v>5908.5</v>
      </c>
      <c r="JP580" s="19">
        <f>INDEX(Input!$1:$1048576,JP$93,$C580*2+6)</f>
        <v>2467.7963733178344</v>
      </c>
      <c r="JQ580" s="39">
        <f t="shared" si="1798"/>
        <v>1996.1930837639884</v>
      </c>
      <c r="JR580" s="39">
        <f t="shared" si="1799"/>
        <v>1444.5105429181772</v>
      </c>
      <c r="JS580" s="39">
        <f t="shared" si="1800"/>
        <v>3.7402444221656057</v>
      </c>
      <c r="JT580" s="39">
        <f t="shared" si="1801"/>
        <v>1.9091395131637727</v>
      </c>
      <c r="JU580" s="385">
        <f>(JQ580*JM580-INDEX(Input!$1:$1048576,Input!A$18,$C580*2+6)*JL580*INDEX(Input!$1:$1048576,Input!A$19,$C580*2+6))/1000000</f>
        <v>1.9084009018129426</v>
      </c>
      <c r="JV580" s="39">
        <f t="shared" si="1802"/>
        <v>-0.64460118918522391</v>
      </c>
      <c r="JW580" s="1">
        <f t="shared" si="1803"/>
        <v>-0.25248752888141951</v>
      </c>
      <c r="JX580" s="19">
        <f t="shared" si="1804"/>
        <v>8920.3708575933269</v>
      </c>
      <c r="JZ580" s="341"/>
      <c r="KA580" s="342"/>
      <c r="KB580" s="469">
        <f t="shared" si="1805"/>
        <v>2.4623520912331753</v>
      </c>
      <c r="KI580" s="473">
        <f t="shared" si="1877"/>
        <v>67.885146687526344</v>
      </c>
      <c r="KJ580" s="473">
        <f t="shared" si="1878"/>
        <v>148.55038898051657</v>
      </c>
      <c r="KK580" s="473">
        <f t="shared" si="1808"/>
        <v>-2.4153403598346017</v>
      </c>
      <c r="KN580" s="544">
        <f t="shared" si="1809"/>
        <v>5002</v>
      </c>
      <c r="KO580" s="541">
        <f t="shared" si="1848"/>
        <v>0.19719459263300387</v>
      </c>
      <c r="KP580" s="546">
        <f t="shared" si="1849"/>
        <v>1115.5005225289924</v>
      </c>
      <c r="KQ580" s="546">
        <f t="shared" si="1850"/>
        <v>1053.5344700843025</v>
      </c>
      <c r="KR580" s="548">
        <f t="shared" si="1851"/>
        <v>2.9762541270986991</v>
      </c>
      <c r="KS580" s="548">
        <f t="shared" si="1852"/>
        <v>3.1513093574356481</v>
      </c>
      <c r="KT580" s="473">
        <f t="shared" si="1810"/>
        <v>389.37465324503302</v>
      </c>
      <c r="KU580" s="663">
        <f t="shared" si="1854"/>
        <v>7.3260792005208017</v>
      </c>
    </row>
    <row r="581" spans="1:307" s="26" customFormat="1" ht="15" outlineLevel="1">
      <c r="A581" s="561">
        <f t="shared" si="1885"/>
        <v>5081</v>
      </c>
      <c r="B581" s="561">
        <f t="shared" si="1865"/>
        <v>81</v>
      </c>
      <c r="C581" s="561">
        <f t="shared" si="1866"/>
        <v>5</v>
      </c>
      <c r="D581" s="561" t="str">
        <f t="shared" si="1812"/>
        <v xml:space="preserve">-500 Trim BC, </v>
      </c>
      <c r="E581" s="475">
        <f>INDEX(Input!$1:$1048576,E$93,$C581*2+MIN($B581,2)+5)
+INDEX(Scenarios!E$121:E$200,MATCH($B581,Scenarios!$B$121:$B$200,0))</f>
        <v>1250</v>
      </c>
      <c r="F581" s="475">
        <f>INDEX(Input!$1:$1048576,F$93,$C581*2+MIN($B581,2)+5)
+INDEX(Scenarios!F$121:F$200,MATCH($B581,Scenarios!$B$121:$B$200,0))</f>
        <v>0</v>
      </c>
      <c r="G581" s="475">
        <f>INDEX(Input!$1:$1048576,G$93,$C581*2+MIN($B581,2)+5)
+INDEX(Scenarios!G$121:G$200,MATCH($B581,Scenarios!$B$121:$B$200,0))</f>
        <v>0</v>
      </c>
      <c r="H581" s="475">
        <f>INDEX(Input!$1:$1048576,H$93,$C581*2+MIN($B581,2)+5)
+INDEX(Scenarios!H$121:H$200,MATCH($B581,Scenarios!$B$121:$B$200,0))</f>
        <v>0</v>
      </c>
      <c r="I581" s="476">
        <f>INDEX(Input!$1:$1048576,I$93,$C581*2+MIN($B581,2)+5)</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+INDEX(Scenarios!Q$121:Q$200,MATCH($B581,Scenarios!$B$121:$B$200,0))</f>
        <v>0</v>
      </c>
      <c r="R581" s="478">
        <f>IFERROR(MAX(0,INDEX(Input!$1:$1048576,R$93,$C581*2+MIN($B581,2)+5)
+INDEX(Scenarios!R$121:R$200,MATCH($B581,Scenarios!$B$121:$B$200,0)),),"Market")</f>
        <v>0</v>
      </c>
      <c r="S581" s="478">
        <f>IFERROR(MAX(0,INDEX(Input!$1:$1048576,S$93,$C581*2+MIN($B581,2)+5)
+INDEX(Scenarios!S$121:S$200,MATCH($B581,Scenarios!$B$121:$B$200,0)),),"Market")</f>
        <v>0</v>
      </c>
      <c r="T581" s="478">
        <f>IFERROR(MAX(0,INDEX(Input!$1:$1048576,T$93,$C581*2+MIN($B581,2)+5)
+INDEX(Scenarios!T$121:T$200,MATCH($B581,Scenarios!$B$121:$B$200,0)),),"Market")</f>
        <v>0</v>
      </c>
      <c r="U581" s="478">
        <f>IFERROR(MAX(0,INDEX(Input!$1:$1048576,U$93,$C581*2+MIN($B581,2)+5)
+INDEX(Scenarios!U$121:U$200,MATCH($B581,Scenarios!$B$121:$B$200,0)),),"Market")</f>
        <v>0</v>
      </c>
      <c r="V581" s="478">
        <f>IFERROR(MAX(0,INDEX(Input!$1:$1048576,V$93,$C581*2+MIN($B581,2)+5)
+INDEX(Scenarios!V$121:V$200,MATCH($B581,Scenarios!$B$121:$B$200,0)),),"Market")</f>
        <v>1.9E-2</v>
      </c>
      <c r="W581" s="863">
        <f>IFERROR(MAX(0,INDEX(Input!$1:$1048576,W$93,$C581*2+MIN($B581,2)+5)-0%,),"Market")</f>
        <v>3.9E-2</v>
      </c>
      <c r="X581" s="476" t="str">
        <f>INDEX(Input!$1:$1048576,X$93,$C581*2+MIN($B581,2)+5)</f>
        <v>Y</v>
      </c>
      <c r="Y581" s="475">
        <f>INDEX(Input!$1:$1048576,Y$93,$C581*2+MIN($B581,2)+5)
++INDEX(Scenarios!Y$121:Y$200,MATCH($B581,Scenarios!$B$121:$B$200,0))</f>
        <v>-1098.3618966787526</v>
      </c>
      <c r="Z581" s="477">
        <f>INDEX(Input!$1:$1048576,Z$93,$C581*2+MIN($B581,2)+5)
+INDEX(Scenarios!Z$121:Z$200,MATCH($B581,Scenarios!$B$121:$B$200,0))</f>
        <v>0</v>
      </c>
      <c r="AA581" s="475">
        <f>INDEX(Input!$1:$1048576,AA$93,$C581*2+MIN($B581,2)+5)</f>
        <v>500</v>
      </c>
      <c r="AB581" s="476">
        <f>INDEX(Input!$1:$1048576,AB$93,$C581*2+MIN($B581,2)+5)</f>
        <v>0.43</v>
      </c>
      <c r="AC581" s="475">
        <f>INDEX(Input!$1:$1048576,AC$93,$C581*2+MIN($B581,2)+5)
+INDEX(Scenarios!AC$121:AC$200,MATCH($B581,Scenarios!$B$121:$B$200,0))</f>
        <v>0</v>
      </c>
      <c r="AD581" s="476">
        <f>INDEX(Input!$1:$1048576,AD$93,$C581*2+MIN($B581,2)+5)</f>
        <v>0.35</v>
      </c>
      <c r="AE581" s="475">
        <f>INDEX(Input!$1:$1048576,AE$93,$C581*2+MIN($B581,2)+5)
+INDEX(Scenarios!AE$121:AE$200,MATCH($B581,Scenarios!$B$121:$B$200,0))</f>
        <v>0</v>
      </c>
      <c r="AF581" s="476">
        <f>INDEX(Input!$1:$1048576,AF$93,$C581*2+MIN($B581,2)+5)</f>
        <v>1</v>
      </c>
      <c r="AG581" s="475">
        <f>INDEX(Input!$1:$1048576,AG$93,$C581*2+MIN($B581,2)+5)
+INDEX(Scenarios!AG$121:AG$200,MATCH($B581,Scenarios!$B$121:$B$200,0))</f>
        <v>-500</v>
      </c>
      <c r="AH581" s="476">
        <f>INDEX(Input!$1:$1048576,AH$93,$C581*2+MIN($B581,2)+5)</f>
        <v>1</v>
      </c>
      <c r="AI581" s="475">
        <f>INDEX(Input!$1:$1048576,AI$93,$C581*2+MIN($B581,2)+5)
+INDEX(Scenarios!AI$121:AI$200,MATCH($B581,Scenarios!$B$121:$B$200,0))</f>
        <v>0</v>
      </c>
      <c r="AJ581" s="476">
        <f>INDEX(Input!$1:$1048576,AJ$93,$C581*2+MIN($B581,2)+5)</f>
        <v>0.35</v>
      </c>
      <c r="AK581" s="150">
        <f>ROUND(INDEX(Input!$1:$1048576,AK$93,$C580*2+MIN($B581,1)+5)+(Y581-VLOOKUP($C581*1000+1,$A:$HH,Y$92,FALSE)),0)</f>
        <v>4592</v>
      </c>
      <c r="AL581" s="150">
        <f>ROUND(INDEX(Input!$1:$1048576,AL$93,$C580*2+MIN($B581,1)+5)-(Y581-VLOOKUP($C581*1000+1,$A:$HH,Y$92,FALSE))/36,0)</f>
        <v>4743</v>
      </c>
      <c r="AM581" s="32" t="str">
        <f t="shared" si="1886"/>
        <v>std/std/std/std</v>
      </c>
      <c r="AN581" s="32" t="str">
        <f t="shared" si="1887"/>
        <v>$0 + 0/0/0/1.9/3.9</v>
      </c>
      <c r="AO581" s="32" t="str">
        <f t="shared" si="1888"/>
        <v>0/0/0/1.9/3.9</v>
      </c>
      <c r="AP581" s="32" t="str">
        <f t="shared" si="1755"/>
        <v>0/0.9/1.9/3.9</v>
      </c>
      <c r="AQ581" s="536">
        <f t="shared" si="1754"/>
        <v>0.46801975329316242</v>
      </c>
      <c r="AR581" s="32"/>
      <c r="AS581" s="302"/>
      <c r="AT581" s="3">
        <f t="shared" si="1867"/>
        <v>81</v>
      </c>
      <c r="AU581" s="41" t="s">
        <v>121</v>
      </c>
      <c r="AV581" s="41" t="s">
        <v>116</v>
      </c>
      <c r="AW581" s="41" t="str">
        <f>INDEX(Input!$1:$1048576,AW$93,$C581*2+6)</f>
        <v>Kia</v>
      </c>
      <c r="AX581" s="41" t="str">
        <f>INDEX(Input!$1:$1048576,AX$93,$C581*2+6)</f>
        <v>Kia-LR - R2</v>
      </c>
      <c r="AY581" s="41" t="str">
        <f>IF(LEN(D581)=0,"",INDEX(Input!$1:$1048576,AY$93,$C581*2+6))</f>
        <v>Compact Conventional/Sporty Car (43)</v>
      </c>
      <c r="AZ581" s="41" t="str">
        <f>INDEX(Input!$1:$1048576,AZ$93,$C581*2+6)</f>
        <v>Kia Forte</v>
      </c>
      <c r="BA581" s="3">
        <f>INDEX(Input!$1:$1048576,BA$93,$C581*2+6)</f>
        <v>2020</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19695</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756"/>
        <v>1250</v>
      </c>
      <c r="CJ581" s="16" t="str">
        <f>INDEX(Input!$1:$1048576,CJ$93,$C581*2+6)</f>
        <v>N</v>
      </c>
      <c r="CK581" s="1" t="str">
        <f t="shared" si="1757"/>
        <v>Market</v>
      </c>
      <c r="CL581" s="1" t="str">
        <f t="shared" si="1758"/>
        <v>Market</v>
      </c>
      <c r="CM581" s="1" t="str">
        <f t="shared" si="1759"/>
        <v>Market</v>
      </c>
      <c r="CN581" s="1" t="str">
        <f t="shared" si="1760"/>
        <v>Market</v>
      </c>
      <c r="CO581" s="1" t="str">
        <f t="shared" si="1761"/>
        <v>Market</v>
      </c>
      <c r="CP581" s="304">
        <f t="shared" si="1762"/>
        <v>215</v>
      </c>
      <c r="CQ581" s="1">
        <f t="shared" si="1763"/>
        <v>0</v>
      </c>
      <c r="CR581" s="1">
        <f t="shared" si="1764"/>
        <v>0</v>
      </c>
      <c r="CS581" s="1">
        <f t="shared" si="1765"/>
        <v>0</v>
      </c>
      <c r="CT581" s="1">
        <f t="shared" si="1766"/>
        <v>1.9E-2</v>
      </c>
      <c r="CU581" s="1">
        <f t="shared" si="1767"/>
        <v>3.9E-2</v>
      </c>
      <c r="CV581" s="304">
        <f t="shared" si="1768"/>
        <v>-1098.3618966787526</v>
      </c>
      <c r="CW581" s="20" t="s">
        <v>122</v>
      </c>
      <c r="CX581" s="20" t="s">
        <v>122</v>
      </c>
      <c r="CY581" s="20" t="s">
        <v>122</v>
      </c>
      <c r="CZ581" s="20" t="s">
        <v>122</v>
      </c>
      <c r="DA581" s="20" t="s">
        <v>122</v>
      </c>
      <c r="DB581" s="503">
        <f t="shared" si="1769"/>
        <v>-500</v>
      </c>
      <c r="DC581" s="127">
        <v>0</v>
      </c>
      <c r="DD581" s="127">
        <v>0</v>
      </c>
      <c r="DE581" s="127">
        <v>0</v>
      </c>
      <c r="DF581" s="127">
        <v>0</v>
      </c>
      <c r="DG581" s="127">
        <v>0</v>
      </c>
      <c r="DH581" s="127">
        <v>0</v>
      </c>
      <c r="DI581" s="127">
        <v>0</v>
      </c>
      <c r="DJ581" s="127">
        <v>0</v>
      </c>
      <c r="DK581" s="127">
        <v>0</v>
      </c>
      <c r="DL581" s="127">
        <v>0</v>
      </c>
      <c r="DM581" s="304">
        <f>INDEX(Input!$1:$1048576,DM$93,$C581*2+6)</f>
        <v>20731.578947368424</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4.3278340127009769E-2</v>
      </c>
      <c r="DZ581" s="7">
        <v>0</v>
      </c>
      <c r="EA581" s="7">
        <v>0.77147298891798211</v>
      </c>
      <c r="EB581" s="7">
        <v>0</v>
      </c>
      <c r="EC581" s="7">
        <v>0</v>
      </c>
      <c r="ED581" s="7">
        <v>0</v>
      </c>
      <c r="EE581" s="7">
        <v>0</v>
      </c>
      <c r="EF581" s="7">
        <v>0</v>
      </c>
      <c r="EG581" s="7">
        <v>0</v>
      </c>
      <c r="EH581" s="7">
        <v>1.4441795891283173E-2</v>
      </c>
      <c r="EI581" s="7">
        <v>1.8189564209248329E-2</v>
      </c>
      <c r="EJ581" s="7">
        <v>0.26751365375933261</v>
      </c>
      <c r="EK581" s="7">
        <v>0.6534719676730758</v>
      </c>
      <c r="EL581" s="7">
        <v>4.6383018467060395E-2</v>
      </c>
      <c r="EM581" s="7">
        <v>6.8110264171423476E-2</v>
      </c>
      <c r="EN581" s="7">
        <v>4.6802275675363013E-2</v>
      </c>
      <c r="EO581" s="7">
        <v>0.58365826844019286</v>
      </c>
      <c r="EP581" s="7">
        <v>0.24914914618977843</v>
      </c>
      <c r="EQ581" s="7">
        <v>7.3162461266831416E-2</v>
      </c>
      <c r="ER581" s="7">
        <v>4.7227848427834264E-2</v>
      </c>
      <c r="ES581" s="7">
        <v>0.1171384067835845</v>
      </c>
      <c r="ET581" s="7">
        <v>0.1852486709550081</v>
      </c>
      <c r="EU581" s="6">
        <v>1100</v>
      </c>
      <c r="EV581" s="6">
        <v>0</v>
      </c>
      <c r="EW581" s="6">
        <v>1100</v>
      </c>
      <c r="EX581" s="6">
        <v>0</v>
      </c>
      <c r="EY581" s="6">
        <v>2131.5393706748282</v>
      </c>
      <c r="EZ581" s="6">
        <v>-2223.0908300335955</v>
      </c>
      <c r="FA581" s="6">
        <v>0</v>
      </c>
      <c r="FB581" s="6">
        <v>0</v>
      </c>
      <c r="FC581" s="6">
        <v>0</v>
      </c>
      <c r="FD581" s="6">
        <v>0</v>
      </c>
      <c r="FE581" s="6">
        <v>0</v>
      </c>
      <c r="FF581" s="6">
        <v>0</v>
      </c>
      <c r="FG581" s="6">
        <v>0</v>
      </c>
      <c r="FH581" s="6">
        <v>1153.9859155932227</v>
      </c>
      <c r="FI581" s="6">
        <v>1531.4299904380618</v>
      </c>
      <c r="FJ581" s="6">
        <v>2070.7205842538219</v>
      </c>
      <c r="FK581" s="6">
        <v>1746.9903521590438</v>
      </c>
      <c r="FL581" s="6">
        <v>893.91433563489386</v>
      </c>
      <c r="FM581" s="6">
        <v>1781.539370674828</v>
      </c>
      <c r="FN581" s="6">
        <v>0</v>
      </c>
      <c r="FO581" s="6">
        <v>0</v>
      </c>
      <c r="FP581" s="6">
        <v>0</v>
      </c>
      <c r="FQ581" s="6">
        <v>0</v>
      </c>
      <c r="FR581" s="6">
        <v>0</v>
      </c>
      <c r="FS581" s="6">
        <v>0</v>
      </c>
      <c r="FT581" s="7">
        <v>0.81475132904499192</v>
      </c>
      <c r="FU581" s="7">
        <v>6.8110264171423476E-2</v>
      </c>
      <c r="FV581" s="7">
        <v>0.1171384067835845</v>
      </c>
      <c r="FW581" s="6">
        <v>1100</v>
      </c>
      <c r="FX581" s="6">
        <v>2131.5393706748282</v>
      </c>
      <c r="FY581" s="6">
        <v>-2223.0908300335955</v>
      </c>
      <c r="FZ581" s="6">
        <v>2411.9063952864503</v>
      </c>
      <c r="GA581" s="6">
        <v>780.9968536126114</v>
      </c>
      <c r="GB581" s="6">
        <v>18914.003146387389</v>
      </c>
      <c r="GC581" s="7">
        <v>7.6138913542514425E-2</v>
      </c>
      <c r="GD581" s="7">
        <v>6.2066350476235238E-2</v>
      </c>
      <c r="GE581" s="7"/>
      <c r="GF581" s="7"/>
      <c r="GG581" s="7">
        <v>-0.18482747404087074</v>
      </c>
      <c r="GH581" s="42">
        <v>2.231992031574574</v>
      </c>
      <c r="GI581" s="6">
        <v>9604.9530870522212</v>
      </c>
      <c r="GJ581" s="14">
        <v>0.51074630601039572</v>
      </c>
      <c r="GK581" s="14">
        <v>0.50829519786160982</v>
      </c>
      <c r="GL581" s="14">
        <v>0.48925369398960422</v>
      </c>
      <c r="GM581" s="14">
        <v>0.49170480213839052</v>
      </c>
      <c r="GO581" s="5">
        <v>338.16872463277008</v>
      </c>
      <c r="GP581" s="5">
        <v>317.18282312950942</v>
      </c>
      <c r="GQ581" s="5">
        <v>527.27910984145694</v>
      </c>
      <c r="GR581" s="5">
        <v>404.20319246551543</v>
      </c>
      <c r="GS581" s="5">
        <v>334.50205195691484</v>
      </c>
      <c r="GT581" s="5">
        <v>289.18266033348181</v>
      </c>
      <c r="GU581" s="5">
        <v>254.29573314828914</v>
      </c>
      <c r="GV581" s="39" t="s">
        <v>392</v>
      </c>
      <c r="GW581" s="5">
        <v>482.65277777777777</v>
      </c>
      <c r="GX581" s="5">
        <v>361.98958333333331</v>
      </c>
      <c r="GY581" s="5">
        <v>289.59166666666664</v>
      </c>
      <c r="GZ581" s="5">
        <v>255.53408606924114</v>
      </c>
      <c r="HA581" s="5">
        <v>236.70336205047303</v>
      </c>
      <c r="HB581" s="39">
        <v>268.98790896481347</v>
      </c>
      <c r="HC581" s="5">
        <v>380.37584881396981</v>
      </c>
      <c r="HD581" s="5">
        <v>302.70956535590079</v>
      </c>
      <c r="HE581" s="5">
        <v>299.10005109919388</v>
      </c>
      <c r="HF581" s="5">
        <v>269.11214978663213</v>
      </c>
      <c r="HG581" s="5">
        <v>250.18417511950355</v>
      </c>
      <c r="HH581" s="39">
        <v>300.50648598581819</v>
      </c>
      <c r="HI581" s="16"/>
      <c r="HJ581" s="19" t="str">
        <f t="shared" si="1889"/>
        <v>On</v>
      </c>
      <c r="HK581" s="1" t="str">
        <f t="shared" si="1889"/>
        <v>On</v>
      </c>
      <c r="HL581" s="16"/>
      <c r="HM581" s="639">
        <f t="shared" si="1833"/>
        <v>5.1181272167489952E-2</v>
      </c>
      <c r="HN581" s="639">
        <f t="shared" si="1834"/>
        <v>4.2792051795134348E-3</v>
      </c>
      <c r="HO581" s="639">
        <f t="shared" si="1835"/>
        <v>7.4145241462331068E-3</v>
      </c>
      <c r="HP581" s="644">
        <f>(FT581*$GD581-HM581)/$JF581*INDEX(Input!$1:$1048576,$JG$93,$C581*2+6)</f>
        <v>-7.2297720108782473</v>
      </c>
      <c r="HQ581" s="644">
        <f>(FU581*$GD581-HN581)/$JF581*INDEX(Input!$1:$1048576,$JG$93,$C581*2+6)</f>
        <v>-0.61188773252664375</v>
      </c>
      <c r="HR581" s="644">
        <f>(FV581*$GD581-HO581)/$JF581*INDEX(Input!$1:$1048576,$JG$93,$C581*2+6)</f>
        <v>-1.7013866242279037</v>
      </c>
      <c r="HS581" s="644">
        <f t="shared" si="1857"/>
        <v>1.8741490510777958</v>
      </c>
      <c r="HT581" s="644">
        <f t="shared" si="1858"/>
        <v>-5.2450447478249407</v>
      </c>
      <c r="HU581" s="644">
        <f t="shared" si="1837"/>
        <v>-3.3808400461304777</v>
      </c>
      <c r="HV581" s="648">
        <f t="shared" si="1838"/>
        <v>0</v>
      </c>
      <c r="HW581" s="648">
        <f t="shared" si="1839"/>
        <v>0</v>
      </c>
      <c r="HX581" s="648">
        <f t="shared" si="1840"/>
        <v>0</v>
      </c>
      <c r="HY581" s="644">
        <f>INDEX(Input!$1:$1048576,HY$93,$C581*2+6)*INDEX(Input!$1:$1048576,$JG$93,$C581*2+6)</f>
        <v>345</v>
      </c>
      <c r="HZ581" s="644">
        <f>INDEX(Input!$1:$1048576,HZ$93,$C581*2+6)*INDEX(Input!$1:$1048576,$JG$93,$C581*2+6)</f>
        <v>299</v>
      </c>
      <c r="IA581" s="644">
        <f>INDEX(Input!$1:$1048576,IA$93,$C581*2+6)*INDEX(Input!$1:$1048576,$JG$93,$C581*2+6)</f>
        <v>98</v>
      </c>
      <c r="IB581" s="644">
        <f t="shared" si="1780"/>
        <v>339.64437704019963</v>
      </c>
      <c r="IC581" s="644">
        <f t="shared" si="1781"/>
        <v>293.14306751964841</v>
      </c>
      <c r="ID581" s="644">
        <f>IF(AND(INDEX(Input!$1:$1048576,IA$93,$C581*2+7)="TOS",Y581&lt;=INDEX(Y:Y,MATCH(C581*1000+2,A:A))),0,1)*MAX(IA581+HR581+HU581+HX581,0%)</f>
        <v>92.917773329641619</v>
      </c>
      <c r="IE581" s="128">
        <f t="shared" ref="IE581" si="1890">IB581/SUM($IB581:$ID581)</f>
        <v>0.46801975329316242</v>
      </c>
      <c r="IF581" s="128">
        <f t="shared" ref="IF581" si="1891">IC581/SUM($IB581:$ID581)</f>
        <v>0.40394234503669812</v>
      </c>
      <c r="IG581" s="128">
        <f t="shared" si="1784"/>
        <v>0.12803790167013948</v>
      </c>
      <c r="IH581" s="21"/>
      <c r="II581" s="19">
        <f t="shared" si="1841"/>
        <v>1200</v>
      </c>
      <c r="IJ581" s="19">
        <f t="shared" si="1842"/>
        <v>2231.5440334087361</v>
      </c>
      <c r="IK581" s="19">
        <f t="shared" si="1843"/>
        <v>-2048.0908300335955</v>
      </c>
      <c r="IL581" s="19">
        <f t="shared" si="1785"/>
        <v>-100</v>
      </c>
      <c r="IM581" s="19">
        <f t="shared" si="1786"/>
        <v>-100.00466273390794</v>
      </c>
      <c r="IN581" s="19">
        <f t="shared" si="1787"/>
        <v>-175</v>
      </c>
      <c r="IO581" s="39">
        <f t="shared" si="1844"/>
        <v>0</v>
      </c>
      <c r="IP581" s="39">
        <f t="shared" si="1845"/>
        <v>0</v>
      </c>
      <c r="IQ581" s="39">
        <f t="shared" si="1846"/>
        <v>0</v>
      </c>
      <c r="IR581" s="39">
        <v>0</v>
      </c>
      <c r="IS581" s="39">
        <v>0</v>
      </c>
      <c r="IT581" s="39">
        <v>0</v>
      </c>
      <c r="IU581" s="39">
        <v>0</v>
      </c>
      <c r="IV581" s="39">
        <v>0</v>
      </c>
      <c r="IW581" s="39">
        <v>0</v>
      </c>
      <c r="IX581" s="39">
        <f>INDEX(Input!$1:$1048576,IX$93,$C581*2+6)+INDEX(Input!$1:$1048576,IX$94,$C581*2+6)</f>
        <v>1600</v>
      </c>
      <c r="IY581" s="39">
        <f>INDEX(Input!$1:$1048576,IY$93,$C581*2+6)+INDEX(Input!$1:$1048576,IY$94,$C581*2+6)</f>
        <v>2503.5492916397525</v>
      </c>
      <c r="IZ581" s="39">
        <f>INDEX(Input!$1:$1048576,IZ$93,$C581*2+6)+INDEX(Input!$1:$1048576,IZ$94,$C581*2+6)</f>
        <v>5413.7109265464023</v>
      </c>
      <c r="JA581" s="19">
        <f t="shared" si="1788"/>
        <v>1500</v>
      </c>
      <c r="JB581" s="19">
        <f t="shared" si="1789"/>
        <v>2403.5446289058445</v>
      </c>
      <c r="JC581" s="19">
        <f t="shared" si="1790"/>
        <v>5238.7109265464023</v>
      </c>
      <c r="JD581" s="19">
        <f t="shared" si="1791"/>
        <v>2343.6766382317642</v>
      </c>
      <c r="JE581" s="21"/>
      <c r="JF581" s="1">
        <f t="shared" si="1847"/>
        <v>6.2875001493236493E-2</v>
      </c>
      <c r="JG581" s="15">
        <f>INDEX(Input!$1:$1048576,JG$93,$C581*2+6)/(1+VLOOKUP(C581*1000+INDEX(Input!$1:$1048576,JG$93+1,$C581*2+6),$A:$KK,$JK$92,FALSE))</f>
        <v>742</v>
      </c>
      <c r="JH581" s="1">
        <f t="shared" si="1792"/>
        <v>-1.2861248473898646E-2</v>
      </c>
      <c r="JI581" s="1">
        <f t="shared" si="1793"/>
        <v>-9.0993743165466608E-3</v>
      </c>
      <c r="JJ581" s="1">
        <f t="shared" ref="JJ581" si="1892">SUM(HV581:HX581)/SUM(HY581:IA581)</f>
        <v>0</v>
      </c>
      <c r="JK581" s="1">
        <f t="shared" ref="JK581" si="1893">SUM(JH581:JJ581)</f>
        <v>-2.1960622790445306E-2</v>
      </c>
      <c r="JL581" s="15">
        <f t="shared" si="1796"/>
        <v>-16.294782110510418</v>
      </c>
      <c r="JM581" s="15">
        <f t="shared" si="1797"/>
        <v>725.70521788948963</v>
      </c>
      <c r="JN581" s="21"/>
      <c r="JO581" s="19">
        <f>INDEX(Input!$1:$1048576,JO$93,$C581*2+6)</f>
        <v>5908.5</v>
      </c>
      <c r="JP581" s="19">
        <f>INDEX(Input!$1:$1048576,JP$93,$C581*2+6)</f>
        <v>2467.7963733178344</v>
      </c>
      <c r="JQ581" s="39">
        <f t="shared" si="1798"/>
        <v>3564.8233617682358</v>
      </c>
      <c r="JR581" s="39">
        <f t="shared" si="1799"/>
        <v>-124.11973508607025</v>
      </c>
      <c r="JS581" s="39">
        <f t="shared" si="1800"/>
        <v>1.7008183654104889</v>
      </c>
      <c r="JT581" s="39">
        <f t="shared" si="1801"/>
        <v>-0.13028654359134403</v>
      </c>
      <c r="JU581" s="385">
        <f>(JQ581*JM581-INDEX(Input!$1:$1048576,Input!A$18,$C581*2+6)*JL581*INDEX(Input!$1:$1048576,Input!A$19,$C581*2+6))/1000000</f>
        <v>2.5870109144895603</v>
      </c>
      <c r="JV581" s="39">
        <f t="shared" si="1802"/>
        <v>3.400882349139378E-2</v>
      </c>
      <c r="JW581" s="1">
        <f t="shared" si="1803"/>
        <v>1.3321110707785239E-2</v>
      </c>
      <c r="JX581" s="19">
        <f t="shared" si="1804"/>
        <v>7995.5990026590753</v>
      </c>
      <c r="JZ581" s="341"/>
      <c r="KA581" s="342"/>
      <c r="KB581" s="469">
        <f t="shared" si="1805"/>
        <v>2.4623520912331753</v>
      </c>
      <c r="KI581" s="473">
        <f t="shared" ref="KI581" si="1894">$JM581*IE581-$JG581*HY581/SUM($HY581:$IA581)</f>
        <v>-5.3556229598003711</v>
      </c>
      <c r="KJ581" s="473">
        <f t="shared" ref="KJ581" si="1895">$JM581*IF581-$JG581*HZ581/SUM($HY581:$IA581)</f>
        <v>-5.8569324803515883</v>
      </c>
      <c r="KK581" s="473">
        <f t="shared" si="1808"/>
        <v>-5.0822266703583807</v>
      </c>
      <c r="KN581" s="544">
        <f t="shared" si="1809"/>
        <v>5002</v>
      </c>
      <c r="KO581" s="541">
        <f t="shared" si="1848"/>
        <v>-9.1221747232274941E-2</v>
      </c>
      <c r="KP581" s="546">
        <f t="shared" si="1849"/>
        <v>-500.01610406720209</v>
      </c>
      <c r="KQ581" s="546">
        <f t="shared" si="1850"/>
        <v>-515.09580791994495</v>
      </c>
      <c r="KR581" s="548">
        <f t="shared" si="1851"/>
        <v>3.0715612592665535</v>
      </c>
      <c r="KS581" s="548">
        <f t="shared" si="1852"/>
        <v>2.9816396690630933</v>
      </c>
      <c r="KT581" s="473">
        <f t="shared" si="1810"/>
        <v>389.37465324503302</v>
      </c>
      <c r="KU581" s="663">
        <f t="shared" si="1854"/>
        <v>7.2587493407346892</v>
      </c>
    </row>
    <row r="582" spans="1:307" s="26" customFormat="1" ht="15" outlineLevel="1">
      <c r="A582" s="561">
        <f t="shared" si="1885"/>
        <v>5082</v>
      </c>
      <c r="B582" s="561">
        <f t="shared" si="1865"/>
        <v>82</v>
      </c>
      <c r="C582" s="561">
        <f t="shared" si="1866"/>
        <v>5</v>
      </c>
      <c r="D582" s="561" t="str">
        <f t="shared" si="1812"/>
        <v xml:space="preserve">-500 BC, </v>
      </c>
      <c r="E582" s="475">
        <f>INDEX(Input!$1:$1048576,E$93,$C582*2+MIN($B582,2)+5)
+INDEX(Scenarios!E$121:E$200,MATCH($B582,Scenarios!$B$121:$B$200,0))</f>
        <v>1250</v>
      </c>
      <c r="F582" s="475">
        <f>INDEX(Input!$1:$1048576,F$93,$C582*2+MIN($B582,2)+5)
+INDEX(Scenarios!F$121:F$200,MATCH($B582,Scenarios!$B$121:$B$200,0))</f>
        <v>0</v>
      </c>
      <c r="G582" s="475">
        <f>INDEX(Input!$1:$1048576,G$93,$C582*2+MIN($B582,2)+5)
+INDEX(Scenarios!G$121:G$200,MATCH($B582,Scenarios!$B$121:$B$200,0))</f>
        <v>0</v>
      </c>
      <c r="H582" s="475">
        <f>INDEX(Input!$1:$1048576,H$93,$C582*2+MIN($B582,2)+5)
+INDEX(Scenarios!H$121:H$200,MATCH($B582,Scenarios!$B$121:$B$200,0))</f>
        <v>0</v>
      </c>
      <c r="I582" s="476">
        <f>INDEX(Input!$1:$1048576,I$93,$C582*2+MIN($B582,2)+5)</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+INDEX(Scenarios!Q$121:Q$200,MATCH($B582,Scenarios!$B$121:$B$200,0))</f>
        <v>0</v>
      </c>
      <c r="R582" s="478">
        <f>IFERROR(MAX(0,INDEX(Input!$1:$1048576,R$93,$C582*2+MIN($B582,2)+5)
+INDEX(Scenarios!R$121:R$200,MATCH($B582,Scenarios!$B$121:$B$200,0)),),"Market")</f>
        <v>0</v>
      </c>
      <c r="S582" s="478">
        <f>IFERROR(MAX(0,INDEX(Input!$1:$1048576,S$93,$C582*2+MIN($B582,2)+5)
+INDEX(Scenarios!S$121:S$200,MATCH($B582,Scenarios!$B$121:$B$200,0)),),"Market")</f>
        <v>0</v>
      </c>
      <c r="T582" s="478">
        <f>IFERROR(MAX(0,INDEX(Input!$1:$1048576,T$93,$C582*2+MIN($B582,2)+5)
+INDEX(Scenarios!T$121:T$200,MATCH($B582,Scenarios!$B$121:$B$200,0)),),"Market")</f>
        <v>0</v>
      </c>
      <c r="U582" s="478">
        <f>IFERROR(MAX(0,INDEX(Input!$1:$1048576,U$93,$C582*2+MIN($B582,2)+5)
+INDEX(Scenarios!U$121:U$200,MATCH($B582,Scenarios!$B$121:$B$200,0)),),"Market")</f>
        <v>0</v>
      </c>
      <c r="V582" s="478">
        <f>IFERROR(MAX(0,INDEX(Input!$1:$1048576,V$93,$C582*2+MIN($B582,2)+5)
+INDEX(Scenarios!V$121:V$200,MATCH($B582,Scenarios!$B$121:$B$200,0)),),"Market")</f>
        <v>1.9E-2</v>
      </c>
      <c r="W582" s="863">
        <f>IFERROR(MAX(0,INDEX(Input!$1:$1048576,W$93,$C582*2+MIN($B582,2)+5)-0%,),"Market")</f>
        <v>3.9E-2</v>
      </c>
      <c r="X582" s="476" t="str">
        <f>INDEX(Input!$1:$1048576,X$93,$C582*2+MIN($B582,2)+5)</f>
        <v>Y</v>
      </c>
      <c r="Y582" s="475">
        <f>INDEX(Input!$1:$1048576,Y$93,$C582*2+MIN($B582,2)+5)
++INDEX(Scenarios!Y$121:Y$200,MATCH($B582,Scenarios!$B$121:$B$200,0))</f>
        <v>-1098.3618966787526</v>
      </c>
      <c r="Z582" s="477">
        <f>INDEX(Input!$1:$1048576,Z$93,$C582*2+MIN($B582,2)+5)
+INDEX(Scenarios!Z$121:Z$200,MATCH($B582,Scenarios!$B$121:$B$200,0))</f>
        <v>-500</v>
      </c>
      <c r="AA582" s="475">
        <f>INDEX(Input!$1:$1048576,AA$93,$C582*2+MIN($B582,2)+5)</f>
        <v>500</v>
      </c>
      <c r="AB582" s="476">
        <f>INDEX(Input!$1:$1048576,AB$93,$C582*2+MIN($B582,2)+5)</f>
        <v>0.43</v>
      </c>
      <c r="AC582" s="475">
        <f>INDEX(Input!$1:$1048576,AC$93,$C582*2+MIN($B582,2)+5)
+INDEX(Scenarios!AC$121:AC$200,MATCH($B582,Scenarios!$B$121:$B$200,0))</f>
        <v>0</v>
      </c>
      <c r="AD582" s="476">
        <f>INDEX(Input!$1:$1048576,AD$93,$C582*2+MIN($B582,2)+5)</f>
        <v>0.35</v>
      </c>
      <c r="AE582" s="475">
        <f>INDEX(Input!$1:$1048576,AE$93,$C582*2+MIN($B582,2)+5)
+INDEX(Scenarios!AE$121:AE$200,MATCH($B582,Scenarios!$B$121:$B$200,0))</f>
        <v>0</v>
      </c>
      <c r="AF582" s="476">
        <f>INDEX(Input!$1:$1048576,AF$93,$C582*2+MIN($B582,2)+5)</f>
        <v>1</v>
      </c>
      <c r="AG582" s="475">
        <f>INDEX(Input!$1:$1048576,AG$93,$C582*2+MIN($B582,2)+5)
+INDEX(Scenarios!AG$121:AG$200,MATCH($B582,Scenarios!$B$121:$B$200,0))</f>
        <v>0</v>
      </c>
      <c r="AH582" s="476">
        <f>INDEX(Input!$1:$1048576,AH$93,$C582*2+MIN($B582,2)+5)</f>
        <v>1</v>
      </c>
      <c r="AI582" s="475">
        <f>INDEX(Input!$1:$1048576,AI$93,$C582*2+MIN($B582,2)+5)
+INDEX(Scenarios!AI$121:AI$200,MATCH($B582,Scenarios!$B$121:$B$200,0))</f>
        <v>0</v>
      </c>
      <c r="AJ582" s="476">
        <f>INDEX(Input!$1:$1048576,AJ$93,$C582*2+MIN($B582,2)+5)</f>
        <v>0.35</v>
      </c>
      <c r="AK582" s="150">
        <f>ROUND(INDEX(Input!$1:$1048576,AK$93,$C581*2+MIN($B582,1)+5)+(Y582-VLOOKUP($C582*1000+1,$A:$HH,Y$92,FALSE)),0)</f>
        <v>4592</v>
      </c>
      <c r="AL582" s="150">
        <f>ROUND(INDEX(Input!$1:$1048576,AL$93,$C581*2+MIN($B582,1)+5)-(Y582-VLOOKUP($C582*1000+1,$A:$HH,Y$92,FALSE))/36,0)</f>
        <v>4743</v>
      </c>
      <c r="AM582" s="32" t="str">
        <f t="shared" si="1886"/>
        <v>std/std/std/std</v>
      </c>
      <c r="AN582" s="32" t="str">
        <f t="shared" si="1887"/>
        <v>$0 + 0/0/0/1.9/3.9</v>
      </c>
      <c r="AO582" s="32" t="str">
        <f t="shared" si="1888"/>
        <v>0/0/0/1.9/3.9</v>
      </c>
      <c r="AP582" s="32" t="str">
        <f t="shared" si="1755"/>
        <v>0/0.9/1.9/3.9</v>
      </c>
      <c r="AQ582" s="536">
        <f t="shared" si="1754"/>
        <v>0.46801975329316242</v>
      </c>
      <c r="AR582" s="32"/>
      <c r="AS582" s="302"/>
      <c r="AT582" s="3">
        <f t="shared" si="1867"/>
        <v>82</v>
      </c>
      <c r="AU582" s="41" t="s">
        <v>121</v>
      </c>
      <c r="AV582" s="41" t="s">
        <v>116</v>
      </c>
      <c r="AW582" s="41" t="str">
        <f>INDEX(Input!$1:$1048576,AW$93,$C582*2+6)</f>
        <v>Kia</v>
      </c>
      <c r="AX582" s="41" t="str">
        <f>INDEX(Input!$1:$1048576,AX$93,$C582*2+6)</f>
        <v>Kia-LR - R2</v>
      </c>
      <c r="AY582" s="41" t="str">
        <f>IF(LEN(D582)=0,"",INDEX(Input!$1:$1048576,AY$93,$C582*2+6))</f>
        <v>Compact Conventional/Sporty Car (43)</v>
      </c>
      <c r="AZ582" s="41" t="str">
        <f>INDEX(Input!$1:$1048576,AZ$93,$C582*2+6)</f>
        <v>Kia Forte</v>
      </c>
      <c r="BA582" s="3">
        <f>INDEX(Input!$1:$1048576,BA$93,$C582*2+6)</f>
        <v>2020</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19695</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756"/>
        <v>1250</v>
      </c>
      <c r="CJ582" s="16" t="str">
        <f>INDEX(Input!$1:$1048576,CJ$93,$C582*2+6)</f>
        <v>N</v>
      </c>
      <c r="CK582" s="1" t="str">
        <f t="shared" si="1757"/>
        <v>Market</v>
      </c>
      <c r="CL582" s="1" t="str">
        <f t="shared" si="1758"/>
        <v>Market</v>
      </c>
      <c r="CM582" s="1" t="str">
        <f t="shared" si="1759"/>
        <v>Market</v>
      </c>
      <c r="CN582" s="1" t="str">
        <f t="shared" si="1760"/>
        <v>Market</v>
      </c>
      <c r="CO582" s="1" t="str">
        <f t="shared" si="1761"/>
        <v>Market</v>
      </c>
      <c r="CP582" s="304">
        <f t="shared" si="1762"/>
        <v>215</v>
      </c>
      <c r="CQ582" s="1">
        <f t="shared" si="1763"/>
        <v>0</v>
      </c>
      <c r="CR582" s="1">
        <f t="shared" si="1764"/>
        <v>0</v>
      </c>
      <c r="CS582" s="1">
        <f t="shared" si="1765"/>
        <v>0</v>
      </c>
      <c r="CT582" s="1">
        <f t="shared" si="1766"/>
        <v>1.9E-2</v>
      </c>
      <c r="CU582" s="1">
        <f t="shared" si="1767"/>
        <v>3.9E-2</v>
      </c>
      <c r="CV582" s="304">
        <f t="shared" si="1768"/>
        <v>-1098.3618966787526</v>
      </c>
      <c r="CW582" s="20" t="s">
        <v>122</v>
      </c>
      <c r="CX582" s="20" t="s">
        <v>122</v>
      </c>
      <c r="CY582" s="20" t="s">
        <v>122</v>
      </c>
      <c r="CZ582" s="20" t="s">
        <v>122</v>
      </c>
      <c r="DA582" s="20" t="s">
        <v>122</v>
      </c>
      <c r="DB582" s="503">
        <f t="shared" si="1769"/>
        <v>-500</v>
      </c>
      <c r="DC582" s="127">
        <v>0</v>
      </c>
      <c r="DD582" s="127">
        <v>0</v>
      </c>
      <c r="DE582" s="127">
        <v>0</v>
      </c>
      <c r="DF582" s="127">
        <v>0</v>
      </c>
      <c r="DG582" s="127">
        <v>0</v>
      </c>
      <c r="DH582" s="127">
        <v>0</v>
      </c>
      <c r="DI582" s="127">
        <v>0</v>
      </c>
      <c r="DJ582" s="127">
        <v>0</v>
      </c>
      <c r="DK582" s="127">
        <v>0</v>
      </c>
      <c r="DL582" s="127">
        <v>0</v>
      </c>
      <c r="DM582" s="304">
        <f>INDEX(Input!$1:$1048576,DM$93,$C582*2+6)</f>
        <v>20731.578947368424</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4.3278340127009769E-2</v>
      </c>
      <c r="DZ582" s="7">
        <v>0</v>
      </c>
      <c r="EA582" s="7">
        <v>0.77147298891798211</v>
      </c>
      <c r="EB582" s="7">
        <v>0</v>
      </c>
      <c r="EC582" s="7">
        <v>0</v>
      </c>
      <c r="ED582" s="7">
        <v>0</v>
      </c>
      <c r="EE582" s="7">
        <v>0</v>
      </c>
      <c r="EF582" s="7">
        <v>0</v>
      </c>
      <c r="EG582" s="7">
        <v>0</v>
      </c>
      <c r="EH582" s="7">
        <v>1.4441795891283173E-2</v>
      </c>
      <c r="EI582" s="7">
        <v>1.8189564209248329E-2</v>
      </c>
      <c r="EJ582" s="7">
        <v>0.26751365375933261</v>
      </c>
      <c r="EK582" s="7">
        <v>0.6534719676730758</v>
      </c>
      <c r="EL582" s="7">
        <v>4.6383018467060395E-2</v>
      </c>
      <c r="EM582" s="7">
        <v>6.8110264171423476E-2</v>
      </c>
      <c r="EN582" s="7">
        <v>4.6802275675363013E-2</v>
      </c>
      <c r="EO582" s="7">
        <v>0.58365826844019286</v>
      </c>
      <c r="EP582" s="7">
        <v>0.24914914618977843</v>
      </c>
      <c r="EQ582" s="7">
        <v>7.3162461266831416E-2</v>
      </c>
      <c r="ER582" s="7">
        <v>4.7227848427834264E-2</v>
      </c>
      <c r="ES582" s="7">
        <v>0.1171384067835845</v>
      </c>
      <c r="ET582" s="7">
        <v>0.1852486709550081</v>
      </c>
      <c r="EU582" s="6">
        <v>1100</v>
      </c>
      <c r="EV582" s="6">
        <v>0</v>
      </c>
      <c r="EW582" s="6">
        <v>1100</v>
      </c>
      <c r="EX582" s="6">
        <v>0</v>
      </c>
      <c r="EY582" s="6">
        <v>2131.5393706748282</v>
      </c>
      <c r="EZ582" s="6">
        <v>-2223.0908300335955</v>
      </c>
      <c r="FA582" s="6">
        <v>0</v>
      </c>
      <c r="FB582" s="6">
        <v>0</v>
      </c>
      <c r="FC582" s="6">
        <v>0</v>
      </c>
      <c r="FD582" s="6">
        <v>0</v>
      </c>
      <c r="FE582" s="6">
        <v>0</v>
      </c>
      <c r="FF582" s="6">
        <v>0</v>
      </c>
      <c r="FG582" s="6">
        <v>0</v>
      </c>
      <c r="FH582" s="6">
        <v>1153.9859155932227</v>
      </c>
      <c r="FI582" s="6">
        <v>1531.4299904380618</v>
      </c>
      <c r="FJ582" s="6">
        <v>2070.7205842538219</v>
      </c>
      <c r="FK582" s="6">
        <v>1746.9903521590438</v>
      </c>
      <c r="FL582" s="6">
        <v>893.91433563489386</v>
      </c>
      <c r="FM582" s="6">
        <v>1781.539370674828</v>
      </c>
      <c r="FN582" s="6">
        <v>0</v>
      </c>
      <c r="FO582" s="6">
        <v>0</v>
      </c>
      <c r="FP582" s="6">
        <v>0</v>
      </c>
      <c r="FQ582" s="6">
        <v>0</v>
      </c>
      <c r="FR582" s="6">
        <v>0</v>
      </c>
      <c r="FS582" s="6">
        <v>0</v>
      </c>
      <c r="FT582" s="7">
        <v>0.81475132904499192</v>
      </c>
      <c r="FU582" s="7">
        <v>6.8110264171423476E-2</v>
      </c>
      <c r="FV582" s="7">
        <v>0.1171384067835845</v>
      </c>
      <c r="FW582" s="6">
        <v>1100</v>
      </c>
      <c r="FX582" s="6">
        <v>2131.5393706748282</v>
      </c>
      <c r="FY582" s="6">
        <v>-2223.0908300335955</v>
      </c>
      <c r="FZ582" s="6">
        <v>2411.9063952864503</v>
      </c>
      <c r="GA582" s="6">
        <v>780.9968536126114</v>
      </c>
      <c r="GB582" s="6">
        <v>18914.003146387389</v>
      </c>
      <c r="GC582" s="7">
        <v>7.6138913542514425E-2</v>
      </c>
      <c r="GD582" s="7">
        <v>6.2066350476235238E-2</v>
      </c>
      <c r="GE582" s="7"/>
      <c r="GF582" s="7"/>
      <c r="GG582" s="7">
        <v>-0.18482747404087074</v>
      </c>
      <c r="GH582" s="42">
        <v>2.231992031574574</v>
      </c>
      <c r="GI582" s="6">
        <v>9604.9530870522212</v>
      </c>
      <c r="GJ582" s="14">
        <v>0.51074630601039572</v>
      </c>
      <c r="GK582" s="14">
        <v>0.50829519786160982</v>
      </c>
      <c r="GL582" s="14">
        <v>0.48925369398960422</v>
      </c>
      <c r="GM582" s="14">
        <v>0.49170480213839052</v>
      </c>
      <c r="GO582" s="5">
        <v>338.16872463277008</v>
      </c>
      <c r="GP582" s="5">
        <v>317.18282312950942</v>
      </c>
      <c r="GQ582" s="5">
        <v>527.27910984145694</v>
      </c>
      <c r="GR582" s="5">
        <v>404.20319246551543</v>
      </c>
      <c r="GS582" s="5">
        <v>334.50205195691484</v>
      </c>
      <c r="GT582" s="5">
        <v>289.18266033348181</v>
      </c>
      <c r="GU582" s="5">
        <v>254.29573314828914</v>
      </c>
      <c r="GV582" s="39" t="s">
        <v>392</v>
      </c>
      <c r="GW582" s="5">
        <v>482.65277777777777</v>
      </c>
      <c r="GX582" s="5">
        <v>361.98958333333331</v>
      </c>
      <c r="GY582" s="5">
        <v>289.59166666666664</v>
      </c>
      <c r="GZ582" s="5">
        <v>255.53408606924114</v>
      </c>
      <c r="HA582" s="5">
        <v>236.70336205047303</v>
      </c>
      <c r="HB582" s="39">
        <v>268.98790896481347</v>
      </c>
      <c r="HC582" s="5">
        <v>380.37584881396981</v>
      </c>
      <c r="HD582" s="5">
        <v>302.70956535590079</v>
      </c>
      <c r="HE582" s="5">
        <v>299.10005109919388</v>
      </c>
      <c r="HF582" s="5">
        <v>269.11214978663213</v>
      </c>
      <c r="HG582" s="5">
        <v>250.18417511950355</v>
      </c>
      <c r="HH582" s="39">
        <v>300.50648598581819</v>
      </c>
      <c r="HI582" s="16"/>
      <c r="HJ582" s="19" t="str">
        <f t="shared" ref="HJ582:HK587" si="1896">HJ581</f>
        <v>On</v>
      </c>
      <c r="HK582" s="1" t="str">
        <f t="shared" si="1896"/>
        <v>On</v>
      </c>
      <c r="HL582" s="16"/>
      <c r="HM582" s="889">
        <f t="shared" ref="HM582:HO587" si="1897">VLOOKUP($C582*1000+1,$A:$HH,FT$92,FALSE)*$JF582</f>
        <v>5.1181272167489952E-2</v>
      </c>
      <c r="HN582" s="889">
        <f t="shared" si="1897"/>
        <v>4.2792051795134348E-3</v>
      </c>
      <c r="HO582" s="889">
        <f t="shared" si="1897"/>
        <v>7.4145241462331068E-3</v>
      </c>
      <c r="HP582" s="890">
        <f>(FT582*$GD582-HM582)/$JF582*INDEX(Input!$1:$1048576,$JG$93,$C582*2+6)</f>
        <v>-7.2297720108782473</v>
      </c>
      <c r="HQ582" s="890">
        <f>(FU582*$GD582-HN582)/$JF582*INDEX(Input!$1:$1048576,$JG$93,$C582*2+6)</f>
        <v>-0.61188773252664375</v>
      </c>
      <c r="HR582" s="890">
        <f>(FV582*$GD582-HO582)/$JF582*INDEX(Input!$1:$1048576,$JG$93,$C582*2+6)</f>
        <v>-1.7013866242279037</v>
      </c>
      <c r="HS582" s="890">
        <f t="shared" ref="HS582:HS587" si="1898">IF(AND(HJ582="On",HK582="On"),IL582/1000*INDEX(KG:KG,MATCH(C582*1000+3,$KF:$KF,0))*SUM(HY582:IA582)*1.1
+INDEX(HR:HR,MATCH(C582*1000+4,$KF:$KF,0))/INDEX(IM:IM,MATCH(C582*1000+4,$KF:$KF,0))*IM582*20%,0)</f>
        <v>1.8741490510777958</v>
      </c>
      <c r="HT582" s="890">
        <f t="shared" ref="HT582:HT587" si="1899">IF(AND(HJ582="On",HK582="On"),IM582/1000*INDEX(KG:KG,MATCH(C582*1000+4,$KF:$KF,0))*SUM(HY582:IA582)*1.1
+INDEX(HR:HR,MATCH(C582*1000+3,$KF:$KF,0))/INDEX(IL:IL,MATCH(C582*1000+3,$KF:$KF,0))*IL582*20%,0)</f>
        <v>-5.2450447478249407</v>
      </c>
      <c r="HU582" s="890">
        <f t="shared" ref="HU582:HU587" si="1900">IF(HJ582="On",IN582/1000*INDEX(KG:KG,MATCH(C582*1000+5,$KF:$KF,0))*SUM(HY582:IA582)*1.1
-INDEX(HR:HR,MATCH(C582*1000+3,$KF:$KF,0))/INDEX(IL:IL,MATCH(C582*1000+3,$KF:$KF,0))*IL582*20%
-INDEX(HR:HR,MATCH(C582*1000+4,$KF:$KF,0))/INDEX(IM:IM,MATCH(C582*1000+4,$KF:$KF,0))*IM582*20%,0)</f>
        <v>-3.3808400461304777</v>
      </c>
      <c r="HV582" s="891">
        <f t="shared" ref="HV582:HV587" si="1901">IL582/1000*0+IM582/1000*0+IN582/1000*0
+(CP582-INDEX(CP:CP,MATCH(C582*1000+1,A:A,0)))/1000*0+IF(FU582&gt;0,0,0)</f>
        <v>0</v>
      </c>
      <c r="HW582" s="891">
        <f t="shared" ref="HW582:HW587" si="1902">IL582/1000*0+IM582/1000*0+IN582/1000*0
+(CP582-INDEX(CP:CP,MATCH(C582*1000+1,A:A,0)))/1000*0+IF(FU582&gt;0,0,0)</f>
        <v>0</v>
      </c>
      <c r="HX582" s="891">
        <f t="shared" ref="HX582:HX587" si="1903">IL582/1000*0+IM582/1000*0+IN582/1000*0
+(CP582-INDEX(CP:CP,MATCH(C582*1000+1,A:A,0)))/1000*0+IF(FU582&gt;0,0,0)</f>
        <v>0</v>
      </c>
      <c r="HY582" s="890">
        <f>INDEX(Input!$1:$1048576,HY$93,$C582*2+6)*INDEX(Input!$1:$1048576,$JG$93,$C582*2+6)</f>
        <v>345</v>
      </c>
      <c r="HZ582" s="890">
        <f>INDEX(Input!$1:$1048576,HZ$93,$C582*2+6)*INDEX(Input!$1:$1048576,$JG$93,$C582*2+6)</f>
        <v>299</v>
      </c>
      <c r="IA582" s="890">
        <f>INDEX(Input!$1:$1048576,IA$93,$C582*2+6)*INDEX(Input!$1:$1048576,$JG$93,$C582*2+6)</f>
        <v>98</v>
      </c>
      <c r="IB582" s="890">
        <f t="shared" ref="IB582:IB587" si="1904">SUM(HP582:IA582)-IC582-ID582</f>
        <v>339.64437704019963</v>
      </c>
      <c r="IC582" s="890">
        <f t="shared" ref="IC582:IC587" si="1905">MAX(HZ582+HQ582+HT582+HW582,0%)</f>
        <v>293.14306751964841</v>
      </c>
      <c r="ID582" s="890">
        <f>IF(AND(INDEX(Input!$1:$1048576,IA$93,$C582*2+7)="TOS",Y582&lt;=INDEX(Y:Y,MATCH(C582*1000+2,A:A))),0,1)*MAX(IA582+HR582+HU582+HX582,0%)</f>
        <v>92.917773329641619</v>
      </c>
      <c r="IE582" s="892">
        <f t="shared" ref="IE582:IG587" si="1906">IB582/SUM($IB582:$ID582)</f>
        <v>0.46801975329316242</v>
      </c>
      <c r="IF582" s="892">
        <f t="shared" si="1906"/>
        <v>0.40394234503669812</v>
      </c>
      <c r="IG582" s="892">
        <f t="shared" si="1906"/>
        <v>0.12803790167013948</v>
      </c>
      <c r="IH582" s="21"/>
      <c r="II582" s="19">
        <f t="shared" ref="II582:II587" si="1907">VLOOKUP($C582*1000+1,$A:$HH,FW$92,FALSE)-VLOOKUP($C582*1000+1,$A:$HH,FA$92,FALSE)*VLOOKUP($C582*1000+1,$A:$HH,DZ$92,FALSE)/VLOOKUP($C582*1000+1,$A:$HH,FT$92,FALSE)</f>
        <v>1200</v>
      </c>
      <c r="IJ582" s="19">
        <f t="shared" ref="IJ582:IK587" si="1908">VLOOKUP($C582*1000+1,$A:$HH,FX$92,FALSE)</f>
        <v>2231.5440334087361</v>
      </c>
      <c r="IK582" s="19">
        <f t="shared" si="1908"/>
        <v>-2048.0908300335955</v>
      </c>
      <c r="IL582" s="19">
        <f t="shared" ref="IL582:IL587" si="1909">(FW582-FA582*DZ582/FT582)-II582</f>
        <v>-100</v>
      </c>
      <c r="IM582" s="19">
        <f t="shared" ref="IM582:IN587" si="1910">FX582-IJ582</f>
        <v>-100.00466273390794</v>
      </c>
      <c r="IN582" s="19">
        <f t="shared" si="1910"/>
        <v>-175</v>
      </c>
      <c r="IO582" s="39">
        <f t="shared" ref="IO582:IQ587" si="1911">(F582-VLOOKUP($C582*1000+1,$A:$HH,F$92,FALSE))*(1-$I582)</f>
        <v>0</v>
      </c>
      <c r="IP582" s="39">
        <f t="shared" si="1911"/>
        <v>0</v>
      </c>
      <c r="IQ582" s="39">
        <f t="shared" si="1911"/>
        <v>0</v>
      </c>
      <c r="IR582" s="39">
        <v>0</v>
      </c>
      <c r="IS582" s="39">
        <v>0</v>
      </c>
      <c r="IT582" s="39">
        <v>0</v>
      </c>
      <c r="IU582" s="39">
        <v>0</v>
      </c>
      <c r="IV582" s="39">
        <v>0</v>
      </c>
      <c r="IW582" s="39">
        <v>0</v>
      </c>
      <c r="IX582" s="39">
        <f>INDEX(Input!$1:$1048576,IX$93,$C582*2+6)+INDEX(Input!$1:$1048576,IX$94,$C582*2+6)</f>
        <v>1600</v>
      </c>
      <c r="IY582" s="39">
        <f>INDEX(Input!$1:$1048576,IY$93,$C582*2+6)+INDEX(Input!$1:$1048576,IY$94,$C582*2+6)</f>
        <v>2503.5492916397525</v>
      </c>
      <c r="IZ582" s="39">
        <f>INDEX(Input!$1:$1048576,IZ$93,$C582*2+6)+INDEX(Input!$1:$1048576,IZ$94,$C582*2+6)</f>
        <v>5413.7109265464023</v>
      </c>
      <c r="JA582" s="19">
        <f t="shared" ref="JA582:JC587" si="1912">(IL582+IO582+IR582+IU582+IX582)</f>
        <v>1500</v>
      </c>
      <c r="JB582" s="19">
        <f t="shared" si="1912"/>
        <v>2403.5446289058445</v>
      </c>
      <c r="JC582" s="19">
        <f t="shared" si="1912"/>
        <v>5238.7109265464023</v>
      </c>
      <c r="JD582" s="19">
        <f t="shared" ref="JD582:JD587" si="1913">SUMPRODUCT(IE582:IG582,JA582:JC582)</f>
        <v>2343.6766382317642</v>
      </c>
      <c r="JE582" s="21"/>
      <c r="JF582" s="1">
        <f t="shared" ref="JF582:JF587" si="1914">VLOOKUP($C582*1000+1,$A:$HH,GD$92,FALSE)</f>
        <v>6.2875001493236493E-2</v>
      </c>
      <c r="JG582" s="15">
        <f>INDEX(Input!$1:$1048576,JG$93,$C582*2+6)/(1+VLOOKUP(C582*1000+INDEX(Input!$1:$1048576,JG$93+1,$C582*2+6),$A:$KK,$JK$92,FALSE))</f>
        <v>742</v>
      </c>
      <c r="JH582" s="1">
        <f t="shared" ref="JH582:JH587" si="1915">SUM(HP582:HR582)/SUM(HY582:IA582)</f>
        <v>-1.2861248473898646E-2</v>
      </c>
      <c r="JI582" s="1">
        <f t="shared" ref="JI582:JI587" si="1916">SUM(HS582:HU582)/SUM(HY582:IA582)</f>
        <v>-9.0993743165466608E-3</v>
      </c>
      <c r="JJ582" s="1">
        <f t="shared" ref="JJ582:JJ587" si="1917">SUM(HV582:HX582)/SUM(HY582:IA582)</f>
        <v>0</v>
      </c>
      <c r="JK582" s="1">
        <f t="shared" ref="JK582:JK587" si="1918">SUM(JH582:JJ582)</f>
        <v>-2.1960622790445306E-2</v>
      </c>
      <c r="JL582" s="15">
        <f t="shared" ref="JL582:JL587" si="1919">JG582*JK582</f>
        <v>-16.294782110510418</v>
      </c>
      <c r="JM582" s="15">
        <f t="shared" ref="JM582:JM587" si="1920">JG582+JL582</f>
        <v>725.70521788948963</v>
      </c>
      <c r="JN582" s="21"/>
      <c r="JO582" s="19">
        <f>INDEX(Input!$1:$1048576,JO$93,$C582*2+6)</f>
        <v>5908.5</v>
      </c>
      <c r="JP582" s="19">
        <f>INDEX(Input!$1:$1048576,JP$93,$C582*2+6)</f>
        <v>2467.7963733178344</v>
      </c>
      <c r="JQ582" s="39">
        <f t="shared" ref="JQ582:JQ587" si="1921">JO582-JD582</f>
        <v>3564.8233617682358</v>
      </c>
      <c r="JR582" s="39">
        <f t="shared" ref="JR582:JR587" si="1922">JD582-JP582</f>
        <v>-124.11973508607025</v>
      </c>
      <c r="JS582" s="39">
        <f t="shared" ref="JS582:JS587" si="1923">JM582*JD582/1000000</f>
        <v>1.7008183654104889</v>
      </c>
      <c r="JT582" s="39">
        <f t="shared" ref="JT582:JT587" si="1924">(JD582*JM582-JP582*JG582)/1000000</f>
        <v>-0.13028654359134403</v>
      </c>
      <c r="JU582" s="385">
        <f>(JQ582*JM582-INDEX(Input!$1:$1048576,Input!A$18,$C582*2+6)*JL582*INDEX(Input!$1:$1048576,Input!A$19,$C582*2+6))/1000000</f>
        <v>2.5870109144895603</v>
      </c>
      <c r="JV582" s="39">
        <f t="shared" ref="JV582:JV587" si="1925">JU582-(JO582-JP582)*JG582/1000000</f>
        <v>3.400882349139378E-2</v>
      </c>
      <c r="JW582" s="1">
        <f t="shared" ref="JW582:JW587" si="1926">JV582/(JU582-JV582)</f>
        <v>1.3321110707785239E-2</v>
      </c>
      <c r="JX582" s="19">
        <f t="shared" ref="JX582:JX587" si="1927">IF(JL582=0,0,JT582/JL582)*1000000</f>
        <v>7995.5990026590753</v>
      </c>
      <c r="JZ582" s="341"/>
      <c r="KA582" s="342"/>
      <c r="KB582" s="469">
        <f t="shared" ref="KB582:KB587" si="1928">KB581</f>
        <v>2.4623520912331753</v>
      </c>
      <c r="KI582" s="473">
        <f t="shared" ref="KI582:KK587" si="1929">$JM582*IE582-$JG582*HY582/SUM($HY582:$IA582)</f>
        <v>-5.3556229598003711</v>
      </c>
      <c r="KJ582" s="473">
        <f t="shared" si="1929"/>
        <v>-5.8569324803515883</v>
      </c>
      <c r="KK582" s="473">
        <f t="shared" si="1929"/>
        <v>-5.0822266703583807</v>
      </c>
      <c r="KN582" s="888">
        <f t="shared" ref="KN582:KN587" si="1930">KM582+(KN581-KM581)</f>
        <v>5002</v>
      </c>
      <c r="KO582" s="893">
        <f t="shared" ref="KO582:KO587" si="1931">JM582/INDEX(JM:JM,MATCH(KN582,A:A,0))-1</f>
        <v>-9.1221747232274941E-2</v>
      </c>
      <c r="KP582" s="894">
        <f t="shared" ref="KP582:KP587" si="1932">(IL582-INDEX(IL:IL,MATCH(KN582,A:A,0)))*IE582
+(IM582-IF(HN582=0,INDEX(IX:IX,MATCH(KN582,A:A,0)),INDEX(IM:IM,MATCH(KN582,A:A,0))))*IF582
+(IN582-INDEX(IN:IN,MATCH(KN582,A:A,0)))*IG582</f>
        <v>-500.01610406720209</v>
      </c>
      <c r="KQ582" s="894">
        <f t="shared" ref="KQ582:KQ587" si="1933">JD582-INDEX(JD:JD,MATCH(KN582,A:A,0))</f>
        <v>-515.09580791994495</v>
      </c>
      <c r="KR582" s="895">
        <f t="shared" ref="KR582:KR587" si="1934">KO582/(KP582/(BX582-INDEX(JD:JD,MATCH(KN582,A:A,0))))</f>
        <v>3.0715612592665535</v>
      </c>
      <c r="KS582" s="895">
        <f t="shared" ref="KS582:KS587" si="1935">KO582/(KQ582/(BX582-INDEX(JD:JD,MATCH(KN582,A:A,0))))</f>
        <v>2.9816396690630933</v>
      </c>
      <c r="KT582" s="896">
        <f t="shared" ref="KT582:KT587" si="1936">KT581</f>
        <v>389.37465324503302</v>
      </c>
      <c r="KU582" s="663">
        <f t="shared" ref="KU582:KU587" si="1937">IF(D582="",0,IFERROR((JM582/KT582-1)/(JD582/BX582)+B582*10^-6,0))</f>
        <v>7.2587503407346894</v>
      </c>
    </row>
    <row r="583" spans="1:307" s="26" customFormat="1" ht="15" outlineLevel="1">
      <c r="A583" s="561">
        <f t="shared" si="1885"/>
        <v>5083</v>
      </c>
      <c r="B583" s="561">
        <f t="shared" si="1865"/>
        <v>83</v>
      </c>
      <c r="C583" s="561">
        <f t="shared" si="1866"/>
        <v>5</v>
      </c>
      <c r="D583" s="561" t="str">
        <f t="shared" si="1812"/>
        <v xml:space="preserve">-1000 Event (RBC), -500 Event (L), </v>
      </c>
      <c r="E583" s="475">
        <f>INDEX(Input!$1:$1048576,E$93,$C583*2+MIN($B583,2)+5)
+INDEX(Scenarios!E$121:E$200,MATCH($B583,Scenarios!$B$121:$B$200,0))</f>
        <v>1250</v>
      </c>
      <c r="F583" s="475">
        <f>INDEX(Input!$1:$1048576,F$93,$C583*2+MIN($B583,2)+5)
+INDEX(Scenarios!F$121:F$200,MATCH($B583,Scenarios!$B$121:$B$200,0))</f>
        <v>0</v>
      </c>
      <c r="G583" s="475">
        <f>INDEX(Input!$1:$1048576,G$93,$C583*2+MIN($B583,2)+5)
+INDEX(Scenarios!G$121:G$200,MATCH($B583,Scenarios!$B$121:$B$200,0))</f>
        <v>0</v>
      </c>
      <c r="H583" s="475">
        <f>INDEX(Input!$1:$1048576,H$93,$C583*2+MIN($B583,2)+5)
+INDEX(Scenarios!H$121:H$200,MATCH($B583,Scenarios!$B$121:$B$200,0))</f>
        <v>0</v>
      </c>
      <c r="I583" s="476">
        <f>INDEX(Input!$1:$1048576,I$93,$C583*2+MIN($B583,2)+5)</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+INDEX(Scenarios!Q$121:Q$200,MATCH($B583,Scenarios!$B$121:$B$200,0))</f>
        <v>0</v>
      </c>
      <c r="R583" s="478">
        <f>IFERROR(MAX(0,INDEX(Input!$1:$1048576,R$93,$C583*2+MIN($B583,2)+5)
+INDEX(Scenarios!R$121:R$200,MATCH($B583,Scenarios!$B$121:$B$200,0)),),"Market")</f>
        <v>0</v>
      </c>
      <c r="S583" s="478">
        <f>IFERROR(MAX(0,INDEX(Input!$1:$1048576,S$93,$C583*2+MIN($B583,2)+5)
+INDEX(Scenarios!S$121:S$200,MATCH($B583,Scenarios!$B$121:$B$200,0)),),"Market")</f>
        <v>0</v>
      </c>
      <c r="T583" s="478">
        <f>IFERROR(MAX(0,INDEX(Input!$1:$1048576,T$93,$C583*2+MIN($B583,2)+5)
+INDEX(Scenarios!T$121:T$200,MATCH($B583,Scenarios!$B$121:$B$200,0)),),"Market")</f>
        <v>0</v>
      </c>
      <c r="U583" s="478">
        <f>IFERROR(MAX(0,INDEX(Input!$1:$1048576,U$93,$C583*2+MIN($B583,2)+5)
+INDEX(Scenarios!U$121:U$200,MATCH($B583,Scenarios!$B$121:$B$200,0)),),"Market")</f>
        <v>0</v>
      </c>
      <c r="V583" s="478">
        <f>IFERROR(MAX(0,INDEX(Input!$1:$1048576,V$93,$C583*2+MIN($B583,2)+5)
+INDEX(Scenarios!V$121:V$200,MATCH($B583,Scenarios!$B$121:$B$200,0)),),"Market")</f>
        <v>1.9E-2</v>
      </c>
      <c r="W583" s="863">
        <f>IFERROR(MAX(0,INDEX(Input!$1:$1048576,W$93,$C583*2+MIN($B583,2)+5)-0%,),"Market")</f>
        <v>3.9E-2</v>
      </c>
      <c r="X583" s="476" t="str">
        <f>INDEX(Input!$1:$1048576,X$93,$C583*2+MIN($B583,2)+5)</f>
        <v>Y</v>
      </c>
      <c r="Y583" s="475">
        <f>INDEX(Input!$1:$1048576,Y$93,$C583*2+MIN($B583,2)+5)
++INDEX(Scenarios!Y$121:Y$200,MATCH($B583,Scenarios!$B$121:$B$200,0))</f>
        <v>-1098.3618966787526</v>
      </c>
      <c r="Z583" s="477">
        <f>INDEX(Input!$1:$1048576,Z$93,$C583*2+MIN($B583,2)+5)
+INDEX(Scenarios!Z$121:Z$200,MATCH($B583,Scenarios!$B$121:$B$200,0))</f>
        <v>0</v>
      </c>
      <c r="AA583" s="475">
        <f>INDEX(Input!$1:$1048576,AA$93,$C583*2+MIN($B583,2)+5)</f>
        <v>500</v>
      </c>
      <c r="AB583" s="476">
        <f>INDEX(Input!$1:$1048576,AB$93,$C583*2+MIN($B583,2)+5)</f>
        <v>0.43</v>
      </c>
      <c r="AC583" s="475">
        <f>INDEX(Input!$1:$1048576,AC$93,$C583*2+MIN($B583,2)+5)
+INDEX(Scenarios!AC$121:AC$200,MATCH($B583,Scenarios!$B$121:$B$200,0))</f>
        <v>-1000</v>
      </c>
      <c r="AD583" s="476">
        <f>INDEX(Input!$1:$1048576,AD$93,$C583*2+MIN($B583,2)+5)</f>
        <v>0.35</v>
      </c>
      <c r="AE583" s="475">
        <f>INDEX(Input!$1:$1048576,AE$93,$C583*2+MIN($B583,2)+5)
+INDEX(Scenarios!AE$121:AE$200,MATCH($B583,Scenarios!$B$121:$B$200,0))</f>
        <v>0</v>
      </c>
      <c r="AF583" s="476">
        <f>INDEX(Input!$1:$1048576,AF$93,$C583*2+MIN($B583,2)+5)</f>
        <v>1</v>
      </c>
      <c r="AG583" s="475">
        <f>INDEX(Input!$1:$1048576,AG$93,$C583*2+MIN($B583,2)+5)
+INDEX(Scenarios!AG$121:AG$200,MATCH($B583,Scenarios!$B$121:$B$200,0))</f>
        <v>0</v>
      </c>
      <c r="AH583" s="476">
        <f>INDEX(Input!$1:$1048576,AH$93,$C583*2+MIN($B583,2)+5)</f>
        <v>1</v>
      </c>
      <c r="AI583" s="475">
        <f>INDEX(Input!$1:$1048576,AI$93,$C583*2+MIN($B583,2)+5)
+INDEX(Scenarios!AI$121:AI$200,MATCH($B583,Scenarios!$B$121:$B$200,0))</f>
        <v>-500</v>
      </c>
      <c r="AJ583" s="476">
        <f>INDEX(Input!$1:$1048576,AJ$93,$C583*2+MIN($B583,2)+5)</f>
        <v>0.35</v>
      </c>
      <c r="AK583" s="150">
        <f>ROUND(INDEX(Input!$1:$1048576,AK$93,$C582*2+MIN($B583,1)+5)+(Y583-VLOOKUP($C583*1000+1,$A:$HH,Y$92,FALSE)),0)</f>
        <v>4592</v>
      </c>
      <c r="AL583" s="150">
        <f>ROUND(INDEX(Input!$1:$1048576,AL$93,$C582*2+MIN($B583,1)+5)-(Y583-VLOOKUP($C583*1000+1,$A:$HH,Y$92,FALSE))/36,0)</f>
        <v>4743</v>
      </c>
      <c r="AM583" s="32" t="str">
        <f t="shared" si="1886"/>
        <v>std/std/std/std</v>
      </c>
      <c r="AN583" s="32" t="str">
        <f t="shared" si="1887"/>
        <v>$0 + 0/0/0/1.9/3.9</v>
      </c>
      <c r="AO583" s="32" t="str">
        <f t="shared" si="1888"/>
        <v>0/0/0/1.9/3.9</v>
      </c>
      <c r="AP583" s="32" t="str">
        <f t="shared" si="1755"/>
        <v>0/0.9/1.9/3.9</v>
      </c>
      <c r="AQ583" s="536">
        <f t="shared" si="1754"/>
        <v>-849.53822163420477</v>
      </c>
      <c r="AR583" s="32"/>
      <c r="AS583" s="302"/>
      <c r="AT583" s="3">
        <f t="shared" si="1867"/>
        <v>83</v>
      </c>
      <c r="AU583" s="41" t="s">
        <v>121</v>
      </c>
      <c r="AV583" s="41" t="s">
        <v>116</v>
      </c>
      <c r="AW583" s="41" t="str">
        <f>INDEX(Input!$1:$1048576,AW$93,$C583*2+6)</f>
        <v>Kia</v>
      </c>
      <c r="AX583" s="41" t="str">
        <f>INDEX(Input!$1:$1048576,AX$93,$C583*2+6)</f>
        <v>Kia-LR - R2</v>
      </c>
      <c r="AY583" s="41" t="str">
        <f>IF(LEN(D583)=0,"",INDEX(Input!$1:$1048576,AY$93,$C583*2+6))</f>
        <v>Compact Conventional/Sporty Car (43)</v>
      </c>
      <c r="AZ583" s="41" t="str">
        <f>INDEX(Input!$1:$1048576,AZ$93,$C583*2+6)</f>
        <v>Kia Forte</v>
      </c>
      <c r="BA583" s="3">
        <f>INDEX(Input!$1:$1048576,BA$93,$C583*2+6)</f>
        <v>2020</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19695</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756"/>
        <v>900</v>
      </c>
      <c r="CJ583" s="16" t="str">
        <f>INDEX(Input!$1:$1048576,CJ$93,$C583*2+6)</f>
        <v>N</v>
      </c>
      <c r="CK583" s="1" t="str">
        <f t="shared" si="1757"/>
        <v>Market</v>
      </c>
      <c r="CL583" s="1" t="str">
        <f t="shared" si="1758"/>
        <v>Market</v>
      </c>
      <c r="CM583" s="1" t="str">
        <f t="shared" si="1759"/>
        <v>Market</v>
      </c>
      <c r="CN583" s="1" t="str">
        <f t="shared" si="1760"/>
        <v>Market</v>
      </c>
      <c r="CO583" s="1" t="str">
        <f t="shared" si="1761"/>
        <v>Market</v>
      </c>
      <c r="CP583" s="304">
        <f t="shared" si="1762"/>
        <v>-135</v>
      </c>
      <c r="CQ583" s="1">
        <f t="shared" si="1763"/>
        <v>0</v>
      </c>
      <c r="CR583" s="1">
        <f t="shared" si="1764"/>
        <v>0</v>
      </c>
      <c r="CS583" s="1">
        <f t="shared" si="1765"/>
        <v>0</v>
      </c>
      <c r="CT583" s="1">
        <f t="shared" si="1766"/>
        <v>1.9E-2</v>
      </c>
      <c r="CU583" s="1">
        <f t="shared" si="1767"/>
        <v>3.9E-2</v>
      </c>
      <c r="CV583" s="304">
        <f t="shared" si="1768"/>
        <v>-1273.3618966787526</v>
      </c>
      <c r="CW583" s="20" t="s">
        <v>122</v>
      </c>
      <c r="CX583" s="20" t="s">
        <v>122</v>
      </c>
      <c r="CY583" s="20" t="s">
        <v>122</v>
      </c>
      <c r="CZ583" s="20" t="s">
        <v>122</v>
      </c>
      <c r="DA583" s="20" t="s">
        <v>122</v>
      </c>
      <c r="DB583" s="503">
        <f t="shared" si="1769"/>
        <v>0</v>
      </c>
      <c r="DC583" s="127">
        <v>0</v>
      </c>
      <c r="DD583" s="127">
        <v>0</v>
      </c>
      <c r="DE583" s="127">
        <v>0</v>
      </c>
      <c r="DF583" s="127">
        <v>0</v>
      </c>
      <c r="DG583" s="127">
        <v>0</v>
      </c>
      <c r="DH583" s="127">
        <v>0</v>
      </c>
      <c r="DI583" s="127">
        <v>0</v>
      </c>
      <c r="DJ583" s="127">
        <v>0</v>
      </c>
      <c r="DK583" s="127">
        <v>0</v>
      </c>
      <c r="DL583" s="127">
        <v>0</v>
      </c>
      <c r="DM583" s="304">
        <f>INDEX(Input!$1:$1048576,DM$93,$C583*2+6)</f>
        <v>20731.578947368424</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4.3247119211766938E-2</v>
      </c>
      <c r="DZ583" s="7">
        <v>0</v>
      </c>
      <c r="EA583" s="7">
        <v>0.76912703093412849</v>
      </c>
      <c r="EB583" s="7">
        <v>0</v>
      </c>
      <c r="EC583" s="7">
        <v>0</v>
      </c>
      <c r="ED583" s="7">
        <v>0</v>
      </c>
      <c r="EE583" s="7">
        <v>0</v>
      </c>
      <c r="EF583" s="7">
        <v>0</v>
      </c>
      <c r="EG583" s="7">
        <v>0</v>
      </c>
      <c r="EH583" s="7">
        <v>1.4442027104537411E-2</v>
      </c>
      <c r="EI583" s="7">
        <v>1.818891135696446E-2</v>
      </c>
      <c r="EJ583" s="7">
        <v>0.26752422081370458</v>
      </c>
      <c r="EK583" s="7">
        <v>0.65346260353819041</v>
      </c>
      <c r="EL583" s="7">
        <v>4.638223718660308E-2</v>
      </c>
      <c r="EM583" s="7">
        <v>6.7917075787123582E-2</v>
      </c>
      <c r="EN583" s="7">
        <v>4.7178516880651646E-2</v>
      </c>
      <c r="EO583" s="7">
        <v>0.5829640748581455</v>
      </c>
      <c r="EP583" s="7">
        <v>0.25039112294350002</v>
      </c>
      <c r="EQ583" s="7">
        <v>7.2546899769533171E-2</v>
      </c>
      <c r="ER583" s="7">
        <v>4.6919385548169705E-2</v>
      </c>
      <c r="ES583" s="7">
        <v>0.11970877406698098</v>
      </c>
      <c r="ET583" s="7">
        <v>0.1876258498541046</v>
      </c>
      <c r="EU583" s="6">
        <v>1250</v>
      </c>
      <c r="EV583" s="6">
        <v>0</v>
      </c>
      <c r="EW583" s="6">
        <v>1250</v>
      </c>
      <c r="EX583" s="6">
        <v>0</v>
      </c>
      <c r="EY583" s="6">
        <v>2281.5434618964464</v>
      </c>
      <c r="EZ583" s="6">
        <v>-1898.0908300335955</v>
      </c>
      <c r="FA583" s="6">
        <v>0</v>
      </c>
      <c r="FB583" s="6">
        <v>0</v>
      </c>
      <c r="FC583" s="6">
        <v>0</v>
      </c>
      <c r="FD583" s="6">
        <v>0</v>
      </c>
      <c r="FE583" s="6">
        <v>0</v>
      </c>
      <c r="FF583" s="6">
        <v>0</v>
      </c>
      <c r="FG583" s="6">
        <v>0</v>
      </c>
      <c r="FH583" s="6">
        <v>1153.985931965366</v>
      </c>
      <c r="FI583" s="6">
        <v>1531.4299904380614</v>
      </c>
      <c r="FJ583" s="6">
        <v>2070.7205842538224</v>
      </c>
      <c r="FK583" s="6">
        <v>1746.9903521590427</v>
      </c>
      <c r="FL583" s="6">
        <v>893.91433563489397</v>
      </c>
      <c r="FM583" s="6">
        <v>1781.5434618964466</v>
      </c>
      <c r="FN583" s="6">
        <v>0</v>
      </c>
      <c r="FO583" s="6">
        <v>0</v>
      </c>
      <c r="FP583" s="6">
        <v>0</v>
      </c>
      <c r="FQ583" s="6">
        <v>0</v>
      </c>
      <c r="FR583" s="6">
        <v>0</v>
      </c>
      <c r="FS583" s="6">
        <v>0</v>
      </c>
      <c r="FT583" s="7">
        <v>0.81237415014589542</v>
      </c>
      <c r="FU583" s="7">
        <v>6.7917075787123582E-2</v>
      </c>
      <c r="FV583" s="7">
        <v>0.11970877406698098</v>
      </c>
      <c r="FW583" s="6">
        <v>1250</v>
      </c>
      <c r="FX583" s="6">
        <v>2281.5434618964464</v>
      </c>
      <c r="FY583" s="6">
        <v>-1898.0908300335955</v>
      </c>
      <c r="FZ583" s="6">
        <v>2411.9063952864503</v>
      </c>
      <c r="GA583" s="6">
        <v>943.20532156450656</v>
      </c>
      <c r="GB583" s="6">
        <v>18751.794678435494</v>
      </c>
      <c r="GC583" s="7">
        <v>7.6138913542514425E-2</v>
      </c>
      <c r="GD583" s="7">
        <v>6.3327192905729607E-2</v>
      </c>
      <c r="GE583" s="7"/>
      <c r="GF583" s="7"/>
      <c r="GG583" s="7">
        <v>-0.16826771017202671</v>
      </c>
      <c r="GH583" s="42">
        <v>2.2564377538308262</v>
      </c>
      <c r="GI583" s="6">
        <v>9671.564863751375</v>
      </c>
      <c r="GJ583" s="14">
        <v>0.5107463060103955</v>
      </c>
      <c r="GK583" s="14">
        <v>0.50829519786160993</v>
      </c>
      <c r="GL583" s="14">
        <v>0.48925369398960444</v>
      </c>
      <c r="GM583" s="14">
        <v>0.49170480213839041</v>
      </c>
      <c r="GO583" s="5">
        <v>338.16872463277008</v>
      </c>
      <c r="GP583" s="5">
        <v>314.32110928815564</v>
      </c>
      <c r="GQ583" s="5">
        <v>527.27910984145694</v>
      </c>
      <c r="GR583" s="5">
        <v>404.20319246551543</v>
      </c>
      <c r="GS583" s="5">
        <v>334.50205195691484</v>
      </c>
      <c r="GT583" s="5">
        <v>289.18266033348181</v>
      </c>
      <c r="GU583" s="5">
        <v>254.29573314828914</v>
      </c>
      <c r="GV583" s="39" t="s">
        <v>392</v>
      </c>
      <c r="GW583" s="5">
        <v>478.48611111111109</v>
      </c>
      <c r="GX583" s="5">
        <v>358.86458333333331</v>
      </c>
      <c r="GY583" s="5">
        <v>287.09166666666664</v>
      </c>
      <c r="GZ583" s="5">
        <v>253.32809988695078</v>
      </c>
      <c r="HA583" s="5">
        <v>234.65993859171959</v>
      </c>
      <c r="HB583" s="39">
        <v>266.66613253978761</v>
      </c>
      <c r="HC583" s="5">
        <v>366.15709881396975</v>
      </c>
      <c r="HD583" s="5">
        <v>293.00470424478971</v>
      </c>
      <c r="HE583" s="5">
        <v>290.08963443252719</v>
      </c>
      <c r="HF583" s="5">
        <v>261.59652478663213</v>
      </c>
      <c r="HG583" s="5">
        <v>243.95500845283692</v>
      </c>
      <c r="HH583" s="39">
        <v>291.14607048810325</v>
      </c>
      <c r="HI583" s="16"/>
      <c r="HJ583" s="19" t="str">
        <f t="shared" si="1896"/>
        <v>On</v>
      </c>
      <c r="HK583" s="1" t="str">
        <f t="shared" si="1896"/>
        <v>On</v>
      </c>
      <c r="HL583" s="16"/>
      <c r="HM583" s="889">
        <f t="shared" si="1897"/>
        <v>5.1181272167489952E-2</v>
      </c>
      <c r="HN583" s="889">
        <f t="shared" si="1897"/>
        <v>4.2792051795134348E-3</v>
      </c>
      <c r="HO583" s="889">
        <f t="shared" si="1897"/>
        <v>7.4145241462331068E-3</v>
      </c>
      <c r="HP583" s="890">
        <f>(FT583*$GD583-HM583)/$JF583*INDEX(Input!$1:$1048576,$JG$93,$C583*2+6)</f>
        <v>3.116722693647128</v>
      </c>
      <c r="HQ583" s="890">
        <f>(FU583*$GD583-HN583)/$JF583*INDEX(Input!$1:$1048576,$JG$93,$C583*2+6)</f>
        <v>0.25717843833738974</v>
      </c>
      <c r="HR583" s="890">
        <f>(FV583*$GD583-HO583)/$JF583*INDEX(Input!$1:$1048576,$JG$93,$C583*2+6)</f>
        <v>1.9624968020335227</v>
      </c>
      <c r="HS583" s="890">
        <f t="shared" si="1898"/>
        <v>-0.93707391737147205</v>
      </c>
      <c r="HT583" s="890">
        <f t="shared" si="1899"/>
        <v>2.6223635978618502</v>
      </c>
      <c r="HU583" s="890">
        <f t="shared" si="1900"/>
        <v>2.8100881733233471</v>
      </c>
      <c r="HV583" s="891">
        <f t="shared" si="1901"/>
        <v>0</v>
      </c>
      <c r="HW583" s="891">
        <f t="shared" si="1902"/>
        <v>0</v>
      </c>
      <c r="HX583" s="891">
        <f t="shared" si="1903"/>
        <v>0</v>
      </c>
      <c r="HY583" s="890">
        <f>INDEX(Input!$1:$1048576,HY$93,$C583*2+6)*INDEX(Input!$1:$1048576,$JG$93,$C583*2+6)</f>
        <v>345</v>
      </c>
      <c r="HZ583" s="890">
        <f>INDEX(Input!$1:$1048576,HZ$93,$C583*2+6)*INDEX(Input!$1:$1048576,$JG$93,$C583*2+6)</f>
        <v>299</v>
      </c>
      <c r="IA583" s="890">
        <f>INDEX(Input!$1:$1048576,IA$93,$C583*2+6)*INDEX(Input!$1:$1048576,$JG$93,$C583*2+6)</f>
        <v>98</v>
      </c>
      <c r="IB583" s="890">
        <f t="shared" si="1904"/>
        <v>347.17964877627554</v>
      </c>
      <c r="IC583" s="890">
        <f t="shared" si="1905"/>
        <v>301.87954203619927</v>
      </c>
      <c r="ID583" s="890">
        <f>IF(AND(INDEX(Input!$1:$1048576,IA$93,$C583*2+7)="TOS",Y583&lt;=INDEX(Y:Y,MATCH(C583*1000+2,A:A))),0,1)*MAX(IA583+HR583+HU583+HX583,0%)</f>
        <v>102.77258497535688</v>
      </c>
      <c r="IE583" s="892">
        <f t="shared" si="1906"/>
        <v>0.46177836579528975</v>
      </c>
      <c r="IF583" s="892">
        <f t="shared" si="1906"/>
        <v>0.40152538341421506</v>
      </c>
      <c r="IG583" s="892">
        <f t="shared" si="1906"/>
        <v>0.13669625079049533</v>
      </c>
      <c r="IH583" s="21"/>
      <c r="II583" s="19">
        <f t="shared" si="1907"/>
        <v>1200</v>
      </c>
      <c r="IJ583" s="19">
        <f t="shared" si="1908"/>
        <v>2231.5440334087361</v>
      </c>
      <c r="IK583" s="19">
        <f t="shared" si="1908"/>
        <v>-2048.0908300335955</v>
      </c>
      <c r="IL583" s="19">
        <f t="shared" si="1909"/>
        <v>50</v>
      </c>
      <c r="IM583" s="19">
        <f t="shared" si="1910"/>
        <v>49.999428487710247</v>
      </c>
      <c r="IN583" s="19">
        <f t="shared" si="1910"/>
        <v>150</v>
      </c>
      <c r="IO583" s="39">
        <f t="shared" si="1911"/>
        <v>0</v>
      </c>
      <c r="IP583" s="39">
        <f t="shared" si="1911"/>
        <v>0</v>
      </c>
      <c r="IQ583" s="39">
        <f t="shared" si="1911"/>
        <v>0</v>
      </c>
      <c r="IR583" s="39">
        <v>0</v>
      </c>
      <c r="IS583" s="39">
        <v>0</v>
      </c>
      <c r="IT583" s="39">
        <v>0</v>
      </c>
      <c r="IU583" s="39">
        <v>0</v>
      </c>
      <c r="IV583" s="39">
        <v>0</v>
      </c>
      <c r="IW583" s="39">
        <v>0</v>
      </c>
      <c r="IX583" s="39">
        <f>INDEX(Input!$1:$1048576,IX$93,$C583*2+6)+INDEX(Input!$1:$1048576,IX$94,$C583*2+6)</f>
        <v>1600</v>
      </c>
      <c r="IY583" s="39">
        <f>INDEX(Input!$1:$1048576,IY$93,$C583*2+6)+INDEX(Input!$1:$1048576,IY$94,$C583*2+6)</f>
        <v>2503.5492916397525</v>
      </c>
      <c r="IZ583" s="39">
        <f>INDEX(Input!$1:$1048576,IZ$93,$C583*2+6)+INDEX(Input!$1:$1048576,IZ$94,$C583*2+6)</f>
        <v>5413.7109265464023</v>
      </c>
      <c r="JA583" s="19">
        <f t="shared" si="1912"/>
        <v>1650</v>
      </c>
      <c r="JB583" s="19">
        <f t="shared" si="1912"/>
        <v>2553.5487201274627</v>
      </c>
      <c r="JC583" s="19">
        <f t="shared" si="1912"/>
        <v>5563.7109265464023</v>
      </c>
      <c r="JD583" s="19">
        <f t="shared" si="1913"/>
        <v>2547.787356619292</v>
      </c>
      <c r="JE583" s="21"/>
      <c r="JF583" s="1">
        <f t="shared" si="1914"/>
        <v>6.2875001493236493E-2</v>
      </c>
      <c r="JG583" s="15">
        <f>INDEX(Input!$1:$1048576,JG$93,$C583*2+6)/(1+VLOOKUP(C583*1000+INDEX(Input!$1:$1048576,JG$93+1,$C583*2+6),$A:$KK,$JK$92,FALSE))</f>
        <v>742</v>
      </c>
      <c r="JH583" s="1">
        <f t="shared" si="1915"/>
        <v>7.1919109622884643E-3</v>
      </c>
      <c r="JI583" s="1">
        <f t="shared" si="1916"/>
        <v>6.0584607194255052E-3</v>
      </c>
      <c r="JJ583" s="1">
        <f t="shared" si="1917"/>
        <v>0</v>
      </c>
      <c r="JK583" s="1">
        <f t="shared" si="1918"/>
        <v>1.325037168171397E-2</v>
      </c>
      <c r="JL583" s="15">
        <f t="shared" si="1919"/>
        <v>9.8317757878317664</v>
      </c>
      <c r="JM583" s="15">
        <f t="shared" si="1920"/>
        <v>751.83177578783182</v>
      </c>
      <c r="JN583" s="21"/>
      <c r="JO583" s="19">
        <f>INDEX(Input!$1:$1048576,JO$93,$C583*2+6)</f>
        <v>5908.5</v>
      </c>
      <c r="JP583" s="19">
        <f>INDEX(Input!$1:$1048576,JP$93,$C583*2+6)</f>
        <v>2467.7963733178344</v>
      </c>
      <c r="JQ583" s="39">
        <f t="shared" si="1921"/>
        <v>3360.712643380708</v>
      </c>
      <c r="JR583" s="39">
        <f t="shared" si="1922"/>
        <v>79.990983301457618</v>
      </c>
      <c r="JS583" s="39">
        <f t="shared" si="1923"/>
        <v>1.9155074926568683</v>
      </c>
      <c r="JT583" s="39">
        <f t="shared" si="1924"/>
        <v>8.4402583655035127E-2</v>
      </c>
      <c r="JU583" s="385">
        <f>(JQ583*JM583-INDEX(Input!$1:$1048576,Input!A$18,$C583*2+6)*JL583*INDEX(Input!$1:$1048576,Input!A$19,$C583*2+6))/1000000</f>
        <v>2.526690554585536</v>
      </c>
      <c r="JV583" s="39">
        <f t="shared" si="1925"/>
        <v>-2.631153641263051E-2</v>
      </c>
      <c r="JW583" s="1">
        <f t="shared" si="1926"/>
        <v>-1.0306116279890429E-2</v>
      </c>
      <c r="JX583" s="19">
        <f t="shared" si="1927"/>
        <v>8584.6733567190822</v>
      </c>
      <c r="JZ583" s="341"/>
      <c r="KA583" s="342"/>
      <c r="KB583" s="469">
        <f t="shared" si="1928"/>
        <v>2.4623520912331753</v>
      </c>
      <c r="KI583" s="473">
        <f t="shared" si="1929"/>
        <v>2.1796487762756556</v>
      </c>
      <c r="KJ583" s="473">
        <f t="shared" si="1929"/>
        <v>2.8795420361993251</v>
      </c>
      <c r="KK583" s="473">
        <f t="shared" si="1929"/>
        <v>4.7725849753569065</v>
      </c>
      <c r="KN583" s="888">
        <f t="shared" si="1930"/>
        <v>5002</v>
      </c>
      <c r="KO583" s="893">
        <f t="shared" si="1931"/>
        <v>-5.8504264909713166E-2</v>
      </c>
      <c r="KP583" s="894">
        <f t="shared" si="1932"/>
        <v>-326.09252109194279</v>
      </c>
      <c r="KQ583" s="894">
        <f t="shared" si="1933"/>
        <v>-310.98508953241708</v>
      </c>
      <c r="KR583" s="895">
        <f t="shared" si="1934"/>
        <v>3.0205878797595336</v>
      </c>
      <c r="KS583" s="895">
        <f t="shared" si="1935"/>
        <v>3.1673258623798972</v>
      </c>
      <c r="KT583" s="896">
        <f t="shared" si="1936"/>
        <v>389.37465324503302</v>
      </c>
      <c r="KU583" s="663">
        <f t="shared" si="1937"/>
        <v>7.1959274729680782</v>
      </c>
    </row>
    <row r="584" spans="1:307" s="26" customFormat="1" ht="15" outlineLevel="1">
      <c r="A584" s="561">
        <f t="shared" si="1885"/>
        <v>5084</v>
      </c>
      <c r="B584" s="561">
        <f t="shared" si="1865"/>
        <v>84</v>
      </c>
      <c r="C584" s="561">
        <f t="shared" si="1866"/>
        <v>5</v>
      </c>
      <c r="D584" s="561" t="str">
        <f t="shared" si="1812"/>
        <v xml:space="preserve">-250 CC, 0.9/1.9/2.9/3.9, </v>
      </c>
      <c r="E584" s="475">
        <f>INDEX(Input!$1:$1048576,E$93,$C584*2+MIN($B584,2)+5)
+INDEX(Scenarios!E$121:E$200,MATCH($B584,Scenarios!$B$121:$B$200,0))</f>
        <v>1000</v>
      </c>
      <c r="F584" s="475">
        <f>INDEX(Input!$1:$1048576,F$93,$C584*2+MIN($B584,2)+5)
+INDEX(Scenarios!F$121:F$200,MATCH($B584,Scenarios!$B$121:$B$200,0))</f>
        <v>0</v>
      </c>
      <c r="G584" s="475">
        <f>INDEX(Input!$1:$1048576,G$93,$C584*2+MIN($B584,2)+5)
+INDEX(Scenarios!G$121:G$200,MATCH($B584,Scenarios!$B$121:$B$200,0))</f>
        <v>0</v>
      </c>
      <c r="H584" s="475">
        <f>INDEX(Input!$1:$1048576,H$93,$C584*2+MIN($B584,2)+5)
+INDEX(Scenarios!H$121:H$200,MATCH($B584,Scenarios!$B$121:$B$200,0))</f>
        <v>0</v>
      </c>
      <c r="I584" s="476">
        <f>INDEX(Input!$1:$1048576,I$93,$C584*2+MIN($B584,2)+5)</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+INDEX(Scenarios!Q$121:Q$200,MATCH($B584,Scenarios!$B$121:$B$200,0))</f>
        <v>0</v>
      </c>
      <c r="R584" s="478">
        <f>IFERROR(MAX(0,INDEX(Input!$1:$1048576,R$93,$C584*2+MIN($B584,2)+5)
+INDEX(Scenarios!R$121:R$200,MATCH($B584,Scenarios!$B$121:$B$200,0)),),"Market")</f>
        <v>0</v>
      </c>
      <c r="S584" s="478">
        <f>IFERROR(MAX(0,INDEX(Input!$1:$1048576,S$93,$C584*2+MIN($B584,2)+5)
+INDEX(Scenarios!S$121:S$200,MATCH($B584,Scenarios!$B$121:$B$200,0)),),"Market")</f>
        <v>0</v>
      </c>
      <c r="T584" s="478">
        <f>IFERROR(MAX(0,INDEX(Input!$1:$1048576,T$93,$C584*2+MIN($B584,2)+5)
+INDEX(Scenarios!T$121:T$200,MATCH($B584,Scenarios!$B$121:$B$200,0)),),"Market")</f>
        <v>0</v>
      </c>
      <c r="U584" s="478">
        <f>IFERROR(MAX(0,INDEX(Input!$1:$1048576,U$93,$C584*2+MIN($B584,2)+5)
+INDEX(Scenarios!U$121:U$200,MATCH($B584,Scenarios!$B$121:$B$200,0)),),"Market")</f>
        <v>9.0000000000000011E-3</v>
      </c>
      <c r="V584" s="478">
        <f>IFERROR(MAX(0,INDEX(Input!$1:$1048576,V$93,$C584*2+MIN($B584,2)+5)
+INDEX(Scenarios!V$121:V$200,MATCH($B584,Scenarios!$B$121:$B$200,0)),),"Market")</f>
        <v>2.8999999999999998E-2</v>
      </c>
      <c r="W584" s="863">
        <f>IFERROR(MAX(0,INDEX(Input!$1:$1048576,W$93,$C584*2+MIN($B584,2)+5)-0%,),"Market")</f>
        <v>3.9E-2</v>
      </c>
      <c r="X584" s="476" t="str">
        <f>INDEX(Input!$1:$1048576,X$93,$C584*2+MIN($B584,2)+5)</f>
        <v>Y</v>
      </c>
      <c r="Y584" s="475">
        <f>INDEX(Input!$1:$1048576,Y$93,$C584*2+MIN($B584,2)+5)
++INDEX(Scenarios!Y$121:Y$200,MATCH($B584,Scenarios!$B$121:$B$200,0))</f>
        <v>-1098.3618966787526</v>
      </c>
      <c r="Z584" s="477">
        <f>INDEX(Input!$1:$1048576,Z$93,$C584*2+MIN($B584,2)+5)
+INDEX(Scenarios!Z$121:Z$200,MATCH($B584,Scenarios!$B$121:$B$200,0))</f>
        <v>0</v>
      </c>
      <c r="AA584" s="475">
        <f>INDEX(Input!$1:$1048576,AA$93,$C584*2+MIN($B584,2)+5)</f>
        <v>500</v>
      </c>
      <c r="AB584" s="476">
        <f>INDEX(Input!$1:$1048576,AB$93,$C584*2+MIN($B584,2)+5)</f>
        <v>0.43</v>
      </c>
      <c r="AC584" s="475">
        <f>INDEX(Input!$1:$1048576,AC$93,$C584*2+MIN($B584,2)+5)
+INDEX(Scenarios!AC$121:AC$200,MATCH($B584,Scenarios!$B$121:$B$200,0))</f>
        <v>0</v>
      </c>
      <c r="AD584" s="476">
        <f>INDEX(Input!$1:$1048576,AD$93,$C584*2+MIN($B584,2)+5)</f>
        <v>0.35</v>
      </c>
      <c r="AE584" s="475">
        <f>INDEX(Input!$1:$1048576,AE$93,$C584*2+MIN($B584,2)+5)
+INDEX(Scenarios!AE$121:AE$200,MATCH($B584,Scenarios!$B$121:$B$200,0))</f>
        <v>0</v>
      </c>
      <c r="AF584" s="476">
        <f>INDEX(Input!$1:$1048576,AF$93,$C584*2+MIN($B584,2)+5)</f>
        <v>1</v>
      </c>
      <c r="AG584" s="475">
        <f>INDEX(Input!$1:$1048576,AG$93,$C584*2+MIN($B584,2)+5)
+INDEX(Scenarios!AG$121:AG$200,MATCH($B584,Scenarios!$B$121:$B$200,0))</f>
        <v>0</v>
      </c>
      <c r="AH584" s="476">
        <f>INDEX(Input!$1:$1048576,AH$93,$C584*2+MIN($B584,2)+5)</f>
        <v>1</v>
      </c>
      <c r="AI584" s="475">
        <f>INDEX(Input!$1:$1048576,AI$93,$C584*2+MIN($B584,2)+5)
+INDEX(Scenarios!AI$121:AI$200,MATCH($B584,Scenarios!$B$121:$B$200,0))</f>
        <v>0</v>
      </c>
      <c r="AJ584" s="476">
        <f>INDEX(Input!$1:$1048576,AJ$93,$C584*2+MIN($B584,2)+5)</f>
        <v>0.35</v>
      </c>
      <c r="AK584" s="150">
        <f>ROUND(INDEX(Input!$1:$1048576,AK$93,$C583*2+MIN($B584,1)+5)+(Y584-VLOOKUP($C584*1000+1,$A:$HH,Y$92,FALSE)),0)</f>
        <v>4592</v>
      </c>
      <c r="AL584" s="150">
        <f>ROUND(INDEX(Input!$1:$1048576,AL$93,$C583*2+MIN($B584,1)+5)-(Y584-VLOOKUP($C584*1000+1,$A:$HH,Y$92,FALSE))/36,0)</f>
        <v>4743</v>
      </c>
      <c r="AM584" s="32" t="str">
        <f t="shared" si="1886"/>
        <v>std/std/std/std</v>
      </c>
      <c r="AN584" s="32" t="str">
        <f t="shared" si="1887"/>
        <v>$0 + 0/0/0.9/2.9/3.9</v>
      </c>
      <c r="AO584" s="32" t="str">
        <f t="shared" si="1888"/>
        <v>0/0/0.9/2.9/3.9</v>
      </c>
      <c r="AP584" s="32" t="str">
        <f t="shared" si="1755"/>
        <v>0.9/1.9/2.9/3.9</v>
      </c>
      <c r="AQ584" s="536">
        <f t="shared" si="1754"/>
        <v>0.4759577283984644</v>
      </c>
      <c r="AR584" s="32"/>
      <c r="AS584" s="302"/>
      <c r="AT584" s="3">
        <f t="shared" si="1867"/>
        <v>84</v>
      </c>
      <c r="AU584" s="41" t="s">
        <v>121</v>
      </c>
      <c r="AV584" s="41" t="s">
        <v>116</v>
      </c>
      <c r="AW584" s="41" t="str">
        <f>INDEX(Input!$1:$1048576,AW$93,$C584*2+6)</f>
        <v>Kia</v>
      </c>
      <c r="AX584" s="41" t="str">
        <f>INDEX(Input!$1:$1048576,AX$93,$C584*2+6)</f>
        <v>Kia-LR - R2</v>
      </c>
      <c r="AY584" s="41" t="str">
        <f>IF(LEN(D584)=0,"",INDEX(Input!$1:$1048576,AY$93,$C584*2+6))</f>
        <v>Compact Conventional/Sporty Car (43)</v>
      </c>
      <c r="AZ584" s="41" t="str">
        <f>INDEX(Input!$1:$1048576,AZ$93,$C584*2+6)</f>
        <v>Kia Forte</v>
      </c>
      <c r="BA584" s="3">
        <f>INDEX(Input!$1:$1048576,BA$93,$C584*2+6)</f>
        <v>2020</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19695</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756"/>
        <v>1000</v>
      </c>
      <c r="CJ584" s="16" t="str">
        <f>INDEX(Input!$1:$1048576,CJ$93,$C584*2+6)</f>
        <v>N</v>
      </c>
      <c r="CK584" s="1" t="str">
        <f t="shared" si="1757"/>
        <v>Market</v>
      </c>
      <c r="CL584" s="1" t="str">
        <f t="shared" si="1758"/>
        <v>Market</v>
      </c>
      <c r="CM584" s="1" t="str">
        <f t="shared" si="1759"/>
        <v>Market</v>
      </c>
      <c r="CN584" s="1" t="str">
        <f t="shared" si="1760"/>
        <v>Market</v>
      </c>
      <c r="CO584" s="1" t="str">
        <f t="shared" si="1761"/>
        <v>Market</v>
      </c>
      <c r="CP584" s="304">
        <f t="shared" si="1762"/>
        <v>215</v>
      </c>
      <c r="CQ584" s="1">
        <f t="shared" si="1763"/>
        <v>0</v>
      </c>
      <c r="CR584" s="1">
        <f t="shared" si="1764"/>
        <v>0</v>
      </c>
      <c r="CS584" s="1">
        <f t="shared" si="1765"/>
        <v>9.0000000000000011E-3</v>
      </c>
      <c r="CT584" s="1">
        <f t="shared" si="1766"/>
        <v>2.8999999999999998E-2</v>
      </c>
      <c r="CU584" s="1">
        <f t="shared" si="1767"/>
        <v>3.9E-2</v>
      </c>
      <c r="CV584" s="304">
        <f t="shared" si="1768"/>
        <v>-1098.3618966787526</v>
      </c>
      <c r="CW584" s="20" t="s">
        <v>122</v>
      </c>
      <c r="CX584" s="20" t="s">
        <v>122</v>
      </c>
      <c r="CY584" s="20" t="s">
        <v>122</v>
      </c>
      <c r="CZ584" s="20" t="s">
        <v>122</v>
      </c>
      <c r="DA584" s="20" t="s">
        <v>122</v>
      </c>
      <c r="DB584" s="503">
        <f t="shared" si="1769"/>
        <v>0</v>
      </c>
      <c r="DC584" s="127">
        <v>0</v>
      </c>
      <c r="DD584" s="127">
        <v>0</v>
      </c>
      <c r="DE584" s="127">
        <v>0</v>
      </c>
      <c r="DF584" s="127">
        <v>0</v>
      </c>
      <c r="DG584" s="127">
        <v>0</v>
      </c>
      <c r="DH584" s="127">
        <v>0</v>
      </c>
      <c r="DI584" s="127">
        <v>0</v>
      </c>
      <c r="DJ584" s="127">
        <v>0</v>
      </c>
      <c r="DK584" s="127">
        <v>0</v>
      </c>
      <c r="DL584" s="127">
        <v>0</v>
      </c>
      <c r="DM584" s="304">
        <f>INDEX(Input!$1:$1048576,DM$93,$C584*2+6)</f>
        <v>20731.578947368424</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4.4118247301176382E-2</v>
      </c>
      <c r="DZ584" s="7">
        <v>0</v>
      </c>
      <c r="EA584" s="7">
        <v>0.78223851761718166</v>
      </c>
      <c r="EB584" s="7">
        <v>0</v>
      </c>
      <c r="EC584" s="7">
        <v>0</v>
      </c>
      <c r="ED584" s="7">
        <v>0</v>
      </c>
      <c r="EE584" s="7">
        <v>0</v>
      </c>
      <c r="EF584" s="7">
        <v>0</v>
      </c>
      <c r="EG584" s="7">
        <v>0</v>
      </c>
      <c r="EH584" s="7">
        <v>2.1320427799091692E-2</v>
      </c>
      <c r="EI584" s="7">
        <v>2.6844040274281059E-2</v>
      </c>
      <c r="EJ584" s="7">
        <v>0.28835624743783556</v>
      </c>
      <c r="EK584" s="7">
        <v>0.59502898003915417</v>
      </c>
      <c r="EL584" s="7">
        <v>6.8450304449637331E-2</v>
      </c>
      <c r="EM584" s="7">
        <v>5.0501013241509435E-2</v>
      </c>
      <c r="EN584" s="7">
        <v>4.7389883056839707E-2</v>
      </c>
      <c r="EO584" s="7">
        <v>0.58258335734269351</v>
      </c>
      <c r="EP584" s="7">
        <v>0.2510629599887369</v>
      </c>
      <c r="EQ584" s="7">
        <v>7.2207819738152712E-2</v>
      </c>
      <c r="ER584" s="7">
        <v>4.6755979873576999E-2</v>
      </c>
      <c r="ES584" s="7">
        <v>0.12314222184013239</v>
      </c>
      <c r="ET584" s="7">
        <v>0.17364323508164198</v>
      </c>
      <c r="EU584" s="6">
        <v>1350</v>
      </c>
      <c r="EV584" s="6">
        <v>0</v>
      </c>
      <c r="EW584" s="6">
        <v>1350</v>
      </c>
      <c r="EX584" s="6">
        <v>0</v>
      </c>
      <c r="EY584" s="6">
        <v>2223.4834114072796</v>
      </c>
      <c r="EZ584" s="6">
        <v>-1723.0908300335955</v>
      </c>
      <c r="FA584" s="6">
        <v>0</v>
      </c>
      <c r="FB584" s="6">
        <v>0</v>
      </c>
      <c r="FC584" s="6">
        <v>0</v>
      </c>
      <c r="FD584" s="6">
        <v>0</v>
      </c>
      <c r="FE584" s="6">
        <v>0</v>
      </c>
      <c r="FF584" s="6">
        <v>0</v>
      </c>
      <c r="FG584" s="6">
        <v>0</v>
      </c>
      <c r="FH584" s="6">
        <v>1153.987365989693</v>
      </c>
      <c r="FI584" s="6">
        <v>1531.4299904380616</v>
      </c>
      <c r="FJ584" s="6">
        <v>1709.9775738488452</v>
      </c>
      <c r="FK584" s="6">
        <v>1266.3227157028186</v>
      </c>
      <c r="FL584" s="6">
        <v>893.91433563489409</v>
      </c>
      <c r="FM584" s="6">
        <v>1373.4834114072796</v>
      </c>
      <c r="FN584" s="6">
        <v>0</v>
      </c>
      <c r="FO584" s="6">
        <v>0</v>
      </c>
      <c r="FP584" s="6">
        <v>0</v>
      </c>
      <c r="FQ584" s="6">
        <v>0</v>
      </c>
      <c r="FR584" s="6">
        <v>0</v>
      </c>
      <c r="FS584" s="6">
        <v>0</v>
      </c>
      <c r="FT584" s="7">
        <v>0.82635676491835808</v>
      </c>
      <c r="FU584" s="7">
        <v>5.0501013241509435E-2</v>
      </c>
      <c r="FV584" s="7">
        <v>0.12314222184013239</v>
      </c>
      <c r="FW584" s="6">
        <v>1349.9999999999998</v>
      </c>
      <c r="FX584" s="6">
        <v>2223.4834114072796</v>
      </c>
      <c r="FY584" s="6">
        <v>-1723.0908300335955</v>
      </c>
      <c r="FZ584" s="6">
        <v>2411.9063952864503</v>
      </c>
      <c r="GA584" s="6">
        <v>1015.6845645988441</v>
      </c>
      <c r="GB584" s="6">
        <v>18679.315435401157</v>
      </c>
      <c r="GC584" s="7">
        <v>7.6138913542514425E-2</v>
      </c>
      <c r="GD584" s="7">
        <v>6.3605407479126436E-2</v>
      </c>
      <c r="GE584" s="7"/>
      <c r="GF584" s="7"/>
      <c r="GG584" s="7">
        <v>-0.16461367098953328</v>
      </c>
      <c r="GH584" s="42">
        <v>2.322028046605042</v>
      </c>
      <c r="GI584" s="6">
        <v>9497.4942605650012</v>
      </c>
      <c r="GJ584" s="14">
        <v>0.51074630601039572</v>
      </c>
      <c r="GK584" s="14">
        <v>0.50829519786160982</v>
      </c>
      <c r="GL584" s="14">
        <v>0.48925369398960461</v>
      </c>
      <c r="GM584" s="14">
        <v>0.49170480213839063</v>
      </c>
      <c r="GO584" s="5">
        <v>338.16872463277008</v>
      </c>
      <c r="GP584" s="5">
        <v>312.41330006058649</v>
      </c>
      <c r="GQ584" s="5">
        <v>527.27910984145694</v>
      </c>
      <c r="GR584" s="5">
        <v>404.20319246551543</v>
      </c>
      <c r="GS584" s="5">
        <v>334.50205195691484</v>
      </c>
      <c r="GT584" s="5">
        <v>289.18266033348181</v>
      </c>
      <c r="GU584" s="5">
        <v>254.29573314828914</v>
      </c>
      <c r="GV584" s="39" t="s">
        <v>392</v>
      </c>
      <c r="GW584" s="5">
        <v>468.76388888888891</v>
      </c>
      <c r="GX584" s="5">
        <v>351.57291666666669</v>
      </c>
      <c r="GY584" s="5">
        <v>287.73954748358943</v>
      </c>
      <c r="GZ584" s="5">
        <v>255.64660634518972</v>
      </c>
      <c r="HA584" s="5">
        <v>229.8919505212948</v>
      </c>
      <c r="HB584" s="39">
        <v>270.2566937618052</v>
      </c>
      <c r="HC584" s="5">
        <v>358.50084881396981</v>
      </c>
      <c r="HD584" s="5">
        <v>287.77900980034525</v>
      </c>
      <c r="HE584" s="5">
        <v>285.23787161201437</v>
      </c>
      <c r="HF584" s="5">
        <v>257.54964978663213</v>
      </c>
      <c r="HG584" s="5">
        <v>240.60084178617024</v>
      </c>
      <c r="HH584" s="39">
        <v>286.10386615264986</v>
      </c>
      <c r="HI584" s="16"/>
      <c r="HJ584" s="19" t="str">
        <f t="shared" si="1896"/>
        <v>On</v>
      </c>
      <c r="HK584" s="1" t="str">
        <f t="shared" si="1896"/>
        <v>On</v>
      </c>
      <c r="HL584" s="16"/>
      <c r="HM584" s="889">
        <f t="shared" si="1897"/>
        <v>5.1181272167489952E-2</v>
      </c>
      <c r="HN584" s="889">
        <f t="shared" si="1897"/>
        <v>4.2792051795134348E-3</v>
      </c>
      <c r="HO584" s="889">
        <f t="shared" si="1897"/>
        <v>7.4145241462331068E-3</v>
      </c>
      <c r="HP584" s="890">
        <f>(FT584*$GD584-HM584)/$JF584*INDEX(Input!$1:$1048576,$JG$93,$C584*2+6)</f>
        <v>16.279586865856189</v>
      </c>
      <c r="HQ584" s="890">
        <f>(FU584*$GD584-HN584)/$JF584*INDEX(Input!$1:$1048576,$JG$93,$C584*2+6)</f>
        <v>-12.59267086435924</v>
      </c>
      <c r="HR584" s="890">
        <f>(FV584*$GD584-HO584)/$JF584*INDEX(Input!$1:$1048576,$JG$93,$C584*2+6)</f>
        <v>4.9327456869187936</v>
      </c>
      <c r="HS584" s="890">
        <f t="shared" si="1898"/>
        <v>-2.7781076365016699</v>
      </c>
      <c r="HT584" s="890">
        <f t="shared" si="1899"/>
        <v>-0.77810832961640097</v>
      </c>
      <c r="HU584" s="890">
        <f t="shared" si="1900"/>
        <v>6.1578128875062301</v>
      </c>
      <c r="HV584" s="891">
        <f t="shared" si="1901"/>
        <v>0</v>
      </c>
      <c r="HW584" s="891">
        <f t="shared" si="1902"/>
        <v>0</v>
      </c>
      <c r="HX584" s="891">
        <f t="shared" si="1903"/>
        <v>0</v>
      </c>
      <c r="HY584" s="890">
        <f>INDEX(Input!$1:$1048576,HY$93,$C584*2+6)*INDEX(Input!$1:$1048576,$JG$93,$C584*2+6)</f>
        <v>345</v>
      </c>
      <c r="HZ584" s="890">
        <f>INDEX(Input!$1:$1048576,HZ$93,$C584*2+6)*INDEX(Input!$1:$1048576,$JG$93,$C584*2+6)</f>
        <v>299</v>
      </c>
      <c r="IA584" s="890">
        <f>INDEX(Input!$1:$1048576,IA$93,$C584*2+6)*INDEX(Input!$1:$1048576,$JG$93,$C584*2+6)</f>
        <v>98</v>
      </c>
      <c r="IB584" s="890">
        <f t="shared" si="1904"/>
        <v>358.50147922935457</v>
      </c>
      <c r="IC584" s="890">
        <f t="shared" si="1905"/>
        <v>285.62922080602436</v>
      </c>
      <c r="ID584" s="890">
        <f>IF(AND(INDEX(Input!$1:$1048576,IA$93,$C584*2+7)="TOS",Y584&lt;=INDEX(Y:Y,MATCH(C584*1000+2,A:A))),0,1)*MAX(IA584+HR584+HU584+HX584,0%)</f>
        <v>109.09055857442502</v>
      </c>
      <c r="IE584" s="892">
        <f t="shared" si="1906"/>
        <v>0.4759577283984644</v>
      </c>
      <c r="IF584" s="892">
        <f t="shared" si="1906"/>
        <v>0.37921024870328401</v>
      </c>
      <c r="IG584" s="892">
        <f t="shared" si="1906"/>
        <v>0.14483202289825159</v>
      </c>
      <c r="IH584" s="21"/>
      <c r="II584" s="19">
        <f t="shared" si="1907"/>
        <v>1200</v>
      </c>
      <c r="IJ584" s="19">
        <f t="shared" si="1908"/>
        <v>2231.5440334087361</v>
      </c>
      <c r="IK584" s="19">
        <f t="shared" si="1908"/>
        <v>-2048.0908300335955</v>
      </c>
      <c r="IL584" s="19">
        <f t="shared" si="1909"/>
        <v>149.99999999999977</v>
      </c>
      <c r="IM584" s="19">
        <f t="shared" si="1910"/>
        <v>-8.0606220014565224</v>
      </c>
      <c r="IN584" s="19">
        <f t="shared" si="1910"/>
        <v>325</v>
      </c>
      <c r="IO584" s="39">
        <f t="shared" si="1911"/>
        <v>0</v>
      </c>
      <c r="IP584" s="39">
        <f t="shared" si="1911"/>
        <v>0</v>
      </c>
      <c r="IQ584" s="39">
        <f t="shared" si="1911"/>
        <v>0</v>
      </c>
      <c r="IR584" s="39">
        <v>0</v>
      </c>
      <c r="IS584" s="39">
        <v>0</v>
      </c>
      <c r="IT584" s="39">
        <v>0</v>
      </c>
      <c r="IU584" s="39">
        <v>0</v>
      </c>
      <c r="IV584" s="39">
        <v>0</v>
      </c>
      <c r="IW584" s="39">
        <v>0</v>
      </c>
      <c r="IX584" s="39">
        <f>INDEX(Input!$1:$1048576,IX$93,$C584*2+6)+INDEX(Input!$1:$1048576,IX$94,$C584*2+6)</f>
        <v>1600</v>
      </c>
      <c r="IY584" s="39">
        <f>INDEX(Input!$1:$1048576,IY$93,$C584*2+6)+INDEX(Input!$1:$1048576,IY$94,$C584*2+6)</f>
        <v>2503.5492916397525</v>
      </c>
      <c r="IZ584" s="39">
        <f>INDEX(Input!$1:$1048576,IZ$93,$C584*2+6)+INDEX(Input!$1:$1048576,IZ$94,$C584*2+6)</f>
        <v>5413.7109265464023</v>
      </c>
      <c r="JA584" s="19">
        <f t="shared" si="1912"/>
        <v>1749.9999999999998</v>
      </c>
      <c r="JB584" s="19">
        <f t="shared" si="1912"/>
        <v>2495.488669638296</v>
      </c>
      <c r="JC584" s="19">
        <f t="shared" si="1912"/>
        <v>5738.7109265464023</v>
      </c>
      <c r="JD584" s="19">
        <f t="shared" si="1913"/>
        <v>2610.3900160670933</v>
      </c>
      <c r="JE584" s="21"/>
      <c r="JF584" s="1">
        <f t="shared" si="1914"/>
        <v>6.2875001493236493E-2</v>
      </c>
      <c r="JG584" s="15">
        <f>INDEX(Input!$1:$1048576,JG$93,$C584*2+6)/(1+VLOOKUP(C584*1000+INDEX(Input!$1:$1048576,JG$93+1,$C584*2+6),$A:$KK,$JK$92,FALSE))</f>
        <v>742</v>
      </c>
      <c r="JH584" s="1">
        <f t="shared" si="1915"/>
        <v>1.1616794728323103E-2</v>
      </c>
      <c r="JI584" s="1">
        <f t="shared" si="1916"/>
        <v>3.5061953118438807E-3</v>
      </c>
      <c r="JJ584" s="1">
        <f t="shared" si="1917"/>
        <v>0</v>
      </c>
      <c r="JK584" s="1">
        <f t="shared" si="1918"/>
        <v>1.5122990040166984E-2</v>
      </c>
      <c r="JL584" s="15">
        <f t="shared" si="1919"/>
        <v>11.221258609803902</v>
      </c>
      <c r="JM584" s="15">
        <f t="shared" si="1920"/>
        <v>753.22125860980395</v>
      </c>
      <c r="JN584" s="21"/>
      <c r="JO584" s="19">
        <f>INDEX(Input!$1:$1048576,JO$93,$C584*2+6)</f>
        <v>5908.5</v>
      </c>
      <c r="JP584" s="19">
        <f>INDEX(Input!$1:$1048576,JP$93,$C584*2+6)</f>
        <v>2467.7963733178344</v>
      </c>
      <c r="JQ584" s="39">
        <f t="shared" si="1921"/>
        <v>3298.1099839329067</v>
      </c>
      <c r="JR584" s="39">
        <f t="shared" si="1922"/>
        <v>142.59364274925883</v>
      </c>
      <c r="JS584" s="39">
        <f t="shared" si="1923"/>
        <v>1.9662012533645223</v>
      </c>
      <c r="JT584" s="39">
        <f t="shared" si="1924"/>
        <v>0.13509634436268919</v>
      </c>
      <c r="JU584" s="385">
        <f>(JQ584*JM584-INDEX(Input!$1:$1048576,Input!A$18,$C584*2+6)*JL584*INDEX(Input!$1:$1048576,Input!A$19,$C584*2+6))/1000000</f>
        <v>2.4842065531315045</v>
      </c>
      <c r="JV584" s="39">
        <f t="shared" si="1925"/>
        <v>-6.8795537866662038E-2</v>
      </c>
      <c r="JW584" s="1">
        <f t="shared" si="1926"/>
        <v>-2.6946917947789275E-2</v>
      </c>
      <c r="JX584" s="19">
        <f t="shared" si="1927"/>
        <v>12039.321885394998</v>
      </c>
      <c r="JZ584" s="341"/>
      <c r="KA584" s="342"/>
      <c r="KB584" s="469">
        <f t="shared" si="1928"/>
        <v>2.4623520912331753</v>
      </c>
      <c r="KI584" s="473">
        <f t="shared" si="1929"/>
        <v>13.501479229354572</v>
      </c>
      <c r="KJ584" s="473">
        <f t="shared" si="1929"/>
        <v>-13.370779193975636</v>
      </c>
      <c r="KK584" s="473">
        <f t="shared" si="1929"/>
        <v>11.090558574425003</v>
      </c>
      <c r="KN584" s="888">
        <f t="shared" si="1930"/>
        <v>5002</v>
      </c>
      <c r="KO584" s="893">
        <f t="shared" si="1931"/>
        <v>-5.6764258444174875E-2</v>
      </c>
      <c r="KP584" s="894">
        <f t="shared" si="1932"/>
        <v>-273.74355196505417</v>
      </c>
      <c r="KQ584" s="894">
        <f t="shared" si="1933"/>
        <v>-248.38243008461586</v>
      </c>
      <c r="KR584" s="895">
        <f t="shared" si="1934"/>
        <v>3.4912090722545517</v>
      </c>
      <c r="KS584" s="895">
        <f t="shared" si="1935"/>
        <v>3.8476794504587453</v>
      </c>
      <c r="KT584" s="896">
        <f t="shared" si="1936"/>
        <v>389.37465324503302</v>
      </c>
      <c r="KU584" s="663">
        <f t="shared" si="1937"/>
        <v>7.0502807257302811</v>
      </c>
    </row>
    <row r="585" spans="1:307" s="26" customFormat="1" ht="15" outlineLevel="1">
      <c r="A585" s="561">
        <f t="shared" si="1885"/>
        <v>5085</v>
      </c>
      <c r="B585" s="561">
        <f t="shared" si="1865"/>
        <v>85</v>
      </c>
      <c r="C585" s="561">
        <f t="shared" si="1866"/>
        <v>5</v>
      </c>
      <c r="D585" s="561" t="str">
        <f t="shared" ref="D585:D599" si="1938">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-180 Lease, </v>
      </c>
      <c r="E585" s="475">
        <f>INDEX(Input!$1:$1048576,E$93,$C585*2+MIN($B585,2)+5)
+INDEX(Scenarios!E$121:E$200,MATCH($B585,Scenarios!$B$121:$B$200,0))</f>
        <v>1250</v>
      </c>
      <c r="F585" s="475">
        <f>INDEX(Input!$1:$1048576,F$93,$C585*2+MIN($B585,2)+5)
+INDEX(Scenarios!F$121:F$200,MATCH($B585,Scenarios!$B$121:$B$200,0))</f>
        <v>0</v>
      </c>
      <c r="G585" s="475">
        <f>INDEX(Input!$1:$1048576,G$93,$C585*2+MIN($B585,2)+5)
+INDEX(Scenarios!G$121:G$200,MATCH($B585,Scenarios!$B$121:$B$200,0))</f>
        <v>0</v>
      </c>
      <c r="H585" s="475">
        <f>INDEX(Input!$1:$1048576,H$93,$C585*2+MIN($B585,2)+5)
+INDEX(Scenarios!H$121:H$200,MATCH($B585,Scenarios!$B$121:$B$200,0))</f>
        <v>0</v>
      </c>
      <c r="I585" s="476">
        <f>INDEX(Input!$1:$1048576,I$93,$C585*2+MIN($B585,2)+5)</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+INDEX(Scenarios!Q$121:Q$200,MATCH($B585,Scenarios!$B$121:$B$200,0))</f>
        <v>0</v>
      </c>
      <c r="R585" s="478">
        <f>IFERROR(MAX(0,INDEX(Input!$1:$1048576,R$93,$C585*2+MIN($B585,2)+5)
+INDEX(Scenarios!R$121:R$200,MATCH($B585,Scenarios!$B$121:$B$200,0)),),"Market")</f>
        <v>0</v>
      </c>
      <c r="S585" s="478">
        <f>IFERROR(MAX(0,INDEX(Input!$1:$1048576,S$93,$C585*2+MIN($B585,2)+5)
+INDEX(Scenarios!S$121:S$200,MATCH($B585,Scenarios!$B$121:$B$200,0)),),"Market")</f>
        <v>0</v>
      </c>
      <c r="T585" s="478">
        <f>IFERROR(MAX(0,INDEX(Input!$1:$1048576,T$93,$C585*2+MIN($B585,2)+5)
+INDEX(Scenarios!T$121:T$200,MATCH($B585,Scenarios!$B$121:$B$200,0)),),"Market")</f>
        <v>0</v>
      </c>
      <c r="U585" s="478">
        <f>IFERROR(MAX(0,INDEX(Input!$1:$1048576,U$93,$C585*2+MIN($B585,2)+5)
+INDEX(Scenarios!U$121:U$200,MATCH($B585,Scenarios!$B$121:$B$200,0)),),"Market")</f>
        <v>0</v>
      </c>
      <c r="V585" s="478">
        <f>IFERROR(MAX(0,INDEX(Input!$1:$1048576,V$93,$C585*2+MIN($B585,2)+5)
+INDEX(Scenarios!V$121:V$200,MATCH($B585,Scenarios!$B$121:$B$200,0)),),"Market")</f>
        <v>1.9E-2</v>
      </c>
      <c r="W585" s="863">
        <f>IFERROR(MAX(0,INDEX(Input!$1:$1048576,W$93,$C585*2+MIN($B585,2)+5)-0%,),"Market")</f>
        <v>3.9E-2</v>
      </c>
      <c r="X585" s="476" t="str">
        <f>INDEX(Input!$1:$1048576,X$93,$C585*2+MIN($B585,2)+5)</f>
        <v>Y</v>
      </c>
      <c r="Y585" s="475">
        <f>INDEX(Input!$1:$1048576,Y$93,$C585*2+MIN($B585,2)+5)
++INDEX(Scenarios!Y$121:Y$200,MATCH($B585,Scenarios!$B$121:$B$200,0))</f>
        <v>-1278.3618966787526</v>
      </c>
      <c r="Z585" s="477">
        <f>INDEX(Input!$1:$1048576,Z$93,$C585*2+MIN($B585,2)+5)
+INDEX(Scenarios!Z$121:Z$200,MATCH($B585,Scenarios!$B$121:$B$200,0))</f>
        <v>0</v>
      </c>
      <c r="AA585" s="475">
        <f>INDEX(Input!$1:$1048576,AA$93,$C585*2+MIN($B585,2)+5)</f>
        <v>500</v>
      </c>
      <c r="AB585" s="476">
        <f>INDEX(Input!$1:$1048576,AB$93,$C585*2+MIN($B585,2)+5)</f>
        <v>0.43</v>
      </c>
      <c r="AC585" s="475">
        <f>INDEX(Input!$1:$1048576,AC$93,$C585*2+MIN($B585,2)+5)
+INDEX(Scenarios!AC$121:AC$200,MATCH($B585,Scenarios!$B$121:$B$200,0))</f>
        <v>0</v>
      </c>
      <c r="AD585" s="476">
        <f>INDEX(Input!$1:$1048576,AD$93,$C585*2+MIN($B585,2)+5)</f>
        <v>0.35</v>
      </c>
      <c r="AE585" s="475">
        <f>INDEX(Input!$1:$1048576,AE$93,$C585*2+MIN($B585,2)+5)
+INDEX(Scenarios!AE$121:AE$200,MATCH($B585,Scenarios!$B$121:$B$200,0))</f>
        <v>0</v>
      </c>
      <c r="AF585" s="476">
        <f>INDEX(Input!$1:$1048576,AF$93,$C585*2+MIN($B585,2)+5)</f>
        <v>1</v>
      </c>
      <c r="AG585" s="475">
        <f>INDEX(Input!$1:$1048576,AG$93,$C585*2+MIN($B585,2)+5)
+INDEX(Scenarios!AG$121:AG$200,MATCH($B585,Scenarios!$B$121:$B$200,0))</f>
        <v>0</v>
      </c>
      <c r="AH585" s="476">
        <f>INDEX(Input!$1:$1048576,AH$93,$C585*2+MIN($B585,2)+5)</f>
        <v>1</v>
      </c>
      <c r="AI585" s="475">
        <f>INDEX(Input!$1:$1048576,AI$93,$C585*2+MIN($B585,2)+5)
+INDEX(Scenarios!AI$121:AI$200,MATCH($B585,Scenarios!$B$121:$B$200,0))</f>
        <v>0</v>
      </c>
      <c r="AJ585" s="476">
        <f>INDEX(Input!$1:$1048576,AJ$93,$C585*2+MIN($B585,2)+5)</f>
        <v>0.35</v>
      </c>
      <c r="AK585" s="150">
        <f>ROUND(INDEX(Input!$1:$1048576,AK$93,$C584*2+MIN($B585,1)+5)+(Y585-VLOOKUP($C585*1000+1,$A:$HH,Y$92,FALSE)),0)</f>
        <v>4412</v>
      </c>
      <c r="AL585" s="150">
        <f>ROUND(INDEX(Input!$1:$1048576,AL$93,$C584*2+MIN($B585,1)+5)-(Y585-VLOOKUP($C585*1000+1,$A:$HH,Y$92,FALSE))/36,0)</f>
        <v>4748</v>
      </c>
      <c r="AM585" s="32" t="str">
        <f t="shared" si="1886"/>
        <v>std/std/std/std</v>
      </c>
      <c r="AN585" s="32" t="str">
        <f t="shared" si="1887"/>
        <v>$0 + 0/0/0/1.9/3.9</v>
      </c>
      <c r="AO585" s="32" t="str">
        <f t="shared" si="1888"/>
        <v>0/0/0/1.9/3.9</v>
      </c>
      <c r="AP585" s="32" t="str">
        <f t="shared" si="1755"/>
        <v>0/0.9/1.9/3.9</v>
      </c>
      <c r="AQ585" s="536">
        <f t="shared" si="1754"/>
        <v>0.46837362400221066</v>
      </c>
      <c r="AR585" s="32"/>
      <c r="AS585" s="302"/>
      <c r="AT585" s="3">
        <f t="shared" si="1867"/>
        <v>85</v>
      </c>
      <c r="AU585" s="41" t="s">
        <v>121</v>
      </c>
      <c r="AV585" s="41" t="s">
        <v>116</v>
      </c>
      <c r="AW585" s="41" t="str">
        <f>INDEX(Input!$1:$1048576,AW$93,$C585*2+6)</f>
        <v>Kia</v>
      </c>
      <c r="AX585" s="41" t="str">
        <f>INDEX(Input!$1:$1048576,AX$93,$C585*2+6)</f>
        <v>Kia-LR - R2</v>
      </c>
      <c r="AY585" s="41" t="str">
        <f>IF(LEN(D585)=0,"",INDEX(Input!$1:$1048576,AY$93,$C585*2+6))</f>
        <v>Compact Conventional/Sporty Car (43)</v>
      </c>
      <c r="AZ585" s="41" t="str">
        <f>INDEX(Input!$1:$1048576,AZ$93,$C585*2+6)</f>
        <v>Kia Forte</v>
      </c>
      <c r="BA585" s="3">
        <f>INDEX(Input!$1:$1048576,BA$93,$C585*2+6)</f>
        <v>2020</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19695</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756"/>
        <v>1250</v>
      </c>
      <c r="CJ585" s="16" t="str">
        <f>INDEX(Input!$1:$1048576,CJ$93,$C585*2+6)</f>
        <v>N</v>
      </c>
      <c r="CK585" s="1" t="str">
        <f t="shared" si="1757"/>
        <v>Market</v>
      </c>
      <c r="CL585" s="1" t="str">
        <f t="shared" si="1758"/>
        <v>Market</v>
      </c>
      <c r="CM585" s="1" t="str">
        <f t="shared" si="1759"/>
        <v>Market</v>
      </c>
      <c r="CN585" s="1" t="str">
        <f t="shared" si="1760"/>
        <v>Market</v>
      </c>
      <c r="CO585" s="1" t="str">
        <f t="shared" si="1761"/>
        <v>Market</v>
      </c>
      <c r="CP585" s="304">
        <f t="shared" si="1762"/>
        <v>215</v>
      </c>
      <c r="CQ585" s="1">
        <f t="shared" si="1763"/>
        <v>0</v>
      </c>
      <c r="CR585" s="1">
        <f t="shared" si="1764"/>
        <v>0</v>
      </c>
      <c r="CS585" s="1">
        <f t="shared" si="1765"/>
        <v>0</v>
      </c>
      <c r="CT585" s="1">
        <f t="shared" si="1766"/>
        <v>1.9E-2</v>
      </c>
      <c r="CU585" s="1">
        <f t="shared" si="1767"/>
        <v>3.9E-2</v>
      </c>
      <c r="CV585" s="304">
        <f t="shared" si="1768"/>
        <v>-1278.3618966787526</v>
      </c>
      <c r="CW585" s="20" t="s">
        <v>122</v>
      </c>
      <c r="CX585" s="20" t="s">
        <v>122</v>
      </c>
      <c r="CY585" s="20" t="s">
        <v>122</v>
      </c>
      <c r="CZ585" s="20" t="s">
        <v>122</v>
      </c>
      <c r="DA585" s="20" t="s">
        <v>122</v>
      </c>
      <c r="DB585" s="503">
        <f t="shared" si="1769"/>
        <v>0</v>
      </c>
      <c r="DC585" s="127">
        <v>0</v>
      </c>
      <c r="DD585" s="127">
        <v>0</v>
      </c>
      <c r="DE585" s="127">
        <v>0</v>
      </c>
      <c r="DF585" s="127">
        <v>0</v>
      </c>
      <c r="DG585" s="127">
        <v>0</v>
      </c>
      <c r="DH585" s="127">
        <v>0</v>
      </c>
      <c r="DI585" s="127">
        <v>0</v>
      </c>
      <c r="DJ585" s="127">
        <v>0</v>
      </c>
      <c r="DK585" s="127">
        <v>0</v>
      </c>
      <c r="DL585" s="127">
        <v>0</v>
      </c>
      <c r="DM585" s="304">
        <f>INDEX(Input!$1:$1048576,DM$93,$C585*2+6)</f>
        <v>20731.578947368424</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4.3972055926646131E-2</v>
      </c>
      <c r="DZ585" s="7">
        <v>0</v>
      </c>
      <c r="EA585" s="7">
        <v>0.77775713377097755</v>
      </c>
      <c r="EB585" s="7">
        <v>0</v>
      </c>
      <c r="EC585" s="7">
        <v>0</v>
      </c>
      <c r="ED585" s="7">
        <v>0</v>
      </c>
      <c r="EE585" s="7">
        <v>0</v>
      </c>
      <c r="EF585" s="7">
        <v>0</v>
      </c>
      <c r="EG585" s="7">
        <v>0</v>
      </c>
      <c r="EH585" s="7">
        <v>1.4446559649521559E-2</v>
      </c>
      <c r="EI585" s="7">
        <v>1.8189481438681585E-2</v>
      </c>
      <c r="EJ585" s="7">
        <v>0.26765297641197949</v>
      </c>
      <c r="EK585" s="7">
        <v>0.65333422083427461</v>
      </c>
      <c r="EL585" s="7">
        <v>4.6376761665542485E-2</v>
      </c>
      <c r="EM585" s="7">
        <v>6.8826425418839057E-2</v>
      </c>
      <c r="EN585" s="7">
        <v>4.7172377476134196E-2</v>
      </c>
      <c r="EO585" s="7">
        <v>0.58297063756829992</v>
      </c>
      <c r="EP585" s="7">
        <v>0.25036914781365233</v>
      </c>
      <c r="EQ585" s="7">
        <v>7.2555803911809658E-2</v>
      </c>
      <c r="ER585" s="7">
        <v>4.6932033230103552E-2</v>
      </c>
      <c r="ES585" s="7">
        <v>0.10944438488353715</v>
      </c>
      <c r="ET585" s="7">
        <v>0.17827081030237626</v>
      </c>
      <c r="EU585" s="6">
        <v>1600</v>
      </c>
      <c r="EV585" s="6">
        <v>0</v>
      </c>
      <c r="EW585" s="6">
        <v>1600</v>
      </c>
      <c r="EX585" s="6">
        <v>0</v>
      </c>
      <c r="EY585" s="6">
        <v>2631.5870355552634</v>
      </c>
      <c r="EZ585" s="6">
        <v>-1903.0908300335955</v>
      </c>
      <c r="FA585" s="6">
        <v>0</v>
      </c>
      <c r="FB585" s="6">
        <v>0</v>
      </c>
      <c r="FC585" s="6">
        <v>0</v>
      </c>
      <c r="FD585" s="6">
        <v>0</v>
      </c>
      <c r="FE585" s="6">
        <v>0</v>
      </c>
      <c r="FF585" s="6">
        <v>0</v>
      </c>
      <c r="FG585" s="6">
        <v>0</v>
      </c>
      <c r="FH585" s="6">
        <v>1153.988095085225</v>
      </c>
      <c r="FI585" s="6">
        <v>1531.4299904380621</v>
      </c>
      <c r="FJ585" s="6">
        <v>2070.720584253821</v>
      </c>
      <c r="FK585" s="6">
        <v>1746.9903521590434</v>
      </c>
      <c r="FL585" s="6">
        <v>893.91433563489386</v>
      </c>
      <c r="FM585" s="6">
        <v>1781.5870355552631</v>
      </c>
      <c r="FN585" s="6">
        <v>0</v>
      </c>
      <c r="FO585" s="6">
        <v>0</v>
      </c>
      <c r="FP585" s="6">
        <v>0</v>
      </c>
      <c r="FQ585" s="6">
        <v>0</v>
      </c>
      <c r="FR585" s="6">
        <v>0</v>
      </c>
      <c r="FS585" s="6">
        <v>0</v>
      </c>
      <c r="FT585" s="7">
        <v>0.82172918969762365</v>
      </c>
      <c r="FU585" s="7">
        <v>6.8826425418839057E-2</v>
      </c>
      <c r="FV585" s="7">
        <v>0.10944438488353715</v>
      </c>
      <c r="FW585" s="6">
        <v>1600.0000000000002</v>
      </c>
      <c r="FX585" s="6">
        <v>2631.5870355552634</v>
      </c>
      <c r="FY585" s="6">
        <v>-1903.0908300335955</v>
      </c>
      <c r="FZ585" s="6">
        <v>2411.9063952864503</v>
      </c>
      <c r="GA585" s="6">
        <v>1287.6068270814992</v>
      </c>
      <c r="GB585" s="6">
        <v>18407.393172918502</v>
      </c>
      <c r="GC585" s="7">
        <v>7.6138913542514425E-2</v>
      </c>
      <c r="GD585" s="7">
        <v>6.5824606818847553E-2</v>
      </c>
      <c r="GE585" s="7"/>
      <c r="GF585" s="7"/>
      <c r="GG585" s="7">
        <v>-0.13546695433088327</v>
      </c>
      <c r="GH585" s="42">
        <v>2.3730522905087392</v>
      </c>
      <c r="GI585" s="6">
        <v>9587.0446771331517</v>
      </c>
      <c r="GJ585" s="14">
        <v>0.51074630601039561</v>
      </c>
      <c r="GK585" s="14">
        <v>0.50829519786160959</v>
      </c>
      <c r="GL585" s="14">
        <v>0.48925369398960422</v>
      </c>
      <c r="GM585" s="14">
        <v>0.49170480213839041</v>
      </c>
      <c r="GO585" s="5">
        <v>338.16872463277008</v>
      </c>
      <c r="GP585" s="5">
        <v>307.64377699166363</v>
      </c>
      <c r="GQ585" s="5">
        <v>527.27910984145694</v>
      </c>
      <c r="GR585" s="5">
        <v>404.20319246551543</v>
      </c>
      <c r="GS585" s="5">
        <v>334.50205195691484</v>
      </c>
      <c r="GT585" s="5">
        <v>289.18266033348181</v>
      </c>
      <c r="GU585" s="5">
        <v>254.29573314828914</v>
      </c>
      <c r="GV585" s="39" t="s">
        <v>392</v>
      </c>
      <c r="GW585" s="5">
        <v>468.76388888888891</v>
      </c>
      <c r="GX585" s="5">
        <v>351.57291666666669</v>
      </c>
      <c r="GY585" s="5">
        <v>281.25833333333333</v>
      </c>
      <c r="GZ585" s="5">
        <v>248.18079879493993</v>
      </c>
      <c r="HA585" s="5">
        <v>229.8919505212948</v>
      </c>
      <c r="HB585" s="39">
        <v>261.25323758663859</v>
      </c>
      <c r="HC585" s="5">
        <v>366.37584881396981</v>
      </c>
      <c r="HD585" s="5">
        <v>293.15400980034525</v>
      </c>
      <c r="HE585" s="5">
        <v>290.22825622739902</v>
      </c>
      <c r="HF585" s="5">
        <v>261.71214978663215</v>
      </c>
      <c r="HG585" s="5">
        <v>244.05084178617022</v>
      </c>
      <c r="HH585" s="39">
        <v>291.28973865829914</v>
      </c>
      <c r="HI585" s="16"/>
      <c r="HJ585" s="19" t="str">
        <f t="shared" si="1896"/>
        <v>On</v>
      </c>
      <c r="HK585" s="1" t="str">
        <f t="shared" si="1896"/>
        <v>On</v>
      </c>
      <c r="HL585" s="16"/>
      <c r="HM585" s="889">
        <f t="shared" si="1897"/>
        <v>5.1181272167489952E-2</v>
      </c>
      <c r="HN585" s="889">
        <f t="shared" si="1897"/>
        <v>4.2792051795134348E-3</v>
      </c>
      <c r="HO585" s="889">
        <f t="shared" si="1897"/>
        <v>7.4145241462331068E-3</v>
      </c>
      <c r="HP585" s="890">
        <f>(FT585*$GD585-HM585)/$JF585*INDEX(Input!$1:$1048576,$JG$93,$C585*2+6)</f>
        <v>34.326466981149835</v>
      </c>
      <c r="HQ585" s="890">
        <f>(FU585*$GD585-HN585)/$JF585*INDEX(Input!$1:$1048576,$JG$93,$C585*2+6)</f>
        <v>2.9652527585532393</v>
      </c>
      <c r="HR585" s="890">
        <f>(FV585*$GD585-HO585)/$JF585*INDEX(Input!$1:$1048576,$JG$93,$C585*2+6)</f>
        <v>-2.4828593082829857</v>
      </c>
      <c r="HS585" s="890">
        <f t="shared" si="1898"/>
        <v>-7.4966013060091932</v>
      </c>
      <c r="HT585" s="890">
        <f t="shared" si="1899"/>
        <v>20.981510906536048</v>
      </c>
      <c r="HU585" s="890">
        <f t="shared" si="1900"/>
        <v>3.5807067114011759</v>
      </c>
      <c r="HV585" s="891">
        <f t="shared" si="1901"/>
        <v>0</v>
      </c>
      <c r="HW585" s="891">
        <f t="shared" si="1902"/>
        <v>0</v>
      </c>
      <c r="HX585" s="891">
        <f t="shared" si="1903"/>
        <v>0</v>
      </c>
      <c r="HY585" s="890">
        <f>INDEX(Input!$1:$1048576,HY$93,$C585*2+6)*INDEX(Input!$1:$1048576,$JG$93,$C585*2+6)</f>
        <v>345</v>
      </c>
      <c r="HZ585" s="890">
        <f>INDEX(Input!$1:$1048576,HZ$93,$C585*2+6)*INDEX(Input!$1:$1048576,$JG$93,$C585*2+6)</f>
        <v>299</v>
      </c>
      <c r="IA585" s="890">
        <f>INDEX(Input!$1:$1048576,IA$93,$C585*2+6)*INDEX(Input!$1:$1048576,$JG$93,$C585*2+6)</f>
        <v>98</v>
      </c>
      <c r="IB585" s="890">
        <f t="shared" si="1904"/>
        <v>371.8298656751407</v>
      </c>
      <c r="IC585" s="890">
        <f t="shared" si="1905"/>
        <v>322.94676366508929</v>
      </c>
      <c r="ID585" s="890">
        <f>IF(AND(INDEX(Input!$1:$1048576,IA$93,$C585*2+7)="TOS",Y585&lt;=INDEX(Y:Y,MATCH(C585*1000+2,A:A))),0,1)*MAX(IA585+HR585+HU585+HX585,0%)</f>
        <v>99.097847403118195</v>
      </c>
      <c r="IE585" s="892">
        <f t="shared" si="1906"/>
        <v>0.46837362400221066</v>
      </c>
      <c r="IF585" s="892">
        <f t="shared" si="1906"/>
        <v>0.40679826991023771</v>
      </c>
      <c r="IG585" s="892">
        <f t="shared" si="1906"/>
        <v>0.12482810608755161</v>
      </c>
      <c r="IH585" s="21"/>
      <c r="II585" s="19">
        <f t="shared" si="1907"/>
        <v>1200</v>
      </c>
      <c r="IJ585" s="19">
        <f t="shared" si="1908"/>
        <v>2231.5440334087361</v>
      </c>
      <c r="IK585" s="19">
        <f t="shared" si="1908"/>
        <v>-2048.0908300335955</v>
      </c>
      <c r="IL585" s="19">
        <f t="shared" si="1909"/>
        <v>400.00000000000023</v>
      </c>
      <c r="IM585" s="19">
        <f t="shared" si="1910"/>
        <v>400.04300214652721</v>
      </c>
      <c r="IN585" s="19">
        <f t="shared" si="1910"/>
        <v>145</v>
      </c>
      <c r="IO585" s="39">
        <f t="shared" si="1911"/>
        <v>0</v>
      </c>
      <c r="IP585" s="39">
        <f t="shared" si="1911"/>
        <v>0</v>
      </c>
      <c r="IQ585" s="39">
        <f t="shared" si="1911"/>
        <v>0</v>
      </c>
      <c r="IR585" s="39">
        <v>0</v>
      </c>
      <c r="IS585" s="39">
        <v>0</v>
      </c>
      <c r="IT585" s="39">
        <v>0</v>
      </c>
      <c r="IU585" s="39">
        <v>0</v>
      </c>
      <c r="IV585" s="39">
        <v>0</v>
      </c>
      <c r="IW585" s="39">
        <v>0</v>
      </c>
      <c r="IX585" s="39">
        <f>INDEX(Input!$1:$1048576,IX$93,$C585*2+6)+INDEX(Input!$1:$1048576,IX$94,$C585*2+6)</f>
        <v>1600</v>
      </c>
      <c r="IY585" s="39">
        <f>INDEX(Input!$1:$1048576,IY$93,$C585*2+6)+INDEX(Input!$1:$1048576,IY$94,$C585*2+6)</f>
        <v>2503.5492916397525</v>
      </c>
      <c r="IZ585" s="39">
        <f>INDEX(Input!$1:$1048576,IZ$93,$C585*2+6)+INDEX(Input!$1:$1048576,IZ$94,$C585*2+6)</f>
        <v>5413.7109265464023</v>
      </c>
      <c r="JA585" s="19">
        <f t="shared" si="1912"/>
        <v>2000.0000000000002</v>
      </c>
      <c r="JB585" s="19">
        <f t="shared" si="1912"/>
        <v>2903.5922937862797</v>
      </c>
      <c r="JC585" s="19">
        <f t="shared" si="1912"/>
        <v>5558.7109265464023</v>
      </c>
      <c r="JD585" s="19">
        <f t="shared" si="1913"/>
        <v>2811.8069268903455</v>
      </c>
      <c r="JE585" s="21"/>
      <c r="JF585" s="1">
        <f t="shared" si="1914"/>
        <v>6.2875001493236493E-2</v>
      </c>
      <c r="JG585" s="15">
        <f>INDEX(Input!$1:$1048576,JG$93,$C585*2+6)/(1+VLOOKUP(C585*1000+INDEX(Input!$1:$1048576,JG$93+1,$C585*2+6),$A:$KK,$JK$92,FALSE))</f>
        <v>742</v>
      </c>
      <c r="JH585" s="1">
        <f t="shared" si="1915"/>
        <v>4.6912210824016295E-2</v>
      </c>
      <c r="JI585" s="1">
        <f t="shared" si="1916"/>
        <v>2.2999482900172549E-2</v>
      </c>
      <c r="JJ585" s="1">
        <f t="shared" si="1917"/>
        <v>0</v>
      </c>
      <c r="JK585" s="1">
        <f t="shared" si="1918"/>
        <v>6.9911693724188845E-2</v>
      </c>
      <c r="JL585" s="15">
        <f t="shared" si="1919"/>
        <v>51.874476743348126</v>
      </c>
      <c r="JM585" s="15">
        <f t="shared" si="1920"/>
        <v>793.87447674334817</v>
      </c>
      <c r="JN585" s="21"/>
      <c r="JO585" s="19">
        <f>INDEX(Input!$1:$1048576,JO$93,$C585*2+6)</f>
        <v>5908.5</v>
      </c>
      <c r="JP585" s="19">
        <f>INDEX(Input!$1:$1048576,JP$93,$C585*2+6)</f>
        <v>2467.7963733178344</v>
      </c>
      <c r="JQ585" s="39">
        <f t="shared" si="1921"/>
        <v>3096.6930731096545</v>
      </c>
      <c r="JR585" s="39">
        <f t="shared" si="1922"/>
        <v>344.01055357251107</v>
      </c>
      <c r="JS585" s="39">
        <f t="shared" si="1923"/>
        <v>2.2322217527883947</v>
      </c>
      <c r="JT585" s="39">
        <f t="shared" si="1924"/>
        <v>0.40111684378656165</v>
      </c>
      <c r="JU585" s="385">
        <f>(JQ585*JM585-INDEX(Input!$1:$1048576,Input!A$18,$C585*2+6)*JL585*INDEX(Input!$1:$1048576,Input!A$19,$C585*2+6))/1000000</f>
        <v>2.4583855930496776</v>
      </c>
      <c r="JV585" s="39">
        <f t="shared" si="1925"/>
        <v>-9.461649794848892E-2</v>
      </c>
      <c r="JW585" s="1">
        <f t="shared" si="1926"/>
        <v>-3.7060877577070842E-2</v>
      </c>
      <c r="JX585" s="19">
        <f t="shared" si="1927"/>
        <v>7732.4508885383011</v>
      </c>
      <c r="JZ585" s="341"/>
      <c r="KA585" s="342"/>
      <c r="KB585" s="469">
        <f t="shared" si="1928"/>
        <v>2.4623520912331753</v>
      </c>
      <c r="KI585" s="473">
        <f t="shared" si="1929"/>
        <v>26.829865675140695</v>
      </c>
      <c r="KJ585" s="473">
        <f t="shared" si="1929"/>
        <v>23.946763665089293</v>
      </c>
      <c r="KK585" s="473">
        <f t="shared" si="1929"/>
        <v>1.0978474031181946</v>
      </c>
      <c r="KN585" s="888">
        <f t="shared" si="1930"/>
        <v>5002</v>
      </c>
      <c r="KO585" s="893">
        <f t="shared" si="1931"/>
        <v>-5.8554877283861773E-3</v>
      </c>
      <c r="KP585" s="894">
        <f t="shared" si="1932"/>
        <v>-22.465887029912682</v>
      </c>
      <c r="KQ585" s="894">
        <f t="shared" si="1933"/>
        <v>-46.965519261363625</v>
      </c>
      <c r="KR585" s="895">
        <f t="shared" si="1934"/>
        <v>4.3881785616839304</v>
      </c>
      <c r="KS585" s="895">
        <f t="shared" si="1935"/>
        <v>2.0990787578702803</v>
      </c>
      <c r="KT585" s="896">
        <f t="shared" si="1936"/>
        <v>389.37465324503302</v>
      </c>
      <c r="KU585" s="663">
        <f t="shared" si="1937"/>
        <v>7.2765617810003018</v>
      </c>
    </row>
    <row r="586" spans="1:307" s="26" customFormat="1" ht="15" outlineLevel="1">
      <c r="A586" s="561">
        <f t="shared" si="1885"/>
        <v>5086</v>
      </c>
      <c r="B586" s="561">
        <f t="shared" si="1865"/>
        <v>86</v>
      </c>
      <c r="C586" s="561">
        <f t="shared" si="1866"/>
        <v>5</v>
      </c>
      <c r="D586" s="561" t="str">
        <f t="shared" si="1938"/>
        <v xml:space="preserve">-250 CC, 0.9/1.9/2.9/3.9, -180 Lease, </v>
      </c>
      <c r="E586" s="475">
        <f>INDEX(Input!$1:$1048576,E$93,$C586*2+MIN($B586,2)+5)
+INDEX(Scenarios!E$121:E$200,MATCH($B586,Scenarios!$B$121:$B$200,0))</f>
        <v>1000</v>
      </c>
      <c r="F586" s="475">
        <f>INDEX(Input!$1:$1048576,F$93,$C586*2+MIN($B586,2)+5)
+INDEX(Scenarios!F$121:F$200,MATCH($B586,Scenarios!$B$121:$B$200,0))</f>
        <v>0</v>
      </c>
      <c r="G586" s="475">
        <f>INDEX(Input!$1:$1048576,G$93,$C586*2+MIN($B586,2)+5)
+INDEX(Scenarios!G$121:G$200,MATCH($B586,Scenarios!$B$121:$B$200,0))</f>
        <v>0</v>
      </c>
      <c r="H586" s="475">
        <f>INDEX(Input!$1:$1048576,H$93,$C586*2+MIN($B586,2)+5)
+INDEX(Scenarios!H$121:H$200,MATCH($B586,Scenarios!$B$121:$B$200,0))</f>
        <v>0</v>
      </c>
      <c r="I586" s="476">
        <f>INDEX(Input!$1:$1048576,I$93,$C586*2+MIN($B586,2)+5)</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+INDEX(Scenarios!Q$121:Q$200,MATCH($B586,Scenarios!$B$121:$B$200,0))</f>
        <v>0</v>
      </c>
      <c r="R586" s="478">
        <f>IFERROR(MAX(0,INDEX(Input!$1:$1048576,R$93,$C586*2+MIN($B586,2)+5)
+INDEX(Scenarios!R$121:R$200,MATCH($B586,Scenarios!$B$121:$B$200,0)),),"Market")</f>
        <v>0</v>
      </c>
      <c r="S586" s="478">
        <f>IFERROR(MAX(0,INDEX(Input!$1:$1048576,S$93,$C586*2+MIN($B586,2)+5)
+INDEX(Scenarios!S$121:S$200,MATCH($B586,Scenarios!$B$121:$B$200,0)),),"Market")</f>
        <v>0</v>
      </c>
      <c r="T586" s="478">
        <f>IFERROR(MAX(0,INDEX(Input!$1:$1048576,T$93,$C586*2+MIN($B586,2)+5)
+INDEX(Scenarios!T$121:T$200,MATCH($B586,Scenarios!$B$121:$B$200,0)),),"Market")</f>
        <v>0</v>
      </c>
      <c r="U586" s="478">
        <f>IFERROR(MAX(0,INDEX(Input!$1:$1048576,U$93,$C586*2+MIN($B586,2)+5)
+INDEX(Scenarios!U$121:U$200,MATCH($B586,Scenarios!$B$121:$B$200,0)),),"Market")</f>
        <v>9.0000000000000011E-3</v>
      </c>
      <c r="V586" s="478">
        <f>IFERROR(MAX(0,INDEX(Input!$1:$1048576,V$93,$C586*2+MIN($B586,2)+5)
+INDEX(Scenarios!V$121:V$200,MATCH($B586,Scenarios!$B$121:$B$200,0)),),"Market")</f>
        <v>2.8999999999999998E-2</v>
      </c>
      <c r="W586" s="863">
        <f>IFERROR(MAX(0,INDEX(Input!$1:$1048576,W$93,$C586*2+MIN($B586,2)+5)-0%,),"Market")</f>
        <v>3.9E-2</v>
      </c>
      <c r="X586" s="476" t="str">
        <f>INDEX(Input!$1:$1048576,X$93,$C586*2+MIN($B586,2)+5)</f>
        <v>Y</v>
      </c>
      <c r="Y586" s="475">
        <f>INDEX(Input!$1:$1048576,Y$93,$C586*2+MIN($B586,2)+5)
++INDEX(Scenarios!Y$121:Y$200,MATCH($B586,Scenarios!$B$121:$B$200,0))</f>
        <v>-1278.3618966787526</v>
      </c>
      <c r="Z586" s="477">
        <f>INDEX(Input!$1:$1048576,Z$93,$C586*2+MIN($B586,2)+5)
+INDEX(Scenarios!Z$121:Z$200,MATCH($B586,Scenarios!$B$121:$B$200,0))</f>
        <v>0</v>
      </c>
      <c r="AA586" s="475">
        <f>INDEX(Input!$1:$1048576,AA$93,$C586*2+MIN($B586,2)+5)</f>
        <v>500</v>
      </c>
      <c r="AB586" s="476">
        <f>INDEX(Input!$1:$1048576,AB$93,$C586*2+MIN($B586,2)+5)</f>
        <v>0.43</v>
      </c>
      <c r="AC586" s="475">
        <f>INDEX(Input!$1:$1048576,AC$93,$C586*2+MIN($B586,2)+5)
+INDEX(Scenarios!AC$121:AC$200,MATCH($B586,Scenarios!$B$121:$B$200,0))</f>
        <v>0</v>
      </c>
      <c r="AD586" s="476">
        <f>INDEX(Input!$1:$1048576,AD$93,$C586*2+MIN($B586,2)+5)</f>
        <v>0.35</v>
      </c>
      <c r="AE586" s="475">
        <f>INDEX(Input!$1:$1048576,AE$93,$C586*2+MIN($B586,2)+5)
+INDEX(Scenarios!AE$121:AE$200,MATCH($B586,Scenarios!$B$121:$B$200,0))</f>
        <v>0</v>
      </c>
      <c r="AF586" s="476">
        <f>INDEX(Input!$1:$1048576,AF$93,$C586*2+MIN($B586,2)+5)</f>
        <v>1</v>
      </c>
      <c r="AG586" s="475">
        <f>INDEX(Input!$1:$1048576,AG$93,$C586*2+MIN($B586,2)+5)
+INDEX(Scenarios!AG$121:AG$200,MATCH($B586,Scenarios!$B$121:$B$200,0))</f>
        <v>0</v>
      </c>
      <c r="AH586" s="476">
        <f>INDEX(Input!$1:$1048576,AH$93,$C586*2+MIN($B586,2)+5)</f>
        <v>1</v>
      </c>
      <c r="AI586" s="475">
        <f>INDEX(Input!$1:$1048576,AI$93,$C586*2+MIN($B586,2)+5)
+INDEX(Scenarios!AI$121:AI$200,MATCH($B586,Scenarios!$B$121:$B$200,0))</f>
        <v>0</v>
      </c>
      <c r="AJ586" s="476">
        <f>INDEX(Input!$1:$1048576,AJ$93,$C586*2+MIN($B586,2)+5)</f>
        <v>0.35</v>
      </c>
      <c r="AK586" s="150">
        <f>ROUND(INDEX(Input!$1:$1048576,AK$93,$C585*2+MIN($B586,1)+5)+(Y586-VLOOKUP($C586*1000+1,$A:$HH,Y$92,FALSE)),0)</f>
        <v>4412</v>
      </c>
      <c r="AL586" s="150">
        <f>ROUND(INDEX(Input!$1:$1048576,AL$93,$C585*2+MIN($B586,1)+5)-(Y586-VLOOKUP($C586*1000+1,$A:$HH,Y$92,FALSE))/36,0)</f>
        <v>4748</v>
      </c>
      <c r="AM586" s="32" t="str">
        <f t="shared" si="1886"/>
        <v>std/std/std/std</v>
      </c>
      <c r="AN586" s="32" t="str">
        <f t="shared" si="1887"/>
        <v>$0 + 0/0/0.9/2.9/3.9</v>
      </c>
      <c r="AO586" s="32" t="str">
        <f t="shared" si="1888"/>
        <v>0/0/0.9/2.9/3.9</v>
      </c>
      <c r="AP586" s="32" t="str">
        <f t="shared" si="1755"/>
        <v>0.9/1.9/2.9/3.9</v>
      </c>
      <c r="AQ586" s="536">
        <f t="shared" si="1754"/>
        <v>0.48108550747587725</v>
      </c>
      <c r="AR586" s="32"/>
      <c r="AS586" s="302"/>
      <c r="AT586" s="3">
        <f t="shared" si="1867"/>
        <v>86</v>
      </c>
      <c r="AU586" s="41" t="s">
        <v>121</v>
      </c>
      <c r="AV586" s="41" t="s">
        <v>116</v>
      </c>
      <c r="AW586" s="41" t="str">
        <f>INDEX(Input!$1:$1048576,AW$93,$C586*2+6)</f>
        <v>Kia</v>
      </c>
      <c r="AX586" s="41" t="str">
        <f>INDEX(Input!$1:$1048576,AX$93,$C586*2+6)</f>
        <v>Kia-LR - R2</v>
      </c>
      <c r="AY586" s="41" t="str">
        <f>IF(LEN(D586)=0,"",INDEX(Input!$1:$1048576,AY$93,$C586*2+6))</f>
        <v>Compact Conventional/Sporty Car (43)</v>
      </c>
      <c r="AZ586" s="41" t="str">
        <f>INDEX(Input!$1:$1048576,AZ$93,$C586*2+6)</f>
        <v>Kia Forte</v>
      </c>
      <c r="BA586" s="3">
        <f>INDEX(Input!$1:$1048576,BA$93,$C586*2+6)</f>
        <v>2020</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19695</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756"/>
        <v>1215</v>
      </c>
      <c r="CJ586" s="16" t="str">
        <f>INDEX(Input!$1:$1048576,CJ$93,$C586*2+6)</f>
        <v>N</v>
      </c>
      <c r="CK586" s="1" t="str">
        <f t="shared" si="1757"/>
        <v>Market</v>
      </c>
      <c r="CL586" s="1" t="str">
        <f t="shared" si="1758"/>
        <v>Market</v>
      </c>
      <c r="CM586" s="1" t="str">
        <f t="shared" si="1759"/>
        <v>Market</v>
      </c>
      <c r="CN586" s="1" t="str">
        <f t="shared" si="1760"/>
        <v>Market</v>
      </c>
      <c r="CO586" s="1" t="str">
        <f t="shared" si="1761"/>
        <v>Market</v>
      </c>
      <c r="CP586" s="304">
        <f t="shared" si="1762"/>
        <v>215</v>
      </c>
      <c r="CQ586" s="1">
        <f t="shared" si="1763"/>
        <v>0</v>
      </c>
      <c r="CR586" s="1">
        <f t="shared" si="1764"/>
        <v>0</v>
      </c>
      <c r="CS586" s="1">
        <f t="shared" si="1765"/>
        <v>9.0000000000000011E-3</v>
      </c>
      <c r="CT586" s="1">
        <f t="shared" si="1766"/>
        <v>2.8999999999999998E-2</v>
      </c>
      <c r="CU586" s="1">
        <f t="shared" si="1767"/>
        <v>3.9E-2</v>
      </c>
      <c r="CV586" s="304">
        <f t="shared" si="1768"/>
        <v>-1278.3618966787526</v>
      </c>
      <c r="CW586" s="20" t="s">
        <v>122</v>
      </c>
      <c r="CX586" s="20" t="s">
        <v>122</v>
      </c>
      <c r="CY586" s="20" t="s">
        <v>122</v>
      </c>
      <c r="CZ586" s="20" t="s">
        <v>122</v>
      </c>
      <c r="DA586" s="20" t="s">
        <v>122</v>
      </c>
      <c r="DB586" s="503">
        <f t="shared" si="1769"/>
        <v>0</v>
      </c>
      <c r="DC586" s="127">
        <v>0</v>
      </c>
      <c r="DD586" s="127">
        <v>0</v>
      </c>
      <c r="DE586" s="127">
        <v>0</v>
      </c>
      <c r="DF586" s="127">
        <v>0</v>
      </c>
      <c r="DG586" s="127">
        <v>0</v>
      </c>
      <c r="DH586" s="127">
        <v>0</v>
      </c>
      <c r="DI586" s="127">
        <v>0</v>
      </c>
      <c r="DJ586" s="127">
        <v>0</v>
      </c>
      <c r="DK586" s="127">
        <v>0</v>
      </c>
      <c r="DL586" s="127">
        <v>0</v>
      </c>
      <c r="DM586" s="304">
        <f>INDEX(Input!$1:$1048576,DM$93,$C586*2+6)</f>
        <v>20731.578947368424</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4.4321075552147621E-2</v>
      </c>
      <c r="DZ586" s="7">
        <v>0</v>
      </c>
      <c r="EA586" s="7">
        <v>0.78582542400376632</v>
      </c>
      <c r="EB586" s="7">
        <v>0</v>
      </c>
      <c r="EC586" s="7">
        <v>0</v>
      </c>
      <c r="ED586" s="7">
        <v>0</v>
      </c>
      <c r="EE586" s="7">
        <v>0</v>
      </c>
      <c r="EF586" s="7">
        <v>0</v>
      </c>
      <c r="EG586" s="7">
        <v>0</v>
      </c>
      <c r="EH586" s="7">
        <v>2.132169832271363E-2</v>
      </c>
      <c r="EI586" s="7">
        <v>2.6844544029682886E-2</v>
      </c>
      <c r="EJ586" s="7">
        <v>0.28838259341638212</v>
      </c>
      <c r="EK586" s="7">
        <v>0.59500288004991031</v>
      </c>
      <c r="EL586" s="7">
        <v>6.844828418131102E-2</v>
      </c>
      <c r="EM586" s="7">
        <v>5.0754289915918141E-2</v>
      </c>
      <c r="EN586" s="7">
        <v>4.7173386528258282E-2</v>
      </c>
      <c r="EO586" s="7">
        <v>0.58297288774450096</v>
      </c>
      <c r="EP586" s="7">
        <v>0.25036467881784041</v>
      </c>
      <c r="EQ586" s="7">
        <v>7.2555114537327506E-2</v>
      </c>
      <c r="ER586" s="7">
        <v>4.6933932372072371E-2</v>
      </c>
      <c r="ES586" s="7">
        <v>0.11909921052816798</v>
      </c>
      <c r="ET586" s="7">
        <v>0.16985350044408612</v>
      </c>
      <c r="EU586" s="6">
        <v>1350</v>
      </c>
      <c r="EV586" s="6">
        <v>0</v>
      </c>
      <c r="EW586" s="6">
        <v>1350</v>
      </c>
      <c r="EX586" s="6">
        <v>0</v>
      </c>
      <c r="EY586" s="6">
        <v>2223.4958544171004</v>
      </c>
      <c r="EZ586" s="6">
        <v>-1903.0908300335955</v>
      </c>
      <c r="FA586" s="6">
        <v>0</v>
      </c>
      <c r="FB586" s="6">
        <v>0</v>
      </c>
      <c r="FC586" s="6">
        <v>0</v>
      </c>
      <c r="FD586" s="6">
        <v>0</v>
      </c>
      <c r="FE586" s="6">
        <v>0</v>
      </c>
      <c r="FF586" s="6">
        <v>0</v>
      </c>
      <c r="FG586" s="6">
        <v>0</v>
      </c>
      <c r="FH586" s="6">
        <v>1153.9878959233163</v>
      </c>
      <c r="FI586" s="6">
        <v>1531.4299904380612</v>
      </c>
      <c r="FJ586" s="6">
        <v>1709.9775738488449</v>
      </c>
      <c r="FK586" s="6">
        <v>1266.3227157028189</v>
      </c>
      <c r="FL586" s="6">
        <v>893.91433563489386</v>
      </c>
      <c r="FM586" s="6">
        <v>1373.4958544171004</v>
      </c>
      <c r="FN586" s="6">
        <v>0</v>
      </c>
      <c r="FO586" s="6">
        <v>0</v>
      </c>
      <c r="FP586" s="6">
        <v>0</v>
      </c>
      <c r="FQ586" s="6">
        <v>0</v>
      </c>
      <c r="FR586" s="6">
        <v>0</v>
      </c>
      <c r="FS586" s="6">
        <v>0</v>
      </c>
      <c r="FT586" s="7">
        <v>0.83014649955591391</v>
      </c>
      <c r="FU586" s="7">
        <v>5.0754289915918141E-2</v>
      </c>
      <c r="FV586" s="7">
        <v>0.11909921052816798</v>
      </c>
      <c r="FW586" s="6">
        <v>1350.0000000000002</v>
      </c>
      <c r="FX586" s="6">
        <v>2223.4958544171004</v>
      </c>
      <c r="FY586" s="6">
        <v>-1903.0908300335955</v>
      </c>
      <c r="FZ586" s="6">
        <v>2411.9063952864503</v>
      </c>
      <c r="GA586" s="6">
        <v>1006.8931122020145</v>
      </c>
      <c r="GB586" s="6">
        <v>18688.106887797985</v>
      </c>
      <c r="GC586" s="7">
        <v>7.6138913542514425E-2</v>
      </c>
      <c r="GD586" s="7">
        <v>6.3475945457497449E-2</v>
      </c>
      <c r="GE586" s="7"/>
      <c r="GF586" s="7"/>
      <c r="GG586" s="7">
        <v>-0.16631401074492916</v>
      </c>
      <c r="GH586" s="42">
        <v>2.3313334336815172</v>
      </c>
      <c r="GI586" s="6">
        <v>9454.8481389090721</v>
      </c>
      <c r="GJ586" s="14">
        <v>0.51074630601039517</v>
      </c>
      <c r="GK586" s="14">
        <v>0.50829519786160904</v>
      </c>
      <c r="GL586" s="14">
        <v>0.48925369398960383</v>
      </c>
      <c r="GM586" s="14">
        <v>0.49170480213838991</v>
      </c>
      <c r="GO586" s="5">
        <v>338.16872463277008</v>
      </c>
      <c r="GP586" s="5">
        <v>312.41330006058649</v>
      </c>
      <c r="GQ586" s="5">
        <v>527.27910984145694</v>
      </c>
      <c r="GR586" s="5">
        <v>404.20319246551543</v>
      </c>
      <c r="GS586" s="5">
        <v>334.50205195691484</v>
      </c>
      <c r="GT586" s="5">
        <v>289.18266033348181</v>
      </c>
      <c r="GU586" s="5">
        <v>254.29573314828914</v>
      </c>
      <c r="GV586" s="39" t="s">
        <v>392</v>
      </c>
      <c r="GW586" s="5">
        <v>468.76388888888891</v>
      </c>
      <c r="GX586" s="5">
        <v>351.57291666666669</v>
      </c>
      <c r="GY586" s="5">
        <v>287.73954748358943</v>
      </c>
      <c r="GZ586" s="5">
        <v>255.64660634518972</v>
      </c>
      <c r="HA586" s="5">
        <v>229.8919505212948</v>
      </c>
      <c r="HB586" s="39">
        <v>270.25791040699806</v>
      </c>
      <c r="HC586" s="5">
        <v>366.37584881396981</v>
      </c>
      <c r="HD586" s="5">
        <v>293.15400980034525</v>
      </c>
      <c r="HE586" s="5">
        <v>290.22825622739902</v>
      </c>
      <c r="HF586" s="5">
        <v>261.71214978663215</v>
      </c>
      <c r="HG586" s="5">
        <v>244.05084178617022</v>
      </c>
      <c r="HH586" s="39">
        <v>291.28975403946049</v>
      </c>
      <c r="HI586" s="16"/>
      <c r="HJ586" s="19" t="str">
        <f t="shared" si="1896"/>
        <v>On</v>
      </c>
      <c r="HK586" s="1" t="str">
        <f t="shared" si="1896"/>
        <v>On</v>
      </c>
      <c r="HL586" s="16"/>
      <c r="HM586" s="889">
        <f t="shared" si="1897"/>
        <v>5.1181272167489952E-2</v>
      </c>
      <c r="HN586" s="889">
        <f t="shared" si="1897"/>
        <v>4.2792051795134348E-3</v>
      </c>
      <c r="HO586" s="889">
        <f t="shared" si="1897"/>
        <v>7.4145241462331068E-3</v>
      </c>
      <c r="HP586" s="890">
        <f>(FT586*$GD586-HM586)/$JF586*INDEX(Input!$1:$1048576,$JG$93,$C586*2+6)</f>
        <v>17.855933189609406</v>
      </c>
      <c r="HQ586" s="890">
        <f>(FU586*$GD586-HN586)/$JF586*INDEX(Input!$1:$1048576,$JG$93,$C586*2+6)</f>
        <v>-12.480099133886274</v>
      </c>
      <c r="HR586" s="890">
        <f>(FV586*$GD586-HO586)/$JF586*INDEX(Input!$1:$1048576,$JG$93,$C586*2+6)</f>
        <v>1.7160213858961542</v>
      </c>
      <c r="HS586" s="890">
        <f t="shared" si="1898"/>
        <v>-2.7781102433732068</v>
      </c>
      <c r="HT586" s="890">
        <f t="shared" si="1899"/>
        <v>-0.77742774603324094</v>
      </c>
      <c r="HU586" s="890">
        <f t="shared" si="1900"/>
        <v>2.9331694701122224</v>
      </c>
      <c r="HV586" s="891">
        <f t="shared" si="1901"/>
        <v>0</v>
      </c>
      <c r="HW586" s="891">
        <f t="shared" si="1902"/>
        <v>0</v>
      </c>
      <c r="HX586" s="891">
        <f t="shared" si="1903"/>
        <v>0</v>
      </c>
      <c r="HY586" s="890">
        <f>INDEX(Input!$1:$1048576,HY$93,$C586*2+6)*INDEX(Input!$1:$1048576,$JG$93,$C586*2+6)</f>
        <v>345</v>
      </c>
      <c r="HZ586" s="890">
        <f>INDEX(Input!$1:$1048576,HZ$93,$C586*2+6)*INDEX(Input!$1:$1048576,$JG$93,$C586*2+6)</f>
        <v>299</v>
      </c>
      <c r="IA586" s="890">
        <f>INDEX(Input!$1:$1048576,IA$93,$C586*2+6)*INDEX(Input!$1:$1048576,$JG$93,$C586*2+6)</f>
        <v>98</v>
      </c>
      <c r="IB586" s="890">
        <f t="shared" si="1904"/>
        <v>360.07782294623627</v>
      </c>
      <c r="IC586" s="890">
        <f t="shared" si="1905"/>
        <v>285.74247312008049</v>
      </c>
      <c r="ID586" s="890">
        <f>IF(AND(INDEX(Input!$1:$1048576,IA$93,$C586*2+7)="TOS",Y586&lt;=INDEX(Y:Y,MATCH(C586*1000+2,A:A))),0,1)*MAX(IA586+HR586+HU586+HX586,0%)</f>
        <v>102.64919085600837</v>
      </c>
      <c r="IE586" s="892">
        <f t="shared" si="1906"/>
        <v>0.48108550747587725</v>
      </c>
      <c r="IF586" s="892">
        <f t="shared" si="1906"/>
        <v>0.38176903415935026</v>
      </c>
      <c r="IG586" s="892">
        <f t="shared" si="1906"/>
        <v>0.13714545836477249</v>
      </c>
      <c r="IH586" s="21"/>
      <c r="II586" s="19">
        <f t="shared" si="1907"/>
        <v>1200</v>
      </c>
      <c r="IJ586" s="19">
        <f t="shared" si="1908"/>
        <v>2231.5440334087361</v>
      </c>
      <c r="IK586" s="19">
        <f t="shared" si="1908"/>
        <v>-2048.0908300335955</v>
      </c>
      <c r="IL586" s="19">
        <f t="shared" si="1909"/>
        <v>150.00000000000023</v>
      </c>
      <c r="IM586" s="19">
        <f t="shared" si="1910"/>
        <v>-8.0481789916357229</v>
      </c>
      <c r="IN586" s="19">
        <f t="shared" si="1910"/>
        <v>145</v>
      </c>
      <c r="IO586" s="39">
        <f t="shared" si="1911"/>
        <v>0</v>
      </c>
      <c r="IP586" s="39">
        <f t="shared" si="1911"/>
        <v>0</v>
      </c>
      <c r="IQ586" s="39">
        <f t="shared" si="1911"/>
        <v>0</v>
      </c>
      <c r="IR586" s="39">
        <v>0</v>
      </c>
      <c r="IS586" s="39">
        <v>0</v>
      </c>
      <c r="IT586" s="39">
        <v>0</v>
      </c>
      <c r="IU586" s="39">
        <v>0</v>
      </c>
      <c r="IV586" s="39">
        <v>0</v>
      </c>
      <c r="IW586" s="39">
        <v>0</v>
      </c>
      <c r="IX586" s="39">
        <f>INDEX(Input!$1:$1048576,IX$93,$C586*2+6)+INDEX(Input!$1:$1048576,IX$94,$C586*2+6)</f>
        <v>1600</v>
      </c>
      <c r="IY586" s="39">
        <f>INDEX(Input!$1:$1048576,IY$93,$C586*2+6)+INDEX(Input!$1:$1048576,IY$94,$C586*2+6)</f>
        <v>2503.5492916397525</v>
      </c>
      <c r="IZ586" s="39">
        <f>INDEX(Input!$1:$1048576,IZ$93,$C586*2+6)+INDEX(Input!$1:$1048576,IZ$94,$C586*2+6)</f>
        <v>5413.7109265464023</v>
      </c>
      <c r="JA586" s="19">
        <f t="shared" si="1912"/>
        <v>1750.0000000000002</v>
      </c>
      <c r="JB586" s="19">
        <f t="shared" si="1912"/>
        <v>2495.5011126481168</v>
      </c>
      <c r="JC586" s="19">
        <f t="shared" si="1912"/>
        <v>5558.7109265464023</v>
      </c>
      <c r="JD586" s="19">
        <f t="shared" si="1913"/>
        <v>2556.9566455405161</v>
      </c>
      <c r="JE586" s="21"/>
      <c r="JF586" s="1">
        <f t="shared" si="1914"/>
        <v>6.2875001493236493E-2</v>
      </c>
      <c r="JG586" s="15">
        <f>INDEX(Input!$1:$1048576,JG$93,$C586*2+6)/(1+VLOOKUP(C586*1000+INDEX(Input!$1:$1048576,JG$93+1,$C586*2+6),$A:$KK,$JK$92,FALSE))</f>
        <v>742</v>
      </c>
      <c r="JH586" s="1">
        <f t="shared" si="1915"/>
        <v>9.5577566598642662E-3</v>
      </c>
      <c r="JI586" s="1">
        <f t="shared" si="1916"/>
        <v>-8.38771589345317E-4</v>
      </c>
      <c r="JJ586" s="1">
        <f t="shared" si="1917"/>
        <v>0</v>
      </c>
      <c r="JK586" s="1">
        <f t="shared" si="1918"/>
        <v>8.7189850705189486E-3</v>
      </c>
      <c r="JL586" s="15">
        <f t="shared" si="1919"/>
        <v>6.4694869223250597</v>
      </c>
      <c r="JM586" s="15">
        <f t="shared" si="1920"/>
        <v>748.46948692232502</v>
      </c>
      <c r="JN586" s="21"/>
      <c r="JO586" s="19">
        <f>INDEX(Input!$1:$1048576,JO$93,$C586*2+6)</f>
        <v>5908.5</v>
      </c>
      <c r="JP586" s="19">
        <f>INDEX(Input!$1:$1048576,JP$93,$C586*2+6)</f>
        <v>2467.7963733178344</v>
      </c>
      <c r="JQ586" s="39">
        <f t="shared" si="1921"/>
        <v>3351.5433544594839</v>
      </c>
      <c r="JR586" s="39">
        <f t="shared" si="1922"/>
        <v>89.16027222268167</v>
      </c>
      <c r="JS586" s="39">
        <f t="shared" si="1923"/>
        <v>1.9138040285703393</v>
      </c>
      <c r="JT586" s="39">
        <f t="shared" si="1924"/>
        <v>8.2699119568506257E-2</v>
      </c>
      <c r="JU586" s="385">
        <f>(JQ586*JM586-INDEX(Input!$1:$1048576,Input!A$18,$C586*2+6)*JL586*INDEX(Input!$1:$1048576,Input!A$19,$C586*2+6))/1000000</f>
        <v>2.5085279349102181</v>
      </c>
      <c r="JV586" s="39">
        <f t="shared" si="1925"/>
        <v>-4.4474156087948469E-2</v>
      </c>
      <c r="JW586" s="1">
        <f t="shared" si="1926"/>
        <v>-1.7420336726226521E-2</v>
      </c>
      <c r="JX586" s="19">
        <f t="shared" si="1927"/>
        <v>12782.948719337566</v>
      </c>
      <c r="JZ586" s="341"/>
      <c r="KA586" s="342"/>
      <c r="KB586" s="469">
        <f t="shared" si="1928"/>
        <v>2.4623520912331753</v>
      </c>
      <c r="KI586" s="473">
        <f t="shared" si="1929"/>
        <v>15.077822946236211</v>
      </c>
      <c r="KJ586" s="473">
        <f t="shared" si="1929"/>
        <v>-13.25752687991951</v>
      </c>
      <c r="KK586" s="473">
        <f t="shared" si="1929"/>
        <v>4.6491908560083459</v>
      </c>
      <c r="KN586" s="888">
        <f t="shared" si="1930"/>
        <v>5002</v>
      </c>
      <c r="KO586" s="893">
        <f t="shared" si="1931"/>
        <v>-6.2714755512746079E-2</v>
      </c>
      <c r="KP586" s="894">
        <f t="shared" si="1932"/>
        <v>-300.75115854977867</v>
      </c>
      <c r="KQ586" s="894">
        <f t="shared" si="1933"/>
        <v>-301.81580061119303</v>
      </c>
      <c r="KR586" s="895">
        <f t="shared" si="1934"/>
        <v>3.510809068493717</v>
      </c>
      <c r="KS586" s="895">
        <f t="shared" si="1935"/>
        <v>3.498424842762843</v>
      </c>
      <c r="KT586" s="896">
        <f t="shared" si="1936"/>
        <v>389.37465324503302</v>
      </c>
      <c r="KU586" s="663">
        <f t="shared" si="1937"/>
        <v>7.1036140617132197</v>
      </c>
    </row>
    <row r="587" spans="1:307" s="26" customFormat="1" ht="15" outlineLevel="1">
      <c r="A587" s="561">
        <f t="shared" si="1885"/>
        <v>5087</v>
      </c>
      <c r="B587" s="561">
        <f t="shared" si="1865"/>
        <v>87</v>
      </c>
      <c r="C587" s="561">
        <f t="shared" si="1866"/>
        <v>5</v>
      </c>
      <c r="D587" s="561" t="str">
        <f t="shared" si="1938"/>
        <v xml:space="preserve">250 CC, -180 Lease, </v>
      </c>
      <c r="E587" s="475">
        <f>INDEX(Input!$1:$1048576,E$93,$C587*2+MIN($B587,2)+5)
+INDEX(Scenarios!E$121:E$200,MATCH($B587,Scenarios!$B$121:$B$200,0))</f>
        <v>1500</v>
      </c>
      <c r="F587" s="475">
        <f>INDEX(Input!$1:$1048576,F$93,$C587*2+MIN($B587,2)+5)
+INDEX(Scenarios!F$121:F$200,MATCH($B587,Scenarios!$B$121:$B$200,0))</f>
        <v>0</v>
      </c>
      <c r="G587" s="475">
        <f>INDEX(Input!$1:$1048576,G$93,$C587*2+MIN($B587,2)+5)
+INDEX(Scenarios!G$121:G$200,MATCH($B587,Scenarios!$B$121:$B$200,0))</f>
        <v>0</v>
      </c>
      <c r="H587" s="475">
        <f>INDEX(Input!$1:$1048576,H$93,$C587*2+MIN($B587,2)+5)
+INDEX(Scenarios!H$121:H$200,MATCH($B587,Scenarios!$B$121:$B$200,0))</f>
        <v>0</v>
      </c>
      <c r="I587" s="476">
        <f>INDEX(Input!$1:$1048576,I$93,$C587*2+MIN($B587,2)+5)</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+INDEX(Scenarios!Q$121:Q$200,MATCH($B587,Scenarios!$B$121:$B$200,0))</f>
        <v>0</v>
      </c>
      <c r="R587" s="478">
        <f>IFERROR(MAX(0,INDEX(Input!$1:$1048576,R$93,$C587*2+MIN($B587,2)+5)
+INDEX(Scenarios!R$121:R$200,MATCH($B587,Scenarios!$B$121:$B$200,0)),),"Market")</f>
        <v>0</v>
      </c>
      <c r="S587" s="478">
        <f>IFERROR(MAX(0,INDEX(Input!$1:$1048576,S$93,$C587*2+MIN($B587,2)+5)
+INDEX(Scenarios!S$121:S$200,MATCH($B587,Scenarios!$B$121:$B$200,0)),),"Market")</f>
        <v>0</v>
      </c>
      <c r="T587" s="478">
        <f>IFERROR(MAX(0,INDEX(Input!$1:$1048576,T$93,$C587*2+MIN($B587,2)+5)
+INDEX(Scenarios!T$121:T$200,MATCH($B587,Scenarios!$B$121:$B$200,0)),),"Market")</f>
        <v>0</v>
      </c>
      <c r="U587" s="478">
        <f>IFERROR(MAX(0,INDEX(Input!$1:$1048576,U$93,$C587*2+MIN($B587,2)+5)
+INDEX(Scenarios!U$121:U$200,MATCH($B587,Scenarios!$B$121:$B$200,0)),),"Market")</f>
        <v>0</v>
      </c>
      <c r="V587" s="478">
        <f>IFERROR(MAX(0,INDEX(Input!$1:$1048576,V$93,$C587*2+MIN($B587,2)+5)
+INDEX(Scenarios!V$121:V$200,MATCH($B587,Scenarios!$B$121:$B$200,0)),),"Market")</f>
        <v>1.9E-2</v>
      </c>
      <c r="W587" s="863">
        <f>IFERROR(MAX(0,INDEX(Input!$1:$1048576,W$93,$C587*2+MIN($B587,2)+5)-0%,),"Market")</f>
        <v>3.9E-2</v>
      </c>
      <c r="X587" s="476" t="str">
        <f>INDEX(Input!$1:$1048576,X$93,$C587*2+MIN($B587,2)+5)</f>
        <v>Y</v>
      </c>
      <c r="Y587" s="475">
        <f>INDEX(Input!$1:$1048576,Y$93,$C587*2+MIN($B587,2)+5)
++INDEX(Scenarios!Y$121:Y$200,MATCH($B587,Scenarios!$B$121:$B$200,0))</f>
        <v>-1278.3618966787526</v>
      </c>
      <c r="Z587" s="477">
        <f>INDEX(Input!$1:$1048576,Z$93,$C587*2+MIN($B587,2)+5)
+INDEX(Scenarios!Z$121:Z$200,MATCH($B587,Scenarios!$B$121:$B$200,0))</f>
        <v>0</v>
      </c>
      <c r="AA587" s="475">
        <f>INDEX(Input!$1:$1048576,AA$93,$C587*2+MIN($B587,2)+5)</f>
        <v>500</v>
      </c>
      <c r="AB587" s="476">
        <f>INDEX(Input!$1:$1048576,AB$93,$C587*2+MIN($B587,2)+5)</f>
        <v>0.43</v>
      </c>
      <c r="AC587" s="475">
        <f>INDEX(Input!$1:$1048576,AC$93,$C587*2+MIN($B587,2)+5)
+INDEX(Scenarios!AC$121:AC$200,MATCH($B587,Scenarios!$B$121:$B$200,0))</f>
        <v>0</v>
      </c>
      <c r="AD587" s="476">
        <f>INDEX(Input!$1:$1048576,AD$93,$C587*2+MIN($B587,2)+5)</f>
        <v>0.35</v>
      </c>
      <c r="AE587" s="475">
        <f>INDEX(Input!$1:$1048576,AE$93,$C587*2+MIN($B587,2)+5)
+INDEX(Scenarios!AE$121:AE$200,MATCH($B587,Scenarios!$B$121:$B$200,0))</f>
        <v>0</v>
      </c>
      <c r="AF587" s="476">
        <f>INDEX(Input!$1:$1048576,AF$93,$C587*2+MIN($B587,2)+5)</f>
        <v>1</v>
      </c>
      <c r="AG587" s="475">
        <f>INDEX(Input!$1:$1048576,AG$93,$C587*2+MIN($B587,2)+5)
+INDEX(Scenarios!AG$121:AG$200,MATCH($B587,Scenarios!$B$121:$B$200,0))</f>
        <v>0</v>
      </c>
      <c r="AH587" s="476">
        <f>INDEX(Input!$1:$1048576,AH$93,$C587*2+MIN($B587,2)+5)</f>
        <v>1</v>
      </c>
      <c r="AI587" s="475">
        <f>INDEX(Input!$1:$1048576,AI$93,$C587*2+MIN($B587,2)+5)
+INDEX(Scenarios!AI$121:AI$200,MATCH($B587,Scenarios!$B$121:$B$200,0))</f>
        <v>0</v>
      </c>
      <c r="AJ587" s="476">
        <f>INDEX(Input!$1:$1048576,AJ$93,$C587*2+MIN($B587,2)+5)</f>
        <v>0.35</v>
      </c>
      <c r="AK587" s="150">
        <f>ROUND(INDEX(Input!$1:$1048576,AK$93,$C586*2+MIN($B587,1)+5)+(Y587-VLOOKUP($C587*1000+1,$A:$HH,Y$92,FALSE)),0)</f>
        <v>4412</v>
      </c>
      <c r="AL587" s="150">
        <f>ROUND(INDEX(Input!$1:$1048576,AL$93,$C586*2+MIN($B587,1)+5)-(Y587-VLOOKUP($C587*1000+1,$A:$HH,Y$92,FALSE))/36,0)</f>
        <v>4748</v>
      </c>
      <c r="AM587" s="32" t="str">
        <f t="shared" si="1886"/>
        <v>std/std/std/std</v>
      </c>
      <c r="AN587" s="32" t="str">
        <f t="shared" si="1887"/>
        <v>$0 + 0/0/0/1.9/3.9</v>
      </c>
      <c r="AO587" s="32" t="str">
        <f t="shared" si="1888"/>
        <v>0/0/0/1.9/3.9</v>
      </c>
      <c r="AP587" s="32" t="str">
        <f t="shared" si="1755"/>
        <v>0/0.9/1.9/3.9</v>
      </c>
      <c r="AQ587" s="536">
        <f t="shared" si="1754"/>
        <v>0.48436302702128559</v>
      </c>
      <c r="AR587" s="32"/>
      <c r="AS587" s="302"/>
      <c r="AT587" s="3">
        <f t="shared" si="1867"/>
        <v>87</v>
      </c>
      <c r="AU587" s="41" t="s">
        <v>121</v>
      </c>
      <c r="AV587" s="41" t="s">
        <v>116</v>
      </c>
      <c r="AW587" s="41" t="str">
        <f>INDEX(Input!$1:$1048576,AW$93,$C587*2+6)</f>
        <v>Kia</v>
      </c>
      <c r="AX587" s="41" t="str">
        <f>INDEX(Input!$1:$1048576,AX$93,$C587*2+6)</f>
        <v>Kia-LR - R2</v>
      </c>
      <c r="AY587" s="41" t="str">
        <f>IF(LEN(D587)=0,"",INDEX(Input!$1:$1048576,AY$93,$C587*2+6))</f>
        <v>Compact Conventional/Sporty Car (43)</v>
      </c>
      <c r="AZ587" s="41" t="str">
        <f>INDEX(Input!$1:$1048576,AZ$93,$C587*2+6)</f>
        <v>Kia Forte</v>
      </c>
      <c r="BA587" s="3">
        <f>INDEX(Input!$1:$1048576,BA$93,$C587*2+6)</f>
        <v>2020</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19695</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756"/>
        <v>1500</v>
      </c>
      <c r="CJ587" s="16" t="str">
        <f>INDEX(Input!$1:$1048576,CJ$93,$C587*2+6)</f>
        <v>N</v>
      </c>
      <c r="CK587" s="1" t="str">
        <f t="shared" si="1757"/>
        <v>Market</v>
      </c>
      <c r="CL587" s="1" t="str">
        <f t="shared" si="1758"/>
        <v>Market</v>
      </c>
      <c r="CM587" s="1" t="str">
        <f t="shared" si="1759"/>
        <v>Market</v>
      </c>
      <c r="CN587" s="1" t="str">
        <f t="shared" si="1760"/>
        <v>Market</v>
      </c>
      <c r="CO587" s="1" t="str">
        <f t="shared" si="1761"/>
        <v>Market</v>
      </c>
      <c r="CP587" s="304">
        <f t="shared" si="1762"/>
        <v>215</v>
      </c>
      <c r="CQ587" s="1">
        <f t="shared" si="1763"/>
        <v>0</v>
      </c>
      <c r="CR587" s="1">
        <f t="shared" si="1764"/>
        <v>0</v>
      </c>
      <c r="CS587" s="1">
        <f t="shared" si="1765"/>
        <v>0</v>
      </c>
      <c r="CT587" s="1">
        <f t="shared" si="1766"/>
        <v>1.9E-2</v>
      </c>
      <c r="CU587" s="1">
        <f t="shared" si="1767"/>
        <v>3.9E-2</v>
      </c>
      <c r="CV587" s="304">
        <f t="shared" si="1768"/>
        <v>-1278.3618966787526</v>
      </c>
      <c r="CW587" s="20" t="s">
        <v>122</v>
      </c>
      <c r="CX587" s="20" t="s">
        <v>122</v>
      </c>
      <c r="CY587" s="20" t="s">
        <v>122</v>
      </c>
      <c r="CZ587" s="20" t="s">
        <v>122</v>
      </c>
      <c r="DA587" s="20" t="s">
        <v>122</v>
      </c>
      <c r="DB587" s="503">
        <f t="shared" si="1769"/>
        <v>0</v>
      </c>
      <c r="DC587" s="127">
        <v>0</v>
      </c>
      <c r="DD587" s="127">
        <v>0</v>
      </c>
      <c r="DE587" s="127">
        <v>0</v>
      </c>
      <c r="DF587" s="127">
        <v>0</v>
      </c>
      <c r="DG587" s="127">
        <v>0</v>
      </c>
      <c r="DH587" s="127">
        <v>0</v>
      </c>
      <c r="DI587" s="127">
        <v>0</v>
      </c>
      <c r="DJ587" s="127">
        <v>0</v>
      </c>
      <c r="DK587" s="127">
        <v>0</v>
      </c>
      <c r="DL587" s="127">
        <v>0</v>
      </c>
      <c r="DM587" s="304">
        <f>INDEX(Input!$1:$1048576,DM$93,$C587*2+6)</f>
        <v>20731.578947368424</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4.4659844950288005E-2</v>
      </c>
      <c r="DZ587" s="7">
        <v>0</v>
      </c>
      <c r="EA587" s="7">
        <v>0.78734777981532211</v>
      </c>
      <c r="EB587" s="7">
        <v>0</v>
      </c>
      <c r="EC587" s="7">
        <v>0</v>
      </c>
      <c r="ED587" s="7">
        <v>0</v>
      </c>
      <c r="EE587" s="7">
        <v>0</v>
      </c>
      <c r="EF587" s="7">
        <v>0</v>
      </c>
      <c r="EG587" s="7">
        <v>0</v>
      </c>
      <c r="EH587" s="7">
        <v>1.4450486092395663E-2</v>
      </c>
      <c r="EI587" s="7">
        <v>1.8189719184887619E-2</v>
      </c>
      <c r="EJ587" s="7">
        <v>0.26776676884076261</v>
      </c>
      <c r="EK587" s="7">
        <v>0.65322246308589504</v>
      </c>
      <c r="EL587" s="7">
        <v>4.6370562796059223E-2</v>
      </c>
      <c r="EM587" s="7">
        <v>6.4853275850857164E-2</v>
      </c>
      <c r="EN587" s="7">
        <v>4.7172489682902441E-2</v>
      </c>
      <c r="EO587" s="7">
        <v>0.58296766575640868</v>
      </c>
      <c r="EP587" s="7">
        <v>0.25036555349184314</v>
      </c>
      <c r="EQ587" s="7">
        <v>7.2555020613937565E-2</v>
      </c>
      <c r="ER587" s="7">
        <v>4.6939270454908262E-2</v>
      </c>
      <c r="ES587" s="7">
        <v>0.10313909938353263</v>
      </c>
      <c r="ET587" s="7">
        <v>0.16799237523438987</v>
      </c>
      <c r="EU587" s="6">
        <v>1850</v>
      </c>
      <c r="EV587" s="6">
        <v>0</v>
      </c>
      <c r="EW587" s="6">
        <v>1850</v>
      </c>
      <c r="EX587" s="6">
        <v>0</v>
      </c>
      <c r="EY587" s="6">
        <v>2631.6268064431642</v>
      </c>
      <c r="EZ587" s="6">
        <v>-1903.0908300335955</v>
      </c>
      <c r="FA587" s="6">
        <v>0</v>
      </c>
      <c r="FB587" s="6">
        <v>0</v>
      </c>
      <c r="FC587" s="6">
        <v>0</v>
      </c>
      <c r="FD587" s="6">
        <v>0</v>
      </c>
      <c r="FE587" s="6">
        <v>0</v>
      </c>
      <c r="FF587" s="6">
        <v>0</v>
      </c>
      <c r="FG587" s="6">
        <v>0</v>
      </c>
      <c r="FH587" s="6">
        <v>1153.9897815183842</v>
      </c>
      <c r="FI587" s="6">
        <v>1531.4299904380616</v>
      </c>
      <c r="FJ587" s="6">
        <v>2070.7205842538206</v>
      </c>
      <c r="FK587" s="6">
        <v>1746.9903521590434</v>
      </c>
      <c r="FL587" s="6">
        <v>893.91433563489352</v>
      </c>
      <c r="FM587" s="6">
        <v>1781.626806443164</v>
      </c>
      <c r="FN587" s="6">
        <v>0</v>
      </c>
      <c r="FO587" s="6">
        <v>0</v>
      </c>
      <c r="FP587" s="6">
        <v>0</v>
      </c>
      <c r="FQ587" s="6">
        <v>0</v>
      </c>
      <c r="FR587" s="6">
        <v>0</v>
      </c>
      <c r="FS587" s="6">
        <v>0</v>
      </c>
      <c r="FT587" s="7">
        <v>0.83200762476561008</v>
      </c>
      <c r="FU587" s="7">
        <v>6.4853275850857164E-2</v>
      </c>
      <c r="FV587" s="7">
        <v>0.10313909938353263</v>
      </c>
      <c r="FW587" s="6">
        <v>1850.0000000000002</v>
      </c>
      <c r="FX587" s="6">
        <v>2631.6268064431642</v>
      </c>
      <c r="FY587" s="6">
        <v>-1903.0908300335955</v>
      </c>
      <c r="FZ587" s="6">
        <v>2411.9063952864503</v>
      </c>
      <c r="GA587" s="6">
        <v>1513.600650776423</v>
      </c>
      <c r="GB587" s="6">
        <v>18181.399349223579</v>
      </c>
      <c r="GC587" s="7">
        <v>7.6138913542514425E-2</v>
      </c>
      <c r="GD587" s="7">
        <v>6.7555013978438119E-2</v>
      </c>
      <c r="GE587" s="7"/>
      <c r="GF587" s="7"/>
      <c r="GG587" s="7">
        <v>-0.11273997965945798</v>
      </c>
      <c r="GH587" s="42">
        <v>2.4717796952351998</v>
      </c>
      <c r="GI587" s="6">
        <v>9481.5437639776756</v>
      </c>
      <c r="GJ587" s="14">
        <v>0.51074630601039539</v>
      </c>
      <c r="GK587" s="14">
        <v>0.50829519786160937</v>
      </c>
      <c r="GL587" s="14">
        <v>0.4892536939896045</v>
      </c>
      <c r="GM587" s="14">
        <v>0.49170480213839041</v>
      </c>
      <c r="GO587" s="5">
        <v>338.16872463277008</v>
      </c>
      <c r="GP587" s="5">
        <v>302.87425392274076</v>
      </c>
      <c r="GQ587" s="5">
        <v>527.27910984145694</v>
      </c>
      <c r="GR587" s="5">
        <v>404.20319246551543</v>
      </c>
      <c r="GS587" s="5">
        <v>334.50205195691484</v>
      </c>
      <c r="GT587" s="5">
        <v>289.18266033348181</v>
      </c>
      <c r="GU587" s="5">
        <v>254.29573314828914</v>
      </c>
      <c r="GV587" s="39" t="s">
        <v>392</v>
      </c>
      <c r="GW587" s="5">
        <v>468.76388888888891</v>
      </c>
      <c r="GX587" s="5">
        <v>351.57291666666669</v>
      </c>
      <c r="GY587" s="5">
        <v>281.25833333333333</v>
      </c>
      <c r="GZ587" s="5">
        <v>248.18079879493993</v>
      </c>
      <c r="HA587" s="5">
        <v>229.8919505212948</v>
      </c>
      <c r="HB587" s="39">
        <v>261.25800561780142</v>
      </c>
      <c r="HC587" s="5">
        <v>366.37584881396981</v>
      </c>
      <c r="HD587" s="5">
        <v>293.15400980034525</v>
      </c>
      <c r="HE587" s="5">
        <v>290.22825622739902</v>
      </c>
      <c r="HF587" s="5">
        <v>261.71214978663215</v>
      </c>
      <c r="HG587" s="5">
        <v>244.05084178617022</v>
      </c>
      <c r="HH587" s="39">
        <v>291.28942664806152</v>
      </c>
      <c r="HI587" s="16"/>
      <c r="HJ587" s="19" t="str">
        <f t="shared" si="1896"/>
        <v>On</v>
      </c>
      <c r="HK587" s="1" t="str">
        <f t="shared" si="1896"/>
        <v>On</v>
      </c>
      <c r="HL587" s="16"/>
      <c r="HM587" s="889">
        <f t="shared" si="1897"/>
        <v>5.1181272167489952E-2</v>
      </c>
      <c r="HN587" s="889">
        <f t="shared" si="1897"/>
        <v>4.2792051795134348E-3</v>
      </c>
      <c r="HO587" s="889">
        <f t="shared" si="1897"/>
        <v>7.4145241462331068E-3</v>
      </c>
      <c r="HP587" s="890">
        <f>(FT587*$GD587-HM587)/$JF587*INDEX(Input!$1:$1048576,$JG$93,$C587*2+6)</f>
        <v>59.301164378656765</v>
      </c>
      <c r="HQ587" s="890">
        <f>(FU587*$GD587-HN587)/$JF587*INDEX(Input!$1:$1048576,$JG$93,$C587*2+6)</f>
        <v>1.2032351624686861</v>
      </c>
      <c r="HR587" s="890">
        <f>(FV587*$GD587-HO587)/$JF587*INDEX(Input!$1:$1048576,$JG$93,$C587*2+6)</f>
        <v>-5.2746710075500509</v>
      </c>
      <c r="HS587" s="890">
        <f t="shared" si="1898"/>
        <v>-12.129603598719338</v>
      </c>
      <c r="HT587" s="890">
        <f t="shared" si="1899"/>
        <v>20.421646078148367</v>
      </c>
      <c r="HU587" s="890">
        <f t="shared" si="1900"/>
        <v>4.1427551827642892</v>
      </c>
      <c r="HV587" s="891">
        <f t="shared" si="1901"/>
        <v>0</v>
      </c>
      <c r="HW587" s="891">
        <f t="shared" si="1902"/>
        <v>0</v>
      </c>
      <c r="HX587" s="891">
        <f t="shared" si="1903"/>
        <v>0</v>
      </c>
      <c r="HY587" s="890">
        <f>INDEX(Input!$1:$1048576,HY$93,$C587*2+6)*INDEX(Input!$1:$1048576,$JG$93,$C587*2+6)</f>
        <v>345</v>
      </c>
      <c r="HZ587" s="890">
        <f>INDEX(Input!$1:$1048576,HZ$93,$C587*2+6)*INDEX(Input!$1:$1048576,$JG$93,$C587*2+6)</f>
        <v>299</v>
      </c>
      <c r="IA587" s="890">
        <f>INDEX(Input!$1:$1048576,IA$93,$C587*2+6)*INDEX(Input!$1:$1048576,$JG$93,$C587*2+6)</f>
        <v>98</v>
      </c>
      <c r="IB587" s="890">
        <f t="shared" si="1904"/>
        <v>392.17156077993752</v>
      </c>
      <c r="IC587" s="890">
        <f t="shared" si="1905"/>
        <v>320.62488124061701</v>
      </c>
      <c r="ID587" s="890">
        <f>IF(AND(INDEX(Input!$1:$1048576,IA$93,$C587*2+7)="TOS",Y587&lt;=INDEX(Y:Y,MATCH(C587*1000+2,A:A))),0,1)*MAX(IA587+HR587+HU587+HX587,0%)</f>
        <v>96.868084175214236</v>
      </c>
      <c r="IE587" s="892">
        <f t="shared" si="1906"/>
        <v>0.48436302702128559</v>
      </c>
      <c r="IF587" s="892">
        <f t="shared" si="1906"/>
        <v>0.39599719497046748</v>
      </c>
      <c r="IG587" s="892">
        <f t="shared" si="1906"/>
        <v>0.11963977800824696</v>
      </c>
      <c r="IH587" s="21"/>
      <c r="II587" s="19">
        <f t="shared" si="1907"/>
        <v>1200</v>
      </c>
      <c r="IJ587" s="19">
        <f t="shared" si="1908"/>
        <v>2231.5440334087361</v>
      </c>
      <c r="IK587" s="19">
        <f t="shared" si="1908"/>
        <v>-2048.0908300335955</v>
      </c>
      <c r="IL587" s="19">
        <f t="shared" si="1909"/>
        <v>650.00000000000023</v>
      </c>
      <c r="IM587" s="19">
        <f t="shared" si="1910"/>
        <v>400.0827730344281</v>
      </c>
      <c r="IN587" s="19">
        <f t="shared" si="1910"/>
        <v>145</v>
      </c>
      <c r="IO587" s="39">
        <f t="shared" si="1911"/>
        <v>0</v>
      </c>
      <c r="IP587" s="39">
        <f t="shared" si="1911"/>
        <v>0</v>
      </c>
      <c r="IQ587" s="39">
        <f t="shared" si="1911"/>
        <v>0</v>
      </c>
      <c r="IR587" s="39">
        <v>0</v>
      </c>
      <c r="IS587" s="39">
        <v>0</v>
      </c>
      <c r="IT587" s="39">
        <v>0</v>
      </c>
      <c r="IU587" s="39">
        <v>0</v>
      </c>
      <c r="IV587" s="39">
        <v>0</v>
      </c>
      <c r="IW587" s="39">
        <v>0</v>
      </c>
      <c r="IX587" s="39">
        <f>INDEX(Input!$1:$1048576,IX$93,$C587*2+6)+INDEX(Input!$1:$1048576,IX$94,$C587*2+6)</f>
        <v>1600</v>
      </c>
      <c r="IY587" s="39">
        <f>INDEX(Input!$1:$1048576,IY$93,$C587*2+6)+INDEX(Input!$1:$1048576,IY$94,$C587*2+6)</f>
        <v>2503.5492916397525</v>
      </c>
      <c r="IZ587" s="39">
        <f>INDEX(Input!$1:$1048576,IZ$93,$C587*2+6)+INDEX(Input!$1:$1048576,IZ$94,$C587*2+6)</f>
        <v>5413.7109265464023</v>
      </c>
      <c r="JA587" s="19">
        <f t="shared" si="1912"/>
        <v>2250</v>
      </c>
      <c r="JB587" s="19">
        <f t="shared" si="1912"/>
        <v>2903.6320646741806</v>
      </c>
      <c r="JC587" s="19">
        <f t="shared" si="1912"/>
        <v>5558.7109265464023</v>
      </c>
      <c r="JD587" s="19">
        <f t="shared" si="1913"/>
        <v>2904.6899048992032</v>
      </c>
      <c r="JE587" s="21"/>
      <c r="JF587" s="1">
        <f t="shared" si="1914"/>
        <v>6.2875001493236493E-2</v>
      </c>
      <c r="JG587" s="15">
        <f>INDEX(Input!$1:$1048576,JG$93,$C587*2+6)/(1+VLOOKUP(C587*1000+INDEX(Input!$1:$1048576,JG$93+1,$C587*2+6),$A:$KK,$JK$92,FALSE))</f>
        <v>742</v>
      </c>
      <c r="JH587" s="1">
        <f t="shared" si="1915"/>
        <v>7.4433596406435848E-2</v>
      </c>
      <c r="JI587" s="1">
        <f t="shared" si="1916"/>
        <v>1.6758487415354878E-2</v>
      </c>
      <c r="JJ587" s="1">
        <f t="shared" si="1917"/>
        <v>0</v>
      </c>
      <c r="JK587" s="1">
        <f t="shared" si="1918"/>
        <v>9.1192083821790726E-2</v>
      </c>
      <c r="JL587" s="15">
        <f t="shared" si="1919"/>
        <v>67.664526195768715</v>
      </c>
      <c r="JM587" s="15">
        <f t="shared" si="1920"/>
        <v>809.66452619576876</v>
      </c>
      <c r="JN587" s="21"/>
      <c r="JO587" s="19">
        <f>INDEX(Input!$1:$1048576,JO$93,$C587*2+6)</f>
        <v>5908.5</v>
      </c>
      <c r="JP587" s="19">
        <f>INDEX(Input!$1:$1048576,JP$93,$C587*2+6)</f>
        <v>2467.7963733178344</v>
      </c>
      <c r="JQ587" s="39">
        <f t="shared" si="1921"/>
        <v>3003.8100951007968</v>
      </c>
      <c r="JR587" s="39">
        <f t="shared" si="1922"/>
        <v>436.89353158136873</v>
      </c>
      <c r="JS587" s="39">
        <f t="shared" si="1923"/>
        <v>2.3518243755958457</v>
      </c>
      <c r="JT587" s="39">
        <f t="shared" si="1924"/>
        <v>0.52071946659401269</v>
      </c>
      <c r="JU587" s="385">
        <f>(JQ587*JM587-INDEX(Input!$1:$1048576,Input!A$18,$C587*2+6)*JL587*INDEX(Input!$1:$1048576,Input!A$19,$C587*2+6))/1000000</f>
        <v>2.4320784774318538</v>
      </c>
      <c r="JV587" s="39">
        <f t="shared" si="1925"/>
        <v>-0.12092361356631276</v>
      </c>
      <c r="JW587" s="1">
        <f t="shared" si="1926"/>
        <v>-4.736526225054298E-2</v>
      </c>
      <c r="JX587" s="19">
        <f t="shared" si="1927"/>
        <v>7695.6050070823512</v>
      </c>
      <c r="JZ587" s="341"/>
      <c r="KA587" s="342"/>
      <c r="KB587" s="469">
        <f t="shared" si="1928"/>
        <v>2.4623520912331753</v>
      </c>
      <c r="KI587" s="473">
        <f t="shared" si="1929"/>
        <v>47.171560779937522</v>
      </c>
      <c r="KJ587" s="473">
        <f t="shared" si="1929"/>
        <v>21.624881240617015</v>
      </c>
      <c r="KK587" s="473">
        <f t="shared" si="1929"/>
        <v>-1.1319158247857644</v>
      </c>
      <c r="KN587" s="888">
        <f t="shared" si="1930"/>
        <v>5002</v>
      </c>
      <c r="KO587" s="893">
        <f t="shared" si="1931"/>
        <v>1.3917903999757675E-2</v>
      </c>
      <c r="KP587" s="894">
        <f t="shared" si="1932"/>
        <v>99.574433716856134</v>
      </c>
      <c r="KQ587" s="894">
        <f t="shared" si="1933"/>
        <v>45.917458747494038</v>
      </c>
      <c r="KR587" s="895">
        <f t="shared" si="1934"/>
        <v>2.3532646891957021</v>
      </c>
      <c r="KS587" s="895">
        <f t="shared" si="1935"/>
        <v>5.1031787299275111</v>
      </c>
      <c r="KT587" s="896">
        <f t="shared" si="1936"/>
        <v>389.37465324503302</v>
      </c>
      <c r="KU587" s="663">
        <f t="shared" si="1937"/>
        <v>7.3188461972206049</v>
      </c>
    </row>
    <row r="588" spans="1:307" s="26" customFormat="1" ht="15" outlineLevel="1">
      <c r="A588" s="561">
        <f t="shared" si="1885"/>
        <v>5088</v>
      </c>
      <c r="B588" s="561">
        <f t="shared" si="1865"/>
        <v>88</v>
      </c>
      <c r="C588" s="561">
        <f t="shared" si="1866"/>
        <v>5</v>
      </c>
      <c r="D588" s="561" t="str">
        <f t="shared" si="1938"/>
        <v/>
      </c>
      <c r="E588" s="475">
        <f>INDEX(Input!$1:$1048576,E$93,$C588*2+MIN($B588,2)+5)
+INDEX(Scenarios!E$121:E$200,MATCH($B588,Scenarios!$B$121:$B$200,0))</f>
        <v>1250</v>
      </c>
      <c r="F588" s="475">
        <f>INDEX(Input!$1:$1048576,F$93,$C588*2+MIN($B588,2)+5)
+INDEX(Scenarios!F$121:F$200,MATCH($B588,Scenarios!$B$121:$B$200,0))</f>
        <v>0</v>
      </c>
      <c r="G588" s="475">
        <f>INDEX(Input!$1:$1048576,G$93,$C588*2+MIN($B588,2)+5)
+INDEX(Scenarios!G$121:G$200,MATCH($B588,Scenarios!$B$121:$B$200,0))</f>
        <v>0</v>
      </c>
      <c r="H588" s="475">
        <f>INDEX(Input!$1:$1048576,H$93,$C588*2+MIN($B588,2)+5)
+INDEX(Scenarios!H$121:H$200,MATCH($B588,Scenarios!$B$121:$B$200,0))</f>
        <v>0</v>
      </c>
      <c r="I588" s="476">
        <f>INDEX(Input!$1:$1048576,I$93,$C588*2+MIN($B588,2)+5)</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+INDEX(Scenarios!Q$121:Q$200,MATCH($B588,Scenarios!$B$121:$B$200,0))</f>
        <v>0</v>
      </c>
      <c r="R588" s="478">
        <f>IFERROR(MAX(0,INDEX(Input!$1:$1048576,R$93,$C588*2+MIN($B588,2)+5)
+INDEX(Scenarios!R$121:R$200,MATCH($B588,Scenarios!$B$121:$B$200,0)),),"Market")</f>
        <v>0</v>
      </c>
      <c r="S588" s="478">
        <f>IFERROR(MAX(0,INDEX(Input!$1:$1048576,S$93,$C588*2+MIN($B588,2)+5)
+INDEX(Scenarios!S$121:S$200,MATCH($B588,Scenarios!$B$121:$B$200,0)),),"Market")</f>
        <v>0</v>
      </c>
      <c r="T588" s="478">
        <f>IFERROR(MAX(0,INDEX(Input!$1:$1048576,T$93,$C588*2+MIN($B588,2)+5)
+INDEX(Scenarios!T$121:T$200,MATCH($B588,Scenarios!$B$121:$B$200,0)),),"Market")</f>
        <v>0</v>
      </c>
      <c r="U588" s="478">
        <f>IFERROR(MAX(0,INDEX(Input!$1:$1048576,U$93,$C588*2+MIN($B588,2)+5)
+INDEX(Scenarios!U$121:U$200,MATCH($B588,Scenarios!$B$121:$B$200,0)),),"Market")</f>
        <v>0</v>
      </c>
      <c r="V588" s="478">
        <f>IFERROR(MAX(0,INDEX(Input!$1:$1048576,V$93,$C588*2+MIN($B588,2)+5)
+INDEX(Scenarios!V$121:V$200,MATCH($B588,Scenarios!$B$121:$B$200,0)),),"Market")</f>
        <v>1.9E-2</v>
      </c>
      <c r="W588" s="863">
        <f>IFERROR(MAX(0,INDEX(Input!$1:$1048576,W$93,$C588*2+MIN($B588,2)+5)-0%,),"Market")</f>
        <v>3.9E-2</v>
      </c>
      <c r="X588" s="476" t="str">
        <f>INDEX(Input!$1:$1048576,X$93,$C588*2+MIN($B588,2)+5)</f>
        <v>Y</v>
      </c>
      <c r="Y588" s="475">
        <f>INDEX(Input!$1:$1048576,Y$93,$C588*2+MIN($B588,2)+5)
++INDEX(Scenarios!Y$121:Y$200,MATCH($B588,Scenarios!$B$121:$B$200,0))</f>
        <v>-1098.3618966787526</v>
      </c>
      <c r="Z588" s="477">
        <f>INDEX(Input!$1:$1048576,Z$93,$C588*2+MIN($B588,2)+5)
+INDEX(Scenarios!Z$121:Z$200,MATCH($B588,Scenarios!$B$121:$B$200,0))</f>
        <v>0</v>
      </c>
      <c r="AA588" s="475">
        <f>INDEX(Input!$1:$1048576,AA$93,$C588*2+MIN($B588,2)+5)</f>
        <v>500</v>
      </c>
      <c r="AB588" s="476">
        <f>INDEX(Input!$1:$1048576,AB$93,$C588*2+MIN($B588,2)+5)</f>
        <v>0.43</v>
      </c>
      <c r="AC588" s="475">
        <f>INDEX(Input!$1:$1048576,AC$93,$C588*2+MIN($B588,2)+5)
+INDEX(Scenarios!AC$121:AC$200,MATCH($B588,Scenarios!$B$121:$B$200,0))</f>
        <v>0</v>
      </c>
      <c r="AD588" s="476">
        <f>INDEX(Input!$1:$1048576,AD$93,$C588*2+MIN($B588,2)+5)</f>
        <v>0.35</v>
      </c>
      <c r="AE588" s="475">
        <f>INDEX(Input!$1:$1048576,AE$93,$C588*2+MIN($B588,2)+5)
+INDEX(Scenarios!AE$121:AE$200,MATCH($B588,Scenarios!$B$121:$B$200,0))</f>
        <v>0</v>
      </c>
      <c r="AF588" s="476">
        <f>INDEX(Input!$1:$1048576,AF$93,$C588*2+MIN($B588,2)+5)</f>
        <v>1</v>
      </c>
      <c r="AG588" s="475">
        <f>INDEX(Input!$1:$1048576,AG$93,$C588*2+MIN($B588,2)+5)
+INDEX(Scenarios!AG$121:AG$200,MATCH($B588,Scenarios!$B$121:$B$200,0))</f>
        <v>0</v>
      </c>
      <c r="AH588" s="476">
        <f>INDEX(Input!$1:$1048576,AH$93,$C588*2+MIN($B588,2)+5)</f>
        <v>1</v>
      </c>
      <c r="AI588" s="475">
        <f>INDEX(Input!$1:$1048576,AI$93,$C588*2+MIN($B588,2)+5)
+INDEX(Scenarios!AI$121:AI$200,MATCH($B588,Scenarios!$B$121:$B$200,0))</f>
        <v>0</v>
      </c>
      <c r="AJ588" s="476">
        <f>INDEX(Input!$1:$1048576,AJ$93,$C588*2+MIN($B588,2)+5)</f>
        <v>0.35</v>
      </c>
      <c r="AK588" s="150">
        <f>ROUND(INDEX(Input!$1:$1048576,AK$93,$C587*2+MIN($B588,1)+5)+(Y588-VLOOKUP($C588*1000+1,$A:$HH,Y$92,FALSE)),0)</f>
        <v>4592</v>
      </c>
      <c r="AL588" s="150">
        <f>ROUND(INDEX(Input!$1:$1048576,AL$93,$C587*2+MIN($B588,1)+5)-(Y588-VLOOKUP($C588*1000+1,$A:$HH,Y$92,FALSE))/36,0)</f>
        <v>4743</v>
      </c>
      <c r="AM588" s="32" t="str">
        <f t="shared" si="1886"/>
        <v>std/std/std/std</v>
      </c>
      <c r="AN588" s="32" t="str">
        <f t="shared" si="1887"/>
        <v>$0 + 0/0/0/1.9/3.9</v>
      </c>
      <c r="AO588" s="32" t="str">
        <f t="shared" si="1888"/>
        <v>0/0/0/1.9/3.9</v>
      </c>
      <c r="AP588" s="32" t="str">
        <f t="shared" si="1755"/>
        <v>0/0.9/1.9/3.9</v>
      </c>
      <c r="AQ588" s="536">
        <f t="shared" si="1754"/>
        <v>0</v>
      </c>
      <c r="AR588" s="32"/>
      <c r="AS588" s="302"/>
      <c r="AT588" s="3">
        <f t="shared" si="1867"/>
        <v>88</v>
      </c>
      <c r="AU588" s="41" t="s">
        <v>121</v>
      </c>
      <c r="AV588" s="41" t="s">
        <v>116</v>
      </c>
      <c r="AW588" s="41" t="str">
        <f>INDEX(Input!$1:$1048576,AW$93,$C588*2+6)</f>
        <v>Kia</v>
      </c>
      <c r="AX588" s="41" t="str">
        <f>INDEX(Input!$1:$1048576,AX$93,$C588*2+6)</f>
        <v>Kia-LR - R2</v>
      </c>
      <c r="AY588" s="41" t="str">
        <f>IF(LEN(D588)=0,"",INDEX(Input!$1:$1048576,AY$93,$C588*2+6))</f>
        <v/>
      </c>
      <c r="AZ588" s="41" t="str">
        <f>INDEX(Input!$1:$1048576,AZ$93,$C588*2+6)</f>
        <v>Kia Forte</v>
      </c>
      <c r="BA588" s="3">
        <f>INDEX(Input!$1:$1048576,BA$93,$C588*2+6)</f>
        <v>2020</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19695</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756"/>
        <v>1250</v>
      </c>
      <c r="CJ588" s="16" t="str">
        <f>INDEX(Input!$1:$1048576,CJ$93,$C588*2+6)</f>
        <v>N</v>
      </c>
      <c r="CK588" s="1" t="str">
        <f t="shared" si="1757"/>
        <v>Market</v>
      </c>
      <c r="CL588" s="1" t="str">
        <f t="shared" si="1758"/>
        <v>Market</v>
      </c>
      <c r="CM588" s="1" t="str">
        <f t="shared" si="1759"/>
        <v>Market</v>
      </c>
      <c r="CN588" s="1" t="str">
        <f t="shared" si="1760"/>
        <v>Market</v>
      </c>
      <c r="CO588" s="1" t="str">
        <f t="shared" si="1761"/>
        <v>Market</v>
      </c>
      <c r="CP588" s="304">
        <f t="shared" si="1762"/>
        <v>215</v>
      </c>
      <c r="CQ588" s="1">
        <f t="shared" si="1763"/>
        <v>0</v>
      </c>
      <c r="CR588" s="1">
        <f t="shared" si="1764"/>
        <v>0</v>
      </c>
      <c r="CS588" s="1">
        <f t="shared" si="1765"/>
        <v>0</v>
      </c>
      <c r="CT588" s="1">
        <f t="shared" si="1766"/>
        <v>1.9E-2</v>
      </c>
      <c r="CU588" s="1">
        <f t="shared" si="1767"/>
        <v>3.9E-2</v>
      </c>
      <c r="CV588" s="304">
        <f t="shared" si="1768"/>
        <v>-1098.3618966787526</v>
      </c>
      <c r="CW588" s="20" t="s">
        <v>122</v>
      </c>
      <c r="CX588" s="20" t="s">
        <v>122</v>
      </c>
      <c r="CY588" s="20" t="s">
        <v>122</v>
      </c>
      <c r="CZ588" s="20" t="s">
        <v>122</v>
      </c>
      <c r="DA588" s="20" t="s">
        <v>122</v>
      </c>
      <c r="DB588" s="503">
        <f t="shared" si="1769"/>
        <v>0</v>
      </c>
      <c r="DC588" s="127">
        <v>0</v>
      </c>
      <c r="DD588" s="127">
        <v>0</v>
      </c>
      <c r="DE588" s="127">
        <v>0</v>
      </c>
      <c r="DF588" s="127">
        <v>0</v>
      </c>
      <c r="DG588" s="127">
        <v>0</v>
      </c>
      <c r="DH588" s="127">
        <v>0</v>
      </c>
      <c r="DI588" s="127">
        <v>0</v>
      </c>
      <c r="DJ588" s="127">
        <v>0</v>
      </c>
      <c r="DK588" s="127">
        <v>0</v>
      </c>
      <c r="DL588" s="127">
        <v>0</v>
      </c>
      <c r="DM588" s="304">
        <f>INDEX(Input!$1:$1048576,DM$93,$C588*2+6)</f>
        <v>20731.578947368424</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c r="DZ588" s="7"/>
      <c r="EA588" s="7"/>
      <c r="EB588" s="7"/>
      <c r="EC588" s="7"/>
      <c r="ED588" s="7"/>
      <c r="EE588" s="7"/>
      <c r="EF588" s="7"/>
      <c r="EG588" s="7"/>
      <c r="EH588" s="7"/>
      <c r="EI588" s="7"/>
      <c r="EJ588" s="7"/>
      <c r="EK588" s="7"/>
      <c r="EL588" s="7"/>
      <c r="EM588" s="7"/>
      <c r="EN588" s="7"/>
      <c r="EO588" s="7"/>
      <c r="EP588" s="7"/>
      <c r="EQ588" s="7"/>
      <c r="ER588" s="7"/>
      <c r="ES588" s="7"/>
      <c r="ET588" s="7"/>
      <c r="EU588" s="6"/>
      <c r="EV588" s="6"/>
      <c r="EW588" s="6"/>
      <c r="EX588" s="6"/>
      <c r="EY588" s="6"/>
      <c r="EZ588" s="6"/>
      <c r="FA588" s="6"/>
      <c r="FB588" s="6"/>
      <c r="FC588" s="6"/>
      <c r="FD588" s="6"/>
      <c r="FE588" s="6"/>
      <c r="FF588" s="6"/>
      <c r="FG588" s="6"/>
      <c r="FH588" s="6"/>
      <c r="FI588" s="6"/>
      <c r="FJ588" s="6"/>
      <c r="FK588" s="6"/>
      <c r="FL588" s="6"/>
      <c r="FM588" s="6"/>
      <c r="FN588" s="6"/>
      <c r="FO588" s="6"/>
      <c r="FP588" s="6"/>
      <c r="FQ588" s="6"/>
      <c r="FR588" s="6"/>
      <c r="FS588" s="6"/>
      <c r="FT588" s="7"/>
      <c r="FU588" s="7"/>
      <c r="FV588" s="7"/>
      <c r="FW588" s="6"/>
      <c r="FX588" s="6"/>
      <c r="FY588" s="6"/>
      <c r="FZ588" s="6"/>
      <c r="GA588" s="6"/>
      <c r="GB588" s="6"/>
      <c r="GC588" s="7"/>
      <c r="GD588" s="7"/>
      <c r="GE588" s="7"/>
      <c r="GF588" s="7"/>
      <c r="GG588" s="7"/>
      <c r="GH588" s="42"/>
      <c r="GI588" s="6"/>
      <c r="GJ588" s="14"/>
      <c r="GK588" s="14"/>
      <c r="GL588" s="14"/>
      <c r="GM588" s="14"/>
      <c r="GO588" s="5"/>
      <c r="GP588" s="5"/>
      <c r="GQ588" s="5"/>
      <c r="GR588" s="5"/>
      <c r="GS588" s="5"/>
      <c r="GT588" s="5"/>
      <c r="GU588" s="5"/>
      <c r="GV588" s="39"/>
      <c r="GW588" s="5"/>
      <c r="GX588" s="5"/>
      <c r="GY588" s="5"/>
      <c r="GZ588" s="5"/>
      <c r="HA588" s="5"/>
      <c r="HB588" s="39"/>
      <c r="HC588" s="5"/>
      <c r="HD588" s="5"/>
      <c r="HE588" s="5"/>
      <c r="HF588" s="5"/>
      <c r="HG588" s="5"/>
      <c r="HH588" s="39"/>
      <c r="HI588" s="16"/>
      <c r="HJ588" s="19"/>
      <c r="HK588" s="1"/>
      <c r="HL588" s="16"/>
      <c r="HM588" s="1"/>
      <c r="HN588" s="1"/>
      <c r="HO588" s="1"/>
      <c r="HP588" s="1"/>
      <c r="HQ588" s="1"/>
      <c r="HR588" s="1"/>
      <c r="HS588" s="1"/>
      <c r="HT588" s="1"/>
      <c r="HU588" s="1"/>
      <c r="HV588" s="1"/>
      <c r="HW588" s="1"/>
      <c r="HX588" s="1"/>
      <c r="HY588" s="1"/>
      <c r="HZ588" s="1"/>
      <c r="IA588" s="1"/>
      <c r="IB588" s="1"/>
      <c r="IC588" s="1"/>
      <c r="ID588" s="1"/>
      <c r="IE588" s="1"/>
      <c r="IF588" s="1"/>
      <c r="IG588" s="1"/>
      <c r="IH588" s="21"/>
      <c r="II588" s="19"/>
      <c r="IJ588" s="19"/>
      <c r="IK588" s="19"/>
      <c r="IL588" s="19"/>
      <c r="IM588" s="19"/>
      <c r="IN588" s="19"/>
      <c r="IO588" s="39"/>
      <c r="IP588" s="39"/>
      <c r="IQ588" s="39"/>
      <c r="IR588" s="39"/>
      <c r="IS588" s="39"/>
      <c r="IT588" s="39"/>
      <c r="IU588" s="39"/>
      <c r="IV588" s="39"/>
      <c r="IW588" s="39"/>
      <c r="IX588" s="39"/>
      <c r="IY588" s="39"/>
      <c r="IZ588" s="39"/>
      <c r="JA588" s="19"/>
      <c r="JB588" s="19"/>
      <c r="JC588" s="19"/>
      <c r="JD588" s="19"/>
      <c r="JE588" s="21"/>
      <c r="JF588" s="1"/>
      <c r="JG588" s="15"/>
      <c r="JH588" s="1"/>
      <c r="JI588" s="1"/>
      <c r="JJ588" s="1"/>
      <c r="JK588" s="1"/>
      <c r="JL588" s="15"/>
      <c r="JM588" s="15"/>
      <c r="JN588" s="21"/>
      <c r="JO588" s="19"/>
      <c r="JP588" s="19"/>
      <c r="JQ588" s="39"/>
      <c r="JR588" s="39"/>
      <c r="JS588" s="39"/>
      <c r="JT588" s="39"/>
      <c r="JU588" s="385"/>
      <c r="JV588" s="39"/>
      <c r="JW588" s="1"/>
      <c r="JX588" s="19"/>
      <c r="JZ588" s="341"/>
      <c r="KA588" s="342"/>
      <c r="KB588" s="469"/>
      <c r="KI588" s="473"/>
      <c r="KJ588" s="473"/>
      <c r="KK588" s="473"/>
    </row>
    <row r="589" spans="1:307" s="26" customFormat="1" ht="15" outlineLevel="1">
      <c r="A589" s="561">
        <f t="shared" si="1885"/>
        <v>5089</v>
      </c>
      <c r="B589" s="561">
        <f t="shared" si="1865"/>
        <v>89</v>
      </c>
      <c r="C589" s="561">
        <f t="shared" si="1866"/>
        <v>5</v>
      </c>
      <c r="D589" s="561" t="str">
        <f t="shared" si="1938"/>
        <v/>
      </c>
      <c r="E589" s="475">
        <f>INDEX(Input!$1:$1048576,E$93,$C589*2+MIN($B589,2)+5)
+INDEX(Scenarios!E$121:E$200,MATCH($B589,Scenarios!$B$121:$B$200,0))</f>
        <v>1250</v>
      </c>
      <c r="F589" s="475">
        <f>INDEX(Input!$1:$1048576,F$93,$C589*2+MIN($B589,2)+5)
+INDEX(Scenarios!F$121:F$200,MATCH($B589,Scenarios!$B$121:$B$200,0))</f>
        <v>0</v>
      </c>
      <c r="G589" s="475">
        <f>INDEX(Input!$1:$1048576,G$93,$C589*2+MIN($B589,2)+5)
+INDEX(Scenarios!G$121:G$200,MATCH($B589,Scenarios!$B$121:$B$200,0))</f>
        <v>0</v>
      </c>
      <c r="H589" s="475">
        <f>INDEX(Input!$1:$1048576,H$93,$C589*2+MIN($B589,2)+5)
+INDEX(Scenarios!H$121:H$200,MATCH($B589,Scenarios!$B$121:$B$200,0))</f>
        <v>0</v>
      </c>
      <c r="I589" s="476">
        <f>INDEX(Input!$1:$1048576,I$93,$C589*2+MIN($B589,2)+5)</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+INDEX(Scenarios!Q$121:Q$200,MATCH($B589,Scenarios!$B$121:$B$200,0))</f>
        <v>0</v>
      </c>
      <c r="R589" s="478">
        <f>IFERROR(MAX(0,INDEX(Input!$1:$1048576,R$93,$C589*2+MIN($B589,2)+5)
+INDEX(Scenarios!R$121:R$200,MATCH($B589,Scenarios!$B$121:$B$200,0)),),"Market")</f>
        <v>0</v>
      </c>
      <c r="S589" s="478">
        <f>IFERROR(MAX(0,INDEX(Input!$1:$1048576,S$93,$C589*2+MIN($B589,2)+5)
+INDEX(Scenarios!S$121:S$200,MATCH($B589,Scenarios!$B$121:$B$200,0)),),"Market")</f>
        <v>0</v>
      </c>
      <c r="T589" s="478">
        <f>IFERROR(MAX(0,INDEX(Input!$1:$1048576,T$93,$C589*2+MIN($B589,2)+5)
+INDEX(Scenarios!T$121:T$200,MATCH($B589,Scenarios!$B$121:$B$200,0)),),"Market")</f>
        <v>0</v>
      </c>
      <c r="U589" s="478">
        <f>IFERROR(MAX(0,INDEX(Input!$1:$1048576,U$93,$C589*2+MIN($B589,2)+5)
+INDEX(Scenarios!U$121:U$200,MATCH($B589,Scenarios!$B$121:$B$200,0)),),"Market")</f>
        <v>0</v>
      </c>
      <c r="V589" s="478">
        <f>IFERROR(MAX(0,INDEX(Input!$1:$1048576,V$93,$C589*2+MIN($B589,2)+5)
+INDEX(Scenarios!V$121:V$200,MATCH($B589,Scenarios!$B$121:$B$200,0)),),"Market")</f>
        <v>1.9E-2</v>
      </c>
      <c r="W589" s="863">
        <f>IFERROR(MAX(0,INDEX(Input!$1:$1048576,W$93,$C589*2+MIN($B589,2)+5)-0%,),"Market")</f>
        <v>3.9E-2</v>
      </c>
      <c r="X589" s="476" t="str">
        <f>INDEX(Input!$1:$1048576,X$93,$C589*2+MIN($B589,2)+5)</f>
        <v>Y</v>
      </c>
      <c r="Y589" s="475">
        <f>INDEX(Input!$1:$1048576,Y$93,$C589*2+MIN($B589,2)+5)
++INDEX(Scenarios!Y$121:Y$200,MATCH($B589,Scenarios!$B$121:$B$200,0))</f>
        <v>-1098.3618966787526</v>
      </c>
      <c r="Z589" s="477">
        <f>INDEX(Input!$1:$1048576,Z$93,$C589*2+MIN($B589,2)+5)
+INDEX(Scenarios!Z$121:Z$200,MATCH($B589,Scenarios!$B$121:$B$200,0))</f>
        <v>0</v>
      </c>
      <c r="AA589" s="475">
        <f>INDEX(Input!$1:$1048576,AA$93,$C589*2+MIN($B589,2)+5)</f>
        <v>500</v>
      </c>
      <c r="AB589" s="476">
        <f>INDEX(Input!$1:$1048576,AB$93,$C589*2+MIN($B589,2)+5)</f>
        <v>0.43</v>
      </c>
      <c r="AC589" s="475">
        <f>INDEX(Input!$1:$1048576,AC$93,$C589*2+MIN($B589,2)+5)
+INDEX(Scenarios!AC$121:AC$200,MATCH($B589,Scenarios!$B$121:$B$200,0))</f>
        <v>0</v>
      </c>
      <c r="AD589" s="476">
        <f>INDEX(Input!$1:$1048576,AD$93,$C589*2+MIN($B589,2)+5)</f>
        <v>0.35</v>
      </c>
      <c r="AE589" s="475">
        <f>INDEX(Input!$1:$1048576,AE$93,$C589*2+MIN($B589,2)+5)
+INDEX(Scenarios!AE$121:AE$200,MATCH($B589,Scenarios!$B$121:$B$200,0))</f>
        <v>0</v>
      </c>
      <c r="AF589" s="476">
        <f>INDEX(Input!$1:$1048576,AF$93,$C589*2+MIN($B589,2)+5)</f>
        <v>1</v>
      </c>
      <c r="AG589" s="475">
        <f>INDEX(Input!$1:$1048576,AG$93,$C589*2+MIN($B589,2)+5)
+INDEX(Scenarios!AG$121:AG$200,MATCH($B589,Scenarios!$B$121:$B$200,0))</f>
        <v>0</v>
      </c>
      <c r="AH589" s="476">
        <f>INDEX(Input!$1:$1048576,AH$93,$C589*2+MIN($B589,2)+5)</f>
        <v>1</v>
      </c>
      <c r="AI589" s="475">
        <f>INDEX(Input!$1:$1048576,AI$93,$C589*2+MIN($B589,2)+5)
+INDEX(Scenarios!AI$121:AI$200,MATCH($B589,Scenarios!$B$121:$B$200,0))</f>
        <v>0</v>
      </c>
      <c r="AJ589" s="476">
        <f>INDEX(Input!$1:$1048576,AJ$93,$C589*2+MIN($B589,2)+5)</f>
        <v>0.35</v>
      </c>
      <c r="AK589" s="150">
        <f>ROUND(INDEX(Input!$1:$1048576,AK$93,$C588*2+MIN($B589,1)+5)+(Y589-VLOOKUP($C589*1000+1,$A:$HH,Y$92,FALSE)),0)</f>
        <v>4592</v>
      </c>
      <c r="AL589" s="150">
        <f>ROUND(INDEX(Input!$1:$1048576,AL$93,$C588*2+MIN($B589,1)+5)-(Y589-VLOOKUP($C589*1000+1,$A:$HH,Y$92,FALSE))/36,0)</f>
        <v>4743</v>
      </c>
      <c r="AM589" s="32" t="str">
        <f t="shared" si="1886"/>
        <v>std/std/std/std</v>
      </c>
      <c r="AN589" s="32" t="str">
        <f t="shared" si="1887"/>
        <v>$0 + 0/0/0/1.9/3.9</v>
      </c>
      <c r="AO589" s="32" t="str">
        <f t="shared" si="1888"/>
        <v>0/0/0/1.9/3.9</v>
      </c>
      <c r="AP589" s="32" t="str">
        <f t="shared" si="1755"/>
        <v>0/0.9/1.9/3.9</v>
      </c>
      <c r="AQ589" s="536">
        <f t="shared" si="1754"/>
        <v>0</v>
      </c>
      <c r="AR589" s="32"/>
      <c r="AS589" s="302"/>
      <c r="AT589" s="3">
        <f t="shared" si="1867"/>
        <v>89</v>
      </c>
      <c r="AU589" s="41" t="s">
        <v>121</v>
      </c>
      <c r="AV589" s="41" t="s">
        <v>116</v>
      </c>
      <c r="AW589" s="41" t="str">
        <f>INDEX(Input!$1:$1048576,AW$93,$C589*2+6)</f>
        <v>Kia</v>
      </c>
      <c r="AX589" s="41" t="str">
        <f>INDEX(Input!$1:$1048576,AX$93,$C589*2+6)</f>
        <v>Kia-LR - R2</v>
      </c>
      <c r="AY589" s="41" t="str">
        <f>IF(LEN(D589)=0,"",INDEX(Input!$1:$1048576,AY$93,$C589*2+6))</f>
        <v/>
      </c>
      <c r="AZ589" s="41" t="str">
        <f>INDEX(Input!$1:$1048576,AZ$93,$C589*2+6)</f>
        <v>Kia Forte</v>
      </c>
      <c r="BA589" s="3">
        <f>INDEX(Input!$1:$1048576,BA$93,$C589*2+6)</f>
        <v>2020</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19695</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756"/>
        <v>1250</v>
      </c>
      <c r="CJ589" s="16" t="str">
        <f>INDEX(Input!$1:$1048576,CJ$93,$C589*2+6)</f>
        <v>N</v>
      </c>
      <c r="CK589" s="1" t="str">
        <f t="shared" si="1757"/>
        <v>Market</v>
      </c>
      <c r="CL589" s="1" t="str">
        <f t="shared" si="1758"/>
        <v>Market</v>
      </c>
      <c r="CM589" s="1" t="str">
        <f t="shared" si="1759"/>
        <v>Market</v>
      </c>
      <c r="CN589" s="1" t="str">
        <f t="shared" si="1760"/>
        <v>Market</v>
      </c>
      <c r="CO589" s="1" t="str">
        <f t="shared" si="1761"/>
        <v>Market</v>
      </c>
      <c r="CP589" s="304">
        <f t="shared" si="1762"/>
        <v>215</v>
      </c>
      <c r="CQ589" s="1">
        <f t="shared" si="1763"/>
        <v>0</v>
      </c>
      <c r="CR589" s="1">
        <f t="shared" si="1764"/>
        <v>0</v>
      </c>
      <c r="CS589" s="1">
        <f t="shared" si="1765"/>
        <v>0</v>
      </c>
      <c r="CT589" s="1">
        <f t="shared" si="1766"/>
        <v>1.9E-2</v>
      </c>
      <c r="CU589" s="1">
        <f t="shared" si="1767"/>
        <v>3.9E-2</v>
      </c>
      <c r="CV589" s="304">
        <f t="shared" si="1768"/>
        <v>-1098.3618966787526</v>
      </c>
      <c r="CW589" s="20" t="s">
        <v>122</v>
      </c>
      <c r="CX589" s="20" t="s">
        <v>122</v>
      </c>
      <c r="CY589" s="20" t="s">
        <v>122</v>
      </c>
      <c r="CZ589" s="20" t="s">
        <v>122</v>
      </c>
      <c r="DA589" s="20" t="s">
        <v>122</v>
      </c>
      <c r="DB589" s="503">
        <f t="shared" si="1769"/>
        <v>0</v>
      </c>
      <c r="DC589" s="127">
        <v>0</v>
      </c>
      <c r="DD589" s="127">
        <v>0</v>
      </c>
      <c r="DE589" s="127">
        <v>0</v>
      </c>
      <c r="DF589" s="127">
        <v>0</v>
      </c>
      <c r="DG589" s="127">
        <v>0</v>
      </c>
      <c r="DH589" s="127">
        <v>0</v>
      </c>
      <c r="DI589" s="127">
        <v>0</v>
      </c>
      <c r="DJ589" s="127">
        <v>0</v>
      </c>
      <c r="DK589" s="127">
        <v>0</v>
      </c>
      <c r="DL589" s="127">
        <v>0</v>
      </c>
      <c r="DM589" s="304">
        <f>INDEX(Input!$1:$1048576,DM$93,$C589*2+6)</f>
        <v>20731.578947368424</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c r="DZ589" s="7"/>
      <c r="EA589" s="7"/>
      <c r="EB589" s="7"/>
      <c r="EC589" s="7"/>
      <c r="ED589" s="7"/>
      <c r="EE589" s="7"/>
      <c r="EF589" s="7"/>
      <c r="EG589" s="7"/>
      <c r="EH589" s="7"/>
      <c r="EI589" s="7"/>
      <c r="EJ589" s="7"/>
      <c r="EK589" s="7"/>
      <c r="EL589" s="7"/>
      <c r="EM589" s="7"/>
      <c r="EN589" s="7"/>
      <c r="EO589" s="7"/>
      <c r="EP589" s="7"/>
      <c r="EQ589" s="7"/>
      <c r="ER589" s="7"/>
      <c r="ES589" s="7"/>
      <c r="ET589" s="7"/>
      <c r="EU589" s="6"/>
      <c r="EV589" s="6"/>
      <c r="EW589" s="6"/>
      <c r="EX589" s="6"/>
      <c r="EY589" s="6"/>
      <c r="EZ589" s="6"/>
      <c r="FA589" s="6"/>
      <c r="FB589" s="6"/>
      <c r="FC589" s="6"/>
      <c r="FD589" s="6"/>
      <c r="FE589" s="6"/>
      <c r="FF589" s="6"/>
      <c r="FG589" s="6"/>
      <c r="FH589" s="6"/>
      <c r="FI589" s="6"/>
      <c r="FJ589" s="6"/>
      <c r="FK589" s="6"/>
      <c r="FL589" s="6"/>
      <c r="FM589" s="6"/>
      <c r="FN589" s="6"/>
      <c r="FO589" s="6"/>
      <c r="FP589" s="6"/>
      <c r="FQ589" s="6"/>
      <c r="FR589" s="6"/>
      <c r="FS589" s="6"/>
      <c r="FT589" s="7"/>
      <c r="FU589" s="7"/>
      <c r="FV589" s="7"/>
      <c r="FW589" s="6"/>
      <c r="FX589" s="6"/>
      <c r="FY589" s="6"/>
      <c r="FZ589" s="6"/>
      <c r="GA589" s="6"/>
      <c r="GB589" s="6"/>
      <c r="GC589" s="7"/>
      <c r="GD589" s="7"/>
      <c r="GE589" s="7"/>
      <c r="GF589" s="7"/>
      <c r="GG589" s="7"/>
      <c r="GH589" s="42"/>
      <c r="GI589" s="6"/>
      <c r="GJ589" s="14"/>
      <c r="GK589" s="14"/>
      <c r="GL589" s="14"/>
      <c r="GM589" s="14"/>
      <c r="GO589" s="5"/>
      <c r="GP589" s="5"/>
      <c r="GQ589" s="5"/>
      <c r="GR589" s="5"/>
      <c r="GS589" s="5"/>
      <c r="GT589" s="5"/>
      <c r="GU589" s="5"/>
      <c r="GV589" s="39"/>
      <c r="GW589" s="5"/>
      <c r="GX589" s="5"/>
      <c r="GY589" s="5"/>
      <c r="GZ589" s="5"/>
      <c r="HA589" s="5"/>
      <c r="HB589" s="39"/>
      <c r="HC589" s="5"/>
      <c r="HD589" s="5"/>
      <c r="HE589" s="5"/>
      <c r="HF589" s="5"/>
      <c r="HG589" s="5"/>
      <c r="HH589" s="39"/>
      <c r="HI589" s="16"/>
      <c r="HJ589" s="19"/>
      <c r="HK589" s="1"/>
      <c r="HL589" s="16"/>
      <c r="HM589" s="1"/>
      <c r="HN589" s="1"/>
      <c r="HO589" s="1"/>
      <c r="HP589" s="1"/>
      <c r="HQ589" s="1"/>
      <c r="HR589" s="1"/>
      <c r="HS589" s="1"/>
      <c r="HT589" s="1"/>
      <c r="HU589" s="1"/>
      <c r="HV589" s="1"/>
      <c r="HW589" s="1"/>
      <c r="HX589" s="1"/>
      <c r="HY589" s="1"/>
      <c r="HZ589" s="1"/>
      <c r="IA589" s="1"/>
      <c r="IB589" s="1"/>
      <c r="IC589" s="1"/>
      <c r="ID589" s="1"/>
      <c r="IE589" s="1"/>
      <c r="IF589" s="1"/>
      <c r="IG589" s="1"/>
      <c r="IH589" s="21"/>
      <c r="II589" s="19"/>
      <c r="IJ589" s="19"/>
      <c r="IK589" s="19"/>
      <c r="IL589" s="19"/>
      <c r="IM589" s="19"/>
      <c r="IN589" s="19"/>
      <c r="IO589" s="39"/>
      <c r="IP589" s="39"/>
      <c r="IQ589" s="39"/>
      <c r="IR589" s="39"/>
      <c r="IS589" s="39"/>
      <c r="IT589" s="39"/>
      <c r="IU589" s="39"/>
      <c r="IV589" s="39"/>
      <c r="IW589" s="39"/>
      <c r="IX589" s="39"/>
      <c r="IY589" s="39"/>
      <c r="IZ589" s="39"/>
      <c r="JA589" s="19"/>
      <c r="JB589" s="19"/>
      <c r="JC589" s="19"/>
      <c r="JD589" s="19"/>
      <c r="JE589" s="21"/>
      <c r="JF589" s="1"/>
      <c r="JG589" s="15"/>
      <c r="JH589" s="1"/>
      <c r="JI589" s="1"/>
      <c r="JJ589" s="1"/>
      <c r="JK589" s="1"/>
      <c r="JL589" s="15"/>
      <c r="JM589" s="15"/>
      <c r="JN589" s="21"/>
      <c r="JO589" s="19"/>
      <c r="JP589" s="19"/>
      <c r="JQ589" s="39"/>
      <c r="JR589" s="39"/>
      <c r="JS589" s="39"/>
      <c r="JT589" s="39"/>
      <c r="JU589" s="385"/>
      <c r="JV589" s="39"/>
      <c r="JW589" s="1"/>
      <c r="JX589" s="19"/>
      <c r="JZ589" s="341"/>
      <c r="KA589" s="342"/>
      <c r="KB589" s="469"/>
      <c r="KI589" s="473"/>
      <c r="KJ589" s="473"/>
      <c r="KK589" s="473"/>
    </row>
    <row r="590" spans="1:307" s="26" customFormat="1" ht="15" outlineLevel="1">
      <c r="A590" s="561">
        <f t="shared" si="1885"/>
        <v>5090</v>
      </c>
      <c r="B590" s="561">
        <f t="shared" si="1865"/>
        <v>90</v>
      </c>
      <c r="C590" s="561">
        <f t="shared" si="1866"/>
        <v>5</v>
      </c>
      <c r="D590" s="561" t="str">
        <f t="shared" si="1938"/>
        <v/>
      </c>
      <c r="E590" s="475">
        <f>INDEX(Input!$1:$1048576,E$93,$C590*2+MIN($B590,2)+5)
+INDEX(Scenarios!E$121:E$200,MATCH($B590,Scenarios!$B$121:$B$200,0))</f>
        <v>1250</v>
      </c>
      <c r="F590" s="475">
        <f>INDEX(Input!$1:$1048576,F$93,$C590*2+MIN($B590,2)+5)
+INDEX(Scenarios!F$121:F$200,MATCH($B590,Scenarios!$B$121:$B$200,0))</f>
        <v>0</v>
      </c>
      <c r="G590" s="475">
        <f>INDEX(Input!$1:$1048576,G$93,$C590*2+MIN($B590,2)+5)
+INDEX(Scenarios!G$121:G$200,MATCH($B590,Scenarios!$B$121:$B$200,0))</f>
        <v>0</v>
      </c>
      <c r="H590" s="475">
        <f>INDEX(Input!$1:$1048576,H$93,$C590*2+MIN($B590,2)+5)
+INDEX(Scenarios!H$121:H$200,MATCH($B590,Scenarios!$B$121:$B$200,0))</f>
        <v>0</v>
      </c>
      <c r="I590" s="476">
        <f>INDEX(Input!$1:$1048576,I$93,$C590*2+MIN($B590,2)+5)</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+INDEX(Scenarios!Q$121:Q$200,MATCH($B590,Scenarios!$B$121:$B$200,0))</f>
        <v>0</v>
      </c>
      <c r="R590" s="478">
        <f>IFERROR(MAX(0,INDEX(Input!$1:$1048576,R$93,$C590*2+MIN($B590,2)+5)
+INDEX(Scenarios!R$121:R$200,MATCH($B590,Scenarios!$B$121:$B$200,0)),),"Market")</f>
        <v>0</v>
      </c>
      <c r="S590" s="478">
        <f>IFERROR(MAX(0,INDEX(Input!$1:$1048576,S$93,$C590*2+MIN($B590,2)+5)
+INDEX(Scenarios!S$121:S$200,MATCH($B590,Scenarios!$B$121:$B$200,0)),),"Market")</f>
        <v>0</v>
      </c>
      <c r="T590" s="478">
        <f>IFERROR(MAX(0,INDEX(Input!$1:$1048576,T$93,$C590*2+MIN($B590,2)+5)
+INDEX(Scenarios!T$121:T$200,MATCH($B590,Scenarios!$B$121:$B$200,0)),),"Market")</f>
        <v>0</v>
      </c>
      <c r="U590" s="478">
        <f>IFERROR(MAX(0,INDEX(Input!$1:$1048576,U$93,$C590*2+MIN($B590,2)+5)
+INDEX(Scenarios!U$121:U$200,MATCH($B590,Scenarios!$B$121:$B$200,0)),),"Market")</f>
        <v>0</v>
      </c>
      <c r="V590" s="478">
        <f>IFERROR(MAX(0,INDEX(Input!$1:$1048576,V$93,$C590*2+MIN($B590,2)+5)
+INDEX(Scenarios!V$121:V$200,MATCH($B590,Scenarios!$B$121:$B$200,0)),),"Market")</f>
        <v>1.9E-2</v>
      </c>
      <c r="W590" s="863">
        <f>IFERROR(MAX(0,INDEX(Input!$1:$1048576,W$93,$C590*2+MIN($B590,2)+5)-0%,),"Market")</f>
        <v>3.9E-2</v>
      </c>
      <c r="X590" s="476" t="str">
        <f>INDEX(Input!$1:$1048576,X$93,$C590*2+MIN($B590,2)+5)</f>
        <v>Y</v>
      </c>
      <c r="Y590" s="475">
        <f>INDEX(Input!$1:$1048576,Y$93,$C590*2+MIN($B590,2)+5)
++INDEX(Scenarios!Y$121:Y$200,MATCH($B590,Scenarios!$B$121:$B$200,0))</f>
        <v>-1098.3618966787526</v>
      </c>
      <c r="Z590" s="477">
        <f>INDEX(Input!$1:$1048576,Z$93,$C590*2+MIN($B590,2)+5)
+INDEX(Scenarios!Z$121:Z$200,MATCH($B590,Scenarios!$B$121:$B$200,0))</f>
        <v>0</v>
      </c>
      <c r="AA590" s="475">
        <f>INDEX(Input!$1:$1048576,AA$93,$C590*2+MIN($B590,2)+5)</f>
        <v>500</v>
      </c>
      <c r="AB590" s="476">
        <f>INDEX(Input!$1:$1048576,AB$93,$C590*2+MIN($B590,2)+5)</f>
        <v>0.43</v>
      </c>
      <c r="AC590" s="475">
        <f>INDEX(Input!$1:$1048576,AC$93,$C590*2+MIN($B590,2)+5)
+INDEX(Scenarios!AC$121:AC$200,MATCH($B590,Scenarios!$B$121:$B$200,0))</f>
        <v>0</v>
      </c>
      <c r="AD590" s="476">
        <f>INDEX(Input!$1:$1048576,AD$93,$C590*2+MIN($B590,2)+5)</f>
        <v>0.35</v>
      </c>
      <c r="AE590" s="475">
        <f>INDEX(Input!$1:$1048576,AE$93,$C590*2+MIN($B590,2)+5)
+INDEX(Scenarios!AE$121:AE$200,MATCH($B590,Scenarios!$B$121:$B$200,0))</f>
        <v>0</v>
      </c>
      <c r="AF590" s="476">
        <f>INDEX(Input!$1:$1048576,AF$93,$C590*2+MIN($B590,2)+5)</f>
        <v>1</v>
      </c>
      <c r="AG590" s="475">
        <f>INDEX(Input!$1:$1048576,AG$93,$C590*2+MIN($B590,2)+5)
+INDEX(Scenarios!AG$121:AG$200,MATCH($B590,Scenarios!$B$121:$B$200,0))</f>
        <v>0</v>
      </c>
      <c r="AH590" s="476">
        <f>INDEX(Input!$1:$1048576,AH$93,$C590*2+MIN($B590,2)+5)</f>
        <v>1</v>
      </c>
      <c r="AI590" s="475">
        <f>INDEX(Input!$1:$1048576,AI$93,$C590*2+MIN($B590,2)+5)
+INDEX(Scenarios!AI$121:AI$200,MATCH($B590,Scenarios!$B$121:$B$200,0))</f>
        <v>0</v>
      </c>
      <c r="AJ590" s="476">
        <f>INDEX(Input!$1:$1048576,AJ$93,$C590*2+MIN($B590,2)+5)</f>
        <v>0.35</v>
      </c>
      <c r="AK590" s="150">
        <f>ROUND(INDEX(Input!$1:$1048576,AK$93,$C589*2+MIN($B590,1)+5)+(Y590-VLOOKUP($C590*1000+1,$A:$HH,Y$92,FALSE)),0)</f>
        <v>4592</v>
      </c>
      <c r="AL590" s="150">
        <f>ROUND(INDEX(Input!$1:$1048576,AL$93,$C589*2+MIN($B590,1)+5)-(Y590-VLOOKUP($C590*1000+1,$A:$HH,Y$92,FALSE))/36,0)</f>
        <v>4743</v>
      </c>
      <c r="AM590" s="32" t="str">
        <f t="shared" si="1886"/>
        <v>std/std/std/std</v>
      </c>
      <c r="AN590" s="32" t="str">
        <f t="shared" si="1887"/>
        <v>$0 + 0/0/0/1.9/3.9</v>
      </c>
      <c r="AO590" s="32" t="str">
        <f t="shared" si="1888"/>
        <v>0/0/0/1.9/3.9</v>
      </c>
      <c r="AP590" s="32" t="str">
        <f t="shared" si="1755"/>
        <v>0/0.9/1.9/3.9</v>
      </c>
      <c r="AQ590" s="536">
        <f t="shared" si="1754"/>
        <v>0</v>
      </c>
      <c r="AR590" s="32"/>
      <c r="AS590" s="302"/>
      <c r="AT590" s="3">
        <f t="shared" si="1867"/>
        <v>90</v>
      </c>
      <c r="AU590" s="41" t="s">
        <v>121</v>
      </c>
      <c r="AV590" s="41" t="s">
        <v>116</v>
      </c>
      <c r="AW590" s="41" t="str">
        <f>INDEX(Input!$1:$1048576,AW$93,$C590*2+6)</f>
        <v>Kia</v>
      </c>
      <c r="AX590" s="41" t="str">
        <f>INDEX(Input!$1:$1048576,AX$93,$C590*2+6)</f>
        <v>Kia-LR - R2</v>
      </c>
      <c r="AY590" s="41" t="str">
        <f>IF(LEN(D590)=0,"",INDEX(Input!$1:$1048576,AY$93,$C590*2+6))</f>
        <v/>
      </c>
      <c r="AZ590" s="41" t="str">
        <f>INDEX(Input!$1:$1048576,AZ$93,$C590*2+6)</f>
        <v>Kia Forte</v>
      </c>
      <c r="BA590" s="3">
        <f>INDEX(Input!$1:$1048576,BA$93,$C590*2+6)</f>
        <v>2020</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19695</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756"/>
        <v>1250</v>
      </c>
      <c r="CJ590" s="16" t="str">
        <f>INDEX(Input!$1:$1048576,CJ$93,$C590*2+6)</f>
        <v>N</v>
      </c>
      <c r="CK590" s="1" t="str">
        <f t="shared" si="1757"/>
        <v>Market</v>
      </c>
      <c r="CL590" s="1" t="str">
        <f t="shared" si="1758"/>
        <v>Market</v>
      </c>
      <c r="CM590" s="1" t="str">
        <f t="shared" si="1759"/>
        <v>Market</v>
      </c>
      <c r="CN590" s="1" t="str">
        <f t="shared" si="1760"/>
        <v>Market</v>
      </c>
      <c r="CO590" s="1" t="str">
        <f t="shared" si="1761"/>
        <v>Market</v>
      </c>
      <c r="CP590" s="304">
        <f t="shared" si="1762"/>
        <v>215</v>
      </c>
      <c r="CQ590" s="1">
        <f t="shared" si="1763"/>
        <v>0</v>
      </c>
      <c r="CR590" s="1">
        <f t="shared" si="1764"/>
        <v>0</v>
      </c>
      <c r="CS590" s="1">
        <f t="shared" si="1765"/>
        <v>0</v>
      </c>
      <c r="CT590" s="1">
        <f t="shared" si="1766"/>
        <v>1.9E-2</v>
      </c>
      <c r="CU590" s="1">
        <f t="shared" si="1767"/>
        <v>3.9E-2</v>
      </c>
      <c r="CV590" s="304">
        <f t="shared" si="1768"/>
        <v>-1098.3618966787526</v>
      </c>
      <c r="CW590" s="20" t="s">
        <v>122</v>
      </c>
      <c r="CX590" s="20" t="s">
        <v>122</v>
      </c>
      <c r="CY590" s="20" t="s">
        <v>122</v>
      </c>
      <c r="CZ590" s="20" t="s">
        <v>122</v>
      </c>
      <c r="DA590" s="20" t="s">
        <v>122</v>
      </c>
      <c r="DB590" s="503">
        <f t="shared" si="1769"/>
        <v>0</v>
      </c>
      <c r="DC590" s="127">
        <v>0</v>
      </c>
      <c r="DD590" s="127">
        <v>0</v>
      </c>
      <c r="DE590" s="127">
        <v>0</v>
      </c>
      <c r="DF590" s="127">
        <v>0</v>
      </c>
      <c r="DG590" s="127">
        <v>0</v>
      </c>
      <c r="DH590" s="127">
        <v>0</v>
      </c>
      <c r="DI590" s="127">
        <v>0</v>
      </c>
      <c r="DJ590" s="127">
        <v>0</v>
      </c>
      <c r="DK590" s="127">
        <v>0</v>
      </c>
      <c r="DL590" s="127">
        <v>0</v>
      </c>
      <c r="DM590" s="304">
        <f>INDEX(Input!$1:$1048576,DM$93,$C590*2+6)</f>
        <v>20731.578947368424</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c r="DZ590" s="7"/>
      <c r="EA590" s="7"/>
      <c r="EB590" s="7"/>
      <c r="EC590" s="7"/>
      <c r="ED590" s="7"/>
      <c r="EE590" s="7"/>
      <c r="EF590" s="7"/>
      <c r="EG590" s="7"/>
      <c r="EH590" s="7"/>
      <c r="EI590" s="7"/>
      <c r="EJ590" s="7"/>
      <c r="EK590" s="7"/>
      <c r="EL590" s="7"/>
      <c r="EM590" s="7"/>
      <c r="EN590" s="7"/>
      <c r="EO590" s="7"/>
      <c r="EP590" s="7"/>
      <c r="EQ590" s="7"/>
      <c r="ER590" s="7"/>
      <c r="ES590" s="7"/>
      <c r="ET590" s="7"/>
      <c r="EU590" s="6"/>
      <c r="EV590" s="6"/>
      <c r="EW590" s="6"/>
      <c r="EX590" s="6"/>
      <c r="EY590" s="6"/>
      <c r="EZ590" s="6"/>
      <c r="FA590" s="6"/>
      <c r="FB590" s="6"/>
      <c r="FC590" s="6"/>
      <c r="FD590" s="6"/>
      <c r="FE590" s="6"/>
      <c r="FF590" s="6"/>
      <c r="FG590" s="6"/>
      <c r="FH590" s="6"/>
      <c r="FI590" s="6"/>
      <c r="FJ590" s="6"/>
      <c r="FK590" s="6"/>
      <c r="FL590" s="6"/>
      <c r="FM590" s="6"/>
      <c r="FN590" s="6"/>
      <c r="FO590" s="6"/>
      <c r="FP590" s="6"/>
      <c r="FQ590" s="6"/>
      <c r="FR590" s="6"/>
      <c r="FS590" s="6"/>
      <c r="FT590" s="7"/>
      <c r="FU590" s="7"/>
      <c r="FV590" s="7"/>
      <c r="FW590" s="6"/>
      <c r="FX590" s="6"/>
      <c r="FY590" s="6"/>
      <c r="FZ590" s="6"/>
      <c r="GA590" s="6"/>
      <c r="GB590" s="6"/>
      <c r="GC590" s="7"/>
      <c r="GD590" s="7"/>
      <c r="GE590" s="7"/>
      <c r="GF590" s="7"/>
      <c r="GG590" s="7"/>
      <c r="GH590" s="42"/>
      <c r="GI590" s="6"/>
      <c r="GJ590" s="14"/>
      <c r="GK590" s="14"/>
      <c r="GL590" s="14"/>
      <c r="GM590" s="14"/>
      <c r="GO590" s="5"/>
      <c r="GP590" s="5"/>
      <c r="GQ590" s="5"/>
      <c r="GR590" s="5"/>
      <c r="GS590" s="5"/>
      <c r="GT590" s="5"/>
      <c r="GU590" s="5"/>
      <c r="GV590" s="39"/>
      <c r="GW590" s="5"/>
      <c r="GX590" s="5"/>
      <c r="GY590" s="5"/>
      <c r="GZ590" s="5"/>
      <c r="HA590" s="5"/>
      <c r="HB590" s="39"/>
      <c r="HC590" s="5"/>
      <c r="HD590" s="5"/>
      <c r="HE590" s="5"/>
      <c r="HF590" s="5"/>
      <c r="HG590" s="5"/>
      <c r="HH590" s="39"/>
      <c r="HI590" s="16"/>
      <c r="HJ590" s="19"/>
      <c r="HK590" s="1"/>
      <c r="HL590" s="16"/>
      <c r="HM590" s="1"/>
      <c r="HN590" s="1"/>
      <c r="HO590" s="1"/>
      <c r="HP590" s="1"/>
      <c r="HQ590" s="1"/>
      <c r="HR590" s="1"/>
      <c r="HS590" s="1"/>
      <c r="HT590" s="1"/>
      <c r="HU590" s="1"/>
      <c r="HV590" s="1"/>
      <c r="HW590" s="1"/>
      <c r="HX590" s="1"/>
      <c r="HY590" s="1"/>
      <c r="HZ590" s="1"/>
      <c r="IA590" s="1"/>
      <c r="IB590" s="1"/>
      <c r="IC590" s="1"/>
      <c r="ID590" s="1"/>
      <c r="IE590" s="1"/>
      <c r="IF590" s="1"/>
      <c r="IG590" s="1"/>
      <c r="IH590" s="21"/>
      <c r="II590" s="19"/>
      <c r="IJ590" s="19"/>
      <c r="IK590" s="19"/>
      <c r="IL590" s="19"/>
      <c r="IM590" s="19"/>
      <c r="IN590" s="19"/>
      <c r="IO590" s="39"/>
      <c r="IP590" s="39"/>
      <c r="IQ590" s="39"/>
      <c r="IR590" s="39"/>
      <c r="IS590" s="39"/>
      <c r="IT590" s="39"/>
      <c r="IU590" s="39"/>
      <c r="IV590" s="39"/>
      <c r="IW590" s="39"/>
      <c r="IX590" s="39"/>
      <c r="IY590" s="39"/>
      <c r="IZ590" s="39"/>
      <c r="JA590" s="19"/>
      <c r="JB590" s="19"/>
      <c r="JC590" s="19"/>
      <c r="JD590" s="19"/>
      <c r="JE590" s="21"/>
      <c r="JF590" s="1"/>
      <c r="JG590" s="15"/>
      <c r="JH590" s="1"/>
      <c r="JI590" s="1"/>
      <c r="JJ590" s="1"/>
      <c r="JK590" s="1"/>
      <c r="JL590" s="15"/>
      <c r="JM590" s="15"/>
      <c r="JN590" s="21"/>
      <c r="JO590" s="19"/>
      <c r="JP590" s="19"/>
      <c r="JQ590" s="39"/>
      <c r="JR590" s="39"/>
      <c r="JS590" s="39"/>
      <c r="JT590" s="39"/>
      <c r="JU590" s="385"/>
      <c r="JV590" s="39"/>
      <c r="JW590" s="1"/>
      <c r="JX590" s="19"/>
      <c r="JZ590" s="341"/>
      <c r="KA590" s="342"/>
      <c r="KB590" s="469"/>
      <c r="KI590" s="473"/>
      <c r="KJ590" s="473"/>
      <c r="KK590" s="473"/>
    </row>
    <row r="591" spans="1:307" s="26" customFormat="1" ht="15" outlineLevel="1">
      <c r="A591" s="561">
        <f t="shared" si="1885"/>
        <v>5091</v>
      </c>
      <c r="B591" s="561">
        <f t="shared" si="1865"/>
        <v>91</v>
      </c>
      <c r="C591" s="561">
        <f t="shared" si="1866"/>
        <v>5</v>
      </c>
      <c r="D591" s="561" t="str">
        <f t="shared" si="1938"/>
        <v/>
      </c>
      <c r="E591" s="475">
        <f>INDEX(Input!$1:$1048576,E$93,$C591*2+MIN($B591,2)+5)
+INDEX(Scenarios!E$121:E$200,MATCH($B591,Scenarios!$B$121:$B$200,0))</f>
        <v>1250</v>
      </c>
      <c r="F591" s="475">
        <f>INDEX(Input!$1:$1048576,F$93,$C591*2+MIN($B591,2)+5)
+INDEX(Scenarios!F$121:F$200,MATCH($B591,Scenarios!$B$121:$B$200,0))</f>
        <v>0</v>
      </c>
      <c r="G591" s="475">
        <f>INDEX(Input!$1:$1048576,G$93,$C591*2+MIN($B591,2)+5)
+INDEX(Scenarios!G$121:G$200,MATCH($B591,Scenarios!$B$121:$B$200,0))</f>
        <v>0</v>
      </c>
      <c r="H591" s="475">
        <f>INDEX(Input!$1:$1048576,H$93,$C591*2+MIN($B591,2)+5)
+INDEX(Scenarios!H$121:H$200,MATCH($B591,Scenarios!$B$121:$B$200,0))</f>
        <v>0</v>
      </c>
      <c r="I591" s="476">
        <f>INDEX(Input!$1:$1048576,I$93,$C591*2+MIN($B591,2)+5)</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+INDEX(Scenarios!Q$121:Q$200,MATCH($B591,Scenarios!$B$121:$B$200,0))</f>
        <v>0</v>
      </c>
      <c r="R591" s="478">
        <f>IFERROR(MAX(0,INDEX(Input!$1:$1048576,R$93,$C591*2+MIN($B591,2)+5)
+INDEX(Scenarios!R$121:R$200,MATCH($B591,Scenarios!$B$121:$B$200,0)),),"Market")</f>
        <v>0</v>
      </c>
      <c r="S591" s="478">
        <f>IFERROR(MAX(0,INDEX(Input!$1:$1048576,S$93,$C591*2+MIN($B591,2)+5)
+INDEX(Scenarios!S$121:S$200,MATCH($B591,Scenarios!$B$121:$B$200,0)),),"Market")</f>
        <v>0</v>
      </c>
      <c r="T591" s="478">
        <f>IFERROR(MAX(0,INDEX(Input!$1:$1048576,T$93,$C591*2+MIN($B591,2)+5)
+INDEX(Scenarios!T$121:T$200,MATCH($B591,Scenarios!$B$121:$B$200,0)),),"Market")</f>
        <v>0</v>
      </c>
      <c r="U591" s="478">
        <f>IFERROR(MAX(0,INDEX(Input!$1:$1048576,U$93,$C591*2+MIN($B591,2)+5)
+INDEX(Scenarios!U$121:U$200,MATCH($B591,Scenarios!$B$121:$B$200,0)),),"Market")</f>
        <v>0</v>
      </c>
      <c r="V591" s="478">
        <f>IFERROR(MAX(0,INDEX(Input!$1:$1048576,V$93,$C591*2+MIN($B591,2)+5)
+INDEX(Scenarios!V$121:V$200,MATCH($B591,Scenarios!$B$121:$B$200,0)),),"Market")</f>
        <v>1.9E-2</v>
      </c>
      <c r="W591" s="863">
        <f>IFERROR(MAX(0,INDEX(Input!$1:$1048576,W$93,$C591*2+MIN($B591,2)+5)-0%,),"Market")</f>
        <v>3.9E-2</v>
      </c>
      <c r="X591" s="476" t="str">
        <f>INDEX(Input!$1:$1048576,X$93,$C591*2+MIN($B591,2)+5)</f>
        <v>Y</v>
      </c>
      <c r="Y591" s="475">
        <f>INDEX(Input!$1:$1048576,Y$93,$C591*2+MIN($B591,2)+5)
++INDEX(Scenarios!Y$121:Y$200,MATCH($B591,Scenarios!$B$121:$B$200,0))</f>
        <v>-1098.3618966787526</v>
      </c>
      <c r="Z591" s="477">
        <f>INDEX(Input!$1:$1048576,Z$93,$C591*2+MIN($B591,2)+5)
+INDEX(Scenarios!Z$121:Z$200,MATCH($B591,Scenarios!$B$121:$B$200,0))</f>
        <v>0</v>
      </c>
      <c r="AA591" s="475">
        <f>INDEX(Input!$1:$1048576,AA$93,$C591*2+MIN($B591,2)+5)</f>
        <v>500</v>
      </c>
      <c r="AB591" s="476">
        <f>INDEX(Input!$1:$1048576,AB$93,$C591*2+MIN($B591,2)+5)</f>
        <v>0.43</v>
      </c>
      <c r="AC591" s="475">
        <f>INDEX(Input!$1:$1048576,AC$93,$C591*2+MIN($B591,2)+5)
+INDEX(Scenarios!AC$121:AC$200,MATCH($B591,Scenarios!$B$121:$B$200,0))</f>
        <v>0</v>
      </c>
      <c r="AD591" s="476">
        <f>INDEX(Input!$1:$1048576,AD$93,$C591*2+MIN($B591,2)+5)</f>
        <v>0.35</v>
      </c>
      <c r="AE591" s="475">
        <f>INDEX(Input!$1:$1048576,AE$93,$C591*2+MIN($B591,2)+5)
+INDEX(Scenarios!AE$121:AE$200,MATCH($B591,Scenarios!$B$121:$B$200,0))</f>
        <v>0</v>
      </c>
      <c r="AF591" s="476">
        <f>INDEX(Input!$1:$1048576,AF$93,$C591*2+MIN($B591,2)+5)</f>
        <v>1</v>
      </c>
      <c r="AG591" s="475">
        <f>INDEX(Input!$1:$1048576,AG$93,$C591*2+MIN($B591,2)+5)
+INDEX(Scenarios!AG$121:AG$200,MATCH($B591,Scenarios!$B$121:$B$200,0))</f>
        <v>0</v>
      </c>
      <c r="AH591" s="476">
        <f>INDEX(Input!$1:$1048576,AH$93,$C591*2+MIN($B591,2)+5)</f>
        <v>1</v>
      </c>
      <c r="AI591" s="475">
        <f>INDEX(Input!$1:$1048576,AI$93,$C591*2+MIN($B591,2)+5)
+INDEX(Scenarios!AI$121:AI$200,MATCH($B591,Scenarios!$B$121:$B$200,0))</f>
        <v>0</v>
      </c>
      <c r="AJ591" s="476">
        <f>INDEX(Input!$1:$1048576,AJ$93,$C591*2+MIN($B591,2)+5)</f>
        <v>0.35</v>
      </c>
      <c r="AK591" s="150">
        <f>ROUND(INDEX(Input!$1:$1048576,AK$93,$C590*2+MIN($B591,1)+5)+(Y591-VLOOKUP($C591*1000+1,$A:$HH,Y$92,FALSE)),0)</f>
        <v>4592</v>
      </c>
      <c r="AL591" s="150">
        <f>ROUND(INDEX(Input!$1:$1048576,AL$93,$C590*2+MIN($B591,1)+5)-(Y591-VLOOKUP($C591*1000+1,$A:$HH,Y$92,FALSE))/36,0)</f>
        <v>4743</v>
      </c>
      <c r="AM591" s="32" t="str">
        <f t="shared" si="1886"/>
        <v>std/std/std/std</v>
      </c>
      <c r="AN591" s="32" t="str">
        <f t="shared" si="1887"/>
        <v>$0 + 0/0/0/1.9/3.9</v>
      </c>
      <c r="AO591" s="32" t="str">
        <f t="shared" si="1888"/>
        <v>0/0/0/1.9/3.9</v>
      </c>
      <c r="AP591" s="32" t="str">
        <f t="shared" si="1755"/>
        <v>0/0.9/1.9/3.9</v>
      </c>
      <c r="AQ591" s="536">
        <f t="shared" si="1754"/>
        <v>0</v>
      </c>
      <c r="AR591" s="32"/>
      <c r="AS591" s="302"/>
      <c r="AT591" s="3">
        <f t="shared" si="1867"/>
        <v>91</v>
      </c>
      <c r="AU591" s="41" t="s">
        <v>121</v>
      </c>
      <c r="AV591" s="41" t="s">
        <v>116</v>
      </c>
      <c r="AW591" s="41" t="str">
        <f>INDEX(Input!$1:$1048576,AW$93,$C591*2+6)</f>
        <v>Kia</v>
      </c>
      <c r="AX591" s="41" t="str">
        <f>INDEX(Input!$1:$1048576,AX$93,$C591*2+6)</f>
        <v>Kia-LR - R2</v>
      </c>
      <c r="AY591" s="41" t="str">
        <f>IF(LEN(D591)=0,"",INDEX(Input!$1:$1048576,AY$93,$C591*2+6))</f>
        <v/>
      </c>
      <c r="AZ591" s="41" t="str">
        <f>INDEX(Input!$1:$1048576,AZ$93,$C591*2+6)</f>
        <v>Kia Forte</v>
      </c>
      <c r="BA591" s="3">
        <f>INDEX(Input!$1:$1048576,BA$93,$C591*2+6)</f>
        <v>2020</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19695</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756"/>
        <v>1250</v>
      </c>
      <c r="CJ591" s="16" t="str">
        <f>INDEX(Input!$1:$1048576,CJ$93,$C591*2+6)</f>
        <v>N</v>
      </c>
      <c r="CK591" s="1" t="str">
        <f t="shared" si="1757"/>
        <v>Market</v>
      </c>
      <c r="CL591" s="1" t="str">
        <f t="shared" si="1758"/>
        <v>Market</v>
      </c>
      <c r="CM591" s="1" t="str">
        <f t="shared" si="1759"/>
        <v>Market</v>
      </c>
      <c r="CN591" s="1" t="str">
        <f t="shared" si="1760"/>
        <v>Market</v>
      </c>
      <c r="CO591" s="1" t="str">
        <f t="shared" si="1761"/>
        <v>Market</v>
      </c>
      <c r="CP591" s="304">
        <f t="shared" si="1762"/>
        <v>215</v>
      </c>
      <c r="CQ591" s="1">
        <f t="shared" si="1763"/>
        <v>0</v>
      </c>
      <c r="CR591" s="1">
        <f t="shared" si="1764"/>
        <v>0</v>
      </c>
      <c r="CS591" s="1">
        <f t="shared" si="1765"/>
        <v>0</v>
      </c>
      <c r="CT591" s="1">
        <f t="shared" si="1766"/>
        <v>1.9E-2</v>
      </c>
      <c r="CU591" s="1">
        <f t="shared" si="1767"/>
        <v>3.9E-2</v>
      </c>
      <c r="CV591" s="304">
        <f t="shared" si="1768"/>
        <v>-1098.3618966787526</v>
      </c>
      <c r="CW591" s="20" t="s">
        <v>122</v>
      </c>
      <c r="CX591" s="20" t="s">
        <v>122</v>
      </c>
      <c r="CY591" s="20" t="s">
        <v>122</v>
      </c>
      <c r="CZ591" s="20" t="s">
        <v>122</v>
      </c>
      <c r="DA591" s="20" t="s">
        <v>122</v>
      </c>
      <c r="DB591" s="503">
        <f t="shared" si="1769"/>
        <v>0</v>
      </c>
      <c r="DC591" s="127">
        <v>0</v>
      </c>
      <c r="DD591" s="127">
        <v>0</v>
      </c>
      <c r="DE591" s="127">
        <v>0</v>
      </c>
      <c r="DF591" s="127">
        <v>0</v>
      </c>
      <c r="DG591" s="127">
        <v>0</v>
      </c>
      <c r="DH591" s="127">
        <v>0</v>
      </c>
      <c r="DI591" s="127">
        <v>0</v>
      </c>
      <c r="DJ591" s="127">
        <v>0</v>
      </c>
      <c r="DK591" s="127">
        <v>0</v>
      </c>
      <c r="DL591" s="127">
        <v>0</v>
      </c>
      <c r="DM591" s="304">
        <f>INDEX(Input!$1:$1048576,DM$93,$C591*2+6)</f>
        <v>20731.578947368424</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c r="DZ591" s="7"/>
      <c r="EA591" s="7"/>
      <c r="EB591" s="7"/>
      <c r="EC591" s="7"/>
      <c r="ED591" s="7"/>
      <c r="EE591" s="7"/>
      <c r="EF591" s="7"/>
      <c r="EG591" s="7"/>
      <c r="EH591" s="7"/>
      <c r="EI591" s="7"/>
      <c r="EJ591" s="7"/>
      <c r="EK591" s="7"/>
      <c r="EL591" s="7"/>
      <c r="EM591" s="7"/>
      <c r="EN591" s="7"/>
      <c r="EO591" s="7"/>
      <c r="EP591" s="7"/>
      <c r="EQ591" s="7"/>
      <c r="ER591" s="7"/>
      <c r="ES591" s="7"/>
      <c r="ET591" s="7"/>
      <c r="EU591" s="6"/>
      <c r="EV591" s="6"/>
      <c r="EW591" s="6"/>
      <c r="EX591" s="6"/>
      <c r="EY591" s="6"/>
      <c r="EZ591" s="6"/>
      <c r="FA591" s="6"/>
      <c r="FB591" s="6"/>
      <c r="FC591" s="6"/>
      <c r="FD591" s="6"/>
      <c r="FE591" s="6"/>
      <c r="FF591" s="6"/>
      <c r="FG591" s="6"/>
      <c r="FH591" s="6"/>
      <c r="FI591" s="6"/>
      <c r="FJ591" s="6"/>
      <c r="FK591" s="6"/>
      <c r="FL591" s="6"/>
      <c r="FM591" s="6"/>
      <c r="FN591" s="6"/>
      <c r="FO591" s="6"/>
      <c r="FP591" s="6"/>
      <c r="FQ591" s="6"/>
      <c r="FR591" s="6"/>
      <c r="FS591" s="6"/>
      <c r="FT591" s="7"/>
      <c r="FU591" s="7"/>
      <c r="FV591" s="7"/>
      <c r="FW591" s="6"/>
      <c r="FX591" s="6"/>
      <c r="FY591" s="6"/>
      <c r="FZ591" s="6"/>
      <c r="GA591" s="6"/>
      <c r="GB591" s="6"/>
      <c r="GC591" s="7"/>
      <c r="GD591" s="7"/>
      <c r="GE591" s="7"/>
      <c r="GF591" s="7"/>
      <c r="GG591" s="7"/>
      <c r="GH591" s="42"/>
      <c r="GI591" s="6"/>
      <c r="GJ591" s="14"/>
      <c r="GK591" s="14"/>
      <c r="GL591" s="14"/>
      <c r="GM591" s="14"/>
      <c r="GO591" s="5"/>
      <c r="GP591" s="5"/>
      <c r="GQ591" s="5"/>
      <c r="GR591" s="5"/>
      <c r="GS591" s="5"/>
      <c r="GT591" s="5"/>
      <c r="GU591" s="5"/>
      <c r="GV591" s="39"/>
      <c r="GW591" s="5"/>
      <c r="GX591" s="5"/>
      <c r="GY591" s="5"/>
      <c r="GZ591" s="5"/>
      <c r="HA591" s="5"/>
      <c r="HB591" s="39"/>
      <c r="HC591" s="5"/>
      <c r="HD591" s="5"/>
      <c r="HE591" s="5"/>
      <c r="HF591" s="5"/>
      <c r="HG591" s="5"/>
      <c r="HH591" s="39"/>
      <c r="HI591" s="16"/>
      <c r="HJ591" s="19"/>
      <c r="HK591" s="1"/>
      <c r="HL591" s="16"/>
      <c r="HM591" s="1"/>
      <c r="HN591" s="1"/>
      <c r="HO591" s="1"/>
      <c r="HP591" s="1"/>
      <c r="HQ591" s="1"/>
      <c r="HR591" s="1"/>
      <c r="HS591" s="1"/>
      <c r="HT591" s="1"/>
      <c r="HU591" s="1"/>
      <c r="HV591" s="1"/>
      <c r="HW591" s="1"/>
      <c r="HX591" s="1"/>
      <c r="HY591" s="1"/>
      <c r="HZ591" s="1"/>
      <c r="IA591" s="1"/>
      <c r="IB591" s="1"/>
      <c r="IC591" s="1"/>
      <c r="ID591" s="1"/>
      <c r="IE591" s="1"/>
      <c r="IF591" s="1"/>
      <c r="IG591" s="1"/>
      <c r="IH591" s="21"/>
      <c r="II591" s="19"/>
      <c r="IJ591" s="19"/>
      <c r="IK591" s="19"/>
      <c r="IL591" s="19"/>
      <c r="IM591" s="19"/>
      <c r="IN591" s="19"/>
      <c r="IO591" s="39"/>
      <c r="IP591" s="39"/>
      <c r="IQ591" s="39"/>
      <c r="IR591" s="39"/>
      <c r="IS591" s="39"/>
      <c r="IT591" s="39"/>
      <c r="IU591" s="39"/>
      <c r="IV591" s="39"/>
      <c r="IW591" s="39"/>
      <c r="IX591" s="39"/>
      <c r="IY591" s="39"/>
      <c r="IZ591" s="39"/>
      <c r="JA591" s="19"/>
      <c r="JB591" s="19"/>
      <c r="JC591" s="19"/>
      <c r="JD591" s="19"/>
      <c r="JE591" s="21"/>
      <c r="JF591" s="1"/>
      <c r="JG591" s="15"/>
      <c r="JH591" s="1"/>
      <c r="JI591" s="1"/>
      <c r="JJ591" s="1"/>
      <c r="JK591" s="1"/>
      <c r="JL591" s="15"/>
      <c r="JM591" s="15"/>
      <c r="JN591" s="21"/>
      <c r="JO591" s="19"/>
      <c r="JP591" s="19"/>
      <c r="JQ591" s="39"/>
      <c r="JR591" s="39"/>
      <c r="JS591" s="39"/>
      <c r="JT591" s="39"/>
      <c r="JU591" s="385"/>
      <c r="JV591" s="39"/>
      <c r="JW591" s="1"/>
      <c r="JX591" s="19"/>
      <c r="JZ591" s="341"/>
      <c r="KA591" s="342"/>
      <c r="KB591" s="469"/>
      <c r="KI591" s="473"/>
      <c r="KJ591" s="473"/>
      <c r="KK591" s="473"/>
    </row>
    <row r="592" spans="1:307" s="26" customFormat="1" ht="15" outlineLevel="1">
      <c r="A592" s="561">
        <f t="shared" si="1885"/>
        <v>5092</v>
      </c>
      <c r="B592" s="561">
        <f t="shared" si="1865"/>
        <v>92</v>
      </c>
      <c r="C592" s="561">
        <f t="shared" si="1866"/>
        <v>5</v>
      </c>
      <c r="D592" s="561" t="str">
        <f t="shared" si="1938"/>
        <v/>
      </c>
      <c r="E592" s="475">
        <f>INDEX(Input!$1:$1048576,E$93,$C592*2+MIN($B592,2)+5)
+INDEX(Scenarios!E$121:E$200,MATCH($B592,Scenarios!$B$121:$B$200,0))</f>
        <v>1250</v>
      </c>
      <c r="F592" s="475">
        <f>INDEX(Input!$1:$1048576,F$93,$C592*2+MIN($B592,2)+5)
+INDEX(Scenarios!F$121:F$200,MATCH($B592,Scenarios!$B$121:$B$200,0))</f>
        <v>0</v>
      </c>
      <c r="G592" s="475">
        <f>INDEX(Input!$1:$1048576,G$93,$C592*2+MIN($B592,2)+5)
+INDEX(Scenarios!G$121:G$200,MATCH($B592,Scenarios!$B$121:$B$200,0))</f>
        <v>0</v>
      </c>
      <c r="H592" s="475">
        <f>INDEX(Input!$1:$1048576,H$93,$C592*2+MIN($B592,2)+5)
+INDEX(Scenarios!H$121:H$200,MATCH($B592,Scenarios!$B$121:$B$200,0))</f>
        <v>0</v>
      </c>
      <c r="I592" s="476">
        <f>INDEX(Input!$1:$1048576,I$93,$C592*2+MIN($B592,2)+5)</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+INDEX(Scenarios!Q$121:Q$200,MATCH($B592,Scenarios!$B$121:$B$200,0))</f>
        <v>0</v>
      </c>
      <c r="R592" s="478">
        <f>IFERROR(MAX(0,INDEX(Input!$1:$1048576,R$93,$C592*2+MIN($B592,2)+5)
+INDEX(Scenarios!R$121:R$200,MATCH($B592,Scenarios!$B$121:$B$200,0)),),"Market")</f>
        <v>0</v>
      </c>
      <c r="S592" s="478">
        <f>IFERROR(MAX(0,INDEX(Input!$1:$1048576,S$93,$C592*2+MIN($B592,2)+5)
+INDEX(Scenarios!S$121:S$200,MATCH($B592,Scenarios!$B$121:$B$200,0)),),"Market")</f>
        <v>0</v>
      </c>
      <c r="T592" s="478">
        <f>IFERROR(MAX(0,INDEX(Input!$1:$1048576,T$93,$C592*2+MIN($B592,2)+5)
+INDEX(Scenarios!T$121:T$200,MATCH($B592,Scenarios!$B$121:$B$200,0)),),"Market")</f>
        <v>0</v>
      </c>
      <c r="U592" s="478">
        <f>IFERROR(MAX(0,INDEX(Input!$1:$1048576,U$93,$C592*2+MIN($B592,2)+5)
+INDEX(Scenarios!U$121:U$200,MATCH($B592,Scenarios!$B$121:$B$200,0)),),"Market")</f>
        <v>0</v>
      </c>
      <c r="V592" s="478">
        <f>IFERROR(MAX(0,INDEX(Input!$1:$1048576,V$93,$C592*2+MIN($B592,2)+5)
+INDEX(Scenarios!V$121:V$200,MATCH($B592,Scenarios!$B$121:$B$200,0)),),"Market")</f>
        <v>1.9E-2</v>
      </c>
      <c r="W592" s="863">
        <f>IFERROR(MAX(0,INDEX(Input!$1:$1048576,W$93,$C592*2+MIN($B592,2)+5)-0%,),"Market")</f>
        <v>3.9E-2</v>
      </c>
      <c r="X592" s="476" t="str">
        <f>INDEX(Input!$1:$1048576,X$93,$C592*2+MIN($B592,2)+5)</f>
        <v>Y</v>
      </c>
      <c r="Y592" s="475">
        <f>INDEX(Input!$1:$1048576,Y$93,$C592*2+MIN($B592,2)+5)
++INDEX(Scenarios!Y$121:Y$200,MATCH($B592,Scenarios!$B$121:$B$200,0))</f>
        <v>-1098.3618966787526</v>
      </c>
      <c r="Z592" s="477">
        <f>INDEX(Input!$1:$1048576,Z$93,$C592*2+MIN($B592,2)+5)
+INDEX(Scenarios!Z$121:Z$200,MATCH($B592,Scenarios!$B$121:$B$200,0))</f>
        <v>0</v>
      </c>
      <c r="AA592" s="475">
        <f>INDEX(Input!$1:$1048576,AA$93,$C592*2+MIN($B592,2)+5)</f>
        <v>500</v>
      </c>
      <c r="AB592" s="476">
        <f>INDEX(Input!$1:$1048576,AB$93,$C592*2+MIN($B592,2)+5)</f>
        <v>0.43</v>
      </c>
      <c r="AC592" s="475">
        <f>INDEX(Input!$1:$1048576,AC$93,$C592*2+MIN($B592,2)+5)
+INDEX(Scenarios!AC$121:AC$200,MATCH($B592,Scenarios!$B$121:$B$200,0))</f>
        <v>0</v>
      </c>
      <c r="AD592" s="476">
        <f>INDEX(Input!$1:$1048576,AD$93,$C592*2+MIN($B592,2)+5)</f>
        <v>0.35</v>
      </c>
      <c r="AE592" s="475">
        <f>INDEX(Input!$1:$1048576,AE$93,$C592*2+MIN($B592,2)+5)
+INDEX(Scenarios!AE$121:AE$200,MATCH($B592,Scenarios!$B$121:$B$200,0))</f>
        <v>0</v>
      </c>
      <c r="AF592" s="476">
        <f>INDEX(Input!$1:$1048576,AF$93,$C592*2+MIN($B592,2)+5)</f>
        <v>1</v>
      </c>
      <c r="AG592" s="475">
        <f>INDEX(Input!$1:$1048576,AG$93,$C592*2+MIN($B592,2)+5)
+INDEX(Scenarios!AG$121:AG$200,MATCH($B592,Scenarios!$B$121:$B$200,0))</f>
        <v>0</v>
      </c>
      <c r="AH592" s="476">
        <f>INDEX(Input!$1:$1048576,AH$93,$C592*2+MIN($B592,2)+5)</f>
        <v>1</v>
      </c>
      <c r="AI592" s="475">
        <f>INDEX(Input!$1:$1048576,AI$93,$C592*2+MIN($B592,2)+5)
+INDEX(Scenarios!AI$121:AI$200,MATCH($B592,Scenarios!$B$121:$B$200,0))</f>
        <v>0</v>
      </c>
      <c r="AJ592" s="476">
        <f>INDEX(Input!$1:$1048576,AJ$93,$C592*2+MIN($B592,2)+5)</f>
        <v>0.35</v>
      </c>
      <c r="AK592" s="150">
        <f>ROUND(INDEX(Input!$1:$1048576,AK$93,$C591*2+MIN($B592,1)+5)+(Y592-VLOOKUP($C592*1000+1,$A:$HH,Y$92,FALSE)),0)</f>
        <v>4592</v>
      </c>
      <c r="AL592" s="150">
        <f>ROUND(INDEX(Input!$1:$1048576,AL$93,$C591*2+MIN($B592,1)+5)-(Y592-VLOOKUP($C592*1000+1,$A:$HH,Y$92,FALSE))/36,0)</f>
        <v>4743</v>
      </c>
      <c r="AM592" s="32" t="str">
        <f t="shared" si="1886"/>
        <v>std/std/std/std</v>
      </c>
      <c r="AN592" s="32" t="str">
        <f t="shared" si="1887"/>
        <v>$0 + 0/0/0/1.9/3.9</v>
      </c>
      <c r="AO592" s="32" t="str">
        <f t="shared" si="1888"/>
        <v>0/0/0/1.9/3.9</v>
      </c>
      <c r="AP592" s="32" t="str">
        <f t="shared" si="1755"/>
        <v>0/0.9/1.9/3.9</v>
      </c>
      <c r="AQ592" s="536">
        <f t="shared" si="1754"/>
        <v>0</v>
      </c>
      <c r="AR592" s="32"/>
      <c r="AS592" s="302"/>
      <c r="AT592" s="3">
        <f t="shared" si="1867"/>
        <v>92</v>
      </c>
      <c r="AU592" s="41" t="s">
        <v>121</v>
      </c>
      <c r="AV592" s="41" t="s">
        <v>116</v>
      </c>
      <c r="AW592" s="41" t="str">
        <f>INDEX(Input!$1:$1048576,AW$93,$C592*2+6)</f>
        <v>Kia</v>
      </c>
      <c r="AX592" s="41" t="str">
        <f>INDEX(Input!$1:$1048576,AX$93,$C592*2+6)</f>
        <v>Kia-LR - R2</v>
      </c>
      <c r="AY592" s="41" t="str">
        <f>IF(LEN(D592)=0,"",INDEX(Input!$1:$1048576,AY$93,$C592*2+6))</f>
        <v/>
      </c>
      <c r="AZ592" s="41" t="str">
        <f>INDEX(Input!$1:$1048576,AZ$93,$C592*2+6)</f>
        <v>Kia Forte</v>
      </c>
      <c r="BA592" s="3">
        <f>INDEX(Input!$1:$1048576,BA$93,$C592*2+6)</f>
        <v>2020</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19695</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756"/>
        <v>1465</v>
      </c>
      <c r="CJ592" s="16" t="str">
        <f>INDEX(Input!$1:$1048576,CJ$93,$C592*2+6)</f>
        <v>N</v>
      </c>
      <c r="CK592" s="1" t="str">
        <f t="shared" si="1757"/>
        <v>Market</v>
      </c>
      <c r="CL592" s="1" t="str">
        <f t="shared" si="1758"/>
        <v>Market</v>
      </c>
      <c r="CM592" s="1" t="str">
        <f t="shared" si="1759"/>
        <v>Market</v>
      </c>
      <c r="CN592" s="1" t="str">
        <f t="shared" si="1760"/>
        <v>Market</v>
      </c>
      <c r="CO592" s="1" t="str">
        <f t="shared" si="1761"/>
        <v>Market</v>
      </c>
      <c r="CP592" s="304">
        <f t="shared" si="1762"/>
        <v>215</v>
      </c>
      <c r="CQ592" s="1">
        <f t="shared" si="1763"/>
        <v>0</v>
      </c>
      <c r="CR592" s="1">
        <f t="shared" si="1764"/>
        <v>0</v>
      </c>
      <c r="CS592" s="1">
        <f t="shared" si="1765"/>
        <v>0</v>
      </c>
      <c r="CT592" s="1">
        <f t="shared" si="1766"/>
        <v>1.9E-2</v>
      </c>
      <c r="CU592" s="1">
        <f t="shared" si="1767"/>
        <v>3.9E-2</v>
      </c>
      <c r="CV592" s="304">
        <f t="shared" si="1768"/>
        <v>-1098.3618966787526</v>
      </c>
      <c r="CW592" s="20" t="s">
        <v>122</v>
      </c>
      <c r="CX592" s="20" t="s">
        <v>122</v>
      </c>
      <c r="CY592" s="20" t="s">
        <v>122</v>
      </c>
      <c r="CZ592" s="20" t="s">
        <v>122</v>
      </c>
      <c r="DA592" s="20" t="s">
        <v>122</v>
      </c>
      <c r="DB592" s="503">
        <f t="shared" si="1769"/>
        <v>0</v>
      </c>
      <c r="DC592" s="127">
        <v>0</v>
      </c>
      <c r="DD592" s="127">
        <v>0</v>
      </c>
      <c r="DE592" s="127">
        <v>0</v>
      </c>
      <c r="DF592" s="127">
        <v>0</v>
      </c>
      <c r="DG592" s="127">
        <v>0</v>
      </c>
      <c r="DH592" s="127">
        <v>0</v>
      </c>
      <c r="DI592" s="127">
        <v>0</v>
      </c>
      <c r="DJ592" s="127">
        <v>0</v>
      </c>
      <c r="DK592" s="127">
        <v>0</v>
      </c>
      <c r="DL592" s="127">
        <v>0</v>
      </c>
      <c r="DM592" s="304">
        <f>INDEX(Input!$1:$1048576,DM$93,$C592*2+6)</f>
        <v>20731.578947368424</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c r="DZ592" s="7"/>
      <c r="EA592" s="7"/>
      <c r="EB592" s="7"/>
      <c r="EC592" s="7"/>
      <c r="ED592" s="7"/>
      <c r="EE592" s="7"/>
      <c r="EF592" s="7"/>
      <c r="EG592" s="7"/>
      <c r="EH592" s="7"/>
      <c r="EI592" s="7"/>
      <c r="EJ592" s="7"/>
      <c r="EK592" s="7"/>
      <c r="EL592" s="7"/>
      <c r="EM592" s="7"/>
      <c r="EN592" s="7"/>
      <c r="EO592" s="7"/>
      <c r="EP592" s="7"/>
      <c r="EQ592" s="7"/>
      <c r="ER592" s="7"/>
      <c r="ES592" s="7"/>
      <c r="ET592" s="7"/>
      <c r="EU592" s="6"/>
      <c r="EV592" s="6"/>
      <c r="EW592" s="6"/>
      <c r="EX592" s="6"/>
      <c r="EY592" s="6"/>
      <c r="EZ592" s="6"/>
      <c r="FA592" s="6"/>
      <c r="FB592" s="6"/>
      <c r="FC592" s="6"/>
      <c r="FD592" s="6"/>
      <c r="FE592" s="6"/>
      <c r="FF592" s="6"/>
      <c r="FG592" s="6"/>
      <c r="FH592" s="6"/>
      <c r="FI592" s="6"/>
      <c r="FJ592" s="6"/>
      <c r="FK592" s="6"/>
      <c r="FL592" s="6"/>
      <c r="FM592" s="6"/>
      <c r="FN592" s="6"/>
      <c r="FO592" s="6"/>
      <c r="FP592" s="6"/>
      <c r="FQ592" s="6"/>
      <c r="FR592" s="6"/>
      <c r="FS592" s="6"/>
      <c r="FT592" s="7"/>
      <c r="FU592" s="7"/>
      <c r="FV592" s="7"/>
      <c r="FW592" s="6"/>
      <c r="FX592" s="6"/>
      <c r="FY592" s="6"/>
      <c r="FZ592" s="6"/>
      <c r="GA592" s="6"/>
      <c r="GB592" s="6"/>
      <c r="GC592" s="7"/>
      <c r="GD592" s="7"/>
      <c r="GE592" s="7"/>
      <c r="GF592" s="7"/>
      <c r="GG592" s="7"/>
      <c r="GH592" s="42"/>
      <c r="GI592" s="6"/>
      <c r="GJ592" s="14"/>
      <c r="GK592" s="14"/>
      <c r="GL592" s="14"/>
      <c r="GM592" s="14"/>
      <c r="GO592" s="5"/>
      <c r="GP592" s="5"/>
      <c r="GQ592" s="5"/>
      <c r="GR592" s="5"/>
      <c r="GS592" s="5"/>
      <c r="GT592" s="5"/>
      <c r="GU592" s="5"/>
      <c r="GV592" s="39"/>
      <c r="GW592" s="5"/>
      <c r="GX592" s="5"/>
      <c r="GY592" s="5"/>
      <c r="GZ592" s="5"/>
      <c r="HA592" s="5"/>
      <c r="HB592" s="39"/>
      <c r="HC592" s="5"/>
      <c r="HD592" s="5"/>
      <c r="HE592" s="5"/>
      <c r="HF592" s="5"/>
      <c r="HG592" s="5"/>
      <c r="HH592" s="39"/>
      <c r="HI592" s="16"/>
      <c r="HJ592" s="19"/>
      <c r="HK592" s="1"/>
      <c r="HL592" s="16"/>
      <c r="HM592" s="1"/>
      <c r="HN592" s="1"/>
      <c r="HO592" s="1"/>
      <c r="HP592" s="1"/>
      <c r="HQ592" s="1"/>
      <c r="HR592" s="1"/>
      <c r="HS592" s="1"/>
      <c r="HT592" s="1"/>
      <c r="HU592" s="1"/>
      <c r="HV592" s="1"/>
      <c r="HW592" s="1"/>
      <c r="HX592" s="1"/>
      <c r="HY592" s="1"/>
      <c r="HZ592" s="1"/>
      <c r="IA592" s="1"/>
      <c r="IB592" s="1"/>
      <c r="IC592" s="1"/>
      <c r="ID592" s="1"/>
      <c r="IE592" s="1"/>
      <c r="IF592" s="1"/>
      <c r="IG592" s="1"/>
      <c r="IH592" s="21"/>
      <c r="II592" s="19"/>
      <c r="IJ592" s="19"/>
      <c r="IK592" s="19"/>
      <c r="IL592" s="19"/>
      <c r="IM592" s="19"/>
      <c r="IN592" s="19"/>
      <c r="IO592" s="39"/>
      <c r="IP592" s="39"/>
      <c r="IQ592" s="39"/>
      <c r="IR592" s="39"/>
      <c r="IS592" s="39"/>
      <c r="IT592" s="39"/>
      <c r="IU592" s="39"/>
      <c r="IV592" s="39"/>
      <c r="IW592" s="39"/>
      <c r="IX592" s="39"/>
      <c r="IY592" s="39"/>
      <c r="IZ592" s="39"/>
      <c r="JA592" s="19"/>
      <c r="JB592" s="19"/>
      <c r="JC592" s="19"/>
      <c r="JD592" s="19"/>
      <c r="JE592" s="21"/>
      <c r="JF592" s="1"/>
      <c r="JG592" s="15"/>
      <c r="JH592" s="1"/>
      <c r="JI592" s="1"/>
      <c r="JJ592" s="1"/>
      <c r="JK592" s="1"/>
      <c r="JL592" s="15"/>
      <c r="JM592" s="15"/>
      <c r="JN592" s="21"/>
      <c r="JO592" s="19"/>
      <c r="JP592" s="19"/>
      <c r="JQ592" s="39"/>
      <c r="JR592" s="39"/>
      <c r="JS592" s="39"/>
      <c r="JT592" s="39"/>
      <c r="JU592" s="385"/>
      <c r="JV592" s="39"/>
      <c r="JW592" s="1"/>
      <c r="JX592" s="19"/>
      <c r="JZ592" s="341"/>
      <c r="KA592" s="342"/>
      <c r="KB592" s="469"/>
      <c r="KI592" s="473"/>
      <c r="KJ592" s="473"/>
      <c r="KK592" s="473"/>
    </row>
    <row r="593" spans="1:310" s="26" customFormat="1" ht="15" outlineLevel="1">
      <c r="A593" s="561">
        <f t="shared" si="1885"/>
        <v>5093</v>
      </c>
      <c r="B593" s="561">
        <f t="shared" si="1865"/>
        <v>93</v>
      </c>
      <c r="C593" s="561">
        <f t="shared" si="1866"/>
        <v>5</v>
      </c>
      <c r="D593" s="561" t="str">
        <f t="shared" si="1938"/>
        <v/>
      </c>
      <c r="E593" s="475">
        <f>INDEX(Input!$1:$1048576,E$93,$C593*2+MIN($B593,2)+5)
+INDEX(Scenarios!E$121:E$200,MATCH($B593,Scenarios!$B$121:$B$200,0))</f>
        <v>1250</v>
      </c>
      <c r="F593" s="475">
        <f>INDEX(Input!$1:$1048576,F$93,$C593*2+MIN($B593,2)+5)
+INDEX(Scenarios!F$121:F$200,MATCH($B593,Scenarios!$B$121:$B$200,0))</f>
        <v>0</v>
      </c>
      <c r="G593" s="475">
        <f>INDEX(Input!$1:$1048576,G$93,$C593*2+MIN($B593,2)+5)
+INDEX(Scenarios!G$121:G$200,MATCH($B593,Scenarios!$B$121:$B$200,0))</f>
        <v>0</v>
      </c>
      <c r="H593" s="475">
        <f>INDEX(Input!$1:$1048576,H$93,$C593*2+MIN($B593,2)+5)
+INDEX(Scenarios!H$121:H$200,MATCH($B593,Scenarios!$B$121:$B$200,0))</f>
        <v>0</v>
      </c>
      <c r="I593" s="476">
        <f>INDEX(Input!$1:$1048576,I$93,$C593*2+MIN($B593,2)+5)</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+INDEX(Scenarios!Q$121:Q$200,MATCH($B593,Scenarios!$B$121:$B$200,0))</f>
        <v>0</v>
      </c>
      <c r="R593" s="478">
        <f>IFERROR(MAX(0,INDEX(Input!$1:$1048576,R$93,$C593*2+MIN($B593,2)+5)
+INDEX(Scenarios!R$121:R$200,MATCH($B593,Scenarios!$B$121:$B$200,0)),),"Market")</f>
        <v>0</v>
      </c>
      <c r="S593" s="478">
        <f>IFERROR(MAX(0,INDEX(Input!$1:$1048576,S$93,$C593*2+MIN($B593,2)+5)
+INDEX(Scenarios!S$121:S$200,MATCH($B593,Scenarios!$B$121:$B$200,0)),),"Market")</f>
        <v>0</v>
      </c>
      <c r="T593" s="478">
        <f>IFERROR(MAX(0,INDEX(Input!$1:$1048576,T$93,$C593*2+MIN($B593,2)+5)
+INDEX(Scenarios!T$121:T$200,MATCH($B593,Scenarios!$B$121:$B$200,0)),),"Market")</f>
        <v>0</v>
      </c>
      <c r="U593" s="478">
        <f>IFERROR(MAX(0,INDEX(Input!$1:$1048576,U$93,$C593*2+MIN($B593,2)+5)
+INDEX(Scenarios!U$121:U$200,MATCH($B593,Scenarios!$B$121:$B$200,0)),),"Market")</f>
        <v>0</v>
      </c>
      <c r="V593" s="478">
        <f>IFERROR(MAX(0,INDEX(Input!$1:$1048576,V$93,$C593*2+MIN($B593,2)+5)
+INDEX(Scenarios!V$121:V$200,MATCH($B593,Scenarios!$B$121:$B$200,0)),),"Market")</f>
        <v>1.9E-2</v>
      </c>
      <c r="W593" s="863">
        <f>IFERROR(MAX(0,INDEX(Input!$1:$1048576,W$93,$C593*2+MIN($B593,2)+5)-0%,),"Market")</f>
        <v>3.9E-2</v>
      </c>
      <c r="X593" s="476" t="str">
        <f>INDEX(Input!$1:$1048576,X$93,$C593*2+MIN($B593,2)+5)</f>
        <v>Y</v>
      </c>
      <c r="Y593" s="475">
        <f>INDEX(Input!$1:$1048576,Y$93,$C593*2+MIN($B593,2)+5)
++INDEX(Scenarios!Y$121:Y$200,MATCH($B593,Scenarios!$B$121:$B$200,0))</f>
        <v>-1098.3618966787526</v>
      </c>
      <c r="Z593" s="477">
        <f>INDEX(Input!$1:$1048576,Z$93,$C593*2+MIN($B593,2)+5)
+INDEX(Scenarios!Z$121:Z$200,MATCH($B593,Scenarios!$B$121:$B$200,0))</f>
        <v>0</v>
      </c>
      <c r="AA593" s="475">
        <f>INDEX(Input!$1:$1048576,AA$93,$C593*2+MIN($B593,2)+5)</f>
        <v>500</v>
      </c>
      <c r="AB593" s="476">
        <f>INDEX(Input!$1:$1048576,AB$93,$C593*2+MIN($B593,2)+5)</f>
        <v>0.43</v>
      </c>
      <c r="AC593" s="475">
        <f>INDEX(Input!$1:$1048576,AC$93,$C593*2+MIN($B593,2)+5)
+INDEX(Scenarios!AC$121:AC$200,MATCH($B593,Scenarios!$B$121:$B$200,0))</f>
        <v>0</v>
      </c>
      <c r="AD593" s="476">
        <f>INDEX(Input!$1:$1048576,AD$93,$C593*2+MIN($B593,2)+5)</f>
        <v>0.35</v>
      </c>
      <c r="AE593" s="475">
        <f>INDEX(Input!$1:$1048576,AE$93,$C593*2+MIN($B593,2)+5)
+INDEX(Scenarios!AE$121:AE$200,MATCH($B593,Scenarios!$B$121:$B$200,0))</f>
        <v>0</v>
      </c>
      <c r="AF593" s="476">
        <f>INDEX(Input!$1:$1048576,AF$93,$C593*2+MIN($B593,2)+5)</f>
        <v>1</v>
      </c>
      <c r="AG593" s="475">
        <f>INDEX(Input!$1:$1048576,AG$93,$C593*2+MIN($B593,2)+5)
+INDEX(Scenarios!AG$121:AG$200,MATCH($B593,Scenarios!$B$121:$B$200,0))</f>
        <v>0</v>
      </c>
      <c r="AH593" s="476">
        <f>INDEX(Input!$1:$1048576,AH$93,$C593*2+MIN($B593,2)+5)</f>
        <v>1</v>
      </c>
      <c r="AI593" s="475">
        <f>INDEX(Input!$1:$1048576,AI$93,$C593*2+MIN($B593,2)+5)
+INDEX(Scenarios!AI$121:AI$200,MATCH($B593,Scenarios!$B$121:$B$200,0))</f>
        <v>0</v>
      </c>
      <c r="AJ593" s="476">
        <f>INDEX(Input!$1:$1048576,AJ$93,$C593*2+MIN($B593,2)+5)</f>
        <v>0.35</v>
      </c>
      <c r="AK593" s="150">
        <f>ROUND(INDEX(Input!$1:$1048576,AK$93,$C592*2+MIN($B593,1)+5)+(Y593-VLOOKUP($C593*1000+1,$A:$HH,Y$92,FALSE)),0)</f>
        <v>4592</v>
      </c>
      <c r="AL593" s="150">
        <f>ROUND(INDEX(Input!$1:$1048576,AL$93,$C592*2+MIN($B593,1)+5)-(Y593-VLOOKUP($C593*1000+1,$A:$HH,Y$92,FALSE))/36,0)</f>
        <v>4743</v>
      </c>
      <c r="AM593" s="32" t="str">
        <f t="shared" si="1886"/>
        <v>std/std/std/std</v>
      </c>
      <c r="AN593" s="32" t="str">
        <f t="shared" si="1887"/>
        <v>$0 + 0/0/0/1.9/3.9</v>
      </c>
      <c r="AO593" s="32" t="str">
        <f t="shared" si="1888"/>
        <v>0/0/0/1.9/3.9</v>
      </c>
      <c r="AP593" s="32" t="str">
        <f t="shared" si="1755"/>
        <v>0/0.9/1.9/3.9</v>
      </c>
      <c r="AQ593" s="536">
        <f t="shared" si="1754"/>
        <v>0</v>
      </c>
      <c r="AR593" s="32"/>
      <c r="AS593" s="302"/>
      <c r="AT593" s="3">
        <f t="shared" si="1867"/>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Forte</v>
      </c>
      <c r="BA593" s="3">
        <f>INDEX(Input!$1:$1048576,BA$93,$C593*2+6)</f>
        <v>2020</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19695</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756"/>
        <v>1465</v>
      </c>
      <c r="CJ593" s="16" t="str">
        <f>INDEX(Input!$1:$1048576,CJ$93,$C593*2+6)</f>
        <v>N</v>
      </c>
      <c r="CK593" s="1" t="str">
        <f t="shared" si="1757"/>
        <v>Market</v>
      </c>
      <c r="CL593" s="1" t="str">
        <f t="shared" si="1758"/>
        <v>Market</v>
      </c>
      <c r="CM593" s="1" t="str">
        <f t="shared" si="1759"/>
        <v>Market</v>
      </c>
      <c r="CN593" s="1" t="str">
        <f t="shared" si="1760"/>
        <v>Market</v>
      </c>
      <c r="CO593" s="1" t="str">
        <f t="shared" si="1761"/>
        <v>Market</v>
      </c>
      <c r="CP593" s="304">
        <f t="shared" si="1762"/>
        <v>215</v>
      </c>
      <c r="CQ593" s="1">
        <f t="shared" si="1763"/>
        <v>0</v>
      </c>
      <c r="CR593" s="1">
        <f t="shared" si="1764"/>
        <v>0</v>
      </c>
      <c r="CS593" s="1">
        <f t="shared" si="1765"/>
        <v>0</v>
      </c>
      <c r="CT593" s="1">
        <f t="shared" si="1766"/>
        <v>1.9E-2</v>
      </c>
      <c r="CU593" s="1">
        <f t="shared" si="1767"/>
        <v>3.9E-2</v>
      </c>
      <c r="CV593" s="304">
        <f t="shared" si="1768"/>
        <v>-1098.3618966787526</v>
      </c>
      <c r="CW593" s="20" t="s">
        <v>122</v>
      </c>
      <c r="CX593" s="20" t="s">
        <v>122</v>
      </c>
      <c r="CY593" s="20" t="s">
        <v>122</v>
      </c>
      <c r="CZ593" s="20" t="s">
        <v>122</v>
      </c>
      <c r="DA593" s="20" t="s">
        <v>122</v>
      </c>
      <c r="DB593" s="503">
        <f t="shared" si="1769"/>
        <v>0</v>
      </c>
      <c r="DC593" s="127">
        <v>0</v>
      </c>
      <c r="DD593" s="127">
        <v>0</v>
      </c>
      <c r="DE593" s="127">
        <v>0</v>
      </c>
      <c r="DF593" s="127">
        <v>0</v>
      </c>
      <c r="DG593" s="127">
        <v>0</v>
      </c>
      <c r="DH593" s="127">
        <v>0</v>
      </c>
      <c r="DI593" s="127">
        <v>0</v>
      </c>
      <c r="DJ593" s="127">
        <v>0</v>
      </c>
      <c r="DK593" s="127">
        <v>0</v>
      </c>
      <c r="DL593" s="127">
        <v>0</v>
      </c>
      <c r="DM593" s="304">
        <f>INDEX(Input!$1:$1048576,DM$93,$C593*2+6)</f>
        <v>20731.578947368424</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885"/>
        <v>5094</v>
      </c>
      <c r="B594" s="561">
        <f t="shared" si="1865"/>
        <v>94</v>
      </c>
      <c r="C594" s="561">
        <f t="shared" si="1866"/>
        <v>5</v>
      </c>
      <c r="D594" s="561" t="str">
        <f t="shared" si="1938"/>
        <v/>
      </c>
      <c r="E594" s="475">
        <f>INDEX(Input!$1:$1048576,E$93,$C594*2+MIN($B594,2)+5)
+INDEX(Scenarios!E$121:E$200,MATCH($B594,Scenarios!$B$121:$B$200,0))</f>
        <v>1250</v>
      </c>
      <c r="F594" s="475">
        <f>INDEX(Input!$1:$1048576,F$93,$C594*2+MIN($B594,2)+5)
+INDEX(Scenarios!F$121:F$200,MATCH($B594,Scenarios!$B$121:$B$200,0))</f>
        <v>0</v>
      </c>
      <c r="G594" s="475">
        <f>INDEX(Input!$1:$1048576,G$93,$C594*2+MIN($B594,2)+5)
+INDEX(Scenarios!G$121:G$200,MATCH($B594,Scenarios!$B$121:$B$200,0))</f>
        <v>0</v>
      </c>
      <c r="H594" s="475">
        <f>INDEX(Input!$1:$1048576,H$93,$C594*2+MIN($B594,2)+5)
+INDEX(Scenarios!H$121:H$200,MATCH($B594,Scenarios!$B$121:$B$200,0))</f>
        <v>0</v>
      </c>
      <c r="I594" s="476">
        <f>INDEX(Input!$1:$1048576,I$93,$C594*2+MIN($B594,2)+5)</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+INDEX(Scenarios!Q$121:Q$200,MATCH($B594,Scenarios!$B$121:$B$200,0))</f>
        <v>0</v>
      </c>
      <c r="R594" s="478">
        <f>IFERROR(MAX(0,INDEX(Input!$1:$1048576,R$93,$C594*2+MIN($B594,2)+5)
+INDEX(Scenarios!R$121:R$200,MATCH($B594,Scenarios!$B$121:$B$200,0)),),"Market")</f>
        <v>0</v>
      </c>
      <c r="S594" s="478">
        <f>IFERROR(MAX(0,INDEX(Input!$1:$1048576,S$93,$C594*2+MIN($B594,2)+5)
+INDEX(Scenarios!S$121:S$200,MATCH($B594,Scenarios!$B$121:$B$200,0)),),"Market")</f>
        <v>0</v>
      </c>
      <c r="T594" s="478">
        <f>IFERROR(MAX(0,INDEX(Input!$1:$1048576,T$93,$C594*2+MIN($B594,2)+5)
+INDEX(Scenarios!T$121:T$200,MATCH($B594,Scenarios!$B$121:$B$200,0)),),"Market")</f>
        <v>0</v>
      </c>
      <c r="U594" s="478">
        <f>IFERROR(MAX(0,INDEX(Input!$1:$1048576,U$93,$C594*2+MIN($B594,2)+5)
+INDEX(Scenarios!U$121:U$200,MATCH($B594,Scenarios!$B$121:$B$200,0)),),"Market")</f>
        <v>0</v>
      </c>
      <c r="V594" s="478">
        <f>IFERROR(MAX(0,INDEX(Input!$1:$1048576,V$93,$C594*2+MIN($B594,2)+5)
+INDEX(Scenarios!V$121:V$200,MATCH($B594,Scenarios!$B$121:$B$200,0)),),"Market")</f>
        <v>1.9E-2</v>
      </c>
      <c r="W594" s="863">
        <f>IFERROR(MAX(0,INDEX(Input!$1:$1048576,W$93,$C594*2+MIN($B594,2)+5)-0%,),"Market")</f>
        <v>3.9E-2</v>
      </c>
      <c r="X594" s="476" t="str">
        <f>INDEX(Input!$1:$1048576,X$93,$C594*2+MIN($B594,2)+5)</f>
        <v>Y</v>
      </c>
      <c r="Y594" s="475">
        <f>INDEX(Input!$1:$1048576,Y$93,$C594*2+MIN($B594,2)+5)
++INDEX(Scenarios!Y$121:Y$200,MATCH($B594,Scenarios!$B$121:$B$200,0))</f>
        <v>-1098.3618966787526</v>
      </c>
      <c r="Z594" s="477">
        <f>INDEX(Input!$1:$1048576,Z$93,$C594*2+MIN($B594,2)+5)
+INDEX(Scenarios!Z$121:Z$200,MATCH($B594,Scenarios!$B$121:$B$200,0))</f>
        <v>0</v>
      </c>
      <c r="AA594" s="475">
        <f>INDEX(Input!$1:$1048576,AA$93,$C594*2+MIN($B594,2)+5)</f>
        <v>500</v>
      </c>
      <c r="AB594" s="476">
        <f>INDEX(Input!$1:$1048576,AB$93,$C594*2+MIN($B594,2)+5)</f>
        <v>0.43</v>
      </c>
      <c r="AC594" s="475">
        <f>INDEX(Input!$1:$1048576,AC$93,$C594*2+MIN($B594,2)+5)
+INDEX(Scenarios!AC$121:AC$200,MATCH($B594,Scenarios!$B$121:$B$200,0))</f>
        <v>0</v>
      </c>
      <c r="AD594" s="476">
        <f>INDEX(Input!$1:$1048576,AD$93,$C594*2+MIN($B594,2)+5)</f>
        <v>0.35</v>
      </c>
      <c r="AE594" s="475">
        <f>INDEX(Input!$1:$1048576,AE$93,$C594*2+MIN($B594,2)+5)
+INDEX(Scenarios!AE$121:AE$200,MATCH($B594,Scenarios!$B$121:$B$200,0))</f>
        <v>0</v>
      </c>
      <c r="AF594" s="476">
        <f>INDEX(Input!$1:$1048576,AF$93,$C594*2+MIN($B594,2)+5)</f>
        <v>1</v>
      </c>
      <c r="AG594" s="475">
        <f>INDEX(Input!$1:$1048576,AG$93,$C594*2+MIN($B594,2)+5)
+INDEX(Scenarios!AG$121:AG$200,MATCH($B594,Scenarios!$B$121:$B$200,0))</f>
        <v>0</v>
      </c>
      <c r="AH594" s="476">
        <f>INDEX(Input!$1:$1048576,AH$93,$C594*2+MIN($B594,2)+5)</f>
        <v>1</v>
      </c>
      <c r="AI594" s="475">
        <f>INDEX(Input!$1:$1048576,AI$93,$C594*2+MIN($B594,2)+5)
+INDEX(Scenarios!AI$121:AI$200,MATCH($B594,Scenarios!$B$121:$B$200,0))</f>
        <v>0</v>
      </c>
      <c r="AJ594" s="476">
        <f>INDEX(Input!$1:$1048576,AJ$93,$C594*2+MIN($B594,2)+5)</f>
        <v>0.35</v>
      </c>
      <c r="AK594" s="150">
        <f>ROUND(INDEX(Input!$1:$1048576,AK$93,$C593*2+MIN($B594,1)+5)+(Y594-VLOOKUP($C594*1000+1,$A:$HH,Y$92,FALSE)),0)</f>
        <v>4592</v>
      </c>
      <c r="AL594" s="150">
        <f>ROUND(INDEX(Input!$1:$1048576,AL$93,$C593*2+MIN($B594,1)+5)-(Y594-VLOOKUP($C594*1000+1,$A:$HH,Y$92,FALSE))/36,0)</f>
        <v>4743</v>
      </c>
      <c r="AM594" s="32" t="str">
        <f t="shared" si="1886"/>
        <v>std/std/std/std</v>
      </c>
      <c r="AN594" s="32" t="str">
        <f t="shared" si="1887"/>
        <v>$0 + 0/0/0/1.9/3.9</v>
      </c>
      <c r="AO594" s="32" t="str">
        <f t="shared" si="1888"/>
        <v>0/0/0/1.9/3.9</v>
      </c>
      <c r="AP594" s="32" t="str">
        <f t="shared" si="1755"/>
        <v>0/0.9/1.9/3.9</v>
      </c>
      <c r="AQ594" s="536">
        <f t="shared" si="1754"/>
        <v>0</v>
      </c>
      <c r="AR594" s="32"/>
      <c r="AS594" s="302"/>
      <c r="AT594" s="3">
        <f t="shared" si="1867"/>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Forte</v>
      </c>
      <c r="BA594" s="3">
        <f>INDEX(Input!$1:$1048576,BA$93,$C594*2+6)</f>
        <v>2020</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19695</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756"/>
        <v>1465</v>
      </c>
      <c r="CJ594" s="16" t="str">
        <f>INDEX(Input!$1:$1048576,CJ$93,$C594*2+6)</f>
        <v>N</v>
      </c>
      <c r="CK594" s="1" t="str">
        <f t="shared" si="1757"/>
        <v>Market</v>
      </c>
      <c r="CL594" s="1" t="str">
        <f t="shared" si="1758"/>
        <v>Market</v>
      </c>
      <c r="CM594" s="1" t="str">
        <f t="shared" si="1759"/>
        <v>Market</v>
      </c>
      <c r="CN594" s="1" t="str">
        <f t="shared" si="1760"/>
        <v>Market</v>
      </c>
      <c r="CO594" s="1" t="str">
        <f t="shared" si="1761"/>
        <v>Market</v>
      </c>
      <c r="CP594" s="304">
        <f t="shared" si="1762"/>
        <v>215</v>
      </c>
      <c r="CQ594" s="1">
        <f t="shared" si="1763"/>
        <v>0</v>
      </c>
      <c r="CR594" s="1">
        <f t="shared" si="1764"/>
        <v>0</v>
      </c>
      <c r="CS594" s="1">
        <f t="shared" si="1765"/>
        <v>0</v>
      </c>
      <c r="CT594" s="1">
        <f t="shared" si="1766"/>
        <v>1.9E-2</v>
      </c>
      <c r="CU594" s="1">
        <f t="shared" si="1767"/>
        <v>3.9E-2</v>
      </c>
      <c r="CV594" s="304">
        <f t="shared" si="1768"/>
        <v>-1098.3618966787526</v>
      </c>
      <c r="CW594" s="20" t="s">
        <v>122</v>
      </c>
      <c r="CX594" s="20" t="s">
        <v>122</v>
      </c>
      <c r="CY594" s="20" t="s">
        <v>122</v>
      </c>
      <c r="CZ594" s="20" t="s">
        <v>122</v>
      </c>
      <c r="DA594" s="20" t="s">
        <v>122</v>
      </c>
      <c r="DB594" s="503">
        <f t="shared" si="1769"/>
        <v>0</v>
      </c>
      <c r="DC594" s="127">
        <v>0</v>
      </c>
      <c r="DD594" s="127">
        <v>0</v>
      </c>
      <c r="DE594" s="127">
        <v>0</v>
      </c>
      <c r="DF594" s="127">
        <v>0</v>
      </c>
      <c r="DG594" s="127">
        <v>0</v>
      </c>
      <c r="DH594" s="127">
        <v>0</v>
      </c>
      <c r="DI594" s="127">
        <v>0</v>
      </c>
      <c r="DJ594" s="127">
        <v>0</v>
      </c>
      <c r="DK594" s="127">
        <v>0</v>
      </c>
      <c r="DL594" s="127">
        <v>0</v>
      </c>
      <c r="DM594" s="304">
        <f>INDEX(Input!$1:$1048576,DM$93,$C594*2+6)</f>
        <v>20731.578947368424</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885"/>
        <v>5095</v>
      </c>
      <c r="B595" s="561">
        <f t="shared" si="1865"/>
        <v>95</v>
      </c>
      <c r="C595" s="561">
        <f t="shared" si="1866"/>
        <v>5</v>
      </c>
      <c r="D595" s="561" t="str">
        <f t="shared" si="1938"/>
        <v/>
      </c>
      <c r="E595" s="475">
        <f>INDEX(Input!$1:$1048576,E$93,$C595*2+MIN($B595,2)+5)
+INDEX(Scenarios!E$121:E$200,MATCH($B595,Scenarios!$B$121:$B$200,0))</f>
        <v>1250</v>
      </c>
      <c r="F595" s="475">
        <f>INDEX(Input!$1:$1048576,F$93,$C595*2+MIN($B595,2)+5)
+INDEX(Scenarios!F$121:F$200,MATCH($B595,Scenarios!$B$121:$B$200,0))</f>
        <v>0</v>
      </c>
      <c r="G595" s="475">
        <f>INDEX(Input!$1:$1048576,G$93,$C595*2+MIN($B595,2)+5)
+INDEX(Scenarios!G$121:G$200,MATCH($B595,Scenarios!$B$121:$B$200,0))</f>
        <v>0</v>
      </c>
      <c r="H595" s="475">
        <f>INDEX(Input!$1:$1048576,H$93,$C595*2+MIN($B595,2)+5)
+INDEX(Scenarios!H$121:H$200,MATCH($B595,Scenarios!$B$121:$B$200,0))</f>
        <v>0</v>
      </c>
      <c r="I595" s="476">
        <f>INDEX(Input!$1:$1048576,I$93,$C595*2+MIN($B595,2)+5)</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+INDEX(Scenarios!Q$121:Q$200,MATCH($B595,Scenarios!$B$121:$B$200,0))</f>
        <v>0</v>
      </c>
      <c r="R595" s="478">
        <f>IFERROR(MAX(0,INDEX(Input!$1:$1048576,R$93,$C595*2+MIN($B595,2)+5)
+INDEX(Scenarios!R$121:R$200,MATCH($B595,Scenarios!$B$121:$B$200,0)),),"Market")</f>
        <v>0</v>
      </c>
      <c r="S595" s="478">
        <f>IFERROR(MAX(0,INDEX(Input!$1:$1048576,S$93,$C595*2+MIN($B595,2)+5)
+INDEX(Scenarios!S$121:S$200,MATCH($B595,Scenarios!$B$121:$B$200,0)),),"Market")</f>
        <v>0</v>
      </c>
      <c r="T595" s="478">
        <f>IFERROR(MAX(0,INDEX(Input!$1:$1048576,T$93,$C595*2+MIN($B595,2)+5)
+INDEX(Scenarios!T$121:T$200,MATCH($B595,Scenarios!$B$121:$B$200,0)),),"Market")</f>
        <v>0</v>
      </c>
      <c r="U595" s="478">
        <f>IFERROR(MAX(0,INDEX(Input!$1:$1048576,U$93,$C595*2+MIN($B595,2)+5)
+INDEX(Scenarios!U$121:U$200,MATCH($B595,Scenarios!$B$121:$B$200,0)),),"Market")</f>
        <v>0</v>
      </c>
      <c r="V595" s="478">
        <f>IFERROR(MAX(0,INDEX(Input!$1:$1048576,V$93,$C595*2+MIN($B595,2)+5)
+INDEX(Scenarios!V$121:V$200,MATCH($B595,Scenarios!$B$121:$B$200,0)),),"Market")</f>
        <v>1.9E-2</v>
      </c>
      <c r="W595" s="863">
        <f>IFERROR(MAX(0,INDEX(Input!$1:$1048576,W$93,$C595*2+MIN($B595,2)+5)-0%,),"Market")</f>
        <v>3.9E-2</v>
      </c>
      <c r="X595" s="476" t="str">
        <f>INDEX(Input!$1:$1048576,X$93,$C595*2+MIN($B595,2)+5)</f>
        <v>Y</v>
      </c>
      <c r="Y595" s="475">
        <f>INDEX(Input!$1:$1048576,Y$93,$C595*2+MIN($B595,2)+5)
++INDEX(Scenarios!Y$121:Y$200,MATCH($B595,Scenarios!$B$121:$B$200,0))</f>
        <v>-1098.3618966787526</v>
      </c>
      <c r="Z595" s="477">
        <f>INDEX(Input!$1:$1048576,Z$93,$C595*2+MIN($B595,2)+5)
+INDEX(Scenarios!Z$121:Z$200,MATCH($B595,Scenarios!$B$121:$B$200,0))</f>
        <v>0</v>
      </c>
      <c r="AA595" s="475">
        <f>INDEX(Input!$1:$1048576,AA$93,$C595*2+MIN($B595,2)+5)</f>
        <v>500</v>
      </c>
      <c r="AB595" s="476">
        <f>INDEX(Input!$1:$1048576,AB$93,$C595*2+MIN($B595,2)+5)</f>
        <v>0.43</v>
      </c>
      <c r="AC595" s="475">
        <f>INDEX(Input!$1:$1048576,AC$93,$C595*2+MIN($B595,2)+5)
+INDEX(Scenarios!AC$121:AC$200,MATCH($B595,Scenarios!$B$121:$B$200,0))</f>
        <v>0</v>
      </c>
      <c r="AD595" s="476">
        <f>INDEX(Input!$1:$1048576,AD$93,$C595*2+MIN($B595,2)+5)</f>
        <v>0.35</v>
      </c>
      <c r="AE595" s="475">
        <f>INDEX(Input!$1:$1048576,AE$93,$C595*2+MIN($B595,2)+5)
+INDEX(Scenarios!AE$121:AE$200,MATCH($B595,Scenarios!$B$121:$B$200,0))</f>
        <v>0</v>
      </c>
      <c r="AF595" s="476">
        <f>INDEX(Input!$1:$1048576,AF$93,$C595*2+MIN($B595,2)+5)</f>
        <v>1</v>
      </c>
      <c r="AG595" s="475">
        <f>INDEX(Input!$1:$1048576,AG$93,$C595*2+MIN($B595,2)+5)
+INDEX(Scenarios!AG$121:AG$200,MATCH($B595,Scenarios!$B$121:$B$200,0))</f>
        <v>0</v>
      </c>
      <c r="AH595" s="476">
        <f>INDEX(Input!$1:$1048576,AH$93,$C595*2+MIN($B595,2)+5)</f>
        <v>1</v>
      </c>
      <c r="AI595" s="475">
        <f>INDEX(Input!$1:$1048576,AI$93,$C595*2+MIN($B595,2)+5)
+INDEX(Scenarios!AI$121:AI$200,MATCH($B595,Scenarios!$B$121:$B$200,0))</f>
        <v>0</v>
      </c>
      <c r="AJ595" s="476">
        <f>INDEX(Input!$1:$1048576,AJ$93,$C595*2+MIN($B595,2)+5)</f>
        <v>0.35</v>
      </c>
      <c r="AK595" s="150">
        <f>ROUND(INDEX(Input!$1:$1048576,AK$93,$C594*2+MIN($B595,1)+5)+(Y595-VLOOKUP($C595*1000+1,$A:$HH,Y$92,FALSE)),0)</f>
        <v>4592</v>
      </c>
      <c r="AL595" s="150">
        <f>ROUND(INDEX(Input!$1:$1048576,AL$93,$C594*2+MIN($B595,1)+5)-(Y595-VLOOKUP($C595*1000+1,$A:$HH,Y$92,FALSE))/36,0)</f>
        <v>4743</v>
      </c>
      <c r="AM595" s="32" t="str">
        <f t="shared" si="1886"/>
        <v>std/std/std/std</v>
      </c>
      <c r="AN595" s="32" t="str">
        <f t="shared" si="1887"/>
        <v>$0 + 0/0/0/1.9/3.9</v>
      </c>
      <c r="AO595" s="32" t="str">
        <f t="shared" si="1888"/>
        <v>0/0/0/1.9/3.9</v>
      </c>
      <c r="AP595" s="32" t="str">
        <f t="shared" si="1755"/>
        <v>0/0.9/1.9/3.9</v>
      </c>
      <c r="AQ595" s="536">
        <f t="shared" si="1754"/>
        <v>0</v>
      </c>
      <c r="AR595" s="32"/>
      <c r="AS595" s="302"/>
      <c r="AT595" s="3">
        <f t="shared" si="1867"/>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Forte</v>
      </c>
      <c r="BA595" s="3">
        <f>INDEX(Input!$1:$1048576,BA$93,$C595*2+6)</f>
        <v>2020</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19695</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756"/>
        <v>1465</v>
      </c>
      <c r="CJ595" s="16" t="str">
        <f>INDEX(Input!$1:$1048576,CJ$93,$C595*2+6)</f>
        <v>N</v>
      </c>
      <c r="CK595" s="1" t="str">
        <f t="shared" si="1757"/>
        <v>Market</v>
      </c>
      <c r="CL595" s="1" t="str">
        <f t="shared" si="1758"/>
        <v>Market</v>
      </c>
      <c r="CM595" s="1" t="str">
        <f t="shared" si="1759"/>
        <v>Market</v>
      </c>
      <c r="CN595" s="1" t="str">
        <f t="shared" si="1760"/>
        <v>Market</v>
      </c>
      <c r="CO595" s="1" t="str">
        <f t="shared" si="1761"/>
        <v>Market</v>
      </c>
      <c r="CP595" s="304">
        <f t="shared" si="1762"/>
        <v>215</v>
      </c>
      <c r="CQ595" s="1">
        <f t="shared" si="1763"/>
        <v>0</v>
      </c>
      <c r="CR595" s="1">
        <f t="shared" si="1764"/>
        <v>0</v>
      </c>
      <c r="CS595" s="1">
        <f t="shared" si="1765"/>
        <v>0</v>
      </c>
      <c r="CT595" s="1">
        <f t="shared" si="1766"/>
        <v>1.9E-2</v>
      </c>
      <c r="CU595" s="1">
        <f t="shared" si="1767"/>
        <v>3.9E-2</v>
      </c>
      <c r="CV595" s="304">
        <f t="shared" si="1768"/>
        <v>-1098.3618966787526</v>
      </c>
      <c r="CW595" s="20" t="s">
        <v>122</v>
      </c>
      <c r="CX595" s="20" t="s">
        <v>122</v>
      </c>
      <c r="CY595" s="20" t="s">
        <v>122</v>
      </c>
      <c r="CZ595" s="20" t="s">
        <v>122</v>
      </c>
      <c r="DA595" s="20" t="s">
        <v>122</v>
      </c>
      <c r="DB595" s="503">
        <f t="shared" si="1769"/>
        <v>0</v>
      </c>
      <c r="DC595" s="127">
        <v>0</v>
      </c>
      <c r="DD595" s="127">
        <v>0</v>
      </c>
      <c r="DE595" s="127">
        <v>0</v>
      </c>
      <c r="DF595" s="127">
        <v>0</v>
      </c>
      <c r="DG595" s="127">
        <v>0</v>
      </c>
      <c r="DH595" s="127">
        <v>0</v>
      </c>
      <c r="DI595" s="127">
        <v>0</v>
      </c>
      <c r="DJ595" s="127">
        <v>0</v>
      </c>
      <c r="DK595" s="127">
        <v>0</v>
      </c>
      <c r="DL595" s="127">
        <v>0</v>
      </c>
      <c r="DM595" s="304">
        <f>INDEX(Input!$1:$1048576,DM$93,$C595*2+6)</f>
        <v>20731.578947368424</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885"/>
        <v>5096</v>
      </c>
      <c r="B596" s="561">
        <f t="shared" si="1865"/>
        <v>96</v>
      </c>
      <c r="C596" s="561">
        <f t="shared" si="1866"/>
        <v>5</v>
      </c>
      <c r="D596" s="561" t="str">
        <f t="shared" si="1938"/>
        <v/>
      </c>
      <c r="E596" s="475">
        <f>INDEX(Input!$1:$1048576,E$93,$C596*2+MIN($B596,2)+5)
+INDEX(Scenarios!E$121:E$200,MATCH($B596,Scenarios!$B$121:$B$200,0))</f>
        <v>1250</v>
      </c>
      <c r="F596" s="475">
        <f>INDEX(Input!$1:$1048576,F$93,$C596*2+MIN($B596,2)+5)
+INDEX(Scenarios!F$121:F$200,MATCH($B596,Scenarios!$B$121:$B$200,0))</f>
        <v>0</v>
      </c>
      <c r="G596" s="475">
        <f>INDEX(Input!$1:$1048576,G$93,$C596*2+MIN($B596,2)+5)
+INDEX(Scenarios!G$121:G$200,MATCH($B596,Scenarios!$B$121:$B$200,0))</f>
        <v>0</v>
      </c>
      <c r="H596" s="475">
        <f>INDEX(Input!$1:$1048576,H$93,$C596*2+MIN($B596,2)+5)
+INDEX(Scenarios!H$121:H$200,MATCH($B596,Scenarios!$B$121:$B$200,0))</f>
        <v>0</v>
      </c>
      <c r="I596" s="476">
        <f>INDEX(Input!$1:$1048576,I$93,$C596*2+MIN($B596,2)+5)</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+INDEX(Scenarios!Q$121:Q$200,MATCH($B596,Scenarios!$B$121:$B$200,0))</f>
        <v>0</v>
      </c>
      <c r="R596" s="478">
        <f>IFERROR(MAX(0,INDEX(Input!$1:$1048576,R$93,$C596*2+MIN($B596,2)+5)
+INDEX(Scenarios!R$121:R$200,MATCH($B596,Scenarios!$B$121:$B$200,0)),),"Market")</f>
        <v>0</v>
      </c>
      <c r="S596" s="478">
        <f>IFERROR(MAX(0,INDEX(Input!$1:$1048576,S$93,$C596*2+MIN($B596,2)+5)
+INDEX(Scenarios!S$121:S$200,MATCH($B596,Scenarios!$B$121:$B$200,0)),),"Market")</f>
        <v>0</v>
      </c>
      <c r="T596" s="478">
        <f>IFERROR(MAX(0,INDEX(Input!$1:$1048576,T$93,$C596*2+MIN($B596,2)+5)
+INDEX(Scenarios!T$121:T$200,MATCH($B596,Scenarios!$B$121:$B$200,0)),),"Market")</f>
        <v>0</v>
      </c>
      <c r="U596" s="478">
        <f>IFERROR(MAX(0,INDEX(Input!$1:$1048576,U$93,$C596*2+MIN($B596,2)+5)
+INDEX(Scenarios!U$121:U$200,MATCH($B596,Scenarios!$B$121:$B$200,0)),),"Market")</f>
        <v>0</v>
      </c>
      <c r="V596" s="478">
        <f>IFERROR(MAX(0,INDEX(Input!$1:$1048576,V$93,$C596*2+MIN($B596,2)+5)
+INDEX(Scenarios!V$121:V$200,MATCH($B596,Scenarios!$B$121:$B$200,0)),),"Market")</f>
        <v>1.9E-2</v>
      </c>
      <c r="W596" s="863">
        <f>IFERROR(MAX(0,INDEX(Input!$1:$1048576,W$93,$C596*2+MIN($B596,2)+5)-0%,),"Market")</f>
        <v>3.9E-2</v>
      </c>
      <c r="X596" s="476" t="str">
        <f>INDEX(Input!$1:$1048576,X$93,$C596*2+MIN($B596,2)+5)</f>
        <v>Y</v>
      </c>
      <c r="Y596" s="475">
        <f>INDEX(Input!$1:$1048576,Y$93,$C596*2+MIN($B596,2)+5)
++INDEX(Scenarios!Y$121:Y$200,MATCH($B596,Scenarios!$B$121:$B$200,0))</f>
        <v>-1098.3618966787526</v>
      </c>
      <c r="Z596" s="477">
        <f>INDEX(Input!$1:$1048576,Z$93,$C596*2+MIN($B596,2)+5)
+INDEX(Scenarios!Z$121:Z$200,MATCH($B596,Scenarios!$B$121:$B$200,0))</f>
        <v>0</v>
      </c>
      <c r="AA596" s="475">
        <f>INDEX(Input!$1:$1048576,AA$93,$C596*2+MIN($B596,2)+5)</f>
        <v>500</v>
      </c>
      <c r="AB596" s="476">
        <f>INDEX(Input!$1:$1048576,AB$93,$C596*2+MIN($B596,2)+5)</f>
        <v>0.43</v>
      </c>
      <c r="AC596" s="475">
        <f>INDEX(Input!$1:$1048576,AC$93,$C596*2+MIN($B596,2)+5)
+INDEX(Scenarios!AC$121:AC$200,MATCH($B596,Scenarios!$B$121:$B$200,0))</f>
        <v>0</v>
      </c>
      <c r="AD596" s="476">
        <f>INDEX(Input!$1:$1048576,AD$93,$C596*2+MIN($B596,2)+5)</f>
        <v>0.35</v>
      </c>
      <c r="AE596" s="475">
        <f>INDEX(Input!$1:$1048576,AE$93,$C596*2+MIN($B596,2)+5)
+INDEX(Scenarios!AE$121:AE$200,MATCH($B596,Scenarios!$B$121:$B$200,0))</f>
        <v>0</v>
      </c>
      <c r="AF596" s="476">
        <f>INDEX(Input!$1:$1048576,AF$93,$C596*2+MIN($B596,2)+5)</f>
        <v>1</v>
      </c>
      <c r="AG596" s="475">
        <f>INDEX(Input!$1:$1048576,AG$93,$C596*2+MIN($B596,2)+5)
+INDEX(Scenarios!AG$121:AG$200,MATCH($B596,Scenarios!$B$121:$B$200,0))</f>
        <v>0</v>
      </c>
      <c r="AH596" s="476">
        <f>INDEX(Input!$1:$1048576,AH$93,$C596*2+MIN($B596,2)+5)</f>
        <v>1</v>
      </c>
      <c r="AI596" s="475">
        <f>INDEX(Input!$1:$1048576,AI$93,$C596*2+MIN($B596,2)+5)
+INDEX(Scenarios!AI$121:AI$200,MATCH($B596,Scenarios!$B$121:$B$200,0))</f>
        <v>0</v>
      </c>
      <c r="AJ596" s="476">
        <f>INDEX(Input!$1:$1048576,AJ$93,$C596*2+MIN($B596,2)+5)</f>
        <v>0.35</v>
      </c>
      <c r="AK596" s="150">
        <f>ROUND(INDEX(Input!$1:$1048576,AK$93,$C595*2+MIN($B596,1)+5)+(Y596-VLOOKUP($C596*1000+1,$A:$HH,Y$92,FALSE)),0)</f>
        <v>4592</v>
      </c>
      <c r="AL596" s="150">
        <f>ROUND(INDEX(Input!$1:$1048576,AL$93,$C595*2+MIN($B596,1)+5)-(Y596-VLOOKUP($C596*1000+1,$A:$HH,Y$92,FALSE))/36,0)</f>
        <v>4743</v>
      </c>
      <c r="AM596" s="32" t="str">
        <f t="shared" si="1886"/>
        <v>std/std/std/std</v>
      </c>
      <c r="AN596" s="32" t="str">
        <f t="shared" si="1887"/>
        <v>$0 + 0/0/0/1.9/3.9</v>
      </c>
      <c r="AO596" s="32" t="str">
        <f t="shared" si="1888"/>
        <v>0/0/0/1.9/3.9</v>
      </c>
      <c r="AP596" s="32" t="str">
        <f t="shared" si="1755"/>
        <v>0/0.9/1.9/3.9</v>
      </c>
      <c r="AQ596" s="536">
        <f t="shared" si="1754"/>
        <v>0</v>
      </c>
      <c r="AR596" s="32"/>
      <c r="AS596" s="302"/>
      <c r="AT596" s="3">
        <f t="shared" si="1867"/>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Forte</v>
      </c>
      <c r="BA596" s="3">
        <f>INDEX(Input!$1:$1048576,BA$93,$C596*2+6)</f>
        <v>2020</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19695</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756"/>
        <v>1465</v>
      </c>
      <c r="CJ596" s="16" t="str">
        <f>INDEX(Input!$1:$1048576,CJ$93,$C596*2+6)</f>
        <v>N</v>
      </c>
      <c r="CK596" s="1" t="str">
        <f t="shared" si="1757"/>
        <v>Market</v>
      </c>
      <c r="CL596" s="1" t="str">
        <f t="shared" si="1758"/>
        <v>Market</v>
      </c>
      <c r="CM596" s="1" t="str">
        <f t="shared" si="1759"/>
        <v>Market</v>
      </c>
      <c r="CN596" s="1" t="str">
        <f t="shared" si="1760"/>
        <v>Market</v>
      </c>
      <c r="CO596" s="1" t="str">
        <f t="shared" si="1761"/>
        <v>Market</v>
      </c>
      <c r="CP596" s="304">
        <f t="shared" si="1762"/>
        <v>215</v>
      </c>
      <c r="CQ596" s="1">
        <f t="shared" si="1763"/>
        <v>0</v>
      </c>
      <c r="CR596" s="1">
        <f t="shared" si="1764"/>
        <v>0</v>
      </c>
      <c r="CS596" s="1">
        <f t="shared" si="1765"/>
        <v>0</v>
      </c>
      <c r="CT596" s="1">
        <f t="shared" si="1766"/>
        <v>1.9E-2</v>
      </c>
      <c r="CU596" s="1">
        <f t="shared" si="1767"/>
        <v>3.9E-2</v>
      </c>
      <c r="CV596" s="304">
        <f t="shared" si="1768"/>
        <v>-1098.3618966787526</v>
      </c>
      <c r="CW596" s="20" t="s">
        <v>122</v>
      </c>
      <c r="CX596" s="20" t="s">
        <v>122</v>
      </c>
      <c r="CY596" s="20" t="s">
        <v>122</v>
      </c>
      <c r="CZ596" s="20" t="s">
        <v>122</v>
      </c>
      <c r="DA596" s="20" t="s">
        <v>122</v>
      </c>
      <c r="DB596" s="503">
        <f t="shared" si="1769"/>
        <v>0</v>
      </c>
      <c r="DC596" s="127">
        <v>0</v>
      </c>
      <c r="DD596" s="127">
        <v>0</v>
      </c>
      <c r="DE596" s="127">
        <v>0</v>
      </c>
      <c r="DF596" s="127">
        <v>0</v>
      </c>
      <c r="DG596" s="127">
        <v>0</v>
      </c>
      <c r="DH596" s="127">
        <v>0</v>
      </c>
      <c r="DI596" s="127">
        <v>0</v>
      </c>
      <c r="DJ596" s="127">
        <v>0</v>
      </c>
      <c r="DK596" s="127">
        <v>0</v>
      </c>
      <c r="DL596" s="127">
        <v>0</v>
      </c>
      <c r="DM596" s="304">
        <f>INDEX(Input!$1:$1048576,DM$93,$C596*2+6)</f>
        <v>20731.578947368424</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885"/>
        <v>5097</v>
      </c>
      <c r="B597" s="561">
        <f t="shared" si="1865"/>
        <v>97</v>
      </c>
      <c r="C597" s="561">
        <f t="shared" si="1866"/>
        <v>5</v>
      </c>
      <c r="D597" s="561" t="str">
        <f t="shared" si="1938"/>
        <v/>
      </c>
      <c r="E597" s="475">
        <f>INDEX(Input!$1:$1048576,E$93,$C597*2+MIN($B597,2)+5)
+INDEX(Scenarios!E$121:E$200,MATCH($B597,Scenarios!$B$121:$B$200,0))</f>
        <v>1250</v>
      </c>
      <c r="F597" s="475">
        <f>INDEX(Input!$1:$1048576,F$93,$C597*2+MIN($B597,2)+5)
+INDEX(Scenarios!F$121:F$200,MATCH($B597,Scenarios!$B$121:$B$200,0))</f>
        <v>0</v>
      </c>
      <c r="G597" s="475">
        <f>INDEX(Input!$1:$1048576,G$93,$C597*2+MIN($B597,2)+5)
+INDEX(Scenarios!G$121:G$200,MATCH($B597,Scenarios!$B$121:$B$200,0))</f>
        <v>0</v>
      </c>
      <c r="H597" s="475">
        <f>INDEX(Input!$1:$1048576,H$93,$C597*2+MIN($B597,2)+5)
+INDEX(Scenarios!H$121:H$200,MATCH($B597,Scenarios!$B$121:$B$200,0))</f>
        <v>0</v>
      </c>
      <c r="I597" s="476">
        <f>INDEX(Input!$1:$1048576,I$93,$C597*2+MIN($B597,2)+5)</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+INDEX(Scenarios!Q$121:Q$200,MATCH($B597,Scenarios!$B$121:$B$200,0))</f>
        <v>0</v>
      </c>
      <c r="R597" s="478">
        <f>IFERROR(MAX(0,INDEX(Input!$1:$1048576,R$93,$C597*2+MIN($B597,2)+5)
+INDEX(Scenarios!R$121:R$200,MATCH($B597,Scenarios!$B$121:$B$200,0)),),"Market")</f>
        <v>0</v>
      </c>
      <c r="S597" s="478">
        <f>IFERROR(MAX(0,INDEX(Input!$1:$1048576,S$93,$C597*2+MIN($B597,2)+5)
+INDEX(Scenarios!S$121:S$200,MATCH($B597,Scenarios!$B$121:$B$200,0)),),"Market")</f>
        <v>0</v>
      </c>
      <c r="T597" s="478">
        <f>IFERROR(MAX(0,INDEX(Input!$1:$1048576,T$93,$C597*2+MIN($B597,2)+5)
+INDEX(Scenarios!T$121:T$200,MATCH($B597,Scenarios!$B$121:$B$200,0)),),"Market")</f>
        <v>0</v>
      </c>
      <c r="U597" s="478">
        <f>IFERROR(MAX(0,INDEX(Input!$1:$1048576,U$93,$C597*2+MIN($B597,2)+5)
+INDEX(Scenarios!U$121:U$200,MATCH($B597,Scenarios!$B$121:$B$200,0)),),"Market")</f>
        <v>0</v>
      </c>
      <c r="V597" s="478">
        <f>IFERROR(MAX(0,INDEX(Input!$1:$1048576,V$93,$C597*2+MIN($B597,2)+5)
+INDEX(Scenarios!V$121:V$200,MATCH($B597,Scenarios!$B$121:$B$200,0)),),"Market")</f>
        <v>1.9E-2</v>
      </c>
      <c r="W597" s="863">
        <f>IFERROR(MAX(0,INDEX(Input!$1:$1048576,W$93,$C597*2+MIN($B597,2)+5)-0%,),"Market")</f>
        <v>3.9E-2</v>
      </c>
      <c r="X597" s="476" t="str">
        <f>INDEX(Input!$1:$1048576,X$93,$C597*2+MIN($B597,2)+5)</f>
        <v>Y</v>
      </c>
      <c r="Y597" s="475">
        <f>INDEX(Input!$1:$1048576,Y$93,$C597*2+MIN($B597,2)+5)
++INDEX(Scenarios!Y$121:Y$200,MATCH($B597,Scenarios!$B$121:$B$200,0))</f>
        <v>-1098.3618966787526</v>
      </c>
      <c r="Z597" s="477">
        <f>INDEX(Input!$1:$1048576,Z$93,$C597*2+MIN($B597,2)+5)
+INDEX(Scenarios!Z$121:Z$200,MATCH($B597,Scenarios!$B$121:$B$200,0))</f>
        <v>0</v>
      </c>
      <c r="AA597" s="475">
        <f>INDEX(Input!$1:$1048576,AA$93,$C597*2+MIN($B597,2)+5)</f>
        <v>500</v>
      </c>
      <c r="AB597" s="476">
        <f>INDEX(Input!$1:$1048576,AB$93,$C597*2+MIN($B597,2)+5)</f>
        <v>0.43</v>
      </c>
      <c r="AC597" s="475">
        <f>INDEX(Input!$1:$1048576,AC$93,$C597*2+MIN($B597,2)+5)
+INDEX(Scenarios!AC$121:AC$200,MATCH($B597,Scenarios!$B$121:$B$200,0))</f>
        <v>0</v>
      </c>
      <c r="AD597" s="476">
        <f>INDEX(Input!$1:$1048576,AD$93,$C597*2+MIN($B597,2)+5)</f>
        <v>0.35</v>
      </c>
      <c r="AE597" s="475">
        <f>INDEX(Input!$1:$1048576,AE$93,$C597*2+MIN($B597,2)+5)
+INDEX(Scenarios!AE$121:AE$200,MATCH($B597,Scenarios!$B$121:$B$200,0))</f>
        <v>0</v>
      </c>
      <c r="AF597" s="476">
        <f>INDEX(Input!$1:$1048576,AF$93,$C597*2+MIN($B597,2)+5)</f>
        <v>1</v>
      </c>
      <c r="AG597" s="475">
        <f>INDEX(Input!$1:$1048576,AG$93,$C597*2+MIN($B597,2)+5)
+INDEX(Scenarios!AG$121:AG$200,MATCH($B597,Scenarios!$B$121:$B$200,0))</f>
        <v>0</v>
      </c>
      <c r="AH597" s="476">
        <f>INDEX(Input!$1:$1048576,AH$93,$C597*2+MIN($B597,2)+5)</f>
        <v>1</v>
      </c>
      <c r="AI597" s="475">
        <f>INDEX(Input!$1:$1048576,AI$93,$C597*2+MIN($B597,2)+5)
+INDEX(Scenarios!AI$121:AI$200,MATCH($B597,Scenarios!$B$121:$B$200,0))</f>
        <v>0</v>
      </c>
      <c r="AJ597" s="476">
        <f>INDEX(Input!$1:$1048576,AJ$93,$C597*2+MIN($B597,2)+5)</f>
        <v>0.35</v>
      </c>
      <c r="AK597" s="150">
        <f>ROUND(INDEX(Input!$1:$1048576,AK$93,$C596*2+MIN($B597,1)+5)+(Y597-VLOOKUP($C597*1000+1,$A:$HH,Y$92,FALSE)),0)</f>
        <v>4592</v>
      </c>
      <c r="AL597" s="150">
        <f>ROUND(INDEX(Input!$1:$1048576,AL$93,$C596*2+MIN($B597,1)+5)-(Y597-VLOOKUP($C597*1000+1,$A:$HH,Y$92,FALSE))/36,0)</f>
        <v>4743</v>
      </c>
      <c r="AM597" s="32" t="str">
        <f t="shared" si="1886"/>
        <v>std/std/std/std</v>
      </c>
      <c r="AN597" s="32" t="str">
        <f t="shared" si="1887"/>
        <v>$0 + 0/0/0/1.9/3.9</v>
      </c>
      <c r="AO597" s="32" t="str">
        <f t="shared" si="1888"/>
        <v>0/0/0/1.9/3.9</v>
      </c>
      <c r="AP597" s="32" t="str">
        <f t="shared" si="1755"/>
        <v>0/0.9/1.9/3.9</v>
      </c>
      <c r="AQ597" s="536">
        <f t="shared" si="1754"/>
        <v>0</v>
      </c>
      <c r="AR597" s="32"/>
      <c r="AS597" s="302"/>
      <c r="AT597" s="3">
        <f t="shared" si="1867"/>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Forte</v>
      </c>
      <c r="BA597" s="3">
        <f>INDEX(Input!$1:$1048576,BA$93,$C597*2+6)</f>
        <v>2020</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19695</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756"/>
        <v>1465</v>
      </c>
      <c r="CJ597" s="16" t="str">
        <f>INDEX(Input!$1:$1048576,CJ$93,$C597*2+6)</f>
        <v>N</v>
      </c>
      <c r="CK597" s="1" t="str">
        <f t="shared" si="1757"/>
        <v>Market</v>
      </c>
      <c r="CL597" s="1" t="str">
        <f t="shared" si="1758"/>
        <v>Market</v>
      </c>
      <c r="CM597" s="1" t="str">
        <f t="shared" si="1759"/>
        <v>Market</v>
      </c>
      <c r="CN597" s="1" t="str">
        <f t="shared" si="1760"/>
        <v>Market</v>
      </c>
      <c r="CO597" s="1" t="str">
        <f t="shared" si="1761"/>
        <v>Market</v>
      </c>
      <c r="CP597" s="304">
        <f t="shared" si="1762"/>
        <v>215</v>
      </c>
      <c r="CQ597" s="1">
        <f t="shared" si="1763"/>
        <v>0</v>
      </c>
      <c r="CR597" s="1">
        <f t="shared" si="1764"/>
        <v>0</v>
      </c>
      <c r="CS597" s="1">
        <f t="shared" si="1765"/>
        <v>0</v>
      </c>
      <c r="CT597" s="1">
        <f t="shared" si="1766"/>
        <v>1.9E-2</v>
      </c>
      <c r="CU597" s="1">
        <f t="shared" si="1767"/>
        <v>3.9E-2</v>
      </c>
      <c r="CV597" s="304">
        <f t="shared" si="1768"/>
        <v>-1098.3618966787526</v>
      </c>
      <c r="CW597" s="20" t="s">
        <v>122</v>
      </c>
      <c r="CX597" s="20" t="s">
        <v>122</v>
      </c>
      <c r="CY597" s="20" t="s">
        <v>122</v>
      </c>
      <c r="CZ597" s="20" t="s">
        <v>122</v>
      </c>
      <c r="DA597" s="20" t="s">
        <v>122</v>
      </c>
      <c r="DB597" s="503">
        <f t="shared" si="1769"/>
        <v>0</v>
      </c>
      <c r="DC597" s="127">
        <v>0</v>
      </c>
      <c r="DD597" s="127">
        <v>0</v>
      </c>
      <c r="DE597" s="127">
        <v>0</v>
      </c>
      <c r="DF597" s="127">
        <v>0</v>
      </c>
      <c r="DG597" s="127">
        <v>0</v>
      </c>
      <c r="DH597" s="127">
        <v>0</v>
      </c>
      <c r="DI597" s="127">
        <v>0</v>
      </c>
      <c r="DJ597" s="127">
        <v>0</v>
      </c>
      <c r="DK597" s="127">
        <v>0</v>
      </c>
      <c r="DL597" s="127">
        <v>0</v>
      </c>
      <c r="DM597" s="304">
        <f>INDEX(Input!$1:$1048576,DM$93,$C597*2+6)</f>
        <v>20731.578947368424</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885"/>
        <v>5098</v>
      </c>
      <c r="B598" s="561">
        <f t="shared" si="1865"/>
        <v>98</v>
      </c>
      <c r="C598" s="561">
        <f t="shared" si="1866"/>
        <v>5</v>
      </c>
      <c r="D598" s="561" t="str">
        <f t="shared" si="1938"/>
        <v/>
      </c>
      <c r="E598" s="475">
        <f>INDEX(Input!$1:$1048576,E$93,$C598*2+MIN($B598,2)+5)
+INDEX(Scenarios!E$121:E$200,MATCH($B598,Scenarios!$B$121:$B$200,0))</f>
        <v>1250</v>
      </c>
      <c r="F598" s="475">
        <f>INDEX(Input!$1:$1048576,F$93,$C598*2+MIN($B598,2)+5)
+INDEX(Scenarios!F$121:F$200,MATCH($B598,Scenarios!$B$121:$B$200,0))</f>
        <v>0</v>
      </c>
      <c r="G598" s="475">
        <f>INDEX(Input!$1:$1048576,G$93,$C598*2+MIN($B598,2)+5)
+INDEX(Scenarios!G$121:G$200,MATCH($B598,Scenarios!$B$121:$B$200,0))</f>
        <v>0</v>
      </c>
      <c r="H598" s="475">
        <f>INDEX(Input!$1:$1048576,H$93,$C598*2+MIN($B598,2)+5)
+INDEX(Scenarios!H$121:H$200,MATCH($B598,Scenarios!$B$121:$B$200,0))</f>
        <v>0</v>
      </c>
      <c r="I598" s="476">
        <f>INDEX(Input!$1:$1048576,I$93,$C598*2+MIN($B598,2)+5)</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+INDEX(Scenarios!Q$121:Q$200,MATCH($B598,Scenarios!$B$121:$B$200,0))</f>
        <v>0</v>
      </c>
      <c r="R598" s="478">
        <f>IFERROR(MAX(0,INDEX(Input!$1:$1048576,R$93,$C598*2+MIN($B598,2)+5)
+INDEX(Scenarios!R$121:R$200,MATCH($B598,Scenarios!$B$121:$B$200,0)),),"Market")</f>
        <v>0</v>
      </c>
      <c r="S598" s="478">
        <f>IFERROR(MAX(0,INDEX(Input!$1:$1048576,S$93,$C598*2+MIN($B598,2)+5)
+INDEX(Scenarios!S$121:S$200,MATCH($B598,Scenarios!$B$121:$B$200,0)),),"Market")</f>
        <v>0</v>
      </c>
      <c r="T598" s="478">
        <f>IFERROR(MAX(0,INDEX(Input!$1:$1048576,T$93,$C598*2+MIN($B598,2)+5)
+INDEX(Scenarios!T$121:T$200,MATCH($B598,Scenarios!$B$121:$B$200,0)),),"Market")</f>
        <v>0</v>
      </c>
      <c r="U598" s="478">
        <f>IFERROR(MAX(0,INDEX(Input!$1:$1048576,U$93,$C598*2+MIN($B598,2)+5)
+INDEX(Scenarios!U$121:U$200,MATCH($B598,Scenarios!$B$121:$B$200,0)),),"Market")</f>
        <v>0</v>
      </c>
      <c r="V598" s="478">
        <f>IFERROR(MAX(0,INDEX(Input!$1:$1048576,V$93,$C598*2+MIN($B598,2)+5)
+INDEX(Scenarios!V$121:V$200,MATCH($B598,Scenarios!$B$121:$B$200,0)),),"Market")</f>
        <v>1.9E-2</v>
      </c>
      <c r="W598" s="863">
        <f>IFERROR(MAX(0,INDEX(Input!$1:$1048576,W$93,$C598*2+MIN($B598,2)+5)-0%,),"Market")</f>
        <v>3.9E-2</v>
      </c>
      <c r="X598" s="476" t="str">
        <f>INDEX(Input!$1:$1048576,X$93,$C598*2+MIN($B598,2)+5)</f>
        <v>Y</v>
      </c>
      <c r="Y598" s="475">
        <f>INDEX(Input!$1:$1048576,Y$93,$C598*2+MIN($B598,2)+5)
++INDEX(Scenarios!Y$121:Y$200,MATCH($B598,Scenarios!$B$121:$B$200,0))</f>
        <v>-1098.3618966787526</v>
      </c>
      <c r="Z598" s="477">
        <f>INDEX(Input!$1:$1048576,Z$93,$C598*2+MIN($B598,2)+5)
+INDEX(Scenarios!Z$121:Z$200,MATCH($B598,Scenarios!$B$121:$B$200,0))</f>
        <v>0</v>
      </c>
      <c r="AA598" s="475">
        <f>INDEX(Input!$1:$1048576,AA$93,$C598*2+MIN($B598,2)+5)</f>
        <v>500</v>
      </c>
      <c r="AB598" s="476">
        <f>INDEX(Input!$1:$1048576,AB$93,$C598*2+MIN($B598,2)+5)</f>
        <v>0.43</v>
      </c>
      <c r="AC598" s="475">
        <f>INDEX(Input!$1:$1048576,AC$93,$C598*2+MIN($B598,2)+5)
+INDEX(Scenarios!AC$121:AC$200,MATCH($B598,Scenarios!$B$121:$B$200,0))</f>
        <v>0</v>
      </c>
      <c r="AD598" s="476">
        <f>INDEX(Input!$1:$1048576,AD$93,$C598*2+MIN($B598,2)+5)</f>
        <v>0.35</v>
      </c>
      <c r="AE598" s="475">
        <f>INDEX(Input!$1:$1048576,AE$93,$C598*2+MIN($B598,2)+5)
+INDEX(Scenarios!AE$121:AE$200,MATCH($B598,Scenarios!$B$121:$B$200,0))</f>
        <v>0</v>
      </c>
      <c r="AF598" s="476">
        <f>INDEX(Input!$1:$1048576,AF$93,$C598*2+MIN($B598,2)+5)</f>
        <v>1</v>
      </c>
      <c r="AG598" s="475">
        <f>INDEX(Input!$1:$1048576,AG$93,$C598*2+MIN($B598,2)+5)
+INDEX(Scenarios!AG$121:AG$200,MATCH($B598,Scenarios!$B$121:$B$200,0))</f>
        <v>0</v>
      </c>
      <c r="AH598" s="476">
        <f>INDEX(Input!$1:$1048576,AH$93,$C598*2+MIN($B598,2)+5)</f>
        <v>1</v>
      </c>
      <c r="AI598" s="475">
        <f>INDEX(Input!$1:$1048576,AI$93,$C598*2+MIN($B598,2)+5)
+INDEX(Scenarios!AI$121:AI$200,MATCH($B598,Scenarios!$B$121:$B$200,0))</f>
        <v>0</v>
      </c>
      <c r="AJ598" s="476">
        <f>INDEX(Input!$1:$1048576,AJ$93,$C598*2+MIN($B598,2)+5)</f>
        <v>0.35</v>
      </c>
      <c r="AK598" s="150">
        <f>ROUND(INDEX(Input!$1:$1048576,AK$93,$C597*2+MIN($B598,1)+5)+(Y598-VLOOKUP($C598*1000+1,$A:$HH,Y$92,FALSE)),0)</f>
        <v>4592</v>
      </c>
      <c r="AL598" s="150">
        <f>ROUND(INDEX(Input!$1:$1048576,AL$93,$C597*2+MIN($B598,1)+5)-(Y598-VLOOKUP($C598*1000+1,$A:$HH,Y$92,FALSE))/36,0)</f>
        <v>4743</v>
      </c>
      <c r="AM598" s="32" t="str">
        <f t="shared" si="1886"/>
        <v>std/std/std/std</v>
      </c>
      <c r="AN598" s="32" t="str">
        <f t="shared" si="1887"/>
        <v>$0 + 0/0/0/1.9/3.9</v>
      </c>
      <c r="AO598" s="32" t="str">
        <f t="shared" si="1888"/>
        <v>0/0/0/1.9/3.9</v>
      </c>
      <c r="AP598" s="32" t="str">
        <f t="shared" si="1755"/>
        <v>0/0.9/1.9/3.9</v>
      </c>
      <c r="AQ598" s="536">
        <f t="shared" si="1754"/>
        <v>0</v>
      </c>
      <c r="AR598" s="32"/>
      <c r="AS598" s="302"/>
      <c r="AT598" s="3">
        <f t="shared" si="1867"/>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Forte</v>
      </c>
      <c r="BA598" s="3">
        <f>INDEX(Input!$1:$1048576,BA$93,$C598*2+6)</f>
        <v>2020</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19695</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756"/>
        <v>1465</v>
      </c>
      <c r="CJ598" s="16" t="str">
        <f>INDEX(Input!$1:$1048576,CJ$93,$C598*2+6)</f>
        <v>N</v>
      </c>
      <c r="CK598" s="1" t="str">
        <f t="shared" si="1757"/>
        <v>Market</v>
      </c>
      <c r="CL598" s="1" t="str">
        <f t="shared" si="1758"/>
        <v>Market</v>
      </c>
      <c r="CM598" s="1" t="str">
        <f t="shared" si="1759"/>
        <v>Market</v>
      </c>
      <c r="CN598" s="1" t="str">
        <f t="shared" si="1760"/>
        <v>Market</v>
      </c>
      <c r="CO598" s="1" t="str">
        <f t="shared" si="1761"/>
        <v>Market</v>
      </c>
      <c r="CP598" s="304">
        <f t="shared" si="1762"/>
        <v>215</v>
      </c>
      <c r="CQ598" s="1">
        <f t="shared" si="1763"/>
        <v>0</v>
      </c>
      <c r="CR598" s="1">
        <f t="shared" si="1764"/>
        <v>0</v>
      </c>
      <c r="CS598" s="1">
        <f t="shared" si="1765"/>
        <v>0</v>
      </c>
      <c r="CT598" s="1">
        <f t="shared" si="1766"/>
        <v>1.9E-2</v>
      </c>
      <c r="CU598" s="1">
        <f t="shared" si="1767"/>
        <v>3.9E-2</v>
      </c>
      <c r="CV598" s="304">
        <f t="shared" si="1768"/>
        <v>-1098.3618966787526</v>
      </c>
      <c r="CW598" s="20" t="s">
        <v>122</v>
      </c>
      <c r="CX598" s="20" t="s">
        <v>122</v>
      </c>
      <c r="CY598" s="20" t="s">
        <v>122</v>
      </c>
      <c r="CZ598" s="20" t="s">
        <v>122</v>
      </c>
      <c r="DA598" s="20" t="s">
        <v>122</v>
      </c>
      <c r="DB598" s="503">
        <f t="shared" si="1769"/>
        <v>0</v>
      </c>
      <c r="DC598" s="127">
        <v>0</v>
      </c>
      <c r="DD598" s="127">
        <v>0</v>
      </c>
      <c r="DE598" s="127">
        <v>0</v>
      </c>
      <c r="DF598" s="127">
        <v>0</v>
      </c>
      <c r="DG598" s="127">
        <v>0</v>
      </c>
      <c r="DH598" s="127">
        <v>0</v>
      </c>
      <c r="DI598" s="127">
        <v>0</v>
      </c>
      <c r="DJ598" s="127">
        <v>0</v>
      </c>
      <c r="DK598" s="127">
        <v>0</v>
      </c>
      <c r="DL598" s="127">
        <v>0</v>
      </c>
      <c r="DM598" s="304">
        <f>INDEX(Input!$1:$1048576,DM$93,$C598*2+6)</f>
        <v>20731.578947368424</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885"/>
        <v>5099</v>
      </c>
      <c r="B599" s="561">
        <f t="shared" si="1865"/>
        <v>99</v>
      </c>
      <c r="C599" s="561">
        <f t="shared" si="1866"/>
        <v>5</v>
      </c>
      <c r="D599" s="561" t="str">
        <f t="shared" si="1938"/>
        <v/>
      </c>
      <c r="E599" s="475">
        <f>INDEX(Input!$1:$1048576,E$93,$C599*2+MIN($B599,2)+5)
+INDEX(Scenarios!E$121:E$200,MATCH($B599,Scenarios!$B$121:$B$200,0))</f>
        <v>1250</v>
      </c>
      <c r="F599" s="475">
        <f>INDEX(Input!$1:$1048576,F$93,$C599*2+MIN($B599,2)+5)
+INDEX(Scenarios!F$121:F$200,MATCH($B599,Scenarios!$B$121:$B$200,0))</f>
        <v>0</v>
      </c>
      <c r="G599" s="475">
        <f>INDEX(Input!$1:$1048576,G$93,$C599*2+MIN($B599,2)+5)
+INDEX(Scenarios!G$121:G$200,MATCH($B599,Scenarios!$B$121:$B$200,0))</f>
        <v>0</v>
      </c>
      <c r="H599" s="475">
        <f>INDEX(Input!$1:$1048576,H$93,$C599*2+MIN($B599,2)+5)
+INDEX(Scenarios!H$121:H$200,MATCH($B599,Scenarios!$B$121:$B$200,0))</f>
        <v>0</v>
      </c>
      <c r="I599" s="476">
        <f>INDEX(Input!$1:$1048576,I$93,$C599*2+MIN($B599,2)+5)</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+INDEX(Scenarios!Q$121:Q$200,MATCH($B599,Scenarios!$B$121:$B$200,0))</f>
        <v>0</v>
      </c>
      <c r="R599" s="478">
        <f>IFERROR(MAX(0,INDEX(Input!$1:$1048576,R$93,$C599*2+MIN($B599,2)+5)
+INDEX(Scenarios!R$121:R$200,MATCH($B599,Scenarios!$B$121:$B$200,0)),),"Market")</f>
        <v>0</v>
      </c>
      <c r="S599" s="478">
        <f>IFERROR(MAX(0,INDEX(Input!$1:$1048576,S$93,$C599*2+MIN($B599,2)+5)
+INDEX(Scenarios!S$121:S$200,MATCH($B599,Scenarios!$B$121:$B$200,0)),),"Market")</f>
        <v>0</v>
      </c>
      <c r="T599" s="478">
        <f>IFERROR(MAX(0,INDEX(Input!$1:$1048576,T$93,$C599*2+MIN($B599,2)+5)
+INDEX(Scenarios!T$121:T$200,MATCH($B599,Scenarios!$B$121:$B$200,0)),),"Market")</f>
        <v>0</v>
      </c>
      <c r="U599" s="478">
        <f>IFERROR(MAX(0,INDEX(Input!$1:$1048576,U$93,$C599*2+MIN($B599,2)+5)
+INDEX(Scenarios!U$121:U$200,MATCH($B599,Scenarios!$B$121:$B$200,0)),),"Market")</f>
        <v>0</v>
      </c>
      <c r="V599" s="478">
        <f>IFERROR(MAX(0,INDEX(Input!$1:$1048576,V$93,$C599*2+MIN($B599,2)+5)
+INDEX(Scenarios!V$121:V$200,MATCH($B599,Scenarios!$B$121:$B$200,0)),),"Market")</f>
        <v>1.9E-2</v>
      </c>
      <c r="W599" s="863">
        <f>IFERROR(MAX(0,INDEX(Input!$1:$1048576,W$93,$C599*2+MIN($B599,2)+5)-0%,),"Market")</f>
        <v>3.9E-2</v>
      </c>
      <c r="X599" s="476" t="str">
        <f>INDEX(Input!$1:$1048576,X$93,$C599*2+MIN($B599,2)+5)</f>
        <v>Y</v>
      </c>
      <c r="Y599" s="475">
        <f>INDEX(Input!$1:$1048576,Y$93,$C599*2+MIN($B599,2)+5)
++INDEX(Scenarios!Y$121:Y$200,MATCH($B599,Scenarios!$B$121:$B$200,0))</f>
        <v>-1098.3618966787526</v>
      </c>
      <c r="Z599" s="477">
        <f>INDEX(Input!$1:$1048576,Z$93,$C599*2+MIN($B599,2)+5)
+INDEX(Scenarios!Z$121:Z$200,MATCH($B599,Scenarios!$B$121:$B$200,0))</f>
        <v>0</v>
      </c>
      <c r="AA599" s="475">
        <f>INDEX(Input!$1:$1048576,AA$93,$C599*2+MIN($B599,2)+5)</f>
        <v>500</v>
      </c>
      <c r="AB599" s="476">
        <f>INDEX(Input!$1:$1048576,AB$93,$C599*2+MIN($B599,2)+5)</f>
        <v>0.43</v>
      </c>
      <c r="AC599" s="475">
        <f>INDEX(Input!$1:$1048576,AC$93,$C599*2+MIN($B599,2)+5)
+INDEX(Scenarios!AC$121:AC$200,MATCH($B599,Scenarios!$B$121:$B$200,0))</f>
        <v>0</v>
      </c>
      <c r="AD599" s="476">
        <f>INDEX(Input!$1:$1048576,AD$93,$C599*2+MIN($B599,2)+5)</f>
        <v>0.35</v>
      </c>
      <c r="AE599" s="475">
        <f>INDEX(Input!$1:$1048576,AE$93,$C599*2+MIN($B599,2)+5)
+INDEX(Scenarios!AE$121:AE$200,MATCH($B599,Scenarios!$B$121:$B$200,0))</f>
        <v>0</v>
      </c>
      <c r="AF599" s="476">
        <f>INDEX(Input!$1:$1048576,AF$93,$C599*2+MIN($B599,2)+5)</f>
        <v>1</v>
      </c>
      <c r="AG599" s="475">
        <f>INDEX(Input!$1:$1048576,AG$93,$C599*2+MIN($B599,2)+5)
+INDEX(Scenarios!AG$121:AG$200,MATCH($B599,Scenarios!$B$121:$B$200,0))</f>
        <v>0</v>
      </c>
      <c r="AH599" s="476">
        <f>INDEX(Input!$1:$1048576,AH$93,$C599*2+MIN($B599,2)+5)</f>
        <v>1</v>
      </c>
      <c r="AI599" s="475">
        <f>INDEX(Input!$1:$1048576,AI$93,$C599*2+MIN($B599,2)+5)
+INDEX(Scenarios!AI$121:AI$200,MATCH($B599,Scenarios!$B$121:$B$200,0))</f>
        <v>0</v>
      </c>
      <c r="AJ599" s="476">
        <f>INDEX(Input!$1:$1048576,AJ$93,$C599*2+MIN($B599,2)+5)</f>
        <v>0.35</v>
      </c>
      <c r="AK599" s="150">
        <f>ROUND(INDEX(Input!$1:$1048576,AK$93,$C598*2+MIN($B599,1)+5)+(Y599-VLOOKUP($C599*1000+1,$A:$HH,Y$92,FALSE)),0)</f>
        <v>4592</v>
      </c>
      <c r="AL599" s="150">
        <f>ROUND(INDEX(Input!$1:$1048576,AL$93,$C598*2+MIN($B599,1)+5)-(Y599-VLOOKUP($C599*1000+1,$A:$HH,Y$92,FALSE))/36,0)</f>
        <v>4743</v>
      </c>
      <c r="AM599" s="32" t="str">
        <f t="shared" si="1886"/>
        <v>std/std/std/std</v>
      </c>
      <c r="AN599" s="32" t="str">
        <f t="shared" si="1887"/>
        <v>$0 + 0/0/0/1.9/3.9</v>
      </c>
      <c r="AO599" s="32" t="str">
        <f t="shared" si="1888"/>
        <v>0/0/0/1.9/3.9</v>
      </c>
      <c r="AP599" s="32" t="str">
        <f t="shared" si="1755"/>
        <v>0/0.9/1.9/3.9</v>
      </c>
      <c r="AQ599" s="536">
        <f t="shared" si="1754"/>
        <v>0</v>
      </c>
      <c r="AR599" s="32"/>
      <c r="AS599" s="302"/>
      <c r="AT599" s="3">
        <f t="shared" si="1867"/>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Forte</v>
      </c>
      <c r="BA599" s="3">
        <f>INDEX(Input!$1:$1048576,BA$93,$C599*2+6)</f>
        <v>2020</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19695</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756"/>
        <v>1465</v>
      </c>
      <c r="CJ599" s="16" t="str">
        <f>INDEX(Input!$1:$1048576,CJ$93,$C599*2+6)</f>
        <v>N</v>
      </c>
      <c r="CK599" s="1" t="str">
        <f t="shared" si="1757"/>
        <v>Market</v>
      </c>
      <c r="CL599" s="1" t="str">
        <f t="shared" si="1758"/>
        <v>Market</v>
      </c>
      <c r="CM599" s="1" t="str">
        <f t="shared" si="1759"/>
        <v>Market</v>
      </c>
      <c r="CN599" s="1" t="str">
        <f t="shared" si="1760"/>
        <v>Market</v>
      </c>
      <c r="CO599" s="1" t="str">
        <f t="shared" si="1761"/>
        <v>Market</v>
      </c>
      <c r="CP599" s="304">
        <f t="shared" si="1762"/>
        <v>215</v>
      </c>
      <c r="CQ599" s="1">
        <f t="shared" si="1763"/>
        <v>0</v>
      </c>
      <c r="CR599" s="1">
        <f t="shared" si="1764"/>
        <v>0</v>
      </c>
      <c r="CS599" s="1">
        <f t="shared" si="1765"/>
        <v>0</v>
      </c>
      <c r="CT599" s="1">
        <f t="shared" si="1766"/>
        <v>1.9E-2</v>
      </c>
      <c r="CU599" s="1">
        <f t="shared" si="1767"/>
        <v>3.9E-2</v>
      </c>
      <c r="CV599" s="304">
        <f t="shared" si="1768"/>
        <v>-1098.3618966787526</v>
      </c>
      <c r="CW599" s="20" t="s">
        <v>122</v>
      </c>
      <c r="CX599" s="20" t="s">
        <v>122</v>
      </c>
      <c r="CY599" s="20" t="s">
        <v>122</v>
      </c>
      <c r="CZ599" s="20" t="s">
        <v>122</v>
      </c>
      <c r="DA599" s="20" t="s">
        <v>122</v>
      </c>
      <c r="DB599" s="503">
        <f t="shared" si="1769"/>
        <v>0</v>
      </c>
      <c r="DC599" s="127">
        <v>0</v>
      </c>
      <c r="DD599" s="127">
        <v>0</v>
      </c>
      <c r="DE599" s="127">
        <v>0</v>
      </c>
      <c r="DF599" s="127">
        <v>0</v>
      </c>
      <c r="DG599" s="127">
        <v>0</v>
      </c>
      <c r="DH599" s="127">
        <v>0</v>
      </c>
      <c r="DI599" s="127">
        <v>0</v>
      </c>
      <c r="DJ599" s="127">
        <v>0</v>
      </c>
      <c r="DK599" s="127">
        <v>0</v>
      </c>
      <c r="DL599" s="127">
        <v>0</v>
      </c>
      <c r="DM599" s="304">
        <f>INDEX(Input!$1:$1048576,DM$93,$C599*2+6)</f>
        <v>20731.578947368424</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c r="B600" s="561"/>
      <c r="C600" s="561"/>
      <c r="D600" s="561"/>
      <c r="E600" s="475" t="e">
        <f>INDEX(Input!$1:$1048576,E$93,$C600*2+MIN($B600,2)+5)
+INDEX(Scenarios!E$121:E$200,MATCH($B600,Scenarios!$B$121:$B$200,0))</f>
        <v>#VALUE!</v>
      </c>
      <c r="F600" s="475" t="e">
        <f>INDEX(Input!$1:$1048576,F$93,$C600*2+MIN($B600,2)+5)
+INDEX(Scenarios!F$121:F$200,MATCH($B600,Scenarios!$B$121:$B$200,0))</f>
        <v>#VALUE!</v>
      </c>
      <c r="G600" s="475" t="e">
        <f>INDEX(Input!$1:$1048576,G$93,$C600*2+MIN($B600,2)+5)
+INDEX(Scenarios!G$121:G$200,MATCH($B600,Scenarios!$B$121:$B$200,0))</f>
        <v>#VALUE!</v>
      </c>
      <c r="H600" s="475" t="e">
        <f>INDEX(Input!$1:$1048576,H$93,$C600*2+MIN($B600,2)+5)
+INDEX(Scenarios!H$121:H$200,MATCH($B600,Scenarios!$B$121:$B$200,0))</f>
        <v>#VALUE!</v>
      </c>
      <c r="I600" s="476" t="str">
        <f>INDEX(Input!$1:$1048576,I$93,$C600*2+MIN($B600,2)+5)</f>
        <v>Dealer cash lift adjustment factor</v>
      </c>
      <c r="J600" s="476" t="str">
        <f>INDEX(Input!$1:$1048576,J$93,$C600*2+MIN($B600,2)+5)</f>
        <v>DSS Input Value: 36 mo</v>
      </c>
      <c r="K600" s="476" t="str">
        <f>INDEX(Input!$1:$1048576,K$93,$C600*2+MIN($B600,2)+5)</f>
        <v>DSS Input Value: 48 mo</v>
      </c>
      <c r="L600" s="476" t="str">
        <f>INDEX(Input!$1:$1048576,L$93,$C600*2+MIN($B600,2)+5)</f>
        <v>DSS Input Value: 60 mo</v>
      </c>
      <c r="M600" s="476" t="str">
        <f>INDEX(Input!$1:$1048576,M$93,$C600*2+MIN($B600,2)+5)</f>
        <v>DSS Input Value: 72 mo</v>
      </c>
      <c r="N600" s="476" t="str">
        <f>INDEX(Input!$1:$1048576,N$93,$C600*2+MIN($B600,2)+5)</f>
        <v>DSS Input Value: 72 mo</v>
      </c>
      <c r="O600" s="476" t="str">
        <f>INDEX(Input!$1:$1048576,O$93,$C600*2+MIN($B600,2)+5)</f>
        <v>DSS Input Value: 84 mo</v>
      </c>
      <c r="P600" s="476" t="str">
        <f>INDEX(Input!$1:$1048576,P$93,$C600*2+MIN($B600,2)+5)</f>
        <v xml:space="preserve"> - 75mo Term Available?</v>
      </c>
      <c r="Q600" s="477" t="e">
        <f>INDEX(Input!$1:$1048576,Q$93,$C600*2+MIN($B600,2)+5)
+INDEX(Scenarios!Q$121:Q$200,MATCH($B600,Scenarios!$B$121:$B$200,0))</f>
        <v>#VALUE!</v>
      </c>
      <c r="R600" s="478" t="str">
        <f>IFERROR(MAX(0,INDEX(Input!$1:$1048576,R$93,$C600*2+MIN($B600,2)+5)
+INDEX(Scenarios!R$121:R$200,MATCH($B600,Scenarios!$B$121:$B$200,0)),),"Market")</f>
        <v>Market</v>
      </c>
      <c r="S600" s="478" t="str">
        <f>IFERROR(MAX(0,INDEX(Input!$1:$1048576,S$93,$C600*2+MIN($B600,2)+5)
+INDEX(Scenarios!S$121:S$200,MATCH($B600,Scenarios!$B$121:$B$200,0)),),"Market")</f>
        <v>Market</v>
      </c>
      <c r="T600" s="478" t="str">
        <f>IFERROR(MAX(0,INDEX(Input!$1:$1048576,T$93,$C600*2+MIN($B600,2)+5)
+INDEX(Scenarios!T$121:T$200,MATCH($B600,Scenarios!$B$121:$B$200,0)),),"Market")</f>
        <v>Market</v>
      </c>
      <c r="U600" s="478" t="str">
        <f>IFERROR(MAX(0,INDEX(Input!$1:$1048576,U$93,$C600*2+MIN($B600,2)+5)
+INDEX(Scenarios!U$121:U$200,MATCH($B600,Scenarios!$B$121:$B$200,0)),),"Market")</f>
        <v>Market</v>
      </c>
      <c r="V600" s="478" t="str">
        <f>IFERROR(MAX(0,INDEX(Input!$1:$1048576,V$93,$C600*2+MIN($B600,2)+5)
+INDEX(Scenarios!V$121:V$200,MATCH($B600,Scenarios!$B$121:$B$200,0)),),"Market")</f>
        <v>Market</v>
      </c>
      <c r="W600" s="863" t="str">
        <f>IFERROR(MAX(0,INDEX(Input!$1:$1048576,W$93,$C600*2+MIN($B600,2)+5)-0%,),"Market")</f>
        <v>Market</v>
      </c>
      <c r="X600" s="476" t="str">
        <f>INDEX(Input!$1:$1048576,X$93,$C600*2+MIN($B600,2)+5)</f>
        <v xml:space="preserve"> - 75mo Term Available?</v>
      </c>
      <c r="Y600" s="475" t="e">
        <f>INDEX(Input!$1:$1048576,Y$93,$C600*2+MIN($B600,2)+5)
++INDEX(Scenarios!Y$121:Y$200,MATCH($B600,Scenarios!$B$121:$B$200,0))</f>
        <v>#VALUE!</v>
      </c>
      <c r="Z600" s="477" t="e">
        <f>INDEX(Input!$1:$1048576,Z$93,$C600*2+MIN($B600,2)+5)
+INDEX(Scenarios!Z$121:Z$200,MATCH($B600,Scenarios!$B$121:$B$200,0))</f>
        <v>#VALUE!</v>
      </c>
      <c r="AA600" s="475" t="str">
        <f>INDEX(Input!$1:$1048576,AA$93,$C600*2+MIN($B600,2)+5)</f>
        <v>Raw offer value</v>
      </c>
      <c r="AB600" s="476" t="str">
        <f>INDEX(Input!$1:$1048576,AB$93,$C600*2+MIN($B600,2)+5)</f>
        <v>Percent of sales affected/pass thru</v>
      </c>
      <c r="AC600" s="475" t="e">
        <f>INDEX(Input!$1:$1048576,AC$93,$C600*2+MIN($B600,2)+5)
+INDEX(Scenarios!AC$121:AC$200,MATCH($B600,Scenarios!$B$121:$B$200,0))</f>
        <v>#VALUE!</v>
      </c>
      <c r="AD600" s="476" t="str">
        <f>INDEX(Input!$1:$1048576,AD$93,$C600*2+MIN($B600,2)+5)</f>
        <v>Percent of sales affected/pass thru</v>
      </c>
      <c r="AE600" s="475" t="e">
        <f>INDEX(Input!$1:$1048576,AE$93,$C600*2+MIN($B600,2)+5)
+INDEX(Scenarios!AE$121:AE$200,MATCH($B600,Scenarios!$B$121:$B$200,0))</f>
        <v>#VALUE!</v>
      </c>
      <c r="AF600" s="476" t="str">
        <f>INDEX(Input!$1:$1048576,AF$93,$C600*2+MIN($B600,2)+5)</f>
        <v>Percent of sales affected/pass thru</v>
      </c>
      <c r="AG600" s="475" t="e">
        <f>INDEX(Input!$1:$1048576,AG$93,$C600*2+MIN($B600,2)+5)
+INDEX(Scenarios!AG$121:AG$200,MATCH($B600,Scenarios!$B$121:$B$200,0))</f>
        <v>#VALUE!</v>
      </c>
      <c r="AH600" s="476" t="str">
        <f>INDEX(Input!$1:$1048576,AH$93,$C600*2+MIN($B600,2)+5)</f>
        <v>Percent of sales affected/pass thru</v>
      </c>
      <c r="AI600" s="475" t="e">
        <f>INDEX(Input!$1:$1048576,AI$93,$C600*2+MIN($B600,2)+5)
+INDEX(Scenarios!AI$121:AI$200,MATCH($B600,Scenarios!$B$121:$B$200,0))</f>
        <v>#VALUE!</v>
      </c>
      <c r="AJ600" s="476" t="str">
        <f>INDEX(Input!$1:$1048576,AJ$93,$C600*2+MIN($B600,2)+5)</f>
        <v>Percent of sales affected/pass thru</v>
      </c>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750.00000000000011</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1.8999999999999996E-2</v>
      </c>
      <c r="W601" s="22">
        <f>INDEX(Input!$1:$1048576,W$93,$C601*2+MIN($B601,1)+5)</f>
        <v>3.9E-2</v>
      </c>
      <c r="X601" s="367" t="str">
        <f>INDEX(Input!$1:$1048576,X$93,$C601*2+MIN($B601,1)+5)</f>
        <v>Y</v>
      </c>
      <c r="Y601" s="49">
        <f>INDEX(Input!$1:$1048576,Y$93,$C601*2+MIN($B601,1)+5)</f>
        <v>2459.7093336934013</v>
      </c>
      <c r="Z601" s="584">
        <f>INDEX(Input!$1:$1048576,Z$93,$C601*2+MIN($B601,1)+5)</f>
        <v>0</v>
      </c>
      <c r="AA601" s="49">
        <f>INDEX(Input!$1:$1048576,AA$93,$C601*2+MIN($B601,1)+5)</f>
        <v>0</v>
      </c>
      <c r="AB601" s="367">
        <f>INDEX(Input!$1:$1048576,AB$93,$C601*2+MIN($B601,1)+5)</f>
        <v>1</v>
      </c>
      <c r="AC601" s="49">
        <f>INDEX(Input!$1:$1048576,AC$93,$C601*2+MIN($B601,1)+5)</f>
        <v>1000</v>
      </c>
      <c r="AD601" s="367">
        <f>INDEX(Input!$1:$1048576,AD$93,$C601*2+MIN($B601,1)+5)</f>
        <v>0.35</v>
      </c>
      <c r="AE601" s="49">
        <f>INDEX(Input!$1:$1048576,AE$93,$C601*2+MIN($B601,1)+5)</f>
        <v>0</v>
      </c>
      <c r="AF601" s="367">
        <f>INDEX(Input!$1:$1048576,AF$93,$C601*2+MIN($B601,1)+5)</f>
        <v>1</v>
      </c>
      <c r="AG601" s="49">
        <f>INDEX(Input!$1:$1048576,AG$93,$C601*2+MIN($B601,1)+5)</f>
        <v>500</v>
      </c>
      <c r="AH601" s="367">
        <f>INDEX(Input!$1:$1048576,AH$93,$C601*2+MIN($B601,1)+5)</f>
        <v>1</v>
      </c>
      <c r="AI601" s="49">
        <f>INDEX(Input!$1:$1048576,AI$93,$C601*2+MIN($B601,1)+5)</f>
        <v>500</v>
      </c>
      <c r="AJ601" s="367">
        <f>INDEX(Input!$1:$1048576,AJ$93,$C601*2+MIN($B601,1)+5)</f>
        <v>0.35</v>
      </c>
      <c r="AK601" s="298">
        <f>ROUND(INDEX(Input!$1:$1048576,AK$93,$C601*2+MIN($B601,1)+5),0)</f>
        <v>5213</v>
      </c>
      <c r="AL601" s="49">
        <f>ROUND(INDEX(Input!$1:$1048576,AL$93,$C601*2+MIN($B601,1)+5),0)</f>
        <v>5213</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+ 0/0/0/1.9/3.9</v>
      </c>
      <c r="AO601" s="44" t="str">
        <f>IF(S601="market","std",ROUND(S601*1000,0)/10)&amp;"/"&amp;IF(T601="market","std",ROUND(T601*1000,0)/10)&amp;"/"&amp;IF(U601="market","std",ROUND(U601*1000,0)/10)&amp;"/"&amp;IF(V601="market","std",ROUND(V601*1000,0)/10)&amp;IF(X601="N","","/"&amp;IF(W601="market","std",ROUND(W601*1000,0)/10))</f>
        <v>0/0/0/1.9/3.9</v>
      </c>
      <c r="AP601" s="44" t="str">
        <f t="shared" ref="AP601:AP664" si="1939">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0/0.9/1.9/3.9</v>
      </c>
      <c r="AQ601" s="507">
        <f t="shared" ref="AQ601:AQ664" si="1940">SUM(IE601,G601*IF601,H601*IG601,AC601*AD601,AE601*AF601,AI601)</f>
        <v>850.33605403884042</v>
      </c>
      <c r="AR601" s="44"/>
      <c r="AS601" s="368"/>
      <c r="AT601" s="579">
        <v>1</v>
      </c>
      <c r="AU601" s="45" t="s">
        <v>121</v>
      </c>
      <c r="AV601" s="45" t="s">
        <v>116</v>
      </c>
      <c r="AW601" s="45" t="str">
        <f>INDEX(Input!$1:$1048576,AW$93,$C601*2+6)</f>
        <v>Kia</v>
      </c>
      <c r="AX601" s="45" t="str">
        <f>INDEX(Input!$1:$1048576,AX$93,$C601*2+6)</f>
        <v>National</v>
      </c>
      <c r="AY601" s="10" t="str">
        <f>IF(LEN(D601)=0,"",INDEX(Input!$1:$1048576,AY$93,$C601*2+6))</f>
        <v>Compact Conventional/Sporty Car (43)</v>
      </c>
      <c r="AZ601" s="45" t="str">
        <f>INDEX(Input!$1:$1048576,AZ$93,$C601*2+6)</f>
        <v>Kia Forte</v>
      </c>
      <c r="BA601" s="50">
        <f>INDEX(Input!$1:$1048576,BA$93,$C601*2+6)</f>
        <v>2020</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19695</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CI664" si="1941">E601+F601*I601+AA517*AB517+AC601*AD601</f>
        <v>1315</v>
      </c>
      <c r="CJ601" s="46" t="str">
        <f>INDEX(Input!$1:$1048576,CJ$93,$C601*2+6)</f>
        <v>N</v>
      </c>
      <c r="CK601" s="38" t="str">
        <f t="shared" ref="CK601:CK664" si="1942">K601</f>
        <v>Market</v>
      </c>
      <c r="CL601" s="38" t="str">
        <f t="shared" ref="CL601:CL664" si="1943">L601</f>
        <v>Market</v>
      </c>
      <c r="CM601" s="38" t="str">
        <f t="shared" ref="CM601:CM664" si="1944">M601</f>
        <v>Market</v>
      </c>
      <c r="CN601" s="38" t="str">
        <f t="shared" ref="CN601:CN664" si="1945">N601</f>
        <v>Market</v>
      </c>
      <c r="CO601" s="38" t="str">
        <f t="shared" ref="CO601:CO664" si="1946">O601</f>
        <v>Market</v>
      </c>
      <c r="CP601" s="49">
        <f t="shared" ref="CP601:CP664" si="1947">Q601+G601*I601+AA601*AB601+AC601*AD601</f>
        <v>350</v>
      </c>
      <c r="CQ601" s="38">
        <f t="shared" ref="CQ601:CQ664" si="1948">S601</f>
        <v>0</v>
      </c>
      <c r="CR601" s="38">
        <f t="shared" ref="CR601:CR664" si="1949">T601</f>
        <v>0</v>
      </c>
      <c r="CS601" s="38">
        <f t="shared" ref="CS601:CS664" si="1950">U601</f>
        <v>0</v>
      </c>
      <c r="CT601" s="38">
        <f t="shared" ref="CT601:CT664" si="1951">V601</f>
        <v>1.8999999999999996E-2</v>
      </c>
      <c r="CU601" s="38">
        <f t="shared" ref="CU601:CU664" si="1952">W601</f>
        <v>3.9E-2</v>
      </c>
      <c r="CV601" s="49">
        <f t="shared" si="1768"/>
        <v>2634.7093336934013</v>
      </c>
      <c r="CW601" s="22" t="s">
        <v>122</v>
      </c>
      <c r="CX601" s="22" t="s">
        <v>122</v>
      </c>
      <c r="CY601" s="22" t="s">
        <v>122</v>
      </c>
      <c r="CZ601" s="22" t="s">
        <v>122</v>
      </c>
      <c r="DA601" s="22" t="s">
        <v>122</v>
      </c>
      <c r="DB601" s="502">
        <f t="shared" si="1769"/>
        <v>500</v>
      </c>
      <c r="DC601" s="29">
        <v>0</v>
      </c>
      <c r="DD601" s="29">
        <v>0</v>
      </c>
      <c r="DE601" s="29">
        <v>0</v>
      </c>
      <c r="DF601" s="49">
        <v>0</v>
      </c>
      <c r="DG601" s="49">
        <v>0</v>
      </c>
      <c r="DH601" s="49">
        <v>0</v>
      </c>
      <c r="DI601" s="49">
        <v>0</v>
      </c>
      <c r="DJ601" s="49">
        <v>0</v>
      </c>
      <c r="DK601" s="29">
        <v>0</v>
      </c>
      <c r="DL601" s="29">
        <v>0</v>
      </c>
      <c r="DM601" s="49">
        <f>INDEX(Input!$1:$1048576,DM$93,$C601*2+6)</f>
        <v>20731.578947368424</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v>4.8550069186653971E-2</v>
      </c>
      <c r="DZ601" s="37">
        <v>0</v>
      </c>
      <c r="EA601" s="37">
        <v>0.76317010213990089</v>
      </c>
      <c r="EB601" s="37">
        <v>0</v>
      </c>
      <c r="EC601" s="37">
        <v>0</v>
      </c>
      <c r="ED601" s="37">
        <v>0</v>
      </c>
      <c r="EE601" s="37">
        <v>0</v>
      </c>
      <c r="EF601" s="37">
        <v>0</v>
      </c>
      <c r="EG601" s="37">
        <v>0</v>
      </c>
      <c r="EH601" s="37">
        <v>2.9703175162210427E-2</v>
      </c>
      <c r="EI601" s="37">
        <v>1.9429378284582938E-2</v>
      </c>
      <c r="EJ601" s="37">
        <v>0.26139701933578535</v>
      </c>
      <c r="EK601" s="37">
        <v>0.68947042721742113</v>
      </c>
      <c r="EL601" s="37">
        <v>0</v>
      </c>
      <c r="EM601" s="37">
        <v>2.8262818150259363E-2</v>
      </c>
      <c r="EN601" s="37">
        <v>3.6766370128035283E-2</v>
      </c>
      <c r="EO601" s="37">
        <v>0.38202651488697609</v>
      </c>
      <c r="EP601" s="37">
        <v>0.48276471523810516</v>
      </c>
      <c r="EQ601" s="37">
        <v>7.4710293360374005E-2</v>
      </c>
      <c r="ER601" s="37">
        <v>2.3732106386509352E-2</v>
      </c>
      <c r="ES601" s="37">
        <v>0.16001701052318573</v>
      </c>
      <c r="ET601" s="37">
        <v>0.18827982867344514</v>
      </c>
      <c r="EU601" s="36">
        <v>500</v>
      </c>
      <c r="EV601" s="36">
        <v>0</v>
      </c>
      <c r="EW601" s="36">
        <v>500</v>
      </c>
      <c r="EX601" s="36">
        <v>0</v>
      </c>
      <c r="EY601" s="36">
        <v>1384.2439984836128</v>
      </c>
      <c r="EZ601" s="36">
        <v>-1554.2676731795959</v>
      </c>
      <c r="FA601" s="36">
        <v>0</v>
      </c>
      <c r="FB601" s="36">
        <v>0</v>
      </c>
      <c r="FC601" s="36">
        <v>0</v>
      </c>
      <c r="FD601" s="36">
        <v>0</v>
      </c>
      <c r="FE601" s="36">
        <v>0</v>
      </c>
      <c r="FF601" s="36">
        <v>0</v>
      </c>
      <c r="FG601" s="36">
        <v>0</v>
      </c>
      <c r="FH601" s="36">
        <v>1158.6021012644371</v>
      </c>
      <c r="FI601" s="36">
        <v>1531.4299904380621</v>
      </c>
      <c r="FJ601" s="36">
        <v>1709.9775738488459</v>
      </c>
      <c r="FK601" s="36">
        <v>1266.3227157028191</v>
      </c>
      <c r="FL601" s="36">
        <v>0</v>
      </c>
      <c r="FM601" s="36">
        <v>1384.2439984836128</v>
      </c>
      <c r="FN601" s="36">
        <v>0</v>
      </c>
      <c r="FO601" s="36">
        <v>0</v>
      </c>
      <c r="FP601" s="36">
        <v>0</v>
      </c>
      <c r="FQ601" s="36">
        <v>0</v>
      </c>
      <c r="FR601" s="36">
        <v>0</v>
      </c>
      <c r="FS601" s="36">
        <v>0</v>
      </c>
      <c r="FT601" s="37">
        <v>0.81172017132655483</v>
      </c>
      <c r="FU601" s="37">
        <v>2.8262818150259363E-2</v>
      </c>
      <c r="FV601" s="37">
        <v>0.16001701052318573</v>
      </c>
      <c r="FW601" s="36">
        <v>500.00000000000006</v>
      </c>
      <c r="FX601" s="36">
        <v>1384.2439984836128</v>
      </c>
      <c r="FY601" s="36">
        <v>-1554.2676731795959</v>
      </c>
      <c r="FZ601" s="36">
        <v>1676.0854837363124</v>
      </c>
      <c r="GA601" s="36">
        <v>196.27345545298093</v>
      </c>
      <c r="GB601" s="36">
        <v>19498.726544547018</v>
      </c>
      <c r="GC601" s="37">
        <v>6.4493561548621597E-2</v>
      </c>
      <c r="GD601" s="37">
        <v>5.063995463212586E-2</v>
      </c>
      <c r="GE601" s="37"/>
      <c r="GF601" s="37"/>
      <c r="GG601" s="37">
        <v>-0.21480604550039503</v>
      </c>
      <c r="GH601" s="35">
        <v>2.8588800369720127</v>
      </c>
      <c r="GI601" s="36">
        <v>7085.3348169992978</v>
      </c>
      <c r="GJ601" s="34">
        <v>0.51596255589662343</v>
      </c>
      <c r="GK601" s="34">
        <v>0.51419567426615931</v>
      </c>
      <c r="GL601" s="34">
        <v>0.48403744410337651</v>
      </c>
      <c r="GM601" s="33">
        <v>0.48580432573384036</v>
      </c>
      <c r="GN601" s="61"/>
      <c r="GO601" s="13">
        <v>338.16872463277008</v>
      </c>
      <c r="GP601" s="27">
        <v>328.62967849492429</v>
      </c>
      <c r="GQ601" s="27">
        <v>527.27910984145694</v>
      </c>
      <c r="GR601" s="27">
        <v>404.20319246551543</v>
      </c>
      <c r="GS601" s="27">
        <v>334.50205195691484</v>
      </c>
      <c r="GT601" s="27">
        <v>289.18266033348181</v>
      </c>
      <c r="GU601" s="27">
        <v>254.29573314828914</v>
      </c>
      <c r="GV601" s="29" t="s">
        <v>392</v>
      </c>
      <c r="GW601" s="27">
        <v>492.375</v>
      </c>
      <c r="GX601" s="27">
        <v>369.28125</v>
      </c>
      <c r="GY601" s="27">
        <v>302.23266563481752</v>
      </c>
      <c r="GZ601" s="27">
        <v>268.52323906086701</v>
      </c>
      <c r="HA601" s="27">
        <v>254.29573314828914</v>
      </c>
      <c r="HB601" s="29">
        <v>285.94155626609904</v>
      </c>
      <c r="HC601" s="27">
        <v>351.11483570160732</v>
      </c>
      <c r="HD601" s="27">
        <v>282.73776275539944</v>
      </c>
      <c r="HE601" s="27">
        <v>280.55735780820959</v>
      </c>
      <c r="HF601" s="27">
        <v>253.64561428438338</v>
      </c>
      <c r="HG601" s="27">
        <v>237.36506461313525</v>
      </c>
      <c r="HH601" s="12">
        <v>280.94884430806911</v>
      </c>
      <c r="HI601" s="94"/>
      <c r="HJ601" s="335" t="s">
        <v>353</v>
      </c>
      <c r="HK601" s="335" t="s">
        <v>353</v>
      </c>
      <c r="HL601" s="94"/>
      <c r="HM601" s="640">
        <f>(HM101*HY101+HM201*HY201+HM301*HY301+HM401*HY401+HM501*HY501)/HY601</f>
        <v>4.9686942767030826E-2</v>
      </c>
      <c r="HN601" s="22">
        <f t="shared" ref="HN601:HO616" si="1953">(HN101*HZ101+HN201*HZ201+HN301*HZ301+HN401*HZ401+HN501*HZ501)/HZ601</f>
        <v>2.6112822013589915E-3</v>
      </c>
      <c r="HO601" s="638">
        <f t="shared" si="1953"/>
        <v>3.166115353075552E-2</v>
      </c>
      <c r="HP601" s="649">
        <f t="shared" ref="HP601:ID616" si="1954">HP101+HP201+HP301+HP401+HP501</f>
        <v>0</v>
      </c>
      <c r="HQ601" s="650">
        <f t="shared" si="1954"/>
        <v>0</v>
      </c>
      <c r="HR601" s="651">
        <f t="shared" si="1954"/>
        <v>0</v>
      </c>
      <c r="HS601" s="650">
        <f t="shared" si="1954"/>
        <v>0</v>
      </c>
      <c r="HT601" s="650">
        <f t="shared" si="1954"/>
        <v>0</v>
      </c>
      <c r="HU601" s="651">
        <f t="shared" si="1954"/>
        <v>0</v>
      </c>
      <c r="HV601" s="649">
        <f t="shared" si="1954"/>
        <v>0</v>
      </c>
      <c r="HW601" s="650">
        <f t="shared" si="1954"/>
        <v>0</v>
      </c>
      <c r="HX601" s="651">
        <f t="shared" si="1954"/>
        <v>0</v>
      </c>
      <c r="HY601" s="641">
        <f>HY101+HY201+HY301+HY401+HY501</f>
        <v>2388</v>
      </c>
      <c r="HZ601" s="641">
        <f t="shared" ref="HZ601:ID601" si="1955">HZ101+HZ201+HZ301+HZ401+HZ501</f>
        <v>2518</v>
      </c>
      <c r="IA601" s="642">
        <f t="shared" si="1955"/>
        <v>2200</v>
      </c>
      <c r="IB601" s="649">
        <f t="shared" si="1955"/>
        <v>2388</v>
      </c>
      <c r="IC601" s="650">
        <f t="shared" si="1955"/>
        <v>2518</v>
      </c>
      <c r="ID601" s="651">
        <f t="shared" si="1955"/>
        <v>2200</v>
      </c>
      <c r="IE601" s="129">
        <f>IB601/SUM($IB601:$ID601)</f>
        <v>0.33605403884041657</v>
      </c>
      <c r="IF601" s="652">
        <f t="shared" ref="IF601:IF664" si="1956">IC601/SUM($IB601:$ID601)</f>
        <v>0.35434843793976922</v>
      </c>
      <c r="IG601" s="653">
        <f t="shared" ref="IG601:IG664" si="1957">ID601/SUM($IB601:$ID601)</f>
        <v>0.30959752321981426</v>
      </c>
      <c r="IH601" s="95"/>
      <c r="II601" s="298"/>
      <c r="IJ601" s="49"/>
      <c r="IK601" s="40"/>
      <c r="IL601" s="298">
        <f>JA601-IX601</f>
        <v>0</v>
      </c>
      <c r="IM601" s="49">
        <f t="shared" ref="IM601:IN616" si="1958">JB601-IY601</f>
        <v>0</v>
      </c>
      <c r="IN601" s="40">
        <f t="shared" si="1958"/>
        <v>0</v>
      </c>
      <c r="IO601" s="25"/>
      <c r="IP601" s="29"/>
      <c r="IQ601" s="29"/>
      <c r="IR601" s="17"/>
      <c r="IS601" s="29"/>
      <c r="IT601" s="12"/>
      <c r="IU601" s="25"/>
      <c r="IV601" s="29"/>
      <c r="IW601" s="12"/>
      <c r="IX601" s="372">
        <f>(IX101*HY101+IX201*HY201+IX301*HY301+IX401*HY401+IX501*HY501)/HY601</f>
        <v>1600</v>
      </c>
      <c r="IY601" s="373">
        <f t="shared" ref="IY601:IZ616" si="1959">(IY101*HZ101+IY201*HZ201+IY301*HZ301+IY401*HZ401+IY501*HZ501)/HZ601</f>
        <v>2503.549291639752</v>
      </c>
      <c r="IZ601" s="374">
        <f t="shared" si="1959"/>
        <v>5888.3563810918577</v>
      </c>
      <c r="JA601" s="298">
        <f>IFERROR((JA101*IB101+JA201*IB201+JA301*IB301+JA401*IB401+JA501*IB501)/IB601,0)</f>
        <v>1600</v>
      </c>
      <c r="JB601" s="49">
        <f>IFERROR((JB101*IC101+JB201*IC201+JB301*IC301+JB401*IC401+JB501*IC501)/IC601,0)</f>
        <v>2503.549291639752</v>
      </c>
      <c r="JC601" s="49">
        <f>IFERROR((JC101*ID101+JC201*ID201+JC301*ID301+JC401*ID401+JC501*ID501)/ID601,0)</f>
        <v>5888.3563810918577</v>
      </c>
      <c r="JD601" s="40">
        <f>SUMPRODUCT(IE601:IG601,JA601:JC601)</f>
        <v>3247.8357943640567</v>
      </c>
      <c r="JE601" s="95"/>
      <c r="JF601" s="28">
        <f>(JF101*JG101+JF201*JG201+JF301*JG301+JF401*JG401+JF501*JG501)/JG601</f>
        <v>6.8844376252282569E-2</v>
      </c>
      <c r="JG601" s="23">
        <f>JG101+JG201+JG301+JG401+JG501</f>
        <v>7106</v>
      </c>
      <c r="JH601" s="38">
        <f t="shared" ref="JH601" si="1960">SUM(HP601:HR601)/SUM(HY601:IA601)</f>
        <v>0</v>
      </c>
      <c r="JI601" s="38">
        <f t="shared" ref="JI601" si="1961">SUM(HS601:HU601)/SUM(HY601:IA601)</f>
        <v>0</v>
      </c>
      <c r="JJ601" s="11">
        <f t="shared" ref="JJ601:JJ664" si="1962">SUM(HV601:HX601)/SUM(HY601:IA601)</f>
        <v>0</v>
      </c>
      <c r="JK601" s="2">
        <f t="shared" ref="JK601:JK664" si="1963">JL601/JG601</f>
        <v>0</v>
      </c>
      <c r="JL601" s="9">
        <f>JL101+JL201+JL301+JL401+JL501</f>
        <v>0</v>
      </c>
      <c r="JM601" s="8">
        <f>JM101+JM201+JM301+JM401+JM501</f>
        <v>7106</v>
      </c>
      <c r="JN601" s="95"/>
      <c r="JO601" s="375">
        <f>INDEX([1]Input!$1:$1048576,JO$93,$C601*2+6)</f>
        <v>5995.5</v>
      </c>
      <c r="JP601" s="375">
        <f>INDEX([1]Input!$1:$1048576,JP$93,$C601*2+6)</f>
        <v>1716.3055838443925</v>
      </c>
      <c r="JQ601" s="25">
        <f>JO601-JD601</f>
        <v>2747.6642056359433</v>
      </c>
      <c r="JR601" s="29">
        <f t="shared" ref="JR601" si="1964">JD601-JP601</f>
        <v>1531.5302105196643</v>
      </c>
      <c r="JS601" s="29">
        <f t="shared" ref="JS601" si="1965">JM601*JD601/1000000</f>
        <v>23.07912115475099</v>
      </c>
      <c r="JT601" s="29">
        <f>(JD601*JM601-JP601*JG601)/1000000</f>
        <v>10.883053675952734</v>
      </c>
      <c r="JU601" s="376">
        <f>(JQ601*JM601-INDEX([1]Input!$1:$1048576,[1]Input!A$18,$C601*2+6)*JL601*INDEX([1]Input!$1:$1048576,[1]Input!A$19,$C601*2+6))/1000000</f>
        <v>19.524901845249012</v>
      </c>
      <c r="JV601" s="29">
        <f t="shared" ref="JV601:JV664" si="1966">JU601-(JO601-JP601)*JG601/1000000</f>
        <v>-10.883053675952738</v>
      </c>
      <c r="JW601" s="38">
        <f>JV601/(JU601-JV601)</f>
        <v>-0.35790152574922701</v>
      </c>
      <c r="JX601" s="40">
        <f>IF(JL601=0,0,JT601/JL601)*1000000</f>
        <v>0</v>
      </c>
      <c r="JZ601" s="377"/>
      <c r="KA601" s="378"/>
      <c r="KB601" s="474">
        <f>KA606</f>
        <v>0</v>
      </c>
      <c r="KC601" s="379"/>
      <c r="KD601" s="379"/>
      <c r="KE601" s="379"/>
      <c r="KF601" s="379"/>
      <c r="KG601" s="380"/>
      <c r="KI601" s="381"/>
      <c r="KJ601" s="379"/>
      <c r="KK601" s="379"/>
      <c r="KL601" s="380"/>
      <c r="KN601" s="542">
        <f>C601*1000+$KN$97</f>
        <v>6002</v>
      </c>
      <c r="KO601" s="540">
        <f t="shared" ref="KO601:KO664" si="1967">JM601/INDEX(JM:JM,MATCH(KN601,A:A,0))-1</f>
        <v>-7.0154838471355285E-2</v>
      </c>
      <c r="KP601" s="545">
        <f t="shared" ref="KP601:KP664" si="1968">(IL601-INDEX(IL:IL,MATCH(KN601,A:A,0)))*IE601
+(IM601-IF(HN601=0,INDEX(IX:IX,MATCH(KN601,A:A,0)),INDEX(IM:IM,MATCH(KN601,A:A,0))))*IF601
+(IN601-INDEX(IN:IN,MATCH(KN601,A:A,0)))*IG601</f>
        <v>-356.0260954175647</v>
      </c>
      <c r="KQ601" s="545">
        <f t="shared" ref="KQ601:KQ664" si="1969">JD601-INDEX(JD:JD,MATCH(KN601,A:A,0))</f>
        <v>-349.61269592586996</v>
      </c>
      <c r="KR601" s="549">
        <f t="shared" ref="KR601:KR664" si="1970">KO601/(KP601/(BX601-INDEX(JD:JD,MATCH(KN601,A:A,0))))</f>
        <v>3.1720178393763776</v>
      </c>
      <c r="KS601" s="549">
        <f t="shared" ref="KS601:KS664" si="1971">KO601/(KQ601/(BX601-INDEX(JD:JD,MATCH(KN601,A:A,0))))</f>
        <v>3.2302062800015907</v>
      </c>
      <c r="KT601" s="661">
        <f>(1+JK606/(JD606-JD601)*(0-JD601))*JM601</f>
        <v>2521.945896759994</v>
      </c>
      <c r="KU601" s="662">
        <f>IF(D601="",0,IFERROR((JM601/KT601-1)/(JD601/BX601)+B601*10^-6,0))</f>
        <v>11.022393974739037</v>
      </c>
      <c r="KV601" s="568"/>
      <c r="KW601" s="26"/>
    </row>
    <row r="602" spans="1:310" s="60" customFormat="1" ht="15.75" thickBot="1">
      <c r="A602" s="560">
        <f t="shared" ref="A602:A665" si="1972">C602*1000+B602</f>
        <v>6002</v>
      </c>
      <c r="B602" s="560">
        <f>B601+1</f>
        <v>2</v>
      </c>
      <c r="C602" s="560">
        <f>C601</f>
        <v>6</v>
      </c>
      <c r="D602" s="560" t="s">
        <v>567</v>
      </c>
      <c r="E602" s="365">
        <f>INDEX(Input!$1:$1048576,E$93,$C602*2+MIN($B602,2)+5)</f>
        <v>1250.0000000000002</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1.8999999999999996E-2</v>
      </c>
      <c r="W602" s="22">
        <f>INDEX(Input!$1:$1048576,W$93,$C602*2+MIN($B602,2)+5)</f>
        <v>3.9E-2</v>
      </c>
      <c r="X602" s="367" t="str">
        <f>INDEX(Input!$1:$1048576,X$93,$C602*2+MIN($B602,2)+5)</f>
        <v>Y</v>
      </c>
      <c r="Y602" s="49">
        <f>INDEX(Input!$1:$1048576,Y$93,$C602*2+MIN($B602,2)+5)</f>
        <v>2339.3275155115825</v>
      </c>
      <c r="Z602" s="584">
        <f>INDEX(Input!$1:$1048576,Z$93,$C602*2+MIN($B602,2)+5)</f>
        <v>0</v>
      </c>
      <c r="AA602" s="49">
        <f>INDEX(Input!$1:$1048576,AA$93,$C602*2+MIN($B602,2)+5)</f>
        <v>0</v>
      </c>
      <c r="AB602" s="367">
        <f>INDEX(Input!$1:$1048576,AB$93,$C602*2+MIN($B602,2)+5)</f>
        <v>1</v>
      </c>
      <c r="AC602" s="49">
        <f>INDEX(Input!$1:$1048576,AC$93,$C602*2+MIN($B602,2)+5)</f>
        <v>0</v>
      </c>
      <c r="AD602" s="367">
        <f>INDEX(Input!$1:$1048576,AD$93,$C602*2+MIN($B602,2)+5)</f>
        <v>0.35</v>
      </c>
      <c r="AE602" s="49">
        <f>INDEX(Input!$1:$1048576,AE$93,$C602*2+MIN($B602,2)+5)</f>
        <v>0</v>
      </c>
      <c r="AF602" s="367">
        <f>INDEX(Input!$1:$1048576,AF$93,$C602*2+MIN($B602,2)+5)</f>
        <v>1</v>
      </c>
      <c r="AG602" s="49">
        <f>INDEX(Input!$1:$1048576,AG$93,$C602*2+MIN($B602,2)+5)</f>
        <v>0</v>
      </c>
      <c r="AH602" s="367">
        <f>INDEX(Input!$1:$1048576,AH$93,$C602*2+MIN($B602,2)+5)</f>
        <v>1</v>
      </c>
      <c r="AI602" s="49">
        <f>INDEX(Input!$1:$1048576,AI$93,$C602*2+MIN($B602,2)+5)</f>
        <v>0</v>
      </c>
      <c r="AJ602" s="367">
        <f>INDEX(Input!$1:$1048576,AJ$93,$C602*2+MIN($B602,2)+5)</f>
        <v>0.35</v>
      </c>
      <c r="AK602" s="298">
        <f>ROUND(INDEX(Input!$1:$1048576,AK$93,$C602*2+MIN($B602,2)+5),0)</f>
        <v>5093</v>
      </c>
      <c r="AL602" s="49">
        <f>ROUND(INDEX(Input!$1:$1048576,AL$93,$C601*2+6)-(Y602-VLOOKUP($C602*1000+1,$A:$HH,Y$92,FALSE))/36,0)</f>
        <v>5217</v>
      </c>
      <c r="AM602" s="46" t="str">
        <f t="shared" ref="AM602:AM665" si="1973">IF(K602="market","std",ROUND(K602*1000,0)/10)&amp;"/"&amp;IF(L602="market","std",ROUND(L602*1000,0)/10)&amp;"/"&amp;IF(M602="market","std",ROUND(M602*1000,0)/10)&amp;"/"&amp;IF(N602="market","std",ROUND(N602*1000,0)/10)&amp;IF(P602="N","","/"&amp;IF(O602="market","std",ROUND(O602*1000,0)/10))</f>
        <v>std/std/std/std</v>
      </c>
      <c r="AN602" s="46" t="str">
        <f t="shared" ref="AN602:AN665" si="1974">"$"&amp;ROUND(Q602,0)&amp;" + "&amp;IF(S602="market","std",ROUND(S602*1000,0)/10)&amp;"/"&amp;IF(T602="market","std",ROUND(T602*1000,0)/10)&amp;"/"&amp;IF(U602="market","std",ROUND(U602*1000,0)/10)&amp;"/"&amp;IF(V602="market","std",ROUND(V602*1000,0)/10)&amp;IF(X602="N","","/"&amp;IF(W602="market","std",ROUND(W602*1000,0)/10))</f>
        <v>$0 + 0/0/0/1.9/3.9</v>
      </c>
      <c r="AO602" s="44" t="str">
        <f t="shared" ref="AO602:AO665" si="1975">IF(S602="market","std",ROUND(S602*1000,0)/10)&amp;"/"&amp;IF(T602="market","std",ROUND(T602*1000,0)/10)&amp;"/"&amp;IF(U602="market","std",ROUND(U602*1000,0)/10)&amp;"/"&amp;IF(V602="market","std",ROUND(V602*1000,0)/10)&amp;IF(X602="N","","/"&amp;IF(W602="market","std",ROUND(W602*1000,0)/10))</f>
        <v>0/0/0/1.9/3.9</v>
      </c>
      <c r="AP602" s="44" t="str">
        <f t="shared" si="1939"/>
        <v>0/0.9/1.9/3.9</v>
      </c>
      <c r="AQ602" s="507">
        <f t="shared" si="1940"/>
        <v>0.33718337816866317</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Compact Conventional/Sporty Car (43)</v>
      </c>
      <c r="AZ602" s="45" t="str">
        <f>INDEX(Input!$1:$1048576,AZ$93,$C602*2+6)</f>
        <v>Kia Forte</v>
      </c>
      <c r="BA602" s="50">
        <f>INDEX(Input!$1:$1048576,BA$93,$C602*2+6)</f>
        <v>2020</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19695</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si="1941"/>
        <v>1465.0000000000002</v>
      </c>
      <c r="CJ602" s="46" t="str">
        <f>INDEX(Input!$1:$1048576,CJ$93,$C602*2+6)</f>
        <v>N</v>
      </c>
      <c r="CK602" s="38" t="str">
        <f t="shared" si="1942"/>
        <v>Market</v>
      </c>
      <c r="CL602" s="38" t="str">
        <f t="shared" si="1943"/>
        <v>Market</v>
      </c>
      <c r="CM602" s="38" t="str">
        <f t="shared" si="1944"/>
        <v>Market</v>
      </c>
      <c r="CN602" s="38" t="str">
        <f t="shared" si="1945"/>
        <v>Market</v>
      </c>
      <c r="CO602" s="38" t="str">
        <f t="shared" si="1946"/>
        <v>Market</v>
      </c>
      <c r="CP602" s="49">
        <f t="shared" si="1947"/>
        <v>0</v>
      </c>
      <c r="CQ602" s="38">
        <f t="shared" si="1948"/>
        <v>0</v>
      </c>
      <c r="CR602" s="38">
        <f t="shared" si="1949"/>
        <v>0</v>
      </c>
      <c r="CS602" s="38">
        <f t="shared" si="1950"/>
        <v>0</v>
      </c>
      <c r="CT602" s="38">
        <f t="shared" si="1951"/>
        <v>1.8999999999999996E-2</v>
      </c>
      <c r="CU602" s="38">
        <f t="shared" si="1952"/>
        <v>3.9E-2</v>
      </c>
      <c r="CV602" s="49">
        <f t="shared" si="1768"/>
        <v>2339.3275155115825</v>
      </c>
      <c r="CW602" s="22" t="s">
        <v>122</v>
      </c>
      <c r="CX602" s="22" t="s">
        <v>122</v>
      </c>
      <c r="CY602" s="22" t="s">
        <v>122</v>
      </c>
      <c r="CZ602" s="22" t="s">
        <v>122</v>
      </c>
      <c r="DA602" s="22" t="s">
        <v>122</v>
      </c>
      <c r="DB602" s="502">
        <f t="shared" si="1769"/>
        <v>0</v>
      </c>
      <c r="DC602" s="29">
        <v>0</v>
      </c>
      <c r="DD602" s="29">
        <v>0</v>
      </c>
      <c r="DE602" s="29">
        <v>0</v>
      </c>
      <c r="DF602" s="49">
        <v>0</v>
      </c>
      <c r="DG602" s="49">
        <v>0</v>
      </c>
      <c r="DH602" s="49">
        <v>0</v>
      </c>
      <c r="DI602" s="49">
        <v>0</v>
      </c>
      <c r="DJ602" s="49">
        <v>0</v>
      </c>
      <c r="DK602" s="29">
        <v>0</v>
      </c>
      <c r="DL602" s="29">
        <v>0</v>
      </c>
      <c r="DM602" s="49">
        <f>INDEX(Input!$1:$1048576,DM$93,$C602*2+6)</f>
        <v>20731.578947368424</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v>4.953220372019751E-2</v>
      </c>
      <c r="DZ602" s="37">
        <v>0</v>
      </c>
      <c r="EA602" s="37">
        <v>0.77860324449357465</v>
      </c>
      <c r="EB602" s="37">
        <v>0</v>
      </c>
      <c r="EC602" s="37">
        <v>0</v>
      </c>
      <c r="ED602" s="37">
        <v>0</v>
      </c>
      <c r="EE602" s="37">
        <v>0</v>
      </c>
      <c r="EF602" s="37">
        <v>0</v>
      </c>
      <c r="EG602" s="37">
        <v>0</v>
      </c>
      <c r="EH602" s="37">
        <v>2.9723257738149572E-2</v>
      </c>
      <c r="EI602" s="37">
        <v>1.9433208516539287E-2</v>
      </c>
      <c r="EJ602" s="37">
        <v>0.26157824441632627</v>
      </c>
      <c r="EK602" s="37">
        <v>0.68926528932898512</v>
      </c>
      <c r="EL602" s="37">
        <v>0</v>
      </c>
      <c r="EM602" s="37">
        <v>2.5790341725390027E-2</v>
      </c>
      <c r="EN602" s="37">
        <v>3.6758045381242693E-2</v>
      </c>
      <c r="EO602" s="37">
        <v>0.38209100596674805</v>
      </c>
      <c r="EP602" s="37">
        <v>0.48270048260658105</v>
      </c>
      <c r="EQ602" s="37">
        <v>7.4712516160412648E-2</v>
      </c>
      <c r="ER602" s="37">
        <v>2.3737949885015944E-2</v>
      </c>
      <c r="ES602" s="37">
        <v>0.14607421006083776</v>
      </c>
      <c r="ET602" s="37">
        <v>0.17186455178622775</v>
      </c>
      <c r="EU602" s="36">
        <v>750</v>
      </c>
      <c r="EV602" s="36">
        <v>0</v>
      </c>
      <c r="EW602" s="36">
        <v>750</v>
      </c>
      <c r="EX602" s="36">
        <v>0</v>
      </c>
      <c r="EY602" s="36">
        <v>1384.323593929937</v>
      </c>
      <c r="EZ602" s="36">
        <v>-1554.2676731795959</v>
      </c>
      <c r="FA602" s="36">
        <v>0</v>
      </c>
      <c r="FB602" s="36">
        <v>0</v>
      </c>
      <c r="FC602" s="36">
        <v>0</v>
      </c>
      <c r="FD602" s="36">
        <v>0</v>
      </c>
      <c r="FE602" s="36">
        <v>0</v>
      </c>
      <c r="FF602" s="36">
        <v>0</v>
      </c>
      <c r="FG602" s="36">
        <v>0</v>
      </c>
      <c r="FH602" s="36">
        <v>1158.6136055211837</v>
      </c>
      <c r="FI602" s="36">
        <v>1531.4299904380618</v>
      </c>
      <c r="FJ602" s="36">
        <v>1709.9775738488454</v>
      </c>
      <c r="FK602" s="36">
        <v>1266.3227157028189</v>
      </c>
      <c r="FL602" s="36">
        <v>0</v>
      </c>
      <c r="FM602" s="36">
        <v>1384.323593929937</v>
      </c>
      <c r="FN602" s="36">
        <v>0</v>
      </c>
      <c r="FO602" s="36">
        <v>0</v>
      </c>
      <c r="FP602" s="36">
        <v>0</v>
      </c>
      <c r="FQ602" s="36">
        <v>0</v>
      </c>
      <c r="FR602" s="36">
        <v>0</v>
      </c>
      <c r="FS602" s="36">
        <v>0</v>
      </c>
      <c r="FT602" s="37">
        <v>0.82813544821377216</v>
      </c>
      <c r="FU602" s="37">
        <v>2.5790341725390027E-2</v>
      </c>
      <c r="FV602" s="37">
        <v>0.14607421006083776</v>
      </c>
      <c r="FW602" s="36">
        <v>750</v>
      </c>
      <c r="FX602" s="36">
        <v>1384.323593929937</v>
      </c>
      <c r="FY602" s="36">
        <v>-1554.2676731795959</v>
      </c>
      <c r="FZ602" s="36">
        <v>1676.0854837363124</v>
      </c>
      <c r="GA602" s="36">
        <v>429.7653421234964</v>
      </c>
      <c r="GB602" s="36">
        <v>19265.234657876503</v>
      </c>
      <c r="GC602" s="37">
        <v>6.4493561548621597E-2</v>
      </c>
      <c r="GD602" s="37">
        <v>5.2972244845646888E-2</v>
      </c>
      <c r="GE602" s="37"/>
      <c r="GF602" s="37"/>
      <c r="GG602" s="37">
        <v>-0.17864289746642084</v>
      </c>
      <c r="GH602" s="35">
        <v>2.8230081085331458</v>
      </c>
      <c r="GI602" s="36">
        <v>7406.3659195244782</v>
      </c>
      <c r="GJ602" s="34">
        <v>0.51596255589662365</v>
      </c>
      <c r="GK602" s="34">
        <v>0.51419567426615953</v>
      </c>
      <c r="GL602" s="34">
        <v>0.48403744410337696</v>
      </c>
      <c r="GM602" s="33">
        <v>0.48580432573384019</v>
      </c>
      <c r="GN602" s="61"/>
      <c r="GO602" s="13">
        <v>338.16872463277008</v>
      </c>
      <c r="GP602" s="27">
        <v>323.86015542600148</v>
      </c>
      <c r="GQ602" s="27">
        <v>527.27910984145694</v>
      </c>
      <c r="GR602" s="27">
        <v>404.20319246551543</v>
      </c>
      <c r="GS602" s="27">
        <v>334.50205195691484</v>
      </c>
      <c r="GT602" s="27">
        <v>289.18266033348181</v>
      </c>
      <c r="GU602" s="27">
        <v>254.29573314828914</v>
      </c>
      <c r="GV602" s="29" t="s">
        <v>392</v>
      </c>
      <c r="GW602" s="27">
        <v>492.375</v>
      </c>
      <c r="GX602" s="27">
        <v>369.28125</v>
      </c>
      <c r="GY602" s="27">
        <v>302.23266563481752</v>
      </c>
      <c r="GZ602" s="27">
        <v>268.52323906086701</v>
      </c>
      <c r="HA602" s="27">
        <v>254.29573314828914</v>
      </c>
      <c r="HB602" s="29">
        <v>285.95254670618652</v>
      </c>
      <c r="HC602" s="27">
        <v>351.11483570160732</v>
      </c>
      <c r="HD602" s="27">
        <v>282.73776275539944</v>
      </c>
      <c r="HE602" s="27">
        <v>280.55735780820959</v>
      </c>
      <c r="HF602" s="27">
        <v>253.64561428438338</v>
      </c>
      <c r="HG602" s="27">
        <v>237.36506461313525</v>
      </c>
      <c r="HH602" s="12">
        <v>280.94808533807549</v>
      </c>
      <c r="HI602" s="94"/>
      <c r="HJ602" s="370" t="str">
        <f>HJ601</f>
        <v>On</v>
      </c>
      <c r="HK602" s="371" t="str">
        <f>HK601</f>
        <v>On</v>
      </c>
      <c r="HL602" s="94"/>
      <c r="HM602" s="640">
        <f t="shared" ref="HM602:HO617" si="1976">(HM102*HY102+HM202*HY202+HM302*HY302+HM402*HY402+HM502*HY502)/HY602</f>
        <v>4.9686942767030826E-2</v>
      </c>
      <c r="HN602" s="22">
        <f t="shared" si="1953"/>
        <v>2.6112822013589915E-3</v>
      </c>
      <c r="HO602" s="638">
        <f t="shared" si="1953"/>
        <v>3.166115353075552E-2</v>
      </c>
      <c r="HP602" s="650">
        <f t="shared" si="1954"/>
        <v>253.91633331774872</v>
      </c>
      <c r="HQ602" s="650">
        <f t="shared" si="1954"/>
        <v>15.613469510656042</v>
      </c>
      <c r="HR602" s="651">
        <f t="shared" si="1954"/>
        <v>67.331191482596978</v>
      </c>
      <c r="HS602" s="650">
        <f t="shared" si="1954"/>
        <v>-65.116254767564541</v>
      </c>
      <c r="HT602" s="650">
        <f t="shared" si="1954"/>
        <v>178.44358690882925</v>
      </c>
      <c r="HU602" s="651">
        <f t="shared" si="1954"/>
        <v>85.944250027342378</v>
      </c>
      <c r="HV602" s="649">
        <f t="shared" si="1954"/>
        <v>0</v>
      </c>
      <c r="HW602" s="650">
        <f t="shared" si="1954"/>
        <v>0</v>
      </c>
      <c r="HX602" s="651">
        <f t="shared" si="1954"/>
        <v>0</v>
      </c>
      <c r="HY602" s="643">
        <f t="shared" si="1954"/>
        <v>2388</v>
      </c>
      <c r="HZ602" s="641">
        <f t="shared" si="1954"/>
        <v>2518</v>
      </c>
      <c r="IA602" s="642">
        <f t="shared" si="1954"/>
        <v>2200</v>
      </c>
      <c r="IB602" s="649">
        <f t="shared" si="1954"/>
        <v>2576.8000785501836</v>
      </c>
      <c r="IC602" s="650">
        <f t="shared" si="1954"/>
        <v>2712.0570564194854</v>
      </c>
      <c r="ID602" s="651">
        <f t="shared" si="1954"/>
        <v>2353.2754415099394</v>
      </c>
      <c r="IE602" s="578">
        <f t="shared" ref="IE602:IE665" si="1977">IB602/SUM($IB602:$ID602)</f>
        <v>0.33718337816866317</v>
      </c>
      <c r="IF602" s="367">
        <f t="shared" si="1956"/>
        <v>0.3548822307488429</v>
      </c>
      <c r="IG602" s="48">
        <f t="shared" si="1957"/>
        <v>0.30793439108249404</v>
      </c>
      <c r="IH602" s="95"/>
      <c r="II602" s="298"/>
      <c r="IJ602" s="49"/>
      <c r="IK602" s="40"/>
      <c r="IL602" s="298">
        <f t="shared" ref="IL602:IN665" si="1978">JA602-IX602</f>
        <v>400</v>
      </c>
      <c r="IM602" s="49">
        <f t="shared" si="1958"/>
        <v>400.07038480634856</v>
      </c>
      <c r="IN602" s="40">
        <f t="shared" si="1958"/>
        <v>257.88372958855871</v>
      </c>
      <c r="IO602" s="25"/>
      <c r="IP602" s="29"/>
      <c r="IQ602" s="29"/>
      <c r="IR602" s="17"/>
      <c r="IS602" s="29"/>
      <c r="IT602" s="12"/>
      <c r="IU602" s="25"/>
      <c r="IV602" s="29"/>
      <c r="IW602" s="12"/>
      <c r="IX602" s="372">
        <f t="shared" ref="IX602:IZ617" si="1979">(IX102*HY102+IX202*HY202+IX302*HY302+IX402*HY402+IX502*HY502)/HY602</f>
        <v>1600</v>
      </c>
      <c r="IY602" s="373">
        <f t="shared" si="1959"/>
        <v>2503.549291639752</v>
      </c>
      <c r="IZ602" s="374">
        <f t="shared" si="1959"/>
        <v>5888.3563810918577</v>
      </c>
      <c r="JA602" s="298">
        <f t="shared" ref="JA602:JC617" si="1980">IFERROR((JA102*IB102+JA202*IB202+JA302*IB302+JA402*IB402+JA502*IB502)/IB602,0)</f>
        <v>2000</v>
      </c>
      <c r="JB602" s="49">
        <f t="shared" si="1980"/>
        <v>2903.6196764461006</v>
      </c>
      <c r="JC602" s="49">
        <f t="shared" si="1980"/>
        <v>6146.2401106804164</v>
      </c>
      <c r="JD602" s="40">
        <f t="shared" ref="JD602:JD665" si="1981">SUMPRODUCT(IE602:IG602,JA602:JC602)</f>
        <v>3597.4484902899267</v>
      </c>
      <c r="JE602" s="95"/>
      <c r="JF602" s="28">
        <f t="shared" ref="JF602:JF665" si="1982">(JF102*JG102+JF202*JG202+JF302*JG302+JF402*JG402+JF502*JG502)/JG602</f>
        <v>6.8844376252282569E-2</v>
      </c>
      <c r="JG602" s="23">
        <f t="shared" ref="JG602:JG665" si="1983">JG102+JG202+JG302+JG402+JG502</f>
        <v>7106</v>
      </c>
      <c r="JH602" s="38">
        <f t="shared" ref="JH602:JH665" si="1984">SUM(HP602:HR602)/SUM(HY602:IA602)</f>
        <v>4.7405149776386393E-2</v>
      </c>
      <c r="JI602" s="38">
        <f t="shared" ref="JI602:JI665" si="1985">SUM(HS602:HU602)/SUM(HY602:IA602)</f>
        <v>2.8042721948861118E-2</v>
      </c>
      <c r="JJ602" s="11">
        <f t="shared" si="1962"/>
        <v>0</v>
      </c>
      <c r="JK602" s="2">
        <f t="shared" si="1963"/>
        <v>7.5447871725247515E-2</v>
      </c>
      <c r="JL602" s="9">
        <f t="shared" ref="JL602:JM617" si="1986">JL102+JL202+JL302+JL402+JL502</f>
        <v>536.13257647960882</v>
      </c>
      <c r="JM602" s="8">
        <f t="shared" si="1986"/>
        <v>7642.1325764796093</v>
      </c>
      <c r="JN602" s="95"/>
      <c r="JO602" s="375">
        <f>INDEX([1]Input!$1:$1048576,JO$93,$C602*2+6)</f>
        <v>5995.5</v>
      </c>
      <c r="JP602" s="375">
        <f>INDEX([1]Input!$1:$1048576,JP$93,$C602*2+6)</f>
        <v>1716.3055838443925</v>
      </c>
      <c r="JQ602" s="25">
        <f>JO602-JD602</f>
        <v>2398.0515097100733</v>
      </c>
      <c r="JR602" s="29">
        <f>JD602-JP602</f>
        <v>1881.1429064455342</v>
      </c>
      <c r="JS602" s="29">
        <f>JM602*JD602/1000000</f>
        <v>27.492178299852039</v>
      </c>
      <c r="JT602" s="29">
        <f t="shared" ref="JT602:JT665" si="1987">(JD602*JM602-JP602*JG602)/1000000</f>
        <v>15.296110821053786</v>
      </c>
      <c r="JU602" s="376">
        <f>(JQ602*JM602-INDEX([1]Input!$1:$1048576,[1]Input!A$18,$C602*2+6)*JL602*INDEX([1]Input!$1:$1048576,[1]Input!A$19,$C602*2+6))/1000000</f>
        <v>18.326227562431459</v>
      </c>
      <c r="JV602" s="29">
        <f t="shared" si="1966"/>
        <v>-12.081727958770291</v>
      </c>
      <c r="JW602" s="38">
        <f>JV602/(JU602-JV602)</f>
        <v>-0.39732128489685486</v>
      </c>
      <c r="JX602" s="40">
        <f>IF(JL602=0,0,JT602/JL602)*1000000</f>
        <v>28530.463344518583</v>
      </c>
      <c r="JZ602" s="377"/>
      <c r="KA602" s="379"/>
      <c r="KB602" s="474">
        <f t="shared" ref="KB602:KB665" si="1988">KA607</f>
        <v>0</v>
      </c>
      <c r="KC602" s="379"/>
      <c r="KD602" s="379"/>
      <c r="KE602" s="379"/>
      <c r="KF602" s="379"/>
      <c r="KG602" s="380"/>
      <c r="KI602" s="884"/>
      <c r="KJ602" s="885"/>
      <c r="KK602" s="885"/>
      <c r="KL602" s="380"/>
      <c r="KN602" s="886">
        <f t="shared" ref="KN602:KN665" si="1989">C602*1000+$KN$97</f>
        <v>6002</v>
      </c>
      <c r="KO602" s="540">
        <f t="shared" si="1967"/>
        <v>0</v>
      </c>
      <c r="KP602" s="545">
        <f t="shared" si="1968"/>
        <v>0</v>
      </c>
      <c r="KQ602" s="545">
        <f t="shared" si="1969"/>
        <v>0</v>
      </c>
      <c r="KR602" s="885" t="e">
        <f t="shared" si="1970"/>
        <v>#DIV/0!</v>
      </c>
      <c r="KS602" s="885" t="e">
        <f t="shared" si="1971"/>
        <v>#DIV/0!</v>
      </c>
      <c r="KT602" s="661">
        <f>KT601</f>
        <v>2521.945896759994</v>
      </c>
      <c r="KU602" s="662">
        <f t="shared" ref="KU602:KU665" si="1990">IF(D602="",0,IFERROR((JM602/KT602-1)/(JD602/BX602)+B602*10^-6,0))</f>
        <v>11.115052262105323</v>
      </c>
      <c r="KV602" s="568"/>
      <c r="KW602" s="26"/>
      <c r="KX602" s="582"/>
    </row>
    <row r="603" spans="1:310" s="26" customFormat="1" ht="15">
      <c r="A603" s="561">
        <f t="shared" si="1972"/>
        <v>6003</v>
      </c>
      <c r="B603" s="561">
        <f t="shared" ref="B603:B666" si="1991">B602+1</f>
        <v>3</v>
      </c>
      <c r="C603" s="561">
        <f t="shared" ref="C603:C666" si="1992">C602</f>
        <v>6</v>
      </c>
      <c r="D603" s="561" t="s">
        <v>740</v>
      </c>
      <c r="E603" s="475">
        <f>INDEX(Input!$1:$1048576,E$93,$C603*2+MIN($B603,1)+5)+500</f>
        <v>1250</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1.8999999999999996E-2</v>
      </c>
      <c r="W603" s="862">
        <f>INDEX(Input!$1:$1048576,W$93,$C603*2+MIN($B603,1)+5)</f>
        <v>3.9E-2</v>
      </c>
      <c r="X603" s="118" t="str">
        <f>INDEX(Input!$1:$1048576,X$93,$C603*2+MIN($B603,1)+5)</f>
        <v>Y</v>
      </c>
      <c r="Y603" s="150">
        <f>INDEX(Input!$1:$1048576,Y$93,$C603*2+MIN($B603,1)+5)</f>
        <v>2459.7093336934013</v>
      </c>
      <c r="Z603" s="30">
        <f>INDEX(Input!$1:$1048576,Z$93,$C603*2+MIN($B603,1)+5)</f>
        <v>0</v>
      </c>
      <c r="AA603" s="115">
        <f>INDEX(Input!$1:$1048576,AA$93,$C603*2+MIN($B603,1)+5)</f>
        <v>0</v>
      </c>
      <c r="AB603" s="118">
        <f>INDEX(Input!$1:$1048576,AB$93,$C603*2+MIN($B603,1)+5)</f>
        <v>1</v>
      </c>
      <c r="AC603" s="115">
        <f>INDEX(Input!$1:$1048576,AC$93,$C603*2+MIN($B603,1)+5)</f>
        <v>1000</v>
      </c>
      <c r="AD603" s="118">
        <f>INDEX(Input!$1:$1048576,AD$93,$C603*2+MIN($B603,1)+5)</f>
        <v>0.35</v>
      </c>
      <c r="AE603" s="115">
        <f>INDEX(Input!$1:$1048576,AE$93,$C603*2+MIN($B603,1)+5)</f>
        <v>0</v>
      </c>
      <c r="AF603" s="118">
        <f>INDEX(Input!$1:$1048576,AF$93,$C603*2+MIN($B603,1)+5)</f>
        <v>1</v>
      </c>
      <c r="AG603" s="115">
        <f>INDEX(Input!$1:$1048576,AG$93,$C603*2+MIN($B603,1)+5)</f>
        <v>500</v>
      </c>
      <c r="AH603" s="118">
        <f>INDEX(Input!$1:$1048576,AH$93,$C603*2+MIN($B603,1)+5)</f>
        <v>1</v>
      </c>
      <c r="AI603" s="115">
        <f>INDEX(Input!$1:$1048576,AI$93,$C603*2+MIN($B603,1)+5)</f>
        <v>500</v>
      </c>
      <c r="AJ603" s="118">
        <f>INDEX(Input!$1:$1048576,AJ$93,$C603*2+MIN($B603,1)+5)</f>
        <v>0.35</v>
      </c>
      <c r="AK603" s="150">
        <f>ROUND(INDEX(Input!$1:$1048576,AK$93,$C602*2+MIN($B603,1)+5)+(Y603-VLOOKUP($C603*1000+1,$A:$HH,Y$92,FALSE)),0)</f>
        <v>5213</v>
      </c>
      <c r="AL603" s="150">
        <f>ROUND(INDEX(Input!$1:$1048576,AL$93,$C602*2+MIN($B603,1)+5)-(Y603-VLOOKUP($C603*1000+1,$A:$HH,Y$92,FALSE))/36,0)</f>
        <v>5213</v>
      </c>
      <c r="AM603" s="32" t="str">
        <f t="shared" si="1973"/>
        <v>std/std/std/std</v>
      </c>
      <c r="AN603" s="32" t="str">
        <f t="shared" si="1974"/>
        <v>$0 + 0/0/0/1.9/3.9</v>
      </c>
      <c r="AO603" s="32" t="str">
        <f t="shared" si="1975"/>
        <v>0/0/0/1.9/3.9</v>
      </c>
      <c r="AP603" s="32" t="str">
        <f t="shared" si="1939"/>
        <v>0/0.9/1.9/3.9</v>
      </c>
      <c r="AQ603" s="536">
        <f t="shared" si="1940"/>
        <v>850.37056509937065</v>
      </c>
      <c r="AR603" s="32"/>
      <c r="AS603" s="302"/>
      <c r="AT603" s="3">
        <f t="shared" ref="AT603:AT666" si="1993">AT602+1</f>
        <v>3</v>
      </c>
      <c r="AU603" s="41" t="s">
        <v>121</v>
      </c>
      <c r="AV603" s="41" t="s">
        <v>116</v>
      </c>
      <c r="AW603" s="41" t="str">
        <f>INDEX(Input!$1:$1048576,AW$93,$C603*2+6)</f>
        <v>Kia</v>
      </c>
      <c r="AX603" s="41" t="str">
        <f>INDEX(Input!$1:$1048576,AX$93,$C603*2+6)</f>
        <v>National</v>
      </c>
      <c r="AY603" s="41" t="str">
        <f>IF(LEN(D603)=0,"",INDEX(Input!$1:$1048576,AY$93,$C603*2+6))</f>
        <v>Compact Conventional/Sporty Car (43)</v>
      </c>
      <c r="AZ603" s="41" t="str">
        <f>INDEX(Input!$1:$1048576,AZ$93,$C603*2+6)</f>
        <v>Kia Forte</v>
      </c>
      <c r="BA603" s="3">
        <f>INDEX(Input!$1:$1048576,BA$93,$C603*2+6)</f>
        <v>2020</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19695</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941"/>
        <v>1815</v>
      </c>
      <c r="CJ603" s="16" t="str">
        <f>INDEX(Input!$1:$1048576,CJ$93,$C603*2+6)</f>
        <v>N</v>
      </c>
      <c r="CK603" s="1" t="str">
        <f t="shared" si="1942"/>
        <v>Market</v>
      </c>
      <c r="CL603" s="1" t="str">
        <f t="shared" si="1943"/>
        <v>Market</v>
      </c>
      <c r="CM603" s="1" t="str">
        <f t="shared" si="1944"/>
        <v>Market</v>
      </c>
      <c r="CN603" s="1" t="str">
        <f t="shared" si="1945"/>
        <v>Market</v>
      </c>
      <c r="CO603" s="1" t="str">
        <f t="shared" si="1946"/>
        <v>Market</v>
      </c>
      <c r="CP603" s="304">
        <f t="shared" si="1947"/>
        <v>350</v>
      </c>
      <c r="CQ603" s="1">
        <f t="shared" si="1948"/>
        <v>0</v>
      </c>
      <c r="CR603" s="1">
        <f t="shared" si="1949"/>
        <v>0</v>
      </c>
      <c r="CS603" s="1">
        <f t="shared" si="1950"/>
        <v>0</v>
      </c>
      <c r="CT603" s="1">
        <f t="shared" si="1951"/>
        <v>1.8999999999999996E-2</v>
      </c>
      <c r="CU603" s="1">
        <f t="shared" si="1952"/>
        <v>3.9E-2</v>
      </c>
      <c r="CV603" s="304">
        <f t="shared" si="1768"/>
        <v>2634.7093336934013</v>
      </c>
      <c r="CW603" s="20" t="s">
        <v>122</v>
      </c>
      <c r="CX603" s="20" t="s">
        <v>122</v>
      </c>
      <c r="CY603" s="20" t="s">
        <v>122</v>
      </c>
      <c r="CZ603" s="20" t="s">
        <v>122</v>
      </c>
      <c r="DA603" s="20" t="s">
        <v>122</v>
      </c>
      <c r="DB603" s="503">
        <f t="shared" si="1769"/>
        <v>500</v>
      </c>
      <c r="DC603" s="127">
        <v>0</v>
      </c>
      <c r="DD603" s="127">
        <v>0</v>
      </c>
      <c r="DE603" s="127">
        <v>0</v>
      </c>
      <c r="DF603" s="127">
        <v>0</v>
      </c>
      <c r="DG603" s="127">
        <v>0</v>
      </c>
      <c r="DH603" s="127">
        <v>0</v>
      </c>
      <c r="DI603" s="127">
        <v>0</v>
      </c>
      <c r="DJ603" s="127">
        <v>0</v>
      </c>
      <c r="DK603" s="127">
        <v>0</v>
      </c>
      <c r="DL603" s="127">
        <v>0</v>
      </c>
      <c r="DM603" s="304">
        <f>INDEX(Input!$1:$1048576,DM$93,$C603*2+6)</f>
        <v>20731.578947368424</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v>5.0447965913091482E-2</v>
      </c>
      <c r="DZ603" s="7">
        <v>0</v>
      </c>
      <c r="EA603" s="7">
        <v>0.79294880685774882</v>
      </c>
      <c r="EB603" s="7">
        <v>0</v>
      </c>
      <c r="EC603" s="7">
        <v>0</v>
      </c>
      <c r="ED603" s="7">
        <v>0</v>
      </c>
      <c r="EE603" s="7">
        <v>0</v>
      </c>
      <c r="EF603" s="7">
        <v>0</v>
      </c>
      <c r="EG603" s="7">
        <v>0</v>
      </c>
      <c r="EH603" s="7">
        <v>2.9742594749198503E-2</v>
      </c>
      <c r="EI603" s="7">
        <v>1.9436819293942156E-2</v>
      </c>
      <c r="EJ603" s="7">
        <v>0.26175300138470459</v>
      </c>
      <c r="EK603" s="7">
        <v>0.68906758457215422</v>
      </c>
      <c r="EL603" s="7">
        <v>0</v>
      </c>
      <c r="EM603" s="7">
        <v>2.3493153246363592E-2</v>
      </c>
      <c r="EN603" s="7">
        <v>3.6749078775422522E-2</v>
      </c>
      <c r="EO603" s="7">
        <v>0.38215420429110392</v>
      </c>
      <c r="EP603" s="7">
        <v>0.48263862764961363</v>
      </c>
      <c r="EQ603" s="7">
        <v>7.4714856670570096E-2</v>
      </c>
      <c r="ER603" s="7">
        <v>2.3743232613289998E-2</v>
      </c>
      <c r="ES603" s="7">
        <v>0.13311007398279617</v>
      </c>
      <c r="ET603" s="7">
        <v>0.1566032272291597</v>
      </c>
      <c r="EU603" s="6">
        <v>1000</v>
      </c>
      <c r="EV603" s="6">
        <v>0</v>
      </c>
      <c r="EW603" s="6">
        <v>1000</v>
      </c>
      <c r="EX603" s="6">
        <v>0</v>
      </c>
      <c r="EY603" s="6">
        <v>1384.4003295439622</v>
      </c>
      <c r="EZ603" s="6">
        <v>-1554.2676731795959</v>
      </c>
      <c r="FA603" s="6">
        <v>0</v>
      </c>
      <c r="FB603" s="6">
        <v>0</v>
      </c>
      <c r="FC603" s="6">
        <v>0</v>
      </c>
      <c r="FD603" s="6">
        <v>0</v>
      </c>
      <c r="FE603" s="6">
        <v>0</v>
      </c>
      <c r="FF603" s="6">
        <v>0</v>
      </c>
      <c r="FG603" s="6">
        <v>0</v>
      </c>
      <c r="FH603" s="6">
        <v>1158.6246793669438</v>
      </c>
      <c r="FI603" s="6">
        <v>1531.4299904380612</v>
      </c>
      <c r="FJ603" s="6">
        <v>1709.9775738488461</v>
      </c>
      <c r="FK603" s="6">
        <v>1266.3227157028189</v>
      </c>
      <c r="FL603" s="6">
        <v>0</v>
      </c>
      <c r="FM603" s="6">
        <v>1384.4003295439622</v>
      </c>
      <c r="FN603" s="6">
        <v>0</v>
      </c>
      <c r="FO603" s="6">
        <v>0</v>
      </c>
      <c r="FP603" s="6">
        <v>0</v>
      </c>
      <c r="FQ603" s="6">
        <v>0</v>
      </c>
      <c r="FR603" s="6">
        <v>0</v>
      </c>
      <c r="FS603" s="6">
        <v>0</v>
      </c>
      <c r="FT603" s="7">
        <v>0.84339677277084035</v>
      </c>
      <c r="FU603" s="7">
        <v>2.3493153246363592E-2</v>
      </c>
      <c r="FV603" s="7">
        <v>0.13311007398279617</v>
      </c>
      <c r="FW603" s="6">
        <v>1000</v>
      </c>
      <c r="FX603" s="6">
        <v>1384.4003295439622</v>
      </c>
      <c r="FY603" s="6">
        <v>-1554.2676731795959</v>
      </c>
      <c r="FZ603" s="6">
        <v>1676.0854837363124</v>
      </c>
      <c r="GA603" s="6">
        <v>669.03201690112849</v>
      </c>
      <c r="GB603" s="6">
        <v>19025.967983098872</v>
      </c>
      <c r="GC603" s="7">
        <v>6.4493561548621597E-2</v>
      </c>
      <c r="GD603" s="7">
        <v>5.5451094287049849E-2</v>
      </c>
      <c r="GE603" s="7"/>
      <c r="GF603" s="7"/>
      <c r="GG603" s="7">
        <v>-0.14020728650184169</v>
      </c>
      <c r="GH603" s="42">
        <v>2.7420416081102719</v>
      </c>
      <c r="GI603" s="6">
        <v>7851.6363733584221</v>
      </c>
      <c r="GJ603" s="14">
        <v>0.51596255589662343</v>
      </c>
      <c r="GK603" s="14">
        <v>0.51419567426615931</v>
      </c>
      <c r="GL603" s="14">
        <v>0.48403744410337651</v>
      </c>
      <c r="GM603" s="14">
        <v>0.4858043257338403</v>
      </c>
      <c r="GO603" s="5">
        <v>338.16872463277008</v>
      </c>
      <c r="GP603" s="5">
        <v>319.09063235707856</v>
      </c>
      <c r="GQ603" s="5">
        <v>527.27910984145694</v>
      </c>
      <c r="GR603" s="5">
        <v>404.20319246551543</v>
      </c>
      <c r="GS603" s="5">
        <v>334.50205195691484</v>
      </c>
      <c r="GT603" s="5">
        <v>289.18266033348181</v>
      </c>
      <c r="GU603" s="5">
        <v>254.29573314828914</v>
      </c>
      <c r="GV603" s="39" t="s">
        <v>392</v>
      </c>
      <c r="GW603" s="5">
        <v>492.375</v>
      </c>
      <c r="GX603" s="5">
        <v>369.28125</v>
      </c>
      <c r="GY603" s="5">
        <v>302.23266563481752</v>
      </c>
      <c r="GZ603" s="5">
        <v>268.52323906086701</v>
      </c>
      <c r="HA603" s="5">
        <v>254.29573314828914</v>
      </c>
      <c r="HB603" s="39">
        <v>285.96313010210383</v>
      </c>
      <c r="HC603" s="5">
        <v>351.11483570160732</v>
      </c>
      <c r="HD603" s="5">
        <v>282.73776275539944</v>
      </c>
      <c r="HE603" s="5">
        <v>280.55735780820959</v>
      </c>
      <c r="HF603" s="5">
        <v>253.64561428438338</v>
      </c>
      <c r="HG603" s="5">
        <v>237.36506461313525</v>
      </c>
      <c r="HH603" s="39">
        <v>280.94729931456504</v>
      </c>
      <c r="HI603" s="16"/>
      <c r="HJ603" s="19" t="str">
        <f t="shared" ref="HJ603:HK603" si="1994">HJ602</f>
        <v>On</v>
      </c>
      <c r="HK603" s="1" t="str">
        <f t="shared" si="1994"/>
        <v>On</v>
      </c>
      <c r="HL603" s="16"/>
      <c r="HM603" s="639">
        <f t="shared" si="1976"/>
        <v>4.9686942767030826E-2</v>
      </c>
      <c r="HN603" s="639">
        <f t="shared" si="1953"/>
        <v>2.6112822013589915E-3</v>
      </c>
      <c r="HO603" s="639">
        <f t="shared" si="1953"/>
        <v>3.166115353075552E-2</v>
      </c>
      <c r="HP603" s="644">
        <f t="shared" si="1954"/>
        <v>405.74700588278978</v>
      </c>
      <c r="HQ603" s="644">
        <f t="shared" si="1954"/>
        <v>-15.168544713424591</v>
      </c>
      <c r="HR603" s="644">
        <f t="shared" si="1954"/>
        <v>-93.663889209327976</v>
      </c>
      <c r="HS603" s="644">
        <f t="shared" si="1954"/>
        <v>-80.158298467991713</v>
      </c>
      <c r="HT603" s="644">
        <f t="shared" si="1954"/>
        <v>-18.65001981825402</v>
      </c>
      <c r="HU603" s="644">
        <f t="shared" si="1954"/>
        <v>18.733139522790179</v>
      </c>
      <c r="HV603" s="644">
        <f t="shared" si="1954"/>
        <v>0</v>
      </c>
      <c r="HW603" s="644">
        <f t="shared" si="1954"/>
        <v>0</v>
      </c>
      <c r="HX603" s="644">
        <f t="shared" si="1954"/>
        <v>0</v>
      </c>
      <c r="HY603" s="644">
        <f t="shared" si="1954"/>
        <v>2388</v>
      </c>
      <c r="HZ603" s="644">
        <f t="shared" si="1954"/>
        <v>2518</v>
      </c>
      <c r="IA603" s="644">
        <f t="shared" si="1954"/>
        <v>2200</v>
      </c>
      <c r="IB603" s="644">
        <f t="shared" si="1954"/>
        <v>2713.5887074147972</v>
      </c>
      <c r="IC603" s="644">
        <f t="shared" si="1954"/>
        <v>2484.1814354683215</v>
      </c>
      <c r="ID603" s="644">
        <f t="shared" si="1954"/>
        <v>2125.0692503134624</v>
      </c>
      <c r="IE603" s="20">
        <f t="shared" si="1977"/>
        <v>0.37056509937059479</v>
      </c>
      <c r="IF603" s="20">
        <f t="shared" si="1956"/>
        <v>0.339237459963453</v>
      </c>
      <c r="IG603" s="20">
        <f t="shared" si="1957"/>
        <v>0.29019744066595221</v>
      </c>
      <c r="IH603" s="21"/>
      <c r="II603" s="19"/>
      <c r="IJ603" s="19"/>
      <c r="IK603" s="19"/>
      <c r="IL603" s="19">
        <f t="shared" si="1978"/>
        <v>500.00000000000045</v>
      </c>
      <c r="IM603" s="19">
        <f t="shared" si="1958"/>
        <v>0.17012100773808925</v>
      </c>
      <c r="IN603" s="19">
        <f t="shared" si="1958"/>
        <v>3.4864015860548534</v>
      </c>
      <c r="IO603" s="39"/>
      <c r="IP603" s="39"/>
      <c r="IQ603" s="39"/>
      <c r="IR603" s="39"/>
      <c r="IS603" s="39"/>
      <c r="IT603" s="39"/>
      <c r="IU603" s="39"/>
      <c r="IV603" s="39"/>
      <c r="IW603" s="39"/>
      <c r="IX603" s="19">
        <f t="shared" si="1979"/>
        <v>1600</v>
      </c>
      <c r="IY603" s="19">
        <f t="shared" si="1959"/>
        <v>2503.549291639752</v>
      </c>
      <c r="IZ603" s="19">
        <f t="shared" si="1959"/>
        <v>5888.3563810918577</v>
      </c>
      <c r="JA603" s="19">
        <f t="shared" si="1980"/>
        <v>2100.0000000000005</v>
      </c>
      <c r="JB603" s="19">
        <f t="shared" si="1980"/>
        <v>2503.7194126474901</v>
      </c>
      <c r="JC603" s="19">
        <f t="shared" si="1980"/>
        <v>5891.8427826779125</v>
      </c>
      <c r="JD603" s="19">
        <f t="shared" si="1981"/>
        <v>3337.3398190252647</v>
      </c>
      <c r="JE603" s="21"/>
      <c r="JF603" s="1">
        <f t="shared" si="1982"/>
        <v>6.8844376252282569E-2</v>
      </c>
      <c r="JG603" s="15">
        <f t="shared" si="1983"/>
        <v>7106</v>
      </c>
      <c r="JH603" s="1">
        <f t="shared" si="1984"/>
        <v>4.1783643675772197E-2</v>
      </c>
      <c r="JI603" s="1">
        <f t="shared" si="1985"/>
        <v>-1.1268671371158957E-2</v>
      </c>
      <c r="JJ603" s="1">
        <f t="shared" si="1962"/>
        <v>0</v>
      </c>
      <c r="JK603" s="1">
        <f t="shared" si="1963"/>
        <v>3.0514972304613242E-2</v>
      </c>
      <c r="JL603" s="15">
        <f t="shared" si="1986"/>
        <v>216.83939319658171</v>
      </c>
      <c r="JM603" s="15">
        <f t="shared" si="1986"/>
        <v>7322.839393196582</v>
      </c>
      <c r="JN603" s="21"/>
      <c r="JO603" s="19">
        <f>INDEX([1]Input!$1:$1048576,JO$93,$C603*2+6)</f>
        <v>5995.5</v>
      </c>
      <c r="JP603" s="19">
        <f>INDEX([1]Input!$1:$1048576,JP$93,$C603*2+6)</f>
        <v>1716.3055838443925</v>
      </c>
      <c r="JQ603" s="39">
        <f t="shared" ref="JQ603:JQ666" si="1995">JO603-JD603</f>
        <v>2658.1601809747353</v>
      </c>
      <c r="JR603" s="39">
        <f t="shared" ref="JR603:JR666" si="1996">JD603-JP603</f>
        <v>1621.0342351808722</v>
      </c>
      <c r="JS603" s="39">
        <f t="shared" ref="JS603:JS666" si="1997">JM603*JD603/1000000</f>
        <v>24.438803495241761</v>
      </c>
      <c r="JT603" s="39">
        <f t="shared" si="1987"/>
        <v>12.242736016443509</v>
      </c>
      <c r="JU603" s="385">
        <f>(JQ603*JM603-INDEX([1]Input!$1:$1048576,[1]Input!A$18,$C603*2+6)*JL603*INDEX([1]Input!$1:$1048576,[1]Input!A$19,$C603*2+6))/1000000</f>
        <v>19.465280086668347</v>
      </c>
      <c r="JV603" s="39">
        <f t="shared" si="1966"/>
        <v>-10.942675434533403</v>
      </c>
      <c r="JW603" s="1">
        <f>JV603/(JU603-JV603)</f>
        <v>-0.35986225469527844</v>
      </c>
      <c r="JX603" s="19">
        <f>IF(JL603=0,0,JT603/JL603)*1000000</f>
        <v>56459.925643420887</v>
      </c>
      <c r="JZ603" s="468"/>
      <c r="KA603" s="472"/>
      <c r="KB603" s="469">
        <f t="shared" si="1988"/>
        <v>0</v>
      </c>
      <c r="KC603" s="472"/>
      <c r="KD603" s="472"/>
      <c r="KE603" s="472"/>
      <c r="KF603" s="472"/>
      <c r="KG603" s="887"/>
      <c r="KH603" s="472"/>
      <c r="KI603" s="472"/>
      <c r="KJ603" s="472"/>
      <c r="KK603" s="472"/>
      <c r="KL603" s="472"/>
      <c r="KN603" s="888">
        <f t="shared" si="1989"/>
        <v>6002</v>
      </c>
      <c r="KO603" s="541">
        <f t="shared" si="1967"/>
        <v>-4.1780639119730067E-2</v>
      </c>
      <c r="KP603" s="546">
        <f t="shared" si="1968"/>
        <v>-172.43009329127915</v>
      </c>
      <c r="KQ603" s="546">
        <f t="shared" si="1969"/>
        <v>-260.10867126466201</v>
      </c>
      <c r="KR603" s="472">
        <f t="shared" si="1970"/>
        <v>3.9005139851216346</v>
      </c>
      <c r="KS603" s="472">
        <f t="shared" si="1971"/>
        <v>2.5857115299863369</v>
      </c>
      <c r="KT603" s="473">
        <f t="shared" ref="KT603:KT666" si="1998">KT602</f>
        <v>2521.945896759994</v>
      </c>
      <c r="KU603" s="663">
        <f t="shared" si="1990"/>
        <v>11.234195495349278</v>
      </c>
      <c r="KV603" s="117"/>
    </row>
    <row r="604" spans="1:310" s="26" customFormat="1" ht="15">
      <c r="A604" s="561">
        <f t="shared" si="1972"/>
        <v>6004</v>
      </c>
      <c r="B604" s="561">
        <f t="shared" si="1991"/>
        <v>4</v>
      </c>
      <c r="C604" s="561">
        <f t="shared" si="1992"/>
        <v>6</v>
      </c>
      <c r="D604" s="561" t="s">
        <v>741</v>
      </c>
      <c r="E604" s="115">
        <f>INDEX(Input!$1:$1048576,E$93,$C604*2+MIN($B604,1)+5)</f>
        <v>750.00000000000011</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1.8999999999999996E-2</v>
      </c>
      <c r="W604" s="863">
        <f>INDEX(Input!$1:$1048576,W$93,$C604*2+MIN($B604,1)+5)</f>
        <v>3.9E-2</v>
      </c>
      <c r="X604" s="476" t="str">
        <f>INDEX(Input!$1:$1048576,X$93,$C604*2+MIN($B604,1)+5)</f>
        <v>Y</v>
      </c>
      <c r="Y604" s="150">
        <f>INDEX(Input!$1:$1048576,Y$93,$C604*2+MIN($B604,1)+5)</f>
        <v>2459.7093336934013</v>
      </c>
      <c r="Z604" s="30">
        <f>INDEX(Input!$1:$1048576,Z$93,$C604*2+MIN($B604,1)+5)</f>
        <v>0</v>
      </c>
      <c r="AA604" s="115">
        <f>INDEX(Input!$1:$1048576,AA$93,$C604*2+MIN($B604,1)+5)</f>
        <v>0</v>
      </c>
      <c r="AB604" s="118">
        <f>INDEX(Input!$1:$1048576,AB$93,$C604*2+MIN($B604,1)+5)</f>
        <v>1</v>
      </c>
      <c r="AC604" s="115">
        <f>INDEX(Input!$1:$1048576,AC$93,$C604*2+MIN($B604,1)+5)</f>
        <v>1000</v>
      </c>
      <c r="AD604" s="118">
        <f>INDEX(Input!$1:$1048576,AD$93,$C604*2+MIN($B604,1)+5)</f>
        <v>0.35</v>
      </c>
      <c r="AE604" s="115">
        <f>INDEX(Input!$1:$1048576,AE$93,$C604*2+MIN($B604,1)+5)</f>
        <v>0</v>
      </c>
      <c r="AF604" s="118">
        <f>INDEX(Input!$1:$1048576,AF$93,$C604*2+MIN($B604,1)+5)</f>
        <v>1</v>
      </c>
      <c r="AG604" s="115">
        <f>INDEX(Input!$1:$1048576,AG$93,$C604*2+MIN($B604,1)+5)</f>
        <v>500</v>
      </c>
      <c r="AH604" s="118">
        <f>INDEX(Input!$1:$1048576,AH$93,$C604*2+MIN($B604,1)+5)</f>
        <v>1</v>
      </c>
      <c r="AI604" s="115">
        <f>INDEX(Input!$1:$1048576,AI$93,$C604*2+MIN($B604,1)+5)</f>
        <v>500</v>
      </c>
      <c r="AJ604" s="118">
        <f>INDEX(Input!$1:$1048576,AJ$93,$C604*2+MIN($B604,1)+5)</f>
        <v>0.35</v>
      </c>
      <c r="AK604" s="150">
        <f>ROUND(INDEX(Input!$1:$1048576,AK$93,$C603*2+MIN($B604,1)+5)+(Y604-VLOOKUP($C604*1000+1,$A:$HH,Y$92,FALSE)),0)</f>
        <v>5213</v>
      </c>
      <c r="AL604" s="150">
        <f>ROUND(INDEX(Input!$1:$1048576,AL$93,$C603*2+MIN($B604,1)+5)-(Y604-VLOOKUP($C604*1000+1,$A:$HH,Y$92,FALSE))/36,0)</f>
        <v>5213</v>
      </c>
      <c r="AM604" s="32" t="str">
        <f t="shared" si="1973"/>
        <v>3.5/4/4.5/4.5</v>
      </c>
      <c r="AN604" s="32" t="str">
        <f t="shared" si="1974"/>
        <v>$500 + 0/0/0/1.9/3.9</v>
      </c>
      <c r="AO604" s="32" t="str">
        <f t="shared" si="1975"/>
        <v>0/0/0/1.9/3.9</v>
      </c>
      <c r="AP604" s="32" t="str">
        <f t="shared" si="1939"/>
        <v>0/0.9/1.9/3.9</v>
      </c>
      <c r="AQ604" s="536">
        <f t="shared" si="1940"/>
        <v>850.32151472476221</v>
      </c>
      <c r="AR604" s="32"/>
      <c r="AS604" s="302"/>
      <c r="AT604" s="3">
        <f t="shared" si="1993"/>
        <v>4</v>
      </c>
      <c r="AU604" s="41" t="s">
        <v>121</v>
      </c>
      <c r="AV604" s="41" t="s">
        <v>116</v>
      </c>
      <c r="AW604" s="41" t="str">
        <f>INDEX(Input!$1:$1048576,AW$93,$C604*2+6)</f>
        <v>Kia</v>
      </c>
      <c r="AX604" s="41" t="str">
        <f>INDEX(Input!$1:$1048576,AX$93,$C604*2+6)</f>
        <v>National</v>
      </c>
      <c r="AY604" s="41" t="str">
        <f>IF(LEN(D604)=0,"",INDEX(Input!$1:$1048576,AY$93,$C604*2+6))</f>
        <v>Compact Conventional/Sporty Car (43)</v>
      </c>
      <c r="AZ604" s="41" t="str">
        <f>INDEX(Input!$1:$1048576,AZ$93,$C604*2+6)</f>
        <v>Kia Forte</v>
      </c>
      <c r="BA604" s="3">
        <f>INDEX(Input!$1:$1048576,BA$93,$C604*2+6)</f>
        <v>2020</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19695</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941"/>
        <v>1315</v>
      </c>
      <c r="CJ604" s="16" t="str">
        <f>INDEX(Input!$1:$1048576,CJ$93,$C604*2+6)</f>
        <v>N</v>
      </c>
      <c r="CK604" s="1">
        <f t="shared" si="1942"/>
        <v>3.4999999999999996E-2</v>
      </c>
      <c r="CL604" s="1">
        <f t="shared" si="1943"/>
        <v>0.04</v>
      </c>
      <c r="CM604" s="1">
        <f t="shared" si="1944"/>
        <v>4.4499999999999998E-2</v>
      </c>
      <c r="CN604" s="1">
        <f t="shared" si="1945"/>
        <v>4.4499999999999998E-2</v>
      </c>
      <c r="CO604" s="1" t="str">
        <f t="shared" si="1946"/>
        <v>Market</v>
      </c>
      <c r="CP604" s="304">
        <f t="shared" si="1947"/>
        <v>850</v>
      </c>
      <c r="CQ604" s="1">
        <f t="shared" si="1948"/>
        <v>0</v>
      </c>
      <c r="CR604" s="1">
        <f t="shared" si="1949"/>
        <v>0</v>
      </c>
      <c r="CS604" s="1">
        <f t="shared" si="1950"/>
        <v>0</v>
      </c>
      <c r="CT604" s="1">
        <f t="shared" si="1951"/>
        <v>1.8999999999999996E-2</v>
      </c>
      <c r="CU604" s="1">
        <f t="shared" si="1952"/>
        <v>3.9E-2</v>
      </c>
      <c r="CV604" s="304">
        <f t="shared" si="1768"/>
        <v>2634.7093336934013</v>
      </c>
      <c r="CW604" s="20" t="s">
        <v>122</v>
      </c>
      <c r="CX604" s="20" t="s">
        <v>122</v>
      </c>
      <c r="CY604" s="20" t="s">
        <v>122</v>
      </c>
      <c r="CZ604" s="20" t="s">
        <v>122</v>
      </c>
      <c r="DA604" s="20" t="s">
        <v>122</v>
      </c>
      <c r="DB604" s="503">
        <f t="shared" si="1769"/>
        <v>500</v>
      </c>
      <c r="DC604" s="127">
        <v>0</v>
      </c>
      <c r="DD604" s="127">
        <v>0</v>
      </c>
      <c r="DE604" s="127">
        <v>0</v>
      </c>
      <c r="DF604" s="127">
        <v>0</v>
      </c>
      <c r="DG604" s="127">
        <v>0</v>
      </c>
      <c r="DH604" s="127">
        <v>0</v>
      </c>
      <c r="DI604" s="127">
        <v>0</v>
      </c>
      <c r="DJ604" s="127">
        <v>0</v>
      </c>
      <c r="DK604" s="127">
        <v>0</v>
      </c>
      <c r="DL604" s="127">
        <v>0</v>
      </c>
      <c r="DM604" s="304">
        <f>INDEX(Input!$1:$1048576,DM$93,$C604*2+6)</f>
        <v>20731.578947368424</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v>4.7806492052771966E-2</v>
      </c>
      <c r="DZ604" s="7">
        <v>0</v>
      </c>
      <c r="EA604" s="7">
        <v>0.75181375502585157</v>
      </c>
      <c r="EB604" s="7">
        <v>0</v>
      </c>
      <c r="EC604" s="7">
        <v>0</v>
      </c>
      <c r="ED604" s="7">
        <v>0</v>
      </c>
      <c r="EE604" s="7">
        <v>0</v>
      </c>
      <c r="EF604" s="7">
        <v>0</v>
      </c>
      <c r="EG604" s="7">
        <v>0</v>
      </c>
      <c r="EH604" s="7">
        <v>2.4134099217006745E-2</v>
      </c>
      <c r="EI604" s="7">
        <v>1.5787980477755578E-2</v>
      </c>
      <c r="EJ604" s="7">
        <v>0.24764230076412364</v>
      </c>
      <c r="EK604" s="7">
        <v>0.7124356195411139</v>
      </c>
      <c r="EL604" s="7">
        <v>0</v>
      </c>
      <c r="EM604" s="7">
        <v>4.2864760022363849E-2</v>
      </c>
      <c r="EN604" s="7">
        <v>3.6777494339903787E-2</v>
      </c>
      <c r="EO604" s="7">
        <v>0.38199549028697183</v>
      </c>
      <c r="EP604" s="7">
        <v>0.48278551552541032</v>
      </c>
      <c r="EQ604" s="7">
        <v>7.4707301888239389E-2</v>
      </c>
      <c r="ER604" s="7">
        <v>2.3734197959474328E-2</v>
      </c>
      <c r="ES604" s="7">
        <v>0.15751499289901272</v>
      </c>
      <c r="ET604" s="7">
        <v>0.2003797529213765</v>
      </c>
      <c r="EU604" s="6">
        <v>500</v>
      </c>
      <c r="EV604" s="6">
        <v>0</v>
      </c>
      <c r="EW604" s="6">
        <v>500</v>
      </c>
      <c r="EX604" s="6">
        <v>0</v>
      </c>
      <c r="EY604" s="6">
        <v>2309.5561246274942</v>
      </c>
      <c r="EZ604" s="6">
        <v>-1554.2676731795959</v>
      </c>
      <c r="FA604" s="6">
        <v>0</v>
      </c>
      <c r="FB604" s="6">
        <v>0</v>
      </c>
      <c r="FC604" s="6">
        <v>0</v>
      </c>
      <c r="FD604" s="6">
        <v>0</v>
      </c>
      <c r="FE604" s="6">
        <v>0</v>
      </c>
      <c r="FF604" s="6">
        <v>0</v>
      </c>
      <c r="FG604" s="6">
        <v>0</v>
      </c>
      <c r="FH604" s="6">
        <v>1158.6002853042401</v>
      </c>
      <c r="FI604" s="6">
        <v>1531.4299904380623</v>
      </c>
      <c r="FJ604" s="6">
        <v>2070.7205842538224</v>
      </c>
      <c r="FK604" s="6">
        <v>1746.9903521590436</v>
      </c>
      <c r="FL604" s="6">
        <v>0</v>
      </c>
      <c r="FM604" s="6">
        <v>1809.5561246274942</v>
      </c>
      <c r="FN604" s="6">
        <v>0</v>
      </c>
      <c r="FO604" s="6">
        <v>0</v>
      </c>
      <c r="FP604" s="6">
        <v>0</v>
      </c>
      <c r="FQ604" s="6">
        <v>0</v>
      </c>
      <c r="FR604" s="6">
        <v>0</v>
      </c>
      <c r="FS604" s="6">
        <v>0</v>
      </c>
      <c r="FT604" s="7">
        <v>0.79962024707862356</v>
      </c>
      <c r="FU604" s="7">
        <v>4.2864760022363849E-2</v>
      </c>
      <c r="FV604" s="7">
        <v>0.15751499289901272</v>
      </c>
      <c r="FW604" s="6">
        <v>500.00000000000006</v>
      </c>
      <c r="FX604" s="6">
        <v>2309.5561246274942</v>
      </c>
      <c r="FY604" s="6">
        <v>-1554.2676731795959</v>
      </c>
      <c r="FZ604" s="6">
        <v>1676.0854837363124</v>
      </c>
      <c r="GA604" s="6">
        <v>253.98823107560096</v>
      </c>
      <c r="GB604" s="6">
        <v>19441.0117689244</v>
      </c>
      <c r="GC604" s="7">
        <v>6.4493561548621597E-2</v>
      </c>
      <c r="GD604" s="7">
        <v>5.1028751469223352E-2</v>
      </c>
      <c r="GE604" s="7"/>
      <c r="GF604" s="7"/>
      <c r="GG604" s="7">
        <v>-0.20877758579431446</v>
      </c>
      <c r="GH604" s="42">
        <v>2.8914158609938947</v>
      </c>
      <c r="GI604" s="6">
        <v>7065.5300316487092</v>
      </c>
      <c r="GJ604" s="14">
        <v>0.5159625558966231</v>
      </c>
      <c r="GK604" s="14">
        <v>0.51419567426615953</v>
      </c>
      <c r="GL604" s="14">
        <v>0.48403744410337685</v>
      </c>
      <c r="GM604" s="14">
        <v>0.48580432573384064</v>
      </c>
      <c r="GO604" s="5">
        <v>338.16872463277008</v>
      </c>
      <c r="GP604" s="5">
        <v>328.62967849492429</v>
      </c>
      <c r="GQ604" s="5">
        <v>519.39401419935825</v>
      </c>
      <c r="GR604" s="5">
        <v>400.22503305126548</v>
      </c>
      <c r="GS604" s="5">
        <v>330.05398937228341</v>
      </c>
      <c r="GT604" s="5">
        <v>280.96783041547633</v>
      </c>
      <c r="GU604" s="5">
        <v>254.29573314828914</v>
      </c>
      <c r="GV604" s="39" t="s">
        <v>392</v>
      </c>
      <c r="GW604" s="5">
        <v>478.48611111111109</v>
      </c>
      <c r="GX604" s="5">
        <v>358.86458333333331</v>
      </c>
      <c r="GY604" s="5">
        <v>287.09166666666664</v>
      </c>
      <c r="GZ604" s="5">
        <v>253.32809988695081</v>
      </c>
      <c r="HA604" s="5">
        <v>247.12257207671746</v>
      </c>
      <c r="HB604" s="39">
        <v>268.789580969013</v>
      </c>
      <c r="HC604" s="5">
        <v>351.11483570160732</v>
      </c>
      <c r="HD604" s="5">
        <v>282.73776275539944</v>
      </c>
      <c r="HE604" s="5">
        <v>280.55735780820959</v>
      </c>
      <c r="HF604" s="5">
        <v>253.64561428438338</v>
      </c>
      <c r="HG604" s="5">
        <v>237.36506461313525</v>
      </c>
      <c r="HH604" s="39">
        <v>280.9495517241088</v>
      </c>
      <c r="HI604" s="16"/>
      <c r="HJ604" s="19" t="str">
        <f t="shared" ref="HJ604:HK604" si="1999">HJ603</f>
        <v>On</v>
      </c>
      <c r="HK604" s="1" t="str">
        <f t="shared" si="1999"/>
        <v>On</v>
      </c>
      <c r="HL604" s="16"/>
      <c r="HM604" s="639">
        <f t="shared" si="1976"/>
        <v>4.9686942767030826E-2</v>
      </c>
      <c r="HN604" s="639">
        <f t="shared" si="1953"/>
        <v>2.6112822013589915E-3</v>
      </c>
      <c r="HO604" s="639">
        <f t="shared" si="1953"/>
        <v>3.166115353075552E-2</v>
      </c>
      <c r="HP604" s="644">
        <f t="shared" si="1954"/>
        <v>-19.113229447689207</v>
      </c>
      <c r="HQ604" s="644">
        <f t="shared" si="1954"/>
        <v>41.613074792208153</v>
      </c>
      <c r="HR604" s="644">
        <f t="shared" si="1954"/>
        <v>-6.18572480943517</v>
      </c>
      <c r="HS604" s="644">
        <f t="shared" si="1954"/>
        <v>-1.2371449618870343</v>
      </c>
      <c r="HT604" s="644">
        <f t="shared" si="1954"/>
        <v>241.73313217285636</v>
      </c>
      <c r="HU604" s="644">
        <f t="shared" si="1954"/>
        <v>1.2371449618870343</v>
      </c>
      <c r="HV604" s="644">
        <f t="shared" si="1954"/>
        <v>0</v>
      </c>
      <c r="HW604" s="644">
        <f t="shared" si="1954"/>
        <v>0</v>
      </c>
      <c r="HX604" s="644">
        <f t="shared" si="1954"/>
        <v>0</v>
      </c>
      <c r="HY604" s="644">
        <f t="shared" si="1954"/>
        <v>2388</v>
      </c>
      <c r="HZ604" s="644">
        <f t="shared" si="1954"/>
        <v>2518</v>
      </c>
      <c r="IA604" s="644">
        <f t="shared" si="1954"/>
        <v>2200</v>
      </c>
      <c r="IB604" s="644">
        <f t="shared" si="1954"/>
        <v>2367.649625590424</v>
      </c>
      <c r="IC604" s="644">
        <f t="shared" si="1954"/>
        <v>2801.3462069650645</v>
      </c>
      <c r="ID604" s="644">
        <f t="shared" si="1954"/>
        <v>2195.0514201524516</v>
      </c>
      <c r="IE604" s="20">
        <f t="shared" si="1977"/>
        <v>0.32151472476222653</v>
      </c>
      <c r="IF604" s="20">
        <f t="shared" si="1956"/>
        <v>0.38040850511041208</v>
      </c>
      <c r="IG604" s="20">
        <f t="shared" si="1957"/>
        <v>0.29807677012736133</v>
      </c>
      <c r="IH604" s="21"/>
      <c r="II604" s="19"/>
      <c r="IJ604" s="19"/>
      <c r="IK604" s="19"/>
      <c r="IL604" s="19">
        <f t="shared" si="1978"/>
        <v>0</v>
      </c>
      <c r="IM604" s="19">
        <f t="shared" si="1958"/>
        <v>499.97673098178529</v>
      </c>
      <c r="IN604" s="19">
        <f t="shared" si="1958"/>
        <v>0.23618753409937199</v>
      </c>
      <c r="IO604" s="39"/>
      <c r="IP604" s="39"/>
      <c r="IQ604" s="39"/>
      <c r="IR604" s="39"/>
      <c r="IS604" s="39"/>
      <c r="IT604" s="39"/>
      <c r="IU604" s="39"/>
      <c r="IV604" s="39"/>
      <c r="IW604" s="39"/>
      <c r="IX604" s="19">
        <f t="shared" si="1979"/>
        <v>1600</v>
      </c>
      <c r="IY604" s="19">
        <f t="shared" si="1959"/>
        <v>2503.549291639752</v>
      </c>
      <c r="IZ604" s="19">
        <f t="shared" si="1959"/>
        <v>5888.3563810918577</v>
      </c>
      <c r="JA604" s="19">
        <f t="shared" si="1980"/>
        <v>1600</v>
      </c>
      <c r="JB604" s="19">
        <f t="shared" si="1980"/>
        <v>3003.5260226215373</v>
      </c>
      <c r="JC604" s="19">
        <f t="shared" si="1980"/>
        <v>5888.592568625957</v>
      </c>
      <c r="JD604" s="19">
        <f t="shared" si="1981"/>
        <v>3412.2430573972506</v>
      </c>
      <c r="JE604" s="21"/>
      <c r="JF604" s="1">
        <f t="shared" si="1982"/>
        <v>6.8844376252282569E-2</v>
      </c>
      <c r="JG604" s="15">
        <f t="shared" si="1983"/>
        <v>7106</v>
      </c>
      <c r="JH604" s="1">
        <f t="shared" si="1984"/>
        <v>2.2958233232597486E-3</v>
      </c>
      <c r="JI604" s="1">
        <f t="shared" si="1985"/>
        <v>3.4018172273129234E-2</v>
      </c>
      <c r="JJ604" s="1">
        <f t="shared" si="1962"/>
        <v>0</v>
      </c>
      <c r="JK604" s="1">
        <f t="shared" si="1963"/>
        <v>3.6313995596388982E-2</v>
      </c>
      <c r="JL604" s="15">
        <f t="shared" si="1986"/>
        <v>258.04725270794012</v>
      </c>
      <c r="JM604" s="15">
        <f t="shared" si="1986"/>
        <v>7364.0472527079392</v>
      </c>
      <c r="JN604" s="21"/>
      <c r="JO604" s="19">
        <f>INDEX([1]Input!$1:$1048576,JO$93,$C604*2+6)</f>
        <v>5995.5</v>
      </c>
      <c r="JP604" s="19">
        <f>INDEX([1]Input!$1:$1048576,JP$93,$C604*2+6)</f>
        <v>1716.3055838443925</v>
      </c>
      <c r="JQ604" s="39">
        <f t="shared" si="1995"/>
        <v>2583.2569426027494</v>
      </c>
      <c r="JR604" s="39">
        <f t="shared" si="1996"/>
        <v>1695.9374735528581</v>
      </c>
      <c r="JS604" s="39">
        <f t="shared" si="1997"/>
        <v>25.127919112397961</v>
      </c>
      <c r="JT604" s="39">
        <f t="shared" si="1987"/>
        <v>12.931851633599708</v>
      </c>
      <c r="JU604" s="385">
        <f>(JQ604*JM604-INDEX([1]Input!$1:$1048576,[1]Input!A$18,$C604*2+6)*JL604*INDEX([1]Input!$1:$1048576,[1]Input!A$19,$C604*2+6))/1000000</f>
        <v>19.023226191212487</v>
      </c>
      <c r="JV604" s="39">
        <f t="shared" si="1966"/>
        <v>-11.384729329989263</v>
      </c>
      <c r="JW604" s="1">
        <f t="shared" ref="JW604:JW667" si="2000">JV604/(JU604-JV604)</f>
        <v>-0.37439969688364394</v>
      </c>
      <c r="JX604" s="19">
        <f t="shared" ref="JX604:JX667" si="2001">IF(JL604=0,0,JT604/JL604)*1000000</f>
        <v>50114.277512716159</v>
      </c>
      <c r="JZ604" s="468"/>
      <c r="KA604" s="472"/>
      <c r="KB604" s="469">
        <f t="shared" si="1988"/>
        <v>0</v>
      </c>
      <c r="KC604" s="472"/>
      <c r="KD604" s="472"/>
      <c r="KE604" s="472"/>
      <c r="KF604" s="472"/>
      <c r="KG604" s="887"/>
      <c r="KH604" s="472"/>
      <c r="KI604" s="472"/>
      <c r="KJ604" s="472"/>
      <c r="KK604" s="472"/>
      <c r="KL604" s="472"/>
      <c r="KN604" s="888">
        <f t="shared" si="1989"/>
        <v>6002</v>
      </c>
      <c r="KO604" s="541">
        <f t="shared" si="1967"/>
        <v>-3.6388445370280631E-2</v>
      </c>
      <c r="KP604" s="546">
        <f t="shared" si="1968"/>
        <v>-167.39941327209613</v>
      </c>
      <c r="KQ604" s="546">
        <f t="shared" si="1969"/>
        <v>-185.20543289267607</v>
      </c>
      <c r="KR604" s="472">
        <f t="shared" si="1970"/>
        <v>3.4992050584684149</v>
      </c>
      <c r="KS604" s="472">
        <f t="shared" si="1971"/>
        <v>3.1627845066824039</v>
      </c>
      <c r="KT604" s="473">
        <f t="shared" si="1998"/>
        <v>2521.945896759994</v>
      </c>
      <c r="KU604" s="663">
        <f t="shared" si="1990"/>
        <v>11.081901702494187</v>
      </c>
      <c r="KV604" s="117"/>
    </row>
    <row r="605" spans="1:310" s="26" customFormat="1" ht="15">
      <c r="A605" s="561">
        <f t="shared" si="1972"/>
        <v>6005</v>
      </c>
      <c r="B605" s="561">
        <f t="shared" si="1991"/>
        <v>5</v>
      </c>
      <c r="C605" s="561">
        <f t="shared" si="1992"/>
        <v>6</v>
      </c>
      <c r="D605" s="561" t="s">
        <v>568</v>
      </c>
      <c r="E605" s="115">
        <f>INDEX(Input!$1:$1048576,E$93,$C605*2+MIN($B605,1)+5)</f>
        <v>750.00000000000011</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1.8999999999999996E-2</v>
      </c>
      <c r="W605" s="862">
        <f>INDEX(Input!$1:$1048576,W$93,$C605*2+MIN($B605,1)+5)</f>
        <v>3.9E-2</v>
      </c>
      <c r="X605" s="118" t="str">
        <f>INDEX(Input!$1:$1048576,X$93,$C605*2+MIN($B605,1)+5)</f>
        <v>Y</v>
      </c>
      <c r="Y605" s="475">
        <f>INDEX(Input!$1:$1048576,Y$93,$C605*2+MIN($B605,1)+5)+500</f>
        <v>2959.7093336934013</v>
      </c>
      <c r="Z605" s="30">
        <f>INDEX(Input!$1:$1048576,Z$93,$C605*2+MIN($B605,1)+5)</f>
        <v>0</v>
      </c>
      <c r="AA605" s="115">
        <f>INDEX(Input!$1:$1048576,AA$93,$C605*2+MIN($B605,1)+5)</f>
        <v>0</v>
      </c>
      <c r="AB605" s="118">
        <f>INDEX(Input!$1:$1048576,AB$93,$C605*2+MIN($B605,1)+5)</f>
        <v>1</v>
      </c>
      <c r="AC605" s="115">
        <f>INDEX(Input!$1:$1048576,AC$93,$C605*2+MIN($B605,1)+5)</f>
        <v>1000</v>
      </c>
      <c r="AD605" s="118">
        <f>INDEX(Input!$1:$1048576,AD$93,$C605*2+MIN($B605,1)+5)</f>
        <v>0.35</v>
      </c>
      <c r="AE605" s="115">
        <f>INDEX(Input!$1:$1048576,AE$93,$C605*2+MIN($B605,1)+5)</f>
        <v>0</v>
      </c>
      <c r="AF605" s="118">
        <f>INDEX(Input!$1:$1048576,AF$93,$C605*2+MIN($B605,1)+5)</f>
        <v>1</v>
      </c>
      <c r="AG605" s="115">
        <f>INDEX(Input!$1:$1048576,AG$93,$C605*2+MIN($B605,1)+5)</f>
        <v>500</v>
      </c>
      <c r="AH605" s="118">
        <f>INDEX(Input!$1:$1048576,AH$93,$C605*2+MIN($B605,1)+5)</f>
        <v>1</v>
      </c>
      <c r="AI605" s="115">
        <f>INDEX(Input!$1:$1048576,AI$93,$C605*2+MIN($B605,1)+5)</f>
        <v>500</v>
      </c>
      <c r="AJ605" s="118">
        <f>INDEX(Input!$1:$1048576,AJ$93,$C605*2+MIN($B605,1)+5)</f>
        <v>0.35</v>
      </c>
      <c r="AK605" s="150">
        <f>ROUND(INDEX(Input!$1:$1048576,AK$93,$C604*2+MIN($B605,1)+5)+(Y605-VLOOKUP($C605*1000+1,$A:$HH,Y$92,FALSE)),0)</f>
        <v>5713</v>
      </c>
      <c r="AL605" s="150">
        <f>ROUND(INDEX(Input!$1:$1048576,AL$93,$C604*2+MIN($B605,1)+5)-(Y605-VLOOKUP($C605*1000+1,$A:$HH,Y$92,FALSE))/36,0)</f>
        <v>5199</v>
      </c>
      <c r="AM605" s="32" t="str">
        <f t="shared" si="1973"/>
        <v>std/std/std/std</v>
      </c>
      <c r="AN605" s="32" t="str">
        <f t="shared" si="1974"/>
        <v>$0 + 0/0/0/1.9/3.9</v>
      </c>
      <c r="AO605" s="32" t="str">
        <f t="shared" si="1975"/>
        <v>0/0/0/1.9/3.9</v>
      </c>
      <c r="AP605" s="32" t="str">
        <f t="shared" si="1939"/>
        <v>0/0.9/1.9/3.9</v>
      </c>
      <c r="AQ605" s="536">
        <f t="shared" si="1940"/>
        <v>850.30927368737764</v>
      </c>
      <c r="AR605" s="32"/>
      <c r="AS605" s="302"/>
      <c r="AT605" s="3">
        <f t="shared" si="1993"/>
        <v>5</v>
      </c>
      <c r="AU605" s="41" t="s">
        <v>121</v>
      </c>
      <c r="AV605" s="41" t="s">
        <v>116</v>
      </c>
      <c r="AW605" s="41" t="str">
        <f>INDEX(Input!$1:$1048576,AW$93,$C605*2+6)</f>
        <v>Kia</v>
      </c>
      <c r="AX605" s="41" t="str">
        <f>INDEX(Input!$1:$1048576,AX$93,$C605*2+6)</f>
        <v>National</v>
      </c>
      <c r="AY605" s="41" t="str">
        <f>IF(LEN(D605)=0,"",INDEX(Input!$1:$1048576,AY$93,$C605*2+6))</f>
        <v>Compact Conventional/Sporty Car (43)</v>
      </c>
      <c r="AZ605" s="41" t="str">
        <f>INDEX(Input!$1:$1048576,AZ$93,$C605*2+6)</f>
        <v>Kia Forte</v>
      </c>
      <c r="BA605" s="3">
        <f>INDEX(Input!$1:$1048576,BA$93,$C605*2+6)</f>
        <v>2020</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19695</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941"/>
        <v>1315</v>
      </c>
      <c r="CJ605" s="16" t="str">
        <f>INDEX(Input!$1:$1048576,CJ$93,$C605*2+6)</f>
        <v>N</v>
      </c>
      <c r="CK605" s="1" t="str">
        <f t="shared" si="1942"/>
        <v>Market</v>
      </c>
      <c r="CL605" s="1" t="str">
        <f t="shared" si="1943"/>
        <v>Market</v>
      </c>
      <c r="CM605" s="1" t="str">
        <f t="shared" si="1944"/>
        <v>Market</v>
      </c>
      <c r="CN605" s="1" t="str">
        <f t="shared" si="1945"/>
        <v>Market</v>
      </c>
      <c r="CO605" s="1" t="str">
        <f t="shared" si="1946"/>
        <v>Market</v>
      </c>
      <c r="CP605" s="304">
        <f t="shared" si="1947"/>
        <v>350</v>
      </c>
      <c r="CQ605" s="1">
        <f t="shared" si="1948"/>
        <v>0</v>
      </c>
      <c r="CR605" s="1">
        <f t="shared" si="1949"/>
        <v>0</v>
      </c>
      <c r="CS605" s="1">
        <f t="shared" si="1950"/>
        <v>0</v>
      </c>
      <c r="CT605" s="1">
        <f t="shared" si="1951"/>
        <v>1.8999999999999996E-2</v>
      </c>
      <c r="CU605" s="1">
        <f t="shared" si="1952"/>
        <v>3.9E-2</v>
      </c>
      <c r="CV605" s="304">
        <f t="shared" si="1768"/>
        <v>3134.7093336934013</v>
      </c>
      <c r="CW605" s="20" t="s">
        <v>122</v>
      </c>
      <c r="CX605" s="20" t="s">
        <v>122</v>
      </c>
      <c r="CY605" s="20" t="s">
        <v>122</v>
      </c>
      <c r="CZ605" s="20" t="s">
        <v>122</v>
      </c>
      <c r="DA605" s="20" t="s">
        <v>122</v>
      </c>
      <c r="DB605" s="503">
        <f t="shared" si="1769"/>
        <v>500</v>
      </c>
      <c r="DC605" s="127">
        <v>0</v>
      </c>
      <c r="DD605" s="127">
        <v>0</v>
      </c>
      <c r="DE605" s="127">
        <v>0</v>
      </c>
      <c r="DF605" s="127">
        <v>0</v>
      </c>
      <c r="DG605" s="127">
        <v>0</v>
      </c>
      <c r="DH605" s="127">
        <v>0</v>
      </c>
      <c r="DI605" s="127">
        <v>0</v>
      </c>
      <c r="DJ605" s="127">
        <v>0</v>
      </c>
      <c r="DK605" s="127">
        <v>0</v>
      </c>
      <c r="DL605" s="127">
        <v>0</v>
      </c>
      <c r="DM605" s="304">
        <f>INDEX(Input!$1:$1048576,DM$93,$C605*2+6)</f>
        <v>20731.578947368424</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v>4.7398521318258148E-2</v>
      </c>
      <c r="DZ605" s="7">
        <v>0</v>
      </c>
      <c r="EA605" s="7">
        <v>0.74503372617742947</v>
      </c>
      <c r="EB605" s="7">
        <v>0</v>
      </c>
      <c r="EC605" s="7">
        <v>0</v>
      </c>
      <c r="ED605" s="7">
        <v>0</v>
      </c>
      <c r="EE605" s="7">
        <v>0</v>
      </c>
      <c r="EF605" s="7">
        <v>0</v>
      </c>
      <c r="EG605" s="7">
        <v>0</v>
      </c>
      <c r="EH605" s="7">
        <v>2.9690396846721142E-2</v>
      </c>
      <c r="EI605" s="7">
        <v>1.9424827401049966E-2</v>
      </c>
      <c r="EJ605" s="7">
        <v>0.26128877821306923</v>
      </c>
      <c r="EK605" s="7">
        <v>0.68959599753915957</v>
      </c>
      <c r="EL605" s="7">
        <v>0</v>
      </c>
      <c r="EM605" s="7">
        <v>2.7573633014877322E-2</v>
      </c>
      <c r="EN605" s="7">
        <v>3.6159391435170489E-2</v>
      </c>
      <c r="EO605" s="7">
        <v>0.38587192796591385</v>
      </c>
      <c r="EP605" s="7">
        <v>0.48069722843949592</v>
      </c>
      <c r="EQ605" s="7">
        <v>7.3988162461793031E-2</v>
      </c>
      <c r="ER605" s="7">
        <v>2.3283289697626636E-2</v>
      </c>
      <c r="ES605" s="7">
        <v>0.179994119489435</v>
      </c>
      <c r="ET605" s="7">
        <v>0.20756775250431231</v>
      </c>
      <c r="EU605" s="6">
        <v>500</v>
      </c>
      <c r="EV605" s="6">
        <v>0</v>
      </c>
      <c r="EW605" s="6">
        <v>500</v>
      </c>
      <c r="EX605" s="6">
        <v>0</v>
      </c>
      <c r="EY605" s="6">
        <v>1384.1959386273759</v>
      </c>
      <c r="EZ605" s="6">
        <v>-1054.2676731795959</v>
      </c>
      <c r="FA605" s="6">
        <v>0</v>
      </c>
      <c r="FB605" s="6">
        <v>0</v>
      </c>
      <c r="FC605" s="6">
        <v>0</v>
      </c>
      <c r="FD605" s="6">
        <v>0</v>
      </c>
      <c r="FE605" s="6">
        <v>0</v>
      </c>
      <c r="FF605" s="6">
        <v>0</v>
      </c>
      <c r="FG605" s="6">
        <v>0</v>
      </c>
      <c r="FH605" s="6">
        <v>1158.5950898405586</v>
      </c>
      <c r="FI605" s="6">
        <v>1531.4299904380616</v>
      </c>
      <c r="FJ605" s="6">
        <v>1709.9775738488449</v>
      </c>
      <c r="FK605" s="6">
        <v>1266.3227157028191</v>
      </c>
      <c r="FL605" s="6">
        <v>0</v>
      </c>
      <c r="FM605" s="6">
        <v>1384.1959386273759</v>
      </c>
      <c r="FN605" s="6">
        <v>0</v>
      </c>
      <c r="FO605" s="6">
        <v>0</v>
      </c>
      <c r="FP605" s="6">
        <v>0</v>
      </c>
      <c r="FQ605" s="6">
        <v>0</v>
      </c>
      <c r="FR605" s="6">
        <v>0</v>
      </c>
      <c r="FS605" s="6">
        <v>0</v>
      </c>
      <c r="FT605" s="7">
        <v>0.79243224749568764</v>
      </c>
      <c r="FU605" s="7">
        <v>2.7573633014877322E-2</v>
      </c>
      <c r="FV605" s="7">
        <v>0.179994119489435</v>
      </c>
      <c r="FW605" s="6">
        <v>500</v>
      </c>
      <c r="FX605" s="6">
        <v>1384.1959386273761</v>
      </c>
      <c r="FY605" s="6">
        <v>-1054.2676731795959</v>
      </c>
      <c r="FZ605" s="6">
        <v>1676.0854837363124</v>
      </c>
      <c r="GA605" s="6">
        <v>244.62145304010193</v>
      </c>
      <c r="GB605" s="6">
        <v>19450.378546959899</v>
      </c>
      <c r="GC605" s="7">
        <v>6.4493561548621597E-2</v>
      </c>
      <c r="GD605" s="7">
        <v>5.1250142310609821E-2</v>
      </c>
      <c r="GE605" s="7"/>
      <c r="GF605" s="7"/>
      <c r="GG605" s="7">
        <v>-0.20534482698753709</v>
      </c>
      <c r="GH605" s="42">
        <v>2.8252657983676777</v>
      </c>
      <c r="GI605" s="6">
        <v>7215.6469796928368</v>
      </c>
      <c r="GJ605" s="14">
        <v>0.51596255589662354</v>
      </c>
      <c r="GK605" s="14">
        <v>0.51419567426615975</v>
      </c>
      <c r="GL605" s="14">
        <v>0.48403744410337707</v>
      </c>
      <c r="GM605" s="14">
        <v>0.48580432573384064</v>
      </c>
      <c r="GO605" s="5">
        <v>338.16872463277008</v>
      </c>
      <c r="GP605" s="5">
        <v>328.62967849492429</v>
      </c>
      <c r="GQ605" s="5">
        <v>527.27910984145694</v>
      </c>
      <c r="GR605" s="5">
        <v>404.20319246551543</v>
      </c>
      <c r="GS605" s="5">
        <v>334.50205195691484</v>
      </c>
      <c r="GT605" s="5">
        <v>289.18266033348181</v>
      </c>
      <c r="GU605" s="5">
        <v>254.29573314828914</v>
      </c>
      <c r="GV605" s="39" t="s">
        <v>392</v>
      </c>
      <c r="GW605" s="5">
        <v>492.375</v>
      </c>
      <c r="GX605" s="5">
        <v>369.28125</v>
      </c>
      <c r="GY605" s="5">
        <v>302.23266563481752</v>
      </c>
      <c r="GZ605" s="5">
        <v>268.52323906086701</v>
      </c>
      <c r="HA605" s="5">
        <v>254.29573314828914</v>
      </c>
      <c r="HB605" s="39">
        <v>285.93458853352365</v>
      </c>
      <c r="HC605" s="5">
        <v>329.23983570160732</v>
      </c>
      <c r="HD605" s="5">
        <v>267.8072071998439</v>
      </c>
      <c r="HE605" s="5">
        <v>266.69517832103014</v>
      </c>
      <c r="HF605" s="5">
        <v>242.08311428438341</v>
      </c>
      <c r="HG605" s="5">
        <v>227.78173127980187</v>
      </c>
      <c r="HH605" s="39">
        <v>266.658821343797</v>
      </c>
      <c r="HI605" s="16"/>
      <c r="HJ605" s="19" t="str">
        <f t="shared" ref="HJ605:HK605" si="2002">HJ604</f>
        <v>On</v>
      </c>
      <c r="HK605" s="1" t="str">
        <f t="shared" si="2002"/>
        <v>On</v>
      </c>
      <c r="HL605" s="16"/>
      <c r="HM605" s="639">
        <f t="shared" si="1976"/>
        <v>4.9686942767030826E-2</v>
      </c>
      <c r="HN605" s="639">
        <f t="shared" si="1953"/>
        <v>2.6112822013589915E-3</v>
      </c>
      <c r="HO605" s="639">
        <f t="shared" si="1953"/>
        <v>3.166115353075552E-2</v>
      </c>
      <c r="HP605" s="644">
        <f t="shared" si="1954"/>
        <v>-98.606556258445281</v>
      </c>
      <c r="HQ605" s="644">
        <f t="shared" si="1954"/>
        <v>-6.9914682828611436</v>
      </c>
      <c r="HR605" s="644">
        <f t="shared" si="1954"/>
        <v>274.20691882423984</v>
      </c>
      <c r="HS605" s="644">
        <f t="shared" si="1954"/>
        <v>2.7328930634653551E-4</v>
      </c>
      <c r="HT605" s="644">
        <f t="shared" si="1954"/>
        <v>-5.328189117387995E-2</v>
      </c>
      <c r="HU605" s="644">
        <f t="shared" si="1954"/>
        <v>127.92874352503351</v>
      </c>
      <c r="HV605" s="644">
        <f t="shared" si="1954"/>
        <v>0</v>
      </c>
      <c r="HW605" s="644">
        <f t="shared" si="1954"/>
        <v>0</v>
      </c>
      <c r="HX605" s="644">
        <f t="shared" si="1954"/>
        <v>0</v>
      </c>
      <c r="HY605" s="644">
        <f t="shared" si="1954"/>
        <v>2388</v>
      </c>
      <c r="HZ605" s="644">
        <f t="shared" si="1954"/>
        <v>2518</v>
      </c>
      <c r="IA605" s="644">
        <f t="shared" si="1954"/>
        <v>2200</v>
      </c>
      <c r="IB605" s="644">
        <f t="shared" si="1954"/>
        <v>2289.3937170308609</v>
      </c>
      <c r="IC605" s="644">
        <f t="shared" si="1954"/>
        <v>2510.955249825965</v>
      </c>
      <c r="ID605" s="644">
        <f t="shared" si="1954"/>
        <v>2602.1356623492729</v>
      </c>
      <c r="IE605" s="20">
        <f t="shared" si="1977"/>
        <v>0.3092736873776385</v>
      </c>
      <c r="IF605" s="20">
        <f t="shared" si="1956"/>
        <v>0.33920438550039378</v>
      </c>
      <c r="IG605" s="20">
        <f t="shared" si="1957"/>
        <v>0.35152192712196778</v>
      </c>
      <c r="IH605" s="21"/>
      <c r="II605" s="19"/>
      <c r="IJ605" s="19"/>
      <c r="IK605" s="19"/>
      <c r="IL605" s="19">
        <f t="shared" si="1978"/>
        <v>0</v>
      </c>
      <c r="IM605" s="19">
        <f t="shared" si="1958"/>
        <v>-0.10868779894553882</v>
      </c>
      <c r="IN605" s="19">
        <f t="shared" si="1958"/>
        <v>496.411685664777</v>
      </c>
      <c r="IO605" s="39"/>
      <c r="IP605" s="39"/>
      <c r="IQ605" s="39"/>
      <c r="IR605" s="39"/>
      <c r="IS605" s="39"/>
      <c r="IT605" s="39"/>
      <c r="IU605" s="39"/>
      <c r="IV605" s="39"/>
      <c r="IW605" s="39"/>
      <c r="IX605" s="19">
        <f t="shared" si="1979"/>
        <v>1600</v>
      </c>
      <c r="IY605" s="19">
        <f t="shared" si="1959"/>
        <v>2503.549291639752</v>
      </c>
      <c r="IZ605" s="19">
        <f t="shared" si="1959"/>
        <v>5888.3563810918577</v>
      </c>
      <c r="JA605" s="19">
        <f t="shared" si="1980"/>
        <v>1599.9999999999998</v>
      </c>
      <c r="JB605" s="19">
        <f t="shared" si="1980"/>
        <v>2503.4406038408065</v>
      </c>
      <c r="JC605" s="19">
        <f t="shared" si="1980"/>
        <v>6384.7680667566347</v>
      </c>
      <c r="JD605" s="19">
        <f t="shared" si="1981"/>
        <v>3588.40190651987</v>
      </c>
      <c r="JE605" s="21"/>
      <c r="JF605" s="1">
        <f t="shared" si="1982"/>
        <v>6.8844376252282569E-2</v>
      </c>
      <c r="JG605" s="15">
        <f t="shared" si="1983"/>
        <v>7106</v>
      </c>
      <c r="JH605" s="1">
        <f t="shared" si="1984"/>
        <v>2.3727680028558039E-2</v>
      </c>
      <c r="JI605" s="1">
        <f t="shared" si="1985"/>
        <v>1.7995459460057133E-2</v>
      </c>
      <c r="JJ605" s="1">
        <f t="shared" si="1962"/>
        <v>0</v>
      </c>
      <c r="JK605" s="1">
        <f t="shared" si="1963"/>
        <v>4.1723139488615169E-2</v>
      </c>
      <c r="JL605" s="15">
        <f t="shared" si="1986"/>
        <v>296.48462920609938</v>
      </c>
      <c r="JM605" s="15">
        <f t="shared" si="1986"/>
        <v>7402.4846292060993</v>
      </c>
      <c r="JN605" s="21"/>
      <c r="JO605" s="19">
        <f>INDEX([1]Input!$1:$1048576,JO$93,$C605*2+6)</f>
        <v>5995.5</v>
      </c>
      <c r="JP605" s="19">
        <f>INDEX([1]Input!$1:$1048576,JP$93,$C605*2+6)</f>
        <v>1716.3055838443925</v>
      </c>
      <c r="JQ605" s="39">
        <f t="shared" si="1995"/>
        <v>2407.09809348013</v>
      </c>
      <c r="JR605" s="39">
        <f t="shared" si="1996"/>
        <v>1872.0963226754775</v>
      </c>
      <c r="JS605" s="39">
        <f t="shared" si="1997"/>
        <v>26.563089956427199</v>
      </c>
      <c r="JT605" s="39">
        <f t="shared" si="1987"/>
        <v>14.367022477628945</v>
      </c>
      <c r="JU605" s="385">
        <f>(JQ605*JM605-INDEX([1]Input!$1:$1048576,[1]Input!A$18,$C605*2+6)*JL605*INDEX([1]Input!$1:$1048576,[1]Input!A$19,$C605*2+6))/1000000</f>
        <v>17.818506637977968</v>
      </c>
      <c r="JV605" s="39">
        <f t="shared" si="1966"/>
        <v>-12.589448883223781</v>
      </c>
      <c r="JW605" s="1">
        <f t="shared" si="2000"/>
        <v>-0.41401826158440247</v>
      </c>
      <c r="JX605" s="19">
        <f t="shared" si="2001"/>
        <v>48457.899878653749</v>
      </c>
      <c r="JZ605" s="468"/>
      <c r="KA605" s="472"/>
      <c r="KB605" s="469">
        <f t="shared" si="1988"/>
        <v>0</v>
      </c>
      <c r="KC605" s="472"/>
      <c r="KD605" s="472"/>
      <c r="KE605" s="472"/>
      <c r="KF605" s="472"/>
      <c r="KG605" s="887"/>
      <c r="KH605" s="472"/>
      <c r="KI605" s="472"/>
      <c r="KJ605" s="472"/>
      <c r="KK605" s="472"/>
      <c r="KL605" s="472"/>
      <c r="KN605" s="888">
        <f t="shared" si="1989"/>
        <v>6002</v>
      </c>
      <c r="KO605" s="541">
        <f t="shared" si="1967"/>
        <v>-3.1358779094081801E-2</v>
      </c>
      <c r="KP605" s="546">
        <f t="shared" si="1968"/>
        <v>-175.60416457187534</v>
      </c>
      <c r="KQ605" s="546">
        <f t="shared" si="1969"/>
        <v>-9.0465837700567135</v>
      </c>
      <c r="KR605" s="472">
        <f t="shared" si="1970"/>
        <v>2.8746445904589302</v>
      </c>
      <c r="KS605" s="472">
        <f t="shared" si="1971"/>
        <v>55.800020712728831</v>
      </c>
      <c r="KT605" s="473">
        <f t="shared" si="1998"/>
        <v>2521.945896759994</v>
      </c>
      <c r="KU605" s="663">
        <f t="shared" si="1990"/>
        <v>10.6215307105145</v>
      </c>
      <c r="KV605" s="117"/>
    </row>
    <row r="606" spans="1:310" s="26" customFormat="1" ht="15">
      <c r="A606" s="561">
        <f t="shared" si="1972"/>
        <v>6006</v>
      </c>
      <c r="B606" s="561">
        <f t="shared" si="1991"/>
        <v>6</v>
      </c>
      <c r="C606" s="561">
        <f t="shared" si="1992"/>
        <v>6</v>
      </c>
      <c r="D606" s="561" t="s">
        <v>742</v>
      </c>
      <c r="E606" s="115">
        <f>INDEX(Input!$1:$1048576,E$93,$C606*2+MIN($B606,1)+5)</f>
        <v>750.00000000000011</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1.8999999999999996E-2</v>
      </c>
      <c r="W606" s="862">
        <f>INDEX(Input!$1:$1048576,W$93,$C606*2+MIN($B606,1)+5)</f>
        <v>3.9E-2</v>
      </c>
      <c r="X606" s="118" t="str">
        <f>INDEX(Input!$1:$1048576,X$93,$C606*2+MIN($B606,1)+5)</f>
        <v>Y</v>
      </c>
      <c r="Y606" s="150">
        <f>INDEX(Input!$1:$1048576,Y$93,$C606*2+MIN($B606,1)+5)</f>
        <v>2459.7093336934013</v>
      </c>
      <c r="Z606" s="477">
        <f>INDEX(Input!$1:$1048576,Z$93,$C606*2+MIN($B606,1)+5)+500</f>
        <v>500</v>
      </c>
      <c r="AA606" s="115">
        <f>INDEX(Input!$1:$1048576,AA$93,$C606*2+MIN($B606,1)+5)</f>
        <v>0</v>
      </c>
      <c r="AB606" s="118">
        <f>INDEX(Input!$1:$1048576,AB$93,$C606*2+MIN($B606,1)+5)</f>
        <v>1</v>
      </c>
      <c r="AC606" s="115">
        <f>INDEX(Input!$1:$1048576,AC$93,$C606*2+MIN($B606,1)+5)</f>
        <v>1000</v>
      </c>
      <c r="AD606" s="118">
        <f>INDEX(Input!$1:$1048576,AD$93,$C606*2+MIN($B606,1)+5)</f>
        <v>0.35</v>
      </c>
      <c r="AE606" s="115">
        <f>INDEX(Input!$1:$1048576,AE$93,$C606*2+MIN($B606,1)+5)</f>
        <v>0</v>
      </c>
      <c r="AF606" s="118">
        <f>INDEX(Input!$1:$1048576,AF$93,$C606*2+MIN($B606,1)+5)</f>
        <v>1</v>
      </c>
      <c r="AG606" s="115">
        <f>INDEX(Input!$1:$1048576,AG$93,$C606*2+MIN($B606,1)+5)</f>
        <v>500</v>
      </c>
      <c r="AH606" s="118">
        <f>INDEX(Input!$1:$1048576,AH$93,$C606*2+MIN($B606,1)+5)</f>
        <v>1</v>
      </c>
      <c r="AI606" s="115">
        <f>INDEX(Input!$1:$1048576,AI$93,$C606*2+MIN($B606,1)+5)</f>
        <v>500</v>
      </c>
      <c r="AJ606" s="118">
        <f>INDEX(Input!$1:$1048576,AJ$93,$C606*2+MIN($B606,1)+5)</f>
        <v>0.35</v>
      </c>
      <c r="AK606" s="150">
        <f>ROUND(INDEX(Input!$1:$1048576,AK$93,$C605*2+MIN($B606,1)+5)+(Y606-VLOOKUP($C606*1000+1,$A:$HH,Y$92,FALSE)),0)</f>
        <v>5213</v>
      </c>
      <c r="AL606" s="150">
        <f>ROUND(INDEX(Input!$1:$1048576,AL$93,$C605*2+MIN($B606,1)+5)-(Y606-VLOOKUP($C606*1000+1,$A:$HH,Y$92,FALSE))/36,0)</f>
        <v>5213</v>
      </c>
      <c r="AM606" s="32" t="str">
        <f t="shared" si="1973"/>
        <v>std/std/std/std</v>
      </c>
      <c r="AN606" s="32" t="str">
        <f t="shared" si="1974"/>
        <v>$0 + 0/0/0/1.9/3.9</v>
      </c>
      <c r="AO606" s="32" t="str">
        <f t="shared" si="1975"/>
        <v>0/0/0/1.9/3.9</v>
      </c>
      <c r="AP606" s="32" t="str">
        <f t="shared" si="1939"/>
        <v>0/0.9/1.9/3.9</v>
      </c>
      <c r="AQ606" s="536">
        <f t="shared" si="1940"/>
        <v>850.32959585642266</v>
      </c>
      <c r="AR606" s="32"/>
      <c r="AS606" s="302"/>
      <c r="AT606" s="3">
        <f t="shared" si="1993"/>
        <v>6</v>
      </c>
      <c r="AU606" s="41" t="s">
        <v>121</v>
      </c>
      <c r="AV606" s="41" t="s">
        <v>116</v>
      </c>
      <c r="AW606" s="41" t="str">
        <f>INDEX(Input!$1:$1048576,AW$93,$C606*2+6)</f>
        <v>Kia</v>
      </c>
      <c r="AX606" s="41" t="str">
        <f>INDEX(Input!$1:$1048576,AX$93,$C606*2+6)</f>
        <v>National</v>
      </c>
      <c r="AY606" s="41" t="str">
        <f>IF(LEN(D606)=0,"",INDEX(Input!$1:$1048576,AY$93,$C606*2+6))</f>
        <v>Compact Conventional/Sporty Car (43)</v>
      </c>
      <c r="AZ606" s="41" t="str">
        <f>INDEX(Input!$1:$1048576,AZ$93,$C606*2+6)</f>
        <v>Kia Forte</v>
      </c>
      <c r="BA606" s="3">
        <f>INDEX(Input!$1:$1048576,BA$93,$C606*2+6)</f>
        <v>2020</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19695</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941"/>
        <v>1315</v>
      </c>
      <c r="CJ606" s="16" t="str">
        <f>INDEX(Input!$1:$1048576,CJ$93,$C606*2+6)</f>
        <v>N</v>
      </c>
      <c r="CK606" s="1" t="str">
        <f t="shared" si="1942"/>
        <v>Market</v>
      </c>
      <c r="CL606" s="1" t="str">
        <f t="shared" si="1943"/>
        <v>Market</v>
      </c>
      <c r="CM606" s="1" t="str">
        <f t="shared" si="1944"/>
        <v>Market</v>
      </c>
      <c r="CN606" s="1" t="str">
        <f t="shared" si="1945"/>
        <v>Market</v>
      </c>
      <c r="CO606" s="1" t="str">
        <f t="shared" si="1946"/>
        <v>Market</v>
      </c>
      <c r="CP606" s="304">
        <f t="shared" si="1947"/>
        <v>350</v>
      </c>
      <c r="CQ606" s="1">
        <f t="shared" si="1948"/>
        <v>0</v>
      </c>
      <c r="CR606" s="1">
        <f t="shared" si="1949"/>
        <v>0</v>
      </c>
      <c r="CS606" s="1">
        <f t="shared" si="1950"/>
        <v>0</v>
      </c>
      <c r="CT606" s="1">
        <f t="shared" si="1951"/>
        <v>1.8999999999999996E-2</v>
      </c>
      <c r="CU606" s="1">
        <f t="shared" si="1952"/>
        <v>3.9E-2</v>
      </c>
      <c r="CV606" s="304">
        <f t="shared" si="1768"/>
        <v>2634.7093336934013</v>
      </c>
      <c r="CW606" s="20" t="s">
        <v>122</v>
      </c>
      <c r="CX606" s="20" t="s">
        <v>122</v>
      </c>
      <c r="CY606" s="20" t="s">
        <v>122</v>
      </c>
      <c r="CZ606" s="20" t="s">
        <v>122</v>
      </c>
      <c r="DA606" s="20" t="s">
        <v>122</v>
      </c>
      <c r="DB606" s="503">
        <f t="shared" si="1769"/>
        <v>1000</v>
      </c>
      <c r="DC606" s="127">
        <v>0</v>
      </c>
      <c r="DD606" s="127">
        <v>0</v>
      </c>
      <c r="DE606" s="127">
        <v>0</v>
      </c>
      <c r="DF606" s="127">
        <v>0</v>
      </c>
      <c r="DG606" s="127">
        <v>0</v>
      </c>
      <c r="DH606" s="127">
        <v>0</v>
      </c>
      <c r="DI606" s="127">
        <v>0</v>
      </c>
      <c r="DJ606" s="127">
        <v>0</v>
      </c>
      <c r="DK606" s="127">
        <v>0</v>
      </c>
      <c r="DL606" s="127">
        <v>0</v>
      </c>
      <c r="DM606" s="304">
        <f>INDEX(Input!$1:$1048576,DM$93,$C606*2+6)</f>
        <v>20731.578947368424</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v>4.9208127572282934E-2</v>
      </c>
      <c r="DZ606" s="7">
        <v>0</v>
      </c>
      <c r="EA606" s="7">
        <v>0.77251456034504784</v>
      </c>
      <c r="EB606" s="7">
        <v>0</v>
      </c>
      <c r="EC606" s="7">
        <v>0</v>
      </c>
      <c r="ED606" s="7">
        <v>0</v>
      </c>
      <c r="EE606" s="7">
        <v>0</v>
      </c>
      <c r="EF606" s="7">
        <v>0</v>
      </c>
      <c r="EG606" s="7">
        <v>0</v>
      </c>
      <c r="EH606" s="7">
        <v>2.9733367498431258E-2</v>
      </c>
      <c r="EI606" s="7">
        <v>1.9433480941580702E-2</v>
      </c>
      <c r="EJ606" s="7">
        <v>0.26168228656618941</v>
      </c>
      <c r="EK606" s="7">
        <v>0.6891508649937983</v>
      </c>
      <c r="EL606" s="7">
        <v>0</v>
      </c>
      <c r="EM606" s="7">
        <v>2.8672253978102559E-2</v>
      </c>
      <c r="EN606" s="7">
        <v>3.6148333097842697E-2</v>
      </c>
      <c r="EO606" s="7">
        <v>0.38599146496542464</v>
      </c>
      <c r="EP606" s="7">
        <v>0.48057264445481096</v>
      </c>
      <c r="EQ606" s="7">
        <v>7.399113674674733E-2</v>
      </c>
      <c r="ER606" s="7">
        <v>2.3296420735174392E-2</v>
      </c>
      <c r="ES606" s="7">
        <v>0.14960505810456662</v>
      </c>
      <c r="ET606" s="7">
        <v>0.17827731208266925</v>
      </c>
      <c r="EU606" s="6">
        <v>1000</v>
      </c>
      <c r="EV606" s="6">
        <v>0</v>
      </c>
      <c r="EW606" s="6">
        <v>1000</v>
      </c>
      <c r="EX606" s="6">
        <v>0</v>
      </c>
      <c r="EY606" s="6">
        <v>1884.3688869390048</v>
      </c>
      <c r="EZ606" s="6">
        <v>-1054.2676731795959</v>
      </c>
      <c r="FA606" s="6">
        <v>0</v>
      </c>
      <c r="FB606" s="6">
        <v>0</v>
      </c>
      <c r="FC606" s="6">
        <v>0</v>
      </c>
      <c r="FD606" s="6">
        <v>0</v>
      </c>
      <c r="FE606" s="6">
        <v>0</v>
      </c>
      <c r="FF606" s="6">
        <v>0</v>
      </c>
      <c r="FG606" s="6">
        <v>0</v>
      </c>
      <c r="FH606" s="6">
        <v>1158.6186804678218</v>
      </c>
      <c r="FI606" s="6">
        <v>1531.4299904380623</v>
      </c>
      <c r="FJ606" s="6">
        <v>1709.9775738488463</v>
      </c>
      <c r="FK606" s="6">
        <v>1266.3227157028186</v>
      </c>
      <c r="FL606" s="6">
        <v>0</v>
      </c>
      <c r="FM606" s="6">
        <v>1384.3688869390048</v>
      </c>
      <c r="FN606" s="6">
        <v>0</v>
      </c>
      <c r="FO606" s="6">
        <v>0</v>
      </c>
      <c r="FP606" s="6">
        <v>0</v>
      </c>
      <c r="FQ606" s="6">
        <v>0</v>
      </c>
      <c r="FR606" s="6">
        <v>0</v>
      </c>
      <c r="FS606" s="6">
        <v>0</v>
      </c>
      <c r="FT606" s="7">
        <v>0.82172268791733072</v>
      </c>
      <c r="FU606" s="7">
        <v>2.8672253978102559E-2</v>
      </c>
      <c r="FV606" s="7">
        <v>0.14960505810456662</v>
      </c>
      <c r="FW606" s="6">
        <v>1000</v>
      </c>
      <c r="FX606" s="6">
        <v>1884.3688869390048</v>
      </c>
      <c r="FY606" s="6">
        <v>-1054.2676731795959</v>
      </c>
      <c r="FZ606" s="6">
        <v>1676.0854837363124</v>
      </c>
      <c r="GA606" s="6">
        <v>718.0280147282806</v>
      </c>
      <c r="GB606" s="6">
        <v>18976.971985271721</v>
      </c>
      <c r="GC606" s="7">
        <v>6.4493561548621597E-2</v>
      </c>
      <c r="GD606" s="7">
        <v>5.6138406425991202E-2</v>
      </c>
      <c r="GE606" s="7"/>
      <c r="GF606" s="7"/>
      <c r="GG606" s="7">
        <v>-0.12955022054924747</v>
      </c>
      <c r="GH606" s="42">
        <v>2.6631926332761973</v>
      </c>
      <c r="GI606" s="6">
        <v>8113.2872813370468</v>
      </c>
      <c r="GJ606" s="14">
        <v>0.51596255589662321</v>
      </c>
      <c r="GK606" s="14">
        <v>0.51419567426615964</v>
      </c>
      <c r="GL606" s="14">
        <v>0.48403744410337646</v>
      </c>
      <c r="GM606" s="14">
        <v>0.48580432573384025</v>
      </c>
      <c r="GO606" s="5">
        <v>338.16872463277008</v>
      </c>
      <c r="GP606" s="5">
        <v>319.09063235707856</v>
      </c>
      <c r="GQ606" s="5">
        <v>527.27910984145694</v>
      </c>
      <c r="GR606" s="5">
        <v>404.20319246551543</v>
      </c>
      <c r="GS606" s="5">
        <v>334.50205195691484</v>
      </c>
      <c r="GT606" s="5">
        <v>289.18266033348181</v>
      </c>
      <c r="GU606" s="5">
        <v>254.29573314828914</v>
      </c>
      <c r="GV606" s="39" t="s">
        <v>392</v>
      </c>
      <c r="GW606" s="5">
        <v>478.48611111111109</v>
      </c>
      <c r="GX606" s="5">
        <v>358.86458333333331</v>
      </c>
      <c r="GY606" s="5">
        <v>293.70730201644801</v>
      </c>
      <c r="GZ606" s="5">
        <v>260.94874922811567</v>
      </c>
      <c r="HA606" s="5">
        <v>247.12257207671746</v>
      </c>
      <c r="HB606" s="39">
        <v>277.8920460478347</v>
      </c>
      <c r="HC606" s="5">
        <v>329.23983570160732</v>
      </c>
      <c r="HD606" s="5">
        <v>267.8072071998439</v>
      </c>
      <c r="HE606" s="5">
        <v>266.69517832103014</v>
      </c>
      <c r="HF606" s="5">
        <v>242.08311428438341</v>
      </c>
      <c r="HG606" s="5">
        <v>227.78173127980187</v>
      </c>
      <c r="HH606" s="39">
        <v>266.65767845524721</v>
      </c>
      <c r="HI606" s="16"/>
      <c r="HJ606" s="19" t="str">
        <f t="shared" ref="HJ606:HK606" si="2003">HJ605</f>
        <v>On</v>
      </c>
      <c r="HK606" s="1" t="str">
        <f t="shared" si="2003"/>
        <v>On</v>
      </c>
      <c r="HL606" s="16"/>
      <c r="HM606" s="639">
        <f t="shared" si="1976"/>
        <v>4.9686942767030826E-2</v>
      </c>
      <c r="HN606" s="639">
        <f t="shared" si="1953"/>
        <v>2.6112822013589915E-3</v>
      </c>
      <c r="HO606" s="639">
        <f t="shared" si="1953"/>
        <v>3.166115353075552E-2</v>
      </c>
      <c r="HP606" s="644">
        <f t="shared" si="1954"/>
        <v>287.06179919563698</v>
      </c>
      <c r="HQ606" s="644">
        <f t="shared" si="1954"/>
        <v>17.094939679529364</v>
      </c>
      <c r="HR606" s="644">
        <f t="shared" si="1954"/>
        <v>169.53871475142557</v>
      </c>
      <c r="HS606" s="644">
        <f t="shared" si="1954"/>
        <v>-81.395190520615429</v>
      </c>
      <c r="HT606" s="644">
        <f t="shared" si="1954"/>
        <v>223.03374508862493</v>
      </c>
      <c r="HU606" s="644">
        <f t="shared" si="1954"/>
        <v>147.89904838975374</v>
      </c>
      <c r="HV606" s="644">
        <f t="shared" si="1954"/>
        <v>0</v>
      </c>
      <c r="HW606" s="644">
        <f t="shared" si="1954"/>
        <v>0</v>
      </c>
      <c r="HX606" s="644">
        <f t="shared" si="1954"/>
        <v>0</v>
      </c>
      <c r="HY606" s="644">
        <f t="shared" si="1954"/>
        <v>2388</v>
      </c>
      <c r="HZ606" s="644">
        <f t="shared" si="1954"/>
        <v>2518</v>
      </c>
      <c r="IA606" s="644">
        <f t="shared" si="1954"/>
        <v>2200</v>
      </c>
      <c r="IB606" s="644">
        <f t="shared" si="1954"/>
        <v>2593.6666086750211</v>
      </c>
      <c r="IC606" s="644">
        <f t="shared" si="1954"/>
        <v>2758.1286847681545</v>
      </c>
      <c r="ID606" s="644">
        <f t="shared" si="1954"/>
        <v>2517.4377631411789</v>
      </c>
      <c r="IE606" s="20">
        <f t="shared" si="1977"/>
        <v>0.32959585642273548</v>
      </c>
      <c r="IF606" s="20">
        <f t="shared" si="1956"/>
        <v>0.35049523440665792</v>
      </c>
      <c r="IG606" s="20">
        <f t="shared" si="1957"/>
        <v>0.31990890917060655</v>
      </c>
      <c r="IH606" s="21"/>
      <c r="II606" s="19"/>
      <c r="IJ606" s="19"/>
      <c r="IK606" s="19"/>
      <c r="IL606" s="19">
        <f t="shared" si="1978"/>
        <v>500</v>
      </c>
      <c r="IM606" s="19">
        <f t="shared" si="1958"/>
        <v>500.04592172051753</v>
      </c>
      <c r="IN606" s="19">
        <f t="shared" si="1958"/>
        <v>500.00862183197933</v>
      </c>
      <c r="IO606" s="39"/>
      <c r="IP606" s="39"/>
      <c r="IQ606" s="39"/>
      <c r="IR606" s="39"/>
      <c r="IS606" s="39"/>
      <c r="IT606" s="39"/>
      <c r="IU606" s="39"/>
      <c r="IV606" s="39"/>
      <c r="IW606" s="39"/>
      <c r="IX606" s="19">
        <f t="shared" si="1979"/>
        <v>1600</v>
      </c>
      <c r="IY606" s="19">
        <f t="shared" si="1959"/>
        <v>2503.549291639752</v>
      </c>
      <c r="IZ606" s="19">
        <f t="shared" si="1959"/>
        <v>5888.3563810918577</v>
      </c>
      <c r="JA606" s="19">
        <f t="shared" si="1980"/>
        <v>2100</v>
      </c>
      <c r="JB606" s="19">
        <f t="shared" si="1980"/>
        <v>3003.5952133602696</v>
      </c>
      <c r="JC606" s="19">
        <f t="shared" si="1980"/>
        <v>6388.365002923837</v>
      </c>
      <c r="JD606" s="19">
        <f t="shared" si="1981"/>
        <v>3788.5919863262116</v>
      </c>
      <c r="JE606" s="21"/>
      <c r="JF606" s="1">
        <f t="shared" si="1982"/>
        <v>6.8844376252282569E-2</v>
      </c>
      <c r="JG606" s="15">
        <f t="shared" si="1983"/>
        <v>7106</v>
      </c>
      <c r="JH606" s="1">
        <f t="shared" si="1984"/>
        <v>6.6661336001490559E-2</v>
      </c>
      <c r="JI606" s="1">
        <f t="shared" si="1985"/>
        <v>4.0745511252147947E-2</v>
      </c>
      <c r="JJ606" s="1">
        <f t="shared" si="1962"/>
        <v>0</v>
      </c>
      <c r="JK606" s="1">
        <f t="shared" si="1963"/>
        <v>0.1074068472536385</v>
      </c>
      <c r="JL606" s="15">
        <f t="shared" si="1986"/>
        <v>763.23305658435515</v>
      </c>
      <c r="JM606" s="15">
        <f t="shared" si="1986"/>
        <v>7869.2330565843549</v>
      </c>
      <c r="JN606" s="21"/>
      <c r="JO606" s="19">
        <f>INDEX([1]Input!$1:$1048576,JO$93,$C606*2+6)</f>
        <v>5995.5</v>
      </c>
      <c r="JP606" s="19">
        <f>INDEX([1]Input!$1:$1048576,JP$93,$C606*2+6)</f>
        <v>1716.3055838443925</v>
      </c>
      <c r="JQ606" s="39">
        <f t="shared" si="1995"/>
        <v>2206.9080136737884</v>
      </c>
      <c r="JR606" s="39">
        <f t="shared" si="1996"/>
        <v>2072.2864024818191</v>
      </c>
      <c r="JS606" s="39">
        <f t="shared" si="1997"/>
        <v>29.813313296708806</v>
      </c>
      <c r="JT606" s="39">
        <f t="shared" si="1987"/>
        <v>17.61724581791055</v>
      </c>
      <c r="JU606" s="385">
        <f>(JQ606*JM606-INDEX([1]Input!$1:$1048576,[1]Input!A$18,$C606*2+6)*JL606*INDEX([1]Input!$1:$1048576,[1]Input!A$19,$C606*2+6))/1000000</f>
        <v>17.366673494042693</v>
      </c>
      <c r="JV606" s="39">
        <f t="shared" si="1966"/>
        <v>-13.041282027159056</v>
      </c>
      <c r="JW606" s="1">
        <f t="shared" si="2000"/>
        <v>-0.42887730541654162</v>
      </c>
      <c r="JX606" s="19">
        <f t="shared" si="2001"/>
        <v>23082.393596461621</v>
      </c>
      <c r="JZ606" s="468"/>
      <c r="KA606" s="472"/>
      <c r="KB606" s="469">
        <f t="shared" si="1988"/>
        <v>0</v>
      </c>
      <c r="KI606" s="472"/>
      <c r="KJ606" s="472"/>
      <c r="KK606" s="472"/>
      <c r="KN606" s="888">
        <f t="shared" si="1989"/>
        <v>6002</v>
      </c>
      <c r="KO606" s="541">
        <f t="shared" si="1967"/>
        <v>2.9716898762486732E-2</v>
      </c>
      <c r="KP606" s="546">
        <f t="shared" si="1968"/>
        <v>145.45844504858002</v>
      </c>
      <c r="KQ606" s="546">
        <f t="shared" si="1969"/>
        <v>191.14349603628489</v>
      </c>
      <c r="KR606" s="472">
        <f t="shared" si="1970"/>
        <v>3.2887008270864198</v>
      </c>
      <c r="KS606" s="472">
        <f t="shared" si="1971"/>
        <v>2.5026711264460735</v>
      </c>
      <c r="KT606" s="473">
        <f t="shared" si="1998"/>
        <v>2521.945896759994</v>
      </c>
      <c r="KU606" s="663">
        <f t="shared" si="1990"/>
        <v>11.022398974739039</v>
      </c>
      <c r="KV606" s="117"/>
    </row>
    <row r="607" spans="1:310" s="26" customFormat="1" ht="15">
      <c r="A607" s="561">
        <f t="shared" si="1972"/>
        <v>6007</v>
      </c>
      <c r="B607" s="561">
        <f t="shared" si="1991"/>
        <v>7</v>
      </c>
      <c r="C607" s="561">
        <f t="shared" si="1992"/>
        <v>6</v>
      </c>
      <c r="D607" s="561" t="s">
        <v>634</v>
      </c>
      <c r="E607" s="475">
        <f>INDEX(Input!$1:$1048576,E$93,$C607*2+MIN($B607,1)+5)</f>
        <v>750.00000000000011</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1.8999999999999996E-2</v>
      </c>
      <c r="W607" s="863">
        <f>IFERROR(MAX(0,INDEX(Input!$1:$1048576,W$93,$C607*2+MIN($B607,1)+5)-0%),"Market")</f>
        <v>3.9E-2</v>
      </c>
      <c r="X607" s="476" t="str">
        <f>INDEX(Input!$1:$1048576,X$93,$C607*2+MIN($B607,1)+5)</f>
        <v>Y</v>
      </c>
      <c r="Y607" s="475">
        <f>INDEX(Input!$1:$1048576,Y$93,$C607*2+MIN($B607,1)+5)</f>
        <v>2459.7093336934013</v>
      </c>
      <c r="Z607" s="477">
        <f>INDEX(Input!$1:$1048576,Z$93,$C607*2+MIN($B607,1)+5)</f>
        <v>0</v>
      </c>
      <c r="AA607" s="475">
        <f>INDEX(Input!$1:$1048576,AA$93,$C607*2+MIN($B607,1)+5)</f>
        <v>0</v>
      </c>
      <c r="AB607" s="476">
        <f>INDEX(Input!$1:$1048576,AB$93,$C607*2+MIN($B607,1)+5)</f>
        <v>1</v>
      </c>
      <c r="AC607" s="475">
        <f>INDEX(Input!$1:$1048576,AC$93,$C607*2+MIN($B607,1)+5)</f>
        <v>1000</v>
      </c>
      <c r="AD607" s="476">
        <f>INDEX(Input!$1:$1048576,AD$93,$C607*2+MIN($B607,1)+5)</f>
        <v>0.35</v>
      </c>
      <c r="AE607" s="475">
        <f>INDEX(Input!$1:$1048576,AE$93,$C607*2+MIN($B607,1)+5)</f>
        <v>0</v>
      </c>
      <c r="AF607" s="476">
        <f>INDEX(Input!$1:$1048576,AF$93,$C607*2+MIN($B607,1)+5)</f>
        <v>1</v>
      </c>
      <c r="AG607" s="475">
        <f>INDEX(Input!$1:$1048576,AG$93,$C607*2+MIN($B607,1)+5)</f>
        <v>500</v>
      </c>
      <c r="AH607" s="476">
        <f>INDEX(Input!$1:$1048576,AH$93,$C607*2+MIN($B607,1)+5)</f>
        <v>1</v>
      </c>
      <c r="AI607" s="475">
        <f>INDEX(Input!$1:$1048576,AI$93,$C607*2+MIN($B607,1)+5)</f>
        <v>500</v>
      </c>
      <c r="AJ607" s="476">
        <f>INDEX(Input!$1:$1048576,AJ$93,$C607*2+MIN($B607,1)+5)</f>
        <v>0.35</v>
      </c>
      <c r="AK607" s="150">
        <f>ROUND(INDEX(Input!$1:$1048576,AK$93,$C606*2+MIN($B607,1)+5)+(Y607-VLOOKUP($C607*1000+1,$A:$HH,Y$92,FALSE)),0)</f>
        <v>5213</v>
      </c>
      <c r="AL607" s="150">
        <f>ROUND(INDEX(Input!$1:$1048576,AL$93,$C606*2+MIN($B607,1)+5)-(Y607-VLOOKUP($C607*1000+1,$A:$HH,Y$92,FALSE))/36,0)</f>
        <v>5213</v>
      </c>
      <c r="AM607" s="32" t="str">
        <f t="shared" si="1973"/>
        <v>std/std/std/std</v>
      </c>
      <c r="AN607" s="32" t="str">
        <f t="shared" si="1974"/>
        <v>$0 + 0/0/0/1.9/3.9</v>
      </c>
      <c r="AO607" s="32" t="str">
        <f t="shared" si="1975"/>
        <v>0/0/0/1.9/3.9</v>
      </c>
      <c r="AP607" s="32" t="str">
        <f t="shared" si="1939"/>
        <v>0/0.9/1.9/3.9</v>
      </c>
      <c r="AQ607" s="536">
        <f t="shared" si="1940"/>
        <v>850.33605403884042</v>
      </c>
      <c r="AR607" s="32"/>
      <c r="AS607" s="302"/>
      <c r="AT607" s="3">
        <f t="shared" si="1993"/>
        <v>7</v>
      </c>
      <c r="AU607" s="41" t="s">
        <v>121</v>
      </c>
      <c r="AV607" s="41" t="s">
        <v>116</v>
      </c>
      <c r="AW607" s="41" t="str">
        <f>INDEX(Input!$1:$1048576,AW$93,$C607*2+6)</f>
        <v>Kia</v>
      </c>
      <c r="AX607" s="41" t="str">
        <f>INDEX(Input!$1:$1048576,AX$93,$C607*2+6)</f>
        <v>National</v>
      </c>
      <c r="AY607" s="41" t="str">
        <f>IF(LEN(D607)=0,"",INDEX(Input!$1:$1048576,AY$93,$C607*2+6))</f>
        <v>Compact Conventional/Sporty Car (43)</v>
      </c>
      <c r="AZ607" s="41" t="str">
        <f>INDEX(Input!$1:$1048576,AZ$93,$C607*2+6)</f>
        <v>Kia Forte</v>
      </c>
      <c r="BA607" s="3">
        <f>INDEX(Input!$1:$1048576,BA$93,$C607*2+6)</f>
        <v>2020</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19695</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941"/>
        <v>1315</v>
      </c>
      <c r="CJ607" s="16" t="str">
        <f>INDEX(Input!$1:$1048576,CJ$93,$C607*2+6)</f>
        <v>N</v>
      </c>
      <c r="CK607" s="1" t="str">
        <f t="shared" si="1942"/>
        <v>Market</v>
      </c>
      <c r="CL607" s="1" t="str">
        <f t="shared" si="1943"/>
        <v>Market</v>
      </c>
      <c r="CM607" s="1" t="str">
        <f t="shared" si="1944"/>
        <v>Market</v>
      </c>
      <c r="CN607" s="1" t="str">
        <f t="shared" si="1945"/>
        <v>Market</v>
      </c>
      <c r="CO607" s="1" t="str">
        <f t="shared" si="1946"/>
        <v>Market</v>
      </c>
      <c r="CP607" s="304">
        <f t="shared" si="1947"/>
        <v>350</v>
      </c>
      <c r="CQ607" s="1">
        <f t="shared" si="1948"/>
        <v>0</v>
      </c>
      <c r="CR607" s="1">
        <f t="shared" si="1949"/>
        <v>0</v>
      </c>
      <c r="CS607" s="1">
        <f t="shared" si="1950"/>
        <v>0</v>
      </c>
      <c r="CT607" s="1">
        <f t="shared" si="1951"/>
        <v>1.8999999999999996E-2</v>
      </c>
      <c r="CU607" s="1">
        <f t="shared" si="1952"/>
        <v>3.9E-2</v>
      </c>
      <c r="CV607" s="304">
        <f t="shared" si="1768"/>
        <v>2634.7093336934013</v>
      </c>
      <c r="CW607" s="20" t="s">
        <v>122</v>
      </c>
      <c r="CX607" s="20" t="s">
        <v>122</v>
      </c>
      <c r="CY607" s="20" t="s">
        <v>122</v>
      </c>
      <c r="CZ607" s="20" t="s">
        <v>122</v>
      </c>
      <c r="DA607" s="20" t="s">
        <v>122</v>
      </c>
      <c r="DB607" s="503">
        <f t="shared" si="1769"/>
        <v>500</v>
      </c>
      <c r="DC607" s="127">
        <v>0</v>
      </c>
      <c r="DD607" s="127">
        <v>0</v>
      </c>
      <c r="DE607" s="127">
        <v>0</v>
      </c>
      <c r="DF607" s="127">
        <v>0</v>
      </c>
      <c r="DG607" s="127">
        <v>0</v>
      </c>
      <c r="DH607" s="127">
        <v>0</v>
      </c>
      <c r="DI607" s="127">
        <v>0</v>
      </c>
      <c r="DJ607" s="127">
        <v>0</v>
      </c>
      <c r="DK607" s="127">
        <v>0</v>
      </c>
      <c r="DL607" s="127">
        <v>0</v>
      </c>
      <c r="DM607" s="304">
        <f>INDEX(Input!$1:$1048576,DM$93,$C607*2+6)</f>
        <v>20731.578947368424</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v>4.8550069186653971E-2</v>
      </c>
      <c r="DZ607" s="7">
        <v>0</v>
      </c>
      <c r="EA607" s="7">
        <v>0.76317010213990089</v>
      </c>
      <c r="EB607" s="7">
        <v>0</v>
      </c>
      <c r="EC607" s="7">
        <v>0</v>
      </c>
      <c r="ED607" s="7">
        <v>0</v>
      </c>
      <c r="EE607" s="7">
        <v>0</v>
      </c>
      <c r="EF607" s="7">
        <v>0</v>
      </c>
      <c r="EG607" s="7">
        <v>0</v>
      </c>
      <c r="EH607" s="7">
        <v>2.9703175162210427E-2</v>
      </c>
      <c r="EI607" s="7">
        <v>1.9429378284582938E-2</v>
      </c>
      <c r="EJ607" s="7">
        <v>0.26139701933578535</v>
      </c>
      <c r="EK607" s="7">
        <v>0.68947042721742113</v>
      </c>
      <c r="EL607" s="7">
        <v>0</v>
      </c>
      <c r="EM607" s="7">
        <v>2.8262818150259363E-2</v>
      </c>
      <c r="EN607" s="7">
        <v>3.6766370128035283E-2</v>
      </c>
      <c r="EO607" s="7">
        <v>0.38202651488697609</v>
      </c>
      <c r="EP607" s="7">
        <v>0.48276471523810516</v>
      </c>
      <c r="EQ607" s="7">
        <v>7.4710293360374005E-2</v>
      </c>
      <c r="ER607" s="7">
        <v>2.3732106386509352E-2</v>
      </c>
      <c r="ES607" s="7">
        <v>0.16001701052318573</v>
      </c>
      <c r="ET607" s="7">
        <v>0.18827982867344514</v>
      </c>
      <c r="EU607" s="6">
        <v>500</v>
      </c>
      <c r="EV607" s="6">
        <v>0</v>
      </c>
      <c r="EW607" s="6">
        <v>500</v>
      </c>
      <c r="EX607" s="6">
        <v>0</v>
      </c>
      <c r="EY607" s="6">
        <v>1384.2439984836128</v>
      </c>
      <c r="EZ607" s="6">
        <v>-1554.2676731795959</v>
      </c>
      <c r="FA607" s="6">
        <v>0</v>
      </c>
      <c r="FB607" s="6">
        <v>0</v>
      </c>
      <c r="FC607" s="6">
        <v>0</v>
      </c>
      <c r="FD607" s="6">
        <v>0</v>
      </c>
      <c r="FE607" s="6">
        <v>0</v>
      </c>
      <c r="FF607" s="6">
        <v>0</v>
      </c>
      <c r="FG607" s="6">
        <v>0</v>
      </c>
      <c r="FH607" s="6">
        <v>1158.6021012644371</v>
      </c>
      <c r="FI607" s="6">
        <v>1531.4299904380621</v>
      </c>
      <c r="FJ607" s="6">
        <v>1709.9775738488459</v>
      </c>
      <c r="FK607" s="6">
        <v>1266.3227157028191</v>
      </c>
      <c r="FL607" s="6">
        <v>0</v>
      </c>
      <c r="FM607" s="6">
        <v>1384.2439984836128</v>
      </c>
      <c r="FN607" s="6">
        <v>0</v>
      </c>
      <c r="FO607" s="6">
        <v>0</v>
      </c>
      <c r="FP607" s="6">
        <v>0</v>
      </c>
      <c r="FQ607" s="6">
        <v>0</v>
      </c>
      <c r="FR607" s="6">
        <v>0</v>
      </c>
      <c r="FS607" s="6">
        <v>0</v>
      </c>
      <c r="FT607" s="7">
        <v>0.81172017132655483</v>
      </c>
      <c r="FU607" s="7">
        <v>2.8262818150259363E-2</v>
      </c>
      <c r="FV607" s="7">
        <v>0.16001701052318573</v>
      </c>
      <c r="FW607" s="6">
        <v>500.00000000000006</v>
      </c>
      <c r="FX607" s="6">
        <v>1384.2439984836128</v>
      </c>
      <c r="FY607" s="6">
        <v>-1554.2676731795959</v>
      </c>
      <c r="FZ607" s="6">
        <v>1676.0854837363124</v>
      </c>
      <c r="GA607" s="6">
        <v>196.27345545298093</v>
      </c>
      <c r="GB607" s="6">
        <v>19498.726544547018</v>
      </c>
      <c r="GC607" s="7">
        <v>6.4493561548621597E-2</v>
      </c>
      <c r="GD607" s="7">
        <v>5.063995463212586E-2</v>
      </c>
      <c r="GE607" s="7"/>
      <c r="GF607" s="7"/>
      <c r="GG607" s="7">
        <v>-0.21480604550039503</v>
      </c>
      <c r="GH607" s="42">
        <v>2.8588800369720127</v>
      </c>
      <c r="GI607" s="6">
        <v>7085.3348169992978</v>
      </c>
      <c r="GJ607" s="14">
        <v>0.51596255589662343</v>
      </c>
      <c r="GK607" s="14">
        <v>0.51419567426615931</v>
      </c>
      <c r="GL607" s="14">
        <v>0.48403744410337651</v>
      </c>
      <c r="GM607" s="14">
        <v>0.48580432573384036</v>
      </c>
      <c r="GO607" s="5">
        <v>338.16872463277008</v>
      </c>
      <c r="GP607" s="5">
        <v>328.62967849492429</v>
      </c>
      <c r="GQ607" s="5">
        <v>527.27910984145694</v>
      </c>
      <c r="GR607" s="5">
        <v>404.20319246551543</v>
      </c>
      <c r="GS607" s="5">
        <v>334.50205195691484</v>
      </c>
      <c r="GT607" s="5">
        <v>289.18266033348181</v>
      </c>
      <c r="GU607" s="5">
        <v>254.29573314828914</v>
      </c>
      <c r="GV607" s="39" t="s">
        <v>392</v>
      </c>
      <c r="GW607" s="5">
        <v>492.375</v>
      </c>
      <c r="GX607" s="5">
        <v>369.28125</v>
      </c>
      <c r="GY607" s="5">
        <v>302.23266563481752</v>
      </c>
      <c r="GZ607" s="5">
        <v>268.52323906086701</v>
      </c>
      <c r="HA607" s="5">
        <v>254.29573314828914</v>
      </c>
      <c r="HB607" s="39">
        <v>285.94155626609904</v>
      </c>
      <c r="HC607" s="5">
        <v>351.11483570160732</v>
      </c>
      <c r="HD607" s="5">
        <v>282.73776275539944</v>
      </c>
      <c r="HE607" s="5">
        <v>280.55735780820959</v>
      </c>
      <c r="HF607" s="5">
        <v>253.64561428438338</v>
      </c>
      <c r="HG607" s="5">
        <v>237.36506461313525</v>
      </c>
      <c r="HH607" s="39">
        <v>280.94884430806911</v>
      </c>
      <c r="HI607" s="16"/>
      <c r="HJ607" s="19" t="str">
        <f t="shared" ref="HJ607:HK607" si="2004">HJ606</f>
        <v>On</v>
      </c>
      <c r="HK607" s="1" t="str">
        <f t="shared" si="2004"/>
        <v>On</v>
      </c>
      <c r="HL607" s="16"/>
      <c r="HM607" s="639">
        <f t="shared" si="1976"/>
        <v>4.9686942767030826E-2</v>
      </c>
      <c r="HN607" s="639">
        <f t="shared" si="1953"/>
        <v>2.6112822013589915E-3</v>
      </c>
      <c r="HO607" s="639">
        <f t="shared" si="1953"/>
        <v>3.166115353075552E-2</v>
      </c>
      <c r="HP607" s="644">
        <f t="shared" si="1954"/>
        <v>0</v>
      </c>
      <c r="HQ607" s="644">
        <f t="shared" si="1954"/>
        <v>0</v>
      </c>
      <c r="HR607" s="644">
        <f t="shared" si="1954"/>
        <v>0</v>
      </c>
      <c r="HS607" s="644">
        <f t="shared" si="1954"/>
        <v>0</v>
      </c>
      <c r="HT607" s="644">
        <f t="shared" si="1954"/>
        <v>0</v>
      </c>
      <c r="HU607" s="644">
        <f t="shared" si="1954"/>
        <v>0</v>
      </c>
      <c r="HV607" s="644">
        <f t="shared" si="1954"/>
        <v>0</v>
      </c>
      <c r="HW607" s="644">
        <f t="shared" si="1954"/>
        <v>0</v>
      </c>
      <c r="HX607" s="644">
        <f t="shared" si="1954"/>
        <v>0</v>
      </c>
      <c r="HY607" s="644">
        <f t="shared" si="1954"/>
        <v>2388</v>
      </c>
      <c r="HZ607" s="644">
        <f t="shared" si="1954"/>
        <v>2518</v>
      </c>
      <c r="IA607" s="644">
        <f t="shared" si="1954"/>
        <v>2200</v>
      </c>
      <c r="IB607" s="644">
        <f t="shared" si="1954"/>
        <v>2388</v>
      </c>
      <c r="IC607" s="644">
        <f t="shared" si="1954"/>
        <v>2518</v>
      </c>
      <c r="ID607" s="644">
        <f t="shared" si="1954"/>
        <v>2200</v>
      </c>
      <c r="IE607" s="20">
        <f t="shared" si="1977"/>
        <v>0.33605403884041657</v>
      </c>
      <c r="IF607" s="20">
        <f t="shared" si="1956"/>
        <v>0.35434843793976922</v>
      </c>
      <c r="IG607" s="20">
        <f t="shared" si="1957"/>
        <v>0.30959752321981426</v>
      </c>
      <c r="IH607" s="21"/>
      <c r="II607" s="19"/>
      <c r="IJ607" s="19"/>
      <c r="IK607" s="19"/>
      <c r="IL607" s="19">
        <f t="shared" si="1978"/>
        <v>0</v>
      </c>
      <c r="IM607" s="19">
        <f t="shared" si="1958"/>
        <v>0</v>
      </c>
      <c r="IN607" s="19">
        <f t="shared" si="1958"/>
        <v>0</v>
      </c>
      <c r="IO607" s="39"/>
      <c r="IP607" s="39"/>
      <c r="IQ607" s="39"/>
      <c r="IR607" s="39"/>
      <c r="IS607" s="39"/>
      <c r="IT607" s="39"/>
      <c r="IU607" s="39"/>
      <c r="IV607" s="39"/>
      <c r="IW607" s="39"/>
      <c r="IX607" s="19">
        <f t="shared" si="1979"/>
        <v>1600</v>
      </c>
      <c r="IY607" s="19">
        <f t="shared" si="1959"/>
        <v>2503.549291639752</v>
      </c>
      <c r="IZ607" s="19">
        <f t="shared" si="1959"/>
        <v>5888.3563810918577</v>
      </c>
      <c r="JA607" s="19">
        <f t="shared" si="1980"/>
        <v>1600</v>
      </c>
      <c r="JB607" s="19">
        <f t="shared" si="1980"/>
        <v>2503.549291639752</v>
      </c>
      <c r="JC607" s="19">
        <f t="shared" si="1980"/>
        <v>5888.3563810918577</v>
      </c>
      <c r="JD607" s="19">
        <f t="shared" si="1981"/>
        <v>3247.8357943640567</v>
      </c>
      <c r="JE607" s="21"/>
      <c r="JF607" s="1">
        <f t="shared" si="1982"/>
        <v>6.8844376252282569E-2</v>
      </c>
      <c r="JG607" s="15">
        <f t="shared" si="1983"/>
        <v>7106</v>
      </c>
      <c r="JH607" s="1">
        <f t="shared" si="1984"/>
        <v>0</v>
      </c>
      <c r="JI607" s="1">
        <f t="shared" si="1985"/>
        <v>0</v>
      </c>
      <c r="JJ607" s="1">
        <f t="shared" si="1962"/>
        <v>0</v>
      </c>
      <c r="JK607" s="1">
        <f t="shared" si="1963"/>
        <v>0</v>
      </c>
      <c r="JL607" s="15">
        <f t="shared" si="1986"/>
        <v>0</v>
      </c>
      <c r="JM607" s="15">
        <f t="shared" si="1986"/>
        <v>7106</v>
      </c>
      <c r="JN607" s="21"/>
      <c r="JO607" s="19">
        <f>INDEX([1]Input!$1:$1048576,JO$93,$C607*2+6)</f>
        <v>5995.5</v>
      </c>
      <c r="JP607" s="19">
        <f>INDEX([1]Input!$1:$1048576,JP$93,$C607*2+6)</f>
        <v>1716.3055838443925</v>
      </c>
      <c r="JQ607" s="39">
        <f t="shared" si="1995"/>
        <v>2747.6642056359433</v>
      </c>
      <c r="JR607" s="39">
        <f t="shared" si="1996"/>
        <v>1531.5302105196643</v>
      </c>
      <c r="JS607" s="39">
        <f t="shared" si="1997"/>
        <v>23.07912115475099</v>
      </c>
      <c r="JT607" s="39">
        <f t="shared" si="1987"/>
        <v>10.883053675952734</v>
      </c>
      <c r="JU607" s="385">
        <f>(JQ607*JM607-INDEX([1]Input!$1:$1048576,[1]Input!A$18,$C607*2+6)*JL607*INDEX([1]Input!$1:$1048576,[1]Input!A$19,$C607*2+6))/1000000</f>
        <v>19.524901845249012</v>
      </c>
      <c r="JV607" s="39">
        <f t="shared" si="1966"/>
        <v>-10.883053675952738</v>
      </c>
      <c r="JW607" s="1">
        <f t="shared" si="2000"/>
        <v>-0.35790152574922701</v>
      </c>
      <c r="JX607" s="19">
        <f t="shared" si="2001"/>
        <v>0</v>
      </c>
      <c r="JZ607" s="468"/>
      <c r="KA607" s="472"/>
      <c r="KB607" s="469">
        <f t="shared" si="1988"/>
        <v>0</v>
      </c>
      <c r="KI607" s="472"/>
      <c r="KJ607" s="472"/>
      <c r="KK607" s="472"/>
      <c r="KN607" s="888">
        <f t="shared" si="1989"/>
        <v>6002</v>
      </c>
      <c r="KO607" s="541">
        <f t="shared" si="1967"/>
        <v>-7.0154838471355285E-2</v>
      </c>
      <c r="KP607" s="546">
        <f t="shared" si="1968"/>
        <v>-356.0260954175647</v>
      </c>
      <c r="KQ607" s="546">
        <f t="shared" si="1969"/>
        <v>-349.61269592586996</v>
      </c>
      <c r="KR607" s="472">
        <f t="shared" si="1970"/>
        <v>3.1720178393763776</v>
      </c>
      <c r="KS607" s="472">
        <f t="shared" si="1971"/>
        <v>3.2302062800015907</v>
      </c>
      <c r="KT607" s="473">
        <f t="shared" si="1998"/>
        <v>2521.945896759994</v>
      </c>
      <c r="KU607" s="663">
        <f t="shared" si="1990"/>
        <v>11.022399974739038</v>
      </c>
      <c r="KV607" s="117"/>
    </row>
    <row r="608" spans="1:310" s="26" customFormat="1" ht="15">
      <c r="A608" s="561">
        <f t="shared" si="1972"/>
        <v>6008</v>
      </c>
      <c r="B608" s="561">
        <f t="shared" si="1991"/>
        <v>8</v>
      </c>
      <c r="C608" s="561">
        <f t="shared" si="1992"/>
        <v>6</v>
      </c>
      <c r="D608" s="561" t="s">
        <v>569</v>
      </c>
      <c r="E608" s="475">
        <f>INDEX(Input!$1:$1048576,E$93,$C608*2+MIN($B608,2)+5)</f>
        <v>1250.0000000000002</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1.8999999999999996E-2</v>
      </c>
      <c r="W608" s="863">
        <f>IFERROR(MAX(0,INDEX(Input!$1:$1048576,W$93,$C608*2+MIN($B608,2)+5)-0%,),"Market")</f>
        <v>3.9E-2</v>
      </c>
      <c r="X608" s="476" t="str">
        <f>INDEX(Input!$1:$1048576,X$93,$C608*2+MIN($B608,2)+5)</f>
        <v>Y</v>
      </c>
      <c r="Y608" s="475">
        <f>INDEX(Input!$1:$1048576,Y$93,$C608*2+MIN($B608,2)+5)</f>
        <v>2339.3275155115825</v>
      </c>
      <c r="Z608" s="477">
        <f>INDEX(Input!$1:$1048576,Z$93,$C608*2+MIN($B608,2)+5)</f>
        <v>0</v>
      </c>
      <c r="AA608" s="475">
        <f>INDEX(Input!$1:$1048576,AA$93,$C608*2+MIN($B608,2)+5)</f>
        <v>0</v>
      </c>
      <c r="AB608" s="476">
        <f>INDEX(Input!$1:$1048576,AB$93,$C608*2+MIN($B608,2)+5)</f>
        <v>1</v>
      </c>
      <c r="AC608" s="475">
        <f>INDEX(Input!$1:$1048576,AC$93,$C608*2+MIN($B608,2)+5)</f>
        <v>0</v>
      </c>
      <c r="AD608" s="476">
        <f>INDEX(Input!$1:$1048576,AD$93,$C608*2+MIN($B608,2)+5)</f>
        <v>0.35</v>
      </c>
      <c r="AE608" s="475">
        <f>INDEX(Input!$1:$1048576,AE$93,$C608*2+MIN($B608,2)+5)</f>
        <v>0</v>
      </c>
      <c r="AF608" s="476">
        <f>INDEX(Input!$1:$1048576,AF$93,$C608*2+MIN($B608,2)+5)</f>
        <v>1</v>
      </c>
      <c r="AG608" s="475">
        <f>INDEX(Input!$1:$1048576,AG$93,$C608*2+MIN($B608,2)+5)</f>
        <v>0</v>
      </c>
      <c r="AH608" s="476">
        <f>INDEX(Input!$1:$1048576,AH$93,$C608*2+MIN($B608,2)+5)</f>
        <v>1</v>
      </c>
      <c r="AI608" s="475">
        <f>INDEX(Input!$1:$1048576,AI$93,$C608*2+MIN($B608,2)+5)</f>
        <v>0</v>
      </c>
      <c r="AJ608" s="476">
        <f>INDEX(Input!$1:$1048576,AJ$93,$C608*2+MIN($B608,2)+5)</f>
        <v>0.35</v>
      </c>
      <c r="AK608" s="150">
        <f>ROUND(INDEX(Input!$1:$1048576,AK$93,$C607*2+MIN($B608,1)+5)+(Y608-VLOOKUP($C608*1000+1,$A:$HH,Y$92,FALSE)),0)</f>
        <v>5093</v>
      </c>
      <c r="AL608" s="150">
        <f>ROUND(INDEX(Input!$1:$1048576,AL$93,$C607*2+MIN($B608,1)+5)-(Y608-VLOOKUP($C608*1000+1,$A:$HH,Y$92,FALSE))/36,0)</f>
        <v>5217</v>
      </c>
      <c r="AM608" s="32" t="str">
        <f t="shared" si="1973"/>
        <v>std/std/std/std</v>
      </c>
      <c r="AN608" s="32" t="str">
        <f t="shared" si="1974"/>
        <v>$0 + 0/0/0/1.9/3.9</v>
      </c>
      <c r="AO608" s="32" t="str">
        <f t="shared" si="1975"/>
        <v>0/0/0/1.9/3.9</v>
      </c>
      <c r="AP608" s="32" t="str">
        <f t="shared" si="1939"/>
        <v>0/0.9/1.9/3.9</v>
      </c>
      <c r="AQ608" s="536">
        <f t="shared" si="1940"/>
        <v>0.33718337816866317</v>
      </c>
      <c r="AR608" s="32"/>
      <c r="AS608" s="302"/>
      <c r="AT608" s="3">
        <f t="shared" si="1993"/>
        <v>8</v>
      </c>
      <c r="AU608" s="41" t="s">
        <v>121</v>
      </c>
      <c r="AV608" s="41" t="s">
        <v>116</v>
      </c>
      <c r="AW608" s="41" t="str">
        <f>INDEX(Input!$1:$1048576,AW$93,$C608*2+6)</f>
        <v>Kia</v>
      </c>
      <c r="AX608" s="41" t="str">
        <f>INDEX(Input!$1:$1048576,AX$93,$C608*2+6)</f>
        <v>National</v>
      </c>
      <c r="AY608" s="41" t="str">
        <f>IF(LEN(D608)=0,"",INDEX(Input!$1:$1048576,AY$93,$C608*2+6))</f>
        <v>Compact Conventional/Sporty Car (43)</v>
      </c>
      <c r="AZ608" s="41" t="str">
        <f>INDEX(Input!$1:$1048576,AZ$93,$C608*2+6)</f>
        <v>Kia Forte</v>
      </c>
      <c r="BA608" s="3">
        <f>INDEX(Input!$1:$1048576,BA$93,$C608*2+6)</f>
        <v>2020</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19695</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941"/>
        <v>1465.0000000000002</v>
      </c>
      <c r="CJ608" s="16" t="str">
        <f>INDEX(Input!$1:$1048576,CJ$93,$C608*2+6)</f>
        <v>N</v>
      </c>
      <c r="CK608" s="1" t="str">
        <f t="shared" si="1942"/>
        <v>Market</v>
      </c>
      <c r="CL608" s="1" t="str">
        <f t="shared" si="1943"/>
        <v>Market</v>
      </c>
      <c r="CM608" s="1" t="str">
        <f t="shared" si="1944"/>
        <v>Market</v>
      </c>
      <c r="CN608" s="1" t="str">
        <f t="shared" si="1945"/>
        <v>Market</v>
      </c>
      <c r="CO608" s="1" t="str">
        <f t="shared" si="1946"/>
        <v>Market</v>
      </c>
      <c r="CP608" s="304">
        <f t="shared" si="1947"/>
        <v>0</v>
      </c>
      <c r="CQ608" s="1">
        <f t="shared" si="1948"/>
        <v>0</v>
      </c>
      <c r="CR608" s="1">
        <f t="shared" si="1949"/>
        <v>0</v>
      </c>
      <c r="CS608" s="1">
        <f t="shared" si="1950"/>
        <v>0</v>
      </c>
      <c r="CT608" s="1">
        <f t="shared" si="1951"/>
        <v>1.8999999999999996E-2</v>
      </c>
      <c r="CU608" s="1">
        <f t="shared" si="1952"/>
        <v>3.9E-2</v>
      </c>
      <c r="CV608" s="304">
        <f t="shared" si="1768"/>
        <v>2339.3275155115825</v>
      </c>
      <c r="CW608" s="20" t="s">
        <v>122</v>
      </c>
      <c r="CX608" s="20" t="s">
        <v>122</v>
      </c>
      <c r="CY608" s="20" t="s">
        <v>122</v>
      </c>
      <c r="CZ608" s="20" t="s">
        <v>122</v>
      </c>
      <c r="DA608" s="20" t="s">
        <v>122</v>
      </c>
      <c r="DB608" s="503">
        <f t="shared" si="1769"/>
        <v>0</v>
      </c>
      <c r="DC608" s="127">
        <v>0</v>
      </c>
      <c r="DD608" s="127">
        <v>0</v>
      </c>
      <c r="DE608" s="127">
        <v>0</v>
      </c>
      <c r="DF608" s="127">
        <v>0</v>
      </c>
      <c r="DG608" s="127">
        <v>0</v>
      </c>
      <c r="DH608" s="127">
        <v>0</v>
      </c>
      <c r="DI608" s="127">
        <v>0</v>
      </c>
      <c r="DJ608" s="127">
        <v>0</v>
      </c>
      <c r="DK608" s="127">
        <v>0</v>
      </c>
      <c r="DL608" s="127">
        <v>0</v>
      </c>
      <c r="DM608" s="304">
        <f>INDEX(Input!$1:$1048576,DM$93,$C608*2+6)</f>
        <v>20731.578947368424</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v>4.953220372019751E-2</v>
      </c>
      <c r="DZ608" s="7">
        <v>0</v>
      </c>
      <c r="EA608" s="7">
        <v>0.77860324449357465</v>
      </c>
      <c r="EB608" s="7">
        <v>0</v>
      </c>
      <c r="EC608" s="7">
        <v>0</v>
      </c>
      <c r="ED608" s="7">
        <v>0</v>
      </c>
      <c r="EE608" s="7">
        <v>0</v>
      </c>
      <c r="EF608" s="7">
        <v>0</v>
      </c>
      <c r="EG608" s="7">
        <v>0</v>
      </c>
      <c r="EH608" s="7">
        <v>2.9723257738149572E-2</v>
      </c>
      <c r="EI608" s="7">
        <v>1.9433208516539287E-2</v>
      </c>
      <c r="EJ608" s="7">
        <v>0.26157824441632627</v>
      </c>
      <c r="EK608" s="7">
        <v>0.68926528932898512</v>
      </c>
      <c r="EL608" s="7">
        <v>0</v>
      </c>
      <c r="EM608" s="7">
        <v>2.5790341725390027E-2</v>
      </c>
      <c r="EN608" s="7">
        <v>3.6758045381242693E-2</v>
      </c>
      <c r="EO608" s="7">
        <v>0.38209100596674805</v>
      </c>
      <c r="EP608" s="7">
        <v>0.48270048260658105</v>
      </c>
      <c r="EQ608" s="7">
        <v>7.4712516160412648E-2</v>
      </c>
      <c r="ER608" s="7">
        <v>2.3737949885015944E-2</v>
      </c>
      <c r="ES608" s="7">
        <v>0.14607421006083776</v>
      </c>
      <c r="ET608" s="7">
        <v>0.17186455178622775</v>
      </c>
      <c r="EU608" s="6">
        <v>750</v>
      </c>
      <c r="EV608" s="6">
        <v>0</v>
      </c>
      <c r="EW608" s="6">
        <v>750</v>
      </c>
      <c r="EX608" s="6">
        <v>0</v>
      </c>
      <c r="EY608" s="6">
        <v>1384.323593929937</v>
      </c>
      <c r="EZ608" s="6">
        <v>-1554.2676731795959</v>
      </c>
      <c r="FA608" s="6">
        <v>0</v>
      </c>
      <c r="FB608" s="6">
        <v>0</v>
      </c>
      <c r="FC608" s="6">
        <v>0</v>
      </c>
      <c r="FD608" s="6">
        <v>0</v>
      </c>
      <c r="FE608" s="6">
        <v>0</v>
      </c>
      <c r="FF608" s="6">
        <v>0</v>
      </c>
      <c r="FG608" s="6">
        <v>0</v>
      </c>
      <c r="FH608" s="6">
        <v>1158.6136055211837</v>
      </c>
      <c r="FI608" s="6">
        <v>1531.4299904380618</v>
      </c>
      <c r="FJ608" s="6">
        <v>1709.9775738488454</v>
      </c>
      <c r="FK608" s="6">
        <v>1266.3227157028189</v>
      </c>
      <c r="FL608" s="6">
        <v>0</v>
      </c>
      <c r="FM608" s="6">
        <v>1384.323593929937</v>
      </c>
      <c r="FN608" s="6">
        <v>0</v>
      </c>
      <c r="FO608" s="6">
        <v>0</v>
      </c>
      <c r="FP608" s="6">
        <v>0</v>
      </c>
      <c r="FQ608" s="6">
        <v>0</v>
      </c>
      <c r="FR608" s="6">
        <v>0</v>
      </c>
      <c r="FS608" s="6">
        <v>0</v>
      </c>
      <c r="FT608" s="7">
        <v>0.82813544821377216</v>
      </c>
      <c r="FU608" s="7">
        <v>2.5790341725390027E-2</v>
      </c>
      <c r="FV608" s="7">
        <v>0.14607421006083776</v>
      </c>
      <c r="FW608" s="6">
        <v>750</v>
      </c>
      <c r="FX608" s="6">
        <v>1384.323593929937</v>
      </c>
      <c r="FY608" s="6">
        <v>-1554.2676731795959</v>
      </c>
      <c r="FZ608" s="6">
        <v>1676.0854837363124</v>
      </c>
      <c r="GA608" s="6">
        <v>429.7653421234964</v>
      </c>
      <c r="GB608" s="6">
        <v>19265.234657876503</v>
      </c>
      <c r="GC608" s="7">
        <v>6.4493561548621597E-2</v>
      </c>
      <c r="GD608" s="7">
        <v>5.2972244845646888E-2</v>
      </c>
      <c r="GE608" s="7"/>
      <c r="GF608" s="7"/>
      <c r="GG608" s="7">
        <v>-0.17864289746642084</v>
      </c>
      <c r="GH608" s="42">
        <v>2.8230081085331458</v>
      </c>
      <c r="GI608" s="6">
        <v>7406.3659195244782</v>
      </c>
      <c r="GJ608" s="14">
        <v>0.51596255589662365</v>
      </c>
      <c r="GK608" s="14">
        <v>0.51419567426615953</v>
      </c>
      <c r="GL608" s="14">
        <v>0.48403744410337696</v>
      </c>
      <c r="GM608" s="14">
        <v>0.48580432573384019</v>
      </c>
      <c r="GO608" s="5">
        <v>338.16872463277008</v>
      </c>
      <c r="GP608" s="5">
        <v>323.86015542600148</v>
      </c>
      <c r="GQ608" s="5">
        <v>527.27910984145694</v>
      </c>
      <c r="GR608" s="5">
        <v>404.20319246551543</v>
      </c>
      <c r="GS608" s="5">
        <v>334.50205195691484</v>
      </c>
      <c r="GT608" s="5">
        <v>289.18266033348181</v>
      </c>
      <c r="GU608" s="5">
        <v>254.29573314828914</v>
      </c>
      <c r="GV608" s="39" t="s">
        <v>392</v>
      </c>
      <c r="GW608" s="5">
        <v>492.375</v>
      </c>
      <c r="GX608" s="5">
        <v>369.28125</v>
      </c>
      <c r="GY608" s="5">
        <v>302.23266563481752</v>
      </c>
      <c r="GZ608" s="5">
        <v>268.52323906086701</v>
      </c>
      <c r="HA608" s="5">
        <v>254.29573314828914</v>
      </c>
      <c r="HB608" s="39">
        <v>285.95254670618652</v>
      </c>
      <c r="HC608" s="5">
        <v>351.11483570160732</v>
      </c>
      <c r="HD608" s="5">
        <v>282.73776275539944</v>
      </c>
      <c r="HE608" s="5">
        <v>280.55735780820959</v>
      </c>
      <c r="HF608" s="5">
        <v>253.64561428438338</v>
      </c>
      <c r="HG608" s="5">
        <v>237.36506461313525</v>
      </c>
      <c r="HH608" s="39">
        <v>280.94808533807549</v>
      </c>
      <c r="HI608" s="16"/>
      <c r="HJ608" s="19" t="str">
        <f t="shared" ref="HJ608:HK608" si="2005">HJ607</f>
        <v>On</v>
      </c>
      <c r="HK608" s="1" t="str">
        <f t="shared" si="2005"/>
        <v>On</v>
      </c>
      <c r="HL608" s="16"/>
      <c r="HM608" s="639">
        <f t="shared" si="1976"/>
        <v>4.9686942767030826E-2</v>
      </c>
      <c r="HN608" s="639">
        <f t="shared" si="1953"/>
        <v>2.6112822013589915E-3</v>
      </c>
      <c r="HO608" s="639">
        <f t="shared" si="1953"/>
        <v>3.166115353075552E-2</v>
      </c>
      <c r="HP608" s="644">
        <f t="shared" si="1954"/>
        <v>253.91633331774872</v>
      </c>
      <c r="HQ608" s="644">
        <f t="shared" si="1954"/>
        <v>15.613469510656042</v>
      </c>
      <c r="HR608" s="644">
        <f t="shared" si="1954"/>
        <v>67.331191482596978</v>
      </c>
      <c r="HS608" s="644">
        <f t="shared" si="1954"/>
        <v>-65.116254767564541</v>
      </c>
      <c r="HT608" s="644">
        <f t="shared" si="1954"/>
        <v>178.44358690882925</v>
      </c>
      <c r="HU608" s="644">
        <f t="shared" si="1954"/>
        <v>85.944250027342378</v>
      </c>
      <c r="HV608" s="644">
        <f t="shared" si="1954"/>
        <v>0</v>
      </c>
      <c r="HW608" s="644">
        <f t="shared" si="1954"/>
        <v>0</v>
      </c>
      <c r="HX608" s="644">
        <f t="shared" si="1954"/>
        <v>0</v>
      </c>
      <c r="HY608" s="644">
        <f t="shared" si="1954"/>
        <v>2388</v>
      </c>
      <c r="HZ608" s="644">
        <f t="shared" si="1954"/>
        <v>2518</v>
      </c>
      <c r="IA608" s="644">
        <f t="shared" si="1954"/>
        <v>2200</v>
      </c>
      <c r="IB608" s="644">
        <f t="shared" si="1954"/>
        <v>2576.8000785501836</v>
      </c>
      <c r="IC608" s="644">
        <f t="shared" si="1954"/>
        <v>2712.0570564194854</v>
      </c>
      <c r="ID608" s="644">
        <f t="shared" si="1954"/>
        <v>2353.2754415099394</v>
      </c>
      <c r="IE608" s="20">
        <f t="shared" si="1977"/>
        <v>0.33718337816866317</v>
      </c>
      <c r="IF608" s="20">
        <f t="shared" si="1956"/>
        <v>0.3548822307488429</v>
      </c>
      <c r="IG608" s="20">
        <f t="shared" si="1957"/>
        <v>0.30793439108249404</v>
      </c>
      <c r="IH608" s="21"/>
      <c r="II608" s="19"/>
      <c r="IJ608" s="19"/>
      <c r="IK608" s="19"/>
      <c r="IL608" s="19">
        <f t="shared" si="1978"/>
        <v>400</v>
      </c>
      <c r="IM608" s="19">
        <f t="shared" si="1958"/>
        <v>400.07038480634856</v>
      </c>
      <c r="IN608" s="19">
        <f t="shared" si="1958"/>
        <v>283.63193154914734</v>
      </c>
      <c r="IO608" s="39"/>
      <c r="IP608" s="39"/>
      <c r="IQ608" s="39"/>
      <c r="IR608" s="39"/>
      <c r="IS608" s="39"/>
      <c r="IT608" s="39"/>
      <c r="IU608" s="39"/>
      <c r="IV608" s="39"/>
      <c r="IW608" s="39"/>
      <c r="IX608" s="19">
        <f t="shared" si="1979"/>
        <v>1600</v>
      </c>
      <c r="IY608" s="19">
        <f t="shared" si="1959"/>
        <v>2503.549291639752</v>
      </c>
      <c r="IZ608" s="19">
        <f t="shared" si="1959"/>
        <v>5888.3563810918577</v>
      </c>
      <c r="JA608" s="19">
        <f t="shared" si="1980"/>
        <v>2000</v>
      </c>
      <c r="JB608" s="19">
        <f t="shared" si="1980"/>
        <v>2903.6196764461006</v>
      </c>
      <c r="JC608" s="19">
        <f t="shared" si="1980"/>
        <v>6171.988312641005</v>
      </c>
      <c r="JD608" s="19">
        <f t="shared" si="1981"/>
        <v>3605.3772471821298</v>
      </c>
      <c r="JE608" s="21"/>
      <c r="JF608" s="1">
        <f t="shared" si="1982"/>
        <v>6.8844376252282569E-2</v>
      </c>
      <c r="JG608" s="15">
        <f t="shared" si="1983"/>
        <v>7106</v>
      </c>
      <c r="JH608" s="1">
        <f t="shared" si="1984"/>
        <v>4.7405149776386393E-2</v>
      </c>
      <c r="JI608" s="1">
        <f t="shared" si="1985"/>
        <v>2.8042721948861118E-2</v>
      </c>
      <c r="JJ608" s="1">
        <f t="shared" si="1962"/>
        <v>0</v>
      </c>
      <c r="JK608" s="1">
        <f t="shared" si="1963"/>
        <v>7.5447871725247515E-2</v>
      </c>
      <c r="JL608" s="15">
        <f t="shared" si="1986"/>
        <v>536.13257647960882</v>
      </c>
      <c r="JM608" s="15">
        <f t="shared" si="1986"/>
        <v>7642.1325764796093</v>
      </c>
      <c r="JN608" s="21"/>
      <c r="JO608" s="19">
        <f>INDEX([1]Input!$1:$1048576,JO$93,$C608*2+6)</f>
        <v>5995.5</v>
      </c>
      <c r="JP608" s="19">
        <f>INDEX([1]Input!$1:$1048576,JP$93,$C608*2+6)</f>
        <v>1716.3055838443925</v>
      </c>
      <c r="JQ608" s="39">
        <f t="shared" si="1995"/>
        <v>2390.1227528178702</v>
      </c>
      <c r="JR608" s="39">
        <f t="shared" si="1996"/>
        <v>1889.0716633377374</v>
      </c>
      <c r="JS608" s="39">
        <f t="shared" si="1997"/>
        <v>27.552770911188929</v>
      </c>
      <c r="JT608" s="39">
        <f t="shared" si="1987"/>
        <v>15.356703432390677</v>
      </c>
      <c r="JU608" s="385">
        <f>(JQ608*JM608-INDEX([1]Input!$1:$1048576,[1]Input!A$18,$C608*2+6)*JL608*INDEX([1]Input!$1:$1048576,[1]Input!A$19,$C608*2+6))/1000000</f>
        <v>18.265634951094569</v>
      </c>
      <c r="JV608" s="39">
        <f t="shared" si="1966"/>
        <v>-12.142320570107181</v>
      </c>
      <c r="JW608" s="1">
        <f t="shared" si="2000"/>
        <v>-0.39931394143355103</v>
      </c>
      <c r="JX608" s="19">
        <f t="shared" si="2001"/>
        <v>28643.481306856855</v>
      </c>
      <c r="JZ608" s="341"/>
      <c r="KA608" s="60"/>
      <c r="KB608" s="469">
        <f t="shared" si="1988"/>
        <v>0</v>
      </c>
      <c r="KI608" s="472"/>
      <c r="KJ608" s="472"/>
      <c r="KK608" s="472"/>
      <c r="KN608" s="888">
        <f t="shared" si="1989"/>
        <v>6002</v>
      </c>
      <c r="KO608" s="541">
        <f t="shared" si="1967"/>
        <v>0</v>
      </c>
      <c r="KP608" s="546">
        <f t="shared" si="1968"/>
        <v>7.928756892202939</v>
      </c>
      <c r="KQ608" s="546">
        <f t="shared" si="1969"/>
        <v>7.9287568922031824</v>
      </c>
      <c r="KR608" s="472">
        <f t="shared" si="1970"/>
        <v>0</v>
      </c>
      <c r="KS608" s="472">
        <f t="shared" si="1971"/>
        <v>0</v>
      </c>
      <c r="KT608" s="473">
        <f t="shared" si="1998"/>
        <v>2521.945896759994</v>
      </c>
      <c r="KU608" s="663">
        <f t="shared" si="1990"/>
        <v>11.090614625467371</v>
      </c>
      <c r="KV608" s="117"/>
    </row>
    <row r="609" spans="1:308" s="26" customFormat="1" ht="15">
      <c r="A609" s="561">
        <f t="shared" si="1972"/>
        <v>6009</v>
      </c>
      <c r="B609" s="561">
        <f t="shared" si="1991"/>
        <v>9</v>
      </c>
      <c r="C609" s="561">
        <f t="shared" si="1992"/>
        <v>6</v>
      </c>
      <c r="D609" s="561" t="str">
        <f t="shared" ref="D609:D618" si="2006">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1500.0000000000002</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1.8999999999999996E-2</v>
      </c>
      <c r="W609" s="862">
        <f>INDEX(Input!$1:$1048576,W$93,$C609*2+MIN($B609,2)+5)</f>
        <v>3.9E-2</v>
      </c>
      <c r="X609" s="118" t="str">
        <f>INDEX(Input!$1:$1048576,X$93,$C609*2+MIN($B609,2)+5)</f>
        <v>Y</v>
      </c>
      <c r="Y609" s="150">
        <f>INDEX(Input!$1:$1048576,Y$93,$C609*2+MIN($B609,2)+5)</f>
        <v>2339.3275155115825</v>
      </c>
      <c r="Z609" s="30">
        <f>INDEX(Input!$1:$1048576,Z$93,$C609*2+MIN($B609,2)+5)</f>
        <v>0</v>
      </c>
      <c r="AA609" s="115">
        <f>INDEX(Input!$1:$1048576,AA$93,$C609*2+MIN($B609,2)+5)</f>
        <v>0</v>
      </c>
      <c r="AB609" s="118">
        <f>INDEX(Input!$1:$1048576,AB$93,$C609*2+MIN($B609,2)+5)</f>
        <v>1</v>
      </c>
      <c r="AC609" s="115">
        <f>INDEX(Input!$1:$1048576,AC$93,$C609*2+MIN($B609,2)+5)</f>
        <v>0</v>
      </c>
      <c r="AD609" s="118">
        <f>INDEX(Input!$1:$1048576,AD$93,$C609*2+MIN($B609,2)+5)</f>
        <v>0.35</v>
      </c>
      <c r="AE609" s="115">
        <f>INDEX(Input!$1:$1048576,AE$93,$C609*2+MIN($B609,2)+5)</f>
        <v>0</v>
      </c>
      <c r="AF609" s="118">
        <f>INDEX(Input!$1:$1048576,AF$93,$C609*2+MIN($B609,2)+5)</f>
        <v>1</v>
      </c>
      <c r="AG609" s="115">
        <f>INDEX(Input!$1:$1048576,AG$93,$C609*2+MIN($B609,2)+5)</f>
        <v>0</v>
      </c>
      <c r="AH609" s="118">
        <f>INDEX(Input!$1:$1048576,AH$93,$C609*2+MIN($B609,2)+5)</f>
        <v>1</v>
      </c>
      <c r="AI609" s="115">
        <f>INDEX(Input!$1:$1048576,AI$93,$C609*2+MIN($B609,2)+5)</f>
        <v>0</v>
      </c>
      <c r="AJ609" s="118">
        <f>INDEX(Input!$1:$1048576,AJ$93,$C609*2+MIN($B609,2)+5)</f>
        <v>0.35</v>
      </c>
      <c r="AK609" s="150">
        <f>ROUND(INDEX(Input!$1:$1048576,AK$93,$C608*2+MIN($B609,1)+5)+(Y609-VLOOKUP($C609*1000+1,$A:$HH,Y$92,FALSE)),0)</f>
        <v>5093</v>
      </c>
      <c r="AL609" s="150">
        <f>ROUND(INDEX(Input!$1:$1048576,AL$93,$C608*2+MIN($B609,1)+5)-(Y609-VLOOKUP($C609*1000+1,$A:$HH,Y$92,FALSE))/36,0)</f>
        <v>5217</v>
      </c>
      <c r="AM609" s="32" t="str">
        <f t="shared" si="1973"/>
        <v>std/std/std/std</v>
      </c>
      <c r="AN609" s="32" t="str">
        <f t="shared" si="1974"/>
        <v>$0 + 0/0/0/1.9/3.9</v>
      </c>
      <c r="AO609" s="32" t="str">
        <f t="shared" si="1975"/>
        <v>0/0/0/1.9/3.9</v>
      </c>
      <c r="AP609" s="32" t="str">
        <f t="shared" si="1939"/>
        <v>0/0.9/1.9/3.9</v>
      </c>
      <c r="AQ609" s="536">
        <f t="shared" si="1940"/>
        <v>0.354108428990835</v>
      </c>
      <c r="AR609" s="32"/>
      <c r="AS609" s="302"/>
      <c r="AT609" s="3">
        <f t="shared" si="1993"/>
        <v>9</v>
      </c>
      <c r="AU609" s="41" t="s">
        <v>121</v>
      </c>
      <c r="AV609" s="41" t="s">
        <v>116</v>
      </c>
      <c r="AW609" s="41" t="str">
        <f>INDEX(Input!$1:$1048576,AW$93,$C609*2+6)</f>
        <v>Kia</v>
      </c>
      <c r="AX609" s="41" t="str">
        <f>INDEX(Input!$1:$1048576,AX$93,$C609*2+6)</f>
        <v>National</v>
      </c>
      <c r="AY609" s="41" t="str">
        <f>IF(LEN(D609)=0,"",INDEX(Input!$1:$1048576,AY$93,$C609*2+6))</f>
        <v>Compact Conventional/Sporty Car (43)</v>
      </c>
      <c r="AZ609" s="41" t="str">
        <f>INDEX(Input!$1:$1048576,AZ$93,$C609*2+6)</f>
        <v>Kia Forte</v>
      </c>
      <c r="BA609" s="3">
        <f>INDEX(Input!$1:$1048576,BA$93,$C609*2+6)</f>
        <v>2020</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19695</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941"/>
        <v>1715.0000000000002</v>
      </c>
      <c r="CJ609" s="16" t="str">
        <f>INDEX(Input!$1:$1048576,CJ$93,$C609*2+6)</f>
        <v>N</v>
      </c>
      <c r="CK609" s="1" t="str">
        <f t="shared" si="1942"/>
        <v>Market</v>
      </c>
      <c r="CL609" s="1" t="str">
        <f t="shared" si="1943"/>
        <v>Market</v>
      </c>
      <c r="CM609" s="1" t="str">
        <f t="shared" si="1944"/>
        <v>Market</v>
      </c>
      <c r="CN609" s="1" t="str">
        <f t="shared" si="1945"/>
        <v>Market</v>
      </c>
      <c r="CO609" s="1" t="str">
        <f t="shared" si="1946"/>
        <v>Market</v>
      </c>
      <c r="CP609" s="304">
        <f t="shared" si="1947"/>
        <v>0</v>
      </c>
      <c r="CQ609" s="1">
        <f t="shared" si="1948"/>
        <v>0</v>
      </c>
      <c r="CR609" s="1">
        <f t="shared" si="1949"/>
        <v>0</v>
      </c>
      <c r="CS609" s="1">
        <f t="shared" si="1950"/>
        <v>0</v>
      </c>
      <c r="CT609" s="1">
        <f t="shared" si="1951"/>
        <v>1.8999999999999996E-2</v>
      </c>
      <c r="CU609" s="1">
        <f t="shared" si="1952"/>
        <v>3.9E-2</v>
      </c>
      <c r="CV609" s="304">
        <f t="shared" si="1768"/>
        <v>2339.3275155115825</v>
      </c>
      <c r="CW609" s="20" t="s">
        <v>122</v>
      </c>
      <c r="CX609" s="20" t="s">
        <v>122</v>
      </c>
      <c r="CY609" s="20" t="s">
        <v>122</v>
      </c>
      <c r="CZ609" s="20" t="s">
        <v>122</v>
      </c>
      <c r="DA609" s="20" t="s">
        <v>122</v>
      </c>
      <c r="DB609" s="503">
        <f t="shared" si="1769"/>
        <v>0</v>
      </c>
      <c r="DC609" s="127">
        <v>0</v>
      </c>
      <c r="DD609" s="127">
        <v>0</v>
      </c>
      <c r="DE609" s="127">
        <v>0</v>
      </c>
      <c r="DF609" s="127">
        <v>0</v>
      </c>
      <c r="DG609" s="127">
        <v>0</v>
      </c>
      <c r="DH609" s="127">
        <v>0</v>
      </c>
      <c r="DI609" s="127">
        <v>0</v>
      </c>
      <c r="DJ609" s="127">
        <v>0</v>
      </c>
      <c r="DK609" s="127">
        <v>0</v>
      </c>
      <c r="DL609" s="127">
        <v>0</v>
      </c>
      <c r="DM609" s="304">
        <f>INDEX(Input!$1:$1048576,DM$93,$C609*2+6)</f>
        <v>20731.578947368424</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v>5.0447965913091482E-2</v>
      </c>
      <c r="DZ609" s="7">
        <v>0</v>
      </c>
      <c r="EA609" s="7">
        <v>0.79294880685774882</v>
      </c>
      <c r="EB609" s="7">
        <v>0</v>
      </c>
      <c r="EC609" s="7">
        <v>0</v>
      </c>
      <c r="ED609" s="7">
        <v>0</v>
      </c>
      <c r="EE609" s="7">
        <v>0</v>
      </c>
      <c r="EF609" s="7">
        <v>0</v>
      </c>
      <c r="EG609" s="7">
        <v>0</v>
      </c>
      <c r="EH609" s="7">
        <v>2.9742594749198503E-2</v>
      </c>
      <c r="EI609" s="7">
        <v>1.9436819293942156E-2</v>
      </c>
      <c r="EJ609" s="7">
        <v>0.26175300138470459</v>
      </c>
      <c r="EK609" s="7">
        <v>0.68906758457215422</v>
      </c>
      <c r="EL609" s="7">
        <v>0</v>
      </c>
      <c r="EM609" s="7">
        <v>2.3493153246363592E-2</v>
      </c>
      <c r="EN609" s="7">
        <v>3.6749078775422522E-2</v>
      </c>
      <c r="EO609" s="7">
        <v>0.38215420429110392</v>
      </c>
      <c r="EP609" s="7">
        <v>0.48263862764961363</v>
      </c>
      <c r="EQ609" s="7">
        <v>7.4714856670570096E-2</v>
      </c>
      <c r="ER609" s="7">
        <v>2.3743232613289998E-2</v>
      </c>
      <c r="ES609" s="7">
        <v>0.13311007398279617</v>
      </c>
      <c r="ET609" s="7">
        <v>0.1566032272291597</v>
      </c>
      <c r="EU609" s="6">
        <v>1000</v>
      </c>
      <c r="EV609" s="6">
        <v>0</v>
      </c>
      <c r="EW609" s="6">
        <v>1000</v>
      </c>
      <c r="EX609" s="6">
        <v>0</v>
      </c>
      <c r="EY609" s="6">
        <v>1384.4003295439622</v>
      </c>
      <c r="EZ609" s="6">
        <v>-1554.2676731795959</v>
      </c>
      <c r="FA609" s="6">
        <v>0</v>
      </c>
      <c r="FB609" s="6">
        <v>0</v>
      </c>
      <c r="FC609" s="6">
        <v>0</v>
      </c>
      <c r="FD609" s="6">
        <v>0</v>
      </c>
      <c r="FE609" s="6">
        <v>0</v>
      </c>
      <c r="FF609" s="6">
        <v>0</v>
      </c>
      <c r="FG609" s="6">
        <v>0</v>
      </c>
      <c r="FH609" s="6">
        <v>1158.6246793669438</v>
      </c>
      <c r="FI609" s="6">
        <v>1531.4299904380612</v>
      </c>
      <c r="FJ609" s="6">
        <v>1709.9775738488461</v>
      </c>
      <c r="FK609" s="6">
        <v>1266.3227157028189</v>
      </c>
      <c r="FL609" s="6">
        <v>0</v>
      </c>
      <c r="FM609" s="6">
        <v>1384.4003295439622</v>
      </c>
      <c r="FN609" s="6">
        <v>0</v>
      </c>
      <c r="FO609" s="6">
        <v>0</v>
      </c>
      <c r="FP609" s="6">
        <v>0</v>
      </c>
      <c r="FQ609" s="6">
        <v>0</v>
      </c>
      <c r="FR609" s="6">
        <v>0</v>
      </c>
      <c r="FS609" s="6">
        <v>0</v>
      </c>
      <c r="FT609" s="7">
        <v>0.84339677277084035</v>
      </c>
      <c r="FU609" s="7">
        <v>2.3493153246363592E-2</v>
      </c>
      <c r="FV609" s="7">
        <v>0.13311007398279617</v>
      </c>
      <c r="FW609" s="6">
        <v>1000</v>
      </c>
      <c r="FX609" s="6">
        <v>1384.4003295439622</v>
      </c>
      <c r="FY609" s="6">
        <v>-1554.2676731795959</v>
      </c>
      <c r="FZ609" s="6">
        <v>1676.0854837363124</v>
      </c>
      <c r="GA609" s="6">
        <v>669.03201690112849</v>
      </c>
      <c r="GB609" s="6">
        <v>19025.967983098872</v>
      </c>
      <c r="GC609" s="7">
        <v>6.4493561548621597E-2</v>
      </c>
      <c r="GD609" s="7">
        <v>5.5451094287049849E-2</v>
      </c>
      <c r="GE609" s="7"/>
      <c r="GF609" s="7"/>
      <c r="GG609" s="7">
        <v>-0.14020728650184169</v>
      </c>
      <c r="GH609" s="42">
        <v>2.7420416081102719</v>
      </c>
      <c r="GI609" s="6">
        <v>7851.6363733584221</v>
      </c>
      <c r="GJ609" s="14">
        <v>0.51596255589662343</v>
      </c>
      <c r="GK609" s="14">
        <v>0.51419567426615931</v>
      </c>
      <c r="GL609" s="14">
        <v>0.48403744410337651</v>
      </c>
      <c r="GM609" s="14">
        <v>0.4858043257338403</v>
      </c>
      <c r="GO609" s="5">
        <v>338.16872463277008</v>
      </c>
      <c r="GP609" s="5">
        <v>319.09063235707856</v>
      </c>
      <c r="GQ609" s="5">
        <v>527.27910984145694</v>
      </c>
      <c r="GR609" s="5">
        <v>404.20319246551543</v>
      </c>
      <c r="GS609" s="5">
        <v>334.50205195691484</v>
      </c>
      <c r="GT609" s="5">
        <v>289.18266033348181</v>
      </c>
      <c r="GU609" s="5">
        <v>254.29573314828914</v>
      </c>
      <c r="GV609" s="39" t="s">
        <v>392</v>
      </c>
      <c r="GW609" s="5">
        <v>492.375</v>
      </c>
      <c r="GX609" s="5">
        <v>369.28125</v>
      </c>
      <c r="GY609" s="5">
        <v>302.23266563481752</v>
      </c>
      <c r="GZ609" s="5">
        <v>268.52323906086701</v>
      </c>
      <c r="HA609" s="5">
        <v>254.29573314828914</v>
      </c>
      <c r="HB609" s="39">
        <v>285.96313010210383</v>
      </c>
      <c r="HC609" s="5">
        <v>351.11483570160732</v>
      </c>
      <c r="HD609" s="5">
        <v>282.73776275539944</v>
      </c>
      <c r="HE609" s="5">
        <v>280.55735780820959</v>
      </c>
      <c r="HF609" s="5">
        <v>253.64561428438338</v>
      </c>
      <c r="HG609" s="5">
        <v>237.36506461313525</v>
      </c>
      <c r="HH609" s="39">
        <v>280.94729931456504</v>
      </c>
      <c r="HI609" s="16"/>
      <c r="HJ609" s="19" t="str">
        <f t="shared" ref="HJ609:HK609" si="2007">HJ608</f>
        <v>On</v>
      </c>
      <c r="HK609" s="1" t="str">
        <f t="shared" si="2007"/>
        <v>On</v>
      </c>
      <c r="HL609" s="16"/>
      <c r="HM609" s="639">
        <f t="shared" si="1976"/>
        <v>4.9686942767030826E-2</v>
      </c>
      <c r="HN609" s="639">
        <f t="shared" si="1953"/>
        <v>2.6112822013589915E-3</v>
      </c>
      <c r="HO609" s="639">
        <f t="shared" si="1953"/>
        <v>3.166115353075552E-2</v>
      </c>
      <c r="HP609" s="644">
        <f t="shared" si="1954"/>
        <v>463.3094242824863</v>
      </c>
      <c r="HQ609" s="644">
        <f t="shared" si="1954"/>
        <v>7.4631103652575295</v>
      </c>
      <c r="HR609" s="644">
        <f t="shared" si="1954"/>
        <v>19.002303425509997</v>
      </c>
      <c r="HS609" s="644">
        <f t="shared" si="1954"/>
        <v>-105.19540375862886</v>
      </c>
      <c r="HT609" s="644">
        <f t="shared" si="1954"/>
        <v>169.11865216855259</v>
      </c>
      <c r="HU609" s="644">
        <f t="shared" si="1954"/>
        <v>95.310819545805899</v>
      </c>
      <c r="HV609" s="644">
        <f t="shared" si="1954"/>
        <v>0</v>
      </c>
      <c r="HW609" s="644">
        <f t="shared" si="1954"/>
        <v>0</v>
      </c>
      <c r="HX609" s="644">
        <f t="shared" si="1954"/>
        <v>0</v>
      </c>
      <c r="HY609" s="644">
        <f t="shared" si="1954"/>
        <v>2388</v>
      </c>
      <c r="HZ609" s="644">
        <f t="shared" si="1954"/>
        <v>2518</v>
      </c>
      <c r="IA609" s="644">
        <f t="shared" si="1954"/>
        <v>2200</v>
      </c>
      <c r="IB609" s="644">
        <f t="shared" si="1954"/>
        <v>2746.1140205238576</v>
      </c>
      <c r="IC609" s="644">
        <f t="shared" si="1954"/>
        <v>2694.5817625338104</v>
      </c>
      <c r="ID609" s="644">
        <f t="shared" si="1954"/>
        <v>2314.3131229713158</v>
      </c>
      <c r="IE609" s="20">
        <f t="shared" si="1977"/>
        <v>0.354108428990835</v>
      </c>
      <c r="IF609" s="20">
        <f t="shared" si="1956"/>
        <v>0.34746340013084431</v>
      </c>
      <c r="IG609" s="20">
        <f t="shared" si="1957"/>
        <v>0.29842817087832058</v>
      </c>
      <c r="IH609" s="21"/>
      <c r="II609" s="19"/>
      <c r="IJ609" s="19"/>
      <c r="IK609" s="19"/>
      <c r="IL609" s="19">
        <f t="shared" si="1978"/>
        <v>650</v>
      </c>
      <c r="IM609" s="19">
        <f t="shared" si="1958"/>
        <v>400.15573574621385</v>
      </c>
      <c r="IN609" s="19">
        <f t="shared" si="1958"/>
        <v>285.35571613110369</v>
      </c>
      <c r="IO609" s="39"/>
      <c r="IP609" s="39"/>
      <c r="IQ609" s="39"/>
      <c r="IR609" s="39"/>
      <c r="IS609" s="39"/>
      <c r="IT609" s="39"/>
      <c r="IU609" s="39"/>
      <c r="IV609" s="39"/>
      <c r="IW609" s="39"/>
      <c r="IX609" s="19">
        <f t="shared" si="1979"/>
        <v>1600</v>
      </c>
      <c r="IY609" s="19">
        <f t="shared" si="1959"/>
        <v>2503.549291639752</v>
      </c>
      <c r="IZ609" s="19">
        <f t="shared" si="1959"/>
        <v>5888.3563810918577</v>
      </c>
      <c r="JA609" s="19">
        <f t="shared" si="1980"/>
        <v>2250</v>
      </c>
      <c r="JB609" s="19">
        <f t="shared" si="1980"/>
        <v>2903.7050273859659</v>
      </c>
      <c r="JC609" s="19">
        <f t="shared" si="1980"/>
        <v>6173.7120972229613</v>
      </c>
      <c r="JD609" s="19">
        <f t="shared" si="1981"/>
        <v>3648.0847957255419</v>
      </c>
      <c r="JE609" s="21"/>
      <c r="JF609" s="1">
        <f t="shared" si="1982"/>
        <v>6.8844376252282569E-2</v>
      </c>
      <c r="JG609" s="15">
        <f t="shared" si="1983"/>
        <v>7106</v>
      </c>
      <c r="JH609" s="1">
        <f t="shared" si="1984"/>
        <v>6.8924125819484067E-2</v>
      </c>
      <c r="JI609" s="1">
        <f t="shared" si="1985"/>
        <v>2.2408396841504311E-2</v>
      </c>
      <c r="JJ609" s="1">
        <f t="shared" si="1962"/>
        <v>0</v>
      </c>
      <c r="JK609" s="1">
        <f t="shared" si="1963"/>
        <v>9.1332522660988402E-2</v>
      </c>
      <c r="JL609" s="15">
        <f t="shared" si="1986"/>
        <v>649.00890602898357</v>
      </c>
      <c r="JM609" s="15">
        <f t="shared" si="1986"/>
        <v>7755.0089060289838</v>
      </c>
      <c r="JN609" s="21"/>
      <c r="JO609" s="19">
        <f>INDEX([1]Input!$1:$1048576,JO$93,$C609*2+6)</f>
        <v>5995.5</v>
      </c>
      <c r="JP609" s="19">
        <f>INDEX([1]Input!$1:$1048576,JP$93,$C609*2+6)</f>
        <v>1716.3055838443925</v>
      </c>
      <c r="JQ609" s="39">
        <f t="shared" si="1995"/>
        <v>2347.4152042744581</v>
      </c>
      <c r="JR609" s="39">
        <f t="shared" si="1996"/>
        <v>1931.7792118811494</v>
      </c>
      <c r="JS609" s="39">
        <f t="shared" si="1997"/>
        <v>28.290930080800504</v>
      </c>
      <c r="JT609" s="39">
        <f t="shared" si="1987"/>
        <v>16.094862602002252</v>
      </c>
      <c r="JU609" s="385">
        <f>(JQ609*JM609-INDEX([1]Input!$1:$1048576,[1]Input!A$18,$C609*2+6)*JL609*INDEX([1]Input!$1:$1048576,[1]Input!A$19,$C609*2+6))/1000000</f>
        <v>18.204225815296269</v>
      </c>
      <c r="JV609" s="39">
        <f t="shared" si="1966"/>
        <v>-12.203729705905481</v>
      </c>
      <c r="JW609" s="1">
        <f t="shared" si="2000"/>
        <v>-0.40133345030041595</v>
      </c>
      <c r="JX609" s="19">
        <f t="shared" si="2001"/>
        <v>24799.139815322476</v>
      </c>
      <c r="JZ609" s="341"/>
      <c r="KA609" s="60"/>
      <c r="KB609" s="469">
        <f t="shared" si="1988"/>
        <v>0</v>
      </c>
      <c r="KI609" s="472"/>
      <c r="KJ609" s="472"/>
      <c r="KK609" s="472"/>
      <c r="KN609" s="888">
        <f t="shared" si="1989"/>
        <v>6002</v>
      </c>
      <c r="KO609" s="541">
        <f t="shared" si="1967"/>
        <v>1.4770265815170047E-2</v>
      </c>
      <c r="KP609" s="546">
        <f t="shared" si="1968"/>
        <v>96.755178269764244</v>
      </c>
      <c r="KQ609" s="546">
        <f t="shared" si="1969"/>
        <v>50.636305435615213</v>
      </c>
      <c r="KR609" s="472">
        <f t="shared" si="1970"/>
        <v>2.4573890413275241</v>
      </c>
      <c r="KS609" s="472">
        <f t="shared" si="1971"/>
        <v>4.6955462632267162</v>
      </c>
      <c r="KT609" s="473">
        <f t="shared" si="1998"/>
        <v>2521.945896759994</v>
      </c>
      <c r="KU609" s="663">
        <f t="shared" si="1990"/>
        <v>11.202413730244285</v>
      </c>
      <c r="KV609" s="117" t="e">
        <f>RANK(KU609,$KU$109:$KU$200)</f>
        <v>#N/A</v>
      </c>
    </row>
    <row r="610" spans="1:308" s="26" customFormat="1" ht="15">
      <c r="A610" s="561">
        <f t="shared" si="1972"/>
        <v>6010</v>
      </c>
      <c r="B610" s="561">
        <f t="shared" si="1991"/>
        <v>10</v>
      </c>
      <c r="C610" s="561">
        <f t="shared" si="1992"/>
        <v>6</v>
      </c>
      <c r="D610" s="561" t="str">
        <f t="shared" si="2006"/>
        <v xml:space="preserve">500 CC, </v>
      </c>
      <c r="E610" s="475">
        <f>INDEX(Input!$1:$1048576,E$93,$C610*2+MIN($B610,2)+5)+IF(OR(BX610&gt;50000,INDEX(Input!$1:$1048576,E$93,$C610*2+MIN($B610,2)+5)&gt;0),0,250)+IF(BX610&gt;50000,500,250)*2</f>
        <v>1750.0000000000002</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1.8999999999999996E-2</v>
      </c>
      <c r="W610" s="862">
        <f>INDEX(Input!$1:$1048576,W$93,$C610*2+MIN($B610,2)+5)</f>
        <v>3.9E-2</v>
      </c>
      <c r="X610" s="118" t="str">
        <f>INDEX(Input!$1:$1048576,X$93,$C610*2+MIN($B610,2)+5)</f>
        <v>Y</v>
      </c>
      <c r="Y610" s="150">
        <f>INDEX(Input!$1:$1048576,Y$93,$C610*2+MIN($B610,2)+5)</f>
        <v>2339.3275155115825</v>
      </c>
      <c r="Z610" s="30">
        <f>INDEX(Input!$1:$1048576,Z$93,$C610*2+MIN($B610,2)+5)</f>
        <v>0</v>
      </c>
      <c r="AA610" s="115">
        <f>INDEX(Input!$1:$1048576,AA$93,$C610*2+MIN($B610,2)+5)</f>
        <v>0</v>
      </c>
      <c r="AB610" s="118">
        <f>INDEX(Input!$1:$1048576,AB$93,$C610*2+MIN($B610,2)+5)</f>
        <v>1</v>
      </c>
      <c r="AC610" s="115">
        <f>INDEX(Input!$1:$1048576,AC$93,$C610*2+MIN($B610,2)+5)</f>
        <v>0</v>
      </c>
      <c r="AD610" s="118">
        <f>INDEX(Input!$1:$1048576,AD$93,$C610*2+MIN($B610,2)+5)</f>
        <v>0.35</v>
      </c>
      <c r="AE610" s="115">
        <f>INDEX(Input!$1:$1048576,AE$93,$C610*2+MIN($B610,2)+5)</f>
        <v>0</v>
      </c>
      <c r="AF610" s="118">
        <f>INDEX(Input!$1:$1048576,AF$93,$C610*2+MIN($B610,2)+5)</f>
        <v>1</v>
      </c>
      <c r="AG610" s="115">
        <f>INDEX(Input!$1:$1048576,AG$93,$C610*2+MIN($B610,2)+5)</f>
        <v>0</v>
      </c>
      <c r="AH610" s="118">
        <f>INDEX(Input!$1:$1048576,AH$93,$C610*2+MIN($B610,2)+5)</f>
        <v>1</v>
      </c>
      <c r="AI610" s="115">
        <f>INDEX(Input!$1:$1048576,AI$93,$C610*2+MIN($B610,2)+5)</f>
        <v>0</v>
      </c>
      <c r="AJ610" s="118">
        <f>INDEX(Input!$1:$1048576,AJ$93,$C610*2+MIN($B610,2)+5)</f>
        <v>0.35</v>
      </c>
      <c r="AK610" s="150">
        <f>ROUND(INDEX(Input!$1:$1048576,AK$93,$C609*2+MIN($B610,1)+5)+(Y610-VLOOKUP($C610*1000+1,$A:$HH,Y$92,FALSE)),0)</f>
        <v>5093</v>
      </c>
      <c r="AL610" s="150">
        <f>ROUND(INDEX(Input!$1:$1048576,AL$93,$C609*2+MIN($B610,1)+5)-(Y610-VLOOKUP($C610*1000+1,$A:$HH,Y$92,FALSE))/36,0)</f>
        <v>5217</v>
      </c>
      <c r="AM610" s="32" t="str">
        <f t="shared" si="1973"/>
        <v>std/std/std/std</v>
      </c>
      <c r="AN610" s="32" t="str">
        <f t="shared" si="1974"/>
        <v>$0 + 0/0/0/1.9/3.9</v>
      </c>
      <c r="AO610" s="32" t="str">
        <f t="shared" si="1975"/>
        <v>0/0/0/1.9/3.9</v>
      </c>
      <c r="AP610" s="32" t="str">
        <f t="shared" si="1939"/>
        <v>0/0.9/1.9/3.9</v>
      </c>
      <c r="AQ610" s="536">
        <f t="shared" si="1940"/>
        <v>0.37107588654731899</v>
      </c>
      <c r="AR610" s="32"/>
      <c r="AS610" s="302"/>
      <c r="AT610" s="3">
        <f t="shared" si="1993"/>
        <v>10</v>
      </c>
      <c r="AU610" s="41" t="s">
        <v>121</v>
      </c>
      <c r="AV610" s="41" t="s">
        <v>116</v>
      </c>
      <c r="AW610" s="41" t="str">
        <f>INDEX(Input!$1:$1048576,AW$93,$C610*2+6)</f>
        <v>Kia</v>
      </c>
      <c r="AX610" s="41" t="str">
        <f>INDEX(Input!$1:$1048576,AX$93,$C610*2+6)</f>
        <v>National</v>
      </c>
      <c r="AY610" s="41" t="str">
        <f>IF(LEN(D610)=0,"",INDEX(Input!$1:$1048576,AY$93,$C610*2+6))</f>
        <v>Compact Conventional/Sporty Car (43)</v>
      </c>
      <c r="AZ610" s="41" t="str">
        <f>INDEX(Input!$1:$1048576,AZ$93,$C610*2+6)</f>
        <v>Kia Forte</v>
      </c>
      <c r="BA610" s="3">
        <f>INDEX(Input!$1:$1048576,BA$93,$C610*2+6)</f>
        <v>2020</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19695</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941"/>
        <v>1965.0000000000002</v>
      </c>
      <c r="CJ610" s="16" t="str">
        <f>INDEX(Input!$1:$1048576,CJ$93,$C610*2+6)</f>
        <v>N</v>
      </c>
      <c r="CK610" s="1" t="str">
        <f t="shared" si="1942"/>
        <v>Market</v>
      </c>
      <c r="CL610" s="1" t="str">
        <f t="shared" si="1943"/>
        <v>Market</v>
      </c>
      <c r="CM610" s="1" t="str">
        <f t="shared" si="1944"/>
        <v>Market</v>
      </c>
      <c r="CN610" s="1" t="str">
        <f t="shared" si="1945"/>
        <v>Market</v>
      </c>
      <c r="CO610" s="1" t="str">
        <f t="shared" si="1946"/>
        <v>Market</v>
      </c>
      <c r="CP610" s="304">
        <f t="shared" si="1947"/>
        <v>0</v>
      </c>
      <c r="CQ610" s="1">
        <f t="shared" si="1948"/>
        <v>0</v>
      </c>
      <c r="CR610" s="1">
        <f t="shared" si="1949"/>
        <v>0</v>
      </c>
      <c r="CS610" s="1">
        <f t="shared" si="1950"/>
        <v>0</v>
      </c>
      <c r="CT610" s="1">
        <f t="shared" si="1951"/>
        <v>1.8999999999999996E-2</v>
      </c>
      <c r="CU610" s="1">
        <f t="shared" si="1952"/>
        <v>3.9E-2</v>
      </c>
      <c r="CV610" s="304">
        <f t="shared" si="1768"/>
        <v>2339.3275155115825</v>
      </c>
      <c r="CW610" s="20" t="s">
        <v>122</v>
      </c>
      <c r="CX610" s="20" t="s">
        <v>122</v>
      </c>
      <c r="CY610" s="20" t="s">
        <v>122</v>
      </c>
      <c r="CZ610" s="20" t="s">
        <v>122</v>
      </c>
      <c r="DA610" s="20" t="s">
        <v>122</v>
      </c>
      <c r="DB610" s="503">
        <f t="shared" si="1769"/>
        <v>0</v>
      </c>
      <c r="DC610" s="127">
        <v>0</v>
      </c>
      <c r="DD610" s="127">
        <v>0</v>
      </c>
      <c r="DE610" s="127">
        <v>0</v>
      </c>
      <c r="DF610" s="127">
        <v>0</v>
      </c>
      <c r="DG610" s="127">
        <v>0</v>
      </c>
      <c r="DH610" s="127">
        <v>0</v>
      </c>
      <c r="DI610" s="127">
        <v>0</v>
      </c>
      <c r="DJ610" s="127">
        <v>0</v>
      </c>
      <c r="DK610" s="127">
        <v>0</v>
      </c>
      <c r="DL610" s="127">
        <v>0</v>
      </c>
      <c r="DM610" s="304">
        <f>INDEX(Input!$1:$1048576,DM$93,$C610*2+6)</f>
        <v>20731.578947368424</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v>5.129917254514068E-2</v>
      </c>
      <c r="DZ610" s="7">
        <v>0</v>
      </c>
      <c r="EA610" s="7">
        <v>0.80623821444656507</v>
      </c>
      <c r="EB610" s="7">
        <v>0</v>
      </c>
      <c r="EC610" s="7">
        <v>0</v>
      </c>
      <c r="ED610" s="7">
        <v>0</v>
      </c>
      <c r="EE610" s="7">
        <v>0</v>
      </c>
      <c r="EF610" s="7">
        <v>0</v>
      </c>
      <c r="EG610" s="7">
        <v>0</v>
      </c>
      <c r="EH610" s="7">
        <v>2.9761232241805449E-2</v>
      </c>
      <c r="EI610" s="7">
        <v>1.9440218474233828E-2</v>
      </c>
      <c r="EJ610" s="7">
        <v>0.26192171466739705</v>
      </c>
      <c r="EK610" s="7">
        <v>0.68887683461656379</v>
      </c>
      <c r="EL610" s="7">
        <v>0</v>
      </c>
      <c r="EM610" s="7">
        <v>2.1365930199684545E-2</v>
      </c>
      <c r="EN610" s="7">
        <v>3.6739445780671162E-2</v>
      </c>
      <c r="EO610" s="7">
        <v>0.38221627660321994</v>
      </c>
      <c r="EP610" s="7">
        <v>0.48257898926333009</v>
      </c>
      <c r="EQ610" s="7">
        <v>7.4717322142137513E-2</v>
      </c>
      <c r="ER610" s="7">
        <v>2.3747966210641215E-2</v>
      </c>
      <c r="ES610" s="7">
        <v>0.12109668280860983</v>
      </c>
      <c r="ET610" s="7">
        <v>0.14246261300829435</v>
      </c>
      <c r="EU610" s="6">
        <v>1250</v>
      </c>
      <c r="EV610" s="6">
        <v>0</v>
      </c>
      <c r="EW610" s="6">
        <v>1250</v>
      </c>
      <c r="EX610" s="6">
        <v>0</v>
      </c>
      <c r="EY610" s="6">
        <v>1384.4743915128533</v>
      </c>
      <c r="EZ610" s="6">
        <v>-1554.2676731795959</v>
      </c>
      <c r="FA610" s="6">
        <v>0</v>
      </c>
      <c r="FB610" s="6">
        <v>0</v>
      </c>
      <c r="FC610" s="6">
        <v>0</v>
      </c>
      <c r="FD610" s="6">
        <v>0</v>
      </c>
      <c r="FE610" s="6">
        <v>0</v>
      </c>
      <c r="FF610" s="6">
        <v>0</v>
      </c>
      <c r="FG610" s="6">
        <v>0</v>
      </c>
      <c r="FH610" s="6">
        <v>1158.6353501389083</v>
      </c>
      <c r="FI610" s="6">
        <v>1531.4299904380625</v>
      </c>
      <c r="FJ610" s="6">
        <v>1709.9775738488461</v>
      </c>
      <c r="FK610" s="6">
        <v>1266.3227157028189</v>
      </c>
      <c r="FL610" s="6">
        <v>0</v>
      </c>
      <c r="FM610" s="6">
        <v>1384.4743915128533</v>
      </c>
      <c r="FN610" s="6">
        <v>0</v>
      </c>
      <c r="FO610" s="6">
        <v>0</v>
      </c>
      <c r="FP610" s="6">
        <v>0</v>
      </c>
      <c r="FQ610" s="6">
        <v>0</v>
      </c>
      <c r="FR610" s="6">
        <v>0</v>
      </c>
      <c r="FS610" s="6">
        <v>0</v>
      </c>
      <c r="FT610" s="7">
        <v>0.85753738699170579</v>
      </c>
      <c r="FU610" s="7">
        <v>2.1365930199684545E-2</v>
      </c>
      <c r="FV610" s="7">
        <v>0.12109668280860983</v>
      </c>
      <c r="FW610" s="6">
        <v>1250</v>
      </c>
      <c r="FX610" s="6">
        <v>1384.4743915128533</v>
      </c>
      <c r="FY610" s="6">
        <v>-1554.2676731795959</v>
      </c>
      <c r="FZ610" s="6">
        <v>1676.0854837363124</v>
      </c>
      <c r="GA610" s="6">
        <v>913.28565753324096</v>
      </c>
      <c r="GB610" s="6">
        <v>18781.714342466759</v>
      </c>
      <c r="GC610" s="7">
        <v>6.4493561548621597E-2</v>
      </c>
      <c r="GD610" s="7">
        <v>5.8082684346477585E-2</v>
      </c>
      <c r="GE610" s="7"/>
      <c r="GF610" s="7"/>
      <c r="GG610" s="7">
        <v>-9.940336753322053E-2</v>
      </c>
      <c r="GH610" s="42">
        <v>2.5665308988227133</v>
      </c>
      <c r="GI610" s="6">
        <v>8587.0681976282158</v>
      </c>
      <c r="GJ610" s="14">
        <v>0.51596255589662332</v>
      </c>
      <c r="GK610" s="14">
        <v>0.51419567426615975</v>
      </c>
      <c r="GL610" s="14">
        <v>0.48403744410337673</v>
      </c>
      <c r="GM610" s="14">
        <v>0.48580432573384069</v>
      </c>
      <c r="GO610" s="5">
        <v>338.16872463277008</v>
      </c>
      <c r="GP610" s="5">
        <v>314.32110928815564</v>
      </c>
      <c r="GQ610" s="5">
        <v>527.27910984145694</v>
      </c>
      <c r="GR610" s="5">
        <v>404.20319246551543</v>
      </c>
      <c r="GS610" s="5">
        <v>334.50205195691484</v>
      </c>
      <c r="GT610" s="5">
        <v>289.18266033348181</v>
      </c>
      <c r="GU610" s="5">
        <v>254.29573314828914</v>
      </c>
      <c r="GV610" s="39" t="s">
        <v>392</v>
      </c>
      <c r="GW610" s="5">
        <v>492.375</v>
      </c>
      <c r="GX610" s="5">
        <v>369.28125</v>
      </c>
      <c r="GY610" s="5">
        <v>302.23266563481752</v>
      </c>
      <c r="GZ610" s="5">
        <v>268.52323906086701</v>
      </c>
      <c r="HA610" s="5">
        <v>254.29573314828914</v>
      </c>
      <c r="HB610" s="39">
        <v>285.97333186030357</v>
      </c>
      <c r="HC610" s="5">
        <v>351.11483570160732</v>
      </c>
      <c r="HD610" s="5">
        <v>282.73776275539944</v>
      </c>
      <c r="HE610" s="5">
        <v>280.55735780820959</v>
      </c>
      <c r="HF610" s="5">
        <v>253.64561428438338</v>
      </c>
      <c r="HG610" s="5">
        <v>237.36506461313525</v>
      </c>
      <c r="HH610" s="39">
        <v>280.94648417246407</v>
      </c>
      <c r="HI610" s="16"/>
      <c r="HJ610" s="19" t="str">
        <f t="shared" ref="HJ610:HK610" si="2008">HJ609</f>
        <v>On</v>
      </c>
      <c r="HK610" s="1" t="str">
        <f t="shared" si="2008"/>
        <v>On</v>
      </c>
      <c r="HL610" s="16"/>
      <c r="HM610" s="639">
        <f t="shared" si="1976"/>
        <v>4.9686942767030826E-2</v>
      </c>
      <c r="HN610" s="639">
        <f t="shared" si="1953"/>
        <v>2.6112822013589915E-3</v>
      </c>
      <c r="HO610" s="639">
        <f t="shared" si="1953"/>
        <v>3.166115353075552E-2</v>
      </c>
      <c r="HP610" s="644">
        <f t="shared" si="1954"/>
        <v>679.17125170601912</v>
      </c>
      <c r="HQ610" s="644">
        <f t="shared" si="1954"/>
        <v>-0.60036530980510583</v>
      </c>
      <c r="HR610" s="644">
        <f t="shared" si="1954"/>
        <v>-29.644859314870139</v>
      </c>
      <c r="HS610" s="644">
        <f t="shared" si="1954"/>
        <v>-145.27454836533732</v>
      </c>
      <c r="HT610" s="644">
        <f t="shared" si="1954"/>
        <v>159.79287091431061</v>
      </c>
      <c r="HU610" s="644">
        <f t="shared" si="1954"/>
        <v>104.6773846799136</v>
      </c>
      <c r="HV610" s="644">
        <f t="shared" si="1954"/>
        <v>0</v>
      </c>
      <c r="HW610" s="644">
        <f t="shared" si="1954"/>
        <v>0</v>
      </c>
      <c r="HX610" s="644">
        <f t="shared" si="1954"/>
        <v>0</v>
      </c>
      <c r="HY610" s="644">
        <f t="shared" si="1954"/>
        <v>2388</v>
      </c>
      <c r="HZ610" s="644">
        <f t="shared" si="1954"/>
        <v>2518</v>
      </c>
      <c r="IA610" s="644">
        <f t="shared" si="1954"/>
        <v>2200</v>
      </c>
      <c r="IB610" s="644">
        <f t="shared" si="1954"/>
        <v>2921.8967033406821</v>
      </c>
      <c r="IC610" s="644">
        <f t="shared" si="1954"/>
        <v>2677.1925056045056</v>
      </c>
      <c r="ID610" s="644">
        <f t="shared" si="1954"/>
        <v>2275.0325253650435</v>
      </c>
      <c r="IE610" s="20">
        <f t="shared" si="1977"/>
        <v>0.37107588654731899</v>
      </c>
      <c r="IF610" s="20">
        <f t="shared" si="1956"/>
        <v>0.3399988717394431</v>
      </c>
      <c r="IG610" s="20">
        <f t="shared" si="1957"/>
        <v>0.28892524171323786</v>
      </c>
      <c r="IH610" s="21"/>
      <c r="II610" s="19"/>
      <c r="IJ610" s="19"/>
      <c r="IK610" s="19"/>
      <c r="IL610" s="19">
        <f t="shared" si="1978"/>
        <v>899.99999999999955</v>
      </c>
      <c r="IM610" s="19">
        <f t="shared" si="1958"/>
        <v>400.23951346270178</v>
      </c>
      <c r="IN610" s="19">
        <f t="shared" si="1958"/>
        <v>287.03312697336605</v>
      </c>
      <c r="IO610" s="39"/>
      <c r="IP610" s="39"/>
      <c r="IQ610" s="39"/>
      <c r="IR610" s="39"/>
      <c r="IS610" s="39"/>
      <c r="IT610" s="39"/>
      <c r="IU610" s="39"/>
      <c r="IV610" s="39"/>
      <c r="IW610" s="39"/>
      <c r="IX610" s="19">
        <f t="shared" si="1979"/>
        <v>1600</v>
      </c>
      <c r="IY610" s="19">
        <f t="shared" si="1959"/>
        <v>2503.549291639752</v>
      </c>
      <c r="IZ610" s="19">
        <f t="shared" si="1959"/>
        <v>5888.3563810918577</v>
      </c>
      <c r="JA610" s="19">
        <f t="shared" si="1980"/>
        <v>2499.9999999999995</v>
      </c>
      <c r="JB610" s="19">
        <f t="shared" si="1980"/>
        <v>2903.7888051024538</v>
      </c>
      <c r="JC610" s="19">
        <f t="shared" si="1980"/>
        <v>6175.3895080652237</v>
      </c>
      <c r="JD610" s="19">
        <f t="shared" si="1981"/>
        <v>3699.2005401638953</v>
      </c>
      <c r="JE610" s="21"/>
      <c r="JF610" s="1">
        <f t="shared" si="1982"/>
        <v>6.8844376252282569E-2</v>
      </c>
      <c r="JG610" s="15">
        <f t="shared" si="1983"/>
        <v>7106</v>
      </c>
      <c r="JH610" s="1">
        <f t="shared" si="1984"/>
        <v>9.1320859426026441E-2</v>
      </c>
      <c r="JI610" s="1">
        <f t="shared" si="1985"/>
        <v>1.6773952607498858E-2</v>
      </c>
      <c r="JJ610" s="1">
        <f t="shared" si="1962"/>
        <v>0</v>
      </c>
      <c r="JK610" s="1">
        <f t="shared" si="1963"/>
        <v>0.10809481203352528</v>
      </c>
      <c r="JL610" s="15">
        <f t="shared" si="1986"/>
        <v>768.12173431023064</v>
      </c>
      <c r="JM610" s="15">
        <f t="shared" si="1986"/>
        <v>7874.1217343102298</v>
      </c>
      <c r="JN610" s="21"/>
      <c r="JO610" s="19">
        <f>INDEX([1]Input!$1:$1048576,JO$93,$C610*2+6)</f>
        <v>5995.5</v>
      </c>
      <c r="JP610" s="19">
        <f>INDEX([1]Input!$1:$1048576,JP$93,$C610*2+6)</f>
        <v>1716.3055838443925</v>
      </c>
      <c r="JQ610" s="39">
        <f t="shared" si="1995"/>
        <v>2296.2994598361047</v>
      </c>
      <c r="JR610" s="39">
        <f t="shared" si="1996"/>
        <v>1982.8949563195029</v>
      </c>
      <c r="JS610" s="39">
        <f t="shared" si="1997"/>
        <v>29.12795537287667</v>
      </c>
      <c r="JT610" s="39">
        <f t="shared" si="1987"/>
        <v>16.931887894078418</v>
      </c>
      <c r="JU610" s="385">
        <f>(JQ610*JM610-INDEX([1]Input!$1:$1048576,[1]Input!A$18,$C610*2+6)*JL610*INDEX([1]Input!$1:$1048576,[1]Input!A$19,$C610*2+6))/1000000</f>
        <v>18.08134148518031</v>
      </c>
      <c r="JV610" s="39">
        <f t="shared" si="1966"/>
        <v>-12.326614036021439</v>
      </c>
      <c r="JW610" s="1">
        <f t="shared" si="2000"/>
        <v>-0.40537464044324806</v>
      </c>
      <c r="JX610" s="19">
        <f t="shared" si="2001"/>
        <v>22043.234994884198</v>
      </c>
      <c r="JZ610" s="341"/>
      <c r="KA610" s="60"/>
      <c r="KB610" s="469">
        <f t="shared" si="1988"/>
        <v>0</v>
      </c>
      <c r="KI610" s="472"/>
      <c r="KJ610" s="472"/>
      <c r="KK610" s="472"/>
      <c r="KN610" s="888">
        <f t="shared" si="1989"/>
        <v>6002</v>
      </c>
      <c r="KO610" s="541">
        <f t="shared" si="1967"/>
        <v>3.035659948436642E-2</v>
      </c>
      <c r="KP610" s="546">
        <f t="shared" si="1968"/>
        <v>194.01744351119893</v>
      </c>
      <c r="KQ610" s="546">
        <f t="shared" si="1969"/>
        <v>101.75204987396864</v>
      </c>
      <c r="KR610" s="472">
        <f t="shared" si="1970"/>
        <v>2.5186752026810422</v>
      </c>
      <c r="KS610" s="472">
        <f t="shared" si="1971"/>
        <v>4.802526577739668</v>
      </c>
      <c r="KT610" s="473">
        <f t="shared" si="1998"/>
        <v>2521.945896759994</v>
      </c>
      <c r="KU610" s="663">
        <f t="shared" si="1990"/>
        <v>11.299080462538717</v>
      </c>
      <c r="KV610" s="117" t="e">
        <f t="shared" ref="KV610:KV611" si="2009">RANK(KU610,$KU$109:$KU$200)</f>
        <v>#N/A</v>
      </c>
    </row>
    <row r="611" spans="1:308" s="26" customFormat="1" ht="15">
      <c r="A611" s="561">
        <f t="shared" si="1972"/>
        <v>6011</v>
      </c>
      <c r="B611" s="561">
        <f t="shared" si="1991"/>
        <v>11</v>
      </c>
      <c r="C611" s="561">
        <f t="shared" si="1992"/>
        <v>6</v>
      </c>
      <c r="D611" s="561" t="str">
        <f t="shared" si="2006"/>
        <v xml:space="preserve">750 CC, </v>
      </c>
      <c r="E611" s="475">
        <f>INDEX(Input!$1:$1048576,E$93,$C611*2+MIN($B611,2)+5)+IF(OR(BX611&gt;50000,INDEX(Input!$1:$1048576,E$93,$C611*2+MIN($B611,2)+5)&gt;0),0,250)+IF(BX611&gt;50000,500,250)*3</f>
        <v>2000.0000000000002</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1.8999999999999996E-2</v>
      </c>
      <c r="W611" s="862">
        <f>INDEX(Input!$1:$1048576,W$93,$C611*2+MIN($B611,2)+5)</f>
        <v>3.9E-2</v>
      </c>
      <c r="X611" s="118" t="str">
        <f>INDEX(Input!$1:$1048576,X$93,$C611*2+MIN($B611,2)+5)</f>
        <v>Y</v>
      </c>
      <c r="Y611" s="150">
        <f>INDEX(Input!$1:$1048576,Y$93,$C611*2+MIN($B611,2)+5)</f>
        <v>2339.3275155115825</v>
      </c>
      <c r="Z611" s="30">
        <f>INDEX(Input!$1:$1048576,Z$93,$C611*2+MIN($B611,2)+5)</f>
        <v>0</v>
      </c>
      <c r="AA611" s="115">
        <f>INDEX(Input!$1:$1048576,AA$93,$C611*2+MIN($B611,2)+5)</f>
        <v>0</v>
      </c>
      <c r="AB611" s="118">
        <f>INDEX(Input!$1:$1048576,AB$93,$C611*2+MIN($B611,2)+5)</f>
        <v>1</v>
      </c>
      <c r="AC611" s="115">
        <f>INDEX(Input!$1:$1048576,AC$93,$C611*2+MIN($B611,2)+5)</f>
        <v>0</v>
      </c>
      <c r="AD611" s="118">
        <f>INDEX(Input!$1:$1048576,AD$93,$C611*2+MIN($B611,2)+5)</f>
        <v>0.35</v>
      </c>
      <c r="AE611" s="115">
        <f>INDEX(Input!$1:$1048576,AE$93,$C611*2+MIN($B611,2)+5)</f>
        <v>0</v>
      </c>
      <c r="AF611" s="118">
        <f>INDEX(Input!$1:$1048576,AF$93,$C611*2+MIN($B611,2)+5)</f>
        <v>1</v>
      </c>
      <c r="AG611" s="115">
        <f>INDEX(Input!$1:$1048576,AG$93,$C611*2+MIN($B611,2)+5)</f>
        <v>0</v>
      </c>
      <c r="AH611" s="118">
        <f>INDEX(Input!$1:$1048576,AH$93,$C611*2+MIN($B611,2)+5)</f>
        <v>1</v>
      </c>
      <c r="AI611" s="115">
        <f>INDEX(Input!$1:$1048576,AI$93,$C611*2+MIN($B611,2)+5)</f>
        <v>0</v>
      </c>
      <c r="AJ611" s="118">
        <f>INDEX(Input!$1:$1048576,AJ$93,$C611*2+MIN($B611,2)+5)</f>
        <v>0.35</v>
      </c>
      <c r="AK611" s="150">
        <f>ROUND(INDEX(Input!$1:$1048576,AK$93,$C610*2+MIN($B611,1)+5)+(Y611-VLOOKUP($C611*1000+1,$A:$HH,Y$92,FALSE)),0)</f>
        <v>5093</v>
      </c>
      <c r="AL611" s="150">
        <f>ROUND(INDEX(Input!$1:$1048576,AL$93,$C610*2+MIN($B611,1)+5)-(Y611-VLOOKUP($C611*1000+1,$A:$HH,Y$92,FALSE))/36,0)</f>
        <v>5217</v>
      </c>
      <c r="AM611" s="32" t="str">
        <f t="shared" si="1973"/>
        <v>std/std/std/std</v>
      </c>
      <c r="AN611" s="32" t="str">
        <f t="shared" si="1974"/>
        <v>$0 + 0/0/0/1.9/3.9</v>
      </c>
      <c r="AO611" s="32" t="str">
        <f t="shared" si="1975"/>
        <v>0/0/0/1.9/3.9</v>
      </c>
      <c r="AP611" s="32" t="str">
        <f t="shared" si="1939"/>
        <v>0/0.9/1.9/3.9</v>
      </c>
      <c r="AQ611" s="536">
        <f t="shared" si="1940"/>
        <v>0.38804933124814772</v>
      </c>
      <c r="AR611" s="32"/>
      <c r="AS611" s="302"/>
      <c r="AT611" s="3">
        <f t="shared" si="1993"/>
        <v>11</v>
      </c>
      <c r="AU611" s="41" t="s">
        <v>121</v>
      </c>
      <c r="AV611" s="41" t="s">
        <v>116</v>
      </c>
      <c r="AW611" s="41" t="str">
        <f>INDEX(Input!$1:$1048576,AW$93,$C611*2+6)</f>
        <v>Kia</v>
      </c>
      <c r="AX611" s="41" t="str">
        <f>INDEX(Input!$1:$1048576,AX$93,$C611*2+6)</f>
        <v>National</v>
      </c>
      <c r="AY611" s="41" t="str">
        <f>IF(LEN(D611)=0,"",INDEX(Input!$1:$1048576,AY$93,$C611*2+6))</f>
        <v>Compact Conventional/Sporty Car (43)</v>
      </c>
      <c r="AZ611" s="41" t="str">
        <f>INDEX(Input!$1:$1048576,AZ$93,$C611*2+6)</f>
        <v>Kia Forte</v>
      </c>
      <c r="BA611" s="3">
        <f>INDEX(Input!$1:$1048576,BA$93,$C611*2+6)</f>
        <v>2020</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19695</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941"/>
        <v>2215</v>
      </c>
      <c r="CJ611" s="16" t="str">
        <f>INDEX(Input!$1:$1048576,CJ$93,$C611*2+6)</f>
        <v>N</v>
      </c>
      <c r="CK611" s="1" t="str">
        <f t="shared" si="1942"/>
        <v>Market</v>
      </c>
      <c r="CL611" s="1" t="str">
        <f t="shared" si="1943"/>
        <v>Market</v>
      </c>
      <c r="CM611" s="1" t="str">
        <f t="shared" si="1944"/>
        <v>Market</v>
      </c>
      <c r="CN611" s="1" t="str">
        <f t="shared" si="1945"/>
        <v>Market</v>
      </c>
      <c r="CO611" s="1" t="str">
        <f t="shared" si="1946"/>
        <v>Market</v>
      </c>
      <c r="CP611" s="304">
        <f t="shared" si="1947"/>
        <v>0</v>
      </c>
      <c r="CQ611" s="1">
        <f t="shared" si="1948"/>
        <v>0</v>
      </c>
      <c r="CR611" s="1">
        <f t="shared" si="1949"/>
        <v>0</v>
      </c>
      <c r="CS611" s="1">
        <f t="shared" si="1950"/>
        <v>0</v>
      </c>
      <c r="CT611" s="1">
        <f t="shared" si="1951"/>
        <v>1.8999999999999996E-2</v>
      </c>
      <c r="CU611" s="1">
        <f t="shared" si="1952"/>
        <v>3.9E-2</v>
      </c>
      <c r="CV611" s="304">
        <f t="shared" si="1768"/>
        <v>2339.3275155115825</v>
      </c>
      <c r="CW611" s="20" t="s">
        <v>122</v>
      </c>
      <c r="CX611" s="20" t="s">
        <v>122</v>
      </c>
      <c r="CY611" s="20" t="s">
        <v>122</v>
      </c>
      <c r="CZ611" s="20" t="s">
        <v>122</v>
      </c>
      <c r="DA611" s="20" t="s">
        <v>122</v>
      </c>
      <c r="DB611" s="503">
        <f t="shared" si="1769"/>
        <v>0</v>
      </c>
      <c r="DC611" s="127">
        <v>0</v>
      </c>
      <c r="DD611" s="127">
        <v>0</v>
      </c>
      <c r="DE611" s="127">
        <v>0</v>
      </c>
      <c r="DF611" s="127">
        <v>0</v>
      </c>
      <c r="DG611" s="127">
        <v>0</v>
      </c>
      <c r="DH611" s="127">
        <v>0</v>
      </c>
      <c r="DI611" s="127">
        <v>0</v>
      </c>
      <c r="DJ611" s="127">
        <v>0</v>
      </c>
      <c r="DK611" s="127">
        <v>0</v>
      </c>
      <c r="DL611" s="127">
        <v>0</v>
      </c>
      <c r="DM611" s="304">
        <f>INDEX(Input!$1:$1048576,DM$93,$C611*2+6)</f>
        <v>20731.578947368424</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v>5.2088107080577269E-2</v>
      </c>
      <c r="DZ611" s="7">
        <v>0</v>
      </c>
      <c r="EA611" s="7">
        <v>0.81851037894908729</v>
      </c>
      <c r="EB611" s="7">
        <v>0</v>
      </c>
      <c r="EC611" s="7">
        <v>0</v>
      </c>
      <c r="ED611" s="7">
        <v>0</v>
      </c>
      <c r="EE611" s="7">
        <v>0</v>
      </c>
      <c r="EF611" s="7">
        <v>0</v>
      </c>
      <c r="EG611" s="7">
        <v>0</v>
      </c>
      <c r="EH611" s="7">
        <v>2.9779220263879018E-2</v>
      </c>
      <c r="EI611" s="7">
        <v>1.9443415335063351E-2</v>
      </c>
      <c r="EJ611" s="7">
        <v>0.26208484191481224</v>
      </c>
      <c r="EK611" s="7">
        <v>0.68869252248624557</v>
      </c>
      <c r="EL611" s="7">
        <v>0</v>
      </c>
      <c r="EM611" s="7">
        <v>1.9402188993677721E-2</v>
      </c>
      <c r="EN611" s="7">
        <v>3.6729127582782378E-2</v>
      </c>
      <c r="EO611" s="7">
        <v>0.38227739229900032</v>
      </c>
      <c r="EP611" s="7">
        <v>0.48252139542775591</v>
      </c>
      <c r="EQ611" s="7">
        <v>7.4719918596249754E-2</v>
      </c>
      <c r="ER611" s="7">
        <v>2.3752166094211817E-2</v>
      </c>
      <c r="ES611" s="7">
        <v>0.1099993249766576</v>
      </c>
      <c r="ET611" s="7">
        <v>0.12940151397033542</v>
      </c>
      <c r="EU611" s="6">
        <v>1500</v>
      </c>
      <c r="EV611" s="6">
        <v>0</v>
      </c>
      <c r="EW611" s="6">
        <v>1500</v>
      </c>
      <c r="EX611" s="6">
        <v>0</v>
      </c>
      <c r="EY611" s="6">
        <v>1384.5459807770994</v>
      </c>
      <c r="EZ611" s="6">
        <v>-1554.2676731795959</v>
      </c>
      <c r="FA611" s="6">
        <v>0</v>
      </c>
      <c r="FB611" s="6">
        <v>0</v>
      </c>
      <c r="FC611" s="6">
        <v>0</v>
      </c>
      <c r="FD611" s="6">
        <v>0</v>
      </c>
      <c r="FE611" s="6">
        <v>0</v>
      </c>
      <c r="FF611" s="6">
        <v>0</v>
      </c>
      <c r="FG611" s="6">
        <v>0</v>
      </c>
      <c r="FH611" s="6">
        <v>1158.6456472547609</v>
      </c>
      <c r="FI611" s="6">
        <v>1531.4299904380628</v>
      </c>
      <c r="FJ611" s="6">
        <v>1709.9775738488465</v>
      </c>
      <c r="FK611" s="6">
        <v>1266.3227157028184</v>
      </c>
      <c r="FL611" s="6">
        <v>0</v>
      </c>
      <c r="FM611" s="6">
        <v>1384.5459807770994</v>
      </c>
      <c r="FN611" s="6">
        <v>0</v>
      </c>
      <c r="FO611" s="6">
        <v>0</v>
      </c>
      <c r="FP611" s="6">
        <v>0</v>
      </c>
      <c r="FQ611" s="6">
        <v>0</v>
      </c>
      <c r="FR611" s="6">
        <v>0</v>
      </c>
      <c r="FS611" s="6">
        <v>0</v>
      </c>
      <c r="FT611" s="7">
        <v>0.87059848602966461</v>
      </c>
      <c r="FU611" s="7">
        <v>1.9402188993677721E-2</v>
      </c>
      <c r="FV611" s="7">
        <v>0.1099993249766576</v>
      </c>
      <c r="FW611" s="6">
        <v>1500</v>
      </c>
      <c r="FX611" s="6">
        <v>1384.5459807770994</v>
      </c>
      <c r="FY611" s="6">
        <v>-1554.2676731795959</v>
      </c>
      <c r="FZ611" s="6">
        <v>1676.0854837363124</v>
      </c>
      <c r="GA611" s="6">
        <v>1161.7925569511751</v>
      </c>
      <c r="GB611" s="6">
        <v>18533.207443048825</v>
      </c>
      <c r="GC611" s="7">
        <v>6.4493561548621597E-2</v>
      </c>
      <c r="GD611" s="7">
        <v>6.087332098370174E-2</v>
      </c>
      <c r="GE611" s="7"/>
      <c r="GF611" s="7"/>
      <c r="GG611" s="7">
        <v>-5.6133363982241294E-2</v>
      </c>
      <c r="GH611" s="42">
        <v>2.1496438042441142</v>
      </c>
      <c r="GI611" s="6">
        <v>10323.775561351949</v>
      </c>
      <c r="GJ611" s="14">
        <v>0.51596255589662299</v>
      </c>
      <c r="GK611" s="14">
        <v>0.51419567426615942</v>
      </c>
      <c r="GL611" s="14">
        <v>0.48403744410337668</v>
      </c>
      <c r="GM611" s="14">
        <v>0.4858043257338403</v>
      </c>
      <c r="GO611" s="5">
        <v>338.16872463277008</v>
      </c>
      <c r="GP611" s="5">
        <v>309.55158621923283</v>
      </c>
      <c r="GQ611" s="5">
        <v>527.27910984145694</v>
      </c>
      <c r="GR611" s="5">
        <v>404.20319246551543</v>
      </c>
      <c r="GS611" s="5">
        <v>334.50205195691484</v>
      </c>
      <c r="GT611" s="5">
        <v>289.18266033348181</v>
      </c>
      <c r="GU611" s="5">
        <v>254.29573314828914</v>
      </c>
      <c r="GV611" s="39" t="s">
        <v>392</v>
      </c>
      <c r="GW611" s="5">
        <v>492.375</v>
      </c>
      <c r="GX611" s="5">
        <v>369.28125</v>
      </c>
      <c r="GY611" s="5">
        <v>302.23266563481752</v>
      </c>
      <c r="GZ611" s="5">
        <v>268.52323906086701</v>
      </c>
      <c r="HA611" s="5">
        <v>254.29573314828914</v>
      </c>
      <c r="HB611" s="39">
        <v>285.98317954602788</v>
      </c>
      <c r="HC611" s="5">
        <v>351.11483570160732</v>
      </c>
      <c r="HD611" s="5">
        <v>282.73776275539944</v>
      </c>
      <c r="HE611" s="5">
        <v>280.55735780820959</v>
      </c>
      <c r="HF611" s="5">
        <v>253.64561428438338</v>
      </c>
      <c r="HG611" s="5">
        <v>237.36506461313525</v>
      </c>
      <c r="HH611" s="39">
        <v>280.94563812570038</v>
      </c>
      <c r="HI611" s="16"/>
      <c r="HJ611" s="19" t="str">
        <f t="shared" ref="HJ611:HK611" si="2010">HJ610</f>
        <v>On</v>
      </c>
      <c r="HK611" s="1" t="str">
        <f t="shared" si="2010"/>
        <v>On</v>
      </c>
      <c r="HL611" s="16"/>
      <c r="HM611" s="639">
        <f t="shared" si="1976"/>
        <v>4.9686942767030826E-2</v>
      </c>
      <c r="HN611" s="639">
        <f t="shared" si="1953"/>
        <v>2.6112822013589915E-3</v>
      </c>
      <c r="HO611" s="639">
        <f t="shared" si="1953"/>
        <v>3.166115353075552E-2</v>
      </c>
      <c r="HP611" s="644">
        <f t="shared" si="1954"/>
        <v>901.60817726109872</v>
      </c>
      <c r="HQ611" s="644">
        <f t="shared" si="1954"/>
        <v>-8.569543247665699</v>
      </c>
      <c r="HR611" s="644">
        <f t="shared" si="1954"/>
        <v>-78.556306406374944</v>
      </c>
      <c r="HS611" s="644">
        <f t="shared" si="1954"/>
        <v>-185.35368848874407</v>
      </c>
      <c r="HT611" s="644">
        <f t="shared" si="1954"/>
        <v>150.46622123482956</v>
      </c>
      <c r="HU611" s="644">
        <f t="shared" si="1954"/>
        <v>114.04394533071958</v>
      </c>
      <c r="HV611" s="644">
        <f t="shared" si="1954"/>
        <v>0</v>
      </c>
      <c r="HW611" s="644">
        <f t="shared" si="1954"/>
        <v>0</v>
      </c>
      <c r="HX611" s="644">
        <f t="shared" si="1954"/>
        <v>0</v>
      </c>
      <c r="HY611" s="644">
        <f t="shared" si="1954"/>
        <v>2388</v>
      </c>
      <c r="HZ611" s="644">
        <f t="shared" si="1954"/>
        <v>2518</v>
      </c>
      <c r="IA611" s="644">
        <f t="shared" si="1954"/>
        <v>2200</v>
      </c>
      <c r="IB611" s="644">
        <f t="shared" si="1954"/>
        <v>3104.2544887723539</v>
      </c>
      <c r="IC611" s="644">
        <f t="shared" si="1954"/>
        <v>2659.8966779871639</v>
      </c>
      <c r="ID611" s="644">
        <f t="shared" si="1954"/>
        <v>2235.4876389243445</v>
      </c>
      <c r="IE611" s="20">
        <f t="shared" si="1977"/>
        <v>0.38804933124814772</v>
      </c>
      <c r="IF611" s="20">
        <f t="shared" si="1956"/>
        <v>0.33250209698183719</v>
      </c>
      <c r="IG611" s="20">
        <f t="shared" si="1957"/>
        <v>0.27944857177001509</v>
      </c>
      <c r="IH611" s="21"/>
      <c r="II611" s="19"/>
      <c r="IJ611" s="19"/>
      <c r="IK611" s="19"/>
      <c r="IL611" s="19">
        <f t="shared" si="1978"/>
        <v>1150.0000000000005</v>
      </c>
      <c r="IM611" s="19">
        <f t="shared" si="1958"/>
        <v>400.32167457371634</v>
      </c>
      <c r="IN611" s="19">
        <f t="shared" si="1958"/>
        <v>288.65731535644682</v>
      </c>
      <c r="IO611" s="39"/>
      <c r="IP611" s="39"/>
      <c r="IQ611" s="39"/>
      <c r="IR611" s="39"/>
      <c r="IS611" s="39"/>
      <c r="IT611" s="39"/>
      <c r="IU611" s="39"/>
      <c r="IV611" s="39"/>
      <c r="IW611" s="39"/>
      <c r="IX611" s="19">
        <f t="shared" si="1979"/>
        <v>1600</v>
      </c>
      <c r="IY611" s="19">
        <f t="shared" si="1959"/>
        <v>2503.549291639752</v>
      </c>
      <c r="IZ611" s="19">
        <f t="shared" si="1959"/>
        <v>5888.3563810918577</v>
      </c>
      <c r="JA611" s="19">
        <f t="shared" si="1980"/>
        <v>2750.0000000000005</v>
      </c>
      <c r="JB611" s="19">
        <f t="shared" si="1980"/>
        <v>2903.8709662134684</v>
      </c>
      <c r="JC611" s="19">
        <f t="shared" si="1980"/>
        <v>6177.0136964483045</v>
      </c>
      <c r="JD611" s="19">
        <f t="shared" si="1981"/>
        <v>3758.8365018393588</v>
      </c>
      <c r="JE611" s="21"/>
      <c r="JF611" s="1">
        <f t="shared" si="1982"/>
        <v>6.8844376252282569E-2</v>
      </c>
      <c r="JG611" s="15">
        <f t="shared" si="1983"/>
        <v>7106</v>
      </c>
      <c r="JH611" s="1">
        <f t="shared" si="1984"/>
        <v>0.11461895969702478</v>
      </c>
      <c r="JI611" s="1">
        <f t="shared" si="1985"/>
        <v>1.1139386163355625E-2</v>
      </c>
      <c r="JJ611" s="1">
        <f t="shared" si="1962"/>
        <v>0</v>
      </c>
      <c r="JK611" s="1">
        <f t="shared" si="1963"/>
        <v>0.1257583458603804</v>
      </c>
      <c r="JL611" s="15">
        <f t="shared" si="1986"/>
        <v>893.6388056838631</v>
      </c>
      <c r="JM611" s="15">
        <f t="shared" si="1986"/>
        <v>7999.6388056838632</v>
      </c>
      <c r="JN611" s="21"/>
      <c r="JO611" s="19">
        <f>INDEX([1]Input!$1:$1048576,JO$93,$C611*2+6)</f>
        <v>5995.5</v>
      </c>
      <c r="JP611" s="19">
        <f>INDEX([1]Input!$1:$1048576,JP$93,$C611*2+6)</f>
        <v>1716.3055838443925</v>
      </c>
      <c r="JQ611" s="39">
        <f t="shared" si="1995"/>
        <v>2236.6634981606412</v>
      </c>
      <c r="JR611" s="39">
        <f t="shared" si="1996"/>
        <v>2042.5309179949663</v>
      </c>
      <c r="JS611" s="39">
        <f t="shared" si="1997"/>
        <v>30.069334344335122</v>
      </c>
      <c r="JT611" s="39">
        <f t="shared" si="1987"/>
        <v>17.87326686553687</v>
      </c>
      <c r="JU611" s="385">
        <f>(JQ611*JM611-INDEX([1]Input!$1:$1048576,[1]Input!A$18,$C611*2+6)*JL611*INDEX([1]Input!$1:$1048576,[1]Input!A$19,$C611*2+6))/1000000</f>
        <v>17.892500115142482</v>
      </c>
      <c r="JV611" s="39">
        <f t="shared" si="1966"/>
        <v>-12.515455406059267</v>
      </c>
      <c r="JW611" s="1">
        <f t="shared" si="2000"/>
        <v>-0.41158490242242518</v>
      </c>
      <c r="JX611" s="19">
        <f t="shared" si="2001"/>
        <v>20000.549161312698</v>
      </c>
      <c r="JZ611" s="341"/>
      <c r="KA611" s="60"/>
      <c r="KB611" s="469">
        <f t="shared" si="1988"/>
        <v>0</v>
      </c>
      <c r="KI611" s="472"/>
      <c r="KJ611" s="472"/>
      <c r="KK611" s="472"/>
      <c r="KN611" s="888">
        <f t="shared" si="1989"/>
        <v>6002</v>
      </c>
      <c r="KO611" s="541">
        <f t="shared" si="1967"/>
        <v>4.6780950948765332E-2</v>
      </c>
      <c r="KP611" s="546">
        <f t="shared" si="1968"/>
        <v>299.72018740178925</v>
      </c>
      <c r="KQ611" s="546">
        <f t="shared" si="1969"/>
        <v>161.38801154943212</v>
      </c>
      <c r="KR611" s="472">
        <f t="shared" si="1970"/>
        <v>2.5125393591238447</v>
      </c>
      <c r="KS611" s="472">
        <f t="shared" si="1971"/>
        <v>4.6661382115133936</v>
      </c>
      <c r="KT611" s="473">
        <f t="shared" si="1998"/>
        <v>2521.945896759994</v>
      </c>
      <c r="KU611" s="663">
        <f t="shared" si="1990"/>
        <v>11.380592813998902</v>
      </c>
      <c r="KV611" s="117" t="e">
        <f t="shared" si="2009"/>
        <v>#N/A</v>
      </c>
    </row>
    <row r="612" spans="1:308" s="26" customFormat="1" ht="15">
      <c r="A612" s="561">
        <f t="shared" si="1972"/>
        <v>6012</v>
      </c>
      <c r="B612" s="561">
        <f t="shared" si="1991"/>
        <v>12</v>
      </c>
      <c r="C612" s="561">
        <f t="shared" si="1992"/>
        <v>6</v>
      </c>
      <c r="D612" s="561" t="str">
        <f t="shared" si="2006"/>
        <v xml:space="preserve">1000 CC, </v>
      </c>
      <c r="E612" s="475">
        <f>INDEX(Input!$1:$1048576,E$93,$C612*2+MIN($B612,2)+5)+IF(OR(BX612&gt;50000,INDEX(Input!$1:$1048576,E$93,$C612*2+MIN($B612,2)+5)&gt;0),0,250)+IF(BX612&gt;50000,500,250)*4</f>
        <v>2250</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1.8999999999999996E-2</v>
      </c>
      <c r="W612" s="862">
        <f>INDEX(Input!$1:$1048576,W$93,$C612*2+MIN($B612,2)+5)</f>
        <v>3.9E-2</v>
      </c>
      <c r="X612" s="118" t="str">
        <f>INDEX(Input!$1:$1048576,X$93,$C612*2+MIN($B612,2)+5)</f>
        <v>Y</v>
      </c>
      <c r="Y612" s="150">
        <f>INDEX(Input!$1:$1048576,Y$93,$C612*2+MIN($B612,2)+5)</f>
        <v>2339.3275155115825</v>
      </c>
      <c r="Z612" s="30">
        <f>INDEX(Input!$1:$1048576,Z$93,$C612*2+MIN($B612,2)+5)</f>
        <v>0</v>
      </c>
      <c r="AA612" s="115">
        <f>INDEX(Input!$1:$1048576,AA$93,$C612*2+MIN($B612,2)+5)</f>
        <v>0</v>
      </c>
      <c r="AB612" s="118">
        <f>INDEX(Input!$1:$1048576,AB$93,$C612*2+MIN($B612,2)+5)</f>
        <v>1</v>
      </c>
      <c r="AC612" s="115">
        <f>INDEX(Input!$1:$1048576,AC$93,$C612*2+MIN($B612,2)+5)</f>
        <v>0</v>
      </c>
      <c r="AD612" s="118">
        <f>INDEX(Input!$1:$1048576,AD$93,$C612*2+MIN($B612,2)+5)</f>
        <v>0.35</v>
      </c>
      <c r="AE612" s="115">
        <f>INDEX(Input!$1:$1048576,AE$93,$C612*2+MIN($B612,2)+5)</f>
        <v>0</v>
      </c>
      <c r="AF612" s="118">
        <f>INDEX(Input!$1:$1048576,AF$93,$C612*2+MIN($B612,2)+5)</f>
        <v>1</v>
      </c>
      <c r="AG612" s="115">
        <f>INDEX(Input!$1:$1048576,AG$93,$C612*2+MIN($B612,2)+5)</f>
        <v>0</v>
      </c>
      <c r="AH612" s="118">
        <f>INDEX(Input!$1:$1048576,AH$93,$C612*2+MIN($B612,2)+5)</f>
        <v>1</v>
      </c>
      <c r="AI612" s="115">
        <f>INDEX(Input!$1:$1048576,AI$93,$C612*2+MIN($B612,2)+5)</f>
        <v>0</v>
      </c>
      <c r="AJ612" s="118">
        <f>INDEX(Input!$1:$1048576,AJ$93,$C612*2+MIN($B612,2)+5)</f>
        <v>0.35</v>
      </c>
      <c r="AK612" s="150">
        <f>ROUND(INDEX(Input!$1:$1048576,AK$93,$C611*2+MIN($B612,1)+5)+(Y612-VLOOKUP($C612*1000+1,$A:$HH,Y$92,FALSE)),0)</f>
        <v>5093</v>
      </c>
      <c r="AL612" s="150">
        <f>ROUND(INDEX(Input!$1:$1048576,AL$93,$C611*2+MIN($B612,1)+5)-(Y612-VLOOKUP($C612*1000+1,$A:$HH,Y$92,FALSE))/36,0)</f>
        <v>5217</v>
      </c>
      <c r="AM612" s="32" t="str">
        <f t="shared" si="1973"/>
        <v>std/std/std/std</v>
      </c>
      <c r="AN612" s="32" t="str">
        <f t="shared" si="1974"/>
        <v>$0 + 0/0/0/1.9/3.9</v>
      </c>
      <c r="AO612" s="32" t="str">
        <f t="shared" si="1975"/>
        <v>0/0/0/1.9/3.9</v>
      </c>
      <c r="AP612" s="32" t="str">
        <f t="shared" si="1939"/>
        <v>0/0.9/1.9/3.9</v>
      </c>
      <c r="AQ612" s="536">
        <f t="shared" si="1940"/>
        <v>0.40499307568290971</v>
      </c>
      <c r="AR612" s="32"/>
      <c r="AS612" s="302"/>
      <c r="AT612" s="3">
        <f t="shared" si="1993"/>
        <v>12</v>
      </c>
      <c r="AU612" s="41" t="s">
        <v>121</v>
      </c>
      <c r="AV612" s="41" t="s">
        <v>116</v>
      </c>
      <c r="AW612" s="41" t="str">
        <f>INDEX(Input!$1:$1048576,AW$93,$C612*2+6)</f>
        <v>Kia</v>
      </c>
      <c r="AX612" s="41" t="str">
        <f>INDEX(Input!$1:$1048576,AX$93,$C612*2+6)</f>
        <v>National</v>
      </c>
      <c r="AY612" s="41" t="str">
        <f>IF(LEN(D612)=0,"",INDEX(Input!$1:$1048576,AY$93,$C612*2+6))</f>
        <v>Compact Conventional/Sporty Car (43)</v>
      </c>
      <c r="AZ612" s="41" t="str">
        <f>INDEX(Input!$1:$1048576,AZ$93,$C612*2+6)</f>
        <v>Kia Forte</v>
      </c>
      <c r="BA612" s="3">
        <f>INDEX(Input!$1:$1048576,BA$93,$C612*2+6)</f>
        <v>2020</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19695</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941"/>
        <v>2465</v>
      </c>
      <c r="CJ612" s="16" t="str">
        <f>INDEX(Input!$1:$1048576,CJ$93,$C612*2+6)</f>
        <v>N</v>
      </c>
      <c r="CK612" s="1" t="str">
        <f t="shared" si="1942"/>
        <v>Market</v>
      </c>
      <c r="CL612" s="1" t="str">
        <f t="shared" si="1943"/>
        <v>Market</v>
      </c>
      <c r="CM612" s="1" t="str">
        <f t="shared" si="1944"/>
        <v>Market</v>
      </c>
      <c r="CN612" s="1" t="str">
        <f t="shared" si="1945"/>
        <v>Market</v>
      </c>
      <c r="CO612" s="1" t="str">
        <f t="shared" si="1946"/>
        <v>Market</v>
      </c>
      <c r="CP612" s="304">
        <f t="shared" si="1947"/>
        <v>0</v>
      </c>
      <c r="CQ612" s="1">
        <f t="shared" si="1948"/>
        <v>0</v>
      </c>
      <c r="CR612" s="1">
        <f t="shared" si="1949"/>
        <v>0</v>
      </c>
      <c r="CS612" s="1">
        <f t="shared" si="1950"/>
        <v>0</v>
      </c>
      <c r="CT612" s="1">
        <f t="shared" si="1951"/>
        <v>1.8999999999999996E-2</v>
      </c>
      <c r="CU612" s="1">
        <f t="shared" si="1952"/>
        <v>3.9E-2</v>
      </c>
      <c r="CV612" s="304">
        <f t="shared" si="1768"/>
        <v>2339.3275155115825</v>
      </c>
      <c r="CW612" s="20" t="s">
        <v>122</v>
      </c>
      <c r="CX612" s="20" t="s">
        <v>122</v>
      </c>
      <c r="CY612" s="20" t="s">
        <v>122</v>
      </c>
      <c r="CZ612" s="20" t="s">
        <v>122</v>
      </c>
      <c r="DA612" s="20" t="s">
        <v>122</v>
      </c>
      <c r="DB612" s="503">
        <f t="shared" si="1769"/>
        <v>0</v>
      </c>
      <c r="DC612" s="127">
        <v>0</v>
      </c>
      <c r="DD612" s="127">
        <v>0</v>
      </c>
      <c r="DE612" s="127">
        <v>0</v>
      </c>
      <c r="DF612" s="127">
        <v>0</v>
      </c>
      <c r="DG612" s="127">
        <v>0</v>
      </c>
      <c r="DH612" s="127">
        <v>0</v>
      </c>
      <c r="DI612" s="127">
        <v>0</v>
      </c>
      <c r="DJ612" s="127">
        <v>0</v>
      </c>
      <c r="DK612" s="127">
        <v>0</v>
      </c>
      <c r="DL612" s="127">
        <v>0</v>
      </c>
      <c r="DM612" s="304">
        <f>INDEX(Input!$1:$1048576,DM$93,$C612*2+6)</f>
        <v>20731.578947368424</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v>5.2817415546962405E-2</v>
      </c>
      <c r="DZ612" s="7">
        <v>0</v>
      </c>
      <c r="EA612" s="7">
        <v>0.82980999901921604</v>
      </c>
      <c r="EB612" s="7">
        <v>0</v>
      </c>
      <c r="EC612" s="7">
        <v>0</v>
      </c>
      <c r="ED612" s="7">
        <v>0</v>
      </c>
      <c r="EE612" s="7">
        <v>0</v>
      </c>
      <c r="EF612" s="7">
        <v>0</v>
      </c>
      <c r="EG612" s="7">
        <v>0</v>
      </c>
      <c r="EH612" s="7">
        <v>2.9796611515855505E-2</v>
      </c>
      <c r="EI612" s="7">
        <v>1.9446420229233624E-2</v>
      </c>
      <c r="EJ612" s="7">
        <v>0.26224286214976555</v>
      </c>
      <c r="EK612" s="7">
        <v>0.68851410610514541</v>
      </c>
      <c r="EL612" s="7">
        <v>0</v>
      </c>
      <c r="EM612" s="7">
        <v>1.7594556870690514E-2</v>
      </c>
      <c r="EN612" s="7">
        <v>3.6718110582081603E-2</v>
      </c>
      <c r="EO612" s="7">
        <v>0.38233772039254554</v>
      </c>
      <c r="EP612" s="7">
        <v>0.48246566743720987</v>
      </c>
      <c r="EQ612" s="7">
        <v>7.4722650902865853E-2</v>
      </c>
      <c r="ER612" s="7">
        <v>2.3755850685297338E-2</v>
      </c>
      <c r="ES612" s="7">
        <v>9.9778028563131102E-2</v>
      </c>
      <c r="ET612" s="7">
        <v>0.11737258543382152</v>
      </c>
      <c r="EU612" s="6">
        <v>1750</v>
      </c>
      <c r="EV612" s="6">
        <v>0</v>
      </c>
      <c r="EW612" s="6">
        <v>1750</v>
      </c>
      <c r="EX612" s="6">
        <v>0</v>
      </c>
      <c r="EY612" s="6">
        <v>1384.6153078036812</v>
      </c>
      <c r="EZ612" s="6">
        <v>-1554.2676731795959</v>
      </c>
      <c r="FA612" s="6">
        <v>0</v>
      </c>
      <c r="FB612" s="6">
        <v>0</v>
      </c>
      <c r="FC612" s="6">
        <v>0</v>
      </c>
      <c r="FD612" s="6">
        <v>0</v>
      </c>
      <c r="FE612" s="6">
        <v>0</v>
      </c>
      <c r="FF612" s="6">
        <v>0</v>
      </c>
      <c r="FG612" s="6">
        <v>0</v>
      </c>
      <c r="FH612" s="6">
        <v>1158.6556014532273</v>
      </c>
      <c r="FI612" s="6">
        <v>1531.4299904380609</v>
      </c>
      <c r="FJ612" s="6">
        <v>1709.9775738488454</v>
      </c>
      <c r="FK612" s="6">
        <v>1266.3227157028186</v>
      </c>
      <c r="FL612" s="6">
        <v>0</v>
      </c>
      <c r="FM612" s="6">
        <v>1384.6153078036812</v>
      </c>
      <c r="FN612" s="6">
        <v>0</v>
      </c>
      <c r="FO612" s="6">
        <v>0</v>
      </c>
      <c r="FP612" s="6">
        <v>0</v>
      </c>
      <c r="FQ612" s="6">
        <v>0</v>
      </c>
      <c r="FR612" s="6">
        <v>0</v>
      </c>
      <c r="FS612" s="6">
        <v>0</v>
      </c>
      <c r="FT612" s="7">
        <v>0.88262741456617844</v>
      </c>
      <c r="FU612" s="7">
        <v>1.7594556870690514E-2</v>
      </c>
      <c r="FV612" s="7">
        <v>9.9778028563131102E-2</v>
      </c>
      <c r="FW612" s="6">
        <v>1749.9999999999998</v>
      </c>
      <c r="FX612" s="6">
        <v>1384.6153078036812</v>
      </c>
      <c r="FY612" s="6">
        <v>-1554.2676731795959</v>
      </c>
      <c r="FZ612" s="6">
        <v>1676.0854837363124</v>
      </c>
      <c r="GA612" s="6">
        <v>1413.8779039787275</v>
      </c>
      <c r="GB612" s="6">
        <v>18281.122096021274</v>
      </c>
      <c r="GC612" s="7">
        <v>6.4493561548621597E-2</v>
      </c>
      <c r="GD612" s="7">
        <v>6.3829431670255232E-2</v>
      </c>
      <c r="GE612" s="7"/>
      <c r="GF612" s="7"/>
      <c r="GG612" s="7">
        <v>-1.0297615179240468E-2</v>
      </c>
      <c r="GH612" s="42">
        <v>0.77347699537383141</v>
      </c>
      <c r="GI612" s="6">
        <v>26876.820070062357</v>
      </c>
      <c r="GJ612" s="14">
        <v>0.51596255589662343</v>
      </c>
      <c r="GK612" s="14">
        <v>0.51419567426615975</v>
      </c>
      <c r="GL612" s="14">
        <v>0.4840374441033769</v>
      </c>
      <c r="GM612" s="14">
        <v>0.48580432573384064</v>
      </c>
      <c r="GO612" s="5">
        <v>338.16872463277008</v>
      </c>
      <c r="GP612" s="5">
        <v>304.78206315030991</v>
      </c>
      <c r="GQ612" s="5">
        <v>527.27910984145694</v>
      </c>
      <c r="GR612" s="5">
        <v>404.20319246551543</v>
      </c>
      <c r="GS612" s="5">
        <v>334.50205195691484</v>
      </c>
      <c r="GT612" s="5">
        <v>289.18266033348181</v>
      </c>
      <c r="GU612" s="5">
        <v>254.29573314828914</v>
      </c>
      <c r="GV612" s="39" t="s">
        <v>392</v>
      </c>
      <c r="GW612" s="5">
        <v>492.375</v>
      </c>
      <c r="GX612" s="5">
        <v>369.28125</v>
      </c>
      <c r="GY612" s="5">
        <v>302.23266563481752</v>
      </c>
      <c r="GZ612" s="5">
        <v>268.52323906086701</v>
      </c>
      <c r="HA612" s="5">
        <v>254.29573314828914</v>
      </c>
      <c r="HB612" s="39">
        <v>285.99270214707479</v>
      </c>
      <c r="HC612" s="5">
        <v>351.11483570160732</v>
      </c>
      <c r="HD612" s="5">
        <v>282.73776275539944</v>
      </c>
      <c r="HE612" s="5">
        <v>280.55735780820959</v>
      </c>
      <c r="HF612" s="5">
        <v>253.64561428438338</v>
      </c>
      <c r="HG612" s="5">
        <v>237.36506461313525</v>
      </c>
      <c r="HH612" s="39">
        <v>280.94475965651725</v>
      </c>
      <c r="HI612" s="16"/>
      <c r="HJ612" s="19" t="str">
        <f t="shared" ref="HJ612:HK612" si="2011">HJ611</f>
        <v>On</v>
      </c>
      <c r="HK612" s="1" t="str">
        <f t="shared" si="2011"/>
        <v>On</v>
      </c>
      <c r="HL612" s="16"/>
      <c r="HM612" s="639">
        <f t="shared" si="1976"/>
        <v>4.9686942767030826E-2</v>
      </c>
      <c r="HN612" s="639">
        <f t="shared" si="1953"/>
        <v>2.6112822013589915E-3</v>
      </c>
      <c r="HO612" s="639">
        <f t="shared" si="1953"/>
        <v>3.166115353075552E-2</v>
      </c>
      <c r="HP612" s="644">
        <f t="shared" si="1954"/>
        <v>1130.7265338562399</v>
      </c>
      <c r="HQ612" s="644">
        <f t="shared" si="1954"/>
        <v>-16.437374454874629</v>
      </c>
      <c r="HR612" s="644">
        <f t="shared" si="1954"/>
        <v>-127.67708847991348</v>
      </c>
      <c r="HS612" s="644">
        <f t="shared" si="1954"/>
        <v>-225.43282405952499</v>
      </c>
      <c r="HT612" s="644">
        <f t="shared" si="1954"/>
        <v>141.13868742002708</v>
      </c>
      <c r="HU612" s="644">
        <f t="shared" si="1954"/>
        <v>123.41050142889979</v>
      </c>
      <c r="HV612" s="644">
        <f t="shared" si="1954"/>
        <v>0</v>
      </c>
      <c r="HW612" s="644">
        <f t="shared" si="1954"/>
        <v>0</v>
      </c>
      <c r="HX612" s="644">
        <f t="shared" si="1954"/>
        <v>0</v>
      </c>
      <c r="HY612" s="644">
        <f t="shared" si="1954"/>
        <v>2388</v>
      </c>
      <c r="HZ612" s="644">
        <f t="shared" si="1954"/>
        <v>2518</v>
      </c>
      <c r="IA612" s="644">
        <f t="shared" si="1954"/>
        <v>2200</v>
      </c>
      <c r="IB612" s="644">
        <f t="shared" si="1954"/>
        <v>3293.2937097967151</v>
      </c>
      <c r="IC612" s="644">
        <f t="shared" si="1954"/>
        <v>2642.7013129651527</v>
      </c>
      <c r="ID612" s="644">
        <f t="shared" si="1954"/>
        <v>2195.7334129489864</v>
      </c>
      <c r="IE612" s="20">
        <f t="shared" si="1977"/>
        <v>0.40499307568290971</v>
      </c>
      <c r="IF612" s="20">
        <f t="shared" si="1956"/>
        <v>0.32498642002844191</v>
      </c>
      <c r="IG612" s="20">
        <f t="shared" si="1957"/>
        <v>0.27002050428864832</v>
      </c>
      <c r="IH612" s="21"/>
      <c r="II612" s="19"/>
      <c r="IJ612" s="19"/>
      <c r="IK612" s="19"/>
      <c r="IL612" s="19">
        <f t="shared" si="1978"/>
        <v>1399.9999999999991</v>
      </c>
      <c r="IM612" s="19">
        <f t="shared" si="1958"/>
        <v>400.40218813321462</v>
      </c>
      <c r="IN612" s="19">
        <f t="shared" si="1958"/>
        <v>290.22125215543201</v>
      </c>
      <c r="IO612" s="39"/>
      <c r="IP612" s="39"/>
      <c r="IQ612" s="39"/>
      <c r="IR612" s="39"/>
      <c r="IS612" s="39"/>
      <c r="IT612" s="39"/>
      <c r="IU612" s="39"/>
      <c r="IV612" s="39"/>
      <c r="IW612" s="39"/>
      <c r="IX612" s="19">
        <f t="shared" si="1979"/>
        <v>1600</v>
      </c>
      <c r="IY612" s="19">
        <f t="shared" si="1959"/>
        <v>2503.549291639752</v>
      </c>
      <c r="IZ612" s="19">
        <f t="shared" si="1959"/>
        <v>5888.3563810918577</v>
      </c>
      <c r="JA612" s="19">
        <f t="shared" si="1980"/>
        <v>2999.9999999999991</v>
      </c>
      <c r="JB612" s="19">
        <f t="shared" si="1980"/>
        <v>2903.9514797729666</v>
      </c>
      <c r="JC612" s="19">
        <f t="shared" si="1980"/>
        <v>6178.5776332472897</v>
      </c>
      <c r="JD612" s="19">
        <f t="shared" si="1981"/>
        <v>3827.0666707124378</v>
      </c>
      <c r="JE612" s="21"/>
      <c r="JF612" s="1">
        <f t="shared" si="1982"/>
        <v>6.8844376252282569E-2</v>
      </c>
      <c r="JG612" s="15">
        <f t="shared" si="1983"/>
        <v>7106</v>
      </c>
      <c r="JH612" s="1">
        <f t="shared" si="1984"/>
        <v>0.13884211524366055</v>
      </c>
      <c r="JI612" s="1">
        <f t="shared" si="1985"/>
        <v>5.5046952982552612E-3</v>
      </c>
      <c r="JJ612" s="1">
        <f t="shared" si="1962"/>
        <v>0</v>
      </c>
      <c r="JK612" s="1">
        <f t="shared" si="1963"/>
        <v>0.14434681054191581</v>
      </c>
      <c r="JL612" s="15">
        <f t="shared" si="1986"/>
        <v>1025.7284357108538</v>
      </c>
      <c r="JM612" s="15">
        <f t="shared" si="1986"/>
        <v>8131.7284357108529</v>
      </c>
      <c r="JN612" s="21"/>
      <c r="JO612" s="19">
        <f>INDEX([1]Input!$1:$1048576,JO$93,$C612*2+6)</f>
        <v>5995.5</v>
      </c>
      <c r="JP612" s="19">
        <f>INDEX([1]Input!$1:$1048576,JP$93,$C612*2+6)</f>
        <v>1716.3055838443925</v>
      </c>
      <c r="JQ612" s="39">
        <f t="shared" si="1995"/>
        <v>2168.4333292875622</v>
      </c>
      <c r="JR612" s="39">
        <f t="shared" si="1996"/>
        <v>2110.7610868680454</v>
      </c>
      <c r="JS612" s="39">
        <f t="shared" si="1997"/>
        <v>31.120666871593595</v>
      </c>
      <c r="JT612" s="39">
        <f t="shared" si="1987"/>
        <v>18.92459939279534</v>
      </c>
      <c r="JU612" s="385">
        <f>(JQ612*JM612-INDEX([1]Input!$1:$1048576,[1]Input!A$18,$C612*2+6)*JL612*INDEX([1]Input!$1:$1048576,[1]Input!A$19,$C612*2+6))/1000000</f>
        <v>17.633110964710824</v>
      </c>
      <c r="JV612" s="39">
        <f t="shared" si="1966"/>
        <v>-12.774844556490926</v>
      </c>
      <c r="JW612" s="1">
        <f t="shared" si="2000"/>
        <v>-0.42011520792917989</v>
      </c>
      <c r="JX612" s="19">
        <f t="shared" si="2001"/>
        <v>18449.912017580122</v>
      </c>
      <c r="JZ612" s="341"/>
      <c r="KA612" s="60"/>
      <c r="KB612" s="469">
        <f t="shared" si="1988"/>
        <v>0</v>
      </c>
      <c r="KI612" s="472"/>
      <c r="KJ612" s="472"/>
      <c r="KK612" s="472"/>
      <c r="KN612" s="888">
        <f t="shared" si="1989"/>
        <v>6002</v>
      </c>
      <c r="KO612" s="541">
        <f t="shared" si="1967"/>
        <v>6.4065344893136977E-2</v>
      </c>
      <c r="KP612" s="546">
        <f t="shared" si="1968"/>
        <v>413.83270140921377</v>
      </c>
      <c r="KQ612" s="546">
        <f t="shared" si="1969"/>
        <v>229.61818042251116</v>
      </c>
      <c r="KR612" s="472">
        <f t="shared" si="1970"/>
        <v>2.4920582300354006</v>
      </c>
      <c r="KS612" s="472">
        <f t="shared" si="1971"/>
        <v>4.4913481480733317</v>
      </c>
      <c r="KT612" s="473">
        <f t="shared" si="1998"/>
        <v>2521.945896759994</v>
      </c>
      <c r="KU612" s="663">
        <f t="shared" si="1990"/>
        <v>11.447236969258924</v>
      </c>
      <c r="KV612" s="117" t="e">
        <f>RANK(KU612,$KU$109:$KU$200)</f>
        <v>#N/A</v>
      </c>
    </row>
    <row r="613" spans="1:308" s="26" customFormat="1" ht="15">
      <c r="A613" s="561">
        <f t="shared" si="1972"/>
        <v>6013</v>
      </c>
      <c r="B613" s="561">
        <f t="shared" si="1991"/>
        <v>13</v>
      </c>
      <c r="C613" s="561">
        <f t="shared" si="1992"/>
        <v>6</v>
      </c>
      <c r="D613" s="561" t="str">
        <f t="shared" si="2006"/>
        <v xml:space="preserve">0/0/0.9/3.9, </v>
      </c>
      <c r="E613" s="115">
        <f>INDEX(Input!$1:$1048576,E$93,$C613*2+MIN($B613,2)+5)</f>
        <v>1250.0000000000002</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8.9999999999999959E-3</v>
      </c>
      <c r="W613" s="863">
        <f>IFERROR(MAX(0,INDEX(Input!$1:$1048576,W$93,$C613*2+MIN($B613,2)+5)-0%,),"Market")</f>
        <v>3.9E-2</v>
      </c>
      <c r="X613" s="476" t="str">
        <f>INDEX(Input!$1:$1048576,X$93,$C613*2+MIN($B613,2)+5)</f>
        <v>Y</v>
      </c>
      <c r="Y613" s="150">
        <f>INDEX(Input!$1:$1048576,Y$93,$C613*2+MIN($B613,2)+5)</f>
        <v>2339.3275155115825</v>
      </c>
      <c r="Z613" s="30">
        <f>INDEX(Input!$1:$1048576,Z$93,$C613*2+MIN($B613,2)+5)</f>
        <v>0</v>
      </c>
      <c r="AA613" s="475">
        <f>INDEX(Input!$1:$1048576,AA$93,$C613*2+MIN($B613,2)+5)</f>
        <v>0</v>
      </c>
      <c r="AB613" s="118">
        <f>INDEX(Input!$1:$1048576,AB$93,$C613*2+MIN($B613,2)+5)</f>
        <v>1</v>
      </c>
      <c r="AC613" s="115">
        <f>INDEX(Input!$1:$1048576,AC$93,$C613*2+MIN($B613,2)+5)</f>
        <v>0</v>
      </c>
      <c r="AD613" s="118">
        <f>INDEX(Input!$1:$1048576,AD$93,$C613*2+MIN($B613,2)+5)</f>
        <v>0.35</v>
      </c>
      <c r="AE613" s="115">
        <f>INDEX(Input!$1:$1048576,AE$93,$C613*2+MIN($B613,2)+5)</f>
        <v>0</v>
      </c>
      <c r="AF613" s="118">
        <f>INDEX(Input!$1:$1048576,AF$93,$C613*2+MIN($B613,2)+5)</f>
        <v>1</v>
      </c>
      <c r="AG613" s="115">
        <f>INDEX(Input!$1:$1048576,AG$93,$C613*2+MIN($B613,2)+5)</f>
        <v>0</v>
      </c>
      <c r="AH613" s="118">
        <f>INDEX(Input!$1:$1048576,AH$93,$C613*2+MIN($B613,2)+5)</f>
        <v>1</v>
      </c>
      <c r="AI613" s="115">
        <f>INDEX(Input!$1:$1048576,AI$93,$C613*2+MIN($B613,2)+5)</f>
        <v>0</v>
      </c>
      <c r="AJ613" s="118">
        <f>INDEX(Input!$1:$1048576,AJ$93,$C613*2+MIN($B613,2)+5)</f>
        <v>0.35</v>
      </c>
      <c r="AK613" s="150">
        <f>ROUND(INDEX(Input!$1:$1048576,AK$93,$C612*2+MIN($B613,1)+5)+(Y613-VLOOKUP($C613*1000+1,$A:$HH,Y$92,FALSE)),0)</f>
        <v>5093</v>
      </c>
      <c r="AL613" s="150">
        <f>ROUND(INDEX(Input!$1:$1048576,AL$93,$C612*2+MIN($B613,1)+5)-(Y613-VLOOKUP($C613*1000+1,$A:$HH,Y$92,FALSE))/36,0)</f>
        <v>5217</v>
      </c>
      <c r="AM613" s="32" t="str">
        <f t="shared" si="1973"/>
        <v>std/std/std/std</v>
      </c>
      <c r="AN613" s="32" t="str">
        <f t="shared" si="1974"/>
        <v>$0 + 0/0/0/0.9/3.9</v>
      </c>
      <c r="AO613" s="32" t="str">
        <f t="shared" si="1975"/>
        <v>0/0/0/0.9/3.9</v>
      </c>
      <c r="AP613" s="32" t="str">
        <f t="shared" si="1939"/>
        <v>0/0/0.9/3.9</v>
      </c>
      <c r="AQ613" s="536">
        <f t="shared" si="1940"/>
        <v>0.32179240164830292</v>
      </c>
      <c r="AR613" s="32"/>
      <c r="AS613" s="302"/>
      <c r="AT613" s="3">
        <f t="shared" si="1993"/>
        <v>13</v>
      </c>
      <c r="AU613" s="41" t="s">
        <v>121</v>
      </c>
      <c r="AV613" s="41" t="s">
        <v>116</v>
      </c>
      <c r="AW613" s="41" t="str">
        <f>INDEX(Input!$1:$1048576,AW$93,$C613*2+6)</f>
        <v>Kia</v>
      </c>
      <c r="AX613" s="41" t="str">
        <f>INDEX(Input!$1:$1048576,AX$93,$C613*2+6)</f>
        <v>National</v>
      </c>
      <c r="AY613" s="41" t="str">
        <f>IF(LEN(D613)=0,"",INDEX(Input!$1:$1048576,AY$93,$C613*2+6))</f>
        <v>Compact Conventional/Sporty Car (43)</v>
      </c>
      <c r="AZ613" s="41" t="str">
        <f>INDEX(Input!$1:$1048576,AZ$93,$C613*2+6)</f>
        <v>Kia Forte</v>
      </c>
      <c r="BA613" s="3">
        <f>INDEX(Input!$1:$1048576,BA$93,$C613*2+6)</f>
        <v>2020</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19695</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941"/>
        <v>1465.0000000000002</v>
      </c>
      <c r="CJ613" s="16" t="str">
        <f>INDEX(Input!$1:$1048576,CJ$93,$C613*2+6)</f>
        <v>N</v>
      </c>
      <c r="CK613" s="1" t="str">
        <f t="shared" si="1942"/>
        <v>Market</v>
      </c>
      <c r="CL613" s="1" t="str">
        <f t="shared" si="1943"/>
        <v>Market</v>
      </c>
      <c r="CM613" s="1" t="str">
        <f t="shared" si="1944"/>
        <v>Market</v>
      </c>
      <c r="CN613" s="1" t="str">
        <f t="shared" si="1945"/>
        <v>Market</v>
      </c>
      <c r="CO613" s="1" t="str">
        <f t="shared" si="1946"/>
        <v>Market</v>
      </c>
      <c r="CP613" s="304">
        <f t="shared" si="1947"/>
        <v>0</v>
      </c>
      <c r="CQ613" s="1">
        <f t="shared" si="1948"/>
        <v>0</v>
      </c>
      <c r="CR613" s="1">
        <f t="shared" si="1949"/>
        <v>0</v>
      </c>
      <c r="CS613" s="1">
        <f t="shared" si="1950"/>
        <v>0</v>
      </c>
      <c r="CT613" s="1">
        <f t="shared" si="1951"/>
        <v>8.9999999999999959E-3</v>
      </c>
      <c r="CU613" s="1">
        <f t="shared" si="1952"/>
        <v>3.9E-2</v>
      </c>
      <c r="CV613" s="304">
        <f t="shared" si="1768"/>
        <v>2339.3275155115825</v>
      </c>
      <c r="CW613" s="20" t="s">
        <v>122</v>
      </c>
      <c r="CX613" s="20" t="s">
        <v>122</v>
      </c>
      <c r="CY613" s="20" t="s">
        <v>122</v>
      </c>
      <c r="CZ613" s="20" t="s">
        <v>122</v>
      </c>
      <c r="DA613" s="20" t="s">
        <v>122</v>
      </c>
      <c r="DB613" s="503">
        <f t="shared" si="1769"/>
        <v>0</v>
      </c>
      <c r="DC613" s="127">
        <v>0</v>
      </c>
      <c r="DD613" s="127">
        <v>0</v>
      </c>
      <c r="DE613" s="127">
        <v>0</v>
      </c>
      <c r="DF613" s="127">
        <v>0</v>
      </c>
      <c r="DG613" s="127">
        <v>0</v>
      </c>
      <c r="DH613" s="127">
        <v>0</v>
      </c>
      <c r="DI613" s="127">
        <v>0</v>
      </c>
      <c r="DJ613" s="127">
        <v>0</v>
      </c>
      <c r="DK613" s="127">
        <v>0</v>
      </c>
      <c r="DL613" s="127">
        <v>0</v>
      </c>
      <c r="DM613" s="304">
        <f>INDEX(Input!$1:$1048576,DM$93,$C613*2+6)</f>
        <v>20731.578947368424</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v>4.9188667681257112E-2</v>
      </c>
      <c r="DZ613" s="7">
        <v>0</v>
      </c>
      <c r="EA613" s="7">
        <v>0.77425785082957987</v>
      </c>
      <c r="EB613" s="7">
        <v>0</v>
      </c>
      <c r="EC613" s="7">
        <v>0</v>
      </c>
      <c r="ED613" s="7">
        <v>0</v>
      </c>
      <c r="EE613" s="7">
        <v>0</v>
      </c>
      <c r="EF613" s="7">
        <v>0</v>
      </c>
      <c r="EG613" s="7">
        <v>0</v>
      </c>
      <c r="EH613" s="7">
        <v>2.4150205495013059E-2</v>
      </c>
      <c r="EI613" s="7">
        <v>1.5790756226769689E-2</v>
      </c>
      <c r="EJ613" s="7">
        <v>0.247810155885998</v>
      </c>
      <c r="EK613" s="7">
        <v>0.71224888239221906</v>
      </c>
      <c r="EL613" s="7">
        <v>0</v>
      </c>
      <c r="EM613" s="7">
        <v>3.1512633188994374E-2</v>
      </c>
      <c r="EN613" s="7">
        <v>3.6763092389196353E-2</v>
      </c>
      <c r="EO613" s="7">
        <v>0.38207726555653909</v>
      </c>
      <c r="EP613" s="7">
        <v>0.4827095341985595</v>
      </c>
      <c r="EQ613" s="7">
        <v>7.4711168587549601E-2</v>
      </c>
      <c r="ER613" s="7">
        <v>2.3738939268156008E-2</v>
      </c>
      <c r="ES613" s="7">
        <v>0.14504084830016864</v>
      </c>
      <c r="ET613" s="7">
        <v>0.17655348148916306</v>
      </c>
      <c r="EU613" s="6">
        <v>750</v>
      </c>
      <c r="EV613" s="6">
        <v>0</v>
      </c>
      <c r="EW613" s="6">
        <v>750</v>
      </c>
      <c r="EX613" s="6">
        <v>0</v>
      </c>
      <c r="EY613" s="6">
        <v>1809.6006817875741</v>
      </c>
      <c r="EZ613" s="6">
        <v>-1554.2676731795959</v>
      </c>
      <c r="FA613" s="6">
        <v>0</v>
      </c>
      <c r="FB613" s="6">
        <v>0</v>
      </c>
      <c r="FC613" s="6">
        <v>0</v>
      </c>
      <c r="FD613" s="6">
        <v>0</v>
      </c>
      <c r="FE613" s="6">
        <v>0</v>
      </c>
      <c r="FF613" s="6">
        <v>0</v>
      </c>
      <c r="FG613" s="6">
        <v>0</v>
      </c>
      <c r="FH613" s="6">
        <v>1158.6123969184241</v>
      </c>
      <c r="FI613" s="6">
        <v>1531.4299904380609</v>
      </c>
      <c r="FJ613" s="6">
        <v>2070.7205842538224</v>
      </c>
      <c r="FK613" s="6">
        <v>1746.9903521590438</v>
      </c>
      <c r="FL613" s="6">
        <v>0</v>
      </c>
      <c r="FM613" s="6">
        <v>1809.6006817875741</v>
      </c>
      <c r="FN613" s="6">
        <v>0</v>
      </c>
      <c r="FO613" s="6">
        <v>0</v>
      </c>
      <c r="FP613" s="6">
        <v>0</v>
      </c>
      <c r="FQ613" s="6">
        <v>0</v>
      </c>
      <c r="FR613" s="6">
        <v>0</v>
      </c>
      <c r="FS613" s="6">
        <v>0</v>
      </c>
      <c r="FT613" s="7">
        <v>0.82344651851083694</v>
      </c>
      <c r="FU613" s="7">
        <v>3.1512633188994374E-2</v>
      </c>
      <c r="FV613" s="7">
        <v>0.14504084830016864</v>
      </c>
      <c r="FW613" s="6">
        <v>750</v>
      </c>
      <c r="FX613" s="6">
        <v>1809.6006817875741</v>
      </c>
      <c r="FY613" s="6">
        <v>-1554.2676731795959</v>
      </c>
      <c r="FZ613" s="6">
        <v>1676.0854837363124</v>
      </c>
      <c r="GA613" s="6">
        <v>449.17786958335586</v>
      </c>
      <c r="GB613" s="6">
        <v>19245.822130416644</v>
      </c>
      <c r="GC613" s="7">
        <v>6.4493561548621597E-2</v>
      </c>
      <c r="GD613" s="7">
        <v>5.3154598150627327E-2</v>
      </c>
      <c r="GE613" s="7"/>
      <c r="GF613" s="7"/>
      <c r="GG613" s="7">
        <v>-0.17581543220319509</v>
      </c>
      <c r="GH613" s="42">
        <v>2.8222866149808086</v>
      </c>
      <c r="GI613" s="6">
        <v>7427.5619555433595</v>
      </c>
      <c r="GJ613" s="14">
        <v>0.51596255589662343</v>
      </c>
      <c r="GK613" s="14">
        <v>0.51419567426615975</v>
      </c>
      <c r="GL613" s="14">
        <v>0.48403744410337668</v>
      </c>
      <c r="GM613" s="14">
        <v>0.48580432573384036</v>
      </c>
      <c r="GO613" s="5">
        <v>338.16872463277008</v>
      </c>
      <c r="GP613" s="5">
        <v>323.86015542600148</v>
      </c>
      <c r="GQ613" s="5">
        <v>527.27910984145694</v>
      </c>
      <c r="GR613" s="5">
        <v>404.20319246551543</v>
      </c>
      <c r="GS613" s="5">
        <v>334.50205195691484</v>
      </c>
      <c r="GT613" s="5">
        <v>289.18266033348181</v>
      </c>
      <c r="GU613" s="5">
        <v>254.29573314828914</v>
      </c>
      <c r="GV613" s="39" t="s">
        <v>392</v>
      </c>
      <c r="GW613" s="5">
        <v>492.375</v>
      </c>
      <c r="GX613" s="5">
        <v>369.28125</v>
      </c>
      <c r="GY613" s="5">
        <v>295.42500000000001</v>
      </c>
      <c r="GZ613" s="5">
        <v>260.68138716125202</v>
      </c>
      <c r="HA613" s="5">
        <v>254.29573314828914</v>
      </c>
      <c r="HB613" s="39">
        <v>276.60152959714992</v>
      </c>
      <c r="HC613" s="5">
        <v>351.11483570160732</v>
      </c>
      <c r="HD613" s="5">
        <v>282.73776275539944</v>
      </c>
      <c r="HE613" s="5">
        <v>280.55735780820959</v>
      </c>
      <c r="HF613" s="5">
        <v>253.64561428438338</v>
      </c>
      <c r="HG613" s="5">
        <v>237.36506461313525</v>
      </c>
      <c r="HH613" s="39">
        <v>280.9484050143779</v>
      </c>
      <c r="HI613" s="16"/>
      <c r="HJ613" s="19" t="str">
        <f t="shared" ref="HJ613:HK613" si="2012">HJ612</f>
        <v>On</v>
      </c>
      <c r="HK613" s="1" t="str">
        <f t="shared" si="2012"/>
        <v>On</v>
      </c>
      <c r="HL613" s="16"/>
      <c r="HM613" s="639">
        <f t="shared" si="1976"/>
        <v>4.9686942767030826E-2</v>
      </c>
      <c r="HN613" s="639">
        <f t="shared" si="1953"/>
        <v>2.6112822013589915E-3</v>
      </c>
      <c r="HO613" s="639">
        <f t="shared" si="1953"/>
        <v>3.166115353075552E-2</v>
      </c>
      <c r="HP613" s="644">
        <f t="shared" si="1954"/>
        <v>208.52900013414015</v>
      </c>
      <c r="HQ613" s="644">
        <f t="shared" si="1954"/>
        <v>127.16739510406364</v>
      </c>
      <c r="HR613" s="644">
        <f t="shared" si="1954"/>
        <v>49.980914556202073</v>
      </c>
      <c r="HS613" s="644">
        <f t="shared" si="1954"/>
        <v>-65.975356553477752</v>
      </c>
      <c r="HT613" s="644">
        <f t="shared" si="1954"/>
        <v>351.42694014029735</v>
      </c>
      <c r="HU613" s="644">
        <f t="shared" si="1954"/>
        <v>86.803351813255588</v>
      </c>
      <c r="HV613" s="644">
        <f t="shared" si="1954"/>
        <v>0</v>
      </c>
      <c r="HW613" s="644">
        <f t="shared" si="1954"/>
        <v>0</v>
      </c>
      <c r="HX613" s="644">
        <f t="shared" si="1954"/>
        <v>0</v>
      </c>
      <c r="HY613" s="644">
        <f t="shared" si="1954"/>
        <v>2388</v>
      </c>
      <c r="HZ613" s="644">
        <f t="shared" si="1954"/>
        <v>2518</v>
      </c>
      <c r="IA613" s="644">
        <f t="shared" si="1954"/>
        <v>2200</v>
      </c>
      <c r="IB613" s="644">
        <f t="shared" si="1954"/>
        <v>2530.553643580663</v>
      </c>
      <c r="IC613" s="644">
        <f t="shared" si="1954"/>
        <v>2996.594335244361</v>
      </c>
      <c r="ID613" s="644">
        <f t="shared" si="1954"/>
        <v>2336.7842663694578</v>
      </c>
      <c r="IE613" s="20">
        <f t="shared" si="1977"/>
        <v>0.32179240164830292</v>
      </c>
      <c r="IF613" s="20">
        <f t="shared" si="1956"/>
        <v>0.38105546205278285</v>
      </c>
      <c r="IG613" s="20">
        <f t="shared" si="1957"/>
        <v>0.29715213629891435</v>
      </c>
      <c r="IH613" s="21"/>
      <c r="II613" s="19"/>
      <c r="IJ613" s="19"/>
      <c r="IK613" s="19"/>
      <c r="IL613" s="19">
        <f t="shared" si="1978"/>
        <v>400</v>
      </c>
      <c r="IM613" s="19">
        <f t="shared" si="1958"/>
        <v>757.81836311621555</v>
      </c>
      <c r="IN613" s="19">
        <f t="shared" si="1958"/>
        <v>284.52637657121795</v>
      </c>
      <c r="IO613" s="39"/>
      <c r="IP613" s="39"/>
      <c r="IQ613" s="39"/>
      <c r="IR613" s="39"/>
      <c r="IS613" s="39"/>
      <c r="IT613" s="39"/>
      <c r="IU613" s="39"/>
      <c r="IV613" s="39"/>
      <c r="IW613" s="39"/>
      <c r="IX613" s="19">
        <f t="shared" si="1979"/>
        <v>1600</v>
      </c>
      <c r="IY613" s="19">
        <f t="shared" si="1959"/>
        <v>2503.549291639752</v>
      </c>
      <c r="IZ613" s="19">
        <f t="shared" si="1959"/>
        <v>5888.3563810918577</v>
      </c>
      <c r="JA613" s="19">
        <f t="shared" si="1980"/>
        <v>2000</v>
      </c>
      <c r="JB613" s="19">
        <f t="shared" si="1980"/>
        <v>3261.3676547559676</v>
      </c>
      <c r="JC613" s="19">
        <f t="shared" si="1980"/>
        <v>6172.8827576630756</v>
      </c>
      <c r="JD613" s="19">
        <f t="shared" si="1981"/>
        <v>3720.6320604659586</v>
      </c>
      <c r="JE613" s="21"/>
      <c r="JF613" s="1">
        <f t="shared" si="1982"/>
        <v>6.8844376252282569E-2</v>
      </c>
      <c r="JG613" s="15">
        <f t="shared" si="1983"/>
        <v>7106</v>
      </c>
      <c r="JH613" s="1">
        <f t="shared" si="1984"/>
        <v>5.4274881761104114E-2</v>
      </c>
      <c r="JI613" s="1">
        <f t="shared" si="1985"/>
        <v>5.238600273009783E-2</v>
      </c>
      <c r="JJ613" s="1">
        <f t="shared" si="1962"/>
        <v>0</v>
      </c>
      <c r="JK613" s="1">
        <f t="shared" si="1963"/>
        <v>0.10666088449120195</v>
      </c>
      <c r="JL613" s="15">
        <f t="shared" si="1986"/>
        <v>757.93224519448108</v>
      </c>
      <c r="JM613" s="15">
        <f t="shared" si="1986"/>
        <v>7863.9322451944818</v>
      </c>
      <c r="JN613" s="21"/>
      <c r="JO613" s="19">
        <f>INDEX([1]Input!$1:$1048576,JO$93,$C613*2+6)</f>
        <v>5995.5</v>
      </c>
      <c r="JP613" s="19">
        <f>INDEX([1]Input!$1:$1048576,JP$93,$C613*2+6)</f>
        <v>1716.3055838443925</v>
      </c>
      <c r="JQ613" s="39">
        <f t="shared" si="1995"/>
        <v>2274.8679395340414</v>
      </c>
      <c r="JR613" s="39">
        <f t="shared" si="1996"/>
        <v>2004.3264766215661</v>
      </c>
      <c r="JS613" s="39">
        <f t="shared" si="1997"/>
        <v>29.258798432802635</v>
      </c>
      <c r="JT613" s="39">
        <f t="shared" si="1987"/>
        <v>17.062730954004383</v>
      </c>
      <c r="JU613" s="385">
        <f>(JQ613*JM613-INDEX([1]Input!$1:$1048576,[1]Input!A$18,$C613*2+6)*JL613*INDEX([1]Input!$1:$1048576,[1]Input!A$19,$C613*2+6))/1000000</f>
        <v>17.889407343260881</v>
      </c>
      <c r="JV613" s="39">
        <f t="shared" si="1966"/>
        <v>-12.518548177940868</v>
      </c>
      <c r="JW613" s="1">
        <f t="shared" si="2000"/>
        <v>-0.41168661172279047</v>
      </c>
      <c r="JX613" s="19">
        <f t="shared" si="2001"/>
        <v>22512.211430754189</v>
      </c>
      <c r="JZ613" s="341"/>
      <c r="KA613" s="60"/>
      <c r="KB613" s="469">
        <f t="shared" si="1988"/>
        <v>0</v>
      </c>
      <c r="KI613" s="472"/>
      <c r="KJ613" s="472"/>
      <c r="KK613" s="472"/>
      <c r="KN613" s="888">
        <f t="shared" si="1989"/>
        <v>6002</v>
      </c>
      <c r="KO613" s="541">
        <f t="shared" si="1967"/>
        <v>2.9023268897154564E-2</v>
      </c>
      <c r="KP613" s="546">
        <f t="shared" si="1968"/>
        <v>144.23874064087033</v>
      </c>
      <c r="KQ613" s="546">
        <f t="shared" si="1969"/>
        <v>123.18357017603194</v>
      </c>
      <c r="KR613" s="472">
        <f t="shared" si="1970"/>
        <v>3.2390990379995648</v>
      </c>
      <c r="KS613" s="472">
        <f t="shared" si="1971"/>
        <v>3.7927425336387639</v>
      </c>
      <c r="KT613" s="473">
        <f t="shared" si="1998"/>
        <v>2521.945896759994</v>
      </c>
      <c r="KU613" s="663">
        <f t="shared" si="1990"/>
        <v>11.212611455469446</v>
      </c>
      <c r="KV613" s="117" t="e">
        <f>RANK(KU613,$KU$109:$KU$200)</f>
        <v>#N/A</v>
      </c>
    </row>
    <row r="614" spans="1:308" s="26" customFormat="1" ht="15">
      <c r="A614" s="561">
        <f t="shared" si="1972"/>
        <v>6014</v>
      </c>
      <c r="B614" s="561">
        <f t="shared" si="1991"/>
        <v>14</v>
      </c>
      <c r="C614" s="561">
        <f t="shared" si="1992"/>
        <v>6</v>
      </c>
      <c r="D614" s="561" t="str">
        <f t="shared" si="2006"/>
        <v xml:space="preserve">0/0/0/3.9, </v>
      </c>
      <c r="E614" s="115">
        <f>INDEX(Input!$1:$1048576,E$93,$C614*2+MIN($B614,2)+5)</f>
        <v>1250.0000000000002</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63">
        <f>IFERROR(MAX(0,INDEX(Input!$1:$1048576,W$93,$C614*2+MIN($B614,2)+5)-0%,),"Market")</f>
        <v>3.9E-2</v>
      </c>
      <c r="X614" s="476" t="str">
        <f>INDEX(Input!$1:$1048576,X$93,$C614*2+MIN($B614,2)+5)</f>
        <v>Y</v>
      </c>
      <c r="Y614" s="150">
        <f>INDEX(Input!$1:$1048576,Y$93,$C614*2+MIN($B614,2)+5)</f>
        <v>2339.3275155115825</v>
      </c>
      <c r="Z614" s="30">
        <f>INDEX(Input!$1:$1048576,Z$93,$C614*2+MIN($B614,2)+5)</f>
        <v>0</v>
      </c>
      <c r="AA614" s="475">
        <f>INDEX(Input!$1:$1048576,AA$93,$C614*2+MIN($B614,2)+5)</f>
        <v>0</v>
      </c>
      <c r="AB614" s="118">
        <f>INDEX(Input!$1:$1048576,AB$93,$C614*2+MIN($B614,2)+5)</f>
        <v>1</v>
      </c>
      <c r="AC614" s="115">
        <f>INDEX(Input!$1:$1048576,AC$93,$C614*2+MIN($B614,2)+5)</f>
        <v>0</v>
      </c>
      <c r="AD614" s="118">
        <f>INDEX(Input!$1:$1048576,AD$93,$C614*2+MIN($B614,2)+5)</f>
        <v>0.35</v>
      </c>
      <c r="AE614" s="115">
        <f>INDEX(Input!$1:$1048576,AE$93,$C614*2+MIN($B614,2)+5)</f>
        <v>0</v>
      </c>
      <c r="AF614" s="118">
        <f>INDEX(Input!$1:$1048576,AF$93,$C614*2+MIN($B614,2)+5)</f>
        <v>1</v>
      </c>
      <c r="AG614" s="115">
        <f>INDEX(Input!$1:$1048576,AG$93,$C614*2+MIN($B614,2)+5)</f>
        <v>0</v>
      </c>
      <c r="AH614" s="118">
        <f>INDEX(Input!$1:$1048576,AH$93,$C614*2+MIN($B614,2)+5)</f>
        <v>1</v>
      </c>
      <c r="AI614" s="115">
        <f>INDEX(Input!$1:$1048576,AI$93,$C614*2+MIN($B614,2)+5)</f>
        <v>0</v>
      </c>
      <c r="AJ614" s="118">
        <f>INDEX(Input!$1:$1048576,AJ$93,$C614*2+MIN($B614,2)+5)</f>
        <v>0.35</v>
      </c>
      <c r="AK614" s="150">
        <f>ROUND(INDEX(Input!$1:$1048576,AK$93,$C613*2+MIN($B614,1)+5)+(Y614-VLOOKUP($C614*1000+1,$A:$HH,Y$92,FALSE)),0)</f>
        <v>5093</v>
      </c>
      <c r="AL614" s="150">
        <f>ROUND(INDEX(Input!$1:$1048576,AL$93,$C613*2+MIN($B614,1)+5)-(Y614-VLOOKUP($C614*1000+1,$A:$HH,Y$92,FALSE))/36,0)</f>
        <v>5217</v>
      </c>
      <c r="AM614" s="32" t="str">
        <f t="shared" si="1973"/>
        <v>std/std/std/std</v>
      </c>
      <c r="AN614" s="32" t="str">
        <f t="shared" si="1974"/>
        <v>$0 + 0/0/0/0/3.9</v>
      </c>
      <c r="AO614" s="32" t="str">
        <f t="shared" si="1975"/>
        <v>0/0/0/0/3.9</v>
      </c>
      <c r="AP614" s="32" t="str">
        <f t="shared" si="1939"/>
        <v>0/0/0/3.9</v>
      </c>
      <c r="AQ614" s="536">
        <f t="shared" si="1940"/>
        <v>0.3041126658614034</v>
      </c>
      <c r="AR614" s="32"/>
      <c r="AS614" s="302"/>
      <c r="AT614" s="3">
        <f t="shared" si="1993"/>
        <v>14</v>
      </c>
      <c r="AU614" s="41" t="s">
        <v>121</v>
      </c>
      <c r="AV614" s="41" t="s">
        <v>116</v>
      </c>
      <c r="AW614" s="41" t="str">
        <f>INDEX(Input!$1:$1048576,AW$93,$C614*2+6)</f>
        <v>Kia</v>
      </c>
      <c r="AX614" s="41" t="str">
        <f>INDEX(Input!$1:$1048576,AX$93,$C614*2+6)</f>
        <v>National</v>
      </c>
      <c r="AY614" s="41" t="str">
        <f>IF(LEN(D614)=0,"",INDEX(Input!$1:$1048576,AY$93,$C614*2+6))</f>
        <v>Compact Conventional/Sporty Car (43)</v>
      </c>
      <c r="AZ614" s="41" t="str">
        <f>INDEX(Input!$1:$1048576,AZ$93,$C614*2+6)</f>
        <v>Kia Forte</v>
      </c>
      <c r="BA614" s="3">
        <f>INDEX(Input!$1:$1048576,BA$93,$C614*2+6)</f>
        <v>2020</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19695</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941"/>
        <v>1465.0000000000002</v>
      </c>
      <c r="CJ614" s="16" t="str">
        <f>INDEX(Input!$1:$1048576,CJ$93,$C614*2+6)</f>
        <v>N</v>
      </c>
      <c r="CK614" s="1" t="str">
        <f t="shared" si="1942"/>
        <v>Market</v>
      </c>
      <c r="CL614" s="1" t="str">
        <f t="shared" si="1943"/>
        <v>Market</v>
      </c>
      <c r="CM614" s="1" t="str">
        <f t="shared" si="1944"/>
        <v>Market</v>
      </c>
      <c r="CN614" s="1" t="str">
        <f t="shared" si="1945"/>
        <v>Market</v>
      </c>
      <c r="CO614" s="1" t="str">
        <f t="shared" si="1946"/>
        <v>Market</v>
      </c>
      <c r="CP614" s="304">
        <f t="shared" si="1947"/>
        <v>0</v>
      </c>
      <c r="CQ614" s="1">
        <f t="shared" si="1948"/>
        <v>0</v>
      </c>
      <c r="CR614" s="1">
        <f t="shared" si="1949"/>
        <v>0</v>
      </c>
      <c r="CS614" s="1">
        <f t="shared" si="1950"/>
        <v>0</v>
      </c>
      <c r="CT614" s="1">
        <f t="shared" si="1951"/>
        <v>0</v>
      </c>
      <c r="CU614" s="1">
        <f t="shared" si="1952"/>
        <v>3.9E-2</v>
      </c>
      <c r="CV614" s="304">
        <f t="shared" ref="CV614:CV677" si="2013">Y614+H614*I614+AE614*AF614+AI614*AJ614</f>
        <v>2339.3275155115825</v>
      </c>
      <c r="CW614" s="20" t="s">
        <v>122</v>
      </c>
      <c r="CX614" s="20" t="s">
        <v>122</v>
      </c>
      <c r="CY614" s="20" t="s">
        <v>122</v>
      </c>
      <c r="CZ614" s="20" t="s">
        <v>122</v>
      </c>
      <c r="DA614" s="20" t="s">
        <v>122</v>
      </c>
      <c r="DB614" s="503">
        <f t="shared" ref="DB614:DB677" si="2014">Z614+AG614*AH614</f>
        <v>0</v>
      </c>
      <c r="DC614" s="127">
        <v>0</v>
      </c>
      <c r="DD614" s="127">
        <v>0</v>
      </c>
      <c r="DE614" s="127">
        <v>0</v>
      </c>
      <c r="DF614" s="127">
        <v>0</v>
      </c>
      <c r="DG614" s="127">
        <v>0</v>
      </c>
      <c r="DH614" s="127">
        <v>0</v>
      </c>
      <c r="DI614" s="127">
        <v>0</v>
      </c>
      <c r="DJ614" s="127">
        <v>0</v>
      </c>
      <c r="DK614" s="127">
        <v>0</v>
      </c>
      <c r="DL614" s="127">
        <v>0</v>
      </c>
      <c r="DM614" s="304">
        <f>INDEX(Input!$1:$1048576,DM$93,$C614*2+6)</f>
        <v>20731.578947368424</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v>4.8899137685971004E-2</v>
      </c>
      <c r="DZ614" s="7">
        <v>0</v>
      </c>
      <c r="EA614" s="7">
        <v>0.77022352368231295</v>
      </c>
      <c r="EB614" s="7">
        <v>0</v>
      </c>
      <c r="EC614" s="7">
        <v>0</v>
      </c>
      <c r="ED614" s="7">
        <v>0</v>
      </c>
      <c r="EE614" s="7">
        <v>0</v>
      </c>
      <c r="EF614" s="7">
        <v>0</v>
      </c>
      <c r="EG614" s="7">
        <v>0</v>
      </c>
      <c r="EH614" s="7">
        <v>2.0609462660243584E-2</v>
      </c>
      <c r="EI614" s="7">
        <v>1.3476355942495397E-2</v>
      </c>
      <c r="EJ614" s="7">
        <v>0.2114753740096344</v>
      </c>
      <c r="EK614" s="7">
        <v>0.75443880738762692</v>
      </c>
      <c r="EL614" s="7">
        <v>0</v>
      </c>
      <c r="EM614" s="7">
        <v>3.6701921737518378E-2</v>
      </c>
      <c r="EN614" s="7">
        <v>3.6766958849838209E-2</v>
      </c>
      <c r="EO614" s="7">
        <v>0.38206733503377832</v>
      </c>
      <c r="EP614" s="7">
        <v>0.48271574907612574</v>
      </c>
      <c r="EQ614" s="7">
        <v>7.4710119468472475E-2</v>
      </c>
      <c r="ER614" s="7">
        <v>2.3739837571785178E-2</v>
      </c>
      <c r="ES614" s="7">
        <v>0.14417541689419772</v>
      </c>
      <c r="ET614" s="7">
        <v>0.18087733863171615</v>
      </c>
      <c r="EU614" s="6">
        <v>750</v>
      </c>
      <c r="EV614" s="6">
        <v>0</v>
      </c>
      <c r="EW614" s="6">
        <v>750</v>
      </c>
      <c r="EX614" s="6">
        <v>0</v>
      </c>
      <c r="EY614" s="6">
        <v>2156.2505092580268</v>
      </c>
      <c r="EZ614" s="6">
        <v>-1554.2676731795959</v>
      </c>
      <c r="FA614" s="6">
        <v>0</v>
      </c>
      <c r="FB614" s="6">
        <v>0</v>
      </c>
      <c r="FC614" s="6">
        <v>0</v>
      </c>
      <c r="FD614" s="6">
        <v>0</v>
      </c>
      <c r="FE614" s="6">
        <v>0</v>
      </c>
      <c r="FF614" s="6">
        <v>0</v>
      </c>
      <c r="FG614" s="6">
        <v>0</v>
      </c>
      <c r="FH614" s="6">
        <v>1158.6116417513776</v>
      </c>
      <c r="FI614" s="6">
        <v>1531.4299904380614</v>
      </c>
      <c r="FJ614" s="6">
        <v>2070.7205842538224</v>
      </c>
      <c r="FK614" s="6">
        <v>2218.639369850102</v>
      </c>
      <c r="FL614" s="6">
        <v>0</v>
      </c>
      <c r="FM614" s="6">
        <v>2156.2505092580268</v>
      </c>
      <c r="FN614" s="6">
        <v>0</v>
      </c>
      <c r="FO614" s="6">
        <v>0</v>
      </c>
      <c r="FP614" s="6">
        <v>0</v>
      </c>
      <c r="FQ614" s="6">
        <v>0</v>
      </c>
      <c r="FR614" s="6">
        <v>0</v>
      </c>
      <c r="FS614" s="6">
        <v>0</v>
      </c>
      <c r="FT614" s="7">
        <v>0.81912266136828393</v>
      </c>
      <c r="FU614" s="7">
        <v>3.6701921737518378E-2</v>
      </c>
      <c r="FV614" s="7">
        <v>0.14417541689419772</v>
      </c>
      <c r="FW614" s="6">
        <v>749.99999999999989</v>
      </c>
      <c r="FX614" s="6">
        <v>2156.2505092580268</v>
      </c>
      <c r="FY614" s="6">
        <v>-1554.2676731795959</v>
      </c>
      <c r="FZ614" s="6">
        <v>1676.0854837363124</v>
      </c>
      <c r="GA614" s="6">
        <v>469.39334371764221</v>
      </c>
      <c r="GB614" s="6">
        <v>19225.606656282358</v>
      </c>
      <c r="GC614" s="7">
        <v>6.4493561548621597E-2</v>
      </c>
      <c r="GD614" s="7">
        <v>5.3309305305800594E-2</v>
      </c>
      <c r="GE614" s="7"/>
      <c r="GF614" s="7"/>
      <c r="GG614" s="7">
        <v>-0.17341663220737483</v>
      </c>
      <c r="GH614" s="42">
        <v>2.8304158600646909</v>
      </c>
      <c r="GI614" s="6">
        <v>7427.7347937792792</v>
      </c>
      <c r="GJ614" s="14">
        <v>0.51596255589662321</v>
      </c>
      <c r="GK614" s="14">
        <v>0.51419567426615942</v>
      </c>
      <c r="GL614" s="14">
        <v>0.48403744410337657</v>
      </c>
      <c r="GM614" s="14">
        <v>0.48580432573384047</v>
      </c>
      <c r="GO614" s="5">
        <v>338.16872463277008</v>
      </c>
      <c r="GP614" s="5">
        <v>323.86015542600148</v>
      </c>
      <c r="GQ614" s="5">
        <v>527.27910984145694</v>
      </c>
      <c r="GR614" s="5">
        <v>404.20319246551543</v>
      </c>
      <c r="GS614" s="5">
        <v>334.50205195691484</v>
      </c>
      <c r="GT614" s="5">
        <v>289.18266033348181</v>
      </c>
      <c r="GU614" s="5">
        <v>254.29573314828914</v>
      </c>
      <c r="GV614" s="39" t="s">
        <v>392</v>
      </c>
      <c r="GW614" s="5">
        <v>492.375</v>
      </c>
      <c r="GX614" s="5">
        <v>369.28125</v>
      </c>
      <c r="GY614" s="5">
        <v>295.42500000000001</v>
      </c>
      <c r="GZ614" s="5">
        <v>252.98666951271395</v>
      </c>
      <c r="HA614" s="5">
        <v>254.29573314828914</v>
      </c>
      <c r="HB614" s="39">
        <v>268.46222334416291</v>
      </c>
      <c r="HC614" s="5">
        <v>351.11483570160732</v>
      </c>
      <c r="HD614" s="5">
        <v>282.73776275539944</v>
      </c>
      <c r="HE614" s="5">
        <v>280.55735780820959</v>
      </c>
      <c r="HF614" s="5">
        <v>253.64561428438338</v>
      </c>
      <c r="HG614" s="5">
        <v>237.36506461313525</v>
      </c>
      <c r="HH614" s="39">
        <v>280.94864560335787</v>
      </c>
      <c r="HI614" s="16"/>
      <c r="HJ614" s="19" t="str">
        <f t="shared" ref="HJ614:HK614" si="2015">HJ613</f>
        <v>On</v>
      </c>
      <c r="HK614" s="1" t="str">
        <f t="shared" si="2015"/>
        <v>On</v>
      </c>
      <c r="HL614" s="16"/>
      <c r="HM614" s="639">
        <f t="shared" si="1976"/>
        <v>4.9686942767030826E-2</v>
      </c>
      <c r="HN614" s="639">
        <f t="shared" si="1953"/>
        <v>2.6112822013589915E-3</v>
      </c>
      <c r="HO614" s="639">
        <f t="shared" si="1953"/>
        <v>3.166115353075552E-2</v>
      </c>
      <c r="HP614" s="644">
        <f t="shared" si="1954"/>
        <v>146.08823851462293</v>
      </c>
      <c r="HQ614" s="644">
        <f t="shared" si="1954"/>
        <v>279.94755107723103</v>
      </c>
      <c r="HR614" s="644">
        <f t="shared" si="1954"/>
        <v>26.643888473217881</v>
      </c>
      <c r="HS614" s="644">
        <f t="shared" si="1954"/>
        <v>-66.892111140476331</v>
      </c>
      <c r="HT614" s="644">
        <f t="shared" si="1954"/>
        <v>533.2623765044782</v>
      </c>
      <c r="HU614" s="644">
        <f t="shared" si="1954"/>
        <v>87.720106400254153</v>
      </c>
      <c r="HV614" s="644">
        <f t="shared" si="1954"/>
        <v>0</v>
      </c>
      <c r="HW614" s="644">
        <f t="shared" si="1954"/>
        <v>0</v>
      </c>
      <c r="HX614" s="644">
        <f t="shared" si="1954"/>
        <v>0</v>
      </c>
      <c r="HY614" s="644">
        <f t="shared" si="1954"/>
        <v>2388</v>
      </c>
      <c r="HZ614" s="644">
        <f t="shared" si="1954"/>
        <v>2518</v>
      </c>
      <c r="IA614" s="644">
        <f t="shared" si="1954"/>
        <v>2200</v>
      </c>
      <c r="IB614" s="644">
        <f t="shared" si="1954"/>
        <v>2467.1961273741472</v>
      </c>
      <c r="IC614" s="644">
        <f t="shared" si="1954"/>
        <v>3331.2099275817091</v>
      </c>
      <c r="ID614" s="644">
        <f t="shared" si="1954"/>
        <v>2314.3639948734717</v>
      </c>
      <c r="IE614" s="20">
        <f t="shared" si="1977"/>
        <v>0.3041126658614034</v>
      </c>
      <c r="IF614" s="20">
        <f t="shared" si="1956"/>
        <v>0.41061313301389446</v>
      </c>
      <c r="IG614" s="20">
        <f t="shared" si="1957"/>
        <v>0.28527420112470214</v>
      </c>
      <c r="IH614" s="21"/>
      <c r="II614" s="19"/>
      <c r="IJ614" s="19"/>
      <c r="IK614" s="19"/>
      <c r="IL614" s="19">
        <f t="shared" si="1978"/>
        <v>400</v>
      </c>
      <c r="IM614" s="19">
        <f t="shared" si="1958"/>
        <v>1133.6792371814249</v>
      </c>
      <c r="IN614" s="19">
        <f t="shared" si="1958"/>
        <v>285.73767977397802</v>
      </c>
      <c r="IO614" s="39"/>
      <c r="IP614" s="39"/>
      <c r="IQ614" s="39"/>
      <c r="IR614" s="39"/>
      <c r="IS614" s="39"/>
      <c r="IT614" s="39"/>
      <c r="IU614" s="39"/>
      <c r="IV614" s="39"/>
      <c r="IW614" s="39"/>
      <c r="IX614" s="19">
        <f t="shared" si="1979"/>
        <v>1600</v>
      </c>
      <c r="IY614" s="19">
        <f t="shared" si="1959"/>
        <v>2503.549291639752</v>
      </c>
      <c r="IZ614" s="19">
        <f t="shared" si="1959"/>
        <v>5888.3563810918577</v>
      </c>
      <c r="JA614" s="19">
        <f t="shared" si="1980"/>
        <v>2000</v>
      </c>
      <c r="JB614" s="19">
        <f t="shared" si="1980"/>
        <v>3637.228528821177</v>
      </c>
      <c r="JC614" s="19">
        <f t="shared" si="1980"/>
        <v>6174.0940608658357</v>
      </c>
      <c r="JD614" s="19">
        <f t="shared" si="1981"/>
        <v>3863.0288843118578</v>
      </c>
      <c r="JE614" s="21"/>
      <c r="JF614" s="1">
        <f t="shared" si="1982"/>
        <v>6.8844376252282569E-2</v>
      </c>
      <c r="JG614" s="15">
        <f t="shared" si="1983"/>
        <v>7106</v>
      </c>
      <c r="JH614" s="1">
        <f t="shared" si="1984"/>
        <v>6.3703866882222321E-2</v>
      </c>
      <c r="JI614" s="1">
        <f t="shared" si="1985"/>
        <v>7.7975003062799891E-2</v>
      </c>
      <c r="JJ614" s="1">
        <f t="shared" si="1962"/>
        <v>0</v>
      </c>
      <c r="JK614" s="1">
        <f t="shared" si="1963"/>
        <v>0.14167886994502224</v>
      </c>
      <c r="JL614" s="15">
        <f t="shared" si="1986"/>
        <v>1006.7700498293279</v>
      </c>
      <c r="JM614" s="15">
        <f t="shared" si="1986"/>
        <v>8112.770049829327</v>
      </c>
      <c r="JN614" s="21"/>
      <c r="JO614" s="19">
        <f>INDEX([1]Input!$1:$1048576,JO$93,$C614*2+6)</f>
        <v>5995.5</v>
      </c>
      <c r="JP614" s="19">
        <f>INDEX([1]Input!$1:$1048576,JP$93,$C614*2+6)</f>
        <v>1716.3055838443925</v>
      </c>
      <c r="JQ614" s="39">
        <f t="shared" si="1995"/>
        <v>2132.4711156881422</v>
      </c>
      <c r="JR614" s="39">
        <f t="shared" si="1996"/>
        <v>2146.7233004674654</v>
      </c>
      <c r="JS614" s="39">
        <f t="shared" si="1997"/>
        <v>31.33986503427084</v>
      </c>
      <c r="JT614" s="39">
        <f t="shared" si="1987"/>
        <v>19.143797555472592</v>
      </c>
      <c r="JU614" s="385">
        <f>(JQ614*JM614-INDEX([1]Input!$1:$1048576,[1]Input!A$18,$C614*2+6)*JL614*INDEX([1]Input!$1:$1048576,[1]Input!A$19,$C614*2+6))/1000000</f>
        <v>17.300247799480889</v>
      </c>
      <c r="JV614" s="39">
        <f t="shared" si="1966"/>
        <v>-13.10770772172086</v>
      </c>
      <c r="JW614" s="1">
        <f t="shared" si="2000"/>
        <v>-0.43106178949063501</v>
      </c>
      <c r="JX614" s="19">
        <f t="shared" si="2001"/>
        <v>19015.064620484023</v>
      </c>
      <c r="JZ614" s="341"/>
      <c r="KA614" s="60"/>
      <c r="KB614" s="469">
        <f t="shared" si="1988"/>
        <v>0</v>
      </c>
      <c r="KI614" s="472"/>
      <c r="KJ614" s="472"/>
      <c r="KK614" s="472"/>
      <c r="KN614" s="888">
        <f t="shared" si="1989"/>
        <v>6002</v>
      </c>
      <c r="KO614" s="541">
        <f t="shared" si="1967"/>
        <v>6.15845732378697E-2</v>
      </c>
      <c r="KP614" s="546">
        <f t="shared" si="1968"/>
        <v>309.17544266777043</v>
      </c>
      <c r="KQ614" s="546">
        <f t="shared" si="1969"/>
        <v>265.58039402193117</v>
      </c>
      <c r="KR614" s="472">
        <f t="shared" si="1970"/>
        <v>3.206466953992213</v>
      </c>
      <c r="KS614" s="472">
        <f t="shared" si="1971"/>
        <v>3.7328088300759701</v>
      </c>
      <c r="KT614" s="473">
        <f t="shared" si="1998"/>
        <v>2521.945896759994</v>
      </c>
      <c r="KU614" s="663">
        <f t="shared" si="1990"/>
        <v>11.302346954522903</v>
      </c>
      <c r="KV614" s="117" t="e">
        <f t="shared" ref="KV614:KV618" si="2016">RANK(KU614,$KU$109:$KU$200)</f>
        <v>#N/A</v>
      </c>
    </row>
    <row r="615" spans="1:308" s="26" customFormat="1" ht="15">
      <c r="A615" s="561">
        <f t="shared" si="1972"/>
        <v>6015</v>
      </c>
      <c r="B615" s="561">
        <f t="shared" si="1991"/>
        <v>15</v>
      </c>
      <c r="C615" s="561">
        <f t="shared" si="1992"/>
        <v>6</v>
      </c>
      <c r="D615" s="561" t="str">
        <f t="shared" si="2006"/>
        <v xml:space="preserve">500 Combo, </v>
      </c>
      <c r="E615" s="115">
        <f>INDEX(Input!$1:$1048576,E$93,$C615*2+MIN($B615,2)+5)</f>
        <v>1250.0000000000002</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1.8999999999999996E-2</v>
      </c>
      <c r="W615" s="863">
        <f>IFERROR(MAX(0,INDEX(Input!$1:$1048576,W$93,$C615*2+MIN($B615,2)+5)-0%,),"Market")</f>
        <v>3.9E-2</v>
      </c>
      <c r="X615" s="476" t="str">
        <f>INDEX(Input!$1:$1048576,X$93,$C615*2+MIN($B615,2)+5)</f>
        <v>Y</v>
      </c>
      <c r="Y615" s="150">
        <f>INDEX(Input!$1:$1048576,Y$93,$C615*2+MIN($B615,2)+5)</f>
        <v>2339.3275155115825</v>
      </c>
      <c r="Z615" s="30">
        <f>INDEX(Input!$1:$1048576,Z$93,$C615*2+MIN($B615,2)+5)</f>
        <v>0</v>
      </c>
      <c r="AA615" s="475">
        <f>INDEX(Input!$1:$1048576,AA$93,$C615*2+MIN($B615,2)+5)</f>
        <v>0</v>
      </c>
      <c r="AB615" s="118">
        <f>INDEX(Input!$1:$1048576,AB$93,$C615*2+MIN($B615,2)+5)</f>
        <v>1</v>
      </c>
      <c r="AC615" s="115">
        <f>INDEX(Input!$1:$1048576,AC$93,$C615*2+MIN($B615,2)+5)</f>
        <v>0</v>
      </c>
      <c r="AD615" s="118">
        <f>INDEX(Input!$1:$1048576,AD$93,$C615*2+MIN($B615,2)+5)</f>
        <v>0.35</v>
      </c>
      <c r="AE615" s="115">
        <f>INDEX(Input!$1:$1048576,AE$93,$C615*2+MIN($B615,2)+5)</f>
        <v>0</v>
      </c>
      <c r="AF615" s="118">
        <f>INDEX(Input!$1:$1048576,AF$93,$C615*2+MIN($B615,2)+5)</f>
        <v>1</v>
      </c>
      <c r="AG615" s="115">
        <f>INDEX(Input!$1:$1048576,AG$93,$C615*2+MIN($B615,2)+5)</f>
        <v>0</v>
      </c>
      <c r="AH615" s="118">
        <f>INDEX(Input!$1:$1048576,AH$93,$C615*2+MIN($B615,2)+5)</f>
        <v>1</v>
      </c>
      <c r="AI615" s="115">
        <f>INDEX(Input!$1:$1048576,AI$93,$C615*2+MIN($B615,2)+5)</f>
        <v>0</v>
      </c>
      <c r="AJ615" s="118">
        <f>INDEX(Input!$1:$1048576,AJ$93,$C615*2+MIN($B615,2)+5)</f>
        <v>0.35</v>
      </c>
      <c r="AK615" s="150">
        <f>ROUND(INDEX(Input!$1:$1048576,AK$93,$C614*2+MIN($B615,1)+5)+(Y615-VLOOKUP($C615*1000+1,$A:$HH,Y$92,FALSE)),0)</f>
        <v>5093</v>
      </c>
      <c r="AL615" s="150">
        <f>ROUND(INDEX(Input!$1:$1048576,AL$93,$C614*2+MIN($B615,1)+5)-(Y615-VLOOKUP($C615*1000+1,$A:$HH,Y$92,FALSE))/36,0)</f>
        <v>5217</v>
      </c>
      <c r="AM615" s="32" t="str">
        <f t="shared" si="1973"/>
        <v>std/std/std/std</v>
      </c>
      <c r="AN615" s="32" t="str">
        <f t="shared" si="1974"/>
        <v>$500 + 0/0/0/1.9/3.9</v>
      </c>
      <c r="AO615" s="32" t="str">
        <f t="shared" si="1975"/>
        <v>0/0/0/1.9/3.9</v>
      </c>
      <c r="AP615" s="32" t="str">
        <f t="shared" si="1939"/>
        <v>0/0.9/1.9/3.9</v>
      </c>
      <c r="AQ615" s="536">
        <f t="shared" si="1940"/>
        <v>0.32339683874270636</v>
      </c>
      <c r="AR615" s="32"/>
      <c r="AS615" s="302"/>
      <c r="AT615" s="3">
        <f t="shared" si="1993"/>
        <v>15</v>
      </c>
      <c r="AU615" s="41" t="s">
        <v>121</v>
      </c>
      <c r="AV615" s="41" t="s">
        <v>116</v>
      </c>
      <c r="AW615" s="41" t="str">
        <f>INDEX(Input!$1:$1048576,AW$93,$C615*2+6)</f>
        <v>Kia</v>
      </c>
      <c r="AX615" s="41" t="str">
        <f>INDEX(Input!$1:$1048576,AX$93,$C615*2+6)</f>
        <v>National</v>
      </c>
      <c r="AY615" s="41" t="str">
        <f>IF(LEN(D615)=0,"",INDEX(Input!$1:$1048576,AY$93,$C615*2+6))</f>
        <v>Compact Conventional/Sporty Car (43)</v>
      </c>
      <c r="AZ615" s="41" t="str">
        <f>INDEX(Input!$1:$1048576,AZ$93,$C615*2+6)</f>
        <v>Kia Forte</v>
      </c>
      <c r="BA615" s="3">
        <f>INDEX(Input!$1:$1048576,BA$93,$C615*2+6)</f>
        <v>2020</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19695</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941"/>
        <v>1465.0000000000002</v>
      </c>
      <c r="CJ615" s="16" t="str">
        <f>INDEX(Input!$1:$1048576,CJ$93,$C615*2+6)</f>
        <v>N</v>
      </c>
      <c r="CK615" s="1" t="str">
        <f t="shared" si="1942"/>
        <v>Market</v>
      </c>
      <c r="CL615" s="1" t="str">
        <f t="shared" si="1943"/>
        <v>Market</v>
      </c>
      <c r="CM615" s="1" t="str">
        <f t="shared" si="1944"/>
        <v>Market</v>
      </c>
      <c r="CN615" s="1" t="str">
        <f t="shared" si="1945"/>
        <v>Market</v>
      </c>
      <c r="CO615" s="1" t="str">
        <f t="shared" si="1946"/>
        <v>Market</v>
      </c>
      <c r="CP615" s="304">
        <f t="shared" si="1947"/>
        <v>500</v>
      </c>
      <c r="CQ615" s="1">
        <f t="shared" si="1948"/>
        <v>0</v>
      </c>
      <c r="CR615" s="1">
        <f t="shared" si="1949"/>
        <v>0</v>
      </c>
      <c r="CS615" s="1">
        <f t="shared" si="1950"/>
        <v>0</v>
      </c>
      <c r="CT615" s="1">
        <f t="shared" si="1951"/>
        <v>1.8999999999999996E-2</v>
      </c>
      <c r="CU615" s="1">
        <f t="shared" si="1952"/>
        <v>3.9E-2</v>
      </c>
      <c r="CV615" s="304">
        <f t="shared" si="2013"/>
        <v>2339.3275155115825</v>
      </c>
      <c r="CW615" s="20" t="s">
        <v>122</v>
      </c>
      <c r="CX615" s="20" t="s">
        <v>122</v>
      </c>
      <c r="CY615" s="20" t="s">
        <v>122</v>
      </c>
      <c r="CZ615" s="20" t="s">
        <v>122</v>
      </c>
      <c r="DA615" s="20" t="s">
        <v>122</v>
      </c>
      <c r="DB615" s="503">
        <f t="shared" si="2014"/>
        <v>0</v>
      </c>
      <c r="DC615" s="127">
        <v>0</v>
      </c>
      <c r="DD615" s="127">
        <v>0</v>
      </c>
      <c r="DE615" s="127">
        <v>0</v>
      </c>
      <c r="DF615" s="127">
        <v>0</v>
      </c>
      <c r="DG615" s="127">
        <v>0</v>
      </c>
      <c r="DH615" s="127">
        <v>0</v>
      </c>
      <c r="DI615" s="127">
        <v>0</v>
      </c>
      <c r="DJ615" s="127">
        <v>0</v>
      </c>
      <c r="DK615" s="127">
        <v>0</v>
      </c>
      <c r="DL615" s="127">
        <v>0</v>
      </c>
      <c r="DM615" s="304">
        <f>INDEX(Input!$1:$1048576,DM$93,$C615*2+6)</f>
        <v>20731.578947368424</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v>4.926352705720511E-2</v>
      </c>
      <c r="DZ615" s="7">
        <v>0</v>
      </c>
      <c r="EA615" s="7">
        <v>0.77336245584735186</v>
      </c>
      <c r="EB615" s="7">
        <v>0</v>
      </c>
      <c r="EC615" s="7">
        <v>0</v>
      </c>
      <c r="ED615" s="7">
        <v>0</v>
      </c>
      <c r="EE615" s="7">
        <v>0</v>
      </c>
      <c r="EF615" s="7">
        <v>0</v>
      </c>
      <c r="EG615" s="7">
        <v>0</v>
      </c>
      <c r="EH615" s="7">
        <v>2.9724715001580405E-2</v>
      </c>
      <c r="EI615" s="7">
        <v>1.9433802159596728E-2</v>
      </c>
      <c r="EJ615" s="7">
        <v>0.26159744642383459</v>
      </c>
      <c r="EK615" s="7">
        <v>0.68924403641498833</v>
      </c>
      <c r="EL615" s="7">
        <v>0</v>
      </c>
      <c r="EM615" s="7">
        <v>3.211190072779594E-2</v>
      </c>
      <c r="EN615" s="7">
        <v>3.6762036545701676E-2</v>
      </c>
      <c r="EO615" s="7">
        <v>0.38207934935409538</v>
      </c>
      <c r="EP615" s="7">
        <v>0.48270856488772329</v>
      </c>
      <c r="EQ615" s="7">
        <v>7.4711442910328399E-2</v>
      </c>
      <c r="ER615" s="7">
        <v>2.3738606302151421E-2</v>
      </c>
      <c r="ES615" s="7">
        <v>0.1452621163676471</v>
      </c>
      <c r="ET615" s="7">
        <v>0.17737401709544312</v>
      </c>
      <c r="EU615" s="6">
        <v>750</v>
      </c>
      <c r="EV615" s="6">
        <v>0</v>
      </c>
      <c r="EW615" s="6">
        <v>750</v>
      </c>
      <c r="EX615" s="6">
        <v>0</v>
      </c>
      <c r="EY615" s="6">
        <v>1884.3321089608251</v>
      </c>
      <c r="EZ615" s="6">
        <v>-1554.2676731795959</v>
      </c>
      <c r="FA615" s="6">
        <v>0</v>
      </c>
      <c r="FB615" s="6">
        <v>0</v>
      </c>
      <c r="FC615" s="6">
        <v>0</v>
      </c>
      <c r="FD615" s="6">
        <v>0</v>
      </c>
      <c r="FE615" s="6">
        <v>0</v>
      </c>
      <c r="FF615" s="6">
        <v>0</v>
      </c>
      <c r="FG615" s="6">
        <v>0</v>
      </c>
      <c r="FH615" s="6">
        <v>1158.6134557611331</v>
      </c>
      <c r="FI615" s="6">
        <v>1531.4299904380607</v>
      </c>
      <c r="FJ615" s="6">
        <v>1709.9775738488461</v>
      </c>
      <c r="FK615" s="6">
        <v>1266.3227157028189</v>
      </c>
      <c r="FL615" s="6">
        <v>0</v>
      </c>
      <c r="FM615" s="6">
        <v>1384.3321089608251</v>
      </c>
      <c r="FN615" s="6">
        <v>0</v>
      </c>
      <c r="FO615" s="6">
        <v>0</v>
      </c>
      <c r="FP615" s="6">
        <v>0</v>
      </c>
      <c r="FQ615" s="6">
        <v>0</v>
      </c>
      <c r="FR615" s="6">
        <v>0</v>
      </c>
      <c r="FS615" s="6">
        <v>0</v>
      </c>
      <c r="FT615" s="7">
        <v>0.82262598290455702</v>
      </c>
      <c r="FU615" s="7">
        <v>3.211190072779594E-2</v>
      </c>
      <c r="FV615" s="7">
        <v>0.1452621163676471</v>
      </c>
      <c r="FW615" s="6">
        <v>750</v>
      </c>
      <c r="FX615" s="6">
        <v>1884.3321089608251</v>
      </c>
      <c r="FY615" s="6">
        <v>-1554.2676731795959</v>
      </c>
      <c r="FZ615" s="6">
        <v>1676.0854837363124</v>
      </c>
      <c r="GA615" s="6">
        <v>451.70276119167966</v>
      </c>
      <c r="GB615" s="6">
        <v>19243.297238808322</v>
      </c>
      <c r="GC615" s="7">
        <v>6.4493561548621597E-2</v>
      </c>
      <c r="GD615" s="7">
        <v>5.311499485049629E-2</v>
      </c>
      <c r="GE615" s="7"/>
      <c r="GF615" s="7"/>
      <c r="GG615" s="7">
        <v>-0.17642949815303693</v>
      </c>
      <c r="GH615" s="42">
        <v>2.837984318255026</v>
      </c>
      <c r="GI615" s="6">
        <v>7391.4874081025346</v>
      </c>
      <c r="GJ615" s="14">
        <v>0.51596255589662321</v>
      </c>
      <c r="GK615" s="14">
        <v>0.51419567426615942</v>
      </c>
      <c r="GL615" s="14">
        <v>0.48403744410337668</v>
      </c>
      <c r="GM615" s="14">
        <v>0.4858043257338403</v>
      </c>
      <c r="GO615" s="5">
        <v>338.16872463277008</v>
      </c>
      <c r="GP615" s="5">
        <v>323.86015542600148</v>
      </c>
      <c r="GQ615" s="5">
        <v>527.27910984145694</v>
      </c>
      <c r="GR615" s="5">
        <v>404.20319246551543</v>
      </c>
      <c r="GS615" s="5">
        <v>334.50205195691484</v>
      </c>
      <c r="GT615" s="5">
        <v>289.18266033348181</v>
      </c>
      <c r="GU615" s="5">
        <v>254.29573314828914</v>
      </c>
      <c r="GV615" s="39" t="s">
        <v>392</v>
      </c>
      <c r="GW615" s="5">
        <v>478.48611111111109</v>
      </c>
      <c r="GX615" s="5">
        <v>358.86458333333331</v>
      </c>
      <c r="GY615" s="5">
        <v>293.70730201644801</v>
      </c>
      <c r="GZ615" s="5">
        <v>260.94874922811567</v>
      </c>
      <c r="HA615" s="5">
        <v>247.12257207671746</v>
      </c>
      <c r="HB615" s="39">
        <v>277.88741601854417</v>
      </c>
      <c r="HC615" s="5">
        <v>351.11483570160732</v>
      </c>
      <c r="HD615" s="5">
        <v>282.73776275539944</v>
      </c>
      <c r="HE615" s="5">
        <v>280.55735780820959</v>
      </c>
      <c r="HF615" s="5">
        <v>253.64561428438338</v>
      </c>
      <c r="HG615" s="5">
        <v>237.36506461313525</v>
      </c>
      <c r="HH615" s="39">
        <v>280.94834205930732</v>
      </c>
      <c r="HI615" s="16"/>
      <c r="HJ615" s="19" t="str">
        <f t="shared" ref="HJ615:HK615" si="2017">HJ614</f>
        <v>On</v>
      </c>
      <c r="HK615" s="1" t="str">
        <f t="shared" si="2017"/>
        <v>On</v>
      </c>
      <c r="HL615" s="16"/>
      <c r="HM615" s="639">
        <f t="shared" si="1976"/>
        <v>4.9686942767030826E-2</v>
      </c>
      <c r="HN615" s="639">
        <f t="shared" si="1953"/>
        <v>2.6112822013589915E-3</v>
      </c>
      <c r="HO615" s="639">
        <f t="shared" si="1953"/>
        <v>3.166115353075552E-2</v>
      </c>
      <c r="HP615" s="644">
        <f t="shared" si="1954"/>
        <v>233.53243491422961</v>
      </c>
      <c r="HQ615" s="644">
        <f t="shared" si="1954"/>
        <v>59.608578089038346</v>
      </c>
      <c r="HR615" s="644">
        <f t="shared" si="1954"/>
        <v>60.918090103403159</v>
      </c>
      <c r="HS615" s="644">
        <f t="shared" si="1954"/>
        <v>-66.35339909795384</v>
      </c>
      <c r="HT615" s="644">
        <f t="shared" si="1954"/>
        <v>420.17664038323358</v>
      </c>
      <c r="HU615" s="644">
        <f t="shared" si="1954"/>
        <v>87.181394357731662</v>
      </c>
      <c r="HV615" s="644">
        <f t="shared" si="1954"/>
        <v>0</v>
      </c>
      <c r="HW615" s="644">
        <f t="shared" si="1954"/>
        <v>0</v>
      </c>
      <c r="HX615" s="644">
        <f t="shared" si="1954"/>
        <v>0</v>
      </c>
      <c r="HY615" s="644">
        <f t="shared" si="1954"/>
        <v>2388</v>
      </c>
      <c r="HZ615" s="644">
        <f t="shared" si="1954"/>
        <v>2518</v>
      </c>
      <c r="IA615" s="644">
        <f t="shared" si="1954"/>
        <v>2200</v>
      </c>
      <c r="IB615" s="644">
        <f t="shared" si="1954"/>
        <v>2555.1790358162762</v>
      </c>
      <c r="IC615" s="644">
        <f t="shared" si="1954"/>
        <v>2997.7852184722719</v>
      </c>
      <c r="ID615" s="644">
        <f t="shared" si="1954"/>
        <v>2348.099484461135</v>
      </c>
      <c r="IE615" s="20">
        <f t="shared" si="1977"/>
        <v>0.32339683874270636</v>
      </c>
      <c r="IF615" s="20">
        <f t="shared" si="1956"/>
        <v>0.37941539488791182</v>
      </c>
      <c r="IG615" s="20">
        <f t="shared" si="1957"/>
        <v>0.29718776636938177</v>
      </c>
      <c r="IH615" s="21"/>
      <c r="II615" s="19"/>
      <c r="IJ615" s="19"/>
      <c r="IK615" s="19"/>
      <c r="IL615" s="19">
        <f t="shared" si="1978"/>
        <v>399.99999999999955</v>
      </c>
      <c r="IM615" s="19">
        <f t="shared" si="1958"/>
        <v>900.04683589754131</v>
      </c>
      <c r="IN615" s="19">
        <f t="shared" si="1958"/>
        <v>283.89408604835808</v>
      </c>
      <c r="IO615" s="39"/>
      <c r="IP615" s="39"/>
      <c r="IQ615" s="39"/>
      <c r="IR615" s="39"/>
      <c r="IS615" s="39"/>
      <c r="IT615" s="39"/>
      <c r="IU615" s="39"/>
      <c r="IV615" s="39"/>
      <c r="IW615" s="39"/>
      <c r="IX615" s="19">
        <f t="shared" si="1979"/>
        <v>1600</v>
      </c>
      <c r="IY615" s="19">
        <f t="shared" si="1959"/>
        <v>2503.549291639752</v>
      </c>
      <c r="IZ615" s="19">
        <f t="shared" si="1959"/>
        <v>5888.3563810918577</v>
      </c>
      <c r="JA615" s="19">
        <f t="shared" si="1980"/>
        <v>1999.9999999999995</v>
      </c>
      <c r="JB615" s="19">
        <f t="shared" si="1980"/>
        <v>3403.5961275372933</v>
      </c>
      <c r="JC615" s="19">
        <f t="shared" si="1980"/>
        <v>6172.2504671402157</v>
      </c>
      <c r="JD615" s="19">
        <f t="shared" si="1981"/>
        <v>3772.4877760557165</v>
      </c>
      <c r="JE615" s="21"/>
      <c r="JF615" s="1">
        <f t="shared" si="1982"/>
        <v>6.8844376252282569E-2</v>
      </c>
      <c r="JG615" s="15">
        <f t="shared" si="1983"/>
        <v>7106</v>
      </c>
      <c r="JH615" s="1">
        <f t="shared" si="1984"/>
        <v>4.9825373361479193E-2</v>
      </c>
      <c r="JI615" s="1">
        <f t="shared" si="1985"/>
        <v>6.2060883147060431E-2</v>
      </c>
      <c r="JJ615" s="1">
        <f t="shared" si="1962"/>
        <v>0</v>
      </c>
      <c r="JK615" s="1">
        <f t="shared" si="1963"/>
        <v>0.1118862565085396</v>
      </c>
      <c r="JL615" s="15">
        <f t="shared" si="1986"/>
        <v>795.06373874968244</v>
      </c>
      <c r="JM615" s="15">
        <f t="shared" si="1986"/>
        <v>7901.0637387496827</v>
      </c>
      <c r="JN615" s="21"/>
      <c r="JO615" s="19">
        <f>INDEX([1]Input!$1:$1048576,JO$93,$C615*2+6)</f>
        <v>5995.5</v>
      </c>
      <c r="JP615" s="19">
        <f>INDEX([1]Input!$1:$1048576,JP$93,$C615*2+6)</f>
        <v>1716.3055838443925</v>
      </c>
      <c r="JQ615" s="39">
        <f t="shared" si="1995"/>
        <v>2223.0122239442835</v>
      </c>
      <c r="JR615" s="39">
        <f t="shared" si="1996"/>
        <v>2056.182192211324</v>
      </c>
      <c r="JS615" s="39">
        <f t="shared" si="1997"/>
        <v>29.806666372270257</v>
      </c>
      <c r="JT615" s="39">
        <f t="shared" si="1987"/>
        <v>17.610598893472002</v>
      </c>
      <c r="JU615" s="385">
        <f>(JQ615*JM615-INDEX([1]Input!$1:$1048576,[1]Input!A$18,$C615*2+6)*JL615*INDEX([1]Input!$1:$1048576,[1]Input!A$19,$C615*2+6))/1000000</f>
        <v>17.564161273403467</v>
      </c>
      <c r="JV615" s="39">
        <f t="shared" si="1966"/>
        <v>-12.843794247798282</v>
      </c>
      <c r="JW615" s="1">
        <f t="shared" si="2000"/>
        <v>-0.42238269649016785</v>
      </c>
      <c r="JX615" s="19">
        <f t="shared" si="2001"/>
        <v>22149.920861900249</v>
      </c>
      <c r="JZ615" s="341"/>
      <c r="KA615" s="60"/>
      <c r="KB615" s="469">
        <f t="shared" si="1988"/>
        <v>0</v>
      </c>
      <c r="KI615" s="472"/>
      <c r="KJ615" s="472"/>
      <c r="KK615" s="472"/>
      <c r="KN615" s="888">
        <f t="shared" si="1989"/>
        <v>6002</v>
      </c>
      <c r="KO615" s="541">
        <f t="shared" si="1967"/>
        <v>3.3882055784663079E-2</v>
      </c>
      <c r="KP615" s="546">
        <f t="shared" si="1968"/>
        <v>197.42872236418069</v>
      </c>
      <c r="KQ615" s="546">
        <f t="shared" si="1969"/>
        <v>175.03928576578983</v>
      </c>
      <c r="KR615" s="472">
        <f t="shared" si="1970"/>
        <v>2.7626078501505753</v>
      </c>
      <c r="KS615" s="472">
        <f t="shared" si="1971"/>
        <v>3.1159755700687515</v>
      </c>
      <c r="KT615" s="473">
        <f t="shared" si="1998"/>
        <v>2521.945896759994</v>
      </c>
      <c r="KU615" s="663">
        <f t="shared" si="1990"/>
        <v>11.135353847389746</v>
      </c>
      <c r="KV615" s="117" t="e">
        <f t="shared" si="2016"/>
        <v>#N/A</v>
      </c>
    </row>
    <row r="616" spans="1:308" s="26" customFormat="1" ht="15">
      <c r="A616" s="561">
        <f t="shared" si="1972"/>
        <v>6016</v>
      </c>
      <c r="B616" s="561">
        <f t="shared" si="1991"/>
        <v>16</v>
      </c>
      <c r="C616" s="561">
        <f t="shared" si="1992"/>
        <v>6</v>
      </c>
      <c r="D616" s="561" t="str">
        <f t="shared" si="2006"/>
        <v xml:space="preserve">-360 Lease, </v>
      </c>
      <c r="E616" s="115">
        <f>INDEX(Input!$1:$1048576,E$93,$C616*2+MIN($B616,2)+5)</f>
        <v>1250.0000000000002</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1.8999999999999996E-2</v>
      </c>
      <c r="W616" s="862">
        <f>INDEX(Input!$1:$1048576,W$93,$C616*2+MIN($B616,2)+5)</f>
        <v>3.9E-2</v>
      </c>
      <c r="X616" s="118" t="str">
        <f>INDEX(Input!$1:$1048576,X$93,$C616*2+MIN($B616,2)+5)</f>
        <v>Y</v>
      </c>
      <c r="Y616" s="475">
        <f>INDEX(Input!$1:$1048576,Y$93,$C616*2+MIN($B616,2)+5)-360</f>
        <v>1979.3275155115825</v>
      </c>
      <c r="Z616" s="30">
        <f>INDEX(Input!$1:$1048576,Z$93,$C616*2+MIN($B616,2)+5)</f>
        <v>0</v>
      </c>
      <c r="AA616" s="115">
        <f>INDEX(Input!$1:$1048576,AA$93,$C616*2+MIN($B616,2)+5)</f>
        <v>0</v>
      </c>
      <c r="AB616" s="118">
        <f>INDEX(Input!$1:$1048576,AB$93,$C616*2+MIN($B616,2)+5)</f>
        <v>1</v>
      </c>
      <c r="AC616" s="115">
        <f>INDEX(Input!$1:$1048576,AC$93,$C616*2+MIN($B616,2)+5)</f>
        <v>0</v>
      </c>
      <c r="AD616" s="118">
        <f>INDEX(Input!$1:$1048576,AD$93,$C616*2+MIN($B616,2)+5)</f>
        <v>0.35</v>
      </c>
      <c r="AE616" s="115">
        <f>INDEX(Input!$1:$1048576,AE$93,$C616*2+MIN($B616,2)+5)</f>
        <v>0</v>
      </c>
      <c r="AF616" s="118">
        <f>INDEX(Input!$1:$1048576,AF$93,$C616*2+MIN($B616,2)+5)</f>
        <v>1</v>
      </c>
      <c r="AG616" s="115">
        <f>INDEX(Input!$1:$1048576,AG$93,$C616*2+MIN($B616,2)+5)</f>
        <v>0</v>
      </c>
      <c r="AH616" s="118">
        <f>INDEX(Input!$1:$1048576,AH$93,$C616*2+MIN($B616,2)+5)</f>
        <v>1</v>
      </c>
      <c r="AI616" s="115">
        <f>INDEX(Input!$1:$1048576,AI$93,$C616*2+MIN($B616,2)+5)</f>
        <v>0</v>
      </c>
      <c r="AJ616" s="118">
        <f>INDEX(Input!$1:$1048576,AJ$93,$C616*2+MIN($B616,2)+5)</f>
        <v>0.35</v>
      </c>
      <c r="AK616" s="150">
        <f>ROUND(INDEX(Input!$1:$1048576,AK$93,$C615*2+MIN($B616,1)+5)+(Y616-VLOOKUP($C616*1000+1,$A:$HH,Y$92,FALSE)),0)</f>
        <v>4733</v>
      </c>
      <c r="AL616" s="150">
        <f>ROUND(INDEX(Input!$1:$1048576,AL$93,$C615*2+MIN($B616,1)+5)-(Y616-VLOOKUP($C616*1000+1,$A:$HH,Y$92,FALSE))/36,0)</f>
        <v>5227</v>
      </c>
      <c r="AM616" s="32" t="str">
        <f t="shared" si="1973"/>
        <v>std/std/std/std</v>
      </c>
      <c r="AN616" s="32" t="str">
        <f t="shared" si="1974"/>
        <v>$0 + 0/0/0/1.9/3.9</v>
      </c>
      <c r="AO616" s="32" t="str">
        <f t="shared" si="1975"/>
        <v>0/0/0/1.9/3.9</v>
      </c>
      <c r="AP616" s="32" t="str">
        <f t="shared" si="1939"/>
        <v>0/0.9/1.9/3.9</v>
      </c>
      <c r="AQ616" s="536">
        <f t="shared" si="1940"/>
        <v>0.35576075624097164</v>
      </c>
      <c r="AR616" s="32"/>
      <c r="AS616" s="302"/>
      <c r="AT616" s="3">
        <f t="shared" si="1993"/>
        <v>16</v>
      </c>
      <c r="AU616" s="41" t="s">
        <v>121</v>
      </c>
      <c r="AV616" s="41" t="s">
        <v>116</v>
      </c>
      <c r="AW616" s="41" t="str">
        <f>INDEX(Input!$1:$1048576,AW$93,$C616*2+6)</f>
        <v>Kia</v>
      </c>
      <c r="AX616" s="41" t="str">
        <f>INDEX(Input!$1:$1048576,AX$93,$C616*2+6)</f>
        <v>National</v>
      </c>
      <c r="AY616" s="41" t="str">
        <f>IF(LEN(D616)=0,"",INDEX(Input!$1:$1048576,AY$93,$C616*2+6))</f>
        <v>Compact Conventional/Sporty Car (43)</v>
      </c>
      <c r="AZ616" s="41" t="str">
        <f>INDEX(Input!$1:$1048576,AZ$93,$C616*2+6)</f>
        <v>Kia Forte</v>
      </c>
      <c r="BA616" s="3">
        <f>INDEX(Input!$1:$1048576,BA$93,$C616*2+6)</f>
        <v>2020</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19695</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941"/>
        <v>1465.0000000000002</v>
      </c>
      <c r="CJ616" s="16" t="str">
        <f>INDEX(Input!$1:$1048576,CJ$93,$C616*2+6)</f>
        <v>N</v>
      </c>
      <c r="CK616" s="1" t="str">
        <f t="shared" si="1942"/>
        <v>Market</v>
      </c>
      <c r="CL616" s="1" t="str">
        <f t="shared" si="1943"/>
        <v>Market</v>
      </c>
      <c r="CM616" s="1" t="str">
        <f t="shared" si="1944"/>
        <v>Market</v>
      </c>
      <c r="CN616" s="1" t="str">
        <f t="shared" si="1945"/>
        <v>Market</v>
      </c>
      <c r="CO616" s="1" t="str">
        <f t="shared" si="1946"/>
        <v>Market</v>
      </c>
      <c r="CP616" s="304">
        <f t="shared" si="1947"/>
        <v>0</v>
      </c>
      <c r="CQ616" s="1">
        <f t="shared" si="1948"/>
        <v>0</v>
      </c>
      <c r="CR616" s="1">
        <f t="shared" si="1949"/>
        <v>0</v>
      </c>
      <c r="CS616" s="1">
        <f t="shared" si="1950"/>
        <v>0</v>
      </c>
      <c r="CT616" s="1">
        <f t="shared" si="1951"/>
        <v>1.8999999999999996E-2</v>
      </c>
      <c r="CU616" s="1">
        <f t="shared" si="1952"/>
        <v>3.9E-2</v>
      </c>
      <c r="CV616" s="304">
        <f t="shared" si="2013"/>
        <v>1979.3275155115825</v>
      </c>
      <c r="CW616" s="20" t="s">
        <v>122</v>
      </c>
      <c r="CX616" s="20" t="s">
        <v>122</v>
      </c>
      <c r="CY616" s="20" t="s">
        <v>122</v>
      </c>
      <c r="CZ616" s="20" t="s">
        <v>122</v>
      </c>
      <c r="DA616" s="20" t="s">
        <v>122</v>
      </c>
      <c r="DB616" s="503">
        <f t="shared" si="2014"/>
        <v>0</v>
      </c>
      <c r="DC616" s="127">
        <v>0</v>
      </c>
      <c r="DD616" s="127">
        <v>0</v>
      </c>
      <c r="DE616" s="127">
        <v>0</v>
      </c>
      <c r="DF616" s="127">
        <v>0</v>
      </c>
      <c r="DG616" s="127">
        <v>0</v>
      </c>
      <c r="DH616" s="127">
        <v>0</v>
      </c>
      <c r="DI616" s="127">
        <v>0</v>
      </c>
      <c r="DJ616" s="127">
        <v>0</v>
      </c>
      <c r="DK616" s="127">
        <v>0</v>
      </c>
      <c r="DL616" s="127">
        <v>0</v>
      </c>
      <c r="DM616" s="304">
        <f>INDEX(Input!$1:$1048576,DM$93,$C616*2+6)</f>
        <v>20731.578947368424</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v>5.0222852458222812E-2</v>
      </c>
      <c r="DZ616" s="7">
        <v>0</v>
      </c>
      <c r="EA616" s="7">
        <v>0.78948381745668528</v>
      </c>
      <c r="EB616" s="7">
        <v>0</v>
      </c>
      <c r="EC616" s="7">
        <v>0</v>
      </c>
      <c r="ED616" s="7">
        <v>0</v>
      </c>
      <c r="EE616" s="7">
        <v>0</v>
      </c>
      <c r="EF616" s="7">
        <v>0</v>
      </c>
      <c r="EG616" s="7">
        <v>0</v>
      </c>
      <c r="EH616" s="7">
        <v>2.9730838385636556E-2</v>
      </c>
      <c r="EI616" s="7">
        <v>1.9435927852165216E-2</v>
      </c>
      <c r="EJ616" s="7">
        <v>0.26164234350981619</v>
      </c>
      <c r="EK616" s="7">
        <v>0.689190890252382</v>
      </c>
      <c r="EL616" s="7">
        <v>0</v>
      </c>
      <c r="EM616" s="7">
        <v>2.616051635600487E-2</v>
      </c>
      <c r="EN616" s="7">
        <v>3.719812778865822E-2</v>
      </c>
      <c r="EO616" s="7">
        <v>0.37942852284715722</v>
      </c>
      <c r="EP616" s="7">
        <v>0.48412383285668031</v>
      </c>
      <c r="EQ616" s="7">
        <v>7.5202585370566843E-2</v>
      </c>
      <c r="ER616" s="7">
        <v>2.4046931136936886E-2</v>
      </c>
      <c r="ES616" s="7">
        <v>0.134132813729087</v>
      </c>
      <c r="ET616" s="7">
        <v>0.16029333008509195</v>
      </c>
      <c r="EU616" s="6">
        <v>750</v>
      </c>
      <c r="EV616" s="6">
        <v>0</v>
      </c>
      <c r="EW616" s="6">
        <v>750</v>
      </c>
      <c r="EX616" s="6">
        <v>0</v>
      </c>
      <c r="EY616" s="6">
        <v>1384.3520597285451</v>
      </c>
      <c r="EZ616" s="6">
        <v>-1914.2676731795959</v>
      </c>
      <c r="FA616" s="6">
        <v>0</v>
      </c>
      <c r="FB616" s="6">
        <v>0</v>
      </c>
      <c r="FC616" s="6">
        <v>0</v>
      </c>
      <c r="FD616" s="6">
        <v>0</v>
      </c>
      <c r="FE616" s="6">
        <v>0</v>
      </c>
      <c r="FF616" s="6">
        <v>0</v>
      </c>
      <c r="FG616" s="6">
        <v>0</v>
      </c>
      <c r="FH616" s="6">
        <v>1158.6177599118391</v>
      </c>
      <c r="FI616" s="6">
        <v>1531.4299904380632</v>
      </c>
      <c r="FJ616" s="6">
        <v>1709.9775738488463</v>
      </c>
      <c r="FK616" s="6">
        <v>1266.3227157028189</v>
      </c>
      <c r="FL616" s="6">
        <v>0</v>
      </c>
      <c r="FM616" s="6">
        <v>1384.3520597285451</v>
      </c>
      <c r="FN616" s="6">
        <v>0</v>
      </c>
      <c r="FO616" s="6">
        <v>0</v>
      </c>
      <c r="FP616" s="6">
        <v>0</v>
      </c>
      <c r="FQ616" s="6">
        <v>0</v>
      </c>
      <c r="FR616" s="6">
        <v>0</v>
      </c>
      <c r="FS616" s="6">
        <v>0</v>
      </c>
      <c r="FT616" s="7">
        <v>0.83970666991490805</v>
      </c>
      <c r="FU616" s="7">
        <v>2.616051635600487E-2</v>
      </c>
      <c r="FV616" s="7">
        <v>0.134132813729087</v>
      </c>
      <c r="FW616" s="6">
        <v>750.00000000000011</v>
      </c>
      <c r="FX616" s="6">
        <v>1384.3520597285451</v>
      </c>
      <c r="FY616" s="6">
        <v>-1914.2676731795959</v>
      </c>
      <c r="FZ616" s="6">
        <v>1676.0854837363124</v>
      </c>
      <c r="GA616" s="6">
        <v>409.22925790296722</v>
      </c>
      <c r="GB616" s="6">
        <v>19285.770742097033</v>
      </c>
      <c r="GC616" s="7">
        <v>6.4493561548621597E-2</v>
      </c>
      <c r="GD616" s="7">
        <v>5.2608688777959857E-2</v>
      </c>
      <c r="GE616" s="7"/>
      <c r="GF616" s="7"/>
      <c r="GG616" s="7">
        <v>-0.18427998834739112</v>
      </c>
      <c r="GH616" s="42">
        <v>2.8648826097960973</v>
      </c>
      <c r="GI616" s="6">
        <v>7283.8564878828201</v>
      </c>
      <c r="GJ616" s="14">
        <v>0.51596255589662321</v>
      </c>
      <c r="GK616" s="14">
        <v>0.5141956742661592</v>
      </c>
      <c r="GL616" s="14">
        <v>0.48403744410337685</v>
      </c>
      <c r="GM616" s="14">
        <v>0.48580432573384014</v>
      </c>
      <c r="GO616" s="5">
        <v>338.16872463277008</v>
      </c>
      <c r="GP616" s="5">
        <v>323.86015542600148</v>
      </c>
      <c r="GQ616" s="5">
        <v>527.27910984145694</v>
      </c>
      <c r="GR616" s="5">
        <v>404.20319246551543</v>
      </c>
      <c r="GS616" s="5">
        <v>334.50205195691484</v>
      </c>
      <c r="GT616" s="5">
        <v>289.18266033348181</v>
      </c>
      <c r="GU616" s="5">
        <v>254.29573314828914</v>
      </c>
      <c r="GV616" s="39" t="s">
        <v>392</v>
      </c>
      <c r="GW616" s="5">
        <v>492.375</v>
      </c>
      <c r="GX616" s="5">
        <v>369.28125</v>
      </c>
      <c r="GY616" s="5">
        <v>302.23266563481752</v>
      </c>
      <c r="GZ616" s="5">
        <v>268.52323906086701</v>
      </c>
      <c r="HA616" s="5">
        <v>254.29573314828914</v>
      </c>
      <c r="HB616" s="39">
        <v>285.95667838600968</v>
      </c>
      <c r="HC616" s="5">
        <v>366.86483570160732</v>
      </c>
      <c r="HD616" s="5">
        <v>293.48776275539944</v>
      </c>
      <c r="HE616" s="5">
        <v>290.53812703897881</v>
      </c>
      <c r="HF616" s="5">
        <v>261.97061428438337</v>
      </c>
      <c r="HG616" s="5">
        <v>244.26506461313522</v>
      </c>
      <c r="HH616" s="39">
        <v>291.23543766191585</v>
      </c>
      <c r="HI616" s="16"/>
      <c r="HJ616" s="19" t="str">
        <f t="shared" ref="HJ616:HK616" si="2018">HJ615</f>
        <v>On</v>
      </c>
      <c r="HK616" s="1" t="str">
        <f t="shared" si="2018"/>
        <v>On</v>
      </c>
      <c r="HL616" s="16"/>
      <c r="HM616" s="639">
        <f t="shared" si="1976"/>
        <v>4.9686942767030826E-2</v>
      </c>
      <c r="HN616" s="639">
        <f t="shared" si="1953"/>
        <v>2.6112822013589915E-3</v>
      </c>
      <c r="HO616" s="639">
        <f t="shared" si="1953"/>
        <v>3.166115353075552E-2</v>
      </c>
      <c r="HP616" s="644">
        <f t="shared" si="1954"/>
        <v>323.44022184546384</v>
      </c>
      <c r="HQ616" s="644">
        <f t="shared" si="1954"/>
        <v>20.545681132900505</v>
      </c>
      <c r="HR616" s="644">
        <f t="shared" si="1954"/>
        <v>-118.69064643744277</v>
      </c>
      <c r="HS616" s="644">
        <f t="shared" si="1954"/>
        <v>-65.1164308910747</v>
      </c>
      <c r="HT616" s="644">
        <f t="shared" si="1954"/>
        <v>178.47834792153657</v>
      </c>
      <c r="HU616" s="644">
        <f t="shared" si="1954"/>
        <v>-6.1644659554721777</v>
      </c>
      <c r="HV616" s="644">
        <f t="shared" si="1954"/>
        <v>0</v>
      </c>
      <c r="HW616" s="644">
        <f t="shared" si="1954"/>
        <v>0</v>
      </c>
      <c r="HX616" s="644">
        <f t="shared" si="1954"/>
        <v>0</v>
      </c>
      <c r="HY616" s="644">
        <f t="shared" si="1954"/>
        <v>2388</v>
      </c>
      <c r="HZ616" s="644">
        <f t="shared" si="1954"/>
        <v>2518</v>
      </c>
      <c r="IA616" s="644">
        <f t="shared" si="1954"/>
        <v>2200</v>
      </c>
      <c r="IB616" s="644">
        <f t="shared" si="1954"/>
        <v>2646.3237909543891</v>
      </c>
      <c r="IC616" s="644">
        <f t="shared" si="1954"/>
        <v>2717.0240290544366</v>
      </c>
      <c r="ID616" s="644">
        <f t="shared" si="1954"/>
        <v>2075.1448876070854</v>
      </c>
      <c r="IE616" s="20">
        <f t="shared" si="1977"/>
        <v>0.35576075624097164</v>
      </c>
      <c r="IF616" s="20">
        <f t="shared" si="1956"/>
        <v>0.3652654019909985</v>
      </c>
      <c r="IG616" s="20">
        <f t="shared" si="1957"/>
        <v>0.27897384176802986</v>
      </c>
      <c r="IH616" s="21"/>
      <c r="II616" s="19"/>
      <c r="IJ616" s="19"/>
      <c r="IK616" s="19"/>
      <c r="IL616" s="19">
        <f t="shared" si="1978"/>
        <v>400.00000000000045</v>
      </c>
      <c r="IM616" s="19">
        <f t="shared" si="1958"/>
        <v>400.14144288600482</v>
      </c>
      <c r="IN616" s="19">
        <f t="shared" si="1958"/>
        <v>-73.030609966745942</v>
      </c>
      <c r="IO616" s="39"/>
      <c r="IP616" s="39"/>
      <c r="IQ616" s="39"/>
      <c r="IR616" s="39"/>
      <c r="IS616" s="39"/>
      <c r="IT616" s="39"/>
      <c r="IU616" s="39"/>
      <c r="IV616" s="39"/>
      <c r="IW616" s="39"/>
      <c r="IX616" s="19">
        <f t="shared" si="1979"/>
        <v>1600</v>
      </c>
      <c r="IY616" s="19">
        <f t="shared" si="1959"/>
        <v>2503.549291639752</v>
      </c>
      <c r="IZ616" s="19">
        <f t="shared" si="1959"/>
        <v>5888.3563810918577</v>
      </c>
      <c r="JA616" s="19">
        <f t="shared" si="1980"/>
        <v>2000.0000000000005</v>
      </c>
      <c r="JB616" s="19">
        <f t="shared" si="1980"/>
        <v>2903.6907345257569</v>
      </c>
      <c r="JC616" s="19">
        <f t="shared" si="1980"/>
        <v>5815.3257711251117</v>
      </c>
      <c r="JD616" s="19">
        <f t="shared" si="1981"/>
        <v>3394.4630473894349</v>
      </c>
      <c r="JE616" s="21"/>
      <c r="JF616" s="1">
        <f t="shared" si="1982"/>
        <v>6.8844376252282569E-2</v>
      </c>
      <c r="JG616" s="15">
        <f t="shared" si="1983"/>
        <v>7106</v>
      </c>
      <c r="JH616" s="1">
        <f t="shared" si="1984"/>
        <v>3.1704933371928166E-2</v>
      </c>
      <c r="JI616" s="1">
        <f t="shared" si="1985"/>
        <v>1.5085484249224556E-2</v>
      </c>
      <c r="JJ616" s="1">
        <f t="shared" si="1962"/>
        <v>0</v>
      </c>
      <c r="JK616" s="1">
        <f t="shared" si="1963"/>
        <v>4.679041762115272E-2</v>
      </c>
      <c r="JL616" s="15">
        <f t="shared" si="1986"/>
        <v>332.49270761591123</v>
      </c>
      <c r="JM616" s="15">
        <f t="shared" si="1986"/>
        <v>7438.4927076159101</v>
      </c>
      <c r="JN616" s="21"/>
      <c r="JO616" s="19">
        <f>INDEX([1]Input!$1:$1048576,JO$93,$C616*2+6)</f>
        <v>5995.5</v>
      </c>
      <c r="JP616" s="19">
        <f>INDEX([1]Input!$1:$1048576,JP$93,$C616*2+6)</f>
        <v>1716.3055838443925</v>
      </c>
      <c r="JQ616" s="39">
        <f t="shared" si="1995"/>
        <v>2601.0369526105651</v>
      </c>
      <c r="JR616" s="39">
        <f t="shared" si="1996"/>
        <v>1678.1574635450424</v>
      </c>
      <c r="JS616" s="39">
        <f t="shared" si="1997"/>
        <v>25.24968862427799</v>
      </c>
      <c r="JT616" s="39">
        <f t="shared" si="1987"/>
        <v>13.053621145479736</v>
      </c>
      <c r="JU616" s="385">
        <f>(JQ616*JM616-INDEX([1]Input!$1:$1048576,[1]Input!A$18,$C616*2+6)*JL616*INDEX([1]Input!$1:$1048576,[1]Input!A$19,$C616*2+6))/1000000</f>
        <v>19.347794404233198</v>
      </c>
      <c r="JV616" s="39">
        <f t="shared" si="1966"/>
        <v>-11.060161116968551</v>
      </c>
      <c r="JW616" s="1">
        <f t="shared" si="2000"/>
        <v>-0.36372590420480344</v>
      </c>
      <c r="JX616" s="19">
        <f t="shared" si="2001"/>
        <v>39259.872010663807</v>
      </c>
      <c r="JZ616" s="341"/>
      <c r="KA616" s="60"/>
      <c r="KB616" s="469">
        <f t="shared" si="1988"/>
        <v>0</v>
      </c>
      <c r="KI616" s="472"/>
      <c r="KJ616" s="472"/>
      <c r="KK616" s="472"/>
      <c r="KN616" s="888">
        <f t="shared" si="1989"/>
        <v>6002</v>
      </c>
      <c r="KO616" s="541">
        <f t="shared" si="1967"/>
        <v>-2.6646995040421895E-2</v>
      </c>
      <c r="KP616" s="546">
        <f t="shared" si="1968"/>
        <v>-92.290489543843151</v>
      </c>
      <c r="KQ616" s="546">
        <f t="shared" si="1969"/>
        <v>-202.98544290049176</v>
      </c>
      <c r="KR616" s="472">
        <f t="shared" si="1970"/>
        <v>4.647839418366118</v>
      </c>
      <c r="KS616" s="472">
        <f t="shared" si="1971"/>
        <v>2.1132124999350927</v>
      </c>
      <c r="KT616" s="473">
        <f t="shared" si="1998"/>
        <v>2521.945896759994</v>
      </c>
      <c r="KU616" s="663">
        <f t="shared" si="1990"/>
        <v>11.311232446728555</v>
      </c>
      <c r="KV616" s="117" t="e">
        <f t="shared" si="2016"/>
        <v>#N/A</v>
      </c>
    </row>
    <row r="617" spans="1:308" s="26" customFormat="1" ht="15">
      <c r="A617" s="561">
        <f t="shared" si="1972"/>
        <v>6017</v>
      </c>
      <c r="B617" s="561">
        <f t="shared" si="1991"/>
        <v>17</v>
      </c>
      <c r="C617" s="561">
        <f t="shared" si="1992"/>
        <v>6</v>
      </c>
      <c r="D617" s="561" t="str">
        <f t="shared" si="2006"/>
        <v xml:space="preserve">360 Lease, </v>
      </c>
      <c r="E617" s="115">
        <f>INDEX(Input!$1:$1048576,E$93,$C617*2+MIN($B617,2)+5)</f>
        <v>1250.0000000000002</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1.8999999999999996E-2</v>
      </c>
      <c r="W617" s="862">
        <f>INDEX(Input!$1:$1048576,W$93,$C617*2+MIN($B617,2)+5)</f>
        <v>3.9E-2</v>
      </c>
      <c r="X617" s="118" t="str">
        <f>INDEX(Input!$1:$1048576,X$93,$C617*2+MIN($B617,2)+5)</f>
        <v>Y</v>
      </c>
      <c r="Y617" s="475">
        <f>INDEX(Input!$1:$1048576,Y$93,$C617*2+MIN($B617,2)+5)+360</f>
        <v>2699.3275155115825</v>
      </c>
      <c r="Z617" s="30">
        <f>INDEX(Input!$1:$1048576,Z$93,$C617*2+MIN($B617,2)+5)</f>
        <v>0</v>
      </c>
      <c r="AA617" s="115">
        <f>INDEX(Input!$1:$1048576,AA$93,$C617*2+MIN($B617,2)+5)</f>
        <v>0</v>
      </c>
      <c r="AB617" s="118">
        <f>INDEX(Input!$1:$1048576,AB$93,$C617*2+MIN($B617,2)+5)</f>
        <v>1</v>
      </c>
      <c r="AC617" s="115">
        <f>INDEX(Input!$1:$1048576,AC$93,$C617*2+MIN($B617,2)+5)</f>
        <v>0</v>
      </c>
      <c r="AD617" s="118">
        <f>INDEX(Input!$1:$1048576,AD$93,$C617*2+MIN($B617,2)+5)</f>
        <v>0.35</v>
      </c>
      <c r="AE617" s="115">
        <f>INDEX(Input!$1:$1048576,AE$93,$C617*2+MIN($B617,2)+5)</f>
        <v>0</v>
      </c>
      <c r="AF617" s="118">
        <f>INDEX(Input!$1:$1048576,AF$93,$C617*2+MIN($B617,2)+5)</f>
        <v>1</v>
      </c>
      <c r="AG617" s="115">
        <f>INDEX(Input!$1:$1048576,AG$93,$C617*2+MIN($B617,2)+5)</f>
        <v>0</v>
      </c>
      <c r="AH617" s="118">
        <f>INDEX(Input!$1:$1048576,AH$93,$C617*2+MIN($B617,2)+5)</f>
        <v>1</v>
      </c>
      <c r="AI617" s="115">
        <f>INDEX(Input!$1:$1048576,AI$93,$C617*2+MIN($B617,2)+5)</f>
        <v>0</v>
      </c>
      <c r="AJ617" s="118">
        <f>INDEX(Input!$1:$1048576,AJ$93,$C617*2+MIN($B617,2)+5)</f>
        <v>0.35</v>
      </c>
      <c r="AK617" s="150">
        <f>ROUND(INDEX(Input!$1:$1048576,AK$93,$C616*2+MIN($B617,1)+5)+(Y617-VLOOKUP($C617*1000+1,$A:$HH,Y$92,FALSE)),0)</f>
        <v>5453</v>
      </c>
      <c r="AL617" s="150">
        <f>ROUND(INDEX(Input!$1:$1048576,AL$93,$C616*2+MIN($B617,1)+5)-(Y617-VLOOKUP($C617*1000+1,$A:$HH,Y$92,FALSE))/36,0)</f>
        <v>5207</v>
      </c>
      <c r="AM617" s="32" t="str">
        <f t="shared" si="1973"/>
        <v>std/std/std/std</v>
      </c>
      <c r="AN617" s="32" t="str">
        <f t="shared" si="1974"/>
        <v>$0 + 0/0/0/1.9/3.9</v>
      </c>
      <c r="AO617" s="32" t="str">
        <f t="shared" si="1975"/>
        <v>0/0/0/1.9/3.9</v>
      </c>
      <c r="AP617" s="32" t="str">
        <f t="shared" si="1939"/>
        <v>0/0.9/1.9/3.9</v>
      </c>
      <c r="AQ617" s="536">
        <f t="shared" si="1940"/>
        <v>0.31835573503837672</v>
      </c>
      <c r="AR617" s="32"/>
      <c r="AS617" s="302"/>
      <c r="AT617" s="3">
        <f t="shared" si="1993"/>
        <v>17</v>
      </c>
      <c r="AU617" s="41" t="s">
        <v>121</v>
      </c>
      <c r="AV617" s="41" t="s">
        <v>116</v>
      </c>
      <c r="AW617" s="41" t="str">
        <f>INDEX(Input!$1:$1048576,AW$93,$C617*2+6)</f>
        <v>Kia</v>
      </c>
      <c r="AX617" s="41" t="str">
        <f>INDEX(Input!$1:$1048576,AX$93,$C617*2+6)</f>
        <v>National</v>
      </c>
      <c r="AY617" s="41" t="str">
        <f>IF(LEN(D617)=0,"",INDEX(Input!$1:$1048576,AY$93,$C617*2+6))</f>
        <v>Compact Conventional/Sporty Car (43)</v>
      </c>
      <c r="AZ617" s="41" t="str">
        <f>INDEX(Input!$1:$1048576,AZ$93,$C617*2+6)</f>
        <v>Kia Forte</v>
      </c>
      <c r="BA617" s="3">
        <f>INDEX(Input!$1:$1048576,BA$93,$C617*2+6)</f>
        <v>2020</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19695</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941"/>
        <v>1465.0000000000002</v>
      </c>
      <c r="CJ617" s="16" t="str">
        <f>INDEX(Input!$1:$1048576,CJ$93,$C617*2+6)</f>
        <v>N</v>
      </c>
      <c r="CK617" s="1" t="str">
        <f t="shared" si="1942"/>
        <v>Market</v>
      </c>
      <c r="CL617" s="1" t="str">
        <f t="shared" si="1943"/>
        <v>Market</v>
      </c>
      <c r="CM617" s="1" t="str">
        <f t="shared" si="1944"/>
        <v>Market</v>
      </c>
      <c r="CN617" s="1" t="str">
        <f t="shared" si="1945"/>
        <v>Market</v>
      </c>
      <c r="CO617" s="1" t="str">
        <f t="shared" si="1946"/>
        <v>Market</v>
      </c>
      <c r="CP617" s="304">
        <f t="shared" si="1947"/>
        <v>0</v>
      </c>
      <c r="CQ617" s="1">
        <f t="shared" si="1948"/>
        <v>0</v>
      </c>
      <c r="CR617" s="1">
        <f t="shared" si="1949"/>
        <v>0</v>
      </c>
      <c r="CS617" s="1">
        <f t="shared" si="1950"/>
        <v>0</v>
      </c>
      <c r="CT617" s="1">
        <f t="shared" si="1951"/>
        <v>1.8999999999999996E-2</v>
      </c>
      <c r="CU617" s="1">
        <f t="shared" si="1952"/>
        <v>3.9E-2</v>
      </c>
      <c r="CV617" s="304">
        <f t="shared" si="2013"/>
        <v>2699.3275155115825</v>
      </c>
      <c r="CW617" s="20" t="s">
        <v>122</v>
      </c>
      <c r="CX617" s="20" t="s">
        <v>122</v>
      </c>
      <c r="CY617" s="20" t="s">
        <v>122</v>
      </c>
      <c r="CZ617" s="20" t="s">
        <v>122</v>
      </c>
      <c r="DA617" s="20" t="s">
        <v>122</v>
      </c>
      <c r="DB617" s="503">
        <f t="shared" si="2014"/>
        <v>0</v>
      </c>
      <c r="DC617" s="127">
        <v>0</v>
      </c>
      <c r="DD617" s="127">
        <v>0</v>
      </c>
      <c r="DE617" s="127">
        <v>0</v>
      </c>
      <c r="DF617" s="127">
        <v>0</v>
      </c>
      <c r="DG617" s="127">
        <v>0</v>
      </c>
      <c r="DH617" s="127">
        <v>0</v>
      </c>
      <c r="DI617" s="127">
        <v>0</v>
      </c>
      <c r="DJ617" s="127">
        <v>0</v>
      </c>
      <c r="DK617" s="127">
        <v>0</v>
      </c>
      <c r="DL617" s="127">
        <v>0</v>
      </c>
      <c r="DM617" s="304">
        <f>INDEX(Input!$1:$1048576,DM$93,$C617*2+6)</f>
        <v>20731.578947368424</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v>4.8772450590175834E-2</v>
      </c>
      <c r="DZ617" s="7">
        <v>0</v>
      </c>
      <c r="EA617" s="7">
        <v>0.76663500406946572</v>
      </c>
      <c r="EB617" s="7">
        <v>0</v>
      </c>
      <c r="EC617" s="7">
        <v>0</v>
      </c>
      <c r="ED617" s="7">
        <v>0</v>
      </c>
      <c r="EE617" s="7">
        <v>0</v>
      </c>
      <c r="EF617" s="7">
        <v>0</v>
      </c>
      <c r="EG617" s="7">
        <v>0</v>
      </c>
      <c r="EH617" s="7">
        <v>2.9714903230127272E-2</v>
      </c>
      <c r="EI617" s="7">
        <v>1.9430212545554364E-2</v>
      </c>
      <c r="EJ617" s="7">
        <v>0.26150757390606666</v>
      </c>
      <c r="EK617" s="7">
        <v>0.68934731031825125</v>
      </c>
      <c r="EL617" s="7">
        <v>0</v>
      </c>
      <c r="EM617" s="7">
        <v>2.5383439258590105E-2</v>
      </c>
      <c r="EN617" s="7">
        <v>3.6321277943228369E-2</v>
      </c>
      <c r="EO617" s="7">
        <v>0.38484242095786159</v>
      </c>
      <c r="EP617" s="7">
        <v>0.48122123661246741</v>
      </c>
      <c r="EQ617" s="7">
        <v>7.4197456581867077E-2</v>
      </c>
      <c r="ER617" s="7">
        <v>2.3417607904575408E-2</v>
      </c>
      <c r="ES617" s="7">
        <v>0.15920910608176819</v>
      </c>
      <c r="ET617" s="7">
        <v>0.18459254534035846</v>
      </c>
      <c r="EU617" s="6">
        <v>750</v>
      </c>
      <c r="EV617" s="6">
        <v>0</v>
      </c>
      <c r="EW617" s="6">
        <v>750</v>
      </c>
      <c r="EX617" s="6">
        <v>0</v>
      </c>
      <c r="EY617" s="6">
        <v>1384.2922101879583</v>
      </c>
      <c r="EZ617" s="6">
        <v>-1194.2676731795959</v>
      </c>
      <c r="FA617" s="6">
        <v>0</v>
      </c>
      <c r="FB617" s="6">
        <v>0</v>
      </c>
      <c r="FC617" s="6">
        <v>0</v>
      </c>
      <c r="FD617" s="6">
        <v>0</v>
      </c>
      <c r="FE617" s="6">
        <v>0</v>
      </c>
      <c r="FF617" s="6">
        <v>0</v>
      </c>
      <c r="FG617" s="6">
        <v>0</v>
      </c>
      <c r="FH617" s="6">
        <v>1158.6090276938639</v>
      </c>
      <c r="FI617" s="6">
        <v>1531.4299904380618</v>
      </c>
      <c r="FJ617" s="6">
        <v>1709.9775738488459</v>
      </c>
      <c r="FK617" s="6">
        <v>1266.3227157028191</v>
      </c>
      <c r="FL617" s="6">
        <v>0</v>
      </c>
      <c r="FM617" s="6">
        <v>1384.2922101879583</v>
      </c>
      <c r="FN617" s="6">
        <v>0</v>
      </c>
      <c r="FO617" s="6">
        <v>0</v>
      </c>
      <c r="FP617" s="6">
        <v>0</v>
      </c>
      <c r="FQ617" s="6">
        <v>0</v>
      </c>
      <c r="FR617" s="6">
        <v>0</v>
      </c>
      <c r="FS617" s="6">
        <v>0</v>
      </c>
      <c r="FT617" s="7">
        <v>0.8154074546596416</v>
      </c>
      <c r="FU617" s="7">
        <v>2.5383439258590105E-2</v>
      </c>
      <c r="FV617" s="7">
        <v>0.15920910608176819</v>
      </c>
      <c r="FW617" s="6">
        <v>750</v>
      </c>
      <c r="FX617" s="6">
        <v>1384.2922101879583</v>
      </c>
      <c r="FY617" s="6">
        <v>-1194.2676731795959</v>
      </c>
      <c r="FZ617" s="6">
        <v>1676.0854837363124</v>
      </c>
      <c r="GA617" s="6">
        <v>456.55539955889992</v>
      </c>
      <c r="GB617" s="6">
        <v>19238.4446004411</v>
      </c>
      <c r="GC617" s="7">
        <v>6.4493561548621597E-2</v>
      </c>
      <c r="GD617" s="7">
        <v>5.3381011021710063E-2</v>
      </c>
      <c r="GE617" s="7"/>
      <c r="GF617" s="7"/>
      <c r="GG617" s="7">
        <v>-0.17230480469796663</v>
      </c>
      <c r="GH617" s="42">
        <v>2.782664546414563</v>
      </c>
      <c r="GI617" s="6">
        <v>7534.3039644647297</v>
      </c>
      <c r="GJ617" s="14">
        <v>0.51596255589662332</v>
      </c>
      <c r="GK617" s="14">
        <v>0.5141956742661592</v>
      </c>
      <c r="GL617" s="14">
        <v>0.48403744410337624</v>
      </c>
      <c r="GM617" s="14">
        <v>0.48580432573384003</v>
      </c>
      <c r="GO617" s="5">
        <v>338.16872463277008</v>
      </c>
      <c r="GP617" s="5">
        <v>323.86015542600148</v>
      </c>
      <c r="GQ617" s="5">
        <v>527.27910984145694</v>
      </c>
      <c r="GR617" s="5">
        <v>404.20319246551543</v>
      </c>
      <c r="GS617" s="5">
        <v>334.50205195691484</v>
      </c>
      <c r="GT617" s="5">
        <v>289.18266033348181</v>
      </c>
      <c r="GU617" s="5">
        <v>254.29573314828914</v>
      </c>
      <c r="GV617" s="39" t="s">
        <v>392</v>
      </c>
      <c r="GW617" s="5">
        <v>492.375</v>
      </c>
      <c r="GX617" s="5">
        <v>369.28125</v>
      </c>
      <c r="GY617" s="5">
        <v>302.23266563481752</v>
      </c>
      <c r="GZ617" s="5">
        <v>268.52323906086701</v>
      </c>
      <c r="HA617" s="5">
        <v>254.29573314828914</v>
      </c>
      <c r="HB617" s="39">
        <v>285.94799240439994</v>
      </c>
      <c r="HC617" s="5">
        <v>335.36483570160732</v>
      </c>
      <c r="HD617" s="5">
        <v>271.98776275539944</v>
      </c>
      <c r="HE617" s="5">
        <v>270.57658857744036</v>
      </c>
      <c r="HF617" s="5">
        <v>245.3206142843834</v>
      </c>
      <c r="HG617" s="5">
        <v>230.46506461313521</v>
      </c>
      <c r="HH617" s="39">
        <v>270.65961519903783</v>
      </c>
      <c r="HI617" s="16"/>
      <c r="HJ617" s="19" t="str">
        <f t="shared" ref="HJ617:HK617" si="2019">HJ616</f>
        <v>On</v>
      </c>
      <c r="HK617" s="1" t="str">
        <f t="shared" si="2019"/>
        <v>On</v>
      </c>
      <c r="HL617" s="16"/>
      <c r="HM617" s="639">
        <f t="shared" si="1976"/>
        <v>4.9686942767030826E-2</v>
      </c>
      <c r="HN617" s="639">
        <f t="shared" si="1976"/>
        <v>2.6112822013589915E-3</v>
      </c>
      <c r="HO617" s="639">
        <f t="shared" si="1976"/>
        <v>3.166115353075552E-2</v>
      </c>
      <c r="HP617" s="644">
        <f t="shared" ref="HP617:ID632" si="2020">HP117+HP217+HP317+HP417+HP517</f>
        <v>179.31430272124422</v>
      </c>
      <c r="HQ617" s="644">
        <f t="shared" si="2020"/>
        <v>10.323489667704798</v>
      </c>
      <c r="HR617" s="644">
        <f t="shared" si="2020"/>
        <v>272.77508875837549</v>
      </c>
      <c r="HS617" s="644">
        <f t="shared" si="2020"/>
        <v>-65.116061673549439</v>
      </c>
      <c r="HT617" s="644">
        <f t="shared" si="2020"/>
        <v>178.40573658549425</v>
      </c>
      <c r="HU617" s="644">
        <f t="shared" si="2020"/>
        <v>178.05294903965193</v>
      </c>
      <c r="HV617" s="644">
        <f t="shared" si="2020"/>
        <v>0</v>
      </c>
      <c r="HW617" s="644">
        <f t="shared" si="2020"/>
        <v>0</v>
      </c>
      <c r="HX617" s="644">
        <f t="shared" si="2020"/>
        <v>0</v>
      </c>
      <c r="HY617" s="644">
        <f t="shared" si="2020"/>
        <v>2388</v>
      </c>
      <c r="HZ617" s="644">
        <f t="shared" si="2020"/>
        <v>2518</v>
      </c>
      <c r="IA617" s="644">
        <f t="shared" si="2020"/>
        <v>2200</v>
      </c>
      <c r="IB617" s="644">
        <f t="shared" si="2020"/>
        <v>2502.1982410476953</v>
      </c>
      <c r="IC617" s="644">
        <f t="shared" si="2020"/>
        <v>2706.7292262531992</v>
      </c>
      <c r="ID617" s="644">
        <f t="shared" si="2020"/>
        <v>2650.8280377980273</v>
      </c>
      <c r="IE617" s="20">
        <f t="shared" si="1977"/>
        <v>0.31835573503837672</v>
      </c>
      <c r="IF617" s="20">
        <f t="shared" si="1956"/>
        <v>0.34437829834493466</v>
      </c>
      <c r="IG617" s="20">
        <f t="shared" si="1957"/>
        <v>0.33726596661668856</v>
      </c>
      <c r="IH617" s="21"/>
      <c r="II617" s="19"/>
      <c r="IJ617" s="19"/>
      <c r="IK617" s="19"/>
      <c r="IL617" s="19">
        <f t="shared" si="1978"/>
        <v>399.99999999999955</v>
      </c>
      <c r="IM617" s="19">
        <f t="shared" si="1978"/>
        <v>399.99303329544682</v>
      </c>
      <c r="IN617" s="19">
        <f t="shared" si="1978"/>
        <v>640.94977640671459</v>
      </c>
      <c r="IO617" s="39"/>
      <c r="IP617" s="39"/>
      <c r="IQ617" s="39"/>
      <c r="IR617" s="39"/>
      <c r="IS617" s="39"/>
      <c r="IT617" s="39"/>
      <c r="IU617" s="39"/>
      <c r="IV617" s="39"/>
      <c r="IW617" s="39"/>
      <c r="IX617" s="19">
        <f t="shared" si="1979"/>
        <v>1600</v>
      </c>
      <c r="IY617" s="19">
        <f t="shared" si="1979"/>
        <v>2503.549291639752</v>
      </c>
      <c r="IZ617" s="19">
        <f t="shared" si="1979"/>
        <v>5888.3563810918577</v>
      </c>
      <c r="JA617" s="19">
        <f t="shared" si="1980"/>
        <v>1999.9999999999995</v>
      </c>
      <c r="JB617" s="19">
        <f t="shared" si="1980"/>
        <v>2903.5423249351988</v>
      </c>
      <c r="JC617" s="19">
        <f t="shared" si="1980"/>
        <v>6529.3061574985722</v>
      </c>
      <c r="JD617" s="19">
        <f t="shared" si="1981"/>
        <v>3838.7411876554847</v>
      </c>
      <c r="JE617" s="21"/>
      <c r="JF617" s="1">
        <f t="shared" si="1982"/>
        <v>6.8844376252282569E-2</v>
      </c>
      <c r="JG617" s="15">
        <f t="shared" si="1983"/>
        <v>7106</v>
      </c>
      <c r="JH617" s="1">
        <f t="shared" si="1984"/>
        <v>6.5073583049159084E-2</v>
      </c>
      <c r="JI617" s="1">
        <f t="shared" si="1985"/>
        <v>4.0999524901716398E-2</v>
      </c>
      <c r="JJ617" s="1">
        <f t="shared" si="1962"/>
        <v>0</v>
      </c>
      <c r="JK617" s="1">
        <f t="shared" si="1963"/>
        <v>0.10607310795087549</v>
      </c>
      <c r="JL617" s="15">
        <f t="shared" si="1986"/>
        <v>753.75550509892128</v>
      </c>
      <c r="JM617" s="15">
        <f t="shared" si="1986"/>
        <v>7859.7555050989213</v>
      </c>
      <c r="JN617" s="21"/>
      <c r="JO617" s="19">
        <f>INDEX([1]Input!$1:$1048576,JO$93,$C617*2+6)</f>
        <v>5995.5</v>
      </c>
      <c r="JP617" s="19">
        <f>INDEX([1]Input!$1:$1048576,JP$93,$C617*2+6)</f>
        <v>1716.3055838443925</v>
      </c>
      <c r="JQ617" s="39">
        <f t="shared" si="1995"/>
        <v>2156.7588123445153</v>
      </c>
      <c r="JR617" s="39">
        <f t="shared" si="1996"/>
        <v>2122.4356038110923</v>
      </c>
      <c r="JS617" s="39">
        <f t="shared" si="1997"/>
        <v>30.171567182325166</v>
      </c>
      <c r="JT617" s="39">
        <f t="shared" si="1987"/>
        <v>17.975499703526914</v>
      </c>
      <c r="JU617" s="385">
        <f>(JQ617*JM617-INDEX([1]Input!$1:$1048576,[1]Input!A$18,$C617*2+6)*JL617*INDEX([1]Input!$1:$1048576,[1]Input!A$19,$C617*2+6))/1000000</f>
        <v>16.951596948495414</v>
      </c>
      <c r="JV617" s="39">
        <f t="shared" si="1966"/>
        <v>-13.456358572706336</v>
      </c>
      <c r="JW617" s="1">
        <f t="shared" si="2000"/>
        <v>-0.44252756694951018</v>
      </c>
      <c r="JX617" s="19">
        <f t="shared" si="2001"/>
        <v>23847.918299671786</v>
      </c>
      <c r="JZ617" s="341"/>
      <c r="KA617" s="60"/>
      <c r="KB617" s="469">
        <f t="shared" si="1988"/>
        <v>0</v>
      </c>
      <c r="KI617" s="472"/>
      <c r="KJ617" s="472"/>
      <c r="KK617" s="472"/>
      <c r="KN617" s="888">
        <f t="shared" si="1989"/>
        <v>6002</v>
      </c>
      <c r="KO617" s="541">
        <f t="shared" si="1967"/>
        <v>2.8476727725071926E-2</v>
      </c>
      <c r="KP617" s="546">
        <f t="shared" si="1968"/>
        <v>129.16850237646011</v>
      </c>
      <c r="KQ617" s="546">
        <f t="shared" si="1969"/>
        <v>241.29269736555807</v>
      </c>
      <c r="KR617" s="472">
        <f t="shared" si="1970"/>
        <v>3.5488960772055433</v>
      </c>
      <c r="KS617" s="472">
        <f t="shared" si="1971"/>
        <v>1.8997905713153453</v>
      </c>
      <c r="KT617" s="473">
        <f t="shared" si="1998"/>
        <v>2521.945896759994</v>
      </c>
      <c r="KU617" s="663">
        <f t="shared" si="1990"/>
        <v>10.859132848408484</v>
      </c>
      <c r="KV617" s="117" t="e">
        <f t="shared" si="2016"/>
        <v>#N/A</v>
      </c>
    </row>
    <row r="618" spans="1:308" s="26" customFormat="1" ht="15">
      <c r="A618" s="561">
        <f t="shared" si="1972"/>
        <v>6018</v>
      </c>
      <c r="B618" s="561">
        <f t="shared" si="1991"/>
        <v>18</v>
      </c>
      <c r="C618" s="561">
        <f t="shared" si="1992"/>
        <v>6</v>
      </c>
      <c r="D618" s="561" t="str">
        <f t="shared" si="2006"/>
        <v xml:space="preserve">720 Lease, </v>
      </c>
      <c r="E618" s="115">
        <f>INDEX(Input!$1:$1048576,E$93,$C618*2+MIN($B618,2)+5)</f>
        <v>1250.0000000000002</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1.8999999999999996E-2</v>
      </c>
      <c r="W618" s="862">
        <f>INDEX(Input!$1:$1048576,W$93,$C618*2+MIN($B618,2)+5)</f>
        <v>3.9E-2</v>
      </c>
      <c r="X618" s="118" t="str">
        <f>INDEX(Input!$1:$1048576,X$93,$C618*2+MIN($B618,2)+5)</f>
        <v>Y</v>
      </c>
      <c r="Y618" s="475">
        <f>INDEX(Input!$1:$1048576,Y$93,$C618*2+MIN($B618,2)+5)+720</f>
        <v>3059.3275155115825</v>
      </c>
      <c r="Z618" s="30">
        <f>INDEX(Input!$1:$1048576,Z$93,$C618*2+MIN($B618,2)+5)</f>
        <v>0</v>
      </c>
      <c r="AA618" s="115">
        <f>INDEX(Input!$1:$1048576,AA$93,$C618*2+MIN($B618,2)+5)</f>
        <v>0</v>
      </c>
      <c r="AB618" s="118">
        <f>INDEX(Input!$1:$1048576,AB$93,$C618*2+MIN($B618,2)+5)</f>
        <v>1</v>
      </c>
      <c r="AC618" s="115">
        <f>INDEX(Input!$1:$1048576,AC$93,$C618*2+MIN($B618,2)+5)</f>
        <v>0</v>
      </c>
      <c r="AD618" s="118">
        <f>INDEX(Input!$1:$1048576,AD$93,$C618*2+MIN($B618,2)+5)</f>
        <v>0.35</v>
      </c>
      <c r="AE618" s="115">
        <f>INDEX(Input!$1:$1048576,AE$93,$C618*2+MIN($B618,2)+5)</f>
        <v>0</v>
      </c>
      <c r="AF618" s="118">
        <f>INDEX(Input!$1:$1048576,AF$93,$C618*2+MIN($B618,2)+5)</f>
        <v>1</v>
      </c>
      <c r="AG618" s="115">
        <f>INDEX(Input!$1:$1048576,AG$93,$C618*2+MIN($B618,2)+5)</f>
        <v>0</v>
      </c>
      <c r="AH618" s="118">
        <f>INDEX(Input!$1:$1048576,AH$93,$C618*2+MIN($B618,2)+5)</f>
        <v>1</v>
      </c>
      <c r="AI618" s="115">
        <f>INDEX(Input!$1:$1048576,AI$93,$C618*2+MIN($B618,2)+5)</f>
        <v>0</v>
      </c>
      <c r="AJ618" s="118">
        <f>INDEX(Input!$1:$1048576,AJ$93,$C618*2+MIN($B618,2)+5)</f>
        <v>0.35</v>
      </c>
      <c r="AK618" s="150">
        <f>ROUND(INDEX(Input!$1:$1048576,AK$93,$C617*2+MIN($B618,1)+5)+(Y618-VLOOKUP($C618*1000+1,$A:$HH,Y$92,FALSE)),0)</f>
        <v>5813</v>
      </c>
      <c r="AL618" s="150">
        <f>ROUND(INDEX(Input!$1:$1048576,AL$93,$C617*2+MIN($B618,1)+5)-(Y618-VLOOKUP($C618*1000+1,$A:$HH,Y$92,FALSE))/36,0)</f>
        <v>5197</v>
      </c>
      <c r="AM618" s="32" t="str">
        <f t="shared" si="1973"/>
        <v>std/std/std/std</v>
      </c>
      <c r="AN618" s="32" t="str">
        <f t="shared" si="1974"/>
        <v>$0 + 0/0/0/1.9/3.9</v>
      </c>
      <c r="AO618" s="32" t="str">
        <f t="shared" si="1975"/>
        <v>0/0/0/1.9/3.9</v>
      </c>
      <c r="AP618" s="32" t="str">
        <f t="shared" si="1939"/>
        <v>0/0.9/1.9/3.9</v>
      </c>
      <c r="AQ618" s="536">
        <f t="shared" si="1940"/>
        <v>0.29928154917023819</v>
      </c>
      <c r="AR618" s="32"/>
      <c r="AS618" s="302"/>
      <c r="AT618" s="3">
        <f t="shared" si="1993"/>
        <v>18</v>
      </c>
      <c r="AU618" s="41" t="s">
        <v>121</v>
      </c>
      <c r="AV618" s="41" t="s">
        <v>116</v>
      </c>
      <c r="AW618" s="41" t="str">
        <f>INDEX(Input!$1:$1048576,AW$93,$C618*2+6)</f>
        <v>Kia</v>
      </c>
      <c r="AX618" s="41" t="str">
        <f>INDEX(Input!$1:$1048576,AX$93,$C618*2+6)</f>
        <v>National</v>
      </c>
      <c r="AY618" s="41" t="str">
        <f>IF(LEN(D618)=0,"",INDEX(Input!$1:$1048576,AY$93,$C618*2+6))</f>
        <v>Compact Conventional/Sporty Car (43)</v>
      </c>
      <c r="AZ618" s="41" t="str">
        <f>INDEX(Input!$1:$1048576,AZ$93,$C618*2+6)</f>
        <v>Kia Forte</v>
      </c>
      <c r="BA618" s="3">
        <f>INDEX(Input!$1:$1048576,BA$93,$C618*2+6)</f>
        <v>2020</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19695</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941"/>
        <v>1465.0000000000002</v>
      </c>
      <c r="CJ618" s="16" t="str">
        <f>INDEX(Input!$1:$1048576,CJ$93,$C618*2+6)</f>
        <v>N</v>
      </c>
      <c r="CK618" s="1" t="str">
        <f t="shared" si="1942"/>
        <v>Market</v>
      </c>
      <c r="CL618" s="1" t="str">
        <f t="shared" si="1943"/>
        <v>Market</v>
      </c>
      <c r="CM618" s="1" t="str">
        <f t="shared" si="1944"/>
        <v>Market</v>
      </c>
      <c r="CN618" s="1" t="str">
        <f t="shared" si="1945"/>
        <v>Market</v>
      </c>
      <c r="CO618" s="1" t="str">
        <f t="shared" si="1946"/>
        <v>Market</v>
      </c>
      <c r="CP618" s="304">
        <f t="shared" si="1947"/>
        <v>0</v>
      </c>
      <c r="CQ618" s="1">
        <f t="shared" si="1948"/>
        <v>0</v>
      </c>
      <c r="CR618" s="1">
        <f t="shared" si="1949"/>
        <v>0</v>
      </c>
      <c r="CS618" s="1">
        <f t="shared" si="1950"/>
        <v>0</v>
      </c>
      <c r="CT618" s="1">
        <f t="shared" si="1951"/>
        <v>1.8999999999999996E-2</v>
      </c>
      <c r="CU618" s="1">
        <f t="shared" si="1952"/>
        <v>3.9E-2</v>
      </c>
      <c r="CV618" s="304">
        <f t="shared" si="2013"/>
        <v>3059.3275155115825</v>
      </c>
      <c r="CW618" s="20" t="s">
        <v>122</v>
      </c>
      <c r="CX618" s="20" t="s">
        <v>122</v>
      </c>
      <c r="CY618" s="20" t="s">
        <v>122</v>
      </c>
      <c r="CZ618" s="20" t="s">
        <v>122</v>
      </c>
      <c r="DA618" s="20" t="s">
        <v>122</v>
      </c>
      <c r="DB618" s="503">
        <f t="shared" si="2014"/>
        <v>0</v>
      </c>
      <c r="DC618" s="127">
        <v>0</v>
      </c>
      <c r="DD618" s="127">
        <v>0</v>
      </c>
      <c r="DE618" s="127">
        <v>0</v>
      </c>
      <c r="DF618" s="127">
        <v>0</v>
      </c>
      <c r="DG618" s="127">
        <v>0</v>
      </c>
      <c r="DH618" s="127">
        <v>0</v>
      </c>
      <c r="DI618" s="127">
        <v>0</v>
      </c>
      <c r="DJ618" s="127">
        <v>0</v>
      </c>
      <c r="DK618" s="127">
        <v>0</v>
      </c>
      <c r="DL618" s="127">
        <v>0</v>
      </c>
      <c r="DM618" s="304">
        <f>INDEX(Input!$1:$1048576,DM$93,$C618*2+6)</f>
        <v>20731.578947368424</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v>4.7936966891571252E-2</v>
      </c>
      <c r="DZ618" s="7">
        <v>0</v>
      </c>
      <c r="EA618" s="7">
        <v>0.75347500094860764</v>
      </c>
      <c r="EB618" s="7">
        <v>0</v>
      </c>
      <c r="EC618" s="7">
        <v>0</v>
      </c>
      <c r="ED618" s="7">
        <v>0</v>
      </c>
      <c r="EE618" s="7">
        <v>0</v>
      </c>
      <c r="EF618" s="7">
        <v>0</v>
      </c>
      <c r="EG618" s="7">
        <v>0</v>
      </c>
      <c r="EH618" s="7">
        <v>2.9705697034262079E-2</v>
      </c>
      <c r="EI618" s="7">
        <v>1.9426914031549909E-2</v>
      </c>
      <c r="EJ618" s="7">
        <v>0.26142965959122544</v>
      </c>
      <c r="EK618" s="7">
        <v>0.68943772934296255</v>
      </c>
      <c r="EL618" s="7">
        <v>0</v>
      </c>
      <c r="EM618" s="7">
        <v>2.493635155296289E-2</v>
      </c>
      <c r="EN618" s="7">
        <v>3.5888279551228162E-2</v>
      </c>
      <c r="EO618" s="7">
        <v>0.38768822886646737</v>
      </c>
      <c r="EP618" s="7">
        <v>0.47968236354325261</v>
      </c>
      <c r="EQ618" s="7">
        <v>7.3655779150771192E-2</v>
      </c>
      <c r="ER618" s="7">
        <v>2.3085348888280319E-2</v>
      </c>
      <c r="ES618" s="7">
        <v>0.17365168060685826</v>
      </c>
      <c r="ET618" s="7">
        <v>0.19858803215982102</v>
      </c>
      <c r="EU618" s="6">
        <v>750</v>
      </c>
      <c r="EV618" s="6">
        <v>0</v>
      </c>
      <c r="EW618" s="6">
        <v>750</v>
      </c>
      <c r="EX618" s="6">
        <v>0</v>
      </c>
      <c r="EY618" s="6">
        <v>1384.2576104615964</v>
      </c>
      <c r="EZ618" s="6">
        <v>-834.26767317959593</v>
      </c>
      <c r="FA618" s="6">
        <v>0</v>
      </c>
      <c r="FB618" s="6">
        <v>0</v>
      </c>
      <c r="FC618" s="6">
        <v>0</v>
      </c>
      <c r="FD618" s="6">
        <v>0</v>
      </c>
      <c r="FE618" s="6">
        <v>0</v>
      </c>
      <c r="FF618" s="6">
        <v>0</v>
      </c>
      <c r="FG618" s="6">
        <v>0</v>
      </c>
      <c r="FH618" s="6">
        <v>1158.6039837013</v>
      </c>
      <c r="FI618" s="6">
        <v>1531.4299904380621</v>
      </c>
      <c r="FJ618" s="6">
        <v>1709.9775738488463</v>
      </c>
      <c r="FK618" s="6">
        <v>1266.3227157028189</v>
      </c>
      <c r="FL618" s="6">
        <v>0</v>
      </c>
      <c r="FM618" s="6">
        <v>1384.2576104615964</v>
      </c>
      <c r="FN618" s="6">
        <v>0</v>
      </c>
      <c r="FO618" s="6">
        <v>0</v>
      </c>
      <c r="FP618" s="6">
        <v>0</v>
      </c>
      <c r="FQ618" s="6">
        <v>0</v>
      </c>
      <c r="FR618" s="6">
        <v>0</v>
      </c>
      <c r="FS618" s="6">
        <v>0</v>
      </c>
      <c r="FT618" s="7">
        <v>0.80141196784017887</v>
      </c>
      <c r="FU618" s="7">
        <v>2.493635155296289E-2</v>
      </c>
      <c r="FV618" s="7">
        <v>0.17365168060685826</v>
      </c>
      <c r="FW618" s="6">
        <v>749.99999999999989</v>
      </c>
      <c r="FX618" s="6">
        <v>1384.2576104615964</v>
      </c>
      <c r="FY618" s="6">
        <v>-834.26767317959593</v>
      </c>
      <c r="FZ618" s="6">
        <v>1676.0854837363124</v>
      </c>
      <c r="GA618" s="6">
        <v>490.70532677085885</v>
      </c>
      <c r="GB618" s="6">
        <v>19204.294673229142</v>
      </c>
      <c r="GC618" s="7">
        <v>6.4493561548621597E-2</v>
      </c>
      <c r="GD618" s="7">
        <v>5.3841615387298911E-2</v>
      </c>
      <c r="GE618" s="7"/>
      <c r="GF618" s="7"/>
      <c r="GG618" s="7">
        <v>-0.16516293883525413</v>
      </c>
      <c r="GH618" s="42">
        <v>2.7441695065046812</v>
      </c>
      <c r="GI618" s="6">
        <v>7667.7401102693557</v>
      </c>
      <c r="GJ618" s="14">
        <v>0.5159625558966231</v>
      </c>
      <c r="GK618" s="14">
        <v>0.51419567426615953</v>
      </c>
      <c r="GL618" s="14">
        <v>0.48403744410337657</v>
      </c>
      <c r="GM618" s="14">
        <v>0.48580432573384036</v>
      </c>
      <c r="GO618" s="5">
        <v>338.16872463277008</v>
      </c>
      <c r="GP618" s="5">
        <v>323.86015542600148</v>
      </c>
      <c r="GQ618" s="5">
        <v>527.27910984145694</v>
      </c>
      <c r="GR618" s="5">
        <v>404.20319246551543</v>
      </c>
      <c r="GS618" s="5">
        <v>334.50205195691484</v>
      </c>
      <c r="GT618" s="5">
        <v>289.18266033348181</v>
      </c>
      <c r="GU618" s="5">
        <v>254.29573314828914</v>
      </c>
      <c r="GV618" s="39" t="s">
        <v>392</v>
      </c>
      <c r="GW618" s="5">
        <v>492.375</v>
      </c>
      <c r="GX618" s="5">
        <v>369.28125</v>
      </c>
      <c r="GY618" s="5">
        <v>302.23266563481752</v>
      </c>
      <c r="GZ618" s="5">
        <v>268.52323906086701</v>
      </c>
      <c r="HA618" s="5">
        <v>254.29573314828914</v>
      </c>
      <c r="HB618" s="39">
        <v>285.94297278265873</v>
      </c>
      <c r="HC618" s="5">
        <v>319.61483570160732</v>
      </c>
      <c r="HD618" s="5">
        <v>261.23776275539944</v>
      </c>
      <c r="HE618" s="5">
        <v>260.59581934667114</v>
      </c>
      <c r="HF618" s="5">
        <v>236.99561428438341</v>
      </c>
      <c r="HG618" s="5">
        <v>223.56506461313523</v>
      </c>
      <c r="HH618" s="39">
        <v>260.36962482301709</v>
      </c>
      <c r="HI618" s="16"/>
      <c r="HJ618" s="19" t="str">
        <f t="shared" ref="HJ618:HK618" si="2021">HJ617</f>
        <v>On</v>
      </c>
      <c r="HK618" s="1" t="str">
        <f t="shared" si="2021"/>
        <v>On</v>
      </c>
      <c r="HL618" s="16"/>
      <c r="HM618" s="639">
        <f t="shared" ref="HM618:HO633" si="2022">(HM118*HY118+HM218*HY218+HM318*HY318+HM418*HY418+HM518*HY518)/HY618</f>
        <v>4.9686942767030826E-2</v>
      </c>
      <c r="HN618" s="639">
        <f t="shared" si="2022"/>
        <v>2.6112822013589915E-3</v>
      </c>
      <c r="HO618" s="639">
        <f t="shared" si="2022"/>
        <v>3.166115353075552E-2</v>
      </c>
      <c r="HP618" s="644">
        <f t="shared" si="2020"/>
        <v>99.33498499178998</v>
      </c>
      <c r="HQ618" s="644">
        <f t="shared" si="2020"/>
        <v>4.6580773255027061</v>
      </c>
      <c r="HR618" s="644">
        <f t="shared" si="2020"/>
        <v>500.04283653717755</v>
      </c>
      <c r="HS618" s="644">
        <f t="shared" si="2020"/>
        <v>-65.115850311543213</v>
      </c>
      <c r="HT618" s="644">
        <f t="shared" si="2020"/>
        <v>178.36458120991568</v>
      </c>
      <c r="HU618" s="644">
        <f t="shared" si="2020"/>
        <v>270.16162978397045</v>
      </c>
      <c r="HV618" s="644">
        <f t="shared" si="2020"/>
        <v>0</v>
      </c>
      <c r="HW618" s="644">
        <f t="shared" si="2020"/>
        <v>0</v>
      </c>
      <c r="HX618" s="644">
        <f t="shared" si="2020"/>
        <v>0</v>
      </c>
      <c r="HY618" s="644">
        <f t="shared" si="2020"/>
        <v>2388</v>
      </c>
      <c r="HZ618" s="644">
        <f t="shared" si="2020"/>
        <v>2518</v>
      </c>
      <c r="IA618" s="644">
        <f t="shared" si="2020"/>
        <v>2200</v>
      </c>
      <c r="IB618" s="644">
        <f t="shared" si="2020"/>
        <v>2422.2191346802465</v>
      </c>
      <c r="IC618" s="644">
        <f t="shared" si="2020"/>
        <v>2701.022658535418</v>
      </c>
      <c r="ID618" s="644">
        <f t="shared" si="2020"/>
        <v>2970.2044663211477</v>
      </c>
      <c r="IE618" s="20">
        <f t="shared" si="1977"/>
        <v>0.29928154917023819</v>
      </c>
      <c r="IF618" s="20">
        <f t="shared" si="1956"/>
        <v>0.33372960935555751</v>
      </c>
      <c r="IG618" s="20">
        <f t="shared" si="1957"/>
        <v>0.36698884147420446</v>
      </c>
      <c r="IH618" s="21"/>
      <c r="II618" s="19"/>
      <c r="IJ618" s="19"/>
      <c r="IK618" s="19"/>
      <c r="IL618" s="19">
        <f t="shared" si="1978"/>
        <v>400.00000000000045</v>
      </c>
      <c r="IM618" s="19">
        <f t="shared" si="1978"/>
        <v>399.90896256091946</v>
      </c>
      <c r="IN618" s="19">
        <f t="shared" si="1978"/>
        <v>998.77307301075143</v>
      </c>
      <c r="IO618" s="39"/>
      <c r="IP618" s="39"/>
      <c r="IQ618" s="39"/>
      <c r="IR618" s="39"/>
      <c r="IS618" s="39"/>
      <c r="IT618" s="39"/>
      <c r="IU618" s="39"/>
      <c r="IV618" s="39"/>
      <c r="IW618" s="39"/>
      <c r="IX618" s="19">
        <f t="shared" ref="IX618:IZ633" si="2023">(IX118*HY118+IX218*HY218+IX318*HY318+IX418*HY418+IX518*HY518)/HY618</f>
        <v>1600</v>
      </c>
      <c r="IY618" s="19">
        <f t="shared" si="2023"/>
        <v>2503.549291639752</v>
      </c>
      <c r="IZ618" s="19">
        <f t="shared" si="2023"/>
        <v>5888.3563810918577</v>
      </c>
      <c r="JA618" s="19">
        <f t="shared" ref="JA618:JC633" si="2024">IFERROR((JA118*IB118+JA218*IB218+JA318*IB318+JA418*IB418+JA518*IB518)/IB618,0)</f>
        <v>2000.0000000000005</v>
      </c>
      <c r="JB618" s="19">
        <f t="shared" si="2024"/>
        <v>2903.4582542006715</v>
      </c>
      <c r="JC618" s="19">
        <f t="shared" si="2024"/>
        <v>6887.1294541026091</v>
      </c>
      <c r="JD618" s="19">
        <f t="shared" si="1981"/>
        <v>4095.0327467390225</v>
      </c>
      <c r="JE618" s="21"/>
      <c r="JF618" s="1">
        <f t="shared" si="1982"/>
        <v>6.8844376252282569E-2</v>
      </c>
      <c r="JG618" s="15">
        <f t="shared" si="1983"/>
        <v>7106</v>
      </c>
      <c r="JH618" s="1">
        <f t="shared" si="1984"/>
        <v>8.5003644645999188E-2</v>
      </c>
      <c r="JI618" s="1">
        <f t="shared" si="1985"/>
        <v>5.3955862747304094E-2</v>
      </c>
      <c r="JJ618" s="1">
        <f t="shared" si="1962"/>
        <v>0</v>
      </c>
      <c r="JK618" s="1">
        <f t="shared" si="1963"/>
        <v>0.13895950739330332</v>
      </c>
      <c r="JL618" s="15">
        <f t="shared" ref="JL618:JM633" si="2025">JL118+JL218+JL318+JL418+JL518</f>
        <v>987.44625953681327</v>
      </c>
      <c r="JM618" s="15">
        <f t="shared" si="2025"/>
        <v>8093.4462595368132</v>
      </c>
      <c r="JN618" s="21"/>
      <c r="JO618" s="19">
        <f>INDEX([1]Input!$1:$1048576,JO$93,$C618*2+6)</f>
        <v>5995.5</v>
      </c>
      <c r="JP618" s="19">
        <f>INDEX([1]Input!$1:$1048576,JP$93,$C618*2+6)</f>
        <v>1716.3055838443925</v>
      </c>
      <c r="JQ618" s="39">
        <f t="shared" si="1995"/>
        <v>1900.4672532609775</v>
      </c>
      <c r="JR618" s="39">
        <f t="shared" si="1996"/>
        <v>2378.7271628946301</v>
      </c>
      <c r="JS618" s="39">
        <f t="shared" si="1997"/>
        <v>33.142927466775703</v>
      </c>
      <c r="JT618" s="39">
        <f t="shared" si="1987"/>
        <v>20.946859987977451</v>
      </c>
      <c r="JU618" s="385">
        <f>(JQ618*JM618-INDEX([1]Input!$1:$1048576,[1]Input!A$18,$C618*2+6)*JL618*INDEX([1]Input!$1:$1048576,[1]Input!A$19,$C618*2+6))/1000000</f>
        <v>15.381329582277258</v>
      </c>
      <c r="JV618" s="39">
        <f t="shared" si="1966"/>
        <v>-15.026625938924491</v>
      </c>
      <c r="JW618" s="1">
        <f t="shared" si="2000"/>
        <v>-0.49416758481007622</v>
      </c>
      <c r="JX618" s="19">
        <f t="shared" si="2001"/>
        <v>21213.164550142817</v>
      </c>
      <c r="JZ618" s="341"/>
      <c r="KA618" s="60"/>
      <c r="KB618" s="469">
        <f t="shared" si="1988"/>
        <v>0</v>
      </c>
      <c r="KI618" s="472"/>
      <c r="KJ618" s="472"/>
      <c r="KK618" s="472"/>
      <c r="KN618" s="888">
        <f t="shared" si="1989"/>
        <v>6002</v>
      </c>
      <c r="KO618" s="541">
        <f t="shared" si="1967"/>
        <v>5.9055987126711784E-2</v>
      </c>
      <c r="KP618" s="546">
        <f t="shared" si="1968"/>
        <v>271.84425042018631</v>
      </c>
      <c r="KQ618" s="546">
        <f t="shared" si="1969"/>
        <v>497.58425644909585</v>
      </c>
      <c r="KR618" s="472">
        <f t="shared" si="1970"/>
        <v>3.4970641948821779</v>
      </c>
      <c r="KS618" s="472">
        <f t="shared" si="1971"/>
        <v>1.9105443598902783</v>
      </c>
      <c r="KT618" s="473">
        <f t="shared" si="1998"/>
        <v>2521.945896759994</v>
      </c>
      <c r="KU618" s="663">
        <f t="shared" si="1990"/>
        <v>10.62516638337762</v>
      </c>
      <c r="KV618" s="117" t="e">
        <f t="shared" si="2016"/>
        <v>#N/A</v>
      </c>
    </row>
    <row r="619" spans="1:308" s="26" customFormat="1" ht="15">
      <c r="A619" s="561">
        <f t="shared" si="1972"/>
        <v>6019</v>
      </c>
      <c r="B619" s="561">
        <f t="shared" si="1991"/>
        <v>19</v>
      </c>
      <c r="C619" s="561">
        <f t="shared" si="1992"/>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-1000 Event (RBC), -500 Event (L), </v>
      </c>
      <c r="E619" s="475">
        <f>INDEX(Input!$1:$1048576,E$93,$C619*2+MIN($B619,2)+5)</f>
        <v>1250.0000000000002</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IFERROR(MAX(0,INDEX(Input!$1:$1048576,R$93,$C619*2+MIN($B619,2)+5)-0%,),"Market")</f>
        <v>0</v>
      </c>
      <c r="S619" s="478">
        <f>IFERROR(MAX(0,INDEX(Input!$1:$1048576,S$93,$C619*2+MIN($B619,2)+5)-0%,),"Market")</f>
        <v>0</v>
      </c>
      <c r="T619" s="478">
        <f>IFERROR(MAX(0,INDEX(Input!$1:$1048576,T$93,$C619*2+MIN($B619,2)+5)-0%,),"Market")</f>
        <v>0</v>
      </c>
      <c r="U619" s="478">
        <f>IFERROR(MAX(0,INDEX(Input!$1:$1048576,U$93,$C619*2+MIN($B619,2)+5)-0%,),"Market")</f>
        <v>0</v>
      </c>
      <c r="V619" s="478">
        <f>IFERROR(MAX(0,INDEX(Input!$1:$1048576,V$93,$C619*2+MIN($B619,2)+5)-0%,),"Market")</f>
        <v>1.8999999999999996E-2</v>
      </c>
      <c r="W619" s="863">
        <f>IFERROR(MAX(0,INDEX(Input!$1:$1048576,W$93,$C619*2+MIN($B619,2)+5)-0%,),"Market")</f>
        <v>3.9E-2</v>
      </c>
      <c r="X619" s="476" t="str">
        <f>INDEX(Input!$1:$1048576,X$93,$C619*2+MIN($B619,2)+5)</f>
        <v>Y</v>
      </c>
      <c r="Y619" s="475">
        <f>INDEX(Input!$1:$1048576,Y$93,$C619*2+MIN($B619,2)+5)</f>
        <v>2339.3275155115825</v>
      </c>
      <c r="Z619" s="477">
        <f>INDEX(Input!$1:$1048576,Z$93,$C619*2+MIN($B619,2)+5)</f>
        <v>0</v>
      </c>
      <c r="AA619" s="475">
        <f>INDEX(Input!$1:$1048576,AA$93,$C619*2+MIN($B619,2)+5)</f>
        <v>0</v>
      </c>
      <c r="AB619" s="476">
        <f>INDEX(Input!$1:$1048576,AB$93,$C619*2+MIN($B619,2)+5)</f>
        <v>1</v>
      </c>
      <c r="AC619" s="475">
        <f>INDEX(Input!$1:$1048576,AC$93,$C619*2+MIN($B619,2)+5)-1000</f>
        <v>-1000</v>
      </c>
      <c r="AD619" s="476">
        <f>INDEX(Input!$1:$1048576,AD$93,$C619*2+MIN($B619,2)+5)</f>
        <v>0.35</v>
      </c>
      <c r="AE619" s="475">
        <f>INDEX(Input!$1:$1048576,AE$93,$C619*2+MIN($B619,2)+5)-500</f>
        <v>-500</v>
      </c>
      <c r="AF619" s="476">
        <f>INDEX(Input!$1:$1048576,AF$93,$C619*2+MIN($B619,2)+5)</f>
        <v>1</v>
      </c>
      <c r="AG619" s="475">
        <f>INDEX(Input!$1:$1048576,AG$93,$C619*2+MIN($B619,2)+5)</f>
        <v>0</v>
      </c>
      <c r="AH619" s="476">
        <f>INDEX(Input!$1:$1048576,AH$93,$C619*2+MIN($B619,2)+5)</f>
        <v>1</v>
      </c>
      <c r="AI619" s="475">
        <f>INDEX(Input!$1:$1048576,AI$93,$C619*2+MIN($B619,2)+5)</f>
        <v>0</v>
      </c>
      <c r="AJ619" s="476">
        <f>INDEX(Input!$1:$1048576,AJ$93,$C619*2+MIN($B619,2)+5)</f>
        <v>0.35</v>
      </c>
      <c r="AK619" s="150">
        <f>ROUND(INDEX(Input!$1:$1048576,AK$93,$C618*2+MIN($B619,1)+5)+(Y619-VLOOKUP($C619*1000+1,$A:$HH,Y$92,FALSE)),0)</f>
        <v>5093</v>
      </c>
      <c r="AL619" s="150">
        <f>ROUND(INDEX(Input!$1:$1048576,AL$93,$C618*2+MIN($B619,1)+5)-(Y619-VLOOKUP($C619*1000+1,$A:$HH,Y$92,FALSE))/36,0)</f>
        <v>5217</v>
      </c>
      <c r="AM619" s="32" t="str">
        <f t="shared" si="1973"/>
        <v>std/std/std/std</v>
      </c>
      <c r="AN619" s="32" t="str">
        <f t="shared" si="1974"/>
        <v>$0 + 0/0/0/1.9/3.9</v>
      </c>
      <c r="AO619" s="32" t="str">
        <f t="shared" si="1975"/>
        <v>0/0/0/1.9/3.9</v>
      </c>
      <c r="AP619" s="32" t="str">
        <f t="shared" si="1939"/>
        <v>0/0.9/1.9/3.9</v>
      </c>
      <c r="AQ619" s="536">
        <f t="shared" si="1940"/>
        <v>-849.66799945300954</v>
      </c>
      <c r="AR619" s="32"/>
      <c r="AS619" s="302"/>
      <c r="AT619" s="3">
        <f t="shared" si="1993"/>
        <v>19</v>
      </c>
      <c r="AU619" s="41" t="s">
        <v>121</v>
      </c>
      <c r="AV619" s="41" t="s">
        <v>116</v>
      </c>
      <c r="AW619" s="41" t="str">
        <f>INDEX(Input!$1:$1048576,AW$93,$C619*2+6)</f>
        <v>Kia</v>
      </c>
      <c r="AX619" s="41" t="str">
        <f>INDEX(Input!$1:$1048576,AX$93,$C619*2+6)</f>
        <v>National</v>
      </c>
      <c r="AY619" s="41" t="str">
        <f>IF(LEN(D619)=0,"",INDEX(Input!$1:$1048576,AY$93,$C619*2+6))</f>
        <v>Compact Conventional/Sporty Car (43)</v>
      </c>
      <c r="AZ619" s="41" t="str">
        <f>INDEX(Input!$1:$1048576,AZ$93,$C619*2+6)</f>
        <v>Kia Forte</v>
      </c>
      <c r="BA619" s="3">
        <f>INDEX(Input!$1:$1048576,BA$93,$C619*2+6)</f>
        <v>2020</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19695</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941"/>
        <v>1115.0000000000002</v>
      </c>
      <c r="CJ619" s="16" t="str">
        <f>INDEX(Input!$1:$1048576,CJ$93,$C619*2+6)</f>
        <v>N</v>
      </c>
      <c r="CK619" s="1" t="str">
        <f t="shared" si="1942"/>
        <v>Market</v>
      </c>
      <c r="CL619" s="1" t="str">
        <f t="shared" si="1943"/>
        <v>Market</v>
      </c>
      <c r="CM619" s="1" t="str">
        <f t="shared" si="1944"/>
        <v>Market</v>
      </c>
      <c r="CN619" s="1" t="str">
        <f t="shared" si="1945"/>
        <v>Market</v>
      </c>
      <c r="CO619" s="1" t="str">
        <f t="shared" si="1946"/>
        <v>Market</v>
      </c>
      <c r="CP619" s="304">
        <f t="shared" si="1947"/>
        <v>-350</v>
      </c>
      <c r="CQ619" s="1">
        <f t="shared" si="1948"/>
        <v>0</v>
      </c>
      <c r="CR619" s="1">
        <f t="shared" si="1949"/>
        <v>0</v>
      </c>
      <c r="CS619" s="1">
        <f t="shared" si="1950"/>
        <v>0</v>
      </c>
      <c r="CT619" s="1">
        <f t="shared" si="1951"/>
        <v>1.8999999999999996E-2</v>
      </c>
      <c r="CU619" s="1">
        <f t="shared" si="1952"/>
        <v>3.9E-2</v>
      </c>
      <c r="CV619" s="304">
        <f t="shared" si="2013"/>
        <v>1839.3275155115825</v>
      </c>
      <c r="CW619" s="20" t="s">
        <v>122</v>
      </c>
      <c r="CX619" s="20" t="s">
        <v>122</v>
      </c>
      <c r="CY619" s="20" t="s">
        <v>122</v>
      </c>
      <c r="CZ619" s="20" t="s">
        <v>122</v>
      </c>
      <c r="DA619" s="20" t="s">
        <v>122</v>
      </c>
      <c r="DB619" s="503">
        <f t="shared" si="2014"/>
        <v>0</v>
      </c>
      <c r="DC619" s="127">
        <v>0</v>
      </c>
      <c r="DD619" s="127">
        <v>0</v>
      </c>
      <c r="DE619" s="127">
        <v>0</v>
      </c>
      <c r="DF619" s="127">
        <v>0</v>
      </c>
      <c r="DG619" s="127">
        <v>0</v>
      </c>
      <c r="DH619" s="127">
        <v>0</v>
      </c>
      <c r="DI619" s="127">
        <v>0</v>
      </c>
      <c r="DJ619" s="127">
        <v>0</v>
      </c>
      <c r="DK619" s="127">
        <v>0</v>
      </c>
      <c r="DL619" s="127">
        <v>0</v>
      </c>
      <c r="DM619" s="304">
        <f>INDEX(Input!$1:$1048576,DM$93,$C619*2+6)</f>
        <v>20731.578947368424</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v>4.9123156148984264E-2</v>
      </c>
      <c r="DZ619" s="7">
        <v>0</v>
      </c>
      <c r="EA619" s="7">
        <v>0.77251515912424507</v>
      </c>
      <c r="EB619" s="7">
        <v>0</v>
      </c>
      <c r="EC619" s="7">
        <v>0</v>
      </c>
      <c r="ED619" s="7">
        <v>0</v>
      </c>
      <c r="EE619" s="7">
        <v>0</v>
      </c>
      <c r="EF619" s="7">
        <v>0</v>
      </c>
      <c r="EG619" s="7">
        <v>0</v>
      </c>
      <c r="EH619" s="7">
        <v>2.9710791732197171E-2</v>
      </c>
      <c r="EI619" s="7">
        <v>1.9431072714840888E-2</v>
      </c>
      <c r="EJ619" s="7">
        <v>0.26146241018495242</v>
      </c>
      <c r="EK619" s="7">
        <v>0.68939572536800886</v>
      </c>
      <c r="EL619" s="7">
        <v>0</v>
      </c>
      <c r="EM619" s="7">
        <v>2.5566585437676682E-2</v>
      </c>
      <c r="EN619" s="7">
        <v>3.6868848564913875E-2</v>
      </c>
      <c r="EO619" s="7">
        <v>0.38139873481152975</v>
      </c>
      <c r="EP619" s="7">
        <v>0.4830909837657863</v>
      </c>
      <c r="EQ619" s="7">
        <v>7.4831928393527938E-2</v>
      </c>
      <c r="ER619" s="7">
        <v>2.3809504464242293E-2</v>
      </c>
      <c r="ES619" s="7">
        <v>0.15279509928909391</v>
      </c>
      <c r="ET619" s="7">
        <v>0.17836168472677064</v>
      </c>
      <c r="EU619" s="6">
        <v>576</v>
      </c>
      <c r="EV619" s="6">
        <v>0</v>
      </c>
      <c r="EW619" s="6">
        <v>576</v>
      </c>
      <c r="EX619" s="6">
        <v>0</v>
      </c>
      <c r="EY619" s="6">
        <v>1210.2727767267961</v>
      </c>
      <c r="EZ619" s="6">
        <v>-1641.2676731795959</v>
      </c>
      <c r="FA619" s="6">
        <v>0</v>
      </c>
      <c r="FB619" s="6">
        <v>0</v>
      </c>
      <c r="FC619" s="6">
        <v>0</v>
      </c>
      <c r="FD619" s="6">
        <v>0</v>
      </c>
      <c r="FE619" s="6">
        <v>0</v>
      </c>
      <c r="FF619" s="6">
        <v>0</v>
      </c>
      <c r="FG619" s="6">
        <v>0</v>
      </c>
      <c r="FH619" s="6">
        <v>1158.606763916476</v>
      </c>
      <c r="FI619" s="6">
        <v>1531.4299904380616</v>
      </c>
      <c r="FJ619" s="6">
        <v>1709.9775738488454</v>
      </c>
      <c r="FK619" s="6">
        <v>1266.3227157028193</v>
      </c>
      <c r="FL619" s="6">
        <v>0</v>
      </c>
      <c r="FM619" s="6">
        <v>1384.2727767267961</v>
      </c>
      <c r="FN619" s="6">
        <v>0</v>
      </c>
      <c r="FO619" s="6">
        <v>0</v>
      </c>
      <c r="FP619" s="6">
        <v>0</v>
      </c>
      <c r="FQ619" s="6">
        <v>0</v>
      </c>
      <c r="FR619" s="6">
        <v>0</v>
      </c>
      <c r="FS619" s="6">
        <v>0</v>
      </c>
      <c r="FT619" s="7">
        <v>0.82163831527322928</v>
      </c>
      <c r="FU619" s="7">
        <v>2.5566585437676682E-2</v>
      </c>
      <c r="FV619" s="7">
        <v>0.15279509928909391</v>
      </c>
      <c r="FW619" s="6">
        <v>576</v>
      </c>
      <c r="FX619" s="6">
        <v>1210.2727767267961</v>
      </c>
      <c r="FY619" s="6">
        <v>-1641.2676731795959</v>
      </c>
      <c r="FZ619" s="6">
        <v>1676.0854837363124</v>
      </c>
      <c r="GA619" s="6">
        <v>253.42855486300337</v>
      </c>
      <c r="GB619" s="6">
        <v>19441.571445136997</v>
      </c>
      <c r="GC619" s="7">
        <v>6.4493561548621597E-2</v>
      </c>
      <c r="GD619" s="7">
        <v>5.1194571469296637E-2</v>
      </c>
      <c r="GE619" s="7"/>
      <c r="GF619" s="7"/>
      <c r="GG619" s="7">
        <v>-0.20620647642941647</v>
      </c>
      <c r="GH619" s="42">
        <v>2.8546844083441147</v>
      </c>
      <c r="GI619" s="6">
        <v>7152.6150086904026</v>
      </c>
      <c r="GJ619" s="14">
        <v>0.51596255589662332</v>
      </c>
      <c r="GK619" s="14">
        <v>0.51419567426615931</v>
      </c>
      <c r="GL619" s="14">
        <v>0.48403744410337651</v>
      </c>
      <c r="GM619" s="14">
        <v>0.48580432573384025</v>
      </c>
      <c r="GO619" s="5">
        <v>338.16872463277008</v>
      </c>
      <c r="GP619" s="5">
        <v>327.17974348197174</v>
      </c>
      <c r="GQ619" s="5">
        <v>527.27910984145694</v>
      </c>
      <c r="GR619" s="5">
        <v>404.20319246551543</v>
      </c>
      <c r="GS619" s="5">
        <v>334.50205195691484</v>
      </c>
      <c r="GT619" s="5">
        <v>289.18266033348181</v>
      </c>
      <c r="GU619" s="5">
        <v>254.29573314828914</v>
      </c>
      <c r="GV619" s="39" t="s">
        <v>392</v>
      </c>
      <c r="GW619" s="5">
        <v>497.20833333333331</v>
      </c>
      <c r="GX619" s="5">
        <v>372.90625</v>
      </c>
      <c r="GY619" s="5">
        <v>305.19949217401012</v>
      </c>
      <c r="GZ619" s="5">
        <v>271.15916152266448</v>
      </c>
      <c r="HA619" s="5">
        <v>256.79199320119614</v>
      </c>
      <c r="HB619" s="39">
        <v>288.75258335788675</v>
      </c>
      <c r="HC619" s="5">
        <v>354.9210857016073</v>
      </c>
      <c r="HD619" s="5">
        <v>285.33567942206611</v>
      </c>
      <c r="HE619" s="5">
        <v>282.96937703897885</v>
      </c>
      <c r="HF619" s="5">
        <v>255.65748928438342</v>
      </c>
      <c r="HG619" s="5">
        <v>239.03256461313526</v>
      </c>
      <c r="HH619" s="39">
        <v>283.43474346439746</v>
      </c>
      <c r="HI619" s="16"/>
      <c r="HJ619" s="19" t="str">
        <f t="shared" ref="HJ619:HK619" si="2026">HJ618</f>
        <v>On</v>
      </c>
      <c r="HK619" s="1" t="str">
        <f t="shared" si="2026"/>
        <v>On</v>
      </c>
      <c r="HL619" s="16"/>
      <c r="HM619" s="639">
        <f t="shared" si="2022"/>
        <v>4.9686942767030826E-2</v>
      </c>
      <c r="HN619" s="639">
        <f t="shared" si="2022"/>
        <v>2.6112822013589915E-3</v>
      </c>
      <c r="HO619" s="639">
        <f t="shared" si="2022"/>
        <v>3.166115353075552E-2</v>
      </c>
      <c r="HP619" s="644">
        <f t="shared" si="2020"/>
        <v>-10.930064171502272</v>
      </c>
      <c r="HQ619" s="644">
        <f t="shared" si="2020"/>
        <v>-1.1439802063282989</v>
      </c>
      <c r="HR619" s="644">
        <f t="shared" si="2020"/>
        <v>47.214964015993935</v>
      </c>
      <c r="HS619" s="644">
        <f t="shared" si="2020"/>
        <v>2.3904024572260525</v>
      </c>
      <c r="HT619" s="644">
        <f t="shared" si="2020"/>
        <v>2.3593413773869965</v>
      </c>
      <c r="HU619" s="644">
        <f t="shared" si="2020"/>
        <v>21.146740096168564</v>
      </c>
      <c r="HV619" s="644">
        <f t="shared" si="2020"/>
        <v>0</v>
      </c>
      <c r="HW619" s="644">
        <f t="shared" si="2020"/>
        <v>0</v>
      </c>
      <c r="HX619" s="644">
        <f t="shared" si="2020"/>
        <v>0</v>
      </c>
      <c r="HY619" s="644">
        <f t="shared" si="2020"/>
        <v>2388</v>
      </c>
      <c r="HZ619" s="644">
        <f t="shared" si="2020"/>
        <v>2518</v>
      </c>
      <c r="IA619" s="644">
        <f t="shared" si="2020"/>
        <v>2200</v>
      </c>
      <c r="IB619" s="644">
        <f t="shared" si="2020"/>
        <v>2379.4603382857235</v>
      </c>
      <c r="IC619" s="644">
        <f t="shared" si="2020"/>
        <v>2519.2153611710592</v>
      </c>
      <c r="ID619" s="644">
        <f t="shared" si="2020"/>
        <v>2268.3617041121624</v>
      </c>
      <c r="IE619" s="20">
        <f t="shared" si="1977"/>
        <v>0.33200054699042481</v>
      </c>
      <c r="IF619" s="20">
        <f t="shared" si="1956"/>
        <v>0.35150023912482642</v>
      </c>
      <c r="IG619" s="20">
        <f t="shared" si="1957"/>
        <v>0.31649921388474883</v>
      </c>
      <c r="IH619" s="21"/>
      <c r="II619" s="19"/>
      <c r="IJ619" s="19"/>
      <c r="IK619" s="19"/>
      <c r="IL619" s="19">
        <f t="shared" si="1978"/>
        <v>19.938977680357311</v>
      </c>
      <c r="IM619" s="19">
        <f t="shared" si="1978"/>
        <v>7.1646071021405078</v>
      </c>
      <c r="IN619" s="19">
        <f t="shared" si="1978"/>
        <v>94.396497325409655</v>
      </c>
      <c r="IO619" s="39"/>
      <c r="IP619" s="39"/>
      <c r="IQ619" s="39"/>
      <c r="IR619" s="39"/>
      <c r="IS619" s="39"/>
      <c r="IT619" s="39"/>
      <c r="IU619" s="39"/>
      <c r="IV619" s="39"/>
      <c r="IW619" s="39"/>
      <c r="IX619" s="19">
        <f t="shared" si="2023"/>
        <v>1600</v>
      </c>
      <c r="IY619" s="19">
        <f t="shared" si="2023"/>
        <v>2503.549291639752</v>
      </c>
      <c r="IZ619" s="19">
        <f t="shared" si="2023"/>
        <v>5888.3563810918577</v>
      </c>
      <c r="JA619" s="19">
        <f t="shared" si="2024"/>
        <v>1619.9389776803573</v>
      </c>
      <c r="JB619" s="19">
        <f t="shared" si="2024"/>
        <v>2510.7138987418925</v>
      </c>
      <c r="JC619" s="19">
        <f t="shared" si="2024"/>
        <v>5982.7528784172673</v>
      </c>
      <c r="JD619" s="19">
        <f t="shared" si="1981"/>
        <v>3313.8737453485719</v>
      </c>
      <c r="JE619" s="21"/>
      <c r="JF619" s="1">
        <f t="shared" si="1982"/>
        <v>6.8844376252282569E-2</v>
      </c>
      <c r="JG619" s="15">
        <f t="shared" si="1983"/>
        <v>7106</v>
      </c>
      <c r="JH619" s="1">
        <f t="shared" si="1984"/>
        <v>4.9452462198372312E-3</v>
      </c>
      <c r="JI619" s="1">
        <f t="shared" si="1985"/>
        <v>3.6443124023053212E-3</v>
      </c>
      <c r="JJ619" s="1">
        <f t="shared" si="1962"/>
        <v>0</v>
      </c>
      <c r="JK619" s="1">
        <f t="shared" si="1963"/>
        <v>8.5895586221425534E-3</v>
      </c>
      <c r="JL619" s="15">
        <f t="shared" si="2025"/>
        <v>61.037403568944981</v>
      </c>
      <c r="JM619" s="15">
        <f t="shared" si="2025"/>
        <v>7167.0374035689456</v>
      </c>
      <c r="JN619" s="21"/>
      <c r="JO619" s="19">
        <f>INDEX([1]Input!$1:$1048576,JO$93,$C619*2+6)</f>
        <v>5995.5</v>
      </c>
      <c r="JP619" s="19">
        <f>INDEX([1]Input!$1:$1048576,JP$93,$C619*2+6)</f>
        <v>1716.3055838443925</v>
      </c>
      <c r="JQ619" s="39">
        <f t="shared" si="1995"/>
        <v>2681.6262546514281</v>
      </c>
      <c r="JR619" s="39">
        <f t="shared" si="1996"/>
        <v>1597.5681615041794</v>
      </c>
      <c r="JS619" s="39">
        <f t="shared" si="1997"/>
        <v>23.750657083618325</v>
      </c>
      <c r="JT619" s="39">
        <f t="shared" si="1987"/>
        <v>11.554589604820071</v>
      </c>
      <c r="JU619" s="385">
        <f>(JQ619*JM619-INDEX([1]Input!$1:$1048576,[1]Input!A$18,$C619*2+6)*JL619*INDEX([1]Input!$1:$1048576,[1]Input!A$19,$C619*2+6))/1000000</f>
        <v>19.21931566947929</v>
      </c>
      <c r="JV619" s="39">
        <f t="shared" si="1966"/>
        <v>-11.18863985172246</v>
      </c>
      <c r="JW619" s="1">
        <f t="shared" si="2000"/>
        <v>-0.3679510726698233</v>
      </c>
      <c r="JX619" s="19">
        <f t="shared" si="2001"/>
        <v>189303.425919298</v>
      </c>
      <c r="JZ619" s="341"/>
      <c r="KA619" s="60"/>
      <c r="KB619" s="469">
        <f t="shared" si="1988"/>
        <v>0</v>
      </c>
      <c r="KI619" s="472"/>
      <c r="KJ619" s="472"/>
      <c r="KK619" s="472"/>
      <c r="KN619" s="888">
        <f t="shared" si="1989"/>
        <v>6002</v>
      </c>
      <c r="KO619" s="541">
        <f t="shared" si="1967"/>
        <v>-6.2167878946889354E-2</v>
      </c>
      <c r="KP619" s="546">
        <f t="shared" si="1968"/>
        <v>-316.03052260789644</v>
      </c>
      <c r="KQ619" s="546">
        <f t="shared" si="1969"/>
        <v>-283.57474494135477</v>
      </c>
      <c r="KR619" s="472">
        <f t="shared" si="1970"/>
        <v>3.1666265186626208</v>
      </c>
      <c r="KS619" s="472">
        <f t="shared" si="1971"/>
        <v>3.5290541610252841</v>
      </c>
      <c r="KT619" s="473">
        <f t="shared" si="1998"/>
        <v>2521.945896759994</v>
      </c>
      <c r="KU619" s="663">
        <f t="shared" si="1990"/>
        <v>10.946601015629767</v>
      </c>
      <c r="KV619" s="117"/>
    </row>
    <row r="620" spans="1:308" s="26" customFormat="1" ht="15">
      <c r="A620" s="561">
        <f t="shared" si="1972"/>
        <v>6020</v>
      </c>
      <c r="B620" s="561">
        <f t="shared" si="1991"/>
        <v>20</v>
      </c>
      <c r="C620" s="561">
        <f t="shared" si="1992"/>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0.9/1.9/2.9/3.9, </v>
      </c>
      <c r="E620" s="475">
        <f>INDEX(Input!$1:$1048576,E$93,$C620*2+MIN($B620,2)+5)</f>
        <v>1250.0000000000002</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IFERROR(MAX(0,INDEX(Input!$1:$1048576,U$93,$C620*2+MIN($B620,2)+5)+0.9%,),"Market")</f>
        <v>9.0000000000000011E-3</v>
      </c>
      <c r="V620" s="478">
        <f>IFERROR(MAX(0,INDEX(Input!$1:$1048576,V$93,$C620*2+MIN($B620,2)+5)+1%,),"Market")</f>
        <v>2.8999999999999998E-2</v>
      </c>
      <c r="W620" s="478">
        <f>IFERROR(MAX(0,INDEX(Input!$1:$1048576,W$93,$C620*2+MIN($B620,2)+5)+0%,),"Market")</f>
        <v>3.9E-2</v>
      </c>
      <c r="X620" s="476" t="str">
        <f>INDEX(Input!$1:$1048576,X$93,$C620*2+MIN($B620,2)+5)</f>
        <v>Y</v>
      </c>
      <c r="Y620" s="475">
        <f>INDEX(Input!$1:$1048576,Y$93,$C620*2+MIN($B620,2)+5)</f>
        <v>2339.3275155115825</v>
      </c>
      <c r="Z620" s="477">
        <f>INDEX(Input!$1:$1048576,Z$93,$C620*2+MIN($B620,2)+5)</f>
        <v>0</v>
      </c>
      <c r="AA620" s="475">
        <f>INDEX(Input!$1:$1048576,AA$93,$C620*2+MIN($B620,2)+5)</f>
        <v>0</v>
      </c>
      <c r="AB620" s="476">
        <f>INDEX(Input!$1:$1048576,AB$93,$C620*2+MIN($B620,2)+5)</f>
        <v>1</v>
      </c>
      <c r="AC620" s="475">
        <f>INDEX(Input!$1:$1048576,AC$93,$C620*2+MIN($B620,2)+5)</f>
        <v>0</v>
      </c>
      <c r="AD620" s="476">
        <f>INDEX(Input!$1:$1048576,AD$93,$C620*2+MIN($B620,2)+5)</f>
        <v>0.35</v>
      </c>
      <c r="AE620" s="475">
        <f>INDEX(Input!$1:$1048576,AE$93,$C620*2+MIN($B620,2)+5)</f>
        <v>0</v>
      </c>
      <c r="AF620" s="476">
        <f>INDEX(Input!$1:$1048576,AF$93,$C620*2+MIN($B620,2)+5)</f>
        <v>1</v>
      </c>
      <c r="AG620" s="475">
        <f>INDEX(Input!$1:$1048576,AG$93,$C620*2+MIN($B620,2)+5)</f>
        <v>0</v>
      </c>
      <c r="AH620" s="476">
        <f>INDEX(Input!$1:$1048576,AH$93,$C620*2+MIN($B620,2)+5)</f>
        <v>1</v>
      </c>
      <c r="AI620" s="475">
        <f>INDEX(Input!$1:$1048576,AI$93,$C620*2+MIN($B620,2)+5)</f>
        <v>0</v>
      </c>
      <c r="AJ620" s="476">
        <f>INDEX(Input!$1:$1048576,AJ$93,$C620*2+MIN($B620,2)+5)</f>
        <v>0.35</v>
      </c>
      <c r="AK620" s="150">
        <f>ROUND(INDEX(Input!$1:$1048576,AK$93,$C619*2+MIN($B620,1)+5)+(Y620-VLOOKUP($C620*1000+1,$A:$HH,Y$92,FALSE)),0)</f>
        <v>5093</v>
      </c>
      <c r="AL620" s="150">
        <f>ROUND(INDEX(Input!$1:$1048576,AL$93,$C619*2+MIN($B620,1)+5)-(Y620-VLOOKUP($C620*1000+1,$A:$HH,Y$92,FALSE))/36,0)</f>
        <v>5217</v>
      </c>
      <c r="AM620" s="32" t="str">
        <f t="shared" si="1973"/>
        <v>std/std/std/std</v>
      </c>
      <c r="AN620" s="32" t="str">
        <f t="shared" si="1974"/>
        <v>$0 + 0/0/0.9/2.9/3.9</v>
      </c>
      <c r="AO620" s="32" t="str">
        <f t="shared" si="1975"/>
        <v>0/0/0.9/2.9/3.9</v>
      </c>
      <c r="AP620" s="32" t="str">
        <f t="shared" si="1939"/>
        <v>0.9/1.9/2.9/3.9</v>
      </c>
      <c r="AQ620" s="536">
        <f t="shared" si="1940"/>
        <v>0.35299589484621385</v>
      </c>
      <c r="AR620" s="32"/>
      <c r="AS620" s="302"/>
      <c r="AT620" s="3">
        <f t="shared" si="1993"/>
        <v>20</v>
      </c>
      <c r="AU620" s="41" t="s">
        <v>121</v>
      </c>
      <c r="AV620" s="41" t="s">
        <v>116</v>
      </c>
      <c r="AW620" s="41" t="str">
        <f>INDEX(Input!$1:$1048576,AW$93,$C620*2+6)</f>
        <v>Kia</v>
      </c>
      <c r="AX620" s="41" t="str">
        <f>INDEX(Input!$1:$1048576,AX$93,$C620*2+6)</f>
        <v>National</v>
      </c>
      <c r="AY620" s="41" t="str">
        <f>IF(LEN(D620)=0,"",INDEX(Input!$1:$1048576,AY$93,$C620*2+6))</f>
        <v>Compact Conventional/Sporty Car (43)</v>
      </c>
      <c r="AZ620" s="41" t="str">
        <f>INDEX(Input!$1:$1048576,AZ$93,$C620*2+6)</f>
        <v>Kia Forte</v>
      </c>
      <c r="BA620" s="3">
        <f>INDEX(Input!$1:$1048576,BA$93,$C620*2+6)</f>
        <v>2020</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19695</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941"/>
        <v>1465.0000000000002</v>
      </c>
      <c r="CJ620" s="16" t="str">
        <f>INDEX(Input!$1:$1048576,CJ$93,$C620*2+6)</f>
        <v>N</v>
      </c>
      <c r="CK620" s="1" t="str">
        <f t="shared" si="1942"/>
        <v>Market</v>
      </c>
      <c r="CL620" s="1" t="str">
        <f t="shared" si="1943"/>
        <v>Market</v>
      </c>
      <c r="CM620" s="1" t="str">
        <f t="shared" si="1944"/>
        <v>Market</v>
      </c>
      <c r="CN620" s="1" t="str">
        <f t="shared" si="1945"/>
        <v>Market</v>
      </c>
      <c r="CO620" s="1" t="str">
        <f t="shared" si="1946"/>
        <v>Market</v>
      </c>
      <c r="CP620" s="304">
        <f t="shared" si="1947"/>
        <v>0</v>
      </c>
      <c r="CQ620" s="1">
        <f t="shared" si="1948"/>
        <v>0</v>
      </c>
      <c r="CR620" s="1">
        <f t="shared" si="1949"/>
        <v>0</v>
      </c>
      <c r="CS620" s="1">
        <f t="shared" si="1950"/>
        <v>9.0000000000000011E-3</v>
      </c>
      <c r="CT620" s="1">
        <f t="shared" si="1951"/>
        <v>2.8999999999999998E-2</v>
      </c>
      <c r="CU620" s="1">
        <f t="shared" si="1952"/>
        <v>3.9E-2</v>
      </c>
      <c r="CV620" s="304">
        <f t="shared" si="2013"/>
        <v>2339.3275155115825</v>
      </c>
      <c r="CW620" s="20" t="s">
        <v>122</v>
      </c>
      <c r="CX620" s="20" t="s">
        <v>122</v>
      </c>
      <c r="CY620" s="20" t="s">
        <v>122</v>
      </c>
      <c r="CZ620" s="20" t="s">
        <v>122</v>
      </c>
      <c r="DA620" s="20" t="s">
        <v>122</v>
      </c>
      <c r="DB620" s="503">
        <f t="shared" si="2014"/>
        <v>0</v>
      </c>
      <c r="DC620" s="127">
        <v>0</v>
      </c>
      <c r="DD620" s="127">
        <v>0</v>
      </c>
      <c r="DE620" s="127">
        <v>0</v>
      </c>
      <c r="DF620" s="127">
        <v>0</v>
      </c>
      <c r="DG620" s="127">
        <v>0</v>
      </c>
      <c r="DH620" s="127">
        <v>0</v>
      </c>
      <c r="DI620" s="127">
        <v>0</v>
      </c>
      <c r="DJ620" s="127">
        <v>0</v>
      </c>
      <c r="DK620" s="127">
        <v>0</v>
      </c>
      <c r="DL620" s="127">
        <v>0</v>
      </c>
      <c r="DM620" s="304">
        <f>INDEX(Input!$1:$1048576,DM$93,$C620*2+6)</f>
        <v>20731.578947368424</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v>5.0285283446808077E-2</v>
      </c>
      <c r="DZ620" s="7">
        <v>0</v>
      </c>
      <c r="EA620" s="7">
        <v>0.79088405744516355</v>
      </c>
      <c r="EB620" s="7">
        <v>0</v>
      </c>
      <c r="EC620" s="7">
        <v>0</v>
      </c>
      <c r="ED620" s="7">
        <v>0</v>
      </c>
      <c r="EE620" s="7">
        <v>0</v>
      </c>
      <c r="EF620" s="7">
        <v>0</v>
      </c>
      <c r="EG620" s="7">
        <v>0</v>
      </c>
      <c r="EH620" s="7">
        <v>7.414468425851517E-2</v>
      </c>
      <c r="EI620" s="7">
        <v>4.8469145313124976E-2</v>
      </c>
      <c r="EJ620" s="7">
        <v>0.55384098813047933</v>
      </c>
      <c r="EK620" s="7">
        <v>0.32354518229788076</v>
      </c>
      <c r="EL620" s="7">
        <v>0</v>
      </c>
      <c r="EM620" s="7">
        <v>1.0501584903919255E-2</v>
      </c>
      <c r="EN620" s="7">
        <v>3.6747941775061833E-2</v>
      </c>
      <c r="EO620" s="7">
        <v>0.38211705253429168</v>
      </c>
      <c r="EP620" s="7">
        <v>0.48268408075478553</v>
      </c>
      <c r="EQ620" s="7">
        <v>7.4715211089012579E-2</v>
      </c>
      <c r="ER620" s="7">
        <v>2.3735713846848836E-2</v>
      </c>
      <c r="ES620" s="7">
        <v>0.14832907420410896</v>
      </c>
      <c r="ET620" s="7">
        <v>0.15883065910802838</v>
      </c>
      <c r="EU620" s="6">
        <v>750</v>
      </c>
      <c r="EV620" s="6">
        <v>0</v>
      </c>
      <c r="EW620" s="6">
        <v>750</v>
      </c>
      <c r="EX620" s="6">
        <v>0</v>
      </c>
      <c r="EY620" s="6">
        <v>994.43234567103116</v>
      </c>
      <c r="EZ620" s="6">
        <v>-1554.2676731795959</v>
      </c>
      <c r="FA620" s="6">
        <v>0</v>
      </c>
      <c r="FB620" s="6">
        <v>0</v>
      </c>
      <c r="FC620" s="6">
        <v>0</v>
      </c>
      <c r="FD620" s="6">
        <v>0</v>
      </c>
      <c r="FE620" s="6">
        <v>0</v>
      </c>
      <c r="FF620" s="6">
        <v>0</v>
      </c>
      <c r="FG620" s="6">
        <v>0</v>
      </c>
      <c r="FH620" s="6">
        <v>1158.6156979685211</v>
      </c>
      <c r="FI620" s="6">
        <v>1531.4299904380623</v>
      </c>
      <c r="FJ620" s="6">
        <v>1343.9597233295515</v>
      </c>
      <c r="FK620" s="6">
        <v>278.04483444771961</v>
      </c>
      <c r="FL620" s="6">
        <v>0</v>
      </c>
      <c r="FM620" s="6">
        <v>994.43234567103116</v>
      </c>
      <c r="FN620" s="6">
        <v>0</v>
      </c>
      <c r="FO620" s="6">
        <v>0</v>
      </c>
      <c r="FP620" s="6">
        <v>0</v>
      </c>
      <c r="FQ620" s="6">
        <v>0</v>
      </c>
      <c r="FR620" s="6">
        <v>0</v>
      </c>
      <c r="FS620" s="6">
        <v>0</v>
      </c>
      <c r="FT620" s="7">
        <v>0.8411693408919716</v>
      </c>
      <c r="FU620" s="7">
        <v>1.0501584903919255E-2</v>
      </c>
      <c r="FV620" s="7">
        <v>0.14832907420410896</v>
      </c>
      <c r="FW620" s="6">
        <v>750.00000000000011</v>
      </c>
      <c r="FX620" s="6">
        <v>994.43234567103104</v>
      </c>
      <c r="FY620" s="6">
        <v>-1554.2676731795959</v>
      </c>
      <c r="FZ620" s="6">
        <v>1676.0854837363124</v>
      </c>
      <c r="GA620" s="6">
        <v>410.77703635014257</v>
      </c>
      <c r="GB620" s="6">
        <v>19284.222963649856</v>
      </c>
      <c r="GC620" s="7">
        <v>6.4493561548621597E-2</v>
      </c>
      <c r="GD620" s="7">
        <v>5.2579879570741679E-2</v>
      </c>
      <c r="GE620" s="7"/>
      <c r="GF620" s="7"/>
      <c r="GG620" s="7">
        <v>-0.18472668731278255</v>
      </c>
      <c r="GH620" s="42">
        <v>2.875340091296239</v>
      </c>
      <c r="GI620" s="6">
        <v>7260.4015588953171</v>
      </c>
      <c r="GJ620" s="14">
        <v>0.51596255589662343</v>
      </c>
      <c r="GK620" s="14">
        <v>0.51419567426615964</v>
      </c>
      <c r="GL620" s="14">
        <v>0.48403744410337685</v>
      </c>
      <c r="GM620" s="14">
        <v>0.4858043257338403</v>
      </c>
      <c r="GO620" s="5">
        <v>338.16872463277008</v>
      </c>
      <c r="GP620" s="5">
        <v>323.86015542600148</v>
      </c>
      <c r="GQ620" s="5">
        <v>527.27910984145694</v>
      </c>
      <c r="GR620" s="5">
        <v>404.20319246551543</v>
      </c>
      <c r="GS620" s="5">
        <v>334.50205195691484</v>
      </c>
      <c r="GT620" s="5">
        <v>289.18266033348181</v>
      </c>
      <c r="GU620" s="5">
        <v>254.29573314828914</v>
      </c>
      <c r="GV620" s="39" t="s">
        <v>392</v>
      </c>
      <c r="GW620" s="5">
        <v>492.375</v>
      </c>
      <c r="GX620" s="5">
        <v>369.28125</v>
      </c>
      <c r="GY620" s="5">
        <v>309.13987400981017</v>
      </c>
      <c r="GZ620" s="5">
        <v>284.64649802959417</v>
      </c>
      <c r="HA620" s="5">
        <v>254.29573314828914</v>
      </c>
      <c r="HB620" s="39">
        <v>317.71607186701237</v>
      </c>
      <c r="HC620" s="5">
        <v>351.11483570160732</v>
      </c>
      <c r="HD620" s="5">
        <v>282.73776275539944</v>
      </c>
      <c r="HE620" s="5">
        <v>280.55735780820959</v>
      </c>
      <c r="HF620" s="5">
        <v>253.64561428438338</v>
      </c>
      <c r="HG620" s="5">
        <v>237.36506461313525</v>
      </c>
      <c r="HH620" s="39">
        <v>280.94745329955936</v>
      </c>
      <c r="HI620" s="16"/>
      <c r="HJ620" s="19" t="str">
        <f t="shared" ref="HJ620:HK620" si="2027">HJ619</f>
        <v>On</v>
      </c>
      <c r="HK620" s="1" t="str">
        <f t="shared" si="2027"/>
        <v>On</v>
      </c>
      <c r="HL620" s="16"/>
      <c r="HM620" s="639">
        <f t="shared" si="2022"/>
        <v>4.9686942767030826E-2</v>
      </c>
      <c r="HN620" s="639">
        <f t="shared" si="2022"/>
        <v>2.6112822013589915E-3</v>
      </c>
      <c r="HO620" s="639">
        <f t="shared" si="2022"/>
        <v>3.166115353075552E-2</v>
      </c>
      <c r="HP620" s="644">
        <f t="shared" si="2020"/>
        <v>289.45069552006692</v>
      </c>
      <c r="HQ620" s="644">
        <f t="shared" si="2020"/>
        <v>-75.721009873328597</v>
      </c>
      <c r="HR620" s="644">
        <f t="shared" si="2020"/>
        <v>82.399664428254312</v>
      </c>
      <c r="HS620" s="644">
        <f t="shared" si="2020"/>
        <v>-64.111627032723604</v>
      </c>
      <c r="HT620" s="644">
        <f t="shared" si="2020"/>
        <v>-19.644426849216845</v>
      </c>
      <c r="HU620" s="644">
        <f t="shared" si="2020"/>
        <v>84.939622292501468</v>
      </c>
      <c r="HV620" s="644">
        <f t="shared" si="2020"/>
        <v>0</v>
      </c>
      <c r="HW620" s="644">
        <f t="shared" si="2020"/>
        <v>0</v>
      </c>
      <c r="HX620" s="644">
        <f t="shared" si="2020"/>
        <v>0</v>
      </c>
      <c r="HY620" s="644">
        <f t="shared" si="2020"/>
        <v>2388</v>
      </c>
      <c r="HZ620" s="644">
        <f t="shared" si="2020"/>
        <v>2518</v>
      </c>
      <c r="IA620" s="644">
        <f t="shared" si="2020"/>
        <v>2200</v>
      </c>
      <c r="IB620" s="644">
        <f t="shared" si="2020"/>
        <v>2613.339068487343</v>
      </c>
      <c r="IC620" s="644">
        <f t="shared" si="2020"/>
        <v>2422.6345632774546</v>
      </c>
      <c r="ID620" s="644">
        <f t="shared" si="2020"/>
        <v>2367.3392867207558</v>
      </c>
      <c r="IE620" s="20">
        <f t="shared" si="1977"/>
        <v>0.35299589484621385</v>
      </c>
      <c r="IF620" s="20">
        <f t="shared" si="1956"/>
        <v>0.32723654800924407</v>
      </c>
      <c r="IG620" s="20">
        <f t="shared" si="1957"/>
        <v>0.31976755714454208</v>
      </c>
      <c r="IH620" s="21"/>
      <c r="II620" s="19"/>
      <c r="IJ620" s="19"/>
      <c r="IK620" s="19"/>
      <c r="IL620" s="19">
        <f t="shared" si="1978"/>
        <v>400</v>
      </c>
      <c r="IM620" s="19">
        <f t="shared" si="1978"/>
        <v>-9.7022899901453457</v>
      </c>
      <c r="IN620" s="19">
        <f t="shared" si="1978"/>
        <v>282.88256404666208</v>
      </c>
      <c r="IO620" s="39"/>
      <c r="IP620" s="39"/>
      <c r="IQ620" s="39"/>
      <c r="IR620" s="39"/>
      <c r="IS620" s="39"/>
      <c r="IT620" s="39"/>
      <c r="IU620" s="39"/>
      <c r="IV620" s="39"/>
      <c r="IW620" s="39"/>
      <c r="IX620" s="19">
        <f t="shared" si="2023"/>
        <v>1600</v>
      </c>
      <c r="IY620" s="19">
        <f t="shared" si="2023"/>
        <v>2503.549291639752</v>
      </c>
      <c r="IZ620" s="19">
        <f t="shared" si="2023"/>
        <v>5888.3563810918577</v>
      </c>
      <c r="JA620" s="19">
        <f t="shared" si="2024"/>
        <v>2000</v>
      </c>
      <c r="JB620" s="19">
        <f t="shared" si="2024"/>
        <v>2493.8470016496067</v>
      </c>
      <c r="JC620" s="19">
        <f t="shared" si="2024"/>
        <v>6171.2389451385197</v>
      </c>
      <c r="JD620" s="19">
        <f t="shared" si="1981"/>
        <v>3495.4316758176537</v>
      </c>
      <c r="JE620" s="21"/>
      <c r="JF620" s="1">
        <f t="shared" si="1982"/>
        <v>6.8844376252282569E-2</v>
      </c>
      <c r="JG620" s="15">
        <f t="shared" si="1983"/>
        <v>7106</v>
      </c>
      <c r="JH620" s="1">
        <f t="shared" si="1984"/>
        <v>4.167314242541411E-2</v>
      </c>
      <c r="JI620" s="1">
        <f t="shared" si="1985"/>
        <v>1.6655902203222949E-4</v>
      </c>
      <c r="JJ620" s="1">
        <f t="shared" si="1962"/>
        <v>0</v>
      </c>
      <c r="JK620" s="1">
        <f t="shared" si="1963"/>
        <v>4.1839701447446337E-2</v>
      </c>
      <c r="JL620" s="15">
        <f t="shared" si="2025"/>
        <v>297.31291848555367</v>
      </c>
      <c r="JM620" s="15">
        <f t="shared" si="2025"/>
        <v>7403.3129184855543</v>
      </c>
      <c r="JN620" s="21"/>
      <c r="JO620" s="19">
        <f>INDEX([1]Input!$1:$1048576,JO$93,$C620*2+6)</f>
        <v>5995.5</v>
      </c>
      <c r="JP620" s="19">
        <f>INDEX([1]Input!$1:$1048576,JP$93,$C620*2+6)</f>
        <v>1716.3055838443925</v>
      </c>
      <c r="JQ620" s="39">
        <f t="shared" si="1995"/>
        <v>2500.0683241823463</v>
      </c>
      <c r="JR620" s="39">
        <f t="shared" si="1996"/>
        <v>1779.1260919732613</v>
      </c>
      <c r="JS620" s="39">
        <f t="shared" si="1997"/>
        <v>25.877774481264446</v>
      </c>
      <c r="JT620" s="39">
        <f t="shared" si="1987"/>
        <v>13.681707002466192</v>
      </c>
      <c r="JU620" s="385">
        <f>(JQ620*JM620-INDEX([1]Input!$1:$1048576,[1]Input!A$18,$C620*2+6)*JL620*INDEX([1]Input!$1:$1048576,[1]Input!A$19,$C620*2+6))/1000000</f>
        <v>18.508788121515696</v>
      </c>
      <c r="JV620" s="39">
        <f t="shared" si="1966"/>
        <v>-11.899167399686053</v>
      </c>
      <c r="JW620" s="1">
        <f t="shared" si="2000"/>
        <v>-0.39131757448768417</v>
      </c>
      <c r="JX620" s="19">
        <f t="shared" si="2001"/>
        <v>46017.869227337265</v>
      </c>
      <c r="JZ620" s="341"/>
      <c r="KA620" s="60"/>
      <c r="KB620" s="469">
        <f t="shared" si="1988"/>
        <v>0</v>
      </c>
      <c r="KI620" s="472"/>
      <c r="KJ620" s="472"/>
      <c r="KK620" s="472"/>
      <c r="KN620" s="888">
        <f t="shared" si="1989"/>
        <v>6002</v>
      </c>
      <c r="KO620" s="541">
        <f t="shared" si="1967"/>
        <v>-3.1250394520644154E-2</v>
      </c>
      <c r="KP620" s="546">
        <f t="shared" si="1968"/>
        <v>-126.09877934279071</v>
      </c>
      <c r="KQ620" s="546">
        <f t="shared" si="1969"/>
        <v>-102.01681447227293</v>
      </c>
      <c r="KR620" s="472">
        <f t="shared" si="1970"/>
        <v>3.9893711748573817</v>
      </c>
      <c r="KS620" s="472">
        <f t="shared" si="1971"/>
        <v>4.9310972715341501</v>
      </c>
      <c r="KT620" s="473">
        <f t="shared" si="1998"/>
        <v>2521.945896759994</v>
      </c>
      <c r="KU620" s="663">
        <f t="shared" si="1990"/>
        <v>10.905903772179865</v>
      </c>
      <c r="KV620" s="117"/>
    </row>
    <row r="621" spans="1:308" s="26" customFormat="1" ht="15">
      <c r="A621" s="561">
        <f t="shared" si="1972"/>
        <v>6021</v>
      </c>
      <c r="B621" s="561">
        <f t="shared" si="1991"/>
        <v>21</v>
      </c>
      <c r="C621" s="561">
        <f t="shared" si="1992"/>
        <v>6</v>
      </c>
      <c r="D621" s="561" t="str">
        <f t="shared" ref="D621:D684" si="2028">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0/0/0.9/3.9, </v>
      </c>
      <c r="E621" s="475">
        <f>INDEX(Input!$1:$1048576,E$93,$C621*2+MIN($B621,2)+5)
+INDEX(Scenarios!E$121:E$199,MATCH($B621,Scenarios!$B$121:$B$199,0))</f>
        <v>1250.0000000000002</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8.9999999999999959E-3</v>
      </c>
      <c r="W621" s="863">
        <f>IFERROR(MAX(0,INDEX(Input!$1:$1048576,W$93,$C621*2+MIN($B621,2)+5)-0%,),"Market")</f>
        <v>3.9E-2</v>
      </c>
      <c r="X621" s="476" t="str">
        <f>INDEX(Input!$1:$1048576,X$93,$C621*2+MIN($B621,2)+5)</f>
        <v>Y</v>
      </c>
      <c r="Y621" s="475">
        <f>INDEX(Input!$1:$1048576,Y$93,$C621*2+MIN($B621,2)+5)
++INDEX(Scenarios!Y$121:Y$199,MATCH($B621,Scenarios!$B$121:$B$199,0))</f>
        <v>2339.3275155115825</v>
      </c>
      <c r="Z621" s="477">
        <f>INDEX(Input!$1:$1048576,Z$93,$C621*2+MIN($B621,2)+5)
+INDEX(Scenarios!Z$121:Z$199,MATCH($B621,Scenarios!$B$121:$B$199,0))</f>
        <v>0</v>
      </c>
      <c r="AA621" s="475">
        <f>INDEX(Input!$1:$1048576,AA$93,$C621*2+MIN($B621,2)+5)</f>
        <v>0</v>
      </c>
      <c r="AB621" s="476">
        <f>INDEX(Input!$1:$1048576,AB$93,$C621*2+MIN($B621,2)+5)</f>
        <v>1</v>
      </c>
      <c r="AC621" s="475">
        <f>INDEX(Input!$1:$1048576,AC$93,$C621*2+MIN($B621,2)+5)
+INDEX(Scenarios!AC$121:AC$199,MATCH($B621,Scenarios!$B$121:$B$199,0))</f>
        <v>0</v>
      </c>
      <c r="AD621" s="476">
        <f>INDEX(Input!$1:$1048576,AD$93,$C621*2+MIN($B621,2)+5)</f>
        <v>0.35</v>
      </c>
      <c r="AE621" s="475">
        <f>INDEX(Input!$1:$1048576,AE$93,$C621*2+MIN($B621,2)+5)
+INDEX(Scenarios!AE$121:AE$199,MATCH($B621,Scenarios!$B$121:$B$199,0))</f>
        <v>0</v>
      </c>
      <c r="AF621" s="476">
        <f>INDEX(Input!$1:$1048576,AF$93,$C621*2+MIN($B621,2)+5)</f>
        <v>1</v>
      </c>
      <c r="AG621" s="475">
        <f>INDEX(Input!$1:$1048576,AG$93,$C621*2+MIN($B621,2)+5)
+INDEX(Scenarios!AG$121:AG$199,MATCH($B621,Scenarios!$B$121:$B$199,0))</f>
        <v>0</v>
      </c>
      <c r="AH621" s="476">
        <f>INDEX(Input!$1:$1048576,AH$93,$C621*2+MIN($B621,2)+5)</f>
        <v>1</v>
      </c>
      <c r="AI621" s="475">
        <f>INDEX(Input!$1:$1048576,AI$93,$C621*2+MIN($B621,2)+5)
+INDEX(Scenarios!AI$121:AI$199,MATCH($B621,Scenarios!$B$121:$B$199,0))</f>
        <v>0</v>
      </c>
      <c r="AJ621" s="476">
        <f>INDEX(Input!$1:$1048576,AJ$93,$C621*2+MIN($B621,2)+5)</f>
        <v>0.35</v>
      </c>
      <c r="AK621" s="150">
        <f>ROUND(INDEX(Input!$1:$1048576,AK$93,$C620*2+MIN($B621,1)+5)+(Y621-VLOOKUP($C621*1000+1,$A:$HH,Y$92,FALSE)),0)</f>
        <v>5093</v>
      </c>
      <c r="AL621" s="150">
        <f>ROUND(INDEX(Input!$1:$1048576,AL$93,$C620*2+MIN($B621,1)+5)-(Y621-VLOOKUP($C621*1000+1,$A:$HH,Y$92,FALSE))/36,0)</f>
        <v>5217</v>
      </c>
      <c r="AM621" s="32" t="str">
        <f t="shared" si="1973"/>
        <v>std/std/std/std</v>
      </c>
      <c r="AN621" s="32" t="str">
        <f t="shared" si="1974"/>
        <v>$0 + 0/0/0/0.9/3.9</v>
      </c>
      <c r="AO621" s="32" t="str">
        <f t="shared" si="1975"/>
        <v>0/0/0/0.9/3.9</v>
      </c>
      <c r="AP621" s="32" t="str">
        <f t="shared" si="1939"/>
        <v>0/0/0.9/3.9</v>
      </c>
      <c r="AQ621" s="536">
        <f t="shared" si="1940"/>
        <v>0.32179240164830292</v>
      </c>
      <c r="AR621" s="32"/>
      <c r="AS621" s="302"/>
      <c r="AT621" s="3">
        <f t="shared" si="1993"/>
        <v>21</v>
      </c>
      <c r="AU621" s="41" t="s">
        <v>121</v>
      </c>
      <c r="AV621" s="41" t="s">
        <v>116</v>
      </c>
      <c r="AW621" s="41" t="str">
        <f>INDEX(Input!$1:$1048576,AW$93,$C621*2+6)</f>
        <v>Kia</v>
      </c>
      <c r="AX621" s="41" t="str">
        <f>INDEX(Input!$1:$1048576,AX$93,$C621*2+6)</f>
        <v>National</v>
      </c>
      <c r="AY621" s="41" t="str">
        <f>IF(LEN(D621)=0,"",INDEX(Input!$1:$1048576,AY$93,$C621*2+6))</f>
        <v>Compact Conventional/Sporty Car (43)</v>
      </c>
      <c r="AZ621" s="41" t="str">
        <f>INDEX(Input!$1:$1048576,AZ$93,$C621*2+6)</f>
        <v>Kia Forte</v>
      </c>
      <c r="BA621" s="3">
        <f>INDEX(Input!$1:$1048576,BA$93,$C621*2+6)</f>
        <v>2020</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19695</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941"/>
        <v>1465.0000000000002</v>
      </c>
      <c r="CJ621" s="16" t="str">
        <f>INDEX(Input!$1:$1048576,CJ$93,$C621*2+6)</f>
        <v>N</v>
      </c>
      <c r="CK621" s="1" t="str">
        <f t="shared" si="1942"/>
        <v>Market</v>
      </c>
      <c r="CL621" s="1" t="str">
        <f t="shared" si="1943"/>
        <v>Market</v>
      </c>
      <c r="CM621" s="1" t="str">
        <f t="shared" si="1944"/>
        <v>Market</v>
      </c>
      <c r="CN621" s="1" t="str">
        <f t="shared" si="1945"/>
        <v>Market</v>
      </c>
      <c r="CO621" s="1" t="str">
        <f t="shared" si="1946"/>
        <v>Market</v>
      </c>
      <c r="CP621" s="304">
        <f t="shared" si="1947"/>
        <v>0</v>
      </c>
      <c r="CQ621" s="1">
        <f t="shared" si="1948"/>
        <v>0</v>
      </c>
      <c r="CR621" s="1">
        <f t="shared" si="1949"/>
        <v>0</v>
      </c>
      <c r="CS621" s="1">
        <f t="shared" si="1950"/>
        <v>0</v>
      </c>
      <c r="CT621" s="1">
        <f t="shared" si="1951"/>
        <v>8.9999999999999959E-3</v>
      </c>
      <c r="CU621" s="1">
        <f t="shared" si="1952"/>
        <v>3.9E-2</v>
      </c>
      <c r="CV621" s="304">
        <f t="shared" si="2013"/>
        <v>2339.3275155115825</v>
      </c>
      <c r="CW621" s="20" t="s">
        <v>122</v>
      </c>
      <c r="CX621" s="20" t="s">
        <v>122</v>
      </c>
      <c r="CY621" s="20" t="s">
        <v>122</v>
      </c>
      <c r="CZ621" s="20" t="s">
        <v>122</v>
      </c>
      <c r="DA621" s="20" t="s">
        <v>122</v>
      </c>
      <c r="DB621" s="503">
        <f t="shared" si="2014"/>
        <v>0</v>
      </c>
      <c r="DC621" s="127">
        <v>0</v>
      </c>
      <c r="DD621" s="127">
        <v>0</v>
      </c>
      <c r="DE621" s="127">
        <v>0</v>
      </c>
      <c r="DF621" s="127">
        <v>0</v>
      </c>
      <c r="DG621" s="127">
        <v>0</v>
      </c>
      <c r="DH621" s="127">
        <v>0</v>
      </c>
      <c r="DI621" s="127">
        <v>0</v>
      </c>
      <c r="DJ621" s="127">
        <v>0</v>
      </c>
      <c r="DK621" s="127">
        <v>0</v>
      </c>
      <c r="DL621" s="127">
        <v>0</v>
      </c>
      <c r="DM621" s="304">
        <f>INDEX(Input!$1:$1048576,DM$93,$C621*2+6)</f>
        <v>20731.578947368424</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v>4.9248246379662172E-2</v>
      </c>
      <c r="DZ621" s="7">
        <v>0</v>
      </c>
      <c r="EA621" s="7">
        <v>0.77508610300956982</v>
      </c>
      <c r="EB621" s="7">
        <v>0</v>
      </c>
      <c r="EC621" s="7">
        <v>0</v>
      </c>
      <c r="ED621" s="7">
        <v>0</v>
      </c>
      <c r="EE621" s="7">
        <v>0</v>
      </c>
      <c r="EF621" s="7">
        <v>0</v>
      </c>
      <c r="EG621" s="7">
        <v>0</v>
      </c>
      <c r="EH621" s="7">
        <v>2.5034189544191746E-2</v>
      </c>
      <c r="EI621" s="7">
        <v>1.6368319139968127E-2</v>
      </c>
      <c r="EJ621" s="7">
        <v>0.2203100828397738</v>
      </c>
      <c r="EK621" s="7">
        <v>0.73828740847606567</v>
      </c>
      <c r="EL621" s="7">
        <v>0</v>
      </c>
      <c r="EM621" s="7">
        <v>3.0439800522808983E-2</v>
      </c>
      <c r="EN621" s="7">
        <v>3.6761768402211313E-2</v>
      </c>
      <c r="EO621" s="7">
        <v>0.38208156074909511</v>
      </c>
      <c r="EP621" s="7">
        <v>0.48270633372872956</v>
      </c>
      <c r="EQ621" s="7">
        <v>7.4711510469080158E-2</v>
      </c>
      <c r="ER621" s="7">
        <v>2.3738826650884184E-2</v>
      </c>
      <c r="ES621" s="7">
        <v>0.14522585008795888</v>
      </c>
      <c r="ET621" s="7">
        <v>0.17566565061076803</v>
      </c>
      <c r="EU621" s="6">
        <v>750</v>
      </c>
      <c r="EV621" s="6">
        <v>0</v>
      </c>
      <c r="EW621" s="6">
        <v>750</v>
      </c>
      <c r="EX621" s="6">
        <v>0</v>
      </c>
      <c r="EY621" s="6">
        <v>1720.5781503389808</v>
      </c>
      <c r="EZ621" s="6">
        <v>-1554.2676731795959</v>
      </c>
      <c r="FA621" s="6">
        <v>0</v>
      </c>
      <c r="FB621" s="6">
        <v>0</v>
      </c>
      <c r="FC621" s="6">
        <v>0</v>
      </c>
      <c r="FD621" s="6">
        <v>0</v>
      </c>
      <c r="FE621" s="6">
        <v>0</v>
      </c>
      <c r="FF621" s="6">
        <v>0</v>
      </c>
      <c r="FG621" s="6">
        <v>0</v>
      </c>
      <c r="FH621" s="6">
        <v>1158.6128956476005</v>
      </c>
      <c r="FI621" s="6">
        <v>1531.4299904380612</v>
      </c>
      <c r="FJ621" s="6">
        <v>1709.9775738488465</v>
      </c>
      <c r="FK621" s="6">
        <v>1746.990352159045</v>
      </c>
      <c r="FL621" s="6">
        <v>0</v>
      </c>
      <c r="FM621" s="6">
        <v>1720.5781503389808</v>
      </c>
      <c r="FN621" s="6">
        <v>0</v>
      </c>
      <c r="FO621" s="6">
        <v>0</v>
      </c>
      <c r="FP621" s="6">
        <v>0</v>
      </c>
      <c r="FQ621" s="6">
        <v>0</v>
      </c>
      <c r="FR621" s="6">
        <v>0</v>
      </c>
      <c r="FS621" s="6">
        <v>0</v>
      </c>
      <c r="FT621" s="7">
        <v>0.824334349389232</v>
      </c>
      <c r="FU621" s="7">
        <v>3.0439800522808983E-2</v>
      </c>
      <c r="FV621" s="7">
        <v>0.14522585008795888</v>
      </c>
      <c r="FW621" s="6">
        <v>750</v>
      </c>
      <c r="FX621" s="6">
        <v>1720.5781503389808</v>
      </c>
      <c r="FY621" s="6">
        <v>-1554.2676731795959</v>
      </c>
      <c r="FZ621" s="6">
        <v>1676.0854837363124</v>
      </c>
      <c r="GA621" s="6">
        <v>444.90497362040549</v>
      </c>
      <c r="GB621" s="6">
        <v>19250.095026379593</v>
      </c>
      <c r="GC621" s="7">
        <v>6.4493561548621597E-2</v>
      </c>
      <c r="GD621" s="7">
        <v>5.312235101473315E-2</v>
      </c>
      <c r="GE621" s="7"/>
      <c r="GF621" s="7"/>
      <c r="GG621" s="7">
        <v>-0.17631543770947908</v>
      </c>
      <c r="GH621" s="42">
        <v>2.8204901857659164</v>
      </c>
      <c r="GI621" s="6">
        <v>7427.7337384195762</v>
      </c>
      <c r="GJ621" s="14">
        <v>0.51596255589662343</v>
      </c>
      <c r="GK621" s="14">
        <v>0.51419567426615964</v>
      </c>
      <c r="GL621" s="14">
        <v>0.48403744410337679</v>
      </c>
      <c r="GM621" s="14">
        <v>0.48580432573384047</v>
      </c>
      <c r="GO621" s="5">
        <v>338.16872463277008</v>
      </c>
      <c r="GP621" s="5">
        <v>323.86015542600148</v>
      </c>
      <c r="GQ621" s="5">
        <v>527.27910984145694</v>
      </c>
      <c r="GR621" s="5">
        <v>404.20319246551543</v>
      </c>
      <c r="GS621" s="5">
        <v>334.50205195691484</v>
      </c>
      <c r="GT621" s="5">
        <v>289.18266033348181</v>
      </c>
      <c r="GU621" s="5">
        <v>254.29573314828914</v>
      </c>
      <c r="GV621" s="39" t="s">
        <v>392</v>
      </c>
      <c r="GW621" s="5">
        <v>492.375</v>
      </c>
      <c r="GX621" s="5">
        <v>369.28125</v>
      </c>
      <c r="GY621" s="5">
        <v>302.23266563481752</v>
      </c>
      <c r="GZ621" s="5">
        <v>260.68138716125202</v>
      </c>
      <c r="HA621" s="5">
        <v>254.29573314828914</v>
      </c>
      <c r="HB621" s="39">
        <v>277.41341179734678</v>
      </c>
      <c r="HC621" s="5">
        <v>351.11483570160732</v>
      </c>
      <c r="HD621" s="5">
        <v>282.73776275539944</v>
      </c>
      <c r="HE621" s="5">
        <v>280.55735780820959</v>
      </c>
      <c r="HF621" s="5">
        <v>253.64561428438338</v>
      </c>
      <c r="HG621" s="5">
        <v>237.36506461313525</v>
      </c>
      <c r="HH621" s="39">
        <v>280.94831662602473</v>
      </c>
      <c r="HI621" s="16"/>
      <c r="HJ621" s="19" t="str">
        <f t="shared" ref="HJ621:HK621" si="2029">HJ620</f>
        <v>On</v>
      </c>
      <c r="HK621" s="1" t="str">
        <f t="shared" si="2029"/>
        <v>On</v>
      </c>
      <c r="HL621" s="16"/>
      <c r="HM621" s="639">
        <f t="shared" si="2022"/>
        <v>4.9686942767030826E-2</v>
      </c>
      <c r="HN621" s="639">
        <f t="shared" si="2022"/>
        <v>2.6112822013589915E-3</v>
      </c>
      <c r="HO621" s="639">
        <f t="shared" si="2022"/>
        <v>3.166115353075552E-2</v>
      </c>
      <c r="HP621" s="644">
        <f t="shared" si="2020"/>
        <v>208.52900013414015</v>
      </c>
      <c r="HQ621" s="644">
        <f t="shared" si="2020"/>
        <v>127.16739510406364</v>
      </c>
      <c r="HR621" s="644">
        <f t="shared" si="2020"/>
        <v>49.980914556202073</v>
      </c>
      <c r="HS621" s="644">
        <f t="shared" si="2020"/>
        <v>-65.975356553477752</v>
      </c>
      <c r="HT621" s="644">
        <f t="shared" si="2020"/>
        <v>351.42694014029735</v>
      </c>
      <c r="HU621" s="644">
        <f t="shared" si="2020"/>
        <v>86.803351813255588</v>
      </c>
      <c r="HV621" s="644">
        <f t="shared" si="2020"/>
        <v>0</v>
      </c>
      <c r="HW621" s="644">
        <f t="shared" si="2020"/>
        <v>0</v>
      </c>
      <c r="HX621" s="644">
        <f t="shared" si="2020"/>
        <v>0</v>
      </c>
      <c r="HY621" s="644">
        <f t="shared" si="2020"/>
        <v>2388</v>
      </c>
      <c r="HZ621" s="644">
        <f t="shared" si="2020"/>
        <v>2518</v>
      </c>
      <c r="IA621" s="644">
        <f t="shared" si="2020"/>
        <v>2200</v>
      </c>
      <c r="IB621" s="644">
        <f t="shared" si="2020"/>
        <v>2530.553643580663</v>
      </c>
      <c r="IC621" s="644">
        <f t="shared" si="2020"/>
        <v>2996.594335244361</v>
      </c>
      <c r="ID621" s="644">
        <f t="shared" si="2020"/>
        <v>2336.7842663694578</v>
      </c>
      <c r="IE621" s="20">
        <f t="shared" si="1977"/>
        <v>0.32179240164830292</v>
      </c>
      <c r="IF621" s="20">
        <f t="shared" si="1956"/>
        <v>0.38105546205278285</v>
      </c>
      <c r="IG621" s="20">
        <f t="shared" si="1957"/>
        <v>0.29715213629891435</v>
      </c>
      <c r="IH621" s="21"/>
      <c r="II621" s="19"/>
      <c r="IJ621" s="19"/>
      <c r="IK621" s="19"/>
      <c r="IL621" s="19">
        <f t="shared" si="1978"/>
        <v>400</v>
      </c>
      <c r="IM621" s="19">
        <f t="shared" si="1978"/>
        <v>757.81836311621555</v>
      </c>
      <c r="IN621" s="19">
        <f t="shared" si="1978"/>
        <v>284.52637657121795</v>
      </c>
      <c r="IO621" s="39"/>
      <c r="IP621" s="39"/>
      <c r="IQ621" s="39"/>
      <c r="IR621" s="39"/>
      <c r="IS621" s="39"/>
      <c r="IT621" s="39"/>
      <c r="IU621" s="39"/>
      <c r="IV621" s="39"/>
      <c r="IW621" s="39"/>
      <c r="IX621" s="19">
        <f t="shared" si="2023"/>
        <v>1600</v>
      </c>
      <c r="IY621" s="19">
        <f t="shared" si="2023"/>
        <v>2503.549291639752</v>
      </c>
      <c r="IZ621" s="19">
        <f t="shared" si="2023"/>
        <v>5888.3563810918577</v>
      </c>
      <c r="JA621" s="19">
        <f t="shared" si="2024"/>
        <v>2000</v>
      </c>
      <c r="JB621" s="19">
        <f t="shared" si="2024"/>
        <v>3261.3676547559676</v>
      </c>
      <c r="JC621" s="19">
        <f t="shared" si="2024"/>
        <v>6172.8827576630756</v>
      </c>
      <c r="JD621" s="19">
        <f t="shared" si="1981"/>
        <v>3720.6320604659586</v>
      </c>
      <c r="JE621" s="21"/>
      <c r="JF621" s="1">
        <f t="shared" si="1982"/>
        <v>6.8844376252282569E-2</v>
      </c>
      <c r="JG621" s="15">
        <f t="shared" si="1983"/>
        <v>7106</v>
      </c>
      <c r="JH621" s="1">
        <f t="shared" si="1984"/>
        <v>5.4274881761104114E-2</v>
      </c>
      <c r="JI621" s="1">
        <f t="shared" si="1985"/>
        <v>5.238600273009783E-2</v>
      </c>
      <c r="JJ621" s="1">
        <f t="shared" si="1962"/>
        <v>0</v>
      </c>
      <c r="JK621" s="1">
        <f t="shared" si="1963"/>
        <v>0.10666088449120195</v>
      </c>
      <c r="JL621" s="15">
        <f t="shared" si="2025"/>
        <v>757.93224519448108</v>
      </c>
      <c r="JM621" s="15">
        <f t="shared" si="2025"/>
        <v>7863.9322451944818</v>
      </c>
      <c r="JN621" s="21"/>
      <c r="JO621" s="19">
        <f>INDEX([1]Input!$1:$1048576,JO$93,$C621*2+6)</f>
        <v>5995.5</v>
      </c>
      <c r="JP621" s="19">
        <f>INDEX([1]Input!$1:$1048576,JP$93,$C621*2+6)</f>
        <v>1716.3055838443925</v>
      </c>
      <c r="JQ621" s="39">
        <f t="shared" si="1995"/>
        <v>2274.8679395340414</v>
      </c>
      <c r="JR621" s="39">
        <f t="shared" si="1996"/>
        <v>2004.3264766215661</v>
      </c>
      <c r="JS621" s="39">
        <f t="shared" si="1997"/>
        <v>29.258798432802635</v>
      </c>
      <c r="JT621" s="39">
        <f t="shared" si="1987"/>
        <v>17.062730954004383</v>
      </c>
      <c r="JU621" s="385">
        <f>(JQ621*JM621-INDEX([1]Input!$1:$1048576,[1]Input!A$18,$C621*2+6)*JL621*INDEX([1]Input!$1:$1048576,[1]Input!A$19,$C621*2+6))/1000000</f>
        <v>17.889407343260881</v>
      </c>
      <c r="JV621" s="39">
        <f t="shared" si="1966"/>
        <v>-12.518548177940868</v>
      </c>
      <c r="JW621" s="1">
        <f t="shared" si="2000"/>
        <v>-0.41168661172279047</v>
      </c>
      <c r="JX621" s="19">
        <f t="shared" si="2001"/>
        <v>22512.211430754189</v>
      </c>
      <c r="JZ621" s="341"/>
      <c r="KA621" s="60"/>
      <c r="KB621" s="469">
        <f t="shared" si="1988"/>
        <v>0</v>
      </c>
      <c r="KI621" s="472"/>
      <c r="KJ621" s="472"/>
      <c r="KK621" s="472"/>
      <c r="KN621" s="888">
        <f t="shared" si="1989"/>
        <v>6002</v>
      </c>
      <c r="KO621" s="541">
        <f t="shared" si="1967"/>
        <v>2.9023268897154564E-2</v>
      </c>
      <c r="KP621" s="546">
        <f t="shared" si="1968"/>
        <v>144.23874064087033</v>
      </c>
      <c r="KQ621" s="546">
        <f t="shared" si="1969"/>
        <v>123.18357017603194</v>
      </c>
      <c r="KR621" s="472">
        <f t="shared" si="1970"/>
        <v>3.2390990379995648</v>
      </c>
      <c r="KS621" s="472">
        <f t="shared" si="1971"/>
        <v>3.7927425336387639</v>
      </c>
      <c r="KT621" s="473">
        <f t="shared" si="1998"/>
        <v>2521.945896759994</v>
      </c>
      <c r="KU621" s="663">
        <f t="shared" si="1990"/>
        <v>11.212619455469447</v>
      </c>
      <c r="KV621" s="117"/>
    </row>
    <row r="622" spans="1:308" s="26" customFormat="1" ht="15">
      <c r="A622" s="561">
        <f t="shared" si="1972"/>
        <v>6022</v>
      </c>
      <c r="B622" s="561">
        <f t="shared" si="1991"/>
        <v>22</v>
      </c>
      <c r="C622" s="561">
        <f t="shared" si="1992"/>
        <v>6</v>
      </c>
      <c r="D622" s="561" t="str">
        <f t="shared" si="2028"/>
        <v xml:space="preserve">0/1.9/2.9/3.9, </v>
      </c>
      <c r="E622" s="475">
        <f>INDEX(Input!$1:$1048576,E$93,$C622*2+MIN($B622,2)+5)
+INDEX(Scenarios!E$121:E$199,MATCH($B622,Scenarios!$B$121:$B$199,0))</f>
        <v>1250.0000000000002</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2.8999999999999998E-2</v>
      </c>
      <c r="W622" s="863">
        <f>IFERROR(MAX(0,INDEX(Input!$1:$1048576,W$93,$C622*2+MIN($B622,2)+5)-0%,),"Market")</f>
        <v>3.9E-2</v>
      </c>
      <c r="X622" s="476" t="str">
        <f>INDEX(Input!$1:$1048576,X$93,$C622*2+MIN($B622,2)+5)</f>
        <v>Y</v>
      </c>
      <c r="Y622" s="475">
        <f>INDEX(Input!$1:$1048576,Y$93,$C622*2+MIN($B622,2)+5)
++INDEX(Scenarios!Y$121:Y$199,MATCH($B622,Scenarios!$B$121:$B$199,0))</f>
        <v>2339.3275155115825</v>
      </c>
      <c r="Z622" s="477">
        <f>INDEX(Input!$1:$1048576,Z$93,$C622*2+MIN($B622,2)+5)
+INDEX(Scenarios!Z$121:Z$199,MATCH($B622,Scenarios!$B$121:$B$199,0))</f>
        <v>0</v>
      </c>
      <c r="AA622" s="475">
        <f>INDEX(Input!$1:$1048576,AA$93,$C622*2+MIN($B622,2)+5)</f>
        <v>0</v>
      </c>
      <c r="AB622" s="476">
        <f>INDEX(Input!$1:$1048576,AB$93,$C622*2+MIN($B622,2)+5)</f>
        <v>1</v>
      </c>
      <c r="AC622" s="475">
        <f>INDEX(Input!$1:$1048576,AC$93,$C622*2+MIN($B622,2)+5)
+INDEX(Scenarios!AC$121:AC$199,MATCH($B622,Scenarios!$B$121:$B$199,0))</f>
        <v>0</v>
      </c>
      <c r="AD622" s="476">
        <f>INDEX(Input!$1:$1048576,AD$93,$C622*2+MIN($B622,2)+5)</f>
        <v>0.35</v>
      </c>
      <c r="AE622" s="475">
        <f>INDEX(Input!$1:$1048576,AE$93,$C622*2+MIN($B622,2)+5)
+INDEX(Scenarios!AE$121:AE$199,MATCH($B622,Scenarios!$B$121:$B$199,0))</f>
        <v>0</v>
      </c>
      <c r="AF622" s="476">
        <f>INDEX(Input!$1:$1048576,AF$93,$C622*2+MIN($B622,2)+5)</f>
        <v>1</v>
      </c>
      <c r="AG622" s="475">
        <f>INDEX(Input!$1:$1048576,AG$93,$C622*2+MIN($B622,2)+5)</f>
        <v>0</v>
      </c>
      <c r="AH622" s="476">
        <f>INDEX(Input!$1:$1048576,AH$93,$C622*2+MIN($B622,2)+5)</f>
        <v>1</v>
      </c>
      <c r="AI622" s="475">
        <f>INDEX(Input!$1:$1048576,AI$93,$C622*2+MIN($B622,2)+5)</f>
        <v>0</v>
      </c>
      <c r="AJ622" s="476">
        <f>INDEX(Input!$1:$1048576,AJ$93,$C622*2+MIN($B622,2)+5)</f>
        <v>0.35</v>
      </c>
      <c r="AK622" s="150">
        <f>ROUND(INDEX(Input!$1:$1048576,AK$93,$C621*2+MIN($B622,1)+5)+(Y622-VLOOKUP($C622*1000+1,$A:$HH,Y$92,FALSE)),0)</f>
        <v>5093</v>
      </c>
      <c r="AL622" s="150">
        <f>ROUND(INDEX(Input!$1:$1048576,AL$93,$C621*2+MIN($B622,1)+5)-(Y622-VLOOKUP($C622*1000+1,$A:$HH,Y$92,FALSE))/36,0)</f>
        <v>5217</v>
      </c>
      <c r="AM622" s="32" t="str">
        <f t="shared" si="1973"/>
        <v>std/std/std/std</v>
      </c>
      <c r="AN622" s="32" t="str">
        <f t="shared" si="1974"/>
        <v>$0 + 0/0/0/2.9/3.9</v>
      </c>
      <c r="AO622" s="32" t="str">
        <f t="shared" si="1975"/>
        <v>0/0/0/2.9/3.9</v>
      </c>
      <c r="AP622" s="32" t="str">
        <f t="shared" si="1939"/>
        <v>0/1.9/2.9/3.9</v>
      </c>
      <c r="AQ622" s="536">
        <f t="shared" si="1940"/>
        <v>0.34825709331691657</v>
      </c>
      <c r="AR622" s="32"/>
      <c r="AS622" s="302"/>
      <c r="AT622" s="3">
        <f t="shared" si="1993"/>
        <v>22</v>
      </c>
      <c r="AU622" s="41" t="s">
        <v>121</v>
      </c>
      <c r="AV622" s="41" t="s">
        <v>116</v>
      </c>
      <c r="AW622" s="41" t="str">
        <f>INDEX(Input!$1:$1048576,AW$93,$C622*2+6)</f>
        <v>Kia</v>
      </c>
      <c r="AX622" s="41" t="str">
        <f>INDEX(Input!$1:$1048576,AX$93,$C622*2+6)</f>
        <v>National</v>
      </c>
      <c r="AY622" s="41" t="str">
        <f>IF(LEN(D622)=0,"",INDEX(Input!$1:$1048576,AY$93,$C622*2+6))</f>
        <v>Compact Conventional/Sporty Car (43)</v>
      </c>
      <c r="AZ622" s="41" t="str">
        <f>INDEX(Input!$1:$1048576,AZ$93,$C622*2+6)</f>
        <v>Kia Forte</v>
      </c>
      <c r="BA622" s="3">
        <f>INDEX(Input!$1:$1048576,BA$93,$C622*2+6)</f>
        <v>2020</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19695</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941"/>
        <v>1465.0000000000002</v>
      </c>
      <c r="CJ622" s="16" t="str">
        <f>INDEX(Input!$1:$1048576,CJ$93,$C622*2+6)</f>
        <v>N</v>
      </c>
      <c r="CK622" s="1" t="str">
        <f t="shared" si="1942"/>
        <v>Market</v>
      </c>
      <c r="CL622" s="1" t="str">
        <f t="shared" si="1943"/>
        <v>Market</v>
      </c>
      <c r="CM622" s="1" t="str">
        <f t="shared" si="1944"/>
        <v>Market</v>
      </c>
      <c r="CN622" s="1" t="str">
        <f t="shared" si="1945"/>
        <v>Market</v>
      </c>
      <c r="CO622" s="1" t="str">
        <f t="shared" si="1946"/>
        <v>Market</v>
      </c>
      <c r="CP622" s="304">
        <f t="shared" si="1947"/>
        <v>0</v>
      </c>
      <c r="CQ622" s="1">
        <f t="shared" si="1948"/>
        <v>0</v>
      </c>
      <c r="CR622" s="1">
        <f t="shared" si="1949"/>
        <v>0</v>
      </c>
      <c r="CS622" s="1">
        <f t="shared" si="1950"/>
        <v>0</v>
      </c>
      <c r="CT622" s="1">
        <f t="shared" si="1951"/>
        <v>2.8999999999999998E-2</v>
      </c>
      <c r="CU622" s="1">
        <f t="shared" si="1952"/>
        <v>3.9E-2</v>
      </c>
      <c r="CV622" s="304">
        <f t="shared" si="2013"/>
        <v>2339.3275155115825</v>
      </c>
      <c r="CW622" s="20" t="s">
        <v>122</v>
      </c>
      <c r="CX622" s="20" t="s">
        <v>122</v>
      </c>
      <c r="CY622" s="20" t="s">
        <v>122</v>
      </c>
      <c r="CZ622" s="20" t="s">
        <v>122</v>
      </c>
      <c r="DA622" s="20" t="s">
        <v>122</v>
      </c>
      <c r="DB622" s="503">
        <f t="shared" si="2014"/>
        <v>0</v>
      </c>
      <c r="DC622" s="127">
        <v>0</v>
      </c>
      <c r="DD622" s="127">
        <v>0</v>
      </c>
      <c r="DE622" s="127">
        <v>0</v>
      </c>
      <c r="DF622" s="127">
        <v>0</v>
      </c>
      <c r="DG622" s="127">
        <v>0</v>
      </c>
      <c r="DH622" s="127">
        <v>0</v>
      </c>
      <c r="DI622" s="127">
        <v>0</v>
      </c>
      <c r="DJ622" s="127">
        <v>0</v>
      </c>
      <c r="DK622" s="127">
        <v>0</v>
      </c>
      <c r="DL622" s="127">
        <v>0</v>
      </c>
      <c r="DM622" s="304">
        <f>INDEX(Input!$1:$1048576,DM$93,$C622*2+6)</f>
        <v>20731.578947368424</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v>4.9865881052809334E-2</v>
      </c>
      <c r="DZ622" s="7">
        <v>0</v>
      </c>
      <c r="EA622" s="7">
        <v>0.7823304676093874</v>
      </c>
      <c r="EB622" s="7">
        <v>0</v>
      </c>
      <c r="EC622" s="7">
        <v>0</v>
      </c>
      <c r="ED622" s="7">
        <v>0</v>
      </c>
      <c r="EE622" s="7">
        <v>0</v>
      </c>
      <c r="EF622" s="7">
        <v>0</v>
      </c>
      <c r="EG622" s="7">
        <v>0</v>
      </c>
      <c r="EH622" s="7">
        <v>3.7229826801775057E-2</v>
      </c>
      <c r="EI622" s="7">
        <v>2.4339628157157407E-2</v>
      </c>
      <c r="EJ622" s="7">
        <v>0.32764321400310537</v>
      </c>
      <c r="EK622" s="7">
        <v>0.61078733103796246</v>
      </c>
      <c r="EL622" s="7">
        <v>0</v>
      </c>
      <c r="EM622" s="7">
        <v>2.0733328438395291E-2</v>
      </c>
      <c r="EN622" s="7">
        <v>3.6753772287961672E-2</v>
      </c>
      <c r="EO622" s="7">
        <v>0.3821016700657523</v>
      </c>
      <c r="EP622" s="7">
        <v>0.48269396899689904</v>
      </c>
      <c r="EQ622" s="7">
        <v>7.4713664363961527E-2</v>
      </c>
      <c r="ER622" s="7">
        <v>2.3736924285425027E-2</v>
      </c>
      <c r="ES622" s="7">
        <v>0.14707032289940783</v>
      </c>
      <c r="ET622" s="7">
        <v>0.1678036513378032</v>
      </c>
      <c r="EU622" s="6">
        <v>750</v>
      </c>
      <c r="EV622" s="6">
        <v>0</v>
      </c>
      <c r="EW622" s="6">
        <v>750</v>
      </c>
      <c r="EX622" s="6">
        <v>0</v>
      </c>
      <c r="EY622" s="6">
        <v>1115.0480385918254</v>
      </c>
      <c r="EZ622" s="6">
        <v>-1554.2676731795959</v>
      </c>
      <c r="FA622" s="6">
        <v>0</v>
      </c>
      <c r="FB622" s="6">
        <v>0</v>
      </c>
      <c r="FC622" s="6">
        <v>0</v>
      </c>
      <c r="FD622" s="6">
        <v>0</v>
      </c>
      <c r="FE622" s="6">
        <v>0</v>
      </c>
      <c r="FF622" s="6">
        <v>0</v>
      </c>
      <c r="FG622" s="6">
        <v>0</v>
      </c>
      <c r="FH622" s="6">
        <v>1158.6143928060944</v>
      </c>
      <c r="FI622" s="6">
        <v>1531.4299904380614</v>
      </c>
      <c r="FJ622" s="6">
        <v>1709.9775738488459</v>
      </c>
      <c r="FK622" s="6">
        <v>776.66319621661717</v>
      </c>
      <c r="FL622" s="6">
        <v>0</v>
      </c>
      <c r="FM622" s="6">
        <v>1115.0480385918254</v>
      </c>
      <c r="FN622" s="6">
        <v>0</v>
      </c>
      <c r="FO622" s="6">
        <v>0</v>
      </c>
      <c r="FP622" s="6">
        <v>0</v>
      </c>
      <c r="FQ622" s="6">
        <v>0</v>
      </c>
      <c r="FR622" s="6">
        <v>0</v>
      </c>
      <c r="FS622" s="6">
        <v>0</v>
      </c>
      <c r="FT622" s="7">
        <v>0.83219634866219672</v>
      </c>
      <c r="FU622" s="7">
        <v>2.0733328438395291E-2</v>
      </c>
      <c r="FV622" s="7">
        <v>0.14707032289940783</v>
      </c>
      <c r="FW622" s="6">
        <v>750.00000000000011</v>
      </c>
      <c r="FX622" s="6">
        <v>1115.0480385918254</v>
      </c>
      <c r="FY622" s="6">
        <v>-1554.2676731795959</v>
      </c>
      <c r="FZ622" s="6">
        <v>1676.0854837363124</v>
      </c>
      <c r="GA622" s="6">
        <v>418.67927013872594</v>
      </c>
      <c r="GB622" s="6">
        <v>19276.320729861272</v>
      </c>
      <c r="GC622" s="7">
        <v>6.4493561548621597E-2</v>
      </c>
      <c r="GD622" s="7">
        <v>5.2797547540806643E-2</v>
      </c>
      <c r="GE622" s="7"/>
      <c r="GF622" s="7"/>
      <c r="GG622" s="7">
        <v>-0.18135165320335656</v>
      </c>
      <c r="GH622" s="42">
        <v>2.8405464926254789</v>
      </c>
      <c r="GI622" s="6">
        <v>7352.2042277943847</v>
      </c>
      <c r="GJ622" s="14">
        <v>0.51596255589662321</v>
      </c>
      <c r="GK622" s="14">
        <v>0.51419567426615953</v>
      </c>
      <c r="GL622" s="14">
        <v>0.4840374441033769</v>
      </c>
      <c r="GM622" s="14">
        <v>0.48580432573384036</v>
      </c>
      <c r="GO622" s="5">
        <v>338.16872463277008</v>
      </c>
      <c r="GP622" s="5">
        <v>323.86015542600148</v>
      </c>
      <c r="GQ622" s="5">
        <v>527.27910984145694</v>
      </c>
      <c r="GR622" s="5">
        <v>404.20319246551543</v>
      </c>
      <c r="GS622" s="5">
        <v>334.50205195691484</v>
      </c>
      <c r="GT622" s="5">
        <v>289.18266033348181</v>
      </c>
      <c r="GU622" s="5">
        <v>254.29573314828914</v>
      </c>
      <c r="GV622" s="39" t="s">
        <v>392</v>
      </c>
      <c r="GW622" s="5">
        <v>492.375</v>
      </c>
      <c r="GX622" s="5">
        <v>369.28125</v>
      </c>
      <c r="GY622" s="5">
        <v>302.23266563481752</v>
      </c>
      <c r="GZ622" s="5">
        <v>276.51178903140271</v>
      </c>
      <c r="HA622" s="5">
        <v>254.29573314828914</v>
      </c>
      <c r="HB622" s="39">
        <v>295.23358385027439</v>
      </c>
      <c r="HC622" s="5">
        <v>351.11483570160732</v>
      </c>
      <c r="HD622" s="5">
        <v>282.73776275539944</v>
      </c>
      <c r="HE622" s="5">
        <v>280.55735780820959</v>
      </c>
      <c r="HF622" s="5">
        <v>253.64561428438338</v>
      </c>
      <c r="HG622" s="5">
        <v>237.36506461313525</v>
      </c>
      <c r="HH622" s="39">
        <v>280.94782048928363</v>
      </c>
      <c r="HI622" s="16"/>
      <c r="HJ622" s="19" t="str">
        <f t="shared" ref="HJ622:HK622" si="2030">HJ621</f>
        <v>On</v>
      </c>
      <c r="HK622" s="1" t="str">
        <f t="shared" si="2030"/>
        <v>On</v>
      </c>
      <c r="HL622" s="16"/>
      <c r="HM622" s="639">
        <f t="shared" si="2022"/>
        <v>4.9686942767030826E-2</v>
      </c>
      <c r="HN622" s="639">
        <f t="shared" si="2022"/>
        <v>2.6112822013589915E-3</v>
      </c>
      <c r="HO622" s="639">
        <f t="shared" si="2022"/>
        <v>3.166115353075552E-2</v>
      </c>
      <c r="HP622" s="644">
        <f t="shared" si="2020"/>
        <v>282.31228014909647</v>
      </c>
      <c r="HQ622" s="644">
        <f t="shared" si="2020"/>
        <v>-56.654133296142128</v>
      </c>
      <c r="HR622" s="644">
        <f t="shared" si="2020"/>
        <v>78.967222392302929</v>
      </c>
      <c r="HS622" s="644">
        <f t="shared" si="2020"/>
        <v>-64.498839198023546</v>
      </c>
      <c r="HT622" s="644">
        <f t="shared" si="2020"/>
        <v>50.988460677726152</v>
      </c>
      <c r="HU622" s="644">
        <f t="shared" si="2020"/>
        <v>85.326834457801354</v>
      </c>
      <c r="HV622" s="644">
        <f t="shared" si="2020"/>
        <v>0</v>
      </c>
      <c r="HW622" s="644">
        <f t="shared" si="2020"/>
        <v>0</v>
      </c>
      <c r="HX622" s="644">
        <f t="shared" si="2020"/>
        <v>0</v>
      </c>
      <c r="HY622" s="644">
        <f t="shared" si="2020"/>
        <v>2388</v>
      </c>
      <c r="HZ622" s="644">
        <f t="shared" si="2020"/>
        <v>2518</v>
      </c>
      <c r="IA622" s="644">
        <f t="shared" si="2020"/>
        <v>2200</v>
      </c>
      <c r="IB622" s="644">
        <f t="shared" si="2020"/>
        <v>2605.8134409510726</v>
      </c>
      <c r="IC622" s="644">
        <f t="shared" si="2020"/>
        <v>2512.3343273815844</v>
      </c>
      <c r="ID622" s="644">
        <f t="shared" si="2020"/>
        <v>2364.2940568501044</v>
      </c>
      <c r="IE622" s="20">
        <f t="shared" si="1977"/>
        <v>0.34825709331691657</v>
      </c>
      <c r="IF622" s="20">
        <f t="shared" si="1956"/>
        <v>0.33576396396776792</v>
      </c>
      <c r="IG622" s="20">
        <f t="shared" si="1957"/>
        <v>0.31597894271531546</v>
      </c>
      <c r="IH622" s="21"/>
      <c r="II622" s="19"/>
      <c r="IJ622" s="19"/>
      <c r="IK622" s="19"/>
      <c r="IL622" s="19">
        <f t="shared" si="1978"/>
        <v>399.99999999999955</v>
      </c>
      <c r="IM622" s="19">
        <f t="shared" si="1978"/>
        <v>136.35391403462108</v>
      </c>
      <c r="IN622" s="19">
        <f t="shared" si="1978"/>
        <v>283.03260003123069</v>
      </c>
      <c r="IO622" s="39"/>
      <c r="IP622" s="39"/>
      <c r="IQ622" s="39"/>
      <c r="IR622" s="39"/>
      <c r="IS622" s="39"/>
      <c r="IT622" s="39"/>
      <c r="IU622" s="39"/>
      <c r="IV622" s="39"/>
      <c r="IW622" s="39"/>
      <c r="IX622" s="19">
        <f t="shared" si="2023"/>
        <v>1600</v>
      </c>
      <c r="IY622" s="19">
        <f t="shared" si="2023"/>
        <v>2503.549291639752</v>
      </c>
      <c r="IZ622" s="19">
        <f t="shared" si="2023"/>
        <v>5888.3563810918577</v>
      </c>
      <c r="JA622" s="19">
        <f t="shared" si="2024"/>
        <v>1999.9999999999995</v>
      </c>
      <c r="JB622" s="19">
        <f t="shared" si="2024"/>
        <v>2639.9032056743731</v>
      </c>
      <c r="JC622" s="19">
        <f t="shared" si="2024"/>
        <v>6171.3889811230883</v>
      </c>
      <c r="JD622" s="19">
        <f t="shared" si="1981"/>
        <v>3532.9275168024997</v>
      </c>
      <c r="JE622" s="21"/>
      <c r="JF622" s="1">
        <f t="shared" si="1982"/>
        <v>6.8844376252282569E-2</v>
      </c>
      <c r="JG622" s="15">
        <f t="shared" si="1983"/>
        <v>7106</v>
      </c>
      <c r="JH622" s="1">
        <f t="shared" si="1984"/>
        <v>4.2868754467387742E-2</v>
      </c>
      <c r="JI622" s="1">
        <f t="shared" si="1985"/>
        <v>1.0106453129398249E-2</v>
      </c>
      <c r="JJ622" s="1">
        <f t="shared" si="1962"/>
        <v>0</v>
      </c>
      <c r="JK622" s="1">
        <f t="shared" si="1963"/>
        <v>5.2975207596785992E-2</v>
      </c>
      <c r="JL622" s="15">
        <f t="shared" si="2025"/>
        <v>376.44182518276125</v>
      </c>
      <c r="JM622" s="15">
        <f t="shared" si="2025"/>
        <v>7482.441825182761</v>
      </c>
      <c r="JN622" s="21"/>
      <c r="JO622" s="19">
        <f>INDEX([1]Input!$1:$1048576,JO$93,$C622*2+6)</f>
        <v>5995.5</v>
      </c>
      <c r="JP622" s="19">
        <f>INDEX([1]Input!$1:$1048576,JP$93,$C622*2+6)</f>
        <v>1716.3055838443925</v>
      </c>
      <c r="JQ622" s="39">
        <f t="shared" si="1995"/>
        <v>2462.5724831975003</v>
      </c>
      <c r="JR622" s="39">
        <f t="shared" si="1996"/>
        <v>1816.6219329581072</v>
      </c>
      <c r="JS622" s="39">
        <f t="shared" si="1997"/>
        <v>26.434924617062094</v>
      </c>
      <c r="JT622" s="39">
        <f t="shared" si="1987"/>
        <v>14.238857138263842</v>
      </c>
      <c r="JU622" s="385">
        <f>(JQ622*JM622-INDEX([1]Input!$1:$1048576,[1]Input!A$18,$C622*2+6)*JL622*INDEX([1]Input!$1:$1048576,[1]Input!A$19,$C622*2+6))/1000000</f>
        <v>18.426055345821151</v>
      </c>
      <c r="JV622" s="39">
        <f t="shared" si="1966"/>
        <v>-11.981900175380598</v>
      </c>
      <c r="JW622" s="1">
        <f t="shared" si="2000"/>
        <v>-0.39403833536346422</v>
      </c>
      <c r="JX622" s="19">
        <f t="shared" si="2001"/>
        <v>37824.854162660922</v>
      </c>
      <c r="JZ622" s="341"/>
      <c r="KA622" s="60"/>
      <c r="KB622" s="469">
        <f t="shared" si="1988"/>
        <v>0</v>
      </c>
      <c r="KI622" s="472"/>
      <c r="KJ622" s="472"/>
      <c r="KK622" s="472"/>
      <c r="KN622" s="888">
        <f t="shared" si="1989"/>
        <v>6002</v>
      </c>
      <c r="KO622" s="541">
        <f t="shared" si="1967"/>
        <v>-2.0896098006508379E-2</v>
      </c>
      <c r="KP622" s="546">
        <f t="shared" si="1968"/>
        <v>-80.599974096945445</v>
      </c>
      <c r="KQ622" s="546">
        <f t="shared" si="1969"/>
        <v>-64.520973487427</v>
      </c>
      <c r="KR622" s="472">
        <f t="shared" si="1970"/>
        <v>4.1734010188033857</v>
      </c>
      <c r="KS622" s="472">
        <f t="shared" si="1971"/>
        <v>5.2134367451425252</v>
      </c>
      <c r="KT622" s="473">
        <f t="shared" si="1998"/>
        <v>2521.945896759994</v>
      </c>
      <c r="KU622" s="663">
        <f t="shared" si="1990"/>
        <v>10.965071331025593</v>
      </c>
      <c r="KV622" s="117"/>
    </row>
    <row r="623" spans="1:308" s="26" customFormat="1" ht="15">
      <c r="A623" s="561">
        <f t="shared" si="1972"/>
        <v>6023</v>
      </c>
      <c r="B623" s="561">
        <f t="shared" si="1991"/>
        <v>23</v>
      </c>
      <c r="C623" s="561">
        <f t="shared" si="1992"/>
        <v>6</v>
      </c>
      <c r="D623" s="561" t="str">
        <f t="shared" si="2028"/>
        <v xml:space="preserve">0/0/0.9/3.9, </v>
      </c>
      <c r="E623" s="475">
        <f>INDEX(Input!$1:$1048576,E$93,$C623*2+MIN($B623,2)+5)
+INDEX(Scenarios!E$121:E$199,MATCH($B623,Scenarios!$B$121:$B$199,0))</f>
        <v>1250.0000000000002</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8.9999999999999959E-3</v>
      </c>
      <c r="W623" s="863">
        <f>IFERROR(MAX(0,INDEX(Input!$1:$1048576,W$93,$C623*2+MIN($B623,2)+5)-0%,),"Market")</f>
        <v>3.9E-2</v>
      </c>
      <c r="X623" s="476" t="str">
        <f>INDEX(Input!$1:$1048576,X$93,$C623*2+MIN($B623,2)+5)</f>
        <v>Y</v>
      </c>
      <c r="Y623" s="475">
        <f>INDEX(Input!$1:$1048576,Y$93,$C623*2+MIN($B623,2)+5)
++INDEX(Scenarios!Y$121:Y$199,MATCH($B623,Scenarios!$B$121:$B$199,0))</f>
        <v>2339.3275155115825</v>
      </c>
      <c r="Z623" s="477">
        <f>INDEX(Input!$1:$1048576,Z$93,$C623*2+MIN($B623,2)+5)
+INDEX(Scenarios!Z$121:Z$199,MATCH($B623,Scenarios!$B$121:$B$199,0))</f>
        <v>0</v>
      </c>
      <c r="AA623" s="475">
        <f>INDEX(Input!$1:$1048576,AA$93,$C623*2+MIN($B623,2)+5)</f>
        <v>0</v>
      </c>
      <c r="AB623" s="476">
        <f>INDEX(Input!$1:$1048576,AB$93,$C623*2+MIN($B623,2)+5)</f>
        <v>1</v>
      </c>
      <c r="AC623" s="475">
        <f>INDEX(Input!$1:$1048576,AC$93,$C623*2+MIN($B623,2)+5)
+INDEX(Scenarios!AC$121:AC$199,MATCH($B623,Scenarios!$B$121:$B$199,0))</f>
        <v>0</v>
      </c>
      <c r="AD623" s="476">
        <f>INDEX(Input!$1:$1048576,AD$93,$C623*2+MIN($B623,2)+5)</f>
        <v>0.35</v>
      </c>
      <c r="AE623" s="475">
        <f>INDEX(Input!$1:$1048576,AE$93,$C623*2+MIN($B623,2)+5)
+INDEX(Scenarios!AE$121:AE$199,MATCH($B623,Scenarios!$B$121:$B$199,0))</f>
        <v>0</v>
      </c>
      <c r="AF623" s="476">
        <f>INDEX(Input!$1:$1048576,AF$93,$C623*2+MIN($B623,2)+5)</f>
        <v>1</v>
      </c>
      <c r="AG623" s="475">
        <f>INDEX(Input!$1:$1048576,AG$93,$C623*2+MIN($B623,2)+5)</f>
        <v>0</v>
      </c>
      <c r="AH623" s="476">
        <f>INDEX(Input!$1:$1048576,AH$93,$C623*2+MIN($B623,2)+5)</f>
        <v>1</v>
      </c>
      <c r="AI623" s="475">
        <f>INDEX(Input!$1:$1048576,AI$93,$C623*2+MIN($B623,2)+5)</f>
        <v>0</v>
      </c>
      <c r="AJ623" s="476">
        <f>INDEX(Input!$1:$1048576,AJ$93,$C623*2+MIN($B623,2)+5)</f>
        <v>0.35</v>
      </c>
      <c r="AK623" s="150">
        <f>ROUND(INDEX(Input!$1:$1048576,AK$93,$C622*2+MIN($B623,1)+5)+(Y623-VLOOKUP($C623*1000+1,$A:$HH,Y$92,FALSE)),0)</f>
        <v>5093</v>
      </c>
      <c r="AL623" s="150">
        <f>ROUND(INDEX(Input!$1:$1048576,AL$93,$C622*2+MIN($B623,1)+5)-(Y623-VLOOKUP($C623*1000+1,$A:$HH,Y$92,FALSE))/36,0)</f>
        <v>5217</v>
      </c>
      <c r="AM623" s="32" t="str">
        <f t="shared" si="1973"/>
        <v>std/std/std/std</v>
      </c>
      <c r="AN623" s="32" t="str">
        <f t="shared" si="1974"/>
        <v>$0 + 0/0/0/0.9/3.9</v>
      </c>
      <c r="AO623" s="32" t="str">
        <f t="shared" si="1975"/>
        <v>0/0/0/0.9/3.9</v>
      </c>
      <c r="AP623" s="32" t="str">
        <f t="shared" si="1939"/>
        <v>0/0/0.9/3.9</v>
      </c>
      <c r="AQ623" s="536">
        <f t="shared" si="1940"/>
        <v>0.32179240164830292</v>
      </c>
      <c r="AR623" s="32"/>
      <c r="AS623" s="302"/>
      <c r="AT623" s="3">
        <f t="shared" si="1993"/>
        <v>23</v>
      </c>
      <c r="AU623" s="41" t="s">
        <v>121</v>
      </c>
      <c r="AV623" s="41" t="s">
        <v>116</v>
      </c>
      <c r="AW623" s="41" t="str">
        <f>INDEX(Input!$1:$1048576,AW$93,$C623*2+6)</f>
        <v>Kia</v>
      </c>
      <c r="AX623" s="41" t="str">
        <f>INDEX(Input!$1:$1048576,AX$93,$C623*2+6)</f>
        <v>National</v>
      </c>
      <c r="AY623" s="41" t="str">
        <f>IF(LEN(D623)=0,"",INDEX(Input!$1:$1048576,AY$93,$C623*2+6))</f>
        <v>Compact Conventional/Sporty Car (43)</v>
      </c>
      <c r="AZ623" s="41" t="str">
        <f>INDEX(Input!$1:$1048576,AZ$93,$C623*2+6)</f>
        <v>Kia Forte</v>
      </c>
      <c r="BA623" s="3">
        <f>INDEX(Input!$1:$1048576,BA$93,$C623*2+6)</f>
        <v>2020</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19695</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941"/>
        <v>1465.0000000000002</v>
      </c>
      <c r="CJ623" s="16" t="str">
        <f>INDEX(Input!$1:$1048576,CJ$93,$C623*2+6)</f>
        <v>N</v>
      </c>
      <c r="CK623" s="1" t="str">
        <f t="shared" si="1942"/>
        <v>Market</v>
      </c>
      <c r="CL623" s="1" t="str">
        <f t="shared" si="1943"/>
        <v>Market</v>
      </c>
      <c r="CM623" s="1" t="str">
        <f t="shared" si="1944"/>
        <v>Market</v>
      </c>
      <c r="CN623" s="1" t="str">
        <f t="shared" si="1945"/>
        <v>Market</v>
      </c>
      <c r="CO623" s="1" t="str">
        <f t="shared" si="1946"/>
        <v>Market</v>
      </c>
      <c r="CP623" s="304">
        <f t="shared" si="1947"/>
        <v>0</v>
      </c>
      <c r="CQ623" s="1">
        <f t="shared" si="1948"/>
        <v>0</v>
      </c>
      <c r="CR623" s="1">
        <f t="shared" si="1949"/>
        <v>0</v>
      </c>
      <c r="CS623" s="1">
        <f t="shared" si="1950"/>
        <v>0</v>
      </c>
      <c r="CT623" s="1">
        <f t="shared" si="1951"/>
        <v>8.9999999999999959E-3</v>
      </c>
      <c r="CU623" s="1">
        <f t="shared" si="1952"/>
        <v>3.9E-2</v>
      </c>
      <c r="CV623" s="304">
        <f t="shared" si="2013"/>
        <v>2339.3275155115825</v>
      </c>
      <c r="CW623" s="20" t="s">
        <v>122</v>
      </c>
      <c r="CX623" s="20" t="s">
        <v>122</v>
      </c>
      <c r="CY623" s="20" t="s">
        <v>122</v>
      </c>
      <c r="CZ623" s="20" t="s">
        <v>122</v>
      </c>
      <c r="DA623" s="20" t="s">
        <v>122</v>
      </c>
      <c r="DB623" s="503">
        <f t="shared" si="2014"/>
        <v>0</v>
      </c>
      <c r="DC623" s="127">
        <v>0</v>
      </c>
      <c r="DD623" s="127">
        <v>0</v>
      </c>
      <c r="DE623" s="127">
        <v>0</v>
      </c>
      <c r="DF623" s="127">
        <v>0</v>
      </c>
      <c r="DG623" s="127">
        <v>0</v>
      </c>
      <c r="DH623" s="127">
        <v>0</v>
      </c>
      <c r="DI623" s="127">
        <v>0</v>
      </c>
      <c r="DJ623" s="127">
        <v>0</v>
      </c>
      <c r="DK623" s="127">
        <v>0</v>
      </c>
      <c r="DL623" s="127">
        <v>0</v>
      </c>
      <c r="DM623" s="304">
        <f>INDEX(Input!$1:$1048576,DM$93,$C623*2+6)</f>
        <v>20731.578947368424</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v>4.9188667681257112E-2</v>
      </c>
      <c r="DZ623" s="7">
        <v>0</v>
      </c>
      <c r="EA623" s="7">
        <v>0.77425785082957987</v>
      </c>
      <c r="EB623" s="7">
        <v>0</v>
      </c>
      <c r="EC623" s="7">
        <v>0</v>
      </c>
      <c r="ED623" s="7">
        <v>0</v>
      </c>
      <c r="EE623" s="7">
        <v>0</v>
      </c>
      <c r="EF623" s="7">
        <v>0</v>
      </c>
      <c r="EG623" s="7">
        <v>0</v>
      </c>
      <c r="EH623" s="7">
        <v>2.4150205495013059E-2</v>
      </c>
      <c r="EI623" s="7">
        <v>1.5790756226769689E-2</v>
      </c>
      <c r="EJ623" s="7">
        <v>0.247810155885998</v>
      </c>
      <c r="EK623" s="7">
        <v>0.71224888239221906</v>
      </c>
      <c r="EL623" s="7">
        <v>0</v>
      </c>
      <c r="EM623" s="7">
        <v>3.1512633188994374E-2</v>
      </c>
      <c r="EN623" s="7">
        <v>3.6763092389196353E-2</v>
      </c>
      <c r="EO623" s="7">
        <v>0.38207726555653909</v>
      </c>
      <c r="EP623" s="7">
        <v>0.4827095341985595</v>
      </c>
      <c r="EQ623" s="7">
        <v>7.4711168587549601E-2</v>
      </c>
      <c r="ER623" s="7">
        <v>2.3738939268156008E-2</v>
      </c>
      <c r="ES623" s="7">
        <v>0.14504084830016864</v>
      </c>
      <c r="ET623" s="7">
        <v>0.17655348148916306</v>
      </c>
      <c r="EU623" s="6">
        <v>750</v>
      </c>
      <c r="EV623" s="6">
        <v>0</v>
      </c>
      <c r="EW623" s="6">
        <v>750</v>
      </c>
      <c r="EX623" s="6">
        <v>0</v>
      </c>
      <c r="EY623" s="6">
        <v>1809.6006817875741</v>
      </c>
      <c r="EZ623" s="6">
        <v>-1554.2676731795959</v>
      </c>
      <c r="FA623" s="6">
        <v>0</v>
      </c>
      <c r="FB623" s="6">
        <v>0</v>
      </c>
      <c r="FC623" s="6">
        <v>0</v>
      </c>
      <c r="FD623" s="6">
        <v>0</v>
      </c>
      <c r="FE623" s="6">
        <v>0</v>
      </c>
      <c r="FF623" s="6">
        <v>0</v>
      </c>
      <c r="FG623" s="6">
        <v>0</v>
      </c>
      <c r="FH623" s="6">
        <v>1158.6123969184241</v>
      </c>
      <c r="FI623" s="6">
        <v>1531.4299904380609</v>
      </c>
      <c r="FJ623" s="6">
        <v>2070.7205842538224</v>
      </c>
      <c r="FK623" s="6">
        <v>1746.9903521590438</v>
      </c>
      <c r="FL623" s="6">
        <v>0</v>
      </c>
      <c r="FM623" s="6">
        <v>1809.6006817875741</v>
      </c>
      <c r="FN623" s="6">
        <v>0</v>
      </c>
      <c r="FO623" s="6">
        <v>0</v>
      </c>
      <c r="FP623" s="6">
        <v>0</v>
      </c>
      <c r="FQ623" s="6">
        <v>0</v>
      </c>
      <c r="FR623" s="6">
        <v>0</v>
      </c>
      <c r="FS623" s="6">
        <v>0</v>
      </c>
      <c r="FT623" s="7">
        <v>0.82344651851083694</v>
      </c>
      <c r="FU623" s="7">
        <v>3.1512633188994374E-2</v>
      </c>
      <c r="FV623" s="7">
        <v>0.14504084830016864</v>
      </c>
      <c r="FW623" s="6">
        <v>750</v>
      </c>
      <c r="FX623" s="6">
        <v>1809.6006817875741</v>
      </c>
      <c r="FY623" s="6">
        <v>-1554.2676731795959</v>
      </c>
      <c r="FZ623" s="6">
        <v>1676.0854837363124</v>
      </c>
      <c r="GA623" s="6">
        <v>449.17786958335586</v>
      </c>
      <c r="GB623" s="6">
        <v>19245.822130416644</v>
      </c>
      <c r="GC623" s="7">
        <v>6.4493561548621597E-2</v>
      </c>
      <c r="GD623" s="7">
        <v>5.3154598150627327E-2</v>
      </c>
      <c r="GE623" s="7"/>
      <c r="GF623" s="7"/>
      <c r="GG623" s="7">
        <v>-0.17581543220319509</v>
      </c>
      <c r="GH623" s="42">
        <v>2.8222866149808086</v>
      </c>
      <c r="GI623" s="6">
        <v>7427.5619555433595</v>
      </c>
      <c r="GJ623" s="14">
        <v>0.51596255589662343</v>
      </c>
      <c r="GK623" s="14">
        <v>0.51419567426615975</v>
      </c>
      <c r="GL623" s="14">
        <v>0.48403744410337668</v>
      </c>
      <c r="GM623" s="14">
        <v>0.48580432573384036</v>
      </c>
      <c r="GO623" s="5">
        <v>338.16872463277008</v>
      </c>
      <c r="GP623" s="5">
        <v>323.86015542600148</v>
      </c>
      <c r="GQ623" s="5">
        <v>527.27910984145694</v>
      </c>
      <c r="GR623" s="5">
        <v>404.20319246551543</v>
      </c>
      <c r="GS623" s="5">
        <v>334.50205195691484</v>
      </c>
      <c r="GT623" s="5">
        <v>289.18266033348181</v>
      </c>
      <c r="GU623" s="5">
        <v>254.29573314828914</v>
      </c>
      <c r="GV623" s="39" t="s">
        <v>392</v>
      </c>
      <c r="GW623" s="5">
        <v>492.375</v>
      </c>
      <c r="GX623" s="5">
        <v>369.28125</v>
      </c>
      <c r="GY623" s="5">
        <v>295.42500000000001</v>
      </c>
      <c r="GZ623" s="5">
        <v>260.68138716125202</v>
      </c>
      <c r="HA623" s="5">
        <v>254.29573314828914</v>
      </c>
      <c r="HB623" s="39">
        <v>276.60152959714992</v>
      </c>
      <c r="HC623" s="5">
        <v>351.11483570160732</v>
      </c>
      <c r="HD623" s="5">
        <v>282.73776275539944</v>
      </c>
      <c r="HE623" s="5">
        <v>280.55735780820959</v>
      </c>
      <c r="HF623" s="5">
        <v>253.64561428438338</v>
      </c>
      <c r="HG623" s="5">
        <v>237.36506461313525</v>
      </c>
      <c r="HH623" s="39">
        <v>280.9484050143779</v>
      </c>
      <c r="HI623" s="16"/>
      <c r="HJ623" s="19" t="str">
        <f t="shared" ref="HJ623:HK623" si="2031">HJ622</f>
        <v>On</v>
      </c>
      <c r="HK623" s="1" t="str">
        <f t="shared" si="2031"/>
        <v>On</v>
      </c>
      <c r="HL623" s="16"/>
      <c r="HM623" s="639">
        <f t="shared" si="2022"/>
        <v>4.9686942767030826E-2</v>
      </c>
      <c r="HN623" s="639">
        <f t="shared" si="2022"/>
        <v>2.6112822013589915E-3</v>
      </c>
      <c r="HO623" s="639">
        <f t="shared" si="2022"/>
        <v>3.166115353075552E-2</v>
      </c>
      <c r="HP623" s="644">
        <f t="shared" si="2020"/>
        <v>208.52900013414015</v>
      </c>
      <c r="HQ623" s="644">
        <f t="shared" si="2020"/>
        <v>127.16739510406364</v>
      </c>
      <c r="HR623" s="644">
        <f t="shared" si="2020"/>
        <v>49.980914556202073</v>
      </c>
      <c r="HS623" s="644">
        <f t="shared" si="2020"/>
        <v>-65.975356553477752</v>
      </c>
      <c r="HT623" s="644">
        <f t="shared" si="2020"/>
        <v>351.42694014029735</v>
      </c>
      <c r="HU623" s="644">
        <f t="shared" si="2020"/>
        <v>86.803351813255588</v>
      </c>
      <c r="HV623" s="644">
        <f t="shared" si="2020"/>
        <v>0</v>
      </c>
      <c r="HW623" s="644">
        <f t="shared" si="2020"/>
        <v>0</v>
      </c>
      <c r="HX623" s="644">
        <f t="shared" si="2020"/>
        <v>0</v>
      </c>
      <c r="HY623" s="644">
        <f t="shared" si="2020"/>
        <v>2388</v>
      </c>
      <c r="HZ623" s="644">
        <f t="shared" si="2020"/>
        <v>2518</v>
      </c>
      <c r="IA623" s="644">
        <f t="shared" si="2020"/>
        <v>2200</v>
      </c>
      <c r="IB623" s="644">
        <f t="shared" si="2020"/>
        <v>2530.553643580663</v>
      </c>
      <c r="IC623" s="644">
        <f t="shared" si="2020"/>
        <v>2996.594335244361</v>
      </c>
      <c r="ID623" s="644">
        <f t="shared" si="2020"/>
        <v>2336.7842663694578</v>
      </c>
      <c r="IE623" s="20">
        <f t="shared" si="1977"/>
        <v>0.32179240164830292</v>
      </c>
      <c r="IF623" s="20">
        <f t="shared" si="1956"/>
        <v>0.38105546205278285</v>
      </c>
      <c r="IG623" s="20">
        <f t="shared" si="1957"/>
        <v>0.29715213629891435</v>
      </c>
      <c r="IH623" s="21"/>
      <c r="II623" s="19"/>
      <c r="IJ623" s="19"/>
      <c r="IK623" s="19"/>
      <c r="IL623" s="19">
        <f t="shared" si="1978"/>
        <v>400</v>
      </c>
      <c r="IM623" s="19">
        <f t="shared" si="1978"/>
        <v>757.81836311621555</v>
      </c>
      <c r="IN623" s="19">
        <f t="shared" si="1978"/>
        <v>284.52637657121795</v>
      </c>
      <c r="IO623" s="39"/>
      <c r="IP623" s="39"/>
      <c r="IQ623" s="39"/>
      <c r="IR623" s="39"/>
      <c r="IS623" s="39"/>
      <c r="IT623" s="39"/>
      <c r="IU623" s="39"/>
      <c r="IV623" s="39"/>
      <c r="IW623" s="39"/>
      <c r="IX623" s="19">
        <f t="shared" si="2023"/>
        <v>1600</v>
      </c>
      <c r="IY623" s="19">
        <f t="shared" si="2023"/>
        <v>2503.549291639752</v>
      </c>
      <c r="IZ623" s="19">
        <f t="shared" si="2023"/>
        <v>5888.3563810918577</v>
      </c>
      <c r="JA623" s="19">
        <f t="shared" si="2024"/>
        <v>2000</v>
      </c>
      <c r="JB623" s="19">
        <f t="shared" si="2024"/>
        <v>3261.3676547559676</v>
      </c>
      <c r="JC623" s="19">
        <f t="shared" si="2024"/>
        <v>6172.8827576630756</v>
      </c>
      <c r="JD623" s="19">
        <f t="shared" si="1981"/>
        <v>3720.6320604659586</v>
      </c>
      <c r="JE623" s="21"/>
      <c r="JF623" s="1">
        <f t="shared" si="1982"/>
        <v>6.8844376252282569E-2</v>
      </c>
      <c r="JG623" s="15">
        <f t="shared" si="1983"/>
        <v>7106</v>
      </c>
      <c r="JH623" s="1">
        <f t="shared" si="1984"/>
        <v>5.4274881761104114E-2</v>
      </c>
      <c r="JI623" s="1">
        <f t="shared" si="1985"/>
        <v>5.238600273009783E-2</v>
      </c>
      <c r="JJ623" s="1">
        <f t="shared" si="1962"/>
        <v>0</v>
      </c>
      <c r="JK623" s="1">
        <f t="shared" si="1963"/>
        <v>0.10666088449120195</v>
      </c>
      <c r="JL623" s="15">
        <f t="shared" si="2025"/>
        <v>757.93224519448108</v>
      </c>
      <c r="JM623" s="15">
        <f t="shared" si="2025"/>
        <v>7863.9322451944818</v>
      </c>
      <c r="JN623" s="21"/>
      <c r="JO623" s="19">
        <f>INDEX([1]Input!$1:$1048576,JO$93,$C623*2+6)</f>
        <v>5995.5</v>
      </c>
      <c r="JP623" s="19">
        <f>INDEX([1]Input!$1:$1048576,JP$93,$C623*2+6)</f>
        <v>1716.3055838443925</v>
      </c>
      <c r="JQ623" s="39">
        <f t="shared" si="1995"/>
        <v>2274.8679395340414</v>
      </c>
      <c r="JR623" s="39">
        <f t="shared" si="1996"/>
        <v>2004.3264766215661</v>
      </c>
      <c r="JS623" s="39">
        <f t="shared" si="1997"/>
        <v>29.258798432802635</v>
      </c>
      <c r="JT623" s="39">
        <f t="shared" si="1987"/>
        <v>17.062730954004383</v>
      </c>
      <c r="JU623" s="385">
        <f>(JQ623*JM623-INDEX([1]Input!$1:$1048576,[1]Input!A$18,$C623*2+6)*JL623*INDEX([1]Input!$1:$1048576,[1]Input!A$19,$C623*2+6))/1000000</f>
        <v>17.889407343260881</v>
      </c>
      <c r="JV623" s="39">
        <f t="shared" si="1966"/>
        <v>-12.518548177940868</v>
      </c>
      <c r="JW623" s="1">
        <f t="shared" si="2000"/>
        <v>-0.41168661172279047</v>
      </c>
      <c r="JX623" s="19">
        <f t="shared" si="2001"/>
        <v>22512.211430754189</v>
      </c>
      <c r="JZ623" s="341"/>
      <c r="KA623" s="60"/>
      <c r="KB623" s="469">
        <f t="shared" si="1988"/>
        <v>0</v>
      </c>
      <c r="KI623" s="472"/>
      <c r="KJ623" s="472"/>
      <c r="KK623" s="472"/>
      <c r="KN623" s="888">
        <f t="shared" si="1989"/>
        <v>6002</v>
      </c>
      <c r="KO623" s="541">
        <f t="shared" si="1967"/>
        <v>2.9023268897154564E-2</v>
      </c>
      <c r="KP623" s="546">
        <f t="shared" si="1968"/>
        <v>144.23874064087033</v>
      </c>
      <c r="KQ623" s="546">
        <f t="shared" si="1969"/>
        <v>123.18357017603194</v>
      </c>
      <c r="KR623" s="472">
        <f t="shared" si="1970"/>
        <v>3.2390990379995648</v>
      </c>
      <c r="KS623" s="472">
        <f t="shared" si="1971"/>
        <v>3.7927425336387639</v>
      </c>
      <c r="KT623" s="473">
        <f t="shared" si="1998"/>
        <v>2521.945896759994</v>
      </c>
      <c r="KU623" s="663">
        <f t="shared" si="1990"/>
        <v>11.212621455469447</v>
      </c>
      <c r="KV623" s="117"/>
    </row>
    <row r="624" spans="1:308" s="26" customFormat="1" ht="15">
      <c r="A624" s="561">
        <f t="shared" si="1972"/>
        <v>6024</v>
      </c>
      <c r="B624" s="561">
        <f t="shared" si="1991"/>
        <v>24</v>
      </c>
      <c r="C624" s="561">
        <f t="shared" si="1992"/>
        <v>6</v>
      </c>
      <c r="D624" s="561" t="str">
        <f t="shared" si="2028"/>
        <v xml:space="preserve">0/0/0/3.9, </v>
      </c>
      <c r="E624" s="475">
        <f>INDEX(Input!$1:$1048576,E$93,$C624*2+MIN($B624,2)+5)
+INDEX(Scenarios!E$121:E$199,MATCH($B624,Scenarios!$B$121:$B$199,0))</f>
        <v>1250.0000000000002</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63">
        <f>IFERROR(MAX(0,INDEX(Input!$1:$1048576,W$93,$C624*2+MIN($B624,2)+5)-0%,),"Market")</f>
        <v>3.9E-2</v>
      </c>
      <c r="X624" s="476" t="str">
        <f>INDEX(Input!$1:$1048576,X$93,$C624*2+MIN($B624,2)+5)</f>
        <v>Y</v>
      </c>
      <c r="Y624" s="475">
        <f>INDEX(Input!$1:$1048576,Y$93,$C624*2+MIN($B624,2)+5)
++INDEX(Scenarios!Y$121:Y$199,MATCH($B624,Scenarios!$B$121:$B$199,0))</f>
        <v>2339.3275155115825</v>
      </c>
      <c r="Z624" s="477">
        <f>INDEX(Input!$1:$1048576,Z$93,$C624*2+MIN($B624,2)+5)
+INDEX(Scenarios!Z$121:Z$199,MATCH($B624,Scenarios!$B$121:$B$199,0))</f>
        <v>0</v>
      </c>
      <c r="AA624" s="475">
        <f>INDEX(Input!$1:$1048576,AA$93,$C624*2+MIN($B624,2)+5)</f>
        <v>0</v>
      </c>
      <c r="AB624" s="476">
        <f>INDEX(Input!$1:$1048576,AB$93,$C624*2+MIN($B624,2)+5)</f>
        <v>1</v>
      </c>
      <c r="AC624" s="475">
        <f>INDEX(Input!$1:$1048576,AC$93,$C624*2+MIN($B624,2)+5)
+INDEX(Scenarios!AC$121:AC$199,MATCH($B624,Scenarios!$B$121:$B$199,0))</f>
        <v>0</v>
      </c>
      <c r="AD624" s="476">
        <f>INDEX(Input!$1:$1048576,AD$93,$C624*2+MIN($B624,2)+5)</f>
        <v>0.35</v>
      </c>
      <c r="AE624" s="475">
        <f>INDEX(Input!$1:$1048576,AE$93,$C624*2+MIN($B624,2)+5)
+INDEX(Scenarios!AE$121:AE$199,MATCH($B624,Scenarios!$B$121:$B$199,0))</f>
        <v>0</v>
      </c>
      <c r="AF624" s="476">
        <f>INDEX(Input!$1:$1048576,AF$93,$C624*2+MIN($B624,2)+5)</f>
        <v>1</v>
      </c>
      <c r="AG624" s="475">
        <f>INDEX(Input!$1:$1048576,AG$93,$C624*2+MIN($B624,2)+5)</f>
        <v>0</v>
      </c>
      <c r="AH624" s="476">
        <f>INDEX(Input!$1:$1048576,AH$93,$C624*2+MIN($B624,2)+5)</f>
        <v>1</v>
      </c>
      <c r="AI624" s="475">
        <f>INDEX(Input!$1:$1048576,AI$93,$C624*2+MIN($B624,2)+5)</f>
        <v>0</v>
      </c>
      <c r="AJ624" s="476">
        <f>INDEX(Input!$1:$1048576,AJ$93,$C624*2+MIN($B624,2)+5)</f>
        <v>0.35</v>
      </c>
      <c r="AK624" s="150">
        <f>ROUND(INDEX(Input!$1:$1048576,AK$93,$C623*2+MIN($B624,1)+5)+(Y624-VLOOKUP($C624*1000+1,$A:$HH,Y$92,FALSE)),0)</f>
        <v>5093</v>
      </c>
      <c r="AL624" s="150">
        <f>ROUND(INDEX(Input!$1:$1048576,AL$93,$C623*2+MIN($B624,1)+5)-(Y624-VLOOKUP($C624*1000+1,$A:$HH,Y$92,FALSE))/36,0)</f>
        <v>5217</v>
      </c>
      <c r="AM624" s="32" t="str">
        <f t="shared" si="1973"/>
        <v>std/std/std/std</v>
      </c>
      <c r="AN624" s="32" t="str">
        <f t="shared" si="1974"/>
        <v>$0 + 0/0/0/0/3.9</v>
      </c>
      <c r="AO624" s="32" t="str">
        <f t="shared" si="1975"/>
        <v>0/0/0/0/3.9</v>
      </c>
      <c r="AP624" s="32" t="str">
        <f t="shared" si="1939"/>
        <v>0/0/0/3.9</v>
      </c>
      <c r="AQ624" s="536">
        <f t="shared" si="1940"/>
        <v>0.3041126658614034</v>
      </c>
      <c r="AR624" s="32"/>
      <c r="AS624" s="302"/>
      <c r="AT624" s="3">
        <f t="shared" si="1993"/>
        <v>24</v>
      </c>
      <c r="AU624" s="41" t="s">
        <v>121</v>
      </c>
      <c r="AV624" s="41" t="s">
        <v>116</v>
      </c>
      <c r="AW624" s="41" t="str">
        <f>INDEX(Input!$1:$1048576,AW$93,$C624*2+6)</f>
        <v>Kia</v>
      </c>
      <c r="AX624" s="41" t="str">
        <f>INDEX(Input!$1:$1048576,AX$93,$C624*2+6)</f>
        <v>National</v>
      </c>
      <c r="AY624" s="41" t="str">
        <f>IF(LEN(D624)=0,"",INDEX(Input!$1:$1048576,AY$93,$C624*2+6))</f>
        <v>Compact Conventional/Sporty Car (43)</v>
      </c>
      <c r="AZ624" s="41" t="str">
        <f>INDEX(Input!$1:$1048576,AZ$93,$C624*2+6)</f>
        <v>Kia Forte</v>
      </c>
      <c r="BA624" s="3">
        <f>INDEX(Input!$1:$1048576,BA$93,$C624*2+6)</f>
        <v>2020</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19695</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941"/>
        <v>1465.0000000000002</v>
      </c>
      <c r="CJ624" s="16" t="str">
        <f>INDEX(Input!$1:$1048576,CJ$93,$C624*2+6)</f>
        <v>N</v>
      </c>
      <c r="CK624" s="1" t="str">
        <f t="shared" si="1942"/>
        <v>Market</v>
      </c>
      <c r="CL624" s="1" t="str">
        <f t="shared" si="1943"/>
        <v>Market</v>
      </c>
      <c r="CM624" s="1" t="str">
        <f t="shared" si="1944"/>
        <v>Market</v>
      </c>
      <c r="CN624" s="1" t="str">
        <f t="shared" si="1945"/>
        <v>Market</v>
      </c>
      <c r="CO624" s="1" t="str">
        <f t="shared" si="1946"/>
        <v>Market</v>
      </c>
      <c r="CP624" s="304">
        <f t="shared" si="1947"/>
        <v>0</v>
      </c>
      <c r="CQ624" s="1">
        <f t="shared" si="1948"/>
        <v>0</v>
      </c>
      <c r="CR624" s="1">
        <f t="shared" si="1949"/>
        <v>0</v>
      </c>
      <c r="CS624" s="1">
        <f t="shared" si="1950"/>
        <v>0</v>
      </c>
      <c r="CT624" s="1">
        <f t="shared" si="1951"/>
        <v>0</v>
      </c>
      <c r="CU624" s="1">
        <f t="shared" si="1952"/>
        <v>3.9E-2</v>
      </c>
      <c r="CV624" s="304">
        <f t="shared" si="2013"/>
        <v>2339.3275155115825</v>
      </c>
      <c r="CW624" s="20" t="s">
        <v>122</v>
      </c>
      <c r="CX624" s="20" t="s">
        <v>122</v>
      </c>
      <c r="CY624" s="20" t="s">
        <v>122</v>
      </c>
      <c r="CZ624" s="20" t="s">
        <v>122</v>
      </c>
      <c r="DA624" s="20" t="s">
        <v>122</v>
      </c>
      <c r="DB624" s="503">
        <f t="shared" si="2014"/>
        <v>0</v>
      </c>
      <c r="DC624" s="127">
        <v>0</v>
      </c>
      <c r="DD624" s="127">
        <v>0</v>
      </c>
      <c r="DE624" s="127">
        <v>0</v>
      </c>
      <c r="DF624" s="127">
        <v>0</v>
      </c>
      <c r="DG624" s="127">
        <v>0</v>
      </c>
      <c r="DH624" s="127">
        <v>0</v>
      </c>
      <c r="DI624" s="127">
        <v>0</v>
      </c>
      <c r="DJ624" s="127">
        <v>0</v>
      </c>
      <c r="DK624" s="127">
        <v>0</v>
      </c>
      <c r="DL624" s="127">
        <v>0</v>
      </c>
      <c r="DM624" s="304">
        <f>INDEX(Input!$1:$1048576,DM$93,$C624*2+6)</f>
        <v>20731.578947368424</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v>4.8899137685971004E-2</v>
      </c>
      <c r="DZ624" s="7">
        <v>0</v>
      </c>
      <c r="EA624" s="7">
        <v>0.77022352368231295</v>
      </c>
      <c r="EB624" s="7">
        <v>0</v>
      </c>
      <c r="EC624" s="7">
        <v>0</v>
      </c>
      <c r="ED624" s="7">
        <v>0</v>
      </c>
      <c r="EE624" s="7">
        <v>0</v>
      </c>
      <c r="EF624" s="7">
        <v>0</v>
      </c>
      <c r="EG624" s="7">
        <v>0</v>
      </c>
      <c r="EH624" s="7">
        <v>2.0609462660243584E-2</v>
      </c>
      <c r="EI624" s="7">
        <v>1.3476355942495397E-2</v>
      </c>
      <c r="EJ624" s="7">
        <v>0.2114753740096344</v>
      </c>
      <c r="EK624" s="7">
        <v>0.75443880738762692</v>
      </c>
      <c r="EL624" s="7">
        <v>0</v>
      </c>
      <c r="EM624" s="7">
        <v>3.6701921737518378E-2</v>
      </c>
      <c r="EN624" s="7">
        <v>3.6766958849838209E-2</v>
      </c>
      <c r="EO624" s="7">
        <v>0.38206733503377832</v>
      </c>
      <c r="EP624" s="7">
        <v>0.48271574907612574</v>
      </c>
      <c r="EQ624" s="7">
        <v>7.4710119468472475E-2</v>
      </c>
      <c r="ER624" s="7">
        <v>2.3739837571785178E-2</v>
      </c>
      <c r="ES624" s="7">
        <v>0.14417541689419772</v>
      </c>
      <c r="ET624" s="7">
        <v>0.18087733863171615</v>
      </c>
      <c r="EU624" s="6">
        <v>750</v>
      </c>
      <c r="EV624" s="6">
        <v>0</v>
      </c>
      <c r="EW624" s="6">
        <v>750</v>
      </c>
      <c r="EX624" s="6">
        <v>0</v>
      </c>
      <c r="EY624" s="6">
        <v>2156.2505092580268</v>
      </c>
      <c r="EZ624" s="6">
        <v>-1554.2676731795959</v>
      </c>
      <c r="FA624" s="6">
        <v>0</v>
      </c>
      <c r="FB624" s="6">
        <v>0</v>
      </c>
      <c r="FC624" s="6">
        <v>0</v>
      </c>
      <c r="FD624" s="6">
        <v>0</v>
      </c>
      <c r="FE624" s="6">
        <v>0</v>
      </c>
      <c r="FF624" s="6">
        <v>0</v>
      </c>
      <c r="FG624" s="6">
        <v>0</v>
      </c>
      <c r="FH624" s="6">
        <v>1158.6116417513776</v>
      </c>
      <c r="FI624" s="6">
        <v>1531.4299904380614</v>
      </c>
      <c r="FJ624" s="6">
        <v>2070.7205842538224</v>
      </c>
      <c r="FK624" s="6">
        <v>2218.639369850102</v>
      </c>
      <c r="FL624" s="6">
        <v>0</v>
      </c>
      <c r="FM624" s="6">
        <v>2156.2505092580268</v>
      </c>
      <c r="FN624" s="6">
        <v>0</v>
      </c>
      <c r="FO624" s="6">
        <v>0</v>
      </c>
      <c r="FP624" s="6">
        <v>0</v>
      </c>
      <c r="FQ624" s="6">
        <v>0</v>
      </c>
      <c r="FR624" s="6">
        <v>0</v>
      </c>
      <c r="FS624" s="6">
        <v>0</v>
      </c>
      <c r="FT624" s="7">
        <v>0.81912266136828393</v>
      </c>
      <c r="FU624" s="7">
        <v>3.6701921737518378E-2</v>
      </c>
      <c r="FV624" s="7">
        <v>0.14417541689419772</v>
      </c>
      <c r="FW624" s="6">
        <v>749.99999999999989</v>
      </c>
      <c r="FX624" s="6">
        <v>2156.2505092580268</v>
      </c>
      <c r="FY624" s="6">
        <v>-1554.2676731795959</v>
      </c>
      <c r="FZ624" s="6">
        <v>1676.0854837363124</v>
      </c>
      <c r="GA624" s="6">
        <v>469.39334371764221</v>
      </c>
      <c r="GB624" s="6">
        <v>19225.606656282358</v>
      </c>
      <c r="GC624" s="7">
        <v>6.4493561548621597E-2</v>
      </c>
      <c r="GD624" s="7">
        <v>5.3309305305800594E-2</v>
      </c>
      <c r="GE624" s="7"/>
      <c r="GF624" s="7"/>
      <c r="GG624" s="7">
        <v>-0.17341663220737483</v>
      </c>
      <c r="GH624" s="42">
        <v>2.8304158600646909</v>
      </c>
      <c r="GI624" s="6">
        <v>7427.7347937792792</v>
      </c>
      <c r="GJ624" s="14">
        <v>0.51596255589662321</v>
      </c>
      <c r="GK624" s="14">
        <v>0.51419567426615942</v>
      </c>
      <c r="GL624" s="14">
        <v>0.48403744410337657</v>
      </c>
      <c r="GM624" s="14">
        <v>0.48580432573384047</v>
      </c>
      <c r="GO624" s="5">
        <v>338.16872463277008</v>
      </c>
      <c r="GP624" s="5">
        <v>323.86015542600148</v>
      </c>
      <c r="GQ624" s="5">
        <v>527.27910984145694</v>
      </c>
      <c r="GR624" s="5">
        <v>404.20319246551543</v>
      </c>
      <c r="GS624" s="5">
        <v>334.50205195691484</v>
      </c>
      <c r="GT624" s="5">
        <v>289.18266033348181</v>
      </c>
      <c r="GU624" s="5">
        <v>254.29573314828914</v>
      </c>
      <c r="GV624" s="39" t="s">
        <v>392</v>
      </c>
      <c r="GW624" s="5">
        <v>492.375</v>
      </c>
      <c r="GX624" s="5">
        <v>369.28125</v>
      </c>
      <c r="GY624" s="5">
        <v>295.42500000000001</v>
      </c>
      <c r="GZ624" s="5">
        <v>252.98666951271395</v>
      </c>
      <c r="HA624" s="5">
        <v>254.29573314828914</v>
      </c>
      <c r="HB624" s="39">
        <v>268.46222334416291</v>
      </c>
      <c r="HC624" s="5">
        <v>351.11483570160732</v>
      </c>
      <c r="HD624" s="5">
        <v>282.73776275539944</v>
      </c>
      <c r="HE624" s="5">
        <v>280.55735780820959</v>
      </c>
      <c r="HF624" s="5">
        <v>253.64561428438338</v>
      </c>
      <c r="HG624" s="5">
        <v>237.36506461313525</v>
      </c>
      <c r="HH624" s="39">
        <v>280.94864560335787</v>
      </c>
      <c r="HI624" s="16"/>
      <c r="HJ624" s="19" t="str">
        <f t="shared" ref="HJ624:HK624" si="2032">HJ623</f>
        <v>On</v>
      </c>
      <c r="HK624" s="1" t="str">
        <f t="shared" si="2032"/>
        <v>On</v>
      </c>
      <c r="HL624" s="16"/>
      <c r="HM624" s="639">
        <f t="shared" si="2022"/>
        <v>4.9686942767030826E-2</v>
      </c>
      <c r="HN624" s="639">
        <f t="shared" si="2022"/>
        <v>2.6112822013589915E-3</v>
      </c>
      <c r="HO624" s="639">
        <f t="shared" si="2022"/>
        <v>3.166115353075552E-2</v>
      </c>
      <c r="HP624" s="644">
        <f t="shared" si="2020"/>
        <v>146.08823851462293</v>
      </c>
      <c r="HQ624" s="644">
        <f t="shared" si="2020"/>
        <v>279.94755107723103</v>
      </c>
      <c r="HR624" s="644">
        <f t="shared" si="2020"/>
        <v>26.643888473217881</v>
      </c>
      <c r="HS624" s="644">
        <f t="shared" si="2020"/>
        <v>-66.892111140476331</v>
      </c>
      <c r="HT624" s="644">
        <f t="shared" si="2020"/>
        <v>533.2623765044782</v>
      </c>
      <c r="HU624" s="644">
        <f t="shared" si="2020"/>
        <v>87.720106400254153</v>
      </c>
      <c r="HV624" s="644">
        <f t="shared" si="2020"/>
        <v>0</v>
      </c>
      <c r="HW624" s="644">
        <f t="shared" si="2020"/>
        <v>0</v>
      </c>
      <c r="HX624" s="644">
        <f t="shared" si="2020"/>
        <v>0</v>
      </c>
      <c r="HY624" s="644">
        <f t="shared" si="2020"/>
        <v>2388</v>
      </c>
      <c r="HZ624" s="644">
        <f t="shared" si="2020"/>
        <v>2518</v>
      </c>
      <c r="IA624" s="644">
        <f t="shared" si="2020"/>
        <v>2200</v>
      </c>
      <c r="IB624" s="644">
        <f t="shared" si="2020"/>
        <v>2467.1961273741472</v>
      </c>
      <c r="IC624" s="644">
        <f t="shared" si="2020"/>
        <v>3331.2099275817091</v>
      </c>
      <c r="ID624" s="644">
        <f t="shared" si="2020"/>
        <v>2314.3639948734717</v>
      </c>
      <c r="IE624" s="20">
        <f t="shared" si="1977"/>
        <v>0.3041126658614034</v>
      </c>
      <c r="IF624" s="20">
        <f t="shared" si="1956"/>
        <v>0.41061313301389446</v>
      </c>
      <c r="IG624" s="20">
        <f t="shared" si="1957"/>
        <v>0.28527420112470214</v>
      </c>
      <c r="IH624" s="21"/>
      <c r="II624" s="19"/>
      <c r="IJ624" s="19"/>
      <c r="IK624" s="19"/>
      <c r="IL624" s="19">
        <f t="shared" si="1978"/>
        <v>400</v>
      </c>
      <c r="IM624" s="19">
        <f t="shared" si="1978"/>
        <v>1133.6792371814249</v>
      </c>
      <c r="IN624" s="19">
        <f t="shared" si="1978"/>
        <v>285.73767977397802</v>
      </c>
      <c r="IO624" s="39"/>
      <c r="IP624" s="39"/>
      <c r="IQ624" s="39"/>
      <c r="IR624" s="39"/>
      <c r="IS624" s="39"/>
      <c r="IT624" s="39"/>
      <c r="IU624" s="39"/>
      <c r="IV624" s="39"/>
      <c r="IW624" s="39"/>
      <c r="IX624" s="19">
        <f t="shared" si="2023"/>
        <v>1600</v>
      </c>
      <c r="IY624" s="19">
        <f t="shared" si="2023"/>
        <v>2503.549291639752</v>
      </c>
      <c r="IZ624" s="19">
        <f t="shared" si="2023"/>
        <v>5888.3563810918577</v>
      </c>
      <c r="JA624" s="19">
        <f t="shared" si="2024"/>
        <v>2000</v>
      </c>
      <c r="JB624" s="19">
        <f t="shared" si="2024"/>
        <v>3637.228528821177</v>
      </c>
      <c r="JC624" s="19">
        <f t="shared" si="2024"/>
        <v>6174.0940608658357</v>
      </c>
      <c r="JD624" s="19">
        <f t="shared" si="1981"/>
        <v>3863.0288843118578</v>
      </c>
      <c r="JE624" s="21"/>
      <c r="JF624" s="1">
        <f t="shared" si="1982"/>
        <v>6.8844376252282569E-2</v>
      </c>
      <c r="JG624" s="15">
        <f t="shared" si="1983"/>
        <v>7106</v>
      </c>
      <c r="JH624" s="1">
        <f t="shared" si="1984"/>
        <v>6.3703866882222321E-2</v>
      </c>
      <c r="JI624" s="1">
        <f t="shared" si="1985"/>
        <v>7.7975003062799891E-2</v>
      </c>
      <c r="JJ624" s="1">
        <f t="shared" si="1962"/>
        <v>0</v>
      </c>
      <c r="JK624" s="1">
        <f t="shared" si="1963"/>
        <v>0.14167886994502224</v>
      </c>
      <c r="JL624" s="15">
        <f t="shared" si="2025"/>
        <v>1006.7700498293279</v>
      </c>
      <c r="JM624" s="15">
        <f t="shared" si="2025"/>
        <v>8112.770049829327</v>
      </c>
      <c r="JN624" s="21"/>
      <c r="JO624" s="19">
        <f>INDEX([1]Input!$1:$1048576,JO$93,$C624*2+6)</f>
        <v>5995.5</v>
      </c>
      <c r="JP624" s="19">
        <f>INDEX([1]Input!$1:$1048576,JP$93,$C624*2+6)</f>
        <v>1716.3055838443925</v>
      </c>
      <c r="JQ624" s="39">
        <f t="shared" si="1995"/>
        <v>2132.4711156881422</v>
      </c>
      <c r="JR624" s="39">
        <f t="shared" si="1996"/>
        <v>2146.7233004674654</v>
      </c>
      <c r="JS624" s="39">
        <f t="shared" si="1997"/>
        <v>31.33986503427084</v>
      </c>
      <c r="JT624" s="39">
        <f t="shared" si="1987"/>
        <v>19.143797555472592</v>
      </c>
      <c r="JU624" s="385">
        <f>(JQ624*JM624-INDEX([1]Input!$1:$1048576,[1]Input!A$18,$C624*2+6)*JL624*INDEX([1]Input!$1:$1048576,[1]Input!A$19,$C624*2+6))/1000000</f>
        <v>17.300247799480889</v>
      </c>
      <c r="JV624" s="39">
        <f t="shared" si="1966"/>
        <v>-13.10770772172086</v>
      </c>
      <c r="JW624" s="1">
        <f t="shared" si="2000"/>
        <v>-0.43106178949063501</v>
      </c>
      <c r="JX624" s="19">
        <f t="shared" si="2001"/>
        <v>19015.064620484023</v>
      </c>
      <c r="JZ624" s="341"/>
      <c r="KA624" s="60"/>
      <c r="KB624" s="469">
        <f t="shared" si="1988"/>
        <v>0</v>
      </c>
      <c r="KI624" s="472"/>
      <c r="KJ624" s="472"/>
      <c r="KK624" s="472"/>
      <c r="KN624" s="888">
        <f t="shared" si="1989"/>
        <v>6002</v>
      </c>
      <c r="KO624" s="541">
        <f t="shared" si="1967"/>
        <v>6.15845732378697E-2</v>
      </c>
      <c r="KP624" s="546">
        <f t="shared" si="1968"/>
        <v>309.17544266777043</v>
      </c>
      <c r="KQ624" s="546">
        <f t="shared" si="1969"/>
        <v>265.58039402193117</v>
      </c>
      <c r="KR624" s="472">
        <f t="shared" si="1970"/>
        <v>3.206466953992213</v>
      </c>
      <c r="KS624" s="472">
        <f t="shared" si="1971"/>
        <v>3.7328088300759701</v>
      </c>
      <c r="KT624" s="473">
        <f t="shared" si="1998"/>
        <v>2521.945896759994</v>
      </c>
      <c r="KU624" s="663">
        <f t="shared" si="1990"/>
        <v>11.302356954522903</v>
      </c>
      <c r="KV624" s="117"/>
    </row>
    <row r="625" spans="1:308" s="26" customFormat="1" ht="15">
      <c r="A625" s="561">
        <f t="shared" si="1972"/>
        <v>6025</v>
      </c>
      <c r="B625" s="561">
        <f t="shared" si="1991"/>
        <v>25</v>
      </c>
      <c r="C625" s="561">
        <f t="shared" si="1992"/>
        <v>6</v>
      </c>
      <c r="D625" s="561" t="str">
        <f t="shared" si="2028"/>
        <v xml:space="preserve">0.9/1.9/2.9/3.9, </v>
      </c>
      <c r="E625" s="475">
        <f>INDEX(Input!$1:$1048576,E$93,$C625*2+MIN($B625,2)+5)
+INDEX(Scenarios!E$121:E$199,MATCH($B625,Scenarios!$B$121:$B$199,0))</f>
        <v>1250.0000000000002</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2.8999999999999998E-2</v>
      </c>
      <c r="W625" s="863">
        <f>IFERROR(MAX(0,INDEX(Input!$1:$1048576,W$93,$C625*2+MIN($B625,2)+5)-0%,),"Market")</f>
        <v>3.9E-2</v>
      </c>
      <c r="X625" s="476" t="str">
        <f>INDEX(Input!$1:$1048576,X$93,$C625*2+MIN($B625,2)+5)</f>
        <v>Y</v>
      </c>
      <c r="Y625" s="475">
        <f>INDEX(Input!$1:$1048576,Y$93,$C625*2+MIN($B625,2)+5)
++INDEX(Scenarios!Y$121:Y$199,MATCH($B625,Scenarios!$B$121:$B$199,0))</f>
        <v>2339.3275155115825</v>
      </c>
      <c r="Z625" s="477">
        <f>INDEX(Input!$1:$1048576,Z$93,$C625*2+MIN($B625,2)+5)
+INDEX(Scenarios!Z$121:Z$199,MATCH($B625,Scenarios!$B$121:$B$199,0))</f>
        <v>0</v>
      </c>
      <c r="AA625" s="475">
        <f>INDEX(Input!$1:$1048576,AA$93,$C625*2+MIN($B625,2)+5)</f>
        <v>0</v>
      </c>
      <c r="AB625" s="476">
        <f>INDEX(Input!$1:$1048576,AB$93,$C625*2+MIN($B625,2)+5)</f>
        <v>1</v>
      </c>
      <c r="AC625" s="475">
        <f>INDEX(Input!$1:$1048576,AC$93,$C625*2+MIN($B625,2)+5)
+INDEX(Scenarios!AC$121:AC$199,MATCH($B625,Scenarios!$B$121:$B$199,0))</f>
        <v>0</v>
      </c>
      <c r="AD625" s="476">
        <f>INDEX(Input!$1:$1048576,AD$93,$C625*2+MIN($B625,2)+5)</f>
        <v>0.35</v>
      </c>
      <c r="AE625" s="475">
        <f>INDEX(Input!$1:$1048576,AE$93,$C625*2+MIN($B625,2)+5)
+INDEX(Scenarios!AE$121:AE$199,MATCH($B625,Scenarios!$B$121:$B$199,0))</f>
        <v>0</v>
      </c>
      <c r="AF625" s="476">
        <f>INDEX(Input!$1:$1048576,AF$93,$C625*2+MIN($B625,2)+5)</f>
        <v>1</v>
      </c>
      <c r="AG625" s="475">
        <f>INDEX(Input!$1:$1048576,AG$93,$C625*2+MIN($B625,2)+5)</f>
        <v>0</v>
      </c>
      <c r="AH625" s="476">
        <f>INDEX(Input!$1:$1048576,AH$93,$C625*2+MIN($B625,2)+5)</f>
        <v>1</v>
      </c>
      <c r="AI625" s="475">
        <f>INDEX(Input!$1:$1048576,AI$93,$C625*2+MIN($B625,2)+5)</f>
        <v>0</v>
      </c>
      <c r="AJ625" s="476">
        <f>INDEX(Input!$1:$1048576,AJ$93,$C625*2+MIN($B625,2)+5)</f>
        <v>0.35</v>
      </c>
      <c r="AK625" s="150">
        <f>ROUND(INDEX(Input!$1:$1048576,AK$93,$C624*2+MIN($B625,1)+5)+(Y625-VLOOKUP($C625*1000+1,$A:$HH,Y$92,FALSE)),0)</f>
        <v>5093</v>
      </c>
      <c r="AL625" s="150">
        <f>ROUND(INDEX(Input!$1:$1048576,AL$93,$C624*2+MIN($B625,1)+5)-(Y625-VLOOKUP($C625*1000+1,$A:$HH,Y$92,FALSE))/36,0)</f>
        <v>5217</v>
      </c>
      <c r="AM625" s="32" t="str">
        <f t="shared" si="1973"/>
        <v>std/std/std/std</v>
      </c>
      <c r="AN625" s="32" t="str">
        <f t="shared" si="1974"/>
        <v>$0 + 0.9/0.9/0.9/2.9/3.9</v>
      </c>
      <c r="AO625" s="32" t="str">
        <f t="shared" si="1975"/>
        <v>0.9/0.9/0.9/2.9/3.9</v>
      </c>
      <c r="AP625" s="32" t="str">
        <f t="shared" si="1939"/>
        <v>0.9/1.9/2.9/3.9</v>
      </c>
      <c r="AQ625" s="536">
        <f t="shared" si="1940"/>
        <v>0.35341536553114278</v>
      </c>
      <c r="AR625" s="32"/>
      <c r="AS625" s="302"/>
      <c r="AT625" s="3">
        <f t="shared" si="1993"/>
        <v>25</v>
      </c>
      <c r="AU625" s="41" t="s">
        <v>121</v>
      </c>
      <c r="AV625" s="41" t="s">
        <v>116</v>
      </c>
      <c r="AW625" s="41" t="str">
        <f>INDEX(Input!$1:$1048576,AW$93,$C625*2+6)</f>
        <v>Kia</v>
      </c>
      <c r="AX625" s="41" t="str">
        <f>INDEX(Input!$1:$1048576,AX$93,$C625*2+6)</f>
        <v>National</v>
      </c>
      <c r="AY625" s="41" t="str">
        <f>IF(LEN(D625)=0,"",INDEX(Input!$1:$1048576,AY$93,$C625*2+6))</f>
        <v>Compact Conventional/Sporty Car (43)</v>
      </c>
      <c r="AZ625" s="41" t="str">
        <f>INDEX(Input!$1:$1048576,AZ$93,$C625*2+6)</f>
        <v>Kia Forte</v>
      </c>
      <c r="BA625" s="3">
        <f>INDEX(Input!$1:$1048576,BA$93,$C625*2+6)</f>
        <v>2020</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19695</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941"/>
        <v>1465.0000000000002</v>
      </c>
      <c r="CJ625" s="16" t="str">
        <f>INDEX(Input!$1:$1048576,CJ$93,$C625*2+6)</f>
        <v>N</v>
      </c>
      <c r="CK625" s="1" t="str">
        <f t="shared" si="1942"/>
        <v>Market</v>
      </c>
      <c r="CL625" s="1" t="str">
        <f t="shared" si="1943"/>
        <v>Market</v>
      </c>
      <c r="CM625" s="1" t="str">
        <f t="shared" si="1944"/>
        <v>Market</v>
      </c>
      <c r="CN625" s="1" t="str">
        <f t="shared" si="1945"/>
        <v>Market</v>
      </c>
      <c r="CO625" s="1" t="str">
        <f t="shared" si="1946"/>
        <v>Market</v>
      </c>
      <c r="CP625" s="304">
        <f t="shared" si="1947"/>
        <v>0</v>
      </c>
      <c r="CQ625" s="1">
        <f t="shared" si="1948"/>
        <v>9.0000000000000011E-3</v>
      </c>
      <c r="CR625" s="1">
        <f t="shared" si="1949"/>
        <v>9.0000000000000011E-3</v>
      </c>
      <c r="CS625" s="1">
        <f t="shared" si="1950"/>
        <v>9.0000000000000011E-3</v>
      </c>
      <c r="CT625" s="1">
        <f t="shared" si="1951"/>
        <v>2.8999999999999998E-2</v>
      </c>
      <c r="CU625" s="1">
        <f t="shared" si="1952"/>
        <v>3.9E-2</v>
      </c>
      <c r="CV625" s="304">
        <f t="shared" si="2013"/>
        <v>2339.3275155115825</v>
      </c>
      <c r="CW625" s="20" t="s">
        <v>122</v>
      </c>
      <c r="CX625" s="20" t="s">
        <v>122</v>
      </c>
      <c r="CY625" s="20" t="s">
        <v>122</v>
      </c>
      <c r="CZ625" s="20" t="s">
        <v>122</v>
      </c>
      <c r="DA625" s="20" t="s">
        <v>122</v>
      </c>
      <c r="DB625" s="503">
        <f t="shared" si="2014"/>
        <v>0</v>
      </c>
      <c r="DC625" s="127">
        <v>0</v>
      </c>
      <c r="DD625" s="127">
        <v>0</v>
      </c>
      <c r="DE625" s="127">
        <v>0</v>
      </c>
      <c r="DF625" s="127">
        <v>0</v>
      </c>
      <c r="DG625" s="127">
        <v>0</v>
      </c>
      <c r="DH625" s="127">
        <v>0</v>
      </c>
      <c r="DI625" s="127">
        <v>0</v>
      </c>
      <c r="DJ625" s="127">
        <v>0</v>
      </c>
      <c r="DK625" s="127">
        <v>0</v>
      </c>
      <c r="DL625" s="127">
        <v>0</v>
      </c>
      <c r="DM625" s="304">
        <f>INDEX(Input!$1:$1048576,DM$93,$C625*2+6)</f>
        <v>20731.578947368424</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v>4.9940925645966028E-2</v>
      </c>
      <c r="DZ625" s="7">
        <v>0</v>
      </c>
      <c r="EA625" s="7">
        <v>0.78326429470261671</v>
      </c>
      <c r="EB625" s="7">
        <v>0</v>
      </c>
      <c r="EC625" s="7">
        <v>0</v>
      </c>
      <c r="ED625" s="7">
        <v>0</v>
      </c>
      <c r="EE625" s="7">
        <v>0</v>
      </c>
      <c r="EF625" s="7">
        <v>0</v>
      </c>
      <c r="EG625" s="7">
        <v>0</v>
      </c>
      <c r="EH625" s="7">
        <v>3.5556721053267848E-2</v>
      </c>
      <c r="EI625" s="7">
        <v>2.3145473460007011E-2</v>
      </c>
      <c r="EJ625" s="7">
        <v>0.29057886066019017</v>
      </c>
      <c r="EK625" s="7">
        <v>0.65071894482653514</v>
      </c>
      <c r="EL625" s="7">
        <v>0</v>
      </c>
      <c r="EM625" s="7">
        <v>1.9491632521292948E-2</v>
      </c>
      <c r="EN625" s="7">
        <v>3.6752208111608384E-2</v>
      </c>
      <c r="EO625" s="7">
        <v>0.38210682458924405</v>
      </c>
      <c r="EP625" s="7">
        <v>0.4826900957677126</v>
      </c>
      <c r="EQ625" s="7">
        <v>7.4714070516359213E-2</v>
      </c>
      <c r="ER625" s="7">
        <v>2.3736801015075873E-2</v>
      </c>
      <c r="ES625" s="7">
        <v>0.14730314713012432</v>
      </c>
      <c r="ET625" s="7">
        <v>0.16679477965141726</v>
      </c>
      <c r="EU625" s="6">
        <v>750</v>
      </c>
      <c r="EV625" s="6">
        <v>0</v>
      </c>
      <c r="EW625" s="6">
        <v>750</v>
      </c>
      <c r="EX625" s="6">
        <v>0</v>
      </c>
      <c r="EY625" s="6">
        <v>945.59711452507145</v>
      </c>
      <c r="EZ625" s="6">
        <v>-1554.2676731795959</v>
      </c>
      <c r="FA625" s="6">
        <v>0</v>
      </c>
      <c r="FB625" s="6">
        <v>0</v>
      </c>
      <c r="FC625" s="6">
        <v>0</v>
      </c>
      <c r="FD625" s="6">
        <v>0</v>
      </c>
      <c r="FE625" s="6">
        <v>0</v>
      </c>
      <c r="FF625" s="6">
        <v>0</v>
      </c>
      <c r="FG625" s="6">
        <v>0</v>
      </c>
      <c r="FH625" s="6">
        <v>930.21543558203359</v>
      </c>
      <c r="FI625" s="6">
        <v>1232.1164465304225</v>
      </c>
      <c r="FJ625" s="6">
        <v>1302.9658415685933</v>
      </c>
      <c r="FK625" s="6">
        <v>776.66319621661717</v>
      </c>
      <c r="FL625" s="6">
        <v>0</v>
      </c>
      <c r="FM625" s="6">
        <v>945.59711452507145</v>
      </c>
      <c r="FN625" s="6">
        <v>0</v>
      </c>
      <c r="FO625" s="6">
        <v>0</v>
      </c>
      <c r="FP625" s="6">
        <v>0</v>
      </c>
      <c r="FQ625" s="6">
        <v>0</v>
      </c>
      <c r="FR625" s="6">
        <v>0</v>
      </c>
      <c r="FS625" s="6">
        <v>0</v>
      </c>
      <c r="FT625" s="7">
        <v>0.83320522034858269</v>
      </c>
      <c r="FU625" s="7">
        <v>1.9491632521292948E-2</v>
      </c>
      <c r="FV625" s="7">
        <v>0.14730314713012432</v>
      </c>
      <c r="FW625" s="6">
        <v>750.00000000000011</v>
      </c>
      <c r="FX625" s="6">
        <v>945.59711452507145</v>
      </c>
      <c r="FY625" s="6">
        <v>-1554.2676731795959</v>
      </c>
      <c r="FZ625" s="6">
        <v>1676.0854837363124</v>
      </c>
      <c r="GA625" s="6">
        <v>414.38662698898474</v>
      </c>
      <c r="GB625" s="6">
        <v>19280.613373011016</v>
      </c>
      <c r="GC625" s="7">
        <v>6.4493561548621597E-2</v>
      </c>
      <c r="GD625" s="7">
        <v>5.2757792346495656E-2</v>
      </c>
      <c r="GE625" s="7"/>
      <c r="GF625" s="7"/>
      <c r="GG625" s="7">
        <v>-0.18196807433682141</v>
      </c>
      <c r="GH625" s="42">
        <v>2.8405044554791212</v>
      </c>
      <c r="GI625" s="6">
        <v>7348.0141951520327</v>
      </c>
      <c r="GJ625" s="14">
        <v>0.51596255589662321</v>
      </c>
      <c r="GK625" s="14">
        <v>0.51419567426615964</v>
      </c>
      <c r="GL625" s="14">
        <v>0.48403744410337646</v>
      </c>
      <c r="GM625" s="14">
        <v>0.48580432573384025</v>
      </c>
      <c r="GO625" s="5">
        <v>338.16872463277008</v>
      </c>
      <c r="GP625" s="5">
        <v>323.86015542600148</v>
      </c>
      <c r="GQ625" s="5">
        <v>527.27910984145694</v>
      </c>
      <c r="GR625" s="5">
        <v>404.20319246551543</v>
      </c>
      <c r="GS625" s="5">
        <v>334.50205195691484</v>
      </c>
      <c r="GT625" s="5">
        <v>289.18266033348181</v>
      </c>
      <c r="GU625" s="5">
        <v>254.29573314828914</v>
      </c>
      <c r="GV625" s="39" t="s">
        <v>392</v>
      </c>
      <c r="GW625" s="5">
        <v>499.23658026051567</v>
      </c>
      <c r="GX625" s="5">
        <v>376.10664223131414</v>
      </c>
      <c r="GY625" s="5">
        <v>309.91347913050362</v>
      </c>
      <c r="GZ625" s="5">
        <v>276.51178903140271</v>
      </c>
      <c r="HA625" s="5">
        <v>254.29573314828914</v>
      </c>
      <c r="HB625" s="39">
        <v>296.44214738939695</v>
      </c>
      <c r="HC625" s="5">
        <v>351.11483570160732</v>
      </c>
      <c r="HD625" s="5">
        <v>282.73776275539944</v>
      </c>
      <c r="HE625" s="5">
        <v>280.55735780820959</v>
      </c>
      <c r="HF625" s="5">
        <v>253.64561428438338</v>
      </c>
      <c r="HG625" s="5">
        <v>237.36506461313525</v>
      </c>
      <c r="HH625" s="39">
        <v>280.94771575795374</v>
      </c>
      <c r="HI625" s="16"/>
      <c r="HJ625" s="19" t="str">
        <f t="shared" ref="HJ625:HK625" si="2033">HJ624</f>
        <v>On</v>
      </c>
      <c r="HK625" s="1" t="str">
        <f t="shared" si="2033"/>
        <v>On</v>
      </c>
      <c r="HL625" s="16"/>
      <c r="HM625" s="639">
        <f t="shared" si="2022"/>
        <v>4.9686942767030826E-2</v>
      </c>
      <c r="HN625" s="639">
        <f t="shared" si="2022"/>
        <v>2.6112822013589915E-3</v>
      </c>
      <c r="HO625" s="639">
        <f t="shared" si="2022"/>
        <v>3.166115353075552E-2</v>
      </c>
      <c r="HP625" s="644">
        <f t="shared" si="2020"/>
        <v>290.15879069477216</v>
      </c>
      <c r="HQ625" s="644">
        <f t="shared" si="2020"/>
        <v>-77.798986132945046</v>
      </c>
      <c r="HR625" s="644">
        <f t="shared" si="2020"/>
        <v>82.804519929019989</v>
      </c>
      <c r="HS625" s="644">
        <f t="shared" si="2020"/>
        <v>-64.0803581511245</v>
      </c>
      <c r="HT625" s="644">
        <f t="shared" si="2020"/>
        <v>-25.374380926749183</v>
      </c>
      <c r="HU625" s="644">
        <f t="shared" si="2020"/>
        <v>84.90835341090235</v>
      </c>
      <c r="HV625" s="644">
        <f t="shared" si="2020"/>
        <v>0</v>
      </c>
      <c r="HW625" s="644">
        <f t="shared" si="2020"/>
        <v>0</v>
      </c>
      <c r="HX625" s="644">
        <f t="shared" si="2020"/>
        <v>0</v>
      </c>
      <c r="HY625" s="644">
        <f t="shared" si="2020"/>
        <v>2388</v>
      </c>
      <c r="HZ625" s="644">
        <f t="shared" si="2020"/>
        <v>2518</v>
      </c>
      <c r="IA625" s="644">
        <f t="shared" si="2020"/>
        <v>2200</v>
      </c>
      <c r="IB625" s="644">
        <f t="shared" si="2020"/>
        <v>2614.078432543648</v>
      </c>
      <c r="IC625" s="644">
        <f t="shared" si="2020"/>
        <v>2414.8266329403054</v>
      </c>
      <c r="ID625" s="644">
        <f t="shared" si="2020"/>
        <v>2367.7128733399227</v>
      </c>
      <c r="IE625" s="20">
        <f t="shared" si="1977"/>
        <v>0.35341536553114278</v>
      </c>
      <c r="IF625" s="20">
        <f t="shared" si="1956"/>
        <v>0.32647713494368791</v>
      </c>
      <c r="IG625" s="20">
        <f t="shared" si="1957"/>
        <v>0.32010749952516931</v>
      </c>
      <c r="IH625" s="21"/>
      <c r="II625" s="19"/>
      <c r="IJ625" s="19"/>
      <c r="IK625" s="19"/>
      <c r="IL625" s="19">
        <f t="shared" si="1978"/>
        <v>399.99999999999955</v>
      </c>
      <c r="IM625" s="19">
        <f t="shared" si="1978"/>
        <v>-21.549697926935551</v>
      </c>
      <c r="IN625" s="19">
        <f t="shared" si="1978"/>
        <v>282.87006945080157</v>
      </c>
      <c r="IO625" s="39"/>
      <c r="IP625" s="39"/>
      <c r="IQ625" s="39"/>
      <c r="IR625" s="39"/>
      <c r="IS625" s="39"/>
      <c r="IT625" s="39"/>
      <c r="IU625" s="39"/>
      <c r="IV625" s="39"/>
      <c r="IW625" s="39"/>
      <c r="IX625" s="19">
        <f t="shared" si="2023"/>
        <v>1600</v>
      </c>
      <c r="IY625" s="19">
        <f t="shared" si="2023"/>
        <v>2503.549291639752</v>
      </c>
      <c r="IZ625" s="19">
        <f t="shared" si="2023"/>
        <v>5888.3563810918577</v>
      </c>
      <c r="JA625" s="19">
        <f t="shared" si="2024"/>
        <v>1999.9999999999995</v>
      </c>
      <c r="JB625" s="19">
        <f t="shared" si="2024"/>
        <v>2481.9995937128165</v>
      </c>
      <c r="JC625" s="19">
        <f t="shared" si="2024"/>
        <v>6171.2264505426592</v>
      </c>
      <c r="JD625" s="19">
        <f t="shared" si="1981"/>
        <v>3492.6027154358399</v>
      </c>
      <c r="JE625" s="21"/>
      <c r="JF625" s="1">
        <f t="shared" si="1982"/>
        <v>6.8844376252282569E-2</v>
      </c>
      <c r="JG625" s="15">
        <f t="shared" si="1983"/>
        <v>7106</v>
      </c>
      <c r="JH625" s="1">
        <f t="shared" si="1984"/>
        <v>4.1537338093279919E-2</v>
      </c>
      <c r="JI625" s="1">
        <f t="shared" si="1985"/>
        <v>-6.397953373165399E-4</v>
      </c>
      <c r="JJ625" s="1">
        <f t="shared" si="1962"/>
        <v>0</v>
      </c>
      <c r="JK625" s="1">
        <f t="shared" si="1963"/>
        <v>4.0897542755963377E-2</v>
      </c>
      <c r="JL625" s="15">
        <f t="shared" si="2025"/>
        <v>290.61793882387576</v>
      </c>
      <c r="JM625" s="15">
        <f t="shared" si="2025"/>
        <v>7396.6179388238761</v>
      </c>
      <c r="JN625" s="21"/>
      <c r="JO625" s="19">
        <f>INDEX([1]Input!$1:$1048576,JO$93,$C625*2+6)</f>
        <v>5995.5</v>
      </c>
      <c r="JP625" s="19">
        <f>INDEX([1]Input!$1:$1048576,JP$93,$C625*2+6)</f>
        <v>1716.3055838443925</v>
      </c>
      <c r="JQ625" s="39">
        <f t="shared" si="1995"/>
        <v>2502.8972845641601</v>
      </c>
      <c r="JR625" s="39">
        <f t="shared" si="1996"/>
        <v>1776.2971315914474</v>
      </c>
      <c r="JS625" s="39">
        <f t="shared" si="1997"/>
        <v>25.833447898177713</v>
      </c>
      <c r="JT625" s="39">
        <f t="shared" si="1987"/>
        <v>13.637380419379459</v>
      </c>
      <c r="JU625" s="385">
        <f>(JQ625*JM625-INDEX([1]Input!$1:$1048576,[1]Input!A$18,$C625*2+6)*JL625*INDEX([1]Input!$1:$1048576,[1]Input!A$19,$C625*2+6))/1000000</f>
        <v>18.512974954040835</v>
      </c>
      <c r="JV625" s="39">
        <f t="shared" si="1966"/>
        <v>-11.894980567160914</v>
      </c>
      <c r="JW625" s="1">
        <f t="shared" si="2000"/>
        <v>-0.391179885765987</v>
      </c>
      <c r="JX625" s="19">
        <f t="shared" si="2001"/>
        <v>46925.459847969571</v>
      </c>
      <c r="JZ625" s="341"/>
      <c r="KA625" s="60"/>
      <c r="KB625" s="469">
        <f t="shared" si="1988"/>
        <v>0</v>
      </c>
      <c r="KI625" s="472"/>
      <c r="KJ625" s="472"/>
      <c r="KK625" s="472"/>
      <c r="KN625" s="888">
        <f t="shared" si="1989"/>
        <v>6002</v>
      </c>
      <c r="KO625" s="541">
        <f t="shared" si="1967"/>
        <v>-3.2126456221311828E-2</v>
      </c>
      <c r="KP625" s="546">
        <f t="shared" si="1968"/>
        <v>-129.6510018698948</v>
      </c>
      <c r="KQ625" s="546">
        <f t="shared" si="1969"/>
        <v>-104.84577485408681</v>
      </c>
      <c r="KR625" s="472">
        <f t="shared" si="1970"/>
        <v>3.9888414002846022</v>
      </c>
      <c r="KS625" s="472">
        <f t="shared" si="1971"/>
        <v>4.9325524520824731</v>
      </c>
      <c r="KT625" s="473">
        <f t="shared" si="1998"/>
        <v>2521.945896759994</v>
      </c>
      <c r="KU625" s="663">
        <f t="shared" si="1990"/>
        <v>10.899772440629995</v>
      </c>
      <c r="KV625" s="117"/>
    </row>
    <row r="626" spans="1:308" s="26" customFormat="1" ht="15">
      <c r="A626" s="561">
        <f t="shared" si="1972"/>
        <v>6026</v>
      </c>
      <c r="B626" s="561">
        <f t="shared" si="1991"/>
        <v>26</v>
      </c>
      <c r="C626" s="561">
        <f t="shared" si="1992"/>
        <v>6</v>
      </c>
      <c r="D626" s="561" t="str">
        <f t="shared" si="2028"/>
        <v xml:space="preserve">1.9/2.9/3.9/3.9, </v>
      </c>
      <c r="E626" s="475">
        <f>INDEX(Input!$1:$1048576,E$93,$C626*2+MIN($B626,2)+5)
+INDEX(Scenarios!E$121:E$199,MATCH($B626,Scenarios!$B$121:$B$199,0))</f>
        <v>1250.0000000000002</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3.8999999999999993E-2</v>
      </c>
      <c r="W626" s="863">
        <f>IFERROR(MAX(0,INDEX(Input!$1:$1048576,W$93,$C626*2+MIN($B626,2)+5)-0%,),"Market")</f>
        <v>3.9E-2</v>
      </c>
      <c r="X626" s="476" t="str">
        <f>INDEX(Input!$1:$1048576,X$93,$C626*2+MIN($B626,2)+5)</f>
        <v>Y</v>
      </c>
      <c r="Y626" s="475">
        <f>INDEX(Input!$1:$1048576,Y$93,$C626*2+MIN($B626,2)+5)
++INDEX(Scenarios!Y$121:Y$199,MATCH($B626,Scenarios!$B$121:$B$199,0))</f>
        <v>2339.3275155115825</v>
      </c>
      <c r="Z626" s="477">
        <f>INDEX(Input!$1:$1048576,Z$93,$C626*2+MIN($B626,2)+5)
+INDEX(Scenarios!Z$121:Z$199,MATCH($B626,Scenarios!$B$121:$B$199,0))</f>
        <v>0</v>
      </c>
      <c r="AA626" s="475">
        <f>INDEX(Input!$1:$1048576,AA$93,$C626*2+MIN($B626,2)+5)</f>
        <v>0</v>
      </c>
      <c r="AB626" s="476">
        <f>INDEX(Input!$1:$1048576,AB$93,$C626*2+MIN($B626,2)+5)</f>
        <v>1</v>
      </c>
      <c r="AC626" s="475">
        <f>INDEX(Input!$1:$1048576,AC$93,$C626*2+MIN($B626,2)+5)
+INDEX(Scenarios!AC$121:AC$199,MATCH($B626,Scenarios!$B$121:$B$199,0))</f>
        <v>0</v>
      </c>
      <c r="AD626" s="476">
        <f>INDEX(Input!$1:$1048576,AD$93,$C626*2+MIN($B626,2)+5)</f>
        <v>0.35</v>
      </c>
      <c r="AE626" s="475">
        <f>INDEX(Input!$1:$1048576,AE$93,$C626*2+MIN($B626,2)+5)
+INDEX(Scenarios!AE$121:AE$199,MATCH($B626,Scenarios!$B$121:$B$199,0))</f>
        <v>0</v>
      </c>
      <c r="AF626" s="476">
        <f>INDEX(Input!$1:$1048576,AF$93,$C626*2+MIN($B626,2)+5)</f>
        <v>1</v>
      </c>
      <c r="AG626" s="475">
        <f>INDEX(Input!$1:$1048576,AG$93,$C626*2+MIN($B626,2)+5)</f>
        <v>0</v>
      </c>
      <c r="AH626" s="476">
        <f>INDEX(Input!$1:$1048576,AH$93,$C626*2+MIN($B626,2)+5)</f>
        <v>1</v>
      </c>
      <c r="AI626" s="475">
        <f>INDEX(Input!$1:$1048576,AI$93,$C626*2+MIN($B626,2)+5)</f>
        <v>0</v>
      </c>
      <c r="AJ626" s="476">
        <f>INDEX(Input!$1:$1048576,AJ$93,$C626*2+MIN($B626,2)+5)</f>
        <v>0.35</v>
      </c>
      <c r="AK626" s="150">
        <f>ROUND(INDEX(Input!$1:$1048576,AK$93,$C625*2+MIN($B626,1)+5)+(Y626-VLOOKUP($C626*1000+1,$A:$HH,Y$92,FALSE)),0)</f>
        <v>5093</v>
      </c>
      <c r="AL626" s="150">
        <f>ROUND(INDEX(Input!$1:$1048576,AL$93,$C625*2+MIN($B626,1)+5)-(Y626-VLOOKUP($C626*1000+1,$A:$HH,Y$92,FALSE))/36,0)</f>
        <v>5217</v>
      </c>
      <c r="AM626" s="32" t="str">
        <f t="shared" si="1973"/>
        <v>std/std/std/std</v>
      </c>
      <c r="AN626" s="32" t="str">
        <f t="shared" si="1974"/>
        <v>$0 + 1.9/1.9/1.9/3.9/3.9</v>
      </c>
      <c r="AO626" s="32" t="str">
        <f t="shared" si="1975"/>
        <v>1.9/1.9/1.9/3.9/3.9</v>
      </c>
      <c r="AP626" s="32" t="str">
        <f t="shared" si="1939"/>
        <v>1.9/2.9/3.9/3.9</v>
      </c>
      <c r="AQ626" s="536">
        <f t="shared" si="1940"/>
        <v>0.36820180683705073</v>
      </c>
      <c r="AR626" s="32"/>
      <c r="AS626" s="302"/>
      <c r="AT626" s="3">
        <f t="shared" si="1993"/>
        <v>26</v>
      </c>
      <c r="AU626" s="41" t="s">
        <v>121</v>
      </c>
      <c r="AV626" s="41" t="s">
        <v>116</v>
      </c>
      <c r="AW626" s="41" t="str">
        <f>INDEX(Input!$1:$1048576,AW$93,$C626*2+6)</f>
        <v>Kia</v>
      </c>
      <c r="AX626" s="41" t="str">
        <f>INDEX(Input!$1:$1048576,AX$93,$C626*2+6)</f>
        <v>National</v>
      </c>
      <c r="AY626" s="41" t="str">
        <f>IF(LEN(D626)=0,"",INDEX(Input!$1:$1048576,AY$93,$C626*2+6))</f>
        <v>Compact Conventional/Sporty Car (43)</v>
      </c>
      <c r="AZ626" s="41" t="str">
        <f>INDEX(Input!$1:$1048576,AZ$93,$C626*2+6)</f>
        <v>Kia Forte</v>
      </c>
      <c r="BA626" s="3">
        <f>INDEX(Input!$1:$1048576,BA$93,$C626*2+6)</f>
        <v>2020</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19695</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941"/>
        <v>1465.0000000000002</v>
      </c>
      <c r="CJ626" s="16" t="str">
        <f>INDEX(Input!$1:$1048576,CJ$93,$C626*2+6)</f>
        <v>N</v>
      </c>
      <c r="CK626" s="1" t="str">
        <f t="shared" si="1942"/>
        <v>Market</v>
      </c>
      <c r="CL626" s="1" t="str">
        <f t="shared" si="1943"/>
        <v>Market</v>
      </c>
      <c r="CM626" s="1" t="str">
        <f t="shared" si="1944"/>
        <v>Market</v>
      </c>
      <c r="CN626" s="1" t="str">
        <f t="shared" si="1945"/>
        <v>Market</v>
      </c>
      <c r="CO626" s="1" t="str">
        <f t="shared" si="1946"/>
        <v>Market</v>
      </c>
      <c r="CP626" s="304">
        <f t="shared" si="1947"/>
        <v>0</v>
      </c>
      <c r="CQ626" s="1">
        <f t="shared" si="1948"/>
        <v>1.9E-2</v>
      </c>
      <c r="CR626" s="1">
        <f t="shared" si="1949"/>
        <v>1.9E-2</v>
      </c>
      <c r="CS626" s="1">
        <f t="shared" si="1950"/>
        <v>1.9E-2</v>
      </c>
      <c r="CT626" s="1">
        <f t="shared" si="1951"/>
        <v>3.8999999999999993E-2</v>
      </c>
      <c r="CU626" s="1">
        <f t="shared" si="1952"/>
        <v>3.9E-2</v>
      </c>
      <c r="CV626" s="304">
        <f t="shared" si="2013"/>
        <v>2339.3275155115825</v>
      </c>
      <c r="CW626" s="20" t="s">
        <v>122</v>
      </c>
      <c r="CX626" s="20" t="s">
        <v>122</v>
      </c>
      <c r="CY626" s="20" t="s">
        <v>122</v>
      </c>
      <c r="CZ626" s="20" t="s">
        <v>122</v>
      </c>
      <c r="DA626" s="20" t="s">
        <v>122</v>
      </c>
      <c r="DB626" s="503">
        <f t="shared" si="2014"/>
        <v>0</v>
      </c>
      <c r="DC626" s="127">
        <v>0</v>
      </c>
      <c r="DD626" s="127">
        <v>0</v>
      </c>
      <c r="DE626" s="127">
        <v>0</v>
      </c>
      <c r="DF626" s="127">
        <v>0</v>
      </c>
      <c r="DG626" s="127">
        <v>0</v>
      </c>
      <c r="DH626" s="127">
        <v>0</v>
      </c>
      <c r="DI626" s="127">
        <v>0</v>
      </c>
      <c r="DJ626" s="127">
        <v>0</v>
      </c>
      <c r="DK626" s="127">
        <v>0</v>
      </c>
      <c r="DL626" s="127">
        <v>0</v>
      </c>
      <c r="DM626" s="304">
        <f>INDEX(Input!$1:$1048576,DM$93,$C626*2+6)</f>
        <v>20731.578947368424</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v>5.0389219436505178E-2</v>
      </c>
      <c r="DZ626" s="7">
        <v>0</v>
      </c>
      <c r="EA626" s="7">
        <v>0.7920096955727739</v>
      </c>
      <c r="EB626" s="7">
        <v>0</v>
      </c>
      <c r="EC626" s="7">
        <v>0</v>
      </c>
      <c r="ED626" s="7">
        <v>0</v>
      </c>
      <c r="EE626" s="7">
        <v>0</v>
      </c>
      <c r="EF626" s="7">
        <v>0</v>
      </c>
      <c r="EG626" s="7">
        <v>0</v>
      </c>
      <c r="EH626" s="7">
        <v>6.7598321779043916E-2</v>
      </c>
      <c r="EI626" s="7">
        <v>4.3792880790360644E-2</v>
      </c>
      <c r="EJ626" s="7">
        <v>0.50814923368965925</v>
      </c>
      <c r="EK626" s="7">
        <v>0.38045956374093681</v>
      </c>
      <c r="EL626" s="7">
        <v>0</v>
      </c>
      <c r="EM626" s="7">
        <v>8.9498736939583948E-3</v>
      </c>
      <c r="EN626" s="7">
        <v>3.6745899348050261E-2</v>
      </c>
      <c r="EO626" s="7">
        <v>0.38212388879325726</v>
      </c>
      <c r="EP626" s="7">
        <v>0.48267890214359116</v>
      </c>
      <c r="EQ626" s="7">
        <v>7.471574484552318E-2</v>
      </c>
      <c r="ER626" s="7">
        <v>2.3735564869577837E-2</v>
      </c>
      <c r="ES626" s="7">
        <v>0.1486512112967627</v>
      </c>
      <c r="ET626" s="7">
        <v>0.15760108499072101</v>
      </c>
      <c r="EU626" s="6">
        <v>750</v>
      </c>
      <c r="EV626" s="6">
        <v>0</v>
      </c>
      <c r="EW626" s="6">
        <v>750</v>
      </c>
      <c r="EX626" s="6">
        <v>0</v>
      </c>
      <c r="EY626" s="6">
        <v>642.56716308824798</v>
      </c>
      <c r="EZ626" s="6">
        <v>-1554.2676731795959</v>
      </c>
      <c r="FA626" s="6">
        <v>0</v>
      </c>
      <c r="FB626" s="6">
        <v>0</v>
      </c>
      <c r="FC626" s="6">
        <v>0</v>
      </c>
      <c r="FD626" s="6">
        <v>0</v>
      </c>
      <c r="FE626" s="6">
        <v>0</v>
      </c>
      <c r="FF626" s="6">
        <v>0</v>
      </c>
      <c r="FG626" s="6">
        <v>0</v>
      </c>
      <c r="FH626" s="6">
        <v>674.45866039463147</v>
      </c>
      <c r="FI626" s="6">
        <v>895.4505722393626</v>
      </c>
      <c r="FJ626" s="6">
        <v>889.45467786363668</v>
      </c>
      <c r="FK626" s="6">
        <v>278.04483444771961</v>
      </c>
      <c r="FL626" s="6">
        <v>0</v>
      </c>
      <c r="FM626" s="6">
        <v>642.56716308824798</v>
      </c>
      <c r="FN626" s="6">
        <v>0</v>
      </c>
      <c r="FO626" s="6">
        <v>0</v>
      </c>
      <c r="FP626" s="6">
        <v>0</v>
      </c>
      <c r="FQ626" s="6">
        <v>0</v>
      </c>
      <c r="FR626" s="6">
        <v>0</v>
      </c>
      <c r="FS626" s="6">
        <v>0</v>
      </c>
      <c r="FT626" s="7">
        <v>0.8423989150092791</v>
      </c>
      <c r="FU626" s="7">
        <v>8.9498736939583948E-3</v>
      </c>
      <c r="FV626" s="7">
        <v>0.1486512112967627</v>
      </c>
      <c r="FW626" s="6">
        <v>749.99999999999989</v>
      </c>
      <c r="FX626" s="6">
        <v>642.56716308824798</v>
      </c>
      <c r="FY626" s="6">
        <v>-1554.2676731795959</v>
      </c>
      <c r="FZ626" s="6">
        <v>1676.0854837363124</v>
      </c>
      <c r="GA626" s="6">
        <v>406.50630890893643</v>
      </c>
      <c r="GB626" s="6">
        <v>19288.493691091062</v>
      </c>
      <c r="GC626" s="7">
        <v>6.4493561548621597E-2</v>
      </c>
      <c r="GD626" s="7">
        <v>5.252556992512035E-2</v>
      </c>
      <c r="GE626" s="7"/>
      <c r="GF626" s="7"/>
      <c r="GG626" s="7">
        <v>-0.18556878138104682</v>
      </c>
      <c r="GH626" s="42">
        <v>2.8787311746797166</v>
      </c>
      <c r="GI626" s="6">
        <v>7248.0621211466796</v>
      </c>
      <c r="GJ626" s="14">
        <v>0.51596255589662332</v>
      </c>
      <c r="GK626" s="14">
        <v>0.51419567426615953</v>
      </c>
      <c r="GL626" s="14">
        <v>0.48403744410337673</v>
      </c>
      <c r="GM626" s="14">
        <v>0.48580432573384058</v>
      </c>
      <c r="GO626" s="5">
        <v>338.16872463277008</v>
      </c>
      <c r="GP626" s="5">
        <v>323.86015542600148</v>
      </c>
      <c r="GQ626" s="5">
        <v>527.27910984145694</v>
      </c>
      <c r="GR626" s="5">
        <v>404.20319246551543</v>
      </c>
      <c r="GS626" s="5">
        <v>334.50205195691484</v>
      </c>
      <c r="GT626" s="5">
        <v>289.18266033348181</v>
      </c>
      <c r="GU626" s="5">
        <v>254.29573314828914</v>
      </c>
      <c r="GV626" s="39" t="s">
        <v>392</v>
      </c>
      <c r="GW626" s="5">
        <v>506.93057949721361</v>
      </c>
      <c r="GX626" s="5">
        <v>383.78379780841897</v>
      </c>
      <c r="GY626" s="5">
        <v>317.71694491518701</v>
      </c>
      <c r="GZ626" s="5">
        <v>284.64649802959417</v>
      </c>
      <c r="HA626" s="5">
        <v>254.29573314828914</v>
      </c>
      <c r="HB626" s="39">
        <v>320.8187590887826</v>
      </c>
      <c r="HC626" s="5">
        <v>351.11483570160732</v>
      </c>
      <c r="HD626" s="5">
        <v>282.73776275539944</v>
      </c>
      <c r="HE626" s="5">
        <v>280.55735780820959</v>
      </c>
      <c r="HF626" s="5">
        <v>253.64561428438338</v>
      </c>
      <c r="HG626" s="5">
        <v>237.36506461313525</v>
      </c>
      <c r="HH626" s="39">
        <v>280.94731616722493</v>
      </c>
      <c r="HI626" s="16"/>
      <c r="HJ626" s="19" t="str">
        <f t="shared" ref="HJ626:HK626" si="2034">HJ625</f>
        <v>On</v>
      </c>
      <c r="HK626" s="1" t="str">
        <f t="shared" si="2034"/>
        <v>On</v>
      </c>
      <c r="HL626" s="16"/>
      <c r="HM626" s="639">
        <f t="shared" si="2022"/>
        <v>4.9686942767030826E-2</v>
      </c>
      <c r="HN626" s="639">
        <f t="shared" si="2022"/>
        <v>2.6112822013589915E-3</v>
      </c>
      <c r="HO626" s="639">
        <f t="shared" si="2022"/>
        <v>3.166115353075552E-2</v>
      </c>
      <c r="HP626" s="644">
        <f t="shared" si="2020"/>
        <v>314.66265315513658</v>
      </c>
      <c r="HQ626" s="644">
        <f t="shared" si="2020"/>
        <v>-145.54667381150054</v>
      </c>
      <c r="HR626" s="644">
        <f t="shared" si="2020"/>
        <v>94.664643297259389</v>
      </c>
      <c r="HS626" s="644">
        <f t="shared" si="2020"/>
        <v>-63.076612816251526</v>
      </c>
      <c r="HT626" s="644">
        <f t="shared" si="2020"/>
        <v>-221.75178090246337</v>
      </c>
      <c r="HU626" s="644">
        <f t="shared" si="2020"/>
        <v>83.904608076029348</v>
      </c>
      <c r="HV626" s="644">
        <f t="shared" si="2020"/>
        <v>0</v>
      </c>
      <c r="HW626" s="644">
        <f t="shared" si="2020"/>
        <v>0</v>
      </c>
      <c r="HX626" s="644">
        <f t="shared" si="2020"/>
        <v>0</v>
      </c>
      <c r="HY626" s="644">
        <f t="shared" si="2020"/>
        <v>2388</v>
      </c>
      <c r="HZ626" s="644">
        <f t="shared" si="2020"/>
        <v>2518</v>
      </c>
      <c r="IA626" s="644">
        <f t="shared" si="2020"/>
        <v>2200</v>
      </c>
      <c r="IB626" s="644">
        <f t="shared" si="2020"/>
        <v>2639.5860403388851</v>
      </c>
      <c r="IC626" s="644">
        <f t="shared" si="2020"/>
        <v>2150.701545286036</v>
      </c>
      <c r="ID626" s="644">
        <f t="shared" si="2020"/>
        <v>2378.5692513732888</v>
      </c>
      <c r="IE626" s="20">
        <f t="shared" si="1977"/>
        <v>0.36820180683705073</v>
      </c>
      <c r="IF626" s="20">
        <f t="shared" si="1956"/>
        <v>0.30000620659438243</v>
      </c>
      <c r="IG626" s="20">
        <f t="shared" si="1957"/>
        <v>0.3317919865685669</v>
      </c>
      <c r="IH626" s="21"/>
      <c r="II626" s="19"/>
      <c r="IJ626" s="19"/>
      <c r="IK626" s="19"/>
      <c r="IL626" s="19">
        <f t="shared" si="1978"/>
        <v>400</v>
      </c>
      <c r="IM626" s="19">
        <f t="shared" si="1978"/>
        <v>-427.78422881497772</v>
      </c>
      <c r="IN626" s="19">
        <f t="shared" si="1978"/>
        <v>282.29489443029615</v>
      </c>
      <c r="IO626" s="39"/>
      <c r="IP626" s="39"/>
      <c r="IQ626" s="39"/>
      <c r="IR626" s="39"/>
      <c r="IS626" s="39"/>
      <c r="IT626" s="39"/>
      <c r="IU626" s="39"/>
      <c r="IV626" s="39"/>
      <c r="IW626" s="39"/>
      <c r="IX626" s="19">
        <f t="shared" si="2023"/>
        <v>1600</v>
      </c>
      <c r="IY626" s="19">
        <f t="shared" si="2023"/>
        <v>2503.549291639752</v>
      </c>
      <c r="IZ626" s="19">
        <f t="shared" si="2023"/>
        <v>5888.3563810918577</v>
      </c>
      <c r="JA626" s="19">
        <f t="shared" si="2024"/>
        <v>2000</v>
      </c>
      <c r="JB626" s="19">
        <f t="shared" si="2024"/>
        <v>2075.7650628247743</v>
      </c>
      <c r="JC626" s="19">
        <f t="shared" si="2024"/>
        <v>6170.6512755221538</v>
      </c>
      <c r="JD626" s="19">
        <f t="shared" si="1981"/>
        <v>3406.5186610806686</v>
      </c>
      <c r="JE626" s="21"/>
      <c r="JF626" s="1">
        <f t="shared" si="1982"/>
        <v>6.8844376252282569E-2</v>
      </c>
      <c r="JG626" s="15">
        <f t="shared" si="1983"/>
        <v>7106</v>
      </c>
      <c r="JH626" s="1">
        <f t="shared" si="1984"/>
        <v>3.7120830655909855E-2</v>
      </c>
      <c r="JI626" s="1">
        <f t="shared" si="1985"/>
        <v>-2.8275230177692873E-2</v>
      </c>
      <c r="JJ626" s="1">
        <f t="shared" si="1962"/>
        <v>0</v>
      </c>
      <c r="JK626" s="1">
        <f t="shared" si="1963"/>
        <v>8.845600478216982E-3</v>
      </c>
      <c r="JL626" s="15">
        <f t="shared" si="2025"/>
        <v>62.856836998209872</v>
      </c>
      <c r="JM626" s="15">
        <f t="shared" si="2025"/>
        <v>7168.8568369982095</v>
      </c>
      <c r="JN626" s="21"/>
      <c r="JO626" s="19">
        <f>INDEX([1]Input!$1:$1048576,JO$93,$C626*2+6)</f>
        <v>5995.5</v>
      </c>
      <c r="JP626" s="19">
        <f>INDEX([1]Input!$1:$1048576,JP$93,$C626*2+6)</f>
        <v>1716.3055838443925</v>
      </c>
      <c r="JQ626" s="39">
        <f t="shared" si="1995"/>
        <v>2588.9813389193314</v>
      </c>
      <c r="JR626" s="39">
        <f t="shared" si="1996"/>
        <v>1690.2130772362761</v>
      </c>
      <c r="JS626" s="39">
        <f t="shared" si="1997"/>
        <v>24.420844593850134</v>
      </c>
      <c r="JT626" s="39">
        <f t="shared" si="1987"/>
        <v>12.224777115051882</v>
      </c>
      <c r="JU626" s="385">
        <f>(JQ626*JM626-INDEX([1]Input!$1:$1048576,[1]Input!A$18,$C626*2+6)*JL626*INDEX([1]Input!$1:$1048576,[1]Input!A$19,$C626*2+6))/1000000</f>
        <v>18.560036572372628</v>
      </c>
      <c r="JV626" s="39">
        <f t="shared" si="1966"/>
        <v>-11.847918948829122</v>
      </c>
      <c r="JW626" s="1">
        <f t="shared" si="2000"/>
        <v>-0.38963221123393965</v>
      </c>
      <c r="JX626" s="19">
        <f t="shared" si="2001"/>
        <v>194486.03682364797</v>
      </c>
      <c r="JZ626" s="341"/>
      <c r="KA626" s="60"/>
      <c r="KB626" s="469">
        <f t="shared" si="1988"/>
        <v>0</v>
      </c>
      <c r="KI626" s="472"/>
      <c r="KJ626" s="472"/>
      <c r="KK626" s="472"/>
      <c r="KN626" s="888">
        <f t="shared" si="1989"/>
        <v>6002</v>
      </c>
      <c r="KO626" s="541">
        <f t="shared" si="1967"/>
        <v>-6.1929799665869867E-2</v>
      </c>
      <c r="KP626" s="546">
        <f t="shared" si="1968"/>
        <v>-240.26209336689942</v>
      </c>
      <c r="KQ626" s="546">
        <f t="shared" si="1969"/>
        <v>-190.92982920925806</v>
      </c>
      <c r="KR626" s="472">
        <f t="shared" si="1970"/>
        <v>4.1492943232829997</v>
      </c>
      <c r="KS626" s="472">
        <f t="shared" si="1971"/>
        <v>5.2213849676403834</v>
      </c>
      <c r="KT626" s="473">
        <f t="shared" si="1998"/>
        <v>2521.945896759994</v>
      </c>
      <c r="KU626" s="663">
        <f t="shared" si="1990"/>
        <v>10.653071857171685</v>
      </c>
      <c r="KV626" s="117"/>
    </row>
    <row r="627" spans="1:308" s="26" customFormat="1" ht="15">
      <c r="A627" s="561">
        <f t="shared" si="1972"/>
        <v>6027</v>
      </c>
      <c r="B627" s="561">
        <f t="shared" si="1991"/>
        <v>27</v>
      </c>
      <c r="C627" s="561">
        <f t="shared" si="1992"/>
        <v>6</v>
      </c>
      <c r="D627" s="561" t="str">
        <f t="shared" si="2028"/>
        <v xml:space="preserve">750 Combo, </v>
      </c>
      <c r="E627" s="475">
        <f>INDEX(Input!$1:$1048576,E$93,$C627*2+MIN($B627,2)+5)
+INDEX(Scenarios!E$121:E$199,MATCH($B627,Scenarios!$B$121:$B$199,0))</f>
        <v>1250.0000000000002</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1.8999999999999996E-2</v>
      </c>
      <c r="W627" s="863">
        <f>IFERROR(MAX(0,INDEX(Input!$1:$1048576,W$93,$C627*2+MIN($B627,2)+5)-0%,),"Market")</f>
        <v>3.9E-2</v>
      </c>
      <c r="X627" s="476" t="str">
        <f>INDEX(Input!$1:$1048576,X$93,$C627*2+MIN($B627,2)+5)</f>
        <v>Y</v>
      </c>
      <c r="Y627" s="475">
        <f>INDEX(Input!$1:$1048576,Y$93,$C627*2+MIN($B627,2)+5)
++INDEX(Scenarios!Y$121:Y$199,MATCH($B627,Scenarios!$B$121:$B$199,0))</f>
        <v>2339.3275155115825</v>
      </c>
      <c r="Z627" s="477">
        <f>INDEX(Input!$1:$1048576,Z$93,$C627*2+MIN($B627,2)+5)
+INDEX(Scenarios!Z$121:Z$199,MATCH($B627,Scenarios!$B$121:$B$199,0))</f>
        <v>0</v>
      </c>
      <c r="AA627" s="475">
        <f>INDEX(Input!$1:$1048576,AA$93,$C627*2+MIN($B627,2)+5)</f>
        <v>0</v>
      </c>
      <c r="AB627" s="476">
        <f>INDEX(Input!$1:$1048576,AB$93,$C627*2+MIN($B627,2)+5)</f>
        <v>1</v>
      </c>
      <c r="AC627" s="475">
        <f>INDEX(Input!$1:$1048576,AC$93,$C627*2+MIN($B627,2)+5)
+INDEX(Scenarios!AC$121:AC$199,MATCH($B627,Scenarios!$B$121:$B$199,0))</f>
        <v>0</v>
      </c>
      <c r="AD627" s="476">
        <f>INDEX(Input!$1:$1048576,AD$93,$C627*2+MIN($B627,2)+5)</f>
        <v>0.35</v>
      </c>
      <c r="AE627" s="475">
        <f>INDEX(Input!$1:$1048576,AE$93,$C627*2+MIN($B627,2)+5)
+INDEX(Scenarios!AE$121:AE$199,MATCH($B627,Scenarios!$B$121:$B$199,0))</f>
        <v>0</v>
      </c>
      <c r="AF627" s="476">
        <f>INDEX(Input!$1:$1048576,AF$93,$C627*2+MIN($B627,2)+5)</f>
        <v>1</v>
      </c>
      <c r="AG627" s="475">
        <f>INDEX(Input!$1:$1048576,AG$93,$C627*2+MIN($B627,2)+5)</f>
        <v>0</v>
      </c>
      <c r="AH627" s="476">
        <f>INDEX(Input!$1:$1048576,AH$93,$C627*2+MIN($B627,2)+5)</f>
        <v>1</v>
      </c>
      <c r="AI627" s="475">
        <f>INDEX(Input!$1:$1048576,AI$93,$C627*2+MIN($B627,2)+5)</f>
        <v>0</v>
      </c>
      <c r="AJ627" s="476">
        <f>INDEX(Input!$1:$1048576,AJ$93,$C627*2+MIN($B627,2)+5)</f>
        <v>0.35</v>
      </c>
      <c r="AK627" s="150">
        <f>ROUND(INDEX(Input!$1:$1048576,AK$93,$C626*2+MIN($B627,1)+5)+(Y627-VLOOKUP($C627*1000+1,$A:$HH,Y$92,FALSE)),0)</f>
        <v>5093</v>
      </c>
      <c r="AL627" s="150">
        <f>ROUND(INDEX(Input!$1:$1048576,AL$93,$C626*2+MIN($B627,1)+5)-(Y627-VLOOKUP($C627*1000+1,$A:$HH,Y$92,FALSE))/36,0)</f>
        <v>5217</v>
      </c>
      <c r="AM627" s="32" t="str">
        <f t="shared" si="1973"/>
        <v>std/std/std/std</v>
      </c>
      <c r="AN627" s="32" t="str">
        <f t="shared" si="1974"/>
        <v>$750 + 0/0/0/1.9/3.9</v>
      </c>
      <c r="AO627" s="32" t="str">
        <f t="shared" si="1975"/>
        <v>0/0/0/1.9/3.9</v>
      </c>
      <c r="AP627" s="32" t="str">
        <f t="shared" si="1939"/>
        <v>0/0.9/1.9/3.9</v>
      </c>
      <c r="AQ627" s="536">
        <f t="shared" si="1940"/>
        <v>0.31666290624881588</v>
      </c>
      <c r="AR627" s="32"/>
      <c r="AS627" s="302"/>
      <c r="AT627" s="3">
        <f t="shared" si="1993"/>
        <v>27</v>
      </c>
      <c r="AU627" s="41" t="s">
        <v>121</v>
      </c>
      <c r="AV627" s="41" t="s">
        <v>116</v>
      </c>
      <c r="AW627" s="41" t="str">
        <f>INDEX(Input!$1:$1048576,AW$93,$C627*2+6)</f>
        <v>Kia</v>
      </c>
      <c r="AX627" s="41" t="str">
        <f>INDEX(Input!$1:$1048576,AX$93,$C627*2+6)</f>
        <v>National</v>
      </c>
      <c r="AY627" s="41" t="str">
        <f>IF(LEN(D627)=0,"",INDEX(Input!$1:$1048576,AY$93,$C627*2+6))</f>
        <v>Compact Conventional/Sporty Car (43)</v>
      </c>
      <c r="AZ627" s="41" t="str">
        <f>INDEX(Input!$1:$1048576,AZ$93,$C627*2+6)</f>
        <v>Kia Forte</v>
      </c>
      <c r="BA627" s="3">
        <f>INDEX(Input!$1:$1048576,BA$93,$C627*2+6)</f>
        <v>2020</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19695</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941"/>
        <v>1465.0000000000002</v>
      </c>
      <c r="CJ627" s="16" t="str">
        <f>INDEX(Input!$1:$1048576,CJ$93,$C627*2+6)</f>
        <v>N</v>
      </c>
      <c r="CK627" s="1" t="str">
        <f t="shared" si="1942"/>
        <v>Market</v>
      </c>
      <c r="CL627" s="1" t="str">
        <f t="shared" si="1943"/>
        <v>Market</v>
      </c>
      <c r="CM627" s="1" t="str">
        <f t="shared" si="1944"/>
        <v>Market</v>
      </c>
      <c r="CN627" s="1" t="str">
        <f t="shared" si="1945"/>
        <v>Market</v>
      </c>
      <c r="CO627" s="1" t="str">
        <f t="shared" si="1946"/>
        <v>Market</v>
      </c>
      <c r="CP627" s="304">
        <f t="shared" si="1947"/>
        <v>750</v>
      </c>
      <c r="CQ627" s="1">
        <f t="shared" si="1948"/>
        <v>0</v>
      </c>
      <c r="CR627" s="1">
        <f t="shared" si="1949"/>
        <v>0</v>
      </c>
      <c r="CS627" s="1">
        <f t="shared" si="1950"/>
        <v>0</v>
      </c>
      <c r="CT627" s="1">
        <f t="shared" si="1951"/>
        <v>1.8999999999999996E-2</v>
      </c>
      <c r="CU627" s="1">
        <f t="shared" si="1952"/>
        <v>3.9E-2</v>
      </c>
      <c r="CV627" s="304">
        <f t="shared" si="2013"/>
        <v>2339.3275155115825</v>
      </c>
      <c r="CW627" s="20" t="s">
        <v>122</v>
      </c>
      <c r="CX627" s="20" t="s">
        <v>122</v>
      </c>
      <c r="CY627" s="20" t="s">
        <v>122</v>
      </c>
      <c r="CZ627" s="20" t="s">
        <v>122</v>
      </c>
      <c r="DA627" s="20" t="s">
        <v>122</v>
      </c>
      <c r="DB627" s="503">
        <f t="shared" si="2014"/>
        <v>0</v>
      </c>
      <c r="DC627" s="127">
        <v>0</v>
      </c>
      <c r="DD627" s="127">
        <v>0</v>
      </c>
      <c r="DE627" s="127">
        <v>0</v>
      </c>
      <c r="DF627" s="127">
        <v>0</v>
      </c>
      <c r="DG627" s="127">
        <v>0</v>
      </c>
      <c r="DH627" s="127">
        <v>0</v>
      </c>
      <c r="DI627" s="127">
        <v>0</v>
      </c>
      <c r="DJ627" s="127">
        <v>0</v>
      </c>
      <c r="DK627" s="127">
        <v>0</v>
      </c>
      <c r="DL627" s="127">
        <v>0</v>
      </c>
      <c r="DM627" s="304">
        <f>INDEX(Input!$1:$1048576,DM$93,$C627*2+6)</f>
        <v>20731.578947368424</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v>4.9106127277385649E-2</v>
      </c>
      <c r="DZ627" s="7">
        <v>0</v>
      </c>
      <c r="EA627" s="7">
        <v>0.77029326496069961</v>
      </c>
      <c r="EB627" s="7">
        <v>0</v>
      </c>
      <c r="EC627" s="7">
        <v>0</v>
      </c>
      <c r="ED627" s="7">
        <v>0</v>
      </c>
      <c r="EE627" s="7">
        <v>0</v>
      </c>
      <c r="EF627" s="7">
        <v>0</v>
      </c>
      <c r="EG627" s="7">
        <v>0</v>
      </c>
      <c r="EH627" s="7">
        <v>2.9725251063987081E-2</v>
      </c>
      <c r="EI627" s="7">
        <v>1.9434092397678873E-2</v>
      </c>
      <c r="EJ627" s="7">
        <v>0.2616050908794883</v>
      </c>
      <c r="EK627" s="7">
        <v>0.68923556565884569</v>
      </c>
      <c r="EL627" s="7">
        <v>0</v>
      </c>
      <c r="EM627" s="7">
        <v>3.5814175282365732E-2</v>
      </c>
      <c r="EN627" s="7">
        <v>3.6764372296005814E-2</v>
      </c>
      <c r="EO627" s="7">
        <v>0.38207250600974824</v>
      </c>
      <c r="EP627" s="7">
        <v>0.48271331874822765</v>
      </c>
      <c r="EQ627" s="7">
        <v>7.4710813315134711E-2</v>
      </c>
      <c r="ER627" s="7">
        <v>2.373898963088374E-2</v>
      </c>
      <c r="ES627" s="7">
        <v>0.14478643247954912</v>
      </c>
      <c r="ET627" s="7">
        <v>0.18060060776191475</v>
      </c>
      <c r="EU627" s="6">
        <v>750</v>
      </c>
      <c r="EV627" s="6">
        <v>0</v>
      </c>
      <c r="EW627" s="6">
        <v>750</v>
      </c>
      <c r="EX627" s="6">
        <v>0</v>
      </c>
      <c r="EY627" s="6">
        <v>2134.3355144917464</v>
      </c>
      <c r="EZ627" s="6">
        <v>-1554.2676731795959</v>
      </c>
      <c r="FA627" s="6">
        <v>0</v>
      </c>
      <c r="FB627" s="6">
        <v>0</v>
      </c>
      <c r="FC627" s="6">
        <v>0</v>
      </c>
      <c r="FD627" s="6">
        <v>0</v>
      </c>
      <c r="FE627" s="6">
        <v>0</v>
      </c>
      <c r="FF627" s="6">
        <v>0</v>
      </c>
      <c r="FG627" s="6">
        <v>0</v>
      </c>
      <c r="FH627" s="6">
        <v>1158.6132816899733</v>
      </c>
      <c r="FI627" s="6">
        <v>1531.4299904380616</v>
      </c>
      <c r="FJ627" s="6">
        <v>1709.9775738488452</v>
      </c>
      <c r="FK627" s="6">
        <v>1266.3227157028191</v>
      </c>
      <c r="FL627" s="6">
        <v>0</v>
      </c>
      <c r="FM627" s="6">
        <v>1384.3355144917464</v>
      </c>
      <c r="FN627" s="6">
        <v>0</v>
      </c>
      <c r="FO627" s="6">
        <v>0</v>
      </c>
      <c r="FP627" s="6">
        <v>0</v>
      </c>
      <c r="FQ627" s="6">
        <v>0</v>
      </c>
      <c r="FR627" s="6">
        <v>0</v>
      </c>
      <c r="FS627" s="6">
        <v>0</v>
      </c>
      <c r="FT627" s="7">
        <v>0.81939939223808522</v>
      </c>
      <c r="FU627" s="7">
        <v>3.5814175282365732E-2</v>
      </c>
      <c r="FV627" s="7">
        <v>0.14478643247954912</v>
      </c>
      <c r="FW627" s="6">
        <v>750</v>
      </c>
      <c r="FX627" s="6">
        <v>2134.3355144917464</v>
      </c>
      <c r="FY627" s="6">
        <v>-1554.2676731795959</v>
      </c>
      <c r="FZ627" s="6">
        <v>1676.0854837363124</v>
      </c>
      <c r="GA627" s="6">
        <v>465.95213888798605</v>
      </c>
      <c r="GB627" s="6">
        <v>19229.047861112012</v>
      </c>
      <c r="GC627" s="7">
        <v>6.4493561548621597E-2</v>
      </c>
      <c r="GD627" s="7">
        <v>5.3199161645368545E-2</v>
      </c>
      <c r="GE627" s="7"/>
      <c r="GF627" s="7"/>
      <c r="GG627" s="7">
        <v>-0.17512445633411361</v>
      </c>
      <c r="GH627" s="42">
        <v>2.8501620769177811</v>
      </c>
      <c r="GI627" s="6">
        <v>7376.0854816551246</v>
      </c>
      <c r="GJ627" s="14">
        <v>0.51596255589662321</v>
      </c>
      <c r="GK627" s="14">
        <v>0.51419567426615953</v>
      </c>
      <c r="GL627" s="14">
        <v>0.48403744410337673</v>
      </c>
      <c r="GM627" s="14">
        <v>0.48580432573384047</v>
      </c>
      <c r="GO627" s="5">
        <v>338.16872463277008</v>
      </c>
      <c r="GP627" s="5">
        <v>323.86015542600148</v>
      </c>
      <c r="GQ627" s="5">
        <v>527.27910984145694</v>
      </c>
      <c r="GR627" s="5">
        <v>404.20319246551543</v>
      </c>
      <c r="GS627" s="5">
        <v>334.50205195691484</v>
      </c>
      <c r="GT627" s="5">
        <v>289.18266033348181</v>
      </c>
      <c r="GU627" s="5">
        <v>254.29573314828914</v>
      </c>
      <c r="GV627" s="39" t="s">
        <v>392</v>
      </c>
      <c r="GW627" s="5">
        <v>471.54166666666669</v>
      </c>
      <c r="GX627" s="5">
        <v>353.65625</v>
      </c>
      <c r="GY627" s="5">
        <v>289.44462020726326</v>
      </c>
      <c r="GZ627" s="5">
        <v>257.16150431174003</v>
      </c>
      <c r="HA627" s="5">
        <v>243.53599154093158</v>
      </c>
      <c r="HB627" s="39">
        <v>273.85472373219613</v>
      </c>
      <c r="HC627" s="5">
        <v>351.11483570160732</v>
      </c>
      <c r="HD627" s="5">
        <v>282.73776275539944</v>
      </c>
      <c r="HE627" s="5">
        <v>280.55735780820959</v>
      </c>
      <c r="HF627" s="5">
        <v>253.64561428438338</v>
      </c>
      <c r="HG627" s="5">
        <v>237.36506461313525</v>
      </c>
      <c r="HH627" s="39">
        <v>280.94849232935331</v>
      </c>
      <c r="HI627" s="16"/>
      <c r="HJ627" s="19" t="str">
        <f t="shared" ref="HJ627:HK627" si="2035">HJ626</f>
        <v>On</v>
      </c>
      <c r="HK627" s="1" t="str">
        <f t="shared" si="2035"/>
        <v>On</v>
      </c>
      <c r="HL627" s="16"/>
      <c r="HM627" s="639">
        <f t="shared" si="2022"/>
        <v>4.9686942767030826E-2</v>
      </c>
      <c r="HN627" s="639">
        <f t="shared" si="2022"/>
        <v>2.6112822013589915E-3</v>
      </c>
      <c r="HO627" s="639">
        <f t="shared" si="2022"/>
        <v>3.166115353075552E-2</v>
      </c>
      <c r="HP627" s="644">
        <f t="shared" si="2020"/>
        <v>222.2485214940192</v>
      </c>
      <c r="HQ627" s="644">
        <f t="shared" si="2020"/>
        <v>84.010400722046924</v>
      </c>
      <c r="HR627" s="644">
        <f t="shared" si="2020"/>
        <v>57.36525880009912</v>
      </c>
      <c r="HS627" s="644">
        <f t="shared" si="2020"/>
        <v>-66.971969436094653</v>
      </c>
      <c r="HT627" s="644">
        <f t="shared" si="2020"/>
        <v>541.04283583501297</v>
      </c>
      <c r="HU627" s="644">
        <f t="shared" si="2020"/>
        <v>87.799964695872461</v>
      </c>
      <c r="HV627" s="644">
        <f t="shared" si="2020"/>
        <v>0</v>
      </c>
      <c r="HW627" s="644">
        <f t="shared" si="2020"/>
        <v>0</v>
      </c>
      <c r="HX627" s="644">
        <f t="shared" si="2020"/>
        <v>0</v>
      </c>
      <c r="HY627" s="644">
        <f t="shared" si="2020"/>
        <v>2388</v>
      </c>
      <c r="HZ627" s="644">
        <f t="shared" si="2020"/>
        <v>2518</v>
      </c>
      <c r="IA627" s="644">
        <f t="shared" si="2020"/>
        <v>2200</v>
      </c>
      <c r="IB627" s="644">
        <f t="shared" si="2020"/>
        <v>2543.2765520579242</v>
      </c>
      <c r="IC627" s="644">
        <f t="shared" si="2020"/>
        <v>3143.0532365570598</v>
      </c>
      <c r="ID627" s="644">
        <f t="shared" si="2020"/>
        <v>2345.1652234959715</v>
      </c>
      <c r="IE627" s="20">
        <f t="shared" si="1977"/>
        <v>0.31666290624881588</v>
      </c>
      <c r="IF627" s="20">
        <f t="shared" si="1956"/>
        <v>0.39134099340378675</v>
      </c>
      <c r="IG627" s="20">
        <f t="shared" si="1957"/>
        <v>0.29199610034739731</v>
      </c>
      <c r="IH627" s="21"/>
      <c r="II627" s="19"/>
      <c r="IJ627" s="19"/>
      <c r="IK627" s="19"/>
      <c r="IL627" s="19">
        <f t="shared" si="1978"/>
        <v>400.00000000000045</v>
      </c>
      <c r="IM627" s="19">
        <f t="shared" si="1978"/>
        <v>1150.0343472906916</v>
      </c>
      <c r="IN627" s="19">
        <f t="shared" si="1978"/>
        <v>284.04183050553274</v>
      </c>
      <c r="IO627" s="39"/>
      <c r="IP627" s="39"/>
      <c r="IQ627" s="39"/>
      <c r="IR627" s="39"/>
      <c r="IS627" s="39"/>
      <c r="IT627" s="39"/>
      <c r="IU627" s="39"/>
      <c r="IV627" s="39"/>
      <c r="IW627" s="39"/>
      <c r="IX627" s="19">
        <f t="shared" si="2023"/>
        <v>1600</v>
      </c>
      <c r="IY627" s="19">
        <f t="shared" si="2023"/>
        <v>2503.549291639752</v>
      </c>
      <c r="IZ627" s="19">
        <f t="shared" si="2023"/>
        <v>5888.3563810918577</v>
      </c>
      <c r="JA627" s="19">
        <f t="shared" si="2024"/>
        <v>2000.0000000000005</v>
      </c>
      <c r="JB627" s="19">
        <f t="shared" si="2024"/>
        <v>3653.5836389304436</v>
      </c>
      <c r="JC627" s="19">
        <f t="shared" si="2024"/>
        <v>6172.3982115973904</v>
      </c>
      <c r="JD627" s="19">
        <f t="shared" si="1981"/>
        <v>3865.4390708181809</v>
      </c>
      <c r="JE627" s="21"/>
      <c r="JF627" s="1">
        <f t="shared" si="1982"/>
        <v>6.8844376252282569E-2</v>
      </c>
      <c r="JG627" s="15">
        <f t="shared" si="1983"/>
        <v>7106</v>
      </c>
      <c r="JH627" s="1">
        <f t="shared" si="1984"/>
        <v>5.117142992065371E-2</v>
      </c>
      <c r="JI627" s="1">
        <f t="shared" si="1985"/>
        <v>7.9069917125639003E-2</v>
      </c>
      <c r="JJ627" s="1">
        <f t="shared" si="1962"/>
        <v>0</v>
      </c>
      <c r="JK627" s="1">
        <f t="shared" si="1963"/>
        <v>0.13024134704629273</v>
      </c>
      <c r="JL627" s="15">
        <f t="shared" si="2025"/>
        <v>925.49501211095605</v>
      </c>
      <c r="JM627" s="15">
        <f t="shared" si="2025"/>
        <v>8031.4950121109559</v>
      </c>
      <c r="JN627" s="21"/>
      <c r="JO627" s="19">
        <f>INDEX([1]Input!$1:$1048576,JO$93,$C627*2+6)</f>
        <v>5995.5</v>
      </c>
      <c r="JP627" s="19">
        <f>INDEX([1]Input!$1:$1048576,JP$93,$C627*2+6)</f>
        <v>1716.3055838443925</v>
      </c>
      <c r="JQ627" s="39">
        <f t="shared" si="1995"/>
        <v>2130.0609291818191</v>
      </c>
      <c r="JR627" s="39">
        <f t="shared" si="1996"/>
        <v>2149.1334869737884</v>
      </c>
      <c r="JS627" s="39">
        <f t="shared" si="1997"/>
        <v>31.045254616895029</v>
      </c>
      <c r="JT627" s="39">
        <f t="shared" si="1987"/>
        <v>18.849187138096774</v>
      </c>
      <c r="JU627" s="385">
        <f>(JQ627*JM627-INDEX([1]Input!$1:$1048576,[1]Input!A$18,$C627*2+6)*JL627*INDEX([1]Input!$1:$1048576,[1]Input!A$19,$C627*2+6))/1000000</f>
        <v>17.107573728216209</v>
      </c>
      <c r="JV627" s="39">
        <f t="shared" si="1966"/>
        <v>-13.30038179298554</v>
      </c>
      <c r="JW627" s="1">
        <f t="shared" si="2000"/>
        <v>-0.43739809418334408</v>
      </c>
      <c r="JX627" s="19">
        <f t="shared" si="2001"/>
        <v>20366.600458606226</v>
      </c>
      <c r="JZ627" s="341"/>
      <c r="KA627" s="60"/>
      <c r="KB627" s="469">
        <f t="shared" si="1988"/>
        <v>0</v>
      </c>
      <c r="KI627" s="472"/>
      <c r="KJ627" s="472"/>
      <c r="KK627" s="472"/>
      <c r="KN627" s="888">
        <f t="shared" si="1989"/>
        <v>6002</v>
      </c>
      <c r="KO627" s="541">
        <f t="shared" si="1967"/>
        <v>5.0949447910612955E-2</v>
      </c>
      <c r="KP627" s="546">
        <f t="shared" si="1968"/>
        <v>301.12970555591335</v>
      </c>
      <c r="KQ627" s="546">
        <f t="shared" si="1969"/>
        <v>267.99058052825421</v>
      </c>
      <c r="KR627" s="472">
        <f t="shared" si="1970"/>
        <v>2.7236149307099691</v>
      </c>
      <c r="KS627" s="472">
        <f t="shared" si="1971"/>
        <v>3.0604111551820488</v>
      </c>
      <c r="KT627" s="473">
        <f t="shared" si="1998"/>
        <v>2521.945896759994</v>
      </c>
      <c r="KU627" s="663">
        <f t="shared" si="1990"/>
        <v>11.131110653491266</v>
      </c>
      <c r="KV627" s="117"/>
    </row>
    <row r="628" spans="1:308" s="26" customFormat="1" ht="15">
      <c r="A628" s="561">
        <f t="shared" si="1972"/>
        <v>6028</v>
      </c>
      <c r="B628" s="561">
        <f t="shared" si="1991"/>
        <v>28</v>
      </c>
      <c r="C628" s="561">
        <f t="shared" si="1992"/>
        <v>6</v>
      </c>
      <c r="D628" s="561" t="str">
        <f t="shared" si="2028"/>
        <v xml:space="preserve">1000 Combo, </v>
      </c>
      <c r="E628" s="475">
        <f>INDEX(Input!$1:$1048576,E$93,$C628*2+MIN($B628,2)+5)
+INDEX(Scenarios!E$121:E$199,MATCH($B628,Scenarios!$B$121:$B$199,0))</f>
        <v>1250.0000000000002</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1.8999999999999996E-2</v>
      </c>
      <c r="W628" s="863">
        <f>IFERROR(MAX(0,INDEX(Input!$1:$1048576,W$93,$C628*2+MIN($B628,2)+5)-0%,),"Market")</f>
        <v>3.9E-2</v>
      </c>
      <c r="X628" s="476" t="str">
        <f>INDEX(Input!$1:$1048576,X$93,$C628*2+MIN($B628,2)+5)</f>
        <v>Y</v>
      </c>
      <c r="Y628" s="475">
        <f>INDEX(Input!$1:$1048576,Y$93,$C628*2+MIN($B628,2)+5)
++INDEX(Scenarios!Y$121:Y$199,MATCH($B628,Scenarios!$B$121:$B$199,0))</f>
        <v>2339.3275155115825</v>
      </c>
      <c r="Z628" s="477">
        <f>INDEX(Input!$1:$1048576,Z$93,$C628*2+MIN($B628,2)+5)
+INDEX(Scenarios!Z$121:Z$199,MATCH($B628,Scenarios!$B$121:$B$199,0))</f>
        <v>0</v>
      </c>
      <c r="AA628" s="475">
        <f>INDEX(Input!$1:$1048576,AA$93,$C628*2+MIN($B628,2)+5)</f>
        <v>0</v>
      </c>
      <c r="AB628" s="476">
        <f>INDEX(Input!$1:$1048576,AB$93,$C628*2+MIN($B628,2)+5)</f>
        <v>1</v>
      </c>
      <c r="AC628" s="475">
        <f>INDEX(Input!$1:$1048576,AC$93,$C628*2+MIN($B628,2)+5)
+INDEX(Scenarios!AC$121:AC$199,MATCH($B628,Scenarios!$B$121:$B$199,0))</f>
        <v>0</v>
      </c>
      <c r="AD628" s="476">
        <f>INDEX(Input!$1:$1048576,AD$93,$C628*2+MIN($B628,2)+5)</f>
        <v>0.35</v>
      </c>
      <c r="AE628" s="475">
        <f>INDEX(Input!$1:$1048576,AE$93,$C628*2+MIN($B628,2)+5)
+INDEX(Scenarios!AE$121:AE$199,MATCH($B628,Scenarios!$B$121:$B$199,0))</f>
        <v>0</v>
      </c>
      <c r="AF628" s="476">
        <f>INDEX(Input!$1:$1048576,AF$93,$C628*2+MIN($B628,2)+5)</f>
        <v>1</v>
      </c>
      <c r="AG628" s="475">
        <f>INDEX(Input!$1:$1048576,AG$93,$C628*2+MIN($B628,2)+5)</f>
        <v>0</v>
      </c>
      <c r="AH628" s="476">
        <f>INDEX(Input!$1:$1048576,AH$93,$C628*2+MIN($B628,2)+5)</f>
        <v>1</v>
      </c>
      <c r="AI628" s="475">
        <f>INDEX(Input!$1:$1048576,AI$93,$C628*2+MIN($B628,2)+5)</f>
        <v>0</v>
      </c>
      <c r="AJ628" s="476">
        <f>INDEX(Input!$1:$1048576,AJ$93,$C628*2+MIN($B628,2)+5)</f>
        <v>0.35</v>
      </c>
      <c r="AK628" s="150">
        <f>ROUND(INDEX(Input!$1:$1048576,AK$93,$C627*2+MIN($B628,1)+5)+(Y628-VLOOKUP($C628*1000+1,$A:$HH,Y$92,FALSE)),0)</f>
        <v>5093</v>
      </c>
      <c r="AL628" s="150">
        <f>ROUND(INDEX(Input!$1:$1048576,AL$93,$C627*2+MIN($B628,1)+5)-(Y628-VLOOKUP($C628*1000+1,$A:$HH,Y$92,FALSE))/36,0)</f>
        <v>5217</v>
      </c>
      <c r="AM628" s="32" t="str">
        <f t="shared" si="1973"/>
        <v>std/std/std/std</v>
      </c>
      <c r="AN628" s="32" t="str">
        <f t="shared" si="1974"/>
        <v>$1000 + 0/0/0/1.9/3.9</v>
      </c>
      <c r="AO628" s="32" t="str">
        <f t="shared" si="1975"/>
        <v>0/0/0/1.9/3.9</v>
      </c>
      <c r="AP628" s="32" t="str">
        <f t="shared" si="1939"/>
        <v>0/0.9/1.9/3.9</v>
      </c>
      <c r="AQ628" s="536">
        <f t="shared" si="1940"/>
        <v>0.28018595423631026</v>
      </c>
      <c r="AR628" s="32"/>
      <c r="AS628" s="302"/>
      <c r="AT628" s="3">
        <f t="shared" si="1993"/>
        <v>28</v>
      </c>
      <c r="AU628" s="41" t="s">
        <v>121</v>
      </c>
      <c r="AV628" s="41" t="s">
        <v>116</v>
      </c>
      <c r="AW628" s="41" t="str">
        <f>INDEX(Input!$1:$1048576,AW$93,$C628*2+6)</f>
        <v>Kia</v>
      </c>
      <c r="AX628" s="41" t="str">
        <f>INDEX(Input!$1:$1048576,AX$93,$C628*2+6)</f>
        <v>National</v>
      </c>
      <c r="AY628" s="41" t="str">
        <f>IF(LEN(D628)=0,"",INDEX(Input!$1:$1048576,AY$93,$C628*2+6))</f>
        <v>Compact Conventional/Sporty Car (43)</v>
      </c>
      <c r="AZ628" s="41" t="str">
        <f>INDEX(Input!$1:$1048576,AZ$93,$C628*2+6)</f>
        <v>Kia Forte</v>
      </c>
      <c r="BA628" s="3">
        <f>INDEX(Input!$1:$1048576,BA$93,$C628*2+6)</f>
        <v>2020</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19695</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941"/>
        <v>1465.0000000000002</v>
      </c>
      <c r="CJ628" s="16" t="str">
        <f>INDEX(Input!$1:$1048576,CJ$93,$C628*2+6)</f>
        <v>N</v>
      </c>
      <c r="CK628" s="1" t="str">
        <f t="shared" si="1942"/>
        <v>Market</v>
      </c>
      <c r="CL628" s="1" t="str">
        <f t="shared" si="1943"/>
        <v>Market</v>
      </c>
      <c r="CM628" s="1" t="str">
        <f t="shared" si="1944"/>
        <v>Market</v>
      </c>
      <c r="CN628" s="1" t="str">
        <f t="shared" si="1945"/>
        <v>Market</v>
      </c>
      <c r="CO628" s="1" t="str">
        <f t="shared" si="1946"/>
        <v>Market</v>
      </c>
      <c r="CP628" s="304">
        <f t="shared" si="1947"/>
        <v>1000</v>
      </c>
      <c r="CQ628" s="1">
        <f t="shared" si="1948"/>
        <v>0</v>
      </c>
      <c r="CR628" s="1">
        <f t="shared" si="1949"/>
        <v>0</v>
      </c>
      <c r="CS628" s="1">
        <f t="shared" si="1950"/>
        <v>0</v>
      </c>
      <c r="CT628" s="1">
        <f t="shared" si="1951"/>
        <v>1.8999999999999996E-2</v>
      </c>
      <c r="CU628" s="1">
        <f t="shared" si="1952"/>
        <v>3.9E-2</v>
      </c>
      <c r="CV628" s="304">
        <f t="shared" si="2013"/>
        <v>2339.3275155115825</v>
      </c>
      <c r="CW628" s="20" t="s">
        <v>122</v>
      </c>
      <c r="CX628" s="20" t="s">
        <v>122</v>
      </c>
      <c r="CY628" s="20" t="s">
        <v>122</v>
      </c>
      <c r="CZ628" s="20" t="s">
        <v>122</v>
      </c>
      <c r="DA628" s="20" t="s">
        <v>122</v>
      </c>
      <c r="DB628" s="503">
        <f t="shared" si="2014"/>
        <v>0</v>
      </c>
      <c r="DC628" s="127">
        <v>0</v>
      </c>
      <c r="DD628" s="127">
        <v>0</v>
      </c>
      <c r="DE628" s="127">
        <v>0</v>
      </c>
      <c r="DF628" s="127">
        <v>0</v>
      </c>
      <c r="DG628" s="127">
        <v>0</v>
      </c>
      <c r="DH628" s="127">
        <v>0</v>
      </c>
      <c r="DI628" s="127">
        <v>0</v>
      </c>
      <c r="DJ628" s="127">
        <v>0</v>
      </c>
      <c r="DK628" s="127">
        <v>0</v>
      </c>
      <c r="DL628" s="127">
        <v>0</v>
      </c>
      <c r="DM628" s="304">
        <f>INDEX(Input!$1:$1048576,DM$93,$C628*2+6)</f>
        <v>20731.578947368424</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v>4.6973402695104673E-2</v>
      </c>
      <c r="DZ628" s="7">
        <v>0</v>
      </c>
      <c r="EA628" s="7">
        <v>0.69863212058027502</v>
      </c>
      <c r="EB628" s="7">
        <v>0</v>
      </c>
      <c r="EC628" s="7">
        <v>0</v>
      </c>
      <c r="ED628" s="7">
        <v>0</v>
      </c>
      <c r="EE628" s="7">
        <v>0</v>
      </c>
      <c r="EF628" s="7">
        <v>0</v>
      </c>
      <c r="EG628" s="7">
        <v>0</v>
      </c>
      <c r="EH628" s="7">
        <v>2.9283444843554562E-2</v>
      </c>
      <c r="EI628" s="7">
        <v>1.939493412191335E-2</v>
      </c>
      <c r="EJ628" s="7">
        <v>0.23004454796242307</v>
      </c>
      <c r="EK628" s="7">
        <v>0.72127707307210853</v>
      </c>
      <c r="EL628" s="7">
        <v>0</v>
      </c>
      <c r="EM628" s="7">
        <v>0.1158066322985699</v>
      </c>
      <c r="EN628" s="7">
        <v>3.6763949510613549E-2</v>
      </c>
      <c r="EO628" s="7">
        <v>0.38209100626504211</v>
      </c>
      <c r="EP628" s="7">
        <v>0.48269201683537261</v>
      </c>
      <c r="EQ628" s="7">
        <v>7.471083435026192E-2</v>
      </c>
      <c r="ER628" s="7">
        <v>2.3742193038710297E-2</v>
      </c>
      <c r="ES628" s="7">
        <v>0.13858784442605046</v>
      </c>
      <c r="ET628" s="7">
        <v>0.25439447672462034</v>
      </c>
      <c r="EU628" s="6">
        <v>750</v>
      </c>
      <c r="EV628" s="6">
        <v>0</v>
      </c>
      <c r="EW628" s="6">
        <v>750</v>
      </c>
      <c r="EX628" s="6">
        <v>0</v>
      </c>
      <c r="EY628" s="6">
        <v>2370.2758263992582</v>
      </c>
      <c r="EZ628" s="6">
        <v>-1554.2676731795959</v>
      </c>
      <c r="FA628" s="6">
        <v>0</v>
      </c>
      <c r="FB628" s="6">
        <v>0</v>
      </c>
      <c r="FC628" s="6">
        <v>0</v>
      </c>
      <c r="FD628" s="6">
        <v>0</v>
      </c>
      <c r="FE628" s="6">
        <v>0</v>
      </c>
      <c r="FF628" s="6">
        <v>0</v>
      </c>
      <c r="FG628" s="6">
        <v>0</v>
      </c>
      <c r="FH628" s="6">
        <v>1155.3723564406546</v>
      </c>
      <c r="FI628" s="6">
        <v>1531.4299904380616</v>
      </c>
      <c r="FJ628" s="6">
        <v>1709.9775738488449</v>
      </c>
      <c r="FK628" s="6">
        <v>1266.3227157028196</v>
      </c>
      <c r="FL628" s="6">
        <v>0</v>
      </c>
      <c r="FM628" s="6">
        <v>1370.2758263992582</v>
      </c>
      <c r="FN628" s="6">
        <v>0</v>
      </c>
      <c r="FO628" s="6">
        <v>0</v>
      </c>
      <c r="FP628" s="6">
        <v>0</v>
      </c>
      <c r="FQ628" s="6">
        <v>0</v>
      </c>
      <c r="FR628" s="6">
        <v>0</v>
      </c>
      <c r="FS628" s="6">
        <v>0</v>
      </c>
      <c r="FT628" s="7">
        <v>0.74560552327537966</v>
      </c>
      <c r="FU628" s="7">
        <v>0.1158066322985699</v>
      </c>
      <c r="FV628" s="7">
        <v>0.13858784442605046</v>
      </c>
      <c r="FW628" s="6">
        <v>750</v>
      </c>
      <c r="FX628" s="6">
        <v>2370.2758263992582</v>
      </c>
      <c r="FY628" s="6">
        <v>-1554.2676731795959</v>
      </c>
      <c r="FZ628" s="6">
        <v>1676.0854837363124</v>
      </c>
      <c r="GA628" s="6">
        <v>618.29519704348934</v>
      </c>
      <c r="GB628" s="6">
        <v>19076.704802956512</v>
      </c>
      <c r="GC628" s="7">
        <v>6.4493561548621597E-2</v>
      </c>
      <c r="GD628" s="7">
        <v>5.4356290874813806E-2</v>
      </c>
      <c r="GE628" s="7"/>
      <c r="GF628" s="7"/>
      <c r="GG628" s="7">
        <v>-0.1571826773152436</v>
      </c>
      <c r="GH628" s="42">
        <v>2.926584663017143</v>
      </c>
      <c r="GI628" s="6">
        <v>7347.982620367703</v>
      </c>
      <c r="GJ628" s="14">
        <v>0.51596255589662321</v>
      </c>
      <c r="GK628" s="14">
        <v>0.51419567426615964</v>
      </c>
      <c r="GL628" s="14">
        <v>0.48403744410337668</v>
      </c>
      <c r="GM628" s="14">
        <v>0.48580432573384025</v>
      </c>
      <c r="GO628" s="5">
        <v>338.16872463277008</v>
      </c>
      <c r="GP628" s="5">
        <v>323.86015542600148</v>
      </c>
      <c r="GQ628" s="5">
        <v>527.27910984145694</v>
      </c>
      <c r="GR628" s="5">
        <v>404.20319246551543</v>
      </c>
      <c r="GS628" s="5">
        <v>334.50205195691484</v>
      </c>
      <c r="GT628" s="5">
        <v>289.18266033348181</v>
      </c>
      <c r="GU628" s="5">
        <v>254.29573314828914</v>
      </c>
      <c r="GV628" s="39" t="s">
        <v>392</v>
      </c>
      <c r="GW628" s="5">
        <v>464.59722222222223</v>
      </c>
      <c r="GX628" s="5">
        <v>348.44791666666669</v>
      </c>
      <c r="GY628" s="5">
        <v>285.1819383980785</v>
      </c>
      <c r="GZ628" s="5">
        <v>253.37425939536436</v>
      </c>
      <c r="HA628" s="5">
        <v>239.94941100514569</v>
      </c>
      <c r="HB628" s="39">
        <v>268.72072583441621</v>
      </c>
      <c r="HC628" s="5">
        <v>351.11483570160732</v>
      </c>
      <c r="HD628" s="5">
        <v>282.73776275539944</v>
      </c>
      <c r="HE628" s="5">
        <v>280.55735780820959</v>
      </c>
      <c r="HF628" s="5">
        <v>253.64561428438338</v>
      </c>
      <c r="HG628" s="5">
        <v>237.36506461313525</v>
      </c>
      <c r="HH628" s="39">
        <v>280.94836390810855</v>
      </c>
      <c r="HI628" s="16"/>
      <c r="HJ628" s="19" t="str">
        <f t="shared" ref="HJ628:HK628" si="2036">HJ627</f>
        <v>On</v>
      </c>
      <c r="HK628" s="1" t="str">
        <f t="shared" si="2036"/>
        <v>On</v>
      </c>
      <c r="HL628" s="16"/>
      <c r="HM628" s="639">
        <f t="shared" si="2022"/>
        <v>4.9686942767030826E-2</v>
      </c>
      <c r="HN628" s="639">
        <f t="shared" si="2022"/>
        <v>2.6112822013589915E-3</v>
      </c>
      <c r="HO628" s="639">
        <f t="shared" si="2022"/>
        <v>3.166115353075552E-2</v>
      </c>
      <c r="HP628" s="644">
        <f t="shared" si="2020"/>
        <v>-31.536320128006338</v>
      </c>
      <c r="HQ628" s="644">
        <f t="shared" si="2020"/>
        <v>447.92664757205921</v>
      </c>
      <c r="HR628" s="644">
        <f t="shared" si="2020"/>
        <v>30.565247076600325</v>
      </c>
      <c r="HS628" s="644">
        <f t="shared" si="2020"/>
        <v>-67.285779036346099</v>
      </c>
      <c r="HT628" s="644">
        <f t="shared" si="2020"/>
        <v>596.42577235148508</v>
      </c>
      <c r="HU628" s="644">
        <f t="shared" si="2020"/>
        <v>88.113774296123935</v>
      </c>
      <c r="HV628" s="644">
        <f t="shared" si="2020"/>
        <v>0</v>
      </c>
      <c r="HW628" s="644">
        <f t="shared" si="2020"/>
        <v>0</v>
      </c>
      <c r="HX628" s="644">
        <f t="shared" si="2020"/>
        <v>0</v>
      </c>
      <c r="HY628" s="644">
        <f t="shared" si="2020"/>
        <v>2388</v>
      </c>
      <c r="HZ628" s="644">
        <f t="shared" si="2020"/>
        <v>2518</v>
      </c>
      <c r="IA628" s="644">
        <f t="shared" si="2020"/>
        <v>2200</v>
      </c>
      <c r="IB628" s="644">
        <f t="shared" si="2020"/>
        <v>2289.1779008356475</v>
      </c>
      <c r="IC628" s="644">
        <f t="shared" si="2020"/>
        <v>3562.3524199235444</v>
      </c>
      <c r="ID628" s="644">
        <f t="shared" si="2020"/>
        <v>2318.6790213727245</v>
      </c>
      <c r="IE628" s="20">
        <f t="shared" si="1977"/>
        <v>0.28018595423631026</v>
      </c>
      <c r="IF628" s="20">
        <f t="shared" si="1956"/>
        <v>0.43601727578182131</v>
      </c>
      <c r="IG628" s="20">
        <f t="shared" si="1957"/>
        <v>0.28379676998186848</v>
      </c>
      <c r="IH628" s="21"/>
      <c r="II628" s="19"/>
      <c r="IJ628" s="19"/>
      <c r="IK628" s="19"/>
      <c r="IL628" s="19">
        <f t="shared" si="1978"/>
        <v>400.00000000000023</v>
      </c>
      <c r="IM628" s="19">
        <f t="shared" si="1978"/>
        <v>1264.8911939718851</v>
      </c>
      <c r="IN628" s="19">
        <f t="shared" si="1978"/>
        <v>285.24392036733298</v>
      </c>
      <c r="IO628" s="39"/>
      <c r="IP628" s="39"/>
      <c r="IQ628" s="39"/>
      <c r="IR628" s="39"/>
      <c r="IS628" s="39"/>
      <c r="IT628" s="39"/>
      <c r="IU628" s="39"/>
      <c r="IV628" s="39"/>
      <c r="IW628" s="39"/>
      <c r="IX628" s="19">
        <f t="shared" si="2023"/>
        <v>1600</v>
      </c>
      <c r="IY628" s="19">
        <f t="shared" si="2023"/>
        <v>2503.549291639752</v>
      </c>
      <c r="IZ628" s="19">
        <f t="shared" si="2023"/>
        <v>5888.3563810918577</v>
      </c>
      <c r="JA628" s="19">
        <f t="shared" si="2024"/>
        <v>2000.0000000000002</v>
      </c>
      <c r="JB628" s="19">
        <f t="shared" si="2024"/>
        <v>3768.4404856116371</v>
      </c>
      <c r="JC628" s="19">
        <f t="shared" si="2024"/>
        <v>6173.6003014591906</v>
      </c>
      <c r="JD628" s="19">
        <f t="shared" si="1981"/>
        <v>3955.524887668138</v>
      </c>
      <c r="JE628" s="21"/>
      <c r="JF628" s="1">
        <f t="shared" si="1982"/>
        <v>6.8844376252282569E-2</v>
      </c>
      <c r="JG628" s="15">
        <f t="shared" si="1983"/>
        <v>7106</v>
      </c>
      <c r="JH628" s="1">
        <f t="shared" si="1984"/>
        <v>6.2898335845856065E-2</v>
      </c>
      <c r="JI628" s="1">
        <f t="shared" si="1985"/>
        <v>8.6863744386611721E-2</v>
      </c>
      <c r="JJ628" s="1">
        <f t="shared" si="1962"/>
        <v>0</v>
      </c>
      <c r="JK628" s="1">
        <f t="shared" si="1963"/>
        <v>0.14976208023246779</v>
      </c>
      <c r="JL628" s="15">
        <f t="shared" si="2025"/>
        <v>1064.2093421319162</v>
      </c>
      <c r="JM628" s="15">
        <f t="shared" si="2025"/>
        <v>8170.209342131915</v>
      </c>
      <c r="JN628" s="21"/>
      <c r="JO628" s="19">
        <f>INDEX([1]Input!$1:$1048576,JO$93,$C628*2+6)</f>
        <v>5995.5</v>
      </c>
      <c r="JP628" s="19">
        <f>INDEX([1]Input!$1:$1048576,JP$93,$C628*2+6)</f>
        <v>1716.3055838443925</v>
      </c>
      <c r="JQ628" s="39">
        <f t="shared" si="1995"/>
        <v>2039.975112331862</v>
      </c>
      <c r="JR628" s="39">
        <f t="shared" si="1996"/>
        <v>2239.2193038237456</v>
      </c>
      <c r="JS628" s="39">
        <f t="shared" si="1997"/>
        <v>32.317466390261515</v>
      </c>
      <c r="JT628" s="39">
        <f t="shared" si="1987"/>
        <v>20.12139891146326</v>
      </c>
      <c r="JU628" s="385">
        <f>(JQ628*JM628-INDEX([1]Input!$1:$1048576,[1]Input!A$18,$C628*2+6)*JL628*INDEX([1]Input!$1:$1048576,[1]Input!A$19,$C628*2+6))/1000000</f>
        <v>16.667023720490381</v>
      </c>
      <c r="JV628" s="39">
        <f t="shared" si="1966"/>
        <v>-13.740931800711369</v>
      </c>
      <c r="JW628" s="1">
        <f t="shared" si="2000"/>
        <v>-0.45188607932324137</v>
      </c>
      <c r="JX628" s="19">
        <f t="shared" si="2001"/>
        <v>18907.369175273667</v>
      </c>
      <c r="JZ628" s="341"/>
      <c r="KA628" s="60"/>
      <c r="KB628" s="469">
        <f t="shared" si="1988"/>
        <v>0</v>
      </c>
      <c r="KI628" s="472"/>
      <c r="KJ628" s="472"/>
      <c r="KK628" s="472"/>
      <c r="KN628" s="888">
        <f t="shared" si="1989"/>
        <v>6002</v>
      </c>
      <c r="KO628" s="541">
        <f t="shared" si="1967"/>
        <v>6.9100707213269441E-2</v>
      </c>
      <c r="KP628" s="546">
        <f t="shared" si="1968"/>
        <v>384.84154702089148</v>
      </c>
      <c r="KQ628" s="546">
        <f t="shared" si="1969"/>
        <v>358.07639737821137</v>
      </c>
      <c r="KR628" s="472">
        <f t="shared" si="1970"/>
        <v>2.890416074703634</v>
      </c>
      <c r="KS628" s="472">
        <f t="shared" si="1971"/>
        <v>3.1064661113312599</v>
      </c>
      <c r="KT628" s="473">
        <f t="shared" si="1998"/>
        <v>2521.945896759994</v>
      </c>
      <c r="KU628" s="663">
        <f t="shared" si="1990"/>
        <v>11.15147033973372</v>
      </c>
      <c r="KV628" s="117"/>
    </row>
    <row r="629" spans="1:308" s="26" customFormat="1" ht="15">
      <c r="A629" s="561">
        <f t="shared" si="1972"/>
        <v>6029</v>
      </c>
      <c r="B629" s="561">
        <f t="shared" si="1991"/>
        <v>29</v>
      </c>
      <c r="C629" s="561">
        <f t="shared" si="1992"/>
        <v>6</v>
      </c>
      <c r="D629" s="561" t="str">
        <f t="shared" si="2028"/>
        <v xml:space="preserve">-720 Lease, </v>
      </c>
      <c r="E629" s="475">
        <f>INDEX(Input!$1:$1048576,E$93,$C629*2+MIN($B629,2)+5)
+INDEX(Scenarios!E$121:E$199,MATCH($B629,Scenarios!$B$121:$B$199,0))</f>
        <v>1250.0000000000002</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1.8999999999999996E-2</v>
      </c>
      <c r="W629" s="863">
        <f>IFERROR(MAX(0,INDEX(Input!$1:$1048576,W$93,$C629*2+MIN($B629,2)+5)-0%,),"Market")</f>
        <v>3.9E-2</v>
      </c>
      <c r="X629" s="476" t="str">
        <f>INDEX(Input!$1:$1048576,X$93,$C629*2+MIN($B629,2)+5)</f>
        <v>Y</v>
      </c>
      <c r="Y629" s="475">
        <f>INDEX(Input!$1:$1048576,Y$93,$C629*2+MIN($B629,2)+5)
++INDEX(Scenarios!Y$121:Y$199,MATCH($B629,Scenarios!$B$121:$B$199,0))</f>
        <v>1619.3275155115825</v>
      </c>
      <c r="Z629" s="477">
        <f>INDEX(Input!$1:$1048576,Z$93,$C629*2+MIN($B629,2)+5)
+INDEX(Scenarios!Z$121:Z$199,MATCH($B629,Scenarios!$B$121:$B$199,0))</f>
        <v>0</v>
      </c>
      <c r="AA629" s="475">
        <f>INDEX(Input!$1:$1048576,AA$93,$C629*2+MIN($B629,2)+5)</f>
        <v>0</v>
      </c>
      <c r="AB629" s="476">
        <f>INDEX(Input!$1:$1048576,AB$93,$C629*2+MIN($B629,2)+5)</f>
        <v>1</v>
      </c>
      <c r="AC629" s="475">
        <f>INDEX(Input!$1:$1048576,AC$93,$C629*2+MIN($B629,2)+5)
+INDEX(Scenarios!AC$121:AC$199,MATCH($B629,Scenarios!$B$121:$B$199,0))</f>
        <v>0</v>
      </c>
      <c r="AD629" s="476">
        <f>INDEX(Input!$1:$1048576,AD$93,$C629*2+MIN($B629,2)+5)</f>
        <v>0.35</v>
      </c>
      <c r="AE629" s="475">
        <f>INDEX(Input!$1:$1048576,AE$93,$C629*2+MIN($B629,2)+5)
+INDEX(Scenarios!AE$121:AE$199,MATCH($B629,Scenarios!$B$121:$B$199,0))</f>
        <v>0</v>
      </c>
      <c r="AF629" s="476">
        <f>INDEX(Input!$1:$1048576,AF$93,$C629*2+MIN($B629,2)+5)</f>
        <v>1</v>
      </c>
      <c r="AG629" s="475">
        <f>INDEX(Input!$1:$1048576,AG$93,$C629*2+MIN($B629,2)+5)</f>
        <v>0</v>
      </c>
      <c r="AH629" s="476">
        <f>INDEX(Input!$1:$1048576,AH$93,$C629*2+MIN($B629,2)+5)</f>
        <v>1</v>
      </c>
      <c r="AI629" s="475">
        <f>INDEX(Input!$1:$1048576,AI$93,$C629*2+MIN($B629,2)+5)</f>
        <v>0</v>
      </c>
      <c r="AJ629" s="476">
        <f>INDEX(Input!$1:$1048576,AJ$93,$C629*2+MIN($B629,2)+5)</f>
        <v>0.35</v>
      </c>
      <c r="AK629" s="150">
        <f>ROUND(INDEX(Input!$1:$1048576,AK$93,$C628*2+MIN($B629,1)+5)+(Y629-VLOOKUP($C629*1000+1,$A:$HH,Y$92,FALSE)),0)</f>
        <v>4373</v>
      </c>
      <c r="AL629" s="150">
        <f>ROUND(INDEX(Input!$1:$1048576,AL$93,$C628*2+MIN($B629,1)+5)-(Y629-VLOOKUP($C629*1000+1,$A:$HH,Y$92,FALSE))/36,0)</f>
        <v>5237</v>
      </c>
      <c r="AM629" s="32" t="str">
        <f t="shared" si="1973"/>
        <v>std/std/std/std</v>
      </c>
      <c r="AN629" s="32" t="str">
        <f t="shared" si="1974"/>
        <v>$0 + 0/0/0/1.9/3.9</v>
      </c>
      <c r="AO629" s="32" t="str">
        <f t="shared" si="1975"/>
        <v>0/0/0/1.9/3.9</v>
      </c>
      <c r="AP629" s="32" t="str">
        <f t="shared" si="1939"/>
        <v>0/0.9/1.9/3.9</v>
      </c>
      <c r="AQ629" s="536">
        <f t="shared" si="1940"/>
        <v>0.37409150866561347</v>
      </c>
      <c r="AR629" s="32"/>
      <c r="AS629" s="302"/>
      <c r="AT629" s="3">
        <f t="shared" si="1993"/>
        <v>29</v>
      </c>
      <c r="AU629" s="41" t="s">
        <v>121</v>
      </c>
      <c r="AV629" s="41" t="s">
        <v>116</v>
      </c>
      <c r="AW629" s="41" t="str">
        <f>INDEX(Input!$1:$1048576,AW$93,$C629*2+6)</f>
        <v>Kia</v>
      </c>
      <c r="AX629" s="41" t="str">
        <f>INDEX(Input!$1:$1048576,AX$93,$C629*2+6)</f>
        <v>National</v>
      </c>
      <c r="AY629" s="41" t="str">
        <f>IF(LEN(D629)=0,"",INDEX(Input!$1:$1048576,AY$93,$C629*2+6))</f>
        <v>Compact Conventional/Sporty Car (43)</v>
      </c>
      <c r="AZ629" s="41" t="str">
        <f>INDEX(Input!$1:$1048576,AZ$93,$C629*2+6)</f>
        <v>Kia Forte</v>
      </c>
      <c r="BA629" s="3">
        <f>INDEX(Input!$1:$1048576,BA$93,$C629*2+6)</f>
        <v>2020</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19695</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941"/>
        <v>1465.0000000000002</v>
      </c>
      <c r="CJ629" s="16" t="str">
        <f>INDEX(Input!$1:$1048576,CJ$93,$C629*2+6)</f>
        <v>N</v>
      </c>
      <c r="CK629" s="1" t="str">
        <f t="shared" si="1942"/>
        <v>Market</v>
      </c>
      <c r="CL629" s="1" t="str">
        <f t="shared" si="1943"/>
        <v>Market</v>
      </c>
      <c r="CM629" s="1" t="str">
        <f t="shared" si="1944"/>
        <v>Market</v>
      </c>
      <c r="CN629" s="1" t="str">
        <f t="shared" si="1945"/>
        <v>Market</v>
      </c>
      <c r="CO629" s="1" t="str">
        <f t="shared" si="1946"/>
        <v>Market</v>
      </c>
      <c r="CP629" s="304">
        <f t="shared" si="1947"/>
        <v>0</v>
      </c>
      <c r="CQ629" s="1">
        <f t="shared" si="1948"/>
        <v>0</v>
      </c>
      <c r="CR629" s="1">
        <f t="shared" si="1949"/>
        <v>0</v>
      </c>
      <c r="CS629" s="1">
        <f t="shared" si="1950"/>
        <v>0</v>
      </c>
      <c r="CT629" s="1">
        <f t="shared" si="1951"/>
        <v>1.8999999999999996E-2</v>
      </c>
      <c r="CU629" s="1">
        <f t="shared" si="1952"/>
        <v>3.9E-2</v>
      </c>
      <c r="CV629" s="304">
        <f t="shared" si="2013"/>
        <v>1619.3275155115825</v>
      </c>
      <c r="CW629" s="20" t="s">
        <v>122</v>
      </c>
      <c r="CX629" s="20" t="s">
        <v>122</v>
      </c>
      <c r="CY629" s="20" t="s">
        <v>122</v>
      </c>
      <c r="CZ629" s="20" t="s">
        <v>122</v>
      </c>
      <c r="DA629" s="20" t="s">
        <v>122</v>
      </c>
      <c r="DB629" s="503">
        <f t="shared" si="2014"/>
        <v>0</v>
      </c>
      <c r="DC629" s="127">
        <v>0</v>
      </c>
      <c r="DD629" s="127">
        <v>0</v>
      </c>
      <c r="DE629" s="127">
        <v>0</v>
      </c>
      <c r="DF629" s="127">
        <v>0</v>
      </c>
      <c r="DG629" s="127">
        <v>0</v>
      </c>
      <c r="DH629" s="127">
        <v>0</v>
      </c>
      <c r="DI629" s="127">
        <v>0</v>
      </c>
      <c r="DJ629" s="127">
        <v>0</v>
      </c>
      <c r="DK629" s="127">
        <v>0</v>
      </c>
      <c r="DL629" s="127">
        <v>0</v>
      </c>
      <c r="DM629" s="304">
        <f>INDEX(Input!$1:$1048576,DM$93,$C629*2+6)</f>
        <v>20731.578947368424</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v>5.0850621685335579E-2</v>
      </c>
      <c r="DZ629" s="7">
        <v>0</v>
      </c>
      <c r="EA629" s="7">
        <v>0.79937455093215481</v>
      </c>
      <c r="EB629" s="7">
        <v>0</v>
      </c>
      <c r="EC629" s="7">
        <v>0</v>
      </c>
      <c r="ED629" s="7">
        <v>0</v>
      </c>
      <c r="EE629" s="7">
        <v>0</v>
      </c>
      <c r="EF629" s="7">
        <v>0</v>
      </c>
      <c r="EG629" s="7">
        <v>0</v>
      </c>
      <c r="EH629" s="7">
        <v>2.9737717652978217E-2</v>
      </c>
      <c r="EI629" s="7">
        <v>1.9438395112902268E-2</v>
      </c>
      <c r="EJ629" s="7">
        <v>0.26170049491342778</v>
      </c>
      <c r="EK629" s="7">
        <v>0.68912339232069131</v>
      </c>
      <c r="EL629" s="7">
        <v>0</v>
      </c>
      <c r="EM629" s="7">
        <v>2.6497224048876181E-2</v>
      </c>
      <c r="EN629" s="7">
        <v>3.7641131749236327E-2</v>
      </c>
      <c r="EO629" s="7">
        <v>0.37684994186687021</v>
      </c>
      <c r="EP629" s="7">
        <v>0.48549468038808108</v>
      </c>
      <c r="EQ629" s="7">
        <v>7.5669164979219591E-2</v>
      </c>
      <c r="ER629" s="7">
        <v>2.4345081016592541E-2</v>
      </c>
      <c r="ES629" s="7">
        <v>0.12327760333363355</v>
      </c>
      <c r="ET629" s="7">
        <v>0.14977482738250969</v>
      </c>
      <c r="EU629" s="6">
        <v>750</v>
      </c>
      <c r="EV629" s="6">
        <v>0</v>
      </c>
      <c r="EW629" s="6">
        <v>750</v>
      </c>
      <c r="EX629" s="6">
        <v>0</v>
      </c>
      <c r="EY629" s="6">
        <v>1384.377884171279</v>
      </c>
      <c r="EZ629" s="6">
        <v>-2274.2676731795959</v>
      </c>
      <c r="FA629" s="6">
        <v>0</v>
      </c>
      <c r="FB629" s="6">
        <v>0</v>
      </c>
      <c r="FC629" s="6">
        <v>0</v>
      </c>
      <c r="FD629" s="6">
        <v>0</v>
      </c>
      <c r="FE629" s="6">
        <v>0</v>
      </c>
      <c r="FF629" s="6">
        <v>0</v>
      </c>
      <c r="FG629" s="6">
        <v>0</v>
      </c>
      <c r="FH629" s="6">
        <v>1158.6215306258773</v>
      </c>
      <c r="FI629" s="6">
        <v>1531.4299904380612</v>
      </c>
      <c r="FJ629" s="6">
        <v>1709.9775738488456</v>
      </c>
      <c r="FK629" s="6">
        <v>1266.3227157028186</v>
      </c>
      <c r="FL629" s="6">
        <v>0</v>
      </c>
      <c r="FM629" s="6">
        <v>1384.377884171279</v>
      </c>
      <c r="FN629" s="6">
        <v>0</v>
      </c>
      <c r="FO629" s="6">
        <v>0</v>
      </c>
      <c r="FP629" s="6">
        <v>0</v>
      </c>
      <c r="FQ629" s="6">
        <v>0</v>
      </c>
      <c r="FR629" s="6">
        <v>0</v>
      </c>
      <c r="FS629" s="6">
        <v>0</v>
      </c>
      <c r="FT629" s="7">
        <v>0.85022517261749042</v>
      </c>
      <c r="FU629" s="7">
        <v>2.6497224048876181E-2</v>
      </c>
      <c r="FV629" s="7">
        <v>0.12327760333363355</v>
      </c>
      <c r="FW629" s="6">
        <v>749.99999999999989</v>
      </c>
      <c r="FX629" s="6">
        <v>1384.377884171279</v>
      </c>
      <c r="FY629" s="6">
        <v>-2274.2676731795959</v>
      </c>
      <c r="FZ629" s="6">
        <v>1676.0854837363124</v>
      </c>
      <c r="GA629" s="6">
        <v>393.98478233957326</v>
      </c>
      <c r="GB629" s="6">
        <v>19301.015217660428</v>
      </c>
      <c r="GC629" s="7">
        <v>6.4493561548621597E-2</v>
      </c>
      <c r="GD629" s="7">
        <v>5.2284647332834971E-2</v>
      </c>
      <c r="GE629" s="7"/>
      <c r="GF629" s="7"/>
      <c r="GG629" s="7">
        <v>-0.18930438826180104</v>
      </c>
      <c r="GH629" s="42">
        <v>2.9080008479477883</v>
      </c>
      <c r="GI629" s="6">
        <v>7166.6788184843708</v>
      </c>
      <c r="GJ629" s="14">
        <v>0.51596255589662343</v>
      </c>
      <c r="GK629" s="14">
        <v>0.51419567426615953</v>
      </c>
      <c r="GL629" s="14">
        <v>0.48403744410337668</v>
      </c>
      <c r="GM629" s="14">
        <v>0.48580432573384014</v>
      </c>
      <c r="GO629" s="5">
        <v>338.16872463277008</v>
      </c>
      <c r="GP629" s="5">
        <v>323.86015542600148</v>
      </c>
      <c r="GQ629" s="5">
        <v>527.27910984145694</v>
      </c>
      <c r="GR629" s="5">
        <v>404.20319246551543</v>
      </c>
      <c r="GS629" s="5">
        <v>334.50205195691484</v>
      </c>
      <c r="GT629" s="5">
        <v>289.18266033348181</v>
      </c>
      <c r="GU629" s="5">
        <v>254.29573314828914</v>
      </c>
      <c r="GV629" s="39" t="s">
        <v>392</v>
      </c>
      <c r="GW629" s="5">
        <v>492.375</v>
      </c>
      <c r="GX629" s="5">
        <v>369.28125</v>
      </c>
      <c r="GY629" s="5">
        <v>302.23266563481752</v>
      </c>
      <c r="GZ629" s="5">
        <v>268.52323906086701</v>
      </c>
      <c r="HA629" s="5">
        <v>254.29573314828914</v>
      </c>
      <c r="HB629" s="39">
        <v>285.96042716887251</v>
      </c>
      <c r="HC629" s="5">
        <v>382.61483570160732</v>
      </c>
      <c r="HD629" s="5">
        <v>304.23776275539944</v>
      </c>
      <c r="HE629" s="5">
        <v>300.51889626974804</v>
      </c>
      <c r="HF629" s="5">
        <v>270.29561428438342</v>
      </c>
      <c r="HG629" s="5">
        <v>251.16506461313523</v>
      </c>
      <c r="HH629" s="39">
        <v>301.52204141998476</v>
      </c>
      <c r="HI629" s="16"/>
      <c r="HJ629" s="19" t="str">
        <f t="shared" ref="HJ629:HK629" si="2037">HJ628</f>
        <v>On</v>
      </c>
      <c r="HK629" s="1" t="str">
        <f t="shared" si="2037"/>
        <v>On</v>
      </c>
      <c r="HL629" s="16"/>
      <c r="HM629" s="639">
        <f t="shared" si="2022"/>
        <v>4.9686942767030826E-2</v>
      </c>
      <c r="HN629" s="639">
        <f t="shared" si="2022"/>
        <v>2.6112822013589915E-3</v>
      </c>
      <c r="HO629" s="639">
        <f t="shared" si="2022"/>
        <v>3.166115353075552E-2</v>
      </c>
      <c r="HP629" s="644">
        <f t="shared" si="2020"/>
        <v>388.17933233001276</v>
      </c>
      <c r="HQ629" s="644">
        <f t="shared" si="2020"/>
        <v>25.138502925133061</v>
      </c>
      <c r="HR629" s="644">
        <f t="shared" si="2020"/>
        <v>-287.38060581425691</v>
      </c>
      <c r="HS629" s="644">
        <f t="shared" si="2020"/>
        <v>-65.116591358807199</v>
      </c>
      <c r="HT629" s="644">
        <f t="shared" si="2020"/>
        <v>178.51023970788279</v>
      </c>
      <c r="HU629" s="644">
        <f t="shared" si="2020"/>
        <v>-98.273197594064385</v>
      </c>
      <c r="HV629" s="644">
        <f t="shared" si="2020"/>
        <v>0</v>
      </c>
      <c r="HW629" s="644">
        <f t="shared" si="2020"/>
        <v>0</v>
      </c>
      <c r="HX629" s="644">
        <f t="shared" si="2020"/>
        <v>0</v>
      </c>
      <c r="HY629" s="644">
        <f t="shared" si="2020"/>
        <v>2388</v>
      </c>
      <c r="HZ629" s="644">
        <f t="shared" si="2020"/>
        <v>2518</v>
      </c>
      <c r="IA629" s="644">
        <f t="shared" si="2020"/>
        <v>2200</v>
      </c>
      <c r="IB629" s="644">
        <f t="shared" si="2020"/>
        <v>2711.0627409712056</v>
      </c>
      <c r="IC629" s="644">
        <f t="shared" si="2020"/>
        <v>2721.6487426330164</v>
      </c>
      <c r="ID629" s="644">
        <f t="shared" si="2020"/>
        <v>1814.346196591679</v>
      </c>
      <c r="IE629" s="20">
        <f t="shared" si="1977"/>
        <v>0.37409150866561347</v>
      </c>
      <c r="IF629" s="20">
        <f t="shared" si="1956"/>
        <v>0.37555223964485474</v>
      </c>
      <c r="IG629" s="20">
        <f t="shared" si="1957"/>
        <v>0.25035625168953174</v>
      </c>
      <c r="IH629" s="21"/>
      <c r="II629" s="19"/>
      <c r="IJ629" s="19"/>
      <c r="IK629" s="19"/>
      <c r="IL629" s="19">
        <f t="shared" si="1978"/>
        <v>400.00000000000023</v>
      </c>
      <c r="IM629" s="19">
        <f t="shared" si="1978"/>
        <v>400.20664597283894</v>
      </c>
      <c r="IN629" s="19">
        <f t="shared" si="1978"/>
        <v>-428.81665914104906</v>
      </c>
      <c r="IO629" s="39"/>
      <c r="IP629" s="39"/>
      <c r="IQ629" s="39"/>
      <c r="IR629" s="39"/>
      <c r="IS629" s="39"/>
      <c r="IT629" s="39"/>
      <c r="IU629" s="39"/>
      <c r="IV629" s="39"/>
      <c r="IW629" s="39"/>
      <c r="IX629" s="19">
        <f t="shared" si="2023"/>
        <v>1600</v>
      </c>
      <c r="IY629" s="19">
        <f t="shared" si="2023"/>
        <v>2503.549291639752</v>
      </c>
      <c r="IZ629" s="19">
        <f t="shared" si="2023"/>
        <v>5888.3563810918577</v>
      </c>
      <c r="JA629" s="19">
        <f t="shared" si="2024"/>
        <v>2000.0000000000002</v>
      </c>
      <c r="JB629" s="19">
        <f t="shared" si="2024"/>
        <v>2903.755937612591</v>
      </c>
      <c r="JC629" s="19">
        <f t="shared" si="2024"/>
        <v>5459.5397219508086</v>
      </c>
      <c r="JD629" s="19">
        <f t="shared" si="1981"/>
        <v>3205.5249638213932</v>
      </c>
      <c r="JE629" s="21"/>
      <c r="JF629" s="1">
        <f t="shared" si="1982"/>
        <v>6.8844376252282569E-2</v>
      </c>
      <c r="JG629" s="15">
        <f t="shared" si="1983"/>
        <v>7106</v>
      </c>
      <c r="JH629" s="1">
        <f t="shared" si="1984"/>
        <v>1.7722661052756675E-2</v>
      </c>
      <c r="JI629" s="1">
        <f t="shared" si="1985"/>
        <v>2.1278427744175635E-3</v>
      </c>
      <c r="JJ629" s="1">
        <f t="shared" si="1962"/>
        <v>0</v>
      </c>
      <c r="JK629" s="1">
        <f t="shared" si="1963"/>
        <v>1.9850503827174244E-2</v>
      </c>
      <c r="JL629" s="15">
        <f t="shared" si="2025"/>
        <v>141.05768019590019</v>
      </c>
      <c r="JM629" s="15">
        <f t="shared" si="2025"/>
        <v>7247.0576801958996</v>
      </c>
      <c r="JN629" s="21"/>
      <c r="JO629" s="19">
        <f>INDEX([1]Input!$1:$1048576,JO$93,$C629*2+6)</f>
        <v>5995.5</v>
      </c>
      <c r="JP629" s="19">
        <f>INDEX([1]Input!$1:$1048576,JP$93,$C629*2+6)</f>
        <v>1716.3055838443925</v>
      </c>
      <c r="JQ629" s="39">
        <f t="shared" si="1995"/>
        <v>2789.9750361786068</v>
      </c>
      <c r="JR629" s="39">
        <f t="shared" si="1996"/>
        <v>1489.2193799770007</v>
      </c>
      <c r="JS629" s="39">
        <f t="shared" si="1997"/>
        <v>23.230624308121509</v>
      </c>
      <c r="JT629" s="39">
        <f t="shared" si="1987"/>
        <v>11.034556829323256</v>
      </c>
      <c r="JU629" s="385">
        <f>(JQ629*JM629-INDEX([1]Input!$1:$1048576,[1]Input!A$18,$C629*2+6)*JL629*INDEX([1]Input!$1:$1048576,[1]Input!A$19,$C629*2+6))/1000000</f>
        <v>20.219110013493005</v>
      </c>
      <c r="JV629" s="39">
        <f t="shared" si="1966"/>
        <v>-10.188845507708745</v>
      </c>
      <c r="JW629" s="1">
        <f t="shared" si="2000"/>
        <v>-0.33507170518598789</v>
      </c>
      <c r="JX629" s="19">
        <f t="shared" si="2001"/>
        <v>78227.267129294341</v>
      </c>
      <c r="JZ629" s="341"/>
      <c r="KA629" s="60"/>
      <c r="KB629" s="469">
        <f t="shared" si="1988"/>
        <v>0</v>
      </c>
      <c r="KI629" s="472"/>
      <c r="KJ629" s="472"/>
      <c r="KK629" s="472"/>
      <c r="KN629" s="888">
        <f t="shared" si="1989"/>
        <v>6002</v>
      </c>
      <c r="KO629" s="541">
        <f t="shared" si="1967"/>
        <v>-5.1696943533751538E-2</v>
      </c>
      <c r="KP629" s="546">
        <f t="shared" si="1968"/>
        <v>-171.86856216983682</v>
      </c>
      <c r="KQ629" s="546">
        <f t="shared" si="1969"/>
        <v>-391.92352646853351</v>
      </c>
      <c r="KR629" s="472">
        <f t="shared" si="1970"/>
        <v>4.842038595789159</v>
      </c>
      <c r="KS629" s="472">
        <f t="shared" si="1971"/>
        <v>2.1233586534794386</v>
      </c>
      <c r="KT629" s="473">
        <f t="shared" si="1998"/>
        <v>2521.945896759994</v>
      </c>
      <c r="KU629" s="663">
        <f t="shared" si="1990"/>
        <v>11.511561488192529</v>
      </c>
      <c r="KV629" s="117"/>
    </row>
    <row r="630" spans="1:308" s="26" customFormat="1" ht="15">
      <c r="A630" s="561">
        <f t="shared" si="1972"/>
        <v>6030</v>
      </c>
      <c r="B630" s="561">
        <f t="shared" si="1991"/>
        <v>30</v>
      </c>
      <c r="C630" s="561">
        <f t="shared" si="1992"/>
        <v>6</v>
      </c>
      <c r="D630" s="561" t="str">
        <f t="shared" si="2028"/>
        <v xml:space="preserve">1080 Lease, </v>
      </c>
      <c r="E630" s="475">
        <f>INDEX(Input!$1:$1048576,E$93,$C630*2+MIN($B630,2)+5)
+INDEX(Scenarios!E$121:E$199,MATCH($B630,Scenarios!$B$121:$B$199,0))</f>
        <v>1250.0000000000002</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1.8999999999999996E-2</v>
      </c>
      <c r="W630" s="863">
        <f>IFERROR(MAX(0,INDEX(Input!$1:$1048576,W$93,$C630*2+MIN($B630,2)+5)-0%,),"Market")</f>
        <v>3.9E-2</v>
      </c>
      <c r="X630" s="476" t="str">
        <f>INDEX(Input!$1:$1048576,X$93,$C630*2+MIN($B630,2)+5)</f>
        <v>Y</v>
      </c>
      <c r="Y630" s="475">
        <f>INDEX(Input!$1:$1048576,Y$93,$C630*2+MIN($B630,2)+5)
++INDEX(Scenarios!Y$121:Y$199,MATCH($B630,Scenarios!$B$121:$B$199,0))</f>
        <v>3419.3275155115825</v>
      </c>
      <c r="Z630" s="477">
        <f>INDEX(Input!$1:$1048576,Z$93,$C630*2+MIN($B630,2)+5)
+INDEX(Scenarios!Z$121:Z$199,MATCH($B630,Scenarios!$B$121:$B$199,0))</f>
        <v>0</v>
      </c>
      <c r="AA630" s="475">
        <f>INDEX(Input!$1:$1048576,AA$93,$C630*2+MIN($B630,2)+5)</f>
        <v>0</v>
      </c>
      <c r="AB630" s="476">
        <f>INDEX(Input!$1:$1048576,AB$93,$C630*2+MIN($B630,2)+5)</f>
        <v>1</v>
      </c>
      <c r="AC630" s="475">
        <f>INDEX(Input!$1:$1048576,AC$93,$C630*2+MIN($B630,2)+5)
+INDEX(Scenarios!AC$121:AC$199,MATCH($B630,Scenarios!$B$121:$B$199,0))</f>
        <v>0</v>
      </c>
      <c r="AD630" s="476">
        <f>INDEX(Input!$1:$1048576,AD$93,$C630*2+MIN($B630,2)+5)</f>
        <v>0.35</v>
      </c>
      <c r="AE630" s="475">
        <f>INDEX(Input!$1:$1048576,AE$93,$C630*2+MIN($B630,2)+5)
+INDEX(Scenarios!AE$121:AE$199,MATCH($B630,Scenarios!$B$121:$B$199,0))</f>
        <v>0</v>
      </c>
      <c r="AF630" s="476">
        <f>INDEX(Input!$1:$1048576,AF$93,$C630*2+MIN($B630,2)+5)</f>
        <v>1</v>
      </c>
      <c r="AG630" s="475">
        <f>INDEX(Input!$1:$1048576,AG$93,$C630*2+MIN($B630,2)+5)</f>
        <v>0</v>
      </c>
      <c r="AH630" s="476">
        <f>INDEX(Input!$1:$1048576,AH$93,$C630*2+MIN($B630,2)+5)</f>
        <v>1</v>
      </c>
      <c r="AI630" s="475">
        <f>INDEX(Input!$1:$1048576,AI$93,$C630*2+MIN($B630,2)+5)</f>
        <v>0</v>
      </c>
      <c r="AJ630" s="476">
        <f>INDEX(Input!$1:$1048576,AJ$93,$C630*2+MIN($B630,2)+5)</f>
        <v>0.35</v>
      </c>
      <c r="AK630" s="150">
        <f>ROUND(INDEX(Input!$1:$1048576,AK$93,$C629*2+MIN($B630,1)+5)+(Y630-VLOOKUP($C630*1000+1,$A:$HH,Y$92,FALSE)),0)</f>
        <v>6173</v>
      </c>
      <c r="AL630" s="150">
        <f>ROUND(INDEX(Input!$1:$1048576,AL$93,$C629*2+MIN($B630,1)+5)-(Y630-VLOOKUP($C630*1000+1,$A:$HH,Y$92,FALSE))/36,0)</f>
        <v>5187</v>
      </c>
      <c r="AM630" s="32" t="str">
        <f t="shared" si="1973"/>
        <v>std/std/std/std</v>
      </c>
      <c r="AN630" s="32" t="str">
        <f t="shared" si="1974"/>
        <v>$0 + 0/0/0/1.9/3.9</v>
      </c>
      <c r="AO630" s="32" t="str">
        <f t="shared" si="1975"/>
        <v>0/0/0/1.9/3.9</v>
      </c>
      <c r="AP630" s="32" t="str">
        <f t="shared" si="1939"/>
        <v>0/0.9/1.9/3.9</v>
      </c>
      <c r="AQ630" s="536">
        <f t="shared" si="1940"/>
        <v>0.27997316264824407</v>
      </c>
      <c r="AR630" s="32"/>
      <c r="AS630" s="302"/>
      <c r="AT630" s="3">
        <f t="shared" si="1993"/>
        <v>30</v>
      </c>
      <c r="AU630" s="41" t="s">
        <v>121</v>
      </c>
      <c r="AV630" s="41" t="s">
        <v>116</v>
      </c>
      <c r="AW630" s="41" t="str">
        <f>INDEX(Input!$1:$1048576,AW$93,$C630*2+6)</f>
        <v>Kia</v>
      </c>
      <c r="AX630" s="41" t="str">
        <f>INDEX(Input!$1:$1048576,AX$93,$C630*2+6)</f>
        <v>National</v>
      </c>
      <c r="AY630" s="41" t="str">
        <f>IF(LEN(D630)=0,"",INDEX(Input!$1:$1048576,AY$93,$C630*2+6))</f>
        <v>Compact Conventional/Sporty Car (43)</v>
      </c>
      <c r="AZ630" s="41" t="str">
        <f>INDEX(Input!$1:$1048576,AZ$93,$C630*2+6)</f>
        <v>Kia Forte</v>
      </c>
      <c r="BA630" s="3">
        <f>INDEX(Input!$1:$1048576,BA$93,$C630*2+6)</f>
        <v>2020</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19695</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941"/>
        <v>1465.0000000000002</v>
      </c>
      <c r="CJ630" s="16" t="str">
        <f>INDEX(Input!$1:$1048576,CJ$93,$C630*2+6)</f>
        <v>N</v>
      </c>
      <c r="CK630" s="1" t="str">
        <f t="shared" si="1942"/>
        <v>Market</v>
      </c>
      <c r="CL630" s="1" t="str">
        <f t="shared" si="1943"/>
        <v>Market</v>
      </c>
      <c r="CM630" s="1" t="str">
        <f t="shared" si="1944"/>
        <v>Market</v>
      </c>
      <c r="CN630" s="1" t="str">
        <f t="shared" si="1945"/>
        <v>Market</v>
      </c>
      <c r="CO630" s="1" t="str">
        <f t="shared" si="1946"/>
        <v>Market</v>
      </c>
      <c r="CP630" s="304">
        <f t="shared" si="1947"/>
        <v>0</v>
      </c>
      <c r="CQ630" s="1">
        <f t="shared" si="1948"/>
        <v>0</v>
      </c>
      <c r="CR630" s="1">
        <f t="shared" si="1949"/>
        <v>0</v>
      </c>
      <c r="CS630" s="1">
        <f t="shared" si="1950"/>
        <v>0</v>
      </c>
      <c r="CT630" s="1">
        <f t="shared" si="1951"/>
        <v>1.8999999999999996E-2</v>
      </c>
      <c r="CU630" s="1">
        <f t="shared" si="1952"/>
        <v>3.9E-2</v>
      </c>
      <c r="CV630" s="304">
        <f t="shared" si="2013"/>
        <v>3419.3275155115825</v>
      </c>
      <c r="CW630" s="20" t="s">
        <v>122</v>
      </c>
      <c r="CX630" s="20" t="s">
        <v>122</v>
      </c>
      <c r="CY630" s="20" t="s">
        <v>122</v>
      </c>
      <c r="CZ630" s="20" t="s">
        <v>122</v>
      </c>
      <c r="DA630" s="20" t="s">
        <v>122</v>
      </c>
      <c r="DB630" s="503">
        <f t="shared" si="2014"/>
        <v>0</v>
      </c>
      <c r="DC630" s="127">
        <v>0</v>
      </c>
      <c r="DD630" s="127">
        <v>0</v>
      </c>
      <c r="DE630" s="127">
        <v>0</v>
      </c>
      <c r="DF630" s="127">
        <v>0</v>
      </c>
      <c r="DG630" s="127">
        <v>0</v>
      </c>
      <c r="DH630" s="127">
        <v>0</v>
      </c>
      <c r="DI630" s="127">
        <v>0</v>
      </c>
      <c r="DJ630" s="127">
        <v>0</v>
      </c>
      <c r="DK630" s="127">
        <v>0</v>
      </c>
      <c r="DL630" s="127">
        <v>0</v>
      </c>
      <c r="DM630" s="304">
        <f>INDEX(Input!$1:$1048576,DM$93,$C630*2+6)</f>
        <v>20731.578947368424</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v>4.7018787056064111E-2</v>
      </c>
      <c r="DZ630" s="7">
        <v>0</v>
      </c>
      <c r="EA630" s="7">
        <v>0.73901385727910762</v>
      </c>
      <c r="EB630" s="7">
        <v>0</v>
      </c>
      <c r="EC630" s="7">
        <v>0</v>
      </c>
      <c r="ED630" s="7">
        <v>0</v>
      </c>
      <c r="EE630" s="7">
        <v>0</v>
      </c>
      <c r="EF630" s="7">
        <v>0</v>
      </c>
      <c r="EG630" s="7">
        <v>0</v>
      </c>
      <c r="EH630" s="7">
        <v>2.9695556566102285E-2</v>
      </c>
      <c r="EI630" s="7">
        <v>1.9423286037783007E-2</v>
      </c>
      <c r="EJ630" s="7">
        <v>0.2613437847110191</v>
      </c>
      <c r="EK630" s="7">
        <v>0.68953737268509552</v>
      </c>
      <c r="EL630" s="7">
        <v>0</v>
      </c>
      <c r="EM630" s="7">
        <v>2.4445461699236455E-2</v>
      </c>
      <c r="EN630" s="7">
        <v>3.5459576626143942E-2</v>
      </c>
      <c r="EO630" s="7">
        <v>0.39063437114836236</v>
      </c>
      <c r="EP630" s="7">
        <v>0.47807974661521008</v>
      </c>
      <c r="EQ630" s="7">
        <v>7.3085716195535361E-2</v>
      </c>
      <c r="ER630" s="7">
        <v>2.2740589414748345E-2</v>
      </c>
      <c r="ES630" s="7">
        <v>0.18952189396559185</v>
      </c>
      <c r="ET630" s="7">
        <v>0.2139673556648283</v>
      </c>
      <c r="EU630" s="6">
        <v>750</v>
      </c>
      <c r="EV630" s="6">
        <v>0</v>
      </c>
      <c r="EW630" s="6">
        <v>750</v>
      </c>
      <c r="EX630" s="6">
        <v>0</v>
      </c>
      <c r="EY630" s="6">
        <v>1384.2194771899722</v>
      </c>
      <c r="EZ630" s="6">
        <v>-474.26767317959593</v>
      </c>
      <c r="FA630" s="6">
        <v>0</v>
      </c>
      <c r="FB630" s="6">
        <v>0</v>
      </c>
      <c r="FC630" s="6">
        <v>0</v>
      </c>
      <c r="FD630" s="6">
        <v>0</v>
      </c>
      <c r="FE630" s="6">
        <v>0</v>
      </c>
      <c r="FF630" s="6">
        <v>0</v>
      </c>
      <c r="FG630" s="6">
        <v>0</v>
      </c>
      <c r="FH630" s="6">
        <v>1158.5984281677895</v>
      </c>
      <c r="FI630" s="6">
        <v>1531.429990438063</v>
      </c>
      <c r="FJ630" s="6">
        <v>1709.9775738488463</v>
      </c>
      <c r="FK630" s="6">
        <v>1266.3227157028189</v>
      </c>
      <c r="FL630" s="6">
        <v>0</v>
      </c>
      <c r="FM630" s="6">
        <v>1384.2194771899722</v>
      </c>
      <c r="FN630" s="6">
        <v>0</v>
      </c>
      <c r="FO630" s="6">
        <v>0</v>
      </c>
      <c r="FP630" s="6">
        <v>0</v>
      </c>
      <c r="FQ630" s="6">
        <v>0</v>
      </c>
      <c r="FR630" s="6">
        <v>0</v>
      </c>
      <c r="FS630" s="6">
        <v>0</v>
      </c>
      <c r="FT630" s="7">
        <v>0.78603264433517173</v>
      </c>
      <c r="FU630" s="7">
        <v>2.4445461699236455E-2</v>
      </c>
      <c r="FV630" s="7">
        <v>0.18952189396559185</v>
      </c>
      <c r="FW630" s="6">
        <v>750</v>
      </c>
      <c r="FX630" s="6">
        <v>1384.2194771899722</v>
      </c>
      <c r="FY630" s="6">
        <v>-474.26767317959593</v>
      </c>
      <c r="FZ630" s="6">
        <v>1676.0854837363124</v>
      </c>
      <c r="GA630" s="6">
        <v>533.478259796712</v>
      </c>
      <c r="GB630" s="6">
        <v>19161.521740203287</v>
      </c>
      <c r="GC630" s="7">
        <v>6.4493561548621597E-2</v>
      </c>
      <c r="GD630" s="7">
        <v>5.4361786213806773E-2</v>
      </c>
      <c r="GE630" s="7"/>
      <c r="GF630" s="7"/>
      <c r="GG630" s="7">
        <v>-0.15709746975558939</v>
      </c>
      <c r="GH630" s="42">
        <v>2.7078724884728085</v>
      </c>
      <c r="GI630" s="6">
        <v>7806.7158601047049</v>
      </c>
      <c r="GJ630" s="14">
        <v>0.51596255589662343</v>
      </c>
      <c r="GK630" s="14">
        <v>0.51419567426615942</v>
      </c>
      <c r="GL630" s="14">
        <v>0.48403744410337662</v>
      </c>
      <c r="GM630" s="14">
        <v>0.48580432573384041</v>
      </c>
      <c r="GO630" s="5">
        <v>338.16872463277008</v>
      </c>
      <c r="GP630" s="5">
        <v>323.86015542600148</v>
      </c>
      <c r="GQ630" s="5">
        <v>527.27910984145694</v>
      </c>
      <c r="GR630" s="5">
        <v>404.20319246551543</v>
      </c>
      <c r="GS630" s="5">
        <v>334.50205195691484</v>
      </c>
      <c r="GT630" s="5">
        <v>289.18266033348181</v>
      </c>
      <c r="GU630" s="5">
        <v>254.29573314828914</v>
      </c>
      <c r="GV630" s="39" t="s">
        <v>392</v>
      </c>
      <c r="GW630" s="5">
        <v>492.375</v>
      </c>
      <c r="GX630" s="5">
        <v>369.28125</v>
      </c>
      <c r="GY630" s="5">
        <v>302.23266563481752</v>
      </c>
      <c r="GZ630" s="5">
        <v>268.52323906086701</v>
      </c>
      <c r="HA630" s="5">
        <v>254.29573314828914</v>
      </c>
      <c r="HB630" s="39">
        <v>285.93744247859991</v>
      </c>
      <c r="HC630" s="5">
        <v>303.86483570160732</v>
      </c>
      <c r="HD630" s="5">
        <v>250.48776275539944</v>
      </c>
      <c r="HE630" s="5">
        <v>250.61505011590191</v>
      </c>
      <c r="HF630" s="5">
        <v>228.67061428438342</v>
      </c>
      <c r="HG630" s="5">
        <v>216.66506461313523</v>
      </c>
      <c r="HH630" s="39">
        <v>250.07767465997043</v>
      </c>
      <c r="HI630" s="16"/>
      <c r="HJ630" s="19" t="str">
        <f t="shared" ref="HJ630:HK630" si="2038">HJ629</f>
        <v>On</v>
      </c>
      <c r="HK630" s="1" t="str">
        <f t="shared" si="2038"/>
        <v>On</v>
      </c>
      <c r="HL630" s="16"/>
      <c r="HM630" s="639">
        <f t="shared" si="2022"/>
        <v>4.9686942767030826E-2</v>
      </c>
      <c r="HN630" s="639">
        <f t="shared" si="2022"/>
        <v>2.6112822013589915E-3</v>
      </c>
      <c r="HO630" s="639">
        <f t="shared" si="2022"/>
        <v>3.166115353075552E-2</v>
      </c>
      <c r="HP630" s="644">
        <f t="shared" si="2020"/>
        <v>13.676456361316248</v>
      </c>
      <c r="HQ630" s="644">
        <f t="shared" si="2020"/>
        <v>-1.3992289074947877</v>
      </c>
      <c r="HR630" s="644">
        <f t="shared" si="2020"/>
        <v>751.90822659349658</v>
      </c>
      <c r="HS630" s="644">
        <f t="shared" si="2020"/>
        <v>-65.115619457554132</v>
      </c>
      <c r="HT630" s="644">
        <f t="shared" si="2020"/>
        <v>178.31991836677722</v>
      </c>
      <c r="HU630" s="644">
        <f t="shared" si="2020"/>
        <v>362.27029103630611</v>
      </c>
      <c r="HV630" s="644">
        <f t="shared" si="2020"/>
        <v>0</v>
      </c>
      <c r="HW630" s="644">
        <f t="shared" si="2020"/>
        <v>0</v>
      </c>
      <c r="HX630" s="644">
        <f t="shared" si="2020"/>
        <v>0</v>
      </c>
      <c r="HY630" s="644">
        <f t="shared" si="2020"/>
        <v>2388</v>
      </c>
      <c r="HZ630" s="644">
        <f t="shared" si="2020"/>
        <v>2518</v>
      </c>
      <c r="IA630" s="644">
        <f t="shared" si="2020"/>
        <v>2200</v>
      </c>
      <c r="IB630" s="644">
        <f t="shared" si="2020"/>
        <v>2336.5608369037614</v>
      </c>
      <c r="IC630" s="644">
        <f t="shared" si="2020"/>
        <v>2694.9206894592826</v>
      </c>
      <c r="ID630" s="644">
        <f t="shared" si="2020"/>
        <v>3314.1785176298026</v>
      </c>
      <c r="IE630" s="20">
        <f t="shared" si="1977"/>
        <v>0.27997316264824407</v>
      </c>
      <c r="IF630" s="20">
        <f t="shared" si="1956"/>
        <v>0.32291282837467949</v>
      </c>
      <c r="IG630" s="20">
        <f t="shared" si="1957"/>
        <v>0.39711400897707627</v>
      </c>
      <c r="IH630" s="21"/>
      <c r="II630" s="19"/>
      <c r="IJ630" s="19"/>
      <c r="IK630" s="19"/>
      <c r="IL630" s="19">
        <f t="shared" si="1978"/>
        <v>399.99999999999977</v>
      </c>
      <c r="IM630" s="19">
        <f t="shared" si="1978"/>
        <v>399.81777825341851</v>
      </c>
      <c r="IN630" s="19">
        <f t="shared" si="1978"/>
        <v>1356.9991276057617</v>
      </c>
      <c r="IO630" s="39"/>
      <c r="IP630" s="39"/>
      <c r="IQ630" s="39"/>
      <c r="IR630" s="39"/>
      <c r="IS630" s="39"/>
      <c r="IT630" s="39"/>
      <c r="IU630" s="39"/>
      <c r="IV630" s="39"/>
      <c r="IW630" s="39"/>
      <c r="IX630" s="19">
        <f t="shared" si="2023"/>
        <v>1600</v>
      </c>
      <c r="IY630" s="19">
        <f t="shared" si="2023"/>
        <v>2503.549291639752</v>
      </c>
      <c r="IZ630" s="19">
        <f t="shared" si="2023"/>
        <v>5888.3563810918577</v>
      </c>
      <c r="JA630" s="19">
        <f t="shared" si="2024"/>
        <v>1999.9999999999998</v>
      </c>
      <c r="JB630" s="19">
        <f t="shared" si="2024"/>
        <v>2903.3670698931705</v>
      </c>
      <c r="JC630" s="19">
        <f t="shared" si="2024"/>
        <v>7245.3555086976194</v>
      </c>
      <c r="JD630" s="19">
        <f t="shared" si="1981"/>
        <v>4374.7129701686536</v>
      </c>
      <c r="JE630" s="21"/>
      <c r="JF630" s="1">
        <f t="shared" si="1982"/>
        <v>6.8844376252282569E-2</v>
      </c>
      <c r="JG630" s="15">
        <f t="shared" si="1983"/>
        <v>7106</v>
      </c>
      <c r="JH630" s="1">
        <f t="shared" si="1984"/>
        <v>0.10754087447893583</v>
      </c>
      <c r="JI630" s="1">
        <f t="shared" si="1985"/>
        <v>6.6911707000496645E-2</v>
      </c>
      <c r="JJ630" s="1">
        <f t="shared" si="1962"/>
        <v>0</v>
      </c>
      <c r="JK630" s="1">
        <f t="shared" si="1963"/>
        <v>0.17445258147943246</v>
      </c>
      <c r="JL630" s="15">
        <f t="shared" si="2025"/>
        <v>1239.660043992847</v>
      </c>
      <c r="JM630" s="15">
        <f t="shared" si="2025"/>
        <v>8345.6600439928479</v>
      </c>
      <c r="JN630" s="21"/>
      <c r="JO630" s="19">
        <f>INDEX([1]Input!$1:$1048576,JO$93,$C630*2+6)</f>
        <v>5995.5</v>
      </c>
      <c r="JP630" s="19">
        <f>INDEX([1]Input!$1:$1048576,JP$93,$C630*2+6)</f>
        <v>1716.3055838443925</v>
      </c>
      <c r="JQ630" s="39">
        <f t="shared" si="1995"/>
        <v>1620.7870298313464</v>
      </c>
      <c r="JR630" s="39">
        <f t="shared" si="1996"/>
        <v>2658.4073863242611</v>
      </c>
      <c r="JS630" s="39">
        <f t="shared" si="1997"/>
        <v>36.509867239073806</v>
      </c>
      <c r="JT630" s="39">
        <f t="shared" si="1987"/>
        <v>24.31379976027555</v>
      </c>
      <c r="JU630" s="385">
        <f>(JQ630*JM630-INDEX([1]Input!$1:$1048576,[1]Input!A$18,$C630*2+6)*JL630*INDEX([1]Input!$1:$1048576,[1]Input!A$19,$C630*2+6))/1000000</f>
        <v>13.526537554685312</v>
      </c>
      <c r="JV630" s="39">
        <f t="shared" si="1966"/>
        <v>-16.881417966516437</v>
      </c>
      <c r="JW630" s="1">
        <f t="shared" si="2000"/>
        <v>-0.55516451787579002</v>
      </c>
      <c r="JX630" s="19">
        <f t="shared" si="2001"/>
        <v>19613.28017152406</v>
      </c>
      <c r="JZ630" s="341"/>
      <c r="KA630" s="60"/>
      <c r="KB630" s="469">
        <f t="shared" si="1988"/>
        <v>0</v>
      </c>
      <c r="KI630" s="472"/>
      <c r="KJ630" s="472"/>
      <c r="KK630" s="472"/>
      <c r="KN630" s="888">
        <f t="shared" si="1989"/>
        <v>6002</v>
      </c>
      <c r="KO630" s="541">
        <f t="shared" si="1967"/>
        <v>9.2059050333476833E-2</v>
      </c>
      <c r="KP630" s="546">
        <f t="shared" si="1968"/>
        <v>436.39255213857365</v>
      </c>
      <c r="KQ630" s="546">
        <f t="shared" si="1969"/>
        <v>777.26447987872689</v>
      </c>
      <c r="KR630" s="472">
        <f t="shared" si="1970"/>
        <v>3.3958537958905395</v>
      </c>
      <c r="KS630" s="472">
        <f t="shared" si="1971"/>
        <v>1.9065907976514684</v>
      </c>
      <c r="KT630" s="473">
        <f t="shared" si="1998"/>
        <v>2521.945896759994</v>
      </c>
      <c r="KU630" s="663">
        <f t="shared" si="1990"/>
        <v>10.396136162762746</v>
      </c>
      <c r="KV630" s="117"/>
    </row>
    <row r="631" spans="1:308" s="26" customFormat="1" ht="15">
      <c r="A631" s="561">
        <f t="shared" si="1972"/>
        <v>6031</v>
      </c>
      <c r="B631" s="561">
        <f t="shared" si="1991"/>
        <v>31</v>
      </c>
      <c r="C631" s="561">
        <f t="shared" si="1992"/>
        <v>6</v>
      </c>
      <c r="D631" s="561" t="str">
        <f t="shared" si="2028"/>
        <v xml:space="preserve">250 CC, 250 Combo, </v>
      </c>
      <c r="E631" s="475">
        <f>INDEX(Input!$1:$1048576,E$93,$C631*2+MIN($B631,2)+5)
+INDEX(Scenarios!E$121:E$199,MATCH($B631,Scenarios!$B$121:$B$199,0))</f>
        <v>1500.0000000000002</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1.8999999999999996E-2</v>
      </c>
      <c r="W631" s="863">
        <f>IFERROR(MAX(0,INDEX(Input!$1:$1048576,W$93,$C631*2+MIN($B631,2)+5)-0%,),"Market")</f>
        <v>3.9E-2</v>
      </c>
      <c r="X631" s="476" t="str">
        <f>INDEX(Input!$1:$1048576,X$93,$C631*2+MIN($B631,2)+5)</f>
        <v>Y</v>
      </c>
      <c r="Y631" s="475">
        <f>INDEX(Input!$1:$1048576,Y$93,$C631*2+MIN($B631,2)+5)
++INDEX(Scenarios!Y$121:Y$199,MATCH($B631,Scenarios!$B$121:$B$199,0))</f>
        <v>2339.3275155115825</v>
      </c>
      <c r="Z631" s="477">
        <f>INDEX(Input!$1:$1048576,Z$93,$C631*2+MIN($B631,2)+5)
+INDEX(Scenarios!Z$121:Z$199,MATCH($B631,Scenarios!$B$121:$B$199,0))</f>
        <v>0</v>
      </c>
      <c r="AA631" s="475">
        <f>INDEX(Input!$1:$1048576,AA$93,$C631*2+MIN($B631,2)+5)</f>
        <v>0</v>
      </c>
      <c r="AB631" s="476">
        <f>INDEX(Input!$1:$1048576,AB$93,$C631*2+MIN($B631,2)+5)</f>
        <v>1</v>
      </c>
      <c r="AC631" s="475">
        <f>INDEX(Input!$1:$1048576,AC$93,$C631*2+MIN($B631,2)+5)
+INDEX(Scenarios!AC$121:AC$199,MATCH($B631,Scenarios!$B$121:$B$199,0))</f>
        <v>0</v>
      </c>
      <c r="AD631" s="476">
        <f>INDEX(Input!$1:$1048576,AD$93,$C631*2+MIN($B631,2)+5)</f>
        <v>0.35</v>
      </c>
      <c r="AE631" s="475">
        <f>INDEX(Input!$1:$1048576,AE$93,$C631*2+MIN($B631,2)+5)
+INDEX(Scenarios!AE$121:AE$199,MATCH($B631,Scenarios!$B$121:$B$199,0))</f>
        <v>0</v>
      </c>
      <c r="AF631" s="476">
        <f>INDEX(Input!$1:$1048576,AF$93,$C631*2+MIN($B631,2)+5)</f>
        <v>1</v>
      </c>
      <c r="AG631" s="475">
        <f>INDEX(Input!$1:$1048576,AG$93,$C631*2+MIN($B631,2)+5)</f>
        <v>0</v>
      </c>
      <c r="AH631" s="476">
        <f>INDEX(Input!$1:$1048576,AH$93,$C631*2+MIN($B631,2)+5)</f>
        <v>1</v>
      </c>
      <c r="AI631" s="475">
        <f>INDEX(Input!$1:$1048576,AI$93,$C631*2+MIN($B631,2)+5)</f>
        <v>0</v>
      </c>
      <c r="AJ631" s="476">
        <f>INDEX(Input!$1:$1048576,AJ$93,$C631*2+MIN($B631,2)+5)</f>
        <v>0.35</v>
      </c>
      <c r="AK631" s="150">
        <f>ROUND(INDEX(Input!$1:$1048576,AK$93,$C630*2+MIN($B631,1)+5)+(Y631-VLOOKUP($C631*1000+1,$A:$HH,Y$92,FALSE)),0)</f>
        <v>5093</v>
      </c>
      <c r="AL631" s="150">
        <f>ROUND(INDEX(Input!$1:$1048576,AL$93,$C630*2+MIN($B631,1)+5)-(Y631-VLOOKUP($C631*1000+1,$A:$HH,Y$92,FALSE))/36,0)</f>
        <v>5217</v>
      </c>
      <c r="AM631" s="32" t="str">
        <f t="shared" si="1973"/>
        <v>std/std/std/std</v>
      </c>
      <c r="AN631" s="32" t="str">
        <f t="shared" si="1974"/>
        <v>$250 + 0/0/0/1.9/3.9</v>
      </c>
      <c r="AO631" s="32" t="str">
        <f t="shared" si="1975"/>
        <v>0/0/0/1.9/3.9</v>
      </c>
      <c r="AP631" s="32" t="str">
        <f t="shared" si="1939"/>
        <v>0/0.9/1.9/3.9</v>
      </c>
      <c r="AQ631" s="536">
        <f t="shared" si="1940"/>
        <v>0.34700886530076114</v>
      </c>
      <c r="AR631" s="32"/>
      <c r="AS631" s="302"/>
      <c r="AT631" s="3">
        <f t="shared" si="1993"/>
        <v>31</v>
      </c>
      <c r="AU631" s="41" t="s">
        <v>121</v>
      </c>
      <c r="AV631" s="41" t="s">
        <v>116</v>
      </c>
      <c r="AW631" s="41" t="str">
        <f>INDEX(Input!$1:$1048576,AW$93,$C631*2+6)</f>
        <v>Kia</v>
      </c>
      <c r="AX631" s="41" t="str">
        <f>INDEX(Input!$1:$1048576,AX$93,$C631*2+6)</f>
        <v>National</v>
      </c>
      <c r="AY631" s="41" t="str">
        <f>IF(LEN(D631)=0,"",INDEX(Input!$1:$1048576,AY$93,$C631*2+6))</f>
        <v>Compact Conventional/Sporty Car (43)</v>
      </c>
      <c r="AZ631" s="41" t="str">
        <f>INDEX(Input!$1:$1048576,AZ$93,$C631*2+6)</f>
        <v>Kia Forte</v>
      </c>
      <c r="BA631" s="3">
        <f>INDEX(Input!$1:$1048576,BA$93,$C631*2+6)</f>
        <v>2020</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19695</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941"/>
        <v>1715.0000000000002</v>
      </c>
      <c r="CJ631" s="16" t="str">
        <f>INDEX(Input!$1:$1048576,CJ$93,$C631*2+6)</f>
        <v>N</v>
      </c>
      <c r="CK631" s="1" t="str">
        <f t="shared" si="1942"/>
        <v>Market</v>
      </c>
      <c r="CL631" s="1" t="str">
        <f t="shared" si="1943"/>
        <v>Market</v>
      </c>
      <c r="CM631" s="1" t="str">
        <f t="shared" si="1944"/>
        <v>Market</v>
      </c>
      <c r="CN631" s="1" t="str">
        <f t="shared" si="1945"/>
        <v>Market</v>
      </c>
      <c r="CO631" s="1" t="str">
        <f t="shared" si="1946"/>
        <v>Market</v>
      </c>
      <c r="CP631" s="304">
        <f t="shared" si="1947"/>
        <v>250</v>
      </c>
      <c r="CQ631" s="1">
        <f t="shared" si="1948"/>
        <v>0</v>
      </c>
      <c r="CR631" s="1">
        <f t="shared" si="1949"/>
        <v>0</v>
      </c>
      <c r="CS631" s="1">
        <f t="shared" si="1950"/>
        <v>0</v>
      </c>
      <c r="CT631" s="1">
        <f t="shared" si="1951"/>
        <v>1.8999999999999996E-2</v>
      </c>
      <c r="CU631" s="1">
        <f t="shared" si="1952"/>
        <v>3.9E-2</v>
      </c>
      <c r="CV631" s="304">
        <f t="shared" si="2013"/>
        <v>2339.3275155115825</v>
      </c>
      <c r="CW631" s="20" t="s">
        <v>122</v>
      </c>
      <c r="CX631" s="20" t="s">
        <v>122</v>
      </c>
      <c r="CY631" s="20" t="s">
        <v>122</v>
      </c>
      <c r="CZ631" s="20" t="s">
        <v>122</v>
      </c>
      <c r="DA631" s="20" t="s">
        <v>122</v>
      </c>
      <c r="DB631" s="503">
        <f t="shared" si="2014"/>
        <v>0</v>
      </c>
      <c r="DC631" s="127">
        <v>0</v>
      </c>
      <c r="DD631" s="127">
        <v>0</v>
      </c>
      <c r="DE631" s="127">
        <v>0</v>
      </c>
      <c r="DF631" s="127">
        <v>0</v>
      </c>
      <c r="DG631" s="127">
        <v>0</v>
      </c>
      <c r="DH631" s="127">
        <v>0</v>
      </c>
      <c r="DI631" s="127">
        <v>0</v>
      </c>
      <c r="DJ631" s="127">
        <v>0</v>
      </c>
      <c r="DK631" s="127">
        <v>0</v>
      </c>
      <c r="DL631" s="127">
        <v>0</v>
      </c>
      <c r="DM631" s="304">
        <f>INDEX(Input!$1:$1048576,DM$93,$C631*2+6)</f>
        <v>20731.578947368424</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v>5.0329968760856263E-2</v>
      </c>
      <c r="DZ631" s="7">
        <v>0</v>
      </c>
      <c r="EA631" s="7">
        <v>0.79065431941088693</v>
      </c>
      <c r="EB631" s="7">
        <v>0</v>
      </c>
      <c r="EC631" s="7">
        <v>0</v>
      </c>
      <c r="ED631" s="7">
        <v>0</v>
      </c>
      <c r="EE631" s="7">
        <v>0</v>
      </c>
      <c r="EF631" s="7">
        <v>0</v>
      </c>
      <c r="EG631" s="7">
        <v>0</v>
      </c>
      <c r="EH631" s="7">
        <v>2.9743449338391348E-2</v>
      </c>
      <c r="EI631" s="7">
        <v>1.9437115902881403E-2</v>
      </c>
      <c r="EJ631" s="7">
        <v>0.26176388290638514</v>
      </c>
      <c r="EK631" s="7">
        <v>0.6890555518523418</v>
      </c>
      <c r="EL631" s="7">
        <v>0</v>
      </c>
      <c r="EM631" s="7">
        <v>2.6224987080649249E-2</v>
      </c>
      <c r="EN631" s="7">
        <v>3.6750806449811359E-2</v>
      </c>
      <c r="EO631" s="7">
        <v>0.38214913725482513</v>
      </c>
      <c r="EP631" s="7">
        <v>0.48264215249029585</v>
      </c>
      <c r="EQ631" s="7">
        <v>7.4714393319363193E-2</v>
      </c>
      <c r="ER631" s="7">
        <v>2.3743510485704833E-2</v>
      </c>
      <c r="ES631" s="7">
        <v>0.13279072474760745</v>
      </c>
      <c r="ET631" s="7">
        <v>0.15901571182825688</v>
      </c>
      <c r="EU631" s="6">
        <v>1000</v>
      </c>
      <c r="EV631" s="6">
        <v>0</v>
      </c>
      <c r="EW631" s="6">
        <v>1000</v>
      </c>
      <c r="EX631" s="6">
        <v>0</v>
      </c>
      <c r="EY631" s="6">
        <v>1634.4051435492565</v>
      </c>
      <c r="EZ631" s="6">
        <v>-1554.2676731795959</v>
      </c>
      <c r="FA631" s="6">
        <v>0</v>
      </c>
      <c r="FB631" s="6">
        <v>0</v>
      </c>
      <c r="FC631" s="6">
        <v>0</v>
      </c>
      <c r="FD631" s="6">
        <v>0</v>
      </c>
      <c r="FE631" s="6">
        <v>0</v>
      </c>
      <c r="FF631" s="6">
        <v>0</v>
      </c>
      <c r="FG631" s="6">
        <v>0</v>
      </c>
      <c r="FH631" s="6">
        <v>1158.6246716249659</v>
      </c>
      <c r="FI631" s="6">
        <v>1531.4299904380607</v>
      </c>
      <c r="FJ631" s="6">
        <v>1709.9775738488463</v>
      </c>
      <c r="FK631" s="6">
        <v>1266.3227157028189</v>
      </c>
      <c r="FL631" s="6">
        <v>0</v>
      </c>
      <c r="FM631" s="6">
        <v>1384.4051435492565</v>
      </c>
      <c r="FN631" s="6">
        <v>0</v>
      </c>
      <c r="FO631" s="6">
        <v>0</v>
      </c>
      <c r="FP631" s="6">
        <v>0</v>
      </c>
      <c r="FQ631" s="6">
        <v>0</v>
      </c>
      <c r="FR631" s="6">
        <v>0</v>
      </c>
      <c r="FS631" s="6">
        <v>0</v>
      </c>
      <c r="FT631" s="7">
        <v>0.8409842881717432</v>
      </c>
      <c r="FU631" s="7">
        <v>2.6224987080649249E-2</v>
      </c>
      <c r="FV631" s="7">
        <v>0.13279072474760745</v>
      </c>
      <c r="FW631" s="6">
        <v>1000</v>
      </c>
      <c r="FX631" s="6">
        <v>1634.4051435492565</v>
      </c>
      <c r="FY631" s="6">
        <v>-1554.2676731795959</v>
      </c>
      <c r="FZ631" s="6">
        <v>1676.0854837363124</v>
      </c>
      <c r="GA631" s="6">
        <v>677.4542111725732</v>
      </c>
      <c r="GB631" s="6">
        <v>19017.545788827425</v>
      </c>
      <c r="GC631" s="7">
        <v>6.4493561548621597E-2</v>
      </c>
      <c r="GD631" s="7">
        <v>5.5515185840688243E-2</v>
      </c>
      <c r="GE631" s="7"/>
      <c r="GF631" s="7"/>
      <c r="GG631" s="7">
        <v>-0.13921351980483465</v>
      </c>
      <c r="GH631" s="42">
        <v>2.745568207089387</v>
      </c>
      <c r="GI631" s="6">
        <v>7850.8327304696522</v>
      </c>
      <c r="GJ631" s="14">
        <v>0.5159625558966231</v>
      </c>
      <c r="GK631" s="14">
        <v>0.51419567426615909</v>
      </c>
      <c r="GL631" s="14">
        <v>0.4840374441033764</v>
      </c>
      <c r="GM631" s="14">
        <v>0.48580432573384041</v>
      </c>
      <c r="GO631" s="5">
        <v>338.16872463277008</v>
      </c>
      <c r="GP631" s="5">
        <v>319.09063235707856</v>
      </c>
      <c r="GQ631" s="5">
        <v>527.27910984145694</v>
      </c>
      <c r="GR631" s="5">
        <v>404.20319246551543</v>
      </c>
      <c r="GS631" s="5">
        <v>334.50205195691484</v>
      </c>
      <c r="GT631" s="5">
        <v>289.18266033348181</v>
      </c>
      <c r="GU631" s="5">
        <v>254.29573314828914</v>
      </c>
      <c r="GV631" s="39" t="s">
        <v>392</v>
      </c>
      <c r="GW631" s="5">
        <v>485.43055555555554</v>
      </c>
      <c r="GX631" s="5">
        <v>364.07291666666669</v>
      </c>
      <c r="GY631" s="5">
        <v>297.96998382563277</v>
      </c>
      <c r="GZ631" s="5">
        <v>264.73599414449131</v>
      </c>
      <c r="HA631" s="5">
        <v>250.70915261250329</v>
      </c>
      <c r="HB631" s="39">
        <v>281.93049311098514</v>
      </c>
      <c r="HC631" s="5">
        <v>351.11483570160732</v>
      </c>
      <c r="HD631" s="5">
        <v>282.73776275539944</v>
      </c>
      <c r="HE631" s="5">
        <v>280.55735780820959</v>
      </c>
      <c r="HF631" s="5">
        <v>253.64561428438338</v>
      </c>
      <c r="HG631" s="5">
        <v>237.36506461313525</v>
      </c>
      <c r="HH631" s="39">
        <v>280.94741063436368</v>
      </c>
      <c r="HI631" s="16"/>
      <c r="HJ631" s="19" t="str">
        <f t="shared" ref="HJ631:HK631" si="2039">HJ630</f>
        <v>On</v>
      </c>
      <c r="HK631" s="1" t="str">
        <f t="shared" si="2039"/>
        <v>On</v>
      </c>
      <c r="HL631" s="16"/>
      <c r="HM631" s="639">
        <f t="shared" si="2022"/>
        <v>4.9686942767030826E-2</v>
      </c>
      <c r="HN631" s="639">
        <f t="shared" si="2022"/>
        <v>2.6112822013589915E-3</v>
      </c>
      <c r="HO631" s="639">
        <f t="shared" si="2022"/>
        <v>3.166115353075552E-2</v>
      </c>
      <c r="HP631" s="644">
        <f t="shared" si="2020"/>
        <v>453.60403763608304</v>
      </c>
      <c r="HQ631" s="644">
        <f t="shared" si="2020"/>
        <v>28.11592332301564</v>
      </c>
      <c r="HR631" s="644">
        <f t="shared" si="2020"/>
        <v>16.098980891959993</v>
      </c>
      <c r="HS631" s="644">
        <f t="shared" si="2020"/>
        <v>-105.81397723254889</v>
      </c>
      <c r="HT631" s="644">
        <f t="shared" si="2020"/>
        <v>289.98543222752767</v>
      </c>
      <c r="HU631" s="644">
        <f t="shared" si="2020"/>
        <v>95.929393019725964</v>
      </c>
      <c r="HV631" s="644">
        <f t="shared" si="2020"/>
        <v>0</v>
      </c>
      <c r="HW631" s="644">
        <f t="shared" si="2020"/>
        <v>0</v>
      </c>
      <c r="HX631" s="644">
        <f t="shared" si="2020"/>
        <v>0</v>
      </c>
      <c r="HY631" s="644">
        <f t="shared" si="2020"/>
        <v>2388</v>
      </c>
      <c r="HZ631" s="644">
        <f t="shared" si="2020"/>
        <v>2518</v>
      </c>
      <c r="IA631" s="644">
        <f t="shared" si="2020"/>
        <v>2200</v>
      </c>
      <c r="IB631" s="644">
        <f t="shared" si="2020"/>
        <v>2735.7900604035335</v>
      </c>
      <c r="IC631" s="644">
        <f t="shared" si="2020"/>
        <v>2836.1013555505428</v>
      </c>
      <c r="ID631" s="644">
        <f t="shared" si="2020"/>
        <v>2312.0283739116858</v>
      </c>
      <c r="IE631" s="20">
        <f t="shared" si="1977"/>
        <v>0.34700886530076114</v>
      </c>
      <c r="IF631" s="20">
        <f t="shared" si="1956"/>
        <v>0.35973239595818268</v>
      </c>
      <c r="IG631" s="20">
        <f t="shared" si="1957"/>
        <v>0.29325873874105612</v>
      </c>
      <c r="IH631" s="21"/>
      <c r="II631" s="19"/>
      <c r="IJ631" s="19"/>
      <c r="IK631" s="19"/>
      <c r="IL631" s="19">
        <f t="shared" si="1978"/>
        <v>650</v>
      </c>
      <c r="IM631" s="19">
        <f t="shared" si="1978"/>
        <v>650.1444644908197</v>
      </c>
      <c r="IN631" s="19">
        <f t="shared" si="1978"/>
        <v>285.4701782625898</v>
      </c>
      <c r="IO631" s="39"/>
      <c r="IP631" s="39"/>
      <c r="IQ631" s="39"/>
      <c r="IR631" s="39"/>
      <c r="IS631" s="39"/>
      <c r="IT631" s="39"/>
      <c r="IU631" s="39"/>
      <c r="IV631" s="39"/>
      <c r="IW631" s="39"/>
      <c r="IX631" s="19">
        <f t="shared" si="2023"/>
        <v>1600</v>
      </c>
      <c r="IY631" s="19">
        <f t="shared" si="2023"/>
        <v>2503.549291639752</v>
      </c>
      <c r="IZ631" s="19">
        <f t="shared" si="2023"/>
        <v>5888.3563810918577</v>
      </c>
      <c r="JA631" s="19">
        <f t="shared" si="2024"/>
        <v>2250</v>
      </c>
      <c r="JB631" s="19">
        <f t="shared" si="2024"/>
        <v>3153.6937561305717</v>
      </c>
      <c r="JC631" s="19">
        <f t="shared" si="2024"/>
        <v>6173.8265593544475</v>
      </c>
      <c r="JD631" s="19">
        <f t="shared" si="1981"/>
        <v>3725.7843479402436</v>
      </c>
      <c r="JE631" s="21"/>
      <c r="JF631" s="1">
        <f t="shared" si="1982"/>
        <v>6.8844376252282569E-2</v>
      </c>
      <c r="JG631" s="15">
        <f t="shared" si="1983"/>
        <v>7106</v>
      </c>
      <c r="JH631" s="1">
        <f t="shared" si="1984"/>
        <v>7.0056141549543857E-2</v>
      </c>
      <c r="JI631" s="1">
        <f t="shared" si="1985"/>
        <v>3.9417513089601008E-2</v>
      </c>
      <c r="JJ631" s="1">
        <f t="shared" si="1962"/>
        <v>0</v>
      </c>
      <c r="JK631" s="1">
        <f t="shared" si="1963"/>
        <v>0.10947365463914487</v>
      </c>
      <c r="JL631" s="15">
        <f t="shared" si="2025"/>
        <v>777.91978986576339</v>
      </c>
      <c r="JM631" s="15">
        <f t="shared" si="2025"/>
        <v>7883.919789865764</v>
      </c>
      <c r="JN631" s="21"/>
      <c r="JO631" s="19">
        <f>INDEX([1]Input!$1:$1048576,JO$93,$C631*2+6)</f>
        <v>5995.5</v>
      </c>
      <c r="JP631" s="19">
        <f>INDEX([1]Input!$1:$1048576,JP$93,$C631*2+6)</f>
        <v>1716.3055838443925</v>
      </c>
      <c r="JQ631" s="39">
        <f t="shared" si="1995"/>
        <v>2269.7156520597564</v>
      </c>
      <c r="JR631" s="39">
        <f t="shared" si="1996"/>
        <v>2009.4787640958511</v>
      </c>
      <c r="JS631" s="39">
        <f t="shared" si="1997"/>
        <v>29.373784953498198</v>
      </c>
      <c r="JT631" s="39">
        <f t="shared" si="1987"/>
        <v>17.177717474699943</v>
      </c>
      <c r="JU631" s="385">
        <f>(JQ631*JM631-INDEX([1]Input!$1:$1048576,[1]Input!A$18,$C631*2+6)*JL631*INDEX([1]Input!$1:$1048576,[1]Input!A$19,$C631*2+6))/1000000</f>
        <v>17.89425614664199</v>
      </c>
      <c r="JV631" s="39">
        <f t="shared" si="1966"/>
        <v>-12.51369937455976</v>
      </c>
      <c r="JW631" s="1">
        <f t="shared" si="2000"/>
        <v>-0.41152715334099538</v>
      </c>
      <c r="JX631" s="19">
        <f t="shared" si="2001"/>
        <v>22081.604939841036</v>
      </c>
      <c r="JZ631" s="341"/>
      <c r="KA631" s="60"/>
      <c r="KB631" s="469">
        <f t="shared" si="1988"/>
        <v>0</v>
      </c>
      <c r="KI631" s="472"/>
      <c r="KJ631" s="472"/>
      <c r="KK631" s="472"/>
      <c r="KN631" s="888">
        <f t="shared" si="1989"/>
        <v>6002</v>
      </c>
      <c r="KO631" s="541">
        <f t="shared" si="1967"/>
        <v>3.1638709609711491E-2</v>
      </c>
      <c r="KP631" s="546">
        <f t="shared" si="1968"/>
        <v>184.80193132161381</v>
      </c>
      <c r="KQ631" s="546">
        <f t="shared" si="1969"/>
        <v>128.33585765031694</v>
      </c>
      <c r="KR631" s="472">
        <f t="shared" si="1970"/>
        <v>2.7559547348925522</v>
      </c>
      <c r="KS631" s="472">
        <f t="shared" si="1971"/>
        <v>3.9685382321659501</v>
      </c>
      <c r="KT631" s="473">
        <f t="shared" si="1998"/>
        <v>2521.945896759994</v>
      </c>
      <c r="KU631" s="663">
        <f t="shared" si="1990"/>
        <v>11.239018829808225</v>
      </c>
      <c r="KV631" s="117"/>
    </row>
    <row r="632" spans="1:308" s="26" customFormat="1" ht="15">
      <c r="A632" s="561">
        <f t="shared" si="1972"/>
        <v>6032</v>
      </c>
      <c r="B632" s="561">
        <f t="shared" si="1991"/>
        <v>32</v>
      </c>
      <c r="C632" s="561">
        <f t="shared" si="1992"/>
        <v>6</v>
      </c>
      <c r="D632" s="561" t="str">
        <f t="shared" si="2028"/>
        <v xml:space="preserve">500 CC, 500 Combo, </v>
      </c>
      <c r="E632" s="475">
        <f>INDEX(Input!$1:$1048576,E$93,$C632*2+MIN($B632,2)+5)
+INDEX(Scenarios!E$121:E$199,MATCH($B632,Scenarios!$B$121:$B$199,0))</f>
        <v>1750.0000000000002</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1.8999999999999996E-2</v>
      </c>
      <c r="W632" s="863">
        <f>IFERROR(MAX(0,INDEX(Input!$1:$1048576,W$93,$C632*2+MIN($B632,2)+5)-0%,),"Market")</f>
        <v>3.9E-2</v>
      </c>
      <c r="X632" s="476" t="str">
        <f>INDEX(Input!$1:$1048576,X$93,$C632*2+MIN($B632,2)+5)</f>
        <v>Y</v>
      </c>
      <c r="Y632" s="475">
        <f>INDEX(Input!$1:$1048576,Y$93,$C632*2+MIN($B632,2)+5)
++INDEX(Scenarios!Y$121:Y$199,MATCH($B632,Scenarios!$B$121:$B$199,0))</f>
        <v>2339.3275155115825</v>
      </c>
      <c r="Z632" s="477">
        <f>INDEX(Input!$1:$1048576,Z$93,$C632*2+MIN($B632,2)+5)
+INDEX(Scenarios!Z$121:Z$199,MATCH($B632,Scenarios!$B$121:$B$199,0))</f>
        <v>0</v>
      </c>
      <c r="AA632" s="475">
        <f>INDEX(Input!$1:$1048576,AA$93,$C632*2+MIN($B632,2)+5)</f>
        <v>0</v>
      </c>
      <c r="AB632" s="476">
        <f>INDEX(Input!$1:$1048576,AB$93,$C632*2+MIN($B632,2)+5)</f>
        <v>1</v>
      </c>
      <c r="AC632" s="475">
        <f>INDEX(Input!$1:$1048576,AC$93,$C632*2+MIN($B632,2)+5)
+INDEX(Scenarios!AC$121:AC$199,MATCH($B632,Scenarios!$B$121:$B$199,0))</f>
        <v>0</v>
      </c>
      <c r="AD632" s="476">
        <f>INDEX(Input!$1:$1048576,AD$93,$C632*2+MIN($B632,2)+5)</f>
        <v>0.35</v>
      </c>
      <c r="AE632" s="475">
        <f>INDEX(Input!$1:$1048576,AE$93,$C632*2+MIN($B632,2)+5)
+INDEX(Scenarios!AE$121:AE$199,MATCH($B632,Scenarios!$B$121:$B$199,0))</f>
        <v>0</v>
      </c>
      <c r="AF632" s="476">
        <f>INDEX(Input!$1:$1048576,AF$93,$C632*2+MIN($B632,2)+5)</f>
        <v>1</v>
      </c>
      <c r="AG632" s="475">
        <f>INDEX(Input!$1:$1048576,AG$93,$C632*2+MIN($B632,2)+5)</f>
        <v>0</v>
      </c>
      <c r="AH632" s="476">
        <f>INDEX(Input!$1:$1048576,AH$93,$C632*2+MIN($B632,2)+5)</f>
        <v>1</v>
      </c>
      <c r="AI632" s="475">
        <f>INDEX(Input!$1:$1048576,AI$93,$C632*2+MIN($B632,2)+5)</f>
        <v>0</v>
      </c>
      <c r="AJ632" s="476">
        <f>INDEX(Input!$1:$1048576,AJ$93,$C632*2+MIN($B632,2)+5)</f>
        <v>0.35</v>
      </c>
      <c r="AK632" s="150">
        <f>ROUND(INDEX(Input!$1:$1048576,AK$93,$C631*2+MIN($B632,1)+5)+(Y632-VLOOKUP($C632*1000+1,$A:$HH,Y$92,FALSE)),0)</f>
        <v>5093</v>
      </c>
      <c r="AL632" s="150">
        <f>ROUND(INDEX(Input!$1:$1048576,AL$93,$C631*2+MIN($B632,1)+5)-(Y632-VLOOKUP($C632*1000+1,$A:$HH,Y$92,FALSE))/36,0)</f>
        <v>5217</v>
      </c>
      <c r="AM632" s="32" t="str">
        <f t="shared" si="1973"/>
        <v>std/std/std/std</v>
      </c>
      <c r="AN632" s="32" t="str">
        <f t="shared" si="1974"/>
        <v>$500 + 0/0/0/1.9/3.9</v>
      </c>
      <c r="AO632" s="32" t="str">
        <f t="shared" si="1975"/>
        <v>0/0/0/1.9/3.9</v>
      </c>
      <c r="AP632" s="32" t="str">
        <f t="shared" si="1939"/>
        <v>0/0.9/1.9/3.9</v>
      </c>
      <c r="AQ632" s="536">
        <f t="shared" si="1940"/>
        <v>0.35671954779661891</v>
      </c>
      <c r="AR632" s="32"/>
      <c r="AS632" s="302"/>
      <c r="AT632" s="3">
        <f t="shared" si="1993"/>
        <v>32</v>
      </c>
      <c r="AU632" s="41" t="s">
        <v>121</v>
      </c>
      <c r="AV632" s="41" t="s">
        <v>116</v>
      </c>
      <c r="AW632" s="41" t="str">
        <f>INDEX(Input!$1:$1048576,AW$93,$C632*2+6)</f>
        <v>Kia</v>
      </c>
      <c r="AX632" s="41" t="str">
        <f>INDEX(Input!$1:$1048576,AX$93,$C632*2+6)</f>
        <v>National</v>
      </c>
      <c r="AY632" s="41" t="str">
        <f>IF(LEN(D632)=0,"",INDEX(Input!$1:$1048576,AY$93,$C632*2+6))</f>
        <v>Compact Conventional/Sporty Car (43)</v>
      </c>
      <c r="AZ632" s="41" t="str">
        <f>INDEX(Input!$1:$1048576,AZ$93,$C632*2+6)</f>
        <v>Kia Forte</v>
      </c>
      <c r="BA632" s="3">
        <f>INDEX(Input!$1:$1048576,BA$93,$C632*2+6)</f>
        <v>2020</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19695</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941"/>
        <v>1965.0000000000002</v>
      </c>
      <c r="CJ632" s="16" t="str">
        <f>INDEX(Input!$1:$1048576,CJ$93,$C632*2+6)</f>
        <v>N</v>
      </c>
      <c r="CK632" s="1" t="str">
        <f t="shared" si="1942"/>
        <v>Market</v>
      </c>
      <c r="CL632" s="1" t="str">
        <f t="shared" si="1943"/>
        <v>Market</v>
      </c>
      <c r="CM632" s="1" t="str">
        <f t="shared" si="1944"/>
        <v>Market</v>
      </c>
      <c r="CN632" s="1" t="str">
        <f t="shared" si="1945"/>
        <v>Market</v>
      </c>
      <c r="CO632" s="1" t="str">
        <f t="shared" si="1946"/>
        <v>Market</v>
      </c>
      <c r="CP632" s="304">
        <f t="shared" si="1947"/>
        <v>500</v>
      </c>
      <c r="CQ632" s="1">
        <f t="shared" si="1948"/>
        <v>0</v>
      </c>
      <c r="CR632" s="1">
        <f t="shared" si="1949"/>
        <v>0</v>
      </c>
      <c r="CS632" s="1">
        <f t="shared" si="1950"/>
        <v>0</v>
      </c>
      <c r="CT632" s="1">
        <f t="shared" si="1951"/>
        <v>1.8999999999999996E-2</v>
      </c>
      <c r="CU632" s="1">
        <f t="shared" si="1952"/>
        <v>3.9E-2</v>
      </c>
      <c r="CV632" s="304">
        <f t="shared" si="2013"/>
        <v>2339.3275155115825</v>
      </c>
      <c r="CW632" s="20" t="s">
        <v>122</v>
      </c>
      <c r="CX632" s="20" t="s">
        <v>122</v>
      </c>
      <c r="CY632" s="20" t="s">
        <v>122</v>
      </c>
      <c r="CZ632" s="20" t="s">
        <v>122</v>
      </c>
      <c r="DA632" s="20" t="s">
        <v>122</v>
      </c>
      <c r="DB632" s="503">
        <f t="shared" si="2014"/>
        <v>0</v>
      </c>
      <c r="DC632" s="127">
        <v>0</v>
      </c>
      <c r="DD632" s="127">
        <v>0</v>
      </c>
      <c r="DE632" s="127">
        <v>0</v>
      </c>
      <c r="DF632" s="127">
        <v>0</v>
      </c>
      <c r="DG632" s="127">
        <v>0</v>
      </c>
      <c r="DH632" s="127">
        <v>0</v>
      </c>
      <c r="DI632" s="127">
        <v>0</v>
      </c>
      <c r="DJ632" s="127">
        <v>0</v>
      </c>
      <c r="DK632" s="127">
        <v>0</v>
      </c>
      <c r="DL632" s="127">
        <v>0</v>
      </c>
      <c r="DM632" s="304">
        <f>INDEX(Input!$1:$1048576,DM$93,$C632*2+6)</f>
        <v>20731.578947368424</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v>5.1068447125756894E-2</v>
      </c>
      <c r="DZ632" s="7">
        <v>0</v>
      </c>
      <c r="EA632" s="7">
        <v>0.8017652434804563</v>
      </c>
      <c r="EB632" s="7">
        <v>0</v>
      </c>
      <c r="EC632" s="7">
        <v>0</v>
      </c>
      <c r="ED632" s="7">
        <v>0</v>
      </c>
      <c r="EE632" s="7">
        <v>0</v>
      </c>
      <c r="EF632" s="7">
        <v>0</v>
      </c>
      <c r="EG632" s="7">
        <v>0</v>
      </c>
      <c r="EH632" s="7">
        <v>2.9762964378331185E-2</v>
      </c>
      <c r="EI632" s="7">
        <v>1.9440804143580119E-2</v>
      </c>
      <c r="EJ632" s="7">
        <v>0.26194370518553733</v>
      </c>
      <c r="EK632" s="7">
        <v>0.68885252629255112</v>
      </c>
      <c r="EL632" s="7">
        <v>0</v>
      </c>
      <c r="EM632" s="7">
        <v>2.6628636861832439E-2</v>
      </c>
      <c r="EN632" s="7">
        <v>3.6742776020242514E-2</v>
      </c>
      <c r="EO632" s="7">
        <v>0.38220645231000855</v>
      </c>
      <c r="EP632" s="7">
        <v>0.48258585184876768</v>
      </c>
      <c r="EQ632" s="7">
        <v>7.4716429769261558E-2</v>
      </c>
      <c r="ER632" s="7">
        <v>2.374849005171991E-2</v>
      </c>
      <c r="ES632" s="7">
        <v>0.12053767253195433</v>
      </c>
      <c r="ET632" s="7">
        <v>0.1471663093937868</v>
      </c>
      <c r="EU632" s="6">
        <v>1250</v>
      </c>
      <c r="EV632" s="6">
        <v>0</v>
      </c>
      <c r="EW632" s="6">
        <v>1250</v>
      </c>
      <c r="EX632" s="6">
        <v>0</v>
      </c>
      <c r="EY632" s="6">
        <v>1884.4841164902211</v>
      </c>
      <c r="EZ632" s="6">
        <v>-1554.2676731795959</v>
      </c>
      <c r="FA632" s="6">
        <v>0</v>
      </c>
      <c r="FB632" s="6">
        <v>0</v>
      </c>
      <c r="FC632" s="6">
        <v>0</v>
      </c>
      <c r="FD632" s="6">
        <v>0</v>
      </c>
      <c r="FE632" s="6">
        <v>0</v>
      </c>
      <c r="FF632" s="6">
        <v>0</v>
      </c>
      <c r="FG632" s="6">
        <v>0</v>
      </c>
      <c r="FH632" s="6">
        <v>1158.6353515223961</v>
      </c>
      <c r="FI632" s="6">
        <v>1531.4299904380618</v>
      </c>
      <c r="FJ632" s="6">
        <v>1709.9775738488461</v>
      </c>
      <c r="FK632" s="6">
        <v>1266.3227157028193</v>
      </c>
      <c r="FL632" s="6">
        <v>0</v>
      </c>
      <c r="FM632" s="6">
        <v>1384.4841164902211</v>
      </c>
      <c r="FN632" s="6">
        <v>0</v>
      </c>
      <c r="FO632" s="6">
        <v>0</v>
      </c>
      <c r="FP632" s="6">
        <v>0</v>
      </c>
      <c r="FQ632" s="6">
        <v>0</v>
      </c>
      <c r="FR632" s="6">
        <v>0</v>
      </c>
      <c r="FS632" s="6">
        <v>0</v>
      </c>
      <c r="FT632" s="7">
        <v>0.85283369060621317</v>
      </c>
      <c r="FU632" s="7">
        <v>2.6628636861832439E-2</v>
      </c>
      <c r="FV632" s="7">
        <v>0.12053767253195433</v>
      </c>
      <c r="FW632" s="6">
        <v>1250</v>
      </c>
      <c r="FX632" s="6">
        <v>1884.4841164902211</v>
      </c>
      <c r="FY632" s="6">
        <v>-1554.2676731795959</v>
      </c>
      <c r="FZ632" s="6">
        <v>1676.0854837363124</v>
      </c>
      <c r="GA632" s="6">
        <v>928.87554865095103</v>
      </c>
      <c r="GB632" s="6">
        <v>18766.124451349049</v>
      </c>
      <c r="GC632" s="7">
        <v>6.4493561548621597E-2</v>
      </c>
      <c r="GD632" s="7">
        <v>5.8211568591311963E-2</v>
      </c>
      <c r="GE632" s="7"/>
      <c r="GF632" s="7"/>
      <c r="GG632" s="7">
        <v>-9.7404962704279396E-2</v>
      </c>
      <c r="GH632" s="42">
        <v>2.5674052905113278</v>
      </c>
      <c r="GI632" s="6">
        <v>8600.0445973357091</v>
      </c>
      <c r="GJ632" s="14">
        <v>0.51596255589662354</v>
      </c>
      <c r="GK632" s="14">
        <v>0.51419567426615953</v>
      </c>
      <c r="GL632" s="14">
        <v>0.48403744410337673</v>
      </c>
      <c r="GM632" s="14">
        <v>0.48580432573384036</v>
      </c>
      <c r="GO632" s="5">
        <v>338.16872463277008</v>
      </c>
      <c r="GP632" s="5">
        <v>314.32110928815564</v>
      </c>
      <c r="GQ632" s="5">
        <v>527.27910984145694</v>
      </c>
      <c r="GR632" s="5">
        <v>404.20319246551543</v>
      </c>
      <c r="GS632" s="5">
        <v>334.50205195691484</v>
      </c>
      <c r="GT632" s="5">
        <v>289.18266033348181</v>
      </c>
      <c r="GU632" s="5">
        <v>254.29573314828914</v>
      </c>
      <c r="GV632" s="39" t="s">
        <v>392</v>
      </c>
      <c r="GW632" s="5">
        <v>478.48611111111109</v>
      </c>
      <c r="GX632" s="5">
        <v>358.86458333333331</v>
      </c>
      <c r="GY632" s="5">
        <v>293.70730201644801</v>
      </c>
      <c r="GZ632" s="5">
        <v>260.94874922811567</v>
      </c>
      <c r="HA632" s="5">
        <v>247.12257207671746</v>
      </c>
      <c r="HB632" s="39">
        <v>277.90776522808198</v>
      </c>
      <c r="HC632" s="5">
        <v>351.11483570160732</v>
      </c>
      <c r="HD632" s="5">
        <v>282.73776275539944</v>
      </c>
      <c r="HE632" s="5">
        <v>280.55735780820959</v>
      </c>
      <c r="HF632" s="5">
        <v>253.64561428438338</v>
      </c>
      <c r="HG632" s="5">
        <v>237.36506461313525</v>
      </c>
      <c r="HH632" s="39">
        <v>280.9466991142441</v>
      </c>
      <c r="HI632" s="16"/>
      <c r="HJ632" s="19" t="str">
        <f t="shared" ref="HJ632:HK632" si="2040">HJ631</f>
        <v>On</v>
      </c>
      <c r="HK632" s="1" t="str">
        <f t="shared" si="2040"/>
        <v>On</v>
      </c>
      <c r="HL632" s="16"/>
      <c r="HM632" s="639">
        <f t="shared" si="2022"/>
        <v>4.9686942767030826E-2</v>
      </c>
      <c r="HN632" s="639">
        <f t="shared" si="2022"/>
        <v>2.6112822013589915E-3</v>
      </c>
      <c r="HO632" s="639">
        <f t="shared" si="2022"/>
        <v>3.166115353075552E-2</v>
      </c>
      <c r="HP632" s="644">
        <f t="shared" si="2020"/>
        <v>659.36688648519828</v>
      </c>
      <c r="HQ632" s="644">
        <f t="shared" si="2020"/>
        <v>41.014739961554618</v>
      </c>
      <c r="HR632" s="644">
        <f t="shared" si="2020"/>
        <v>-35.27783358587547</v>
      </c>
      <c r="HS632" s="644">
        <f t="shared" si="2020"/>
        <v>-146.51169567745262</v>
      </c>
      <c r="HT632" s="644">
        <f t="shared" si="2020"/>
        <v>401.52652887745853</v>
      </c>
      <c r="HU632" s="644">
        <f t="shared" si="2020"/>
        <v>105.91453199202888</v>
      </c>
      <c r="HV632" s="644">
        <f t="shared" si="2020"/>
        <v>0</v>
      </c>
      <c r="HW632" s="644">
        <f t="shared" si="2020"/>
        <v>0</v>
      </c>
      <c r="HX632" s="644">
        <f t="shared" si="2020"/>
        <v>0</v>
      </c>
      <c r="HY632" s="644">
        <f t="shared" si="2020"/>
        <v>2388</v>
      </c>
      <c r="HZ632" s="644">
        <f t="shared" si="2020"/>
        <v>2518</v>
      </c>
      <c r="IA632" s="644">
        <f t="shared" si="2020"/>
        <v>2200</v>
      </c>
      <c r="IB632" s="644">
        <f t="shared" si="2020"/>
        <v>2900.8551908077457</v>
      </c>
      <c r="IC632" s="644">
        <f t="shared" si="2020"/>
        <v>2960.5412688390129</v>
      </c>
      <c r="ID632" s="644">
        <f t="shared" si="2020"/>
        <v>2270.6366984061533</v>
      </c>
      <c r="IE632" s="20">
        <f t="shared" si="1977"/>
        <v>0.35671954779661891</v>
      </c>
      <c r="IF632" s="20">
        <f t="shared" si="1956"/>
        <v>0.36405917330861798</v>
      </c>
      <c r="IG632" s="20">
        <f t="shared" si="1957"/>
        <v>0.27922127889476311</v>
      </c>
      <c r="IH632" s="21"/>
      <c r="II632" s="19"/>
      <c r="IJ632" s="19"/>
      <c r="IK632" s="19"/>
      <c r="IL632" s="19">
        <f t="shared" si="1978"/>
        <v>899.99999999999955</v>
      </c>
      <c r="IM632" s="19">
        <f t="shared" si="1978"/>
        <v>900.21707790556911</v>
      </c>
      <c r="IN632" s="19">
        <f t="shared" si="1978"/>
        <v>287.24948835229679</v>
      </c>
      <c r="IO632" s="39"/>
      <c r="IP632" s="39"/>
      <c r="IQ632" s="39"/>
      <c r="IR632" s="39"/>
      <c r="IS632" s="39"/>
      <c r="IT632" s="39"/>
      <c r="IU632" s="39"/>
      <c r="IV632" s="39"/>
      <c r="IW632" s="39"/>
      <c r="IX632" s="19">
        <f t="shared" si="2023"/>
        <v>1600</v>
      </c>
      <c r="IY632" s="19">
        <f t="shared" si="2023"/>
        <v>2503.549291639752</v>
      </c>
      <c r="IZ632" s="19">
        <f t="shared" si="2023"/>
        <v>5888.3563810918577</v>
      </c>
      <c r="JA632" s="19">
        <f t="shared" si="2024"/>
        <v>2499.9999999999995</v>
      </c>
      <c r="JB632" s="19">
        <f t="shared" si="2024"/>
        <v>3403.7663695453211</v>
      </c>
      <c r="JC632" s="19">
        <f t="shared" si="2024"/>
        <v>6175.6058694441545</v>
      </c>
      <c r="JD632" s="19">
        <f t="shared" si="1981"/>
        <v>3855.3318089400946</v>
      </c>
      <c r="JE632" s="21"/>
      <c r="JF632" s="1">
        <f t="shared" si="1982"/>
        <v>6.8844376252282569E-2</v>
      </c>
      <c r="JG632" s="15">
        <f t="shared" si="1983"/>
        <v>7106</v>
      </c>
      <c r="JH632" s="1">
        <f t="shared" si="1984"/>
        <v>9.3597494069923654E-2</v>
      </c>
      <c r="JI632" s="1">
        <f t="shared" si="1985"/>
        <v>5.0792198873069905E-2</v>
      </c>
      <c r="JJ632" s="1">
        <f t="shared" si="1962"/>
        <v>0</v>
      </c>
      <c r="JK632" s="1">
        <f t="shared" si="1963"/>
        <v>0.14438969294299353</v>
      </c>
      <c r="JL632" s="15">
        <f t="shared" si="2025"/>
        <v>1026.0331580529121</v>
      </c>
      <c r="JM632" s="15">
        <f t="shared" si="2025"/>
        <v>8132.0331580529119</v>
      </c>
      <c r="JN632" s="21"/>
      <c r="JO632" s="19">
        <f>INDEX([1]Input!$1:$1048576,JO$93,$C632*2+6)</f>
        <v>5995.5</v>
      </c>
      <c r="JP632" s="19">
        <f>INDEX([1]Input!$1:$1048576,JP$93,$C632*2+6)</f>
        <v>1716.3055838443925</v>
      </c>
      <c r="JQ632" s="39">
        <f t="shared" si="1995"/>
        <v>2140.1681910599054</v>
      </c>
      <c r="JR632" s="39">
        <f t="shared" si="1996"/>
        <v>2139.0262250957021</v>
      </c>
      <c r="JS632" s="39">
        <f t="shared" si="1997"/>
        <v>31.351686105596965</v>
      </c>
      <c r="JT632" s="39">
        <f t="shared" si="1987"/>
        <v>19.155618626798713</v>
      </c>
      <c r="JU632" s="385">
        <f>(JQ632*JM632-INDEX([1]Input!$1:$1048576,[1]Input!A$18,$C632*2+6)*JL632*INDEX([1]Input!$1:$1048576,[1]Input!A$19,$C632*2+6))/1000000</f>
        <v>17.403918693509269</v>
      </c>
      <c r="JV632" s="39">
        <f t="shared" si="1966"/>
        <v>-13.004036827692481</v>
      </c>
      <c r="JW632" s="1">
        <f t="shared" si="2000"/>
        <v>-0.42765245491843412</v>
      </c>
      <c r="JX632" s="19">
        <f t="shared" si="2001"/>
        <v>18669.590233467745</v>
      </c>
      <c r="JZ632" s="341"/>
      <c r="KA632" s="60"/>
      <c r="KB632" s="469">
        <f t="shared" si="1988"/>
        <v>0</v>
      </c>
      <c r="KI632" s="472"/>
      <c r="KJ632" s="472"/>
      <c r="KK632" s="472"/>
      <c r="KN632" s="888">
        <f t="shared" si="1989"/>
        <v>6002</v>
      </c>
      <c r="KO632" s="541">
        <f t="shared" si="1967"/>
        <v>6.4105218886293835E-2</v>
      </c>
      <c r="KP632" s="546">
        <f t="shared" si="1968"/>
        <v>368.64231023877664</v>
      </c>
      <c r="KQ632" s="546">
        <f t="shared" si="1969"/>
        <v>257.88331865016789</v>
      </c>
      <c r="KR632" s="472">
        <f t="shared" si="1970"/>
        <v>2.7992908963568199</v>
      </c>
      <c r="KS632" s="472">
        <f t="shared" si="1971"/>
        <v>4.0015657796898063</v>
      </c>
      <c r="KT632" s="473">
        <f t="shared" si="1998"/>
        <v>2521.945896759994</v>
      </c>
      <c r="KU632" s="663">
        <f t="shared" si="1990"/>
        <v>11.363949565549902</v>
      </c>
      <c r="KV632" s="117"/>
    </row>
    <row r="633" spans="1:308" s="26" customFormat="1" ht="15">
      <c r="A633" s="561">
        <f t="shared" si="1972"/>
        <v>6033</v>
      </c>
      <c r="B633" s="561">
        <f t="shared" si="1991"/>
        <v>33</v>
      </c>
      <c r="C633" s="561">
        <f t="shared" si="1992"/>
        <v>6</v>
      </c>
      <c r="D633" s="561" t="str">
        <f t="shared" si="2028"/>
        <v xml:space="preserve">750 CC, 750 Combo, </v>
      </c>
      <c r="E633" s="475">
        <f>INDEX(Input!$1:$1048576,E$93,$C633*2+MIN($B633,2)+5)
+INDEX(Scenarios!E$121:E$199,MATCH($B633,Scenarios!$B$121:$B$199,0))</f>
        <v>2000.0000000000002</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1.8999999999999996E-2</v>
      </c>
      <c r="W633" s="863">
        <f>IFERROR(MAX(0,INDEX(Input!$1:$1048576,W$93,$C633*2+MIN($B633,2)+5)-0%,),"Market")</f>
        <v>3.9E-2</v>
      </c>
      <c r="X633" s="476" t="str">
        <f>INDEX(Input!$1:$1048576,X$93,$C633*2+MIN($B633,2)+5)</f>
        <v>Y</v>
      </c>
      <c r="Y633" s="475">
        <f>INDEX(Input!$1:$1048576,Y$93,$C633*2+MIN($B633,2)+5)
++INDEX(Scenarios!Y$121:Y$199,MATCH($B633,Scenarios!$B$121:$B$199,0))</f>
        <v>2339.3275155115825</v>
      </c>
      <c r="Z633" s="477">
        <f>INDEX(Input!$1:$1048576,Z$93,$C633*2+MIN($B633,2)+5)
+INDEX(Scenarios!Z$121:Z$199,MATCH($B633,Scenarios!$B$121:$B$199,0))</f>
        <v>0</v>
      </c>
      <c r="AA633" s="475">
        <f>INDEX(Input!$1:$1048576,AA$93,$C633*2+MIN($B633,2)+5)</f>
        <v>0</v>
      </c>
      <c r="AB633" s="476">
        <f>INDEX(Input!$1:$1048576,AB$93,$C633*2+MIN($B633,2)+5)</f>
        <v>1</v>
      </c>
      <c r="AC633" s="475">
        <f>INDEX(Input!$1:$1048576,AC$93,$C633*2+MIN($B633,2)+5)
+INDEX(Scenarios!AC$121:AC$199,MATCH($B633,Scenarios!$B$121:$B$199,0))</f>
        <v>0</v>
      </c>
      <c r="AD633" s="476">
        <f>INDEX(Input!$1:$1048576,AD$93,$C633*2+MIN($B633,2)+5)</f>
        <v>0.35</v>
      </c>
      <c r="AE633" s="475">
        <f>INDEX(Input!$1:$1048576,AE$93,$C633*2+MIN($B633,2)+5)
+INDEX(Scenarios!AE$121:AE$199,MATCH($B633,Scenarios!$B$121:$B$199,0))</f>
        <v>0</v>
      </c>
      <c r="AF633" s="476">
        <f>INDEX(Input!$1:$1048576,AF$93,$C633*2+MIN($B633,2)+5)</f>
        <v>1</v>
      </c>
      <c r="AG633" s="475">
        <f>INDEX(Input!$1:$1048576,AG$93,$C633*2+MIN($B633,2)+5)</f>
        <v>0</v>
      </c>
      <c r="AH633" s="476">
        <f>INDEX(Input!$1:$1048576,AH$93,$C633*2+MIN($B633,2)+5)</f>
        <v>1</v>
      </c>
      <c r="AI633" s="475">
        <f>INDEX(Input!$1:$1048576,AI$93,$C633*2+MIN($B633,2)+5)</f>
        <v>0</v>
      </c>
      <c r="AJ633" s="476">
        <f>INDEX(Input!$1:$1048576,AJ$93,$C633*2+MIN($B633,2)+5)</f>
        <v>0.35</v>
      </c>
      <c r="AK633" s="150">
        <f>ROUND(INDEX(Input!$1:$1048576,AK$93,$C632*2+MIN($B633,1)+5)+(Y633-VLOOKUP($C633*1000+1,$A:$HH,Y$92,FALSE)),0)</f>
        <v>5093</v>
      </c>
      <c r="AL633" s="150">
        <f>ROUND(INDEX(Input!$1:$1048576,AL$93,$C632*2+MIN($B633,1)+5)-(Y633-VLOOKUP($C633*1000+1,$A:$HH,Y$92,FALSE))/36,0)</f>
        <v>5217</v>
      </c>
      <c r="AM633" s="32" t="str">
        <f t="shared" si="1973"/>
        <v>std/std/std/std</v>
      </c>
      <c r="AN633" s="32" t="str">
        <f t="shared" si="1974"/>
        <v>$750 + 0/0/0/1.9/3.9</v>
      </c>
      <c r="AO633" s="32" t="str">
        <f t="shared" si="1975"/>
        <v>0/0/0/1.9/3.9</v>
      </c>
      <c r="AP633" s="32" t="str">
        <f t="shared" si="1939"/>
        <v>0/0.9/1.9/3.9</v>
      </c>
      <c r="AQ633" s="536">
        <f t="shared" si="1940"/>
        <v>0.36630900688126516</v>
      </c>
      <c r="AR633" s="32"/>
      <c r="AS633" s="302"/>
      <c r="AT633" s="3">
        <f t="shared" si="1993"/>
        <v>33</v>
      </c>
      <c r="AU633" s="41" t="s">
        <v>121</v>
      </c>
      <c r="AV633" s="41" t="s">
        <v>116</v>
      </c>
      <c r="AW633" s="41" t="str">
        <f>INDEX(Input!$1:$1048576,AW$93,$C633*2+6)</f>
        <v>Kia</v>
      </c>
      <c r="AX633" s="41" t="str">
        <f>INDEX(Input!$1:$1048576,AX$93,$C633*2+6)</f>
        <v>National</v>
      </c>
      <c r="AY633" s="41" t="str">
        <f>IF(LEN(D633)=0,"",INDEX(Input!$1:$1048576,AY$93,$C633*2+6))</f>
        <v>Compact Conventional/Sporty Car (43)</v>
      </c>
      <c r="AZ633" s="41" t="str">
        <f>INDEX(Input!$1:$1048576,AZ$93,$C633*2+6)</f>
        <v>Kia Forte</v>
      </c>
      <c r="BA633" s="3">
        <f>INDEX(Input!$1:$1048576,BA$93,$C633*2+6)</f>
        <v>2020</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19695</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941"/>
        <v>2215</v>
      </c>
      <c r="CJ633" s="16" t="str">
        <f>INDEX(Input!$1:$1048576,CJ$93,$C633*2+6)</f>
        <v>N</v>
      </c>
      <c r="CK633" s="1" t="str">
        <f t="shared" si="1942"/>
        <v>Market</v>
      </c>
      <c r="CL633" s="1" t="str">
        <f t="shared" si="1943"/>
        <v>Market</v>
      </c>
      <c r="CM633" s="1" t="str">
        <f t="shared" si="1944"/>
        <v>Market</v>
      </c>
      <c r="CN633" s="1" t="str">
        <f t="shared" si="1945"/>
        <v>Market</v>
      </c>
      <c r="CO633" s="1" t="str">
        <f t="shared" si="1946"/>
        <v>Market</v>
      </c>
      <c r="CP633" s="304">
        <f t="shared" si="1947"/>
        <v>750</v>
      </c>
      <c r="CQ633" s="1">
        <f t="shared" si="1948"/>
        <v>0</v>
      </c>
      <c r="CR633" s="1">
        <f t="shared" si="1949"/>
        <v>0</v>
      </c>
      <c r="CS633" s="1">
        <f t="shared" si="1950"/>
        <v>0</v>
      </c>
      <c r="CT633" s="1">
        <f t="shared" si="1951"/>
        <v>1.8999999999999996E-2</v>
      </c>
      <c r="CU633" s="1">
        <f t="shared" si="1952"/>
        <v>3.9E-2</v>
      </c>
      <c r="CV633" s="304">
        <f t="shared" si="2013"/>
        <v>2339.3275155115825</v>
      </c>
      <c r="CW633" s="20" t="s">
        <v>122</v>
      </c>
      <c r="CX633" s="20" t="s">
        <v>122</v>
      </c>
      <c r="CY633" s="20" t="s">
        <v>122</v>
      </c>
      <c r="CZ633" s="20" t="s">
        <v>122</v>
      </c>
      <c r="DA633" s="20" t="s">
        <v>122</v>
      </c>
      <c r="DB633" s="503">
        <f t="shared" si="2014"/>
        <v>0</v>
      </c>
      <c r="DC633" s="127">
        <v>0</v>
      </c>
      <c r="DD633" s="127">
        <v>0</v>
      </c>
      <c r="DE633" s="127">
        <v>0</v>
      </c>
      <c r="DF633" s="127">
        <v>0</v>
      </c>
      <c r="DG633" s="127">
        <v>0</v>
      </c>
      <c r="DH633" s="127">
        <v>0</v>
      </c>
      <c r="DI633" s="127">
        <v>0</v>
      </c>
      <c r="DJ633" s="127">
        <v>0</v>
      </c>
      <c r="DK633" s="127">
        <v>0</v>
      </c>
      <c r="DL633" s="127">
        <v>0</v>
      </c>
      <c r="DM633" s="304">
        <f>INDEX(Input!$1:$1048576,DM$93,$C633*2+6)</f>
        <v>20731.578947368424</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v>5.1750337865070904E-2</v>
      </c>
      <c r="DZ633" s="7">
        <v>0</v>
      </c>
      <c r="EA633" s="7">
        <v>0.81198018133064465</v>
      </c>
      <c r="EB633" s="7">
        <v>0</v>
      </c>
      <c r="EC633" s="7">
        <v>0</v>
      </c>
      <c r="ED633" s="7">
        <v>0</v>
      </c>
      <c r="EE633" s="7">
        <v>0</v>
      </c>
      <c r="EF633" s="7">
        <v>0</v>
      </c>
      <c r="EG633" s="7">
        <v>0</v>
      </c>
      <c r="EH633" s="7">
        <v>2.9781857730429375E-2</v>
      </c>
      <c r="EI633" s="7">
        <v>1.9444283973687197E-2</v>
      </c>
      <c r="EJ633" s="7">
        <v>0.2621182100103478</v>
      </c>
      <c r="EK633" s="7">
        <v>0.68865564828553538</v>
      </c>
      <c r="EL633" s="7">
        <v>0</v>
      </c>
      <c r="EM633" s="7">
        <v>2.7002688215011818E-2</v>
      </c>
      <c r="EN633" s="7">
        <v>3.6733937843743215E-2</v>
      </c>
      <c r="EO633" s="7">
        <v>0.38226312568784837</v>
      </c>
      <c r="EP633" s="7">
        <v>0.48253139865379052</v>
      </c>
      <c r="EQ633" s="7">
        <v>7.4718630557262355E-2</v>
      </c>
      <c r="ER633" s="7">
        <v>2.3752907257354971E-2</v>
      </c>
      <c r="ES633" s="7">
        <v>0.10926679258927263</v>
      </c>
      <c r="ET633" s="7">
        <v>0.13626948080428442</v>
      </c>
      <c r="EU633" s="6">
        <v>1500</v>
      </c>
      <c r="EV633" s="6">
        <v>0</v>
      </c>
      <c r="EW633" s="6">
        <v>1500</v>
      </c>
      <c r="EX633" s="6">
        <v>0</v>
      </c>
      <c r="EY633" s="6">
        <v>2134.5607318791699</v>
      </c>
      <c r="EZ633" s="6">
        <v>-1554.2676731795959</v>
      </c>
      <c r="FA633" s="6">
        <v>0</v>
      </c>
      <c r="FB633" s="6">
        <v>0</v>
      </c>
      <c r="FC633" s="6">
        <v>0</v>
      </c>
      <c r="FD633" s="6">
        <v>0</v>
      </c>
      <c r="FE633" s="6">
        <v>0</v>
      </c>
      <c r="FF633" s="6">
        <v>0</v>
      </c>
      <c r="FG633" s="6">
        <v>0</v>
      </c>
      <c r="FH633" s="6">
        <v>1158.6456773612474</v>
      </c>
      <c r="FI633" s="6">
        <v>1531.4299904380612</v>
      </c>
      <c r="FJ633" s="6">
        <v>1709.9775738488447</v>
      </c>
      <c r="FK633" s="6">
        <v>1266.3227157028193</v>
      </c>
      <c r="FL633" s="6">
        <v>0</v>
      </c>
      <c r="FM633" s="6">
        <v>1384.5607318791697</v>
      </c>
      <c r="FN633" s="6">
        <v>0</v>
      </c>
      <c r="FO633" s="6">
        <v>0</v>
      </c>
      <c r="FP633" s="6">
        <v>0</v>
      </c>
      <c r="FQ633" s="6">
        <v>0</v>
      </c>
      <c r="FR633" s="6">
        <v>0</v>
      </c>
      <c r="FS633" s="6">
        <v>0</v>
      </c>
      <c r="FT633" s="7">
        <v>0.86373051919571553</v>
      </c>
      <c r="FU633" s="7">
        <v>2.7002688215011818E-2</v>
      </c>
      <c r="FV633" s="7">
        <v>0.10926679258927263</v>
      </c>
      <c r="FW633" s="6">
        <v>1499.9999999999998</v>
      </c>
      <c r="FX633" s="6">
        <v>2134.5607318791699</v>
      </c>
      <c r="FY633" s="6">
        <v>-1554.2676731795959</v>
      </c>
      <c r="FZ633" s="6">
        <v>1676.0854837363124</v>
      </c>
      <c r="GA633" s="6">
        <v>1183.4048132389873</v>
      </c>
      <c r="GB633" s="6">
        <v>18511.595186761013</v>
      </c>
      <c r="GC633" s="7">
        <v>6.4493561548621597E-2</v>
      </c>
      <c r="GD633" s="7">
        <v>6.1067701626599323E-2</v>
      </c>
      <c r="GE633" s="7"/>
      <c r="GF633" s="7"/>
      <c r="GG633" s="7">
        <v>-5.3119409748204456E-2</v>
      </c>
      <c r="GH633" s="42">
        <v>2.123458129450944</v>
      </c>
      <c r="GI633" s="6">
        <v>10458.369893474628</v>
      </c>
      <c r="GJ633" s="14">
        <v>0.51596255589662332</v>
      </c>
      <c r="GK633" s="14">
        <v>0.51419567426615942</v>
      </c>
      <c r="GL633" s="14">
        <v>0.48403744410337662</v>
      </c>
      <c r="GM633" s="14">
        <v>0.48580432573384025</v>
      </c>
      <c r="GO633" s="5">
        <v>338.16872463277008</v>
      </c>
      <c r="GP633" s="5">
        <v>309.55158621923283</v>
      </c>
      <c r="GQ633" s="5">
        <v>527.27910984145694</v>
      </c>
      <c r="GR633" s="5">
        <v>404.20319246551543</v>
      </c>
      <c r="GS633" s="5">
        <v>334.50205195691484</v>
      </c>
      <c r="GT633" s="5">
        <v>289.18266033348181</v>
      </c>
      <c r="GU633" s="5">
        <v>254.29573314828914</v>
      </c>
      <c r="GV633" s="39" t="s">
        <v>392</v>
      </c>
      <c r="GW633" s="5">
        <v>471.54166666666669</v>
      </c>
      <c r="GX633" s="5">
        <v>353.65625</v>
      </c>
      <c r="GY633" s="5">
        <v>289.44462020726326</v>
      </c>
      <c r="GZ633" s="5">
        <v>257.16150431174003</v>
      </c>
      <c r="HA633" s="5">
        <v>243.53599154093158</v>
      </c>
      <c r="HB633" s="39">
        <v>273.88440759644317</v>
      </c>
      <c r="HC633" s="5">
        <v>351.11483570160732</v>
      </c>
      <c r="HD633" s="5">
        <v>282.73776275539944</v>
      </c>
      <c r="HE633" s="5">
        <v>280.55735780820959</v>
      </c>
      <c r="HF633" s="5">
        <v>253.64561428438338</v>
      </c>
      <c r="HG633" s="5">
        <v>237.36506461313525</v>
      </c>
      <c r="HH633" s="39">
        <v>280.94594906943121</v>
      </c>
      <c r="HI633" s="16"/>
      <c r="HJ633" s="19" t="str">
        <f t="shared" ref="HJ633:HK633" si="2041">HJ632</f>
        <v>On</v>
      </c>
      <c r="HK633" s="1" t="str">
        <f t="shared" si="2041"/>
        <v>On</v>
      </c>
      <c r="HL633" s="16"/>
      <c r="HM633" s="639">
        <f t="shared" si="2022"/>
        <v>4.9686942767030826E-2</v>
      </c>
      <c r="HN633" s="639">
        <f t="shared" si="2022"/>
        <v>2.6112822013589915E-3</v>
      </c>
      <c r="HO633" s="639">
        <f t="shared" si="2022"/>
        <v>3.166115353075552E-2</v>
      </c>
      <c r="HP633" s="644">
        <f t="shared" ref="HP633:ID648" si="2042">HP133+HP233+HP333+HP433+HP533</f>
        <v>871.3105020512503</v>
      </c>
      <c r="HQ633" s="644">
        <f t="shared" si="2042"/>
        <v>54.316165166216223</v>
      </c>
      <c r="HR633" s="644">
        <f t="shared" si="2042"/>
        <v>-86.745636858151087</v>
      </c>
      <c r="HS633" s="644">
        <f t="shared" si="2042"/>
        <v>-187.20941005499964</v>
      </c>
      <c r="HT633" s="644">
        <f t="shared" si="2042"/>
        <v>513.0668633371057</v>
      </c>
      <c r="HU633" s="644">
        <f t="shared" si="2042"/>
        <v>115.89966689697515</v>
      </c>
      <c r="HV633" s="644">
        <f t="shared" si="2042"/>
        <v>0</v>
      </c>
      <c r="HW633" s="644">
        <f t="shared" si="2042"/>
        <v>0</v>
      </c>
      <c r="HX633" s="644">
        <f t="shared" si="2042"/>
        <v>0</v>
      </c>
      <c r="HY633" s="644">
        <f t="shared" si="2042"/>
        <v>2388</v>
      </c>
      <c r="HZ633" s="644">
        <f t="shared" si="2042"/>
        <v>2518</v>
      </c>
      <c r="IA633" s="644">
        <f t="shared" si="2042"/>
        <v>2200</v>
      </c>
      <c r="IB633" s="644">
        <f t="shared" si="2042"/>
        <v>3072.1010919962505</v>
      </c>
      <c r="IC633" s="644">
        <f t="shared" si="2042"/>
        <v>3085.3830285033218</v>
      </c>
      <c r="ID633" s="644">
        <f t="shared" si="2042"/>
        <v>2229.1540300388237</v>
      </c>
      <c r="IE633" s="20">
        <f t="shared" si="1977"/>
        <v>0.36630900688126516</v>
      </c>
      <c r="IF633" s="20">
        <f t="shared" si="1956"/>
        <v>0.36789270898795723</v>
      </c>
      <c r="IG633" s="20">
        <f t="shared" si="1957"/>
        <v>0.26579828413077761</v>
      </c>
      <c r="IH633" s="21"/>
      <c r="II633" s="19"/>
      <c r="IJ633" s="19"/>
      <c r="IK633" s="19"/>
      <c r="IL633" s="19">
        <f t="shared" si="1978"/>
        <v>1149.9999999999995</v>
      </c>
      <c r="IM633" s="19">
        <f t="shared" si="1978"/>
        <v>1150.2881807796693</v>
      </c>
      <c r="IN633" s="19">
        <f t="shared" si="1978"/>
        <v>288.96264185257405</v>
      </c>
      <c r="IO633" s="39"/>
      <c r="IP633" s="39"/>
      <c r="IQ633" s="39"/>
      <c r="IR633" s="39"/>
      <c r="IS633" s="39"/>
      <c r="IT633" s="39"/>
      <c r="IU633" s="39"/>
      <c r="IV633" s="39"/>
      <c r="IW633" s="39"/>
      <c r="IX633" s="19">
        <f t="shared" si="2023"/>
        <v>1600</v>
      </c>
      <c r="IY633" s="19">
        <f t="shared" si="2023"/>
        <v>2503.549291639752</v>
      </c>
      <c r="IZ633" s="19">
        <f t="shared" si="2023"/>
        <v>5888.3563810918577</v>
      </c>
      <c r="JA633" s="19">
        <f t="shared" si="2024"/>
        <v>2749.9999999999995</v>
      </c>
      <c r="JB633" s="19">
        <f t="shared" si="2024"/>
        <v>3653.8374724194214</v>
      </c>
      <c r="JC633" s="19">
        <f t="shared" si="2024"/>
        <v>6177.3190229444317</v>
      </c>
      <c r="JD633" s="19">
        <f t="shared" si="1981"/>
        <v>3993.490731680612</v>
      </c>
      <c r="JE633" s="21"/>
      <c r="JF633" s="1">
        <f t="shared" si="1982"/>
        <v>6.8844376252282569E-2</v>
      </c>
      <c r="JG633" s="15">
        <f t="shared" si="1983"/>
        <v>7106</v>
      </c>
      <c r="JH633" s="1">
        <f t="shared" si="1984"/>
        <v>0.11805249512514994</v>
      </c>
      <c r="JI633" s="1">
        <f t="shared" si="1985"/>
        <v>6.216677739643698E-2</v>
      </c>
      <c r="JJ633" s="1">
        <f t="shared" si="1962"/>
        <v>0</v>
      </c>
      <c r="JK633" s="1">
        <f t="shared" si="1963"/>
        <v>0.18021927252158693</v>
      </c>
      <c r="JL633" s="15">
        <f t="shared" si="2025"/>
        <v>1280.6381505383968</v>
      </c>
      <c r="JM633" s="15">
        <f t="shared" si="2025"/>
        <v>8386.6381505383961</v>
      </c>
      <c r="JN633" s="21"/>
      <c r="JO633" s="19">
        <f>INDEX([1]Input!$1:$1048576,JO$93,$C633*2+6)</f>
        <v>5995.5</v>
      </c>
      <c r="JP633" s="19">
        <f>INDEX([1]Input!$1:$1048576,JP$93,$C633*2+6)</f>
        <v>1716.3055838443925</v>
      </c>
      <c r="JQ633" s="39">
        <f t="shared" si="1995"/>
        <v>2002.009268319388</v>
      </c>
      <c r="JR633" s="39">
        <f t="shared" si="1996"/>
        <v>2277.1851478362196</v>
      </c>
      <c r="JS633" s="39">
        <f t="shared" si="1997"/>
        <v>33.491961724134114</v>
      </c>
      <c r="JT633" s="39">
        <f t="shared" si="1987"/>
        <v>21.295894245335862</v>
      </c>
      <c r="JU633" s="385">
        <f>(JQ633*JM633-INDEX([1]Input!$1:$1048576,[1]Input!A$18,$C633*2+6)*JL633*INDEX([1]Input!$1:$1048576,[1]Input!A$19,$C633*2+6))/1000000</f>
        <v>16.790127307418839</v>
      </c>
      <c r="JV633" s="39">
        <f t="shared" si="1966"/>
        <v>-13.617828213782911</v>
      </c>
      <c r="JW633" s="1">
        <f t="shared" si="2000"/>
        <v>-0.44783767867221352</v>
      </c>
      <c r="JX633" s="19">
        <f t="shared" si="2001"/>
        <v>16629.126843037429</v>
      </c>
      <c r="JZ633" s="341"/>
      <c r="KA633" s="60"/>
      <c r="KB633" s="469">
        <f t="shared" si="1988"/>
        <v>0</v>
      </c>
      <c r="KI633" s="472"/>
      <c r="KJ633" s="472"/>
      <c r="KK633" s="472"/>
      <c r="KN633" s="888">
        <f t="shared" si="1989"/>
        <v>6002</v>
      </c>
      <c r="KO633" s="541">
        <f t="shared" si="1967"/>
        <v>9.7421180097054361E-2</v>
      </c>
      <c r="KP633" s="546">
        <f t="shared" si="1968"/>
        <v>558.99213400497456</v>
      </c>
      <c r="KQ633" s="546">
        <f t="shared" si="1969"/>
        <v>396.04224139068538</v>
      </c>
      <c r="KR633" s="472">
        <f t="shared" si="1970"/>
        <v>2.8054821693342795</v>
      </c>
      <c r="KS633" s="472">
        <f t="shared" si="1971"/>
        <v>3.9597858532520624</v>
      </c>
      <c r="KT633" s="473">
        <f t="shared" si="1998"/>
        <v>2521.945896759994</v>
      </c>
      <c r="KU633" s="663">
        <f t="shared" si="1990"/>
        <v>11.468695343848632</v>
      </c>
      <c r="KV633" s="117"/>
    </row>
    <row r="634" spans="1:308" s="26" customFormat="1" ht="15">
      <c r="A634" s="561">
        <f t="shared" si="1972"/>
        <v>6034</v>
      </c>
      <c r="B634" s="561">
        <f t="shared" si="1991"/>
        <v>34</v>
      </c>
      <c r="C634" s="561">
        <f t="shared" si="1992"/>
        <v>6</v>
      </c>
      <c r="D634" s="561" t="str">
        <f t="shared" si="2028"/>
        <v xml:space="preserve">1000 CC, 1000 Combo, </v>
      </c>
      <c r="E634" s="475">
        <f>INDEX(Input!$1:$1048576,E$93,$C634*2+MIN($B634,2)+5)
+INDEX(Scenarios!E$121:E$199,MATCH($B634,Scenarios!$B$121:$B$199,0))</f>
        <v>2250</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1.8999999999999996E-2</v>
      </c>
      <c r="W634" s="863">
        <f>IFERROR(MAX(0,INDEX(Input!$1:$1048576,W$93,$C634*2+MIN($B634,2)+5)-0%,),"Market")</f>
        <v>3.9E-2</v>
      </c>
      <c r="X634" s="476" t="str">
        <f>INDEX(Input!$1:$1048576,X$93,$C634*2+MIN($B634,2)+5)</f>
        <v>Y</v>
      </c>
      <c r="Y634" s="475">
        <f>INDEX(Input!$1:$1048576,Y$93,$C634*2+MIN($B634,2)+5)
++INDEX(Scenarios!Y$121:Y$199,MATCH($B634,Scenarios!$B$121:$B$199,0))</f>
        <v>2339.3275155115825</v>
      </c>
      <c r="Z634" s="477">
        <f>INDEX(Input!$1:$1048576,Z$93,$C634*2+MIN($B634,2)+5)
+INDEX(Scenarios!Z$121:Z$199,MATCH($B634,Scenarios!$B$121:$B$199,0))</f>
        <v>0</v>
      </c>
      <c r="AA634" s="475">
        <f>INDEX(Input!$1:$1048576,AA$93,$C634*2+MIN($B634,2)+5)</f>
        <v>0</v>
      </c>
      <c r="AB634" s="476">
        <f>INDEX(Input!$1:$1048576,AB$93,$C634*2+MIN($B634,2)+5)</f>
        <v>1</v>
      </c>
      <c r="AC634" s="475">
        <f>INDEX(Input!$1:$1048576,AC$93,$C634*2+MIN($B634,2)+5)
+INDEX(Scenarios!AC$121:AC$199,MATCH($B634,Scenarios!$B$121:$B$199,0))</f>
        <v>0</v>
      </c>
      <c r="AD634" s="476">
        <f>INDEX(Input!$1:$1048576,AD$93,$C634*2+MIN($B634,2)+5)</f>
        <v>0.35</v>
      </c>
      <c r="AE634" s="475">
        <f>INDEX(Input!$1:$1048576,AE$93,$C634*2+MIN($B634,2)+5)
+INDEX(Scenarios!AE$121:AE$199,MATCH($B634,Scenarios!$B$121:$B$199,0))</f>
        <v>0</v>
      </c>
      <c r="AF634" s="476">
        <f>INDEX(Input!$1:$1048576,AF$93,$C634*2+MIN($B634,2)+5)</f>
        <v>1</v>
      </c>
      <c r="AG634" s="475">
        <f>INDEX(Input!$1:$1048576,AG$93,$C634*2+MIN($B634,2)+5)</f>
        <v>0</v>
      </c>
      <c r="AH634" s="476">
        <f>INDEX(Input!$1:$1048576,AH$93,$C634*2+MIN($B634,2)+5)</f>
        <v>1</v>
      </c>
      <c r="AI634" s="475">
        <f>INDEX(Input!$1:$1048576,AI$93,$C634*2+MIN($B634,2)+5)</f>
        <v>0</v>
      </c>
      <c r="AJ634" s="476">
        <f>INDEX(Input!$1:$1048576,AJ$93,$C634*2+MIN($B634,2)+5)</f>
        <v>0.35</v>
      </c>
      <c r="AK634" s="150">
        <f>ROUND(INDEX(Input!$1:$1048576,AK$93,$C633*2+MIN($B634,1)+5)+(Y634-VLOOKUP($C634*1000+1,$A:$HH,Y$92,FALSE)),0)</f>
        <v>5093</v>
      </c>
      <c r="AL634" s="150">
        <f>ROUND(INDEX(Input!$1:$1048576,AL$93,$C633*2+MIN($B634,1)+5)-(Y634-VLOOKUP($C634*1000+1,$A:$HH,Y$92,FALSE))/36,0)</f>
        <v>5217</v>
      </c>
      <c r="AM634" s="32" t="str">
        <f t="shared" si="1973"/>
        <v>std/std/std/std</v>
      </c>
      <c r="AN634" s="32" t="str">
        <f t="shared" si="1974"/>
        <v>$1000 + 0/0/0/1.9/3.9</v>
      </c>
      <c r="AO634" s="32" t="str">
        <f t="shared" si="1975"/>
        <v>0/0/0/1.9/3.9</v>
      </c>
      <c r="AP634" s="32" t="str">
        <f t="shared" si="1939"/>
        <v>0/0.9/1.9/3.9</v>
      </c>
      <c r="AQ634" s="536">
        <f t="shared" si="1940"/>
        <v>0.37577138734751686</v>
      </c>
      <c r="AR634" s="32"/>
      <c r="AS634" s="302"/>
      <c r="AT634" s="3">
        <f t="shared" si="1993"/>
        <v>34</v>
      </c>
      <c r="AU634" s="41" t="s">
        <v>121</v>
      </c>
      <c r="AV634" s="41" t="s">
        <v>116</v>
      </c>
      <c r="AW634" s="41" t="str">
        <f>INDEX(Input!$1:$1048576,AW$93,$C634*2+6)</f>
        <v>Kia</v>
      </c>
      <c r="AX634" s="41" t="str">
        <f>INDEX(Input!$1:$1048576,AX$93,$C634*2+6)</f>
        <v>National</v>
      </c>
      <c r="AY634" s="41" t="str">
        <f>IF(LEN(D634)=0,"",INDEX(Input!$1:$1048576,AY$93,$C634*2+6))</f>
        <v>Compact Conventional/Sporty Car (43)</v>
      </c>
      <c r="AZ634" s="41" t="str">
        <f>INDEX(Input!$1:$1048576,AZ$93,$C634*2+6)</f>
        <v>Kia Forte</v>
      </c>
      <c r="BA634" s="3">
        <f>INDEX(Input!$1:$1048576,BA$93,$C634*2+6)</f>
        <v>2020</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19695</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941"/>
        <v>2465</v>
      </c>
      <c r="CJ634" s="16" t="str">
        <f>INDEX(Input!$1:$1048576,CJ$93,$C634*2+6)</f>
        <v>N</v>
      </c>
      <c r="CK634" s="1" t="str">
        <f t="shared" si="1942"/>
        <v>Market</v>
      </c>
      <c r="CL634" s="1" t="str">
        <f t="shared" si="1943"/>
        <v>Market</v>
      </c>
      <c r="CM634" s="1" t="str">
        <f t="shared" si="1944"/>
        <v>Market</v>
      </c>
      <c r="CN634" s="1" t="str">
        <f t="shared" si="1945"/>
        <v>Market</v>
      </c>
      <c r="CO634" s="1" t="str">
        <f t="shared" si="1946"/>
        <v>Market</v>
      </c>
      <c r="CP634" s="304">
        <f t="shared" si="1947"/>
        <v>1000</v>
      </c>
      <c r="CQ634" s="1">
        <f t="shared" si="1948"/>
        <v>0</v>
      </c>
      <c r="CR634" s="1">
        <f t="shared" si="1949"/>
        <v>0</v>
      </c>
      <c r="CS634" s="1">
        <f t="shared" si="1950"/>
        <v>0</v>
      </c>
      <c r="CT634" s="1">
        <f t="shared" si="1951"/>
        <v>1.8999999999999996E-2</v>
      </c>
      <c r="CU634" s="1">
        <f t="shared" si="1952"/>
        <v>3.9E-2</v>
      </c>
      <c r="CV634" s="304">
        <f t="shared" si="2013"/>
        <v>2339.3275155115825</v>
      </c>
      <c r="CW634" s="20" t="s">
        <v>122</v>
      </c>
      <c r="CX634" s="20" t="s">
        <v>122</v>
      </c>
      <c r="CY634" s="20" t="s">
        <v>122</v>
      </c>
      <c r="CZ634" s="20" t="s">
        <v>122</v>
      </c>
      <c r="DA634" s="20" t="s">
        <v>122</v>
      </c>
      <c r="DB634" s="503">
        <f t="shared" si="2014"/>
        <v>0</v>
      </c>
      <c r="DC634" s="127">
        <v>0</v>
      </c>
      <c r="DD634" s="127">
        <v>0</v>
      </c>
      <c r="DE634" s="127">
        <v>0</v>
      </c>
      <c r="DF634" s="127">
        <v>0</v>
      </c>
      <c r="DG634" s="127">
        <v>0</v>
      </c>
      <c r="DH634" s="127">
        <v>0</v>
      </c>
      <c r="DI634" s="127">
        <v>0</v>
      </c>
      <c r="DJ634" s="127">
        <v>0</v>
      </c>
      <c r="DK634" s="127">
        <v>0</v>
      </c>
      <c r="DL634" s="127">
        <v>0</v>
      </c>
      <c r="DM634" s="304">
        <f>INDEX(Input!$1:$1048576,DM$93,$C634*2+6)</f>
        <v>20731.578947368424</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v>5.2378556933598386E-2</v>
      </c>
      <c r="DZ634" s="7">
        <v>0</v>
      </c>
      <c r="EA634" s="7">
        <v>0.8213466108044174</v>
      </c>
      <c r="EB634" s="7">
        <v>0</v>
      </c>
      <c r="EC634" s="7">
        <v>0</v>
      </c>
      <c r="ED634" s="7">
        <v>0</v>
      </c>
      <c r="EE634" s="7">
        <v>0</v>
      </c>
      <c r="EF634" s="7">
        <v>0</v>
      </c>
      <c r="EG634" s="7">
        <v>0</v>
      </c>
      <c r="EH634" s="7">
        <v>2.9800185281457902E-2</v>
      </c>
      <c r="EI634" s="7">
        <v>1.9447566953496448E-2</v>
      </c>
      <c r="EJ634" s="7">
        <v>0.26228790226566218</v>
      </c>
      <c r="EK634" s="7">
        <v>0.68846434549938285</v>
      </c>
      <c r="EL634" s="7">
        <v>0</v>
      </c>
      <c r="EM634" s="7">
        <v>2.7348666755769878E-2</v>
      </c>
      <c r="EN634" s="7">
        <v>3.6724282321297909E-2</v>
      </c>
      <c r="EO634" s="7">
        <v>0.38231932569056848</v>
      </c>
      <c r="EP634" s="7">
        <v>0.48247860914264701</v>
      </c>
      <c r="EQ634" s="7">
        <v>7.4720999256928863E-2</v>
      </c>
      <c r="ER634" s="7">
        <v>2.3756783588557727E-2</v>
      </c>
      <c r="ES634" s="7">
        <v>9.8926165506214359E-2</v>
      </c>
      <c r="ET634" s="7">
        <v>0.12627483226198424</v>
      </c>
      <c r="EU634" s="6">
        <v>1750</v>
      </c>
      <c r="EV634" s="6">
        <v>0</v>
      </c>
      <c r="EW634" s="6">
        <v>1750</v>
      </c>
      <c r="EX634" s="6">
        <v>0</v>
      </c>
      <c r="EY634" s="6">
        <v>2384.6352116888315</v>
      </c>
      <c r="EZ634" s="6">
        <v>-1554.2676731795959</v>
      </c>
      <c r="FA634" s="6">
        <v>0</v>
      </c>
      <c r="FB634" s="6">
        <v>0</v>
      </c>
      <c r="FC634" s="6">
        <v>0</v>
      </c>
      <c r="FD634" s="6">
        <v>0</v>
      </c>
      <c r="FE634" s="6">
        <v>0</v>
      </c>
      <c r="FF634" s="6">
        <v>0</v>
      </c>
      <c r="FG634" s="6">
        <v>0</v>
      </c>
      <c r="FH634" s="6">
        <v>1158.655681687876</v>
      </c>
      <c r="FI634" s="6">
        <v>1531.4299904380607</v>
      </c>
      <c r="FJ634" s="6">
        <v>1709.9775738488456</v>
      </c>
      <c r="FK634" s="6">
        <v>1266.3227157028186</v>
      </c>
      <c r="FL634" s="6">
        <v>0</v>
      </c>
      <c r="FM634" s="6">
        <v>1384.6352116888315</v>
      </c>
      <c r="FN634" s="6">
        <v>0</v>
      </c>
      <c r="FO634" s="6">
        <v>0</v>
      </c>
      <c r="FP634" s="6">
        <v>0</v>
      </c>
      <c r="FQ634" s="6">
        <v>0</v>
      </c>
      <c r="FR634" s="6">
        <v>0</v>
      </c>
      <c r="FS634" s="6">
        <v>0</v>
      </c>
      <c r="FT634" s="7">
        <v>0.87372516773801578</v>
      </c>
      <c r="FU634" s="7">
        <v>2.7348666755769878E-2</v>
      </c>
      <c r="FV634" s="7">
        <v>9.8926165506214359E-2</v>
      </c>
      <c r="FW634" s="6">
        <v>1750</v>
      </c>
      <c r="FX634" s="6">
        <v>2384.6352116888315</v>
      </c>
      <c r="FY634" s="6">
        <v>-1554.2676731795959</v>
      </c>
      <c r="FZ634" s="6">
        <v>1676.0854837363124</v>
      </c>
      <c r="GA634" s="6">
        <v>1440.4778962021569</v>
      </c>
      <c r="GB634" s="6">
        <v>18254.522103797844</v>
      </c>
      <c r="GC634" s="7">
        <v>6.4493561548621597E-2</v>
      </c>
      <c r="GD634" s="7">
        <v>6.4090023393635925E-2</v>
      </c>
      <c r="GE634" s="7"/>
      <c r="GF634" s="7"/>
      <c r="GG634" s="7">
        <v>-6.2570300863512588E-3</v>
      </c>
      <c r="GH634" s="42">
        <v>0.52304006352436905</v>
      </c>
      <c r="GI634" s="6">
        <v>39095.337195679858</v>
      </c>
      <c r="GJ634" s="14">
        <v>0.51596255589662365</v>
      </c>
      <c r="GK634" s="14">
        <v>0.51419567426615975</v>
      </c>
      <c r="GL634" s="14">
        <v>0.48403744410337685</v>
      </c>
      <c r="GM634" s="14">
        <v>0.48580432573384058</v>
      </c>
      <c r="GO634" s="5">
        <v>338.16872463277008</v>
      </c>
      <c r="GP634" s="5">
        <v>304.78206315030991</v>
      </c>
      <c r="GQ634" s="5">
        <v>527.27910984145694</v>
      </c>
      <c r="GR634" s="5">
        <v>404.20319246551543</v>
      </c>
      <c r="GS634" s="5">
        <v>334.50205195691484</v>
      </c>
      <c r="GT634" s="5">
        <v>289.18266033348181</v>
      </c>
      <c r="GU634" s="5">
        <v>254.29573314828914</v>
      </c>
      <c r="GV634" s="39" t="s">
        <v>392</v>
      </c>
      <c r="GW634" s="5">
        <v>464.59722222222223</v>
      </c>
      <c r="GX634" s="5">
        <v>348.44791666666669</v>
      </c>
      <c r="GY634" s="5">
        <v>285.1819383980785</v>
      </c>
      <c r="GZ634" s="5">
        <v>253.37425939536436</v>
      </c>
      <c r="HA634" s="5">
        <v>239.94941100514569</v>
      </c>
      <c r="HB634" s="39">
        <v>269.86046354016196</v>
      </c>
      <c r="HC634" s="5">
        <v>351.11483570160732</v>
      </c>
      <c r="HD634" s="5">
        <v>282.73776275539944</v>
      </c>
      <c r="HE634" s="5">
        <v>280.55735780820959</v>
      </c>
      <c r="HF634" s="5">
        <v>253.64561428438338</v>
      </c>
      <c r="HG634" s="5">
        <v>237.36506461313525</v>
      </c>
      <c r="HH634" s="39">
        <v>280.94515916541212</v>
      </c>
      <c r="HI634" s="16"/>
      <c r="HJ634" s="19" t="str">
        <f t="shared" ref="HJ634:HK634" si="2043">HJ633</f>
        <v>On</v>
      </c>
      <c r="HK634" s="1" t="str">
        <f t="shared" si="2043"/>
        <v>On</v>
      </c>
      <c r="HL634" s="16"/>
      <c r="HM634" s="639">
        <f t="shared" ref="HM634:HO649" si="2044">(HM134*HY134+HM234*HY234+HM334*HY334+HM434*HY434+HM534*HY534)/HY634</f>
        <v>4.9686942767030826E-2</v>
      </c>
      <c r="HN634" s="639">
        <f t="shared" si="2044"/>
        <v>2.6112822013589915E-3</v>
      </c>
      <c r="HO634" s="639">
        <f t="shared" si="2044"/>
        <v>3.166115353075552E-2</v>
      </c>
      <c r="HP634" s="644">
        <f t="shared" si="2042"/>
        <v>1089.5408179899414</v>
      </c>
      <c r="HQ634" s="644">
        <f t="shared" si="2042"/>
        <v>68.026469269886022</v>
      </c>
      <c r="HR634" s="644">
        <f t="shared" si="2042"/>
        <v>-138.25054836654829</v>
      </c>
      <c r="HS634" s="644">
        <f t="shared" si="2042"/>
        <v>-227.90712034228173</v>
      </c>
      <c r="HT634" s="644">
        <f t="shared" si="2042"/>
        <v>624.60642734885846</v>
      </c>
      <c r="HU634" s="644">
        <f t="shared" si="2042"/>
        <v>125.88479771165652</v>
      </c>
      <c r="HV634" s="644">
        <f t="shared" si="2042"/>
        <v>0</v>
      </c>
      <c r="HW634" s="644">
        <f t="shared" si="2042"/>
        <v>0</v>
      </c>
      <c r="HX634" s="644">
        <f t="shared" si="2042"/>
        <v>0</v>
      </c>
      <c r="HY634" s="644">
        <f t="shared" si="2042"/>
        <v>2388</v>
      </c>
      <c r="HZ634" s="644">
        <f t="shared" si="2042"/>
        <v>2518</v>
      </c>
      <c r="IA634" s="644">
        <f t="shared" si="2042"/>
        <v>2200</v>
      </c>
      <c r="IB634" s="644">
        <f t="shared" si="2042"/>
        <v>3249.6336976476596</v>
      </c>
      <c r="IC634" s="644">
        <f t="shared" si="2042"/>
        <v>3210.6328966187448</v>
      </c>
      <c r="ID634" s="644">
        <f t="shared" si="2042"/>
        <v>2187.6342493451084</v>
      </c>
      <c r="IE634" s="20">
        <f t="shared" si="1977"/>
        <v>0.37577138734751686</v>
      </c>
      <c r="IF634" s="20">
        <f t="shared" si="1956"/>
        <v>0.37126152978390636</v>
      </c>
      <c r="IG634" s="20">
        <f t="shared" si="1957"/>
        <v>0.25296708286857678</v>
      </c>
      <c r="IH634" s="21"/>
      <c r="II634" s="19"/>
      <c r="IJ634" s="19"/>
      <c r="IK634" s="19"/>
      <c r="IL634" s="19">
        <f t="shared" si="1978"/>
        <v>1400</v>
      </c>
      <c r="IM634" s="19">
        <f t="shared" si="1978"/>
        <v>1400.3577420093352</v>
      </c>
      <c r="IN634" s="19">
        <f t="shared" si="1978"/>
        <v>290.6022796198813</v>
      </c>
      <c r="IO634" s="39"/>
      <c r="IP634" s="39"/>
      <c r="IQ634" s="39"/>
      <c r="IR634" s="39"/>
      <c r="IS634" s="39"/>
      <c r="IT634" s="39"/>
      <c r="IU634" s="39"/>
      <c r="IV634" s="39"/>
      <c r="IW634" s="39"/>
      <c r="IX634" s="19">
        <f t="shared" ref="IX634:IZ649" si="2045">(IX134*HY134+IX234*HY234+IX334*HY334+IX434*HY434+IX534*HY534)/HY634</f>
        <v>1600</v>
      </c>
      <c r="IY634" s="19">
        <f t="shared" si="2045"/>
        <v>2503.549291639752</v>
      </c>
      <c r="IZ634" s="19">
        <f t="shared" si="2045"/>
        <v>5888.3563810918577</v>
      </c>
      <c r="JA634" s="19">
        <f t="shared" ref="JA634:JC649" si="2046">IFERROR((JA134*IB134+JA234*IB234+JA334*IB334+JA434*IB434+JA534*IB534)/IB634,0)</f>
        <v>3000</v>
      </c>
      <c r="JB634" s="19">
        <f t="shared" si="2046"/>
        <v>3903.9070336490872</v>
      </c>
      <c r="JC634" s="19">
        <f t="shared" si="2046"/>
        <v>6178.958660711739</v>
      </c>
      <c r="JD634" s="19">
        <f t="shared" si="1981"/>
        <v>4139.7578070550389</v>
      </c>
      <c r="JE634" s="21"/>
      <c r="JF634" s="1">
        <f t="shared" si="1982"/>
        <v>6.8844376252282569E-2</v>
      </c>
      <c r="JG634" s="15">
        <f t="shared" si="1983"/>
        <v>7106</v>
      </c>
      <c r="JH634" s="1">
        <f t="shared" si="1984"/>
        <v>0.14344451715357151</v>
      </c>
      <c r="JI634" s="1">
        <f t="shared" si="1985"/>
        <v>7.3541247497640475E-2</v>
      </c>
      <c r="JJ634" s="1">
        <f t="shared" si="1962"/>
        <v>0</v>
      </c>
      <c r="JK634" s="1">
        <f t="shared" si="1963"/>
        <v>0.21698576465121197</v>
      </c>
      <c r="JL634" s="15">
        <f t="shared" ref="JL634:JM649" si="2047">JL134+JL234+JL334+JL434+JL534</f>
        <v>1541.9008436115123</v>
      </c>
      <c r="JM634" s="15">
        <f t="shared" si="2047"/>
        <v>8647.9008436115128</v>
      </c>
      <c r="JN634" s="21"/>
      <c r="JO634" s="19">
        <f>INDEX([1]Input!$1:$1048576,JO$93,$C634*2+6)</f>
        <v>5995.5</v>
      </c>
      <c r="JP634" s="19">
        <f>INDEX([1]Input!$1:$1048576,JP$93,$C634*2+6)</f>
        <v>1716.3055838443925</v>
      </c>
      <c r="JQ634" s="39">
        <f t="shared" si="1995"/>
        <v>1855.7421929449611</v>
      </c>
      <c r="JR634" s="39">
        <f t="shared" si="1996"/>
        <v>2423.4522232106465</v>
      </c>
      <c r="JS634" s="39">
        <f t="shared" si="1997"/>
        <v>35.800215031978617</v>
      </c>
      <c r="JT634" s="39">
        <f t="shared" si="1987"/>
        <v>23.604147553180358</v>
      </c>
      <c r="JU634" s="385">
        <f>(JQ634*JM634-INDEX([1]Input!$1:$1048576,[1]Input!A$18,$C634*2+6)*JL634*INDEX([1]Input!$1:$1048576,[1]Input!A$19,$C634*2+6))/1000000</f>
        <v>16.048274475894207</v>
      </c>
      <c r="JV634" s="39">
        <f t="shared" si="1966"/>
        <v>-14.359681045307543</v>
      </c>
      <c r="JW634" s="1">
        <f t="shared" si="2000"/>
        <v>-0.47223434785989965</v>
      </c>
      <c r="JX634" s="19">
        <f t="shared" si="2001"/>
        <v>15308.4730778755</v>
      </c>
      <c r="JZ634" s="341"/>
      <c r="KA634" s="60"/>
      <c r="KB634" s="469">
        <f t="shared" si="1988"/>
        <v>0</v>
      </c>
      <c r="KI634" s="472"/>
      <c r="KJ634" s="472"/>
      <c r="KK634" s="472"/>
      <c r="KN634" s="888">
        <f t="shared" si="1989"/>
        <v>6002</v>
      </c>
      <c r="KO634" s="541">
        <f t="shared" si="1967"/>
        <v>0.13160832491016738</v>
      </c>
      <c r="KP634" s="546">
        <f t="shared" si="1968"/>
        <v>755.41631796331171</v>
      </c>
      <c r="KQ634" s="546">
        <f t="shared" si="1969"/>
        <v>542.30931676511227</v>
      </c>
      <c r="KR634" s="472">
        <f t="shared" si="1970"/>
        <v>2.8045089031965702</v>
      </c>
      <c r="KS634" s="472">
        <f t="shared" si="1971"/>
        <v>3.906574576268409</v>
      </c>
      <c r="KT634" s="473">
        <f t="shared" si="1998"/>
        <v>2521.945896759994</v>
      </c>
      <c r="KU634" s="663">
        <f t="shared" si="1990"/>
        <v>11.556341365648981</v>
      </c>
      <c r="KV634" s="117"/>
    </row>
    <row r="635" spans="1:308" s="26" customFormat="1" ht="15">
      <c r="A635" s="561">
        <f t="shared" si="1972"/>
        <v>6035</v>
      </c>
      <c r="B635" s="561">
        <f t="shared" si="1991"/>
        <v>35</v>
      </c>
      <c r="C635" s="561">
        <f t="shared" si="1992"/>
        <v>6</v>
      </c>
      <c r="D635" s="561" t="str">
        <f t="shared" si="2028"/>
        <v xml:space="preserve">250 CC, 0/0/0.9/3.9, </v>
      </c>
      <c r="E635" s="475">
        <f>INDEX(Input!$1:$1048576,E$93,$C635*2+MIN($B635,2)+5)
+INDEX(Scenarios!E$121:E$199,MATCH($B635,Scenarios!$B$121:$B$199,0))</f>
        <v>1500.0000000000002</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8.9999999999999959E-3</v>
      </c>
      <c r="W635" s="863">
        <f>IFERROR(MAX(0,INDEX(Input!$1:$1048576,W$93,$C635*2+MIN($B635,2)+5)-0%,),"Market")</f>
        <v>3.9E-2</v>
      </c>
      <c r="X635" s="476" t="str">
        <f>INDEX(Input!$1:$1048576,X$93,$C635*2+MIN($B635,2)+5)</f>
        <v>Y</v>
      </c>
      <c r="Y635" s="475">
        <f>INDEX(Input!$1:$1048576,Y$93,$C635*2+MIN($B635,2)+5)
++INDEX(Scenarios!Y$121:Y$199,MATCH($B635,Scenarios!$B$121:$B$199,0))</f>
        <v>2339.3275155115825</v>
      </c>
      <c r="Z635" s="477">
        <f>INDEX(Input!$1:$1048576,Z$93,$C635*2+MIN($B635,2)+5)
+INDEX(Scenarios!Z$121:Z$199,MATCH($B635,Scenarios!$B$121:$B$199,0))</f>
        <v>0</v>
      </c>
      <c r="AA635" s="475">
        <f>INDEX(Input!$1:$1048576,AA$93,$C635*2+MIN($B635,2)+5)</f>
        <v>0</v>
      </c>
      <c r="AB635" s="476">
        <f>INDEX(Input!$1:$1048576,AB$93,$C635*2+MIN($B635,2)+5)</f>
        <v>1</v>
      </c>
      <c r="AC635" s="475">
        <f>INDEX(Input!$1:$1048576,AC$93,$C635*2+MIN($B635,2)+5)
+INDEX(Scenarios!AC$121:AC$199,MATCH($B635,Scenarios!$B$121:$B$199,0))</f>
        <v>0</v>
      </c>
      <c r="AD635" s="476">
        <f>INDEX(Input!$1:$1048576,AD$93,$C635*2+MIN($B635,2)+5)</f>
        <v>0.35</v>
      </c>
      <c r="AE635" s="475">
        <f>INDEX(Input!$1:$1048576,AE$93,$C635*2+MIN($B635,2)+5)
+INDEX(Scenarios!AE$121:AE$199,MATCH($B635,Scenarios!$B$121:$B$199,0))</f>
        <v>0</v>
      </c>
      <c r="AF635" s="476">
        <f>INDEX(Input!$1:$1048576,AF$93,$C635*2+MIN($B635,2)+5)</f>
        <v>1</v>
      </c>
      <c r="AG635" s="475">
        <f>INDEX(Input!$1:$1048576,AG$93,$C635*2+MIN($B635,2)+5)</f>
        <v>0</v>
      </c>
      <c r="AH635" s="476">
        <f>INDEX(Input!$1:$1048576,AH$93,$C635*2+MIN($B635,2)+5)</f>
        <v>1</v>
      </c>
      <c r="AI635" s="475">
        <f>INDEX(Input!$1:$1048576,AI$93,$C635*2+MIN($B635,2)+5)</f>
        <v>0</v>
      </c>
      <c r="AJ635" s="476">
        <f>INDEX(Input!$1:$1048576,AJ$93,$C635*2+MIN($B635,2)+5)</f>
        <v>0.35</v>
      </c>
      <c r="AK635" s="150">
        <f>ROUND(INDEX(Input!$1:$1048576,AK$93,$C634*2+MIN($B635,1)+5)+(Y635-VLOOKUP($C635*1000+1,$A:$HH,Y$92,FALSE)),0)</f>
        <v>5093</v>
      </c>
      <c r="AL635" s="150">
        <f>ROUND(INDEX(Input!$1:$1048576,AL$93,$C634*2+MIN($B635,1)+5)-(Y635-VLOOKUP($C635*1000+1,$A:$HH,Y$92,FALSE))/36,0)</f>
        <v>5217</v>
      </c>
      <c r="AM635" s="32" t="str">
        <f t="shared" si="1973"/>
        <v>std/std/std/std</v>
      </c>
      <c r="AN635" s="32" t="str">
        <f t="shared" si="1974"/>
        <v>$0 + 0/0/0/0.9/3.9</v>
      </c>
      <c r="AO635" s="32" t="str">
        <f t="shared" si="1975"/>
        <v>0/0/0/0.9/3.9</v>
      </c>
      <c r="AP635" s="32" t="str">
        <f t="shared" si="1939"/>
        <v>0/0/0.9/3.9</v>
      </c>
      <c r="AQ635" s="536">
        <f t="shared" si="1940"/>
        <v>0.33859020684358448</v>
      </c>
      <c r="AR635" s="32"/>
      <c r="AS635" s="302"/>
      <c r="AT635" s="3">
        <f t="shared" si="1993"/>
        <v>35</v>
      </c>
      <c r="AU635" s="41" t="s">
        <v>121</v>
      </c>
      <c r="AV635" s="41" t="s">
        <v>116</v>
      </c>
      <c r="AW635" s="41" t="str">
        <f>INDEX(Input!$1:$1048576,AW$93,$C635*2+6)</f>
        <v>Kia</v>
      </c>
      <c r="AX635" s="41" t="str">
        <f>INDEX(Input!$1:$1048576,AX$93,$C635*2+6)</f>
        <v>National</v>
      </c>
      <c r="AY635" s="41" t="str">
        <f>IF(LEN(D635)=0,"",INDEX(Input!$1:$1048576,AY$93,$C635*2+6))</f>
        <v>Compact Conventional/Sporty Car (43)</v>
      </c>
      <c r="AZ635" s="41" t="str">
        <f>INDEX(Input!$1:$1048576,AZ$93,$C635*2+6)</f>
        <v>Kia Forte</v>
      </c>
      <c r="BA635" s="3">
        <f>INDEX(Input!$1:$1048576,BA$93,$C635*2+6)</f>
        <v>2020</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19695</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941"/>
        <v>1715.0000000000002</v>
      </c>
      <c r="CJ635" s="16" t="str">
        <f>INDEX(Input!$1:$1048576,CJ$93,$C635*2+6)</f>
        <v>N</v>
      </c>
      <c r="CK635" s="1" t="str">
        <f t="shared" si="1942"/>
        <v>Market</v>
      </c>
      <c r="CL635" s="1" t="str">
        <f t="shared" si="1943"/>
        <v>Market</v>
      </c>
      <c r="CM635" s="1" t="str">
        <f t="shared" si="1944"/>
        <v>Market</v>
      </c>
      <c r="CN635" s="1" t="str">
        <f t="shared" si="1945"/>
        <v>Market</v>
      </c>
      <c r="CO635" s="1" t="str">
        <f t="shared" si="1946"/>
        <v>Market</v>
      </c>
      <c r="CP635" s="304">
        <f t="shared" si="1947"/>
        <v>0</v>
      </c>
      <c r="CQ635" s="1">
        <f t="shared" si="1948"/>
        <v>0</v>
      </c>
      <c r="CR635" s="1">
        <f t="shared" si="1949"/>
        <v>0</v>
      </c>
      <c r="CS635" s="1">
        <f t="shared" si="1950"/>
        <v>0</v>
      </c>
      <c r="CT635" s="1">
        <f t="shared" si="1951"/>
        <v>8.9999999999999959E-3</v>
      </c>
      <c r="CU635" s="1">
        <f t="shared" si="1952"/>
        <v>3.9E-2</v>
      </c>
      <c r="CV635" s="304">
        <f t="shared" si="2013"/>
        <v>2339.3275155115825</v>
      </c>
      <c r="CW635" s="20" t="s">
        <v>122</v>
      </c>
      <c r="CX635" s="20" t="s">
        <v>122</v>
      </c>
      <c r="CY635" s="20" t="s">
        <v>122</v>
      </c>
      <c r="CZ635" s="20" t="s">
        <v>122</v>
      </c>
      <c r="DA635" s="20" t="s">
        <v>122</v>
      </c>
      <c r="DB635" s="503">
        <f t="shared" si="2014"/>
        <v>0</v>
      </c>
      <c r="DC635" s="127">
        <v>0</v>
      </c>
      <c r="DD635" s="127">
        <v>0</v>
      </c>
      <c r="DE635" s="127">
        <v>0</v>
      </c>
      <c r="DF635" s="127">
        <v>0</v>
      </c>
      <c r="DG635" s="127">
        <v>0</v>
      </c>
      <c r="DH635" s="127">
        <v>0</v>
      </c>
      <c r="DI635" s="127">
        <v>0</v>
      </c>
      <c r="DJ635" s="127">
        <v>0</v>
      </c>
      <c r="DK635" s="127">
        <v>0</v>
      </c>
      <c r="DL635" s="127">
        <v>0</v>
      </c>
      <c r="DM635" s="304">
        <f>INDEX(Input!$1:$1048576,DM$93,$C635*2+6)</f>
        <v>20731.578947368424</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v>5.0129033338142476E-2</v>
      </c>
      <c r="DZ635" s="7">
        <v>0</v>
      </c>
      <c r="EA635" s="7">
        <v>0.78889622516530089</v>
      </c>
      <c r="EB635" s="7">
        <v>0</v>
      </c>
      <c r="EC635" s="7">
        <v>0</v>
      </c>
      <c r="ED635" s="7">
        <v>0</v>
      </c>
      <c r="EE635" s="7">
        <v>0</v>
      </c>
      <c r="EF635" s="7">
        <v>0</v>
      </c>
      <c r="EG635" s="7">
        <v>0</v>
      </c>
      <c r="EH635" s="7">
        <v>2.4166264876702401E-2</v>
      </c>
      <c r="EI635" s="7">
        <v>1.5793823918479704E-2</v>
      </c>
      <c r="EJ635" s="7">
        <v>0.24798237946597049</v>
      </c>
      <c r="EK635" s="7">
        <v>0.71205753173884756</v>
      </c>
      <c r="EL635" s="7">
        <v>0</v>
      </c>
      <c r="EM635" s="7">
        <v>2.872366407174308E-2</v>
      </c>
      <c r="EN635" s="7">
        <v>3.675370117771766E-2</v>
      </c>
      <c r="EO635" s="7">
        <v>0.38214154352237301</v>
      </c>
      <c r="EP635" s="7">
        <v>0.48264701032823881</v>
      </c>
      <c r="EQ635" s="7">
        <v>7.471362503063067E-2</v>
      </c>
      <c r="ER635" s="7">
        <v>2.3744119941039879E-2</v>
      </c>
      <c r="ES635" s="7">
        <v>0.13225107742481362</v>
      </c>
      <c r="ET635" s="7">
        <v>0.16097474149655663</v>
      </c>
      <c r="EU635" s="6">
        <v>1000</v>
      </c>
      <c r="EV635" s="6">
        <v>0</v>
      </c>
      <c r="EW635" s="6">
        <v>1000</v>
      </c>
      <c r="EX635" s="6">
        <v>0</v>
      </c>
      <c r="EY635" s="6">
        <v>1809.6465950732681</v>
      </c>
      <c r="EZ635" s="6">
        <v>-1554.2676731795959</v>
      </c>
      <c r="FA635" s="6">
        <v>0</v>
      </c>
      <c r="FB635" s="6">
        <v>0</v>
      </c>
      <c r="FC635" s="6">
        <v>0</v>
      </c>
      <c r="FD635" s="6">
        <v>0</v>
      </c>
      <c r="FE635" s="6">
        <v>0</v>
      </c>
      <c r="FF635" s="6">
        <v>0</v>
      </c>
      <c r="FG635" s="6">
        <v>0</v>
      </c>
      <c r="FH635" s="6">
        <v>1158.6235515206547</v>
      </c>
      <c r="FI635" s="6">
        <v>1531.4299904380618</v>
      </c>
      <c r="FJ635" s="6">
        <v>2070.7205842538224</v>
      </c>
      <c r="FK635" s="6">
        <v>1746.9903521590441</v>
      </c>
      <c r="FL635" s="6">
        <v>0</v>
      </c>
      <c r="FM635" s="6">
        <v>1809.6465950732681</v>
      </c>
      <c r="FN635" s="6">
        <v>0</v>
      </c>
      <c r="FO635" s="6">
        <v>0</v>
      </c>
      <c r="FP635" s="6">
        <v>0</v>
      </c>
      <c r="FQ635" s="6">
        <v>0</v>
      </c>
      <c r="FR635" s="6">
        <v>0</v>
      </c>
      <c r="FS635" s="6">
        <v>0</v>
      </c>
      <c r="FT635" s="7">
        <v>0.83902525850344334</v>
      </c>
      <c r="FU635" s="7">
        <v>2.872366407174308E-2</v>
      </c>
      <c r="FV635" s="7">
        <v>0.13225107742481362</v>
      </c>
      <c r="FW635" s="6">
        <v>1000</v>
      </c>
      <c r="FX635" s="6">
        <v>1809.6465950732681</v>
      </c>
      <c r="FY635" s="6">
        <v>-1554.2676731795959</v>
      </c>
      <c r="FZ635" s="6">
        <v>1676.0854837363124</v>
      </c>
      <c r="GA635" s="6">
        <v>685.45136500434194</v>
      </c>
      <c r="GB635" s="6">
        <v>19009.548634995659</v>
      </c>
      <c r="GC635" s="7">
        <v>6.4493561548621597E-2</v>
      </c>
      <c r="GD635" s="7">
        <v>5.5624492685245962E-2</v>
      </c>
      <c r="GE635" s="7"/>
      <c r="GF635" s="7"/>
      <c r="GG635" s="7">
        <v>-0.13751867086281563</v>
      </c>
      <c r="GH635" s="42">
        <v>2.7340368875140233</v>
      </c>
      <c r="GI635" s="6">
        <v>7889.084969929133</v>
      </c>
      <c r="GJ635" s="14">
        <v>0.51596255589662343</v>
      </c>
      <c r="GK635" s="14">
        <v>0.51419567426615975</v>
      </c>
      <c r="GL635" s="14">
        <v>0.48403744410337696</v>
      </c>
      <c r="GM635" s="14">
        <v>0.48580432573384053</v>
      </c>
      <c r="GO635" s="5">
        <v>338.16872463277008</v>
      </c>
      <c r="GP635" s="5">
        <v>319.09063235707856</v>
      </c>
      <c r="GQ635" s="5">
        <v>527.27910984145694</v>
      </c>
      <c r="GR635" s="5">
        <v>404.20319246551543</v>
      </c>
      <c r="GS635" s="5">
        <v>334.50205195691484</v>
      </c>
      <c r="GT635" s="5">
        <v>289.18266033348181</v>
      </c>
      <c r="GU635" s="5">
        <v>254.29573314828914</v>
      </c>
      <c r="GV635" s="39" t="s">
        <v>392</v>
      </c>
      <c r="GW635" s="5">
        <v>492.375</v>
      </c>
      <c r="GX635" s="5">
        <v>369.28125</v>
      </c>
      <c r="GY635" s="5">
        <v>295.42500000000001</v>
      </c>
      <c r="GZ635" s="5">
        <v>260.68138716125202</v>
      </c>
      <c r="HA635" s="5">
        <v>254.29573314828914</v>
      </c>
      <c r="HB635" s="39">
        <v>276.61156727359673</v>
      </c>
      <c r="HC635" s="5">
        <v>351.11483570160732</v>
      </c>
      <c r="HD635" s="5">
        <v>282.73776275539944</v>
      </c>
      <c r="HE635" s="5">
        <v>280.55735780820959</v>
      </c>
      <c r="HF635" s="5">
        <v>253.64561428438338</v>
      </c>
      <c r="HG635" s="5">
        <v>237.36506461313525</v>
      </c>
      <c r="HH635" s="39">
        <v>280.94759267386786</v>
      </c>
      <c r="HI635" s="16"/>
      <c r="HJ635" s="19" t="str">
        <f t="shared" ref="HJ635:HK635" si="2048">HJ634</f>
        <v>On</v>
      </c>
      <c r="HK635" s="1" t="str">
        <f t="shared" si="2048"/>
        <v>On</v>
      </c>
      <c r="HL635" s="16"/>
      <c r="HM635" s="639">
        <f t="shared" si="2044"/>
        <v>4.9686942767030826E-2</v>
      </c>
      <c r="HN635" s="639">
        <f t="shared" si="2044"/>
        <v>2.6112822013589915E-3</v>
      </c>
      <c r="HO635" s="639">
        <f t="shared" si="2044"/>
        <v>3.166115353075552E-2</v>
      </c>
      <c r="HP635" s="644">
        <f t="shared" si="2042"/>
        <v>418.40773981054002</v>
      </c>
      <c r="HQ635" s="644">
        <f t="shared" si="2042"/>
        <v>115.96328500535373</v>
      </c>
      <c r="HR635" s="644">
        <f t="shared" si="2042"/>
        <v>2.7415266344337064</v>
      </c>
      <c r="HS635" s="644">
        <f t="shared" si="2042"/>
        <v>-106.0543115877426</v>
      </c>
      <c r="HT635" s="644">
        <f t="shared" si="2042"/>
        <v>342.05712265363917</v>
      </c>
      <c r="HU635" s="644">
        <f t="shared" si="2042"/>
        <v>96.169727374919674</v>
      </c>
      <c r="HV635" s="644">
        <f t="shared" si="2042"/>
        <v>0</v>
      </c>
      <c r="HW635" s="644">
        <f t="shared" si="2042"/>
        <v>0</v>
      </c>
      <c r="HX635" s="644">
        <f t="shared" si="2042"/>
        <v>0</v>
      </c>
      <c r="HY635" s="644">
        <f t="shared" si="2042"/>
        <v>2388</v>
      </c>
      <c r="HZ635" s="644">
        <f t="shared" si="2042"/>
        <v>2518</v>
      </c>
      <c r="IA635" s="644">
        <f t="shared" si="2042"/>
        <v>2200</v>
      </c>
      <c r="IB635" s="644">
        <f t="shared" si="2042"/>
        <v>2700.3534282227974</v>
      </c>
      <c r="IC635" s="644">
        <f t="shared" si="2042"/>
        <v>2976.0204076589926</v>
      </c>
      <c r="ID635" s="644">
        <f t="shared" si="2042"/>
        <v>2298.9112540093533</v>
      </c>
      <c r="IE635" s="20">
        <f t="shared" si="1977"/>
        <v>0.33859020684358448</v>
      </c>
      <c r="IF635" s="20">
        <f t="shared" si="1956"/>
        <v>0.37315536361592472</v>
      </c>
      <c r="IG635" s="20">
        <f t="shared" si="1957"/>
        <v>0.2882544295404908</v>
      </c>
      <c r="IH635" s="21"/>
      <c r="II635" s="19"/>
      <c r="IJ635" s="19"/>
      <c r="IK635" s="19"/>
      <c r="IL635" s="19">
        <f t="shared" si="1978"/>
        <v>649.99999999999955</v>
      </c>
      <c r="IM635" s="19">
        <f t="shared" si="1978"/>
        <v>757.84606987505049</v>
      </c>
      <c r="IN635" s="19">
        <f t="shared" si="1978"/>
        <v>286.18863160199999</v>
      </c>
      <c r="IO635" s="39"/>
      <c r="IP635" s="39"/>
      <c r="IQ635" s="39"/>
      <c r="IR635" s="39"/>
      <c r="IS635" s="39"/>
      <c r="IT635" s="39"/>
      <c r="IU635" s="39"/>
      <c r="IV635" s="39"/>
      <c r="IW635" s="39"/>
      <c r="IX635" s="19">
        <f t="shared" si="2045"/>
        <v>1600</v>
      </c>
      <c r="IY635" s="19">
        <f t="shared" si="2045"/>
        <v>2503.549291639752</v>
      </c>
      <c r="IZ635" s="19">
        <f t="shared" si="2045"/>
        <v>5888.3563810918577</v>
      </c>
      <c r="JA635" s="19">
        <f t="shared" si="2046"/>
        <v>2249.9999999999995</v>
      </c>
      <c r="JB635" s="19">
        <f t="shared" si="2046"/>
        <v>3261.3953615148025</v>
      </c>
      <c r="JC635" s="19">
        <f t="shared" si="2046"/>
        <v>6174.5450126938576</v>
      </c>
      <c r="JD635" s="19">
        <f t="shared" si="1981"/>
        <v>3758.6750877255618</v>
      </c>
      <c r="JE635" s="21"/>
      <c r="JF635" s="1">
        <f t="shared" si="1982"/>
        <v>6.8844376252282569E-2</v>
      </c>
      <c r="JG635" s="15">
        <f t="shared" si="1983"/>
        <v>7106</v>
      </c>
      <c r="JH635" s="1">
        <f t="shared" si="1984"/>
        <v>7.5585779826952929E-2</v>
      </c>
      <c r="JI635" s="1">
        <f t="shared" si="1985"/>
        <v>4.6745361446779661E-2</v>
      </c>
      <c r="JJ635" s="1">
        <f t="shared" si="1962"/>
        <v>0</v>
      </c>
      <c r="JK635" s="1">
        <f t="shared" si="1963"/>
        <v>0.12233114127373258</v>
      </c>
      <c r="JL635" s="15">
        <f t="shared" si="2047"/>
        <v>869.28508989114368</v>
      </c>
      <c r="JM635" s="15">
        <f t="shared" si="2047"/>
        <v>7975.2850898911438</v>
      </c>
      <c r="JN635" s="21"/>
      <c r="JO635" s="19">
        <f>INDEX([1]Input!$1:$1048576,JO$93,$C635*2+6)</f>
        <v>5995.5</v>
      </c>
      <c r="JP635" s="19">
        <f>INDEX([1]Input!$1:$1048576,JP$93,$C635*2+6)</f>
        <v>1716.3055838443925</v>
      </c>
      <c r="JQ635" s="39">
        <f t="shared" si="1995"/>
        <v>2236.8249122744382</v>
      </c>
      <c r="JR635" s="39">
        <f t="shared" si="1996"/>
        <v>2042.3695038811693</v>
      </c>
      <c r="JS635" s="39">
        <f t="shared" si="1997"/>
        <v>29.976505384882959</v>
      </c>
      <c r="JT635" s="39">
        <f t="shared" si="1987"/>
        <v>17.78043790608471</v>
      </c>
      <c r="JU635" s="385">
        <f>(JQ635*JM635-INDEX([1]Input!$1:$1048576,[1]Input!A$18,$C635*2+6)*JL635*INDEX([1]Input!$1:$1048576,[1]Input!A$19,$C635*2+6))/1000000</f>
        <v>17.839316371559391</v>
      </c>
      <c r="JV635" s="39">
        <f t="shared" si="1966"/>
        <v>-12.568639149642358</v>
      </c>
      <c r="JW635" s="1">
        <f t="shared" si="2000"/>
        <v>-0.41333390996573105</v>
      </c>
      <c r="JX635" s="19">
        <f t="shared" si="2001"/>
        <v>20454.092808967041</v>
      </c>
      <c r="JZ635" s="341"/>
      <c r="KA635" s="60"/>
      <c r="KB635" s="469">
        <f t="shared" si="1988"/>
        <v>0</v>
      </c>
      <c r="KI635" s="472"/>
      <c r="KJ635" s="472"/>
      <c r="KK635" s="472"/>
      <c r="KN635" s="888">
        <f t="shared" si="1989"/>
        <v>6002</v>
      </c>
      <c r="KO635" s="541">
        <f t="shared" si="1967"/>
        <v>4.3594181346302108E-2</v>
      </c>
      <c r="KP635" s="546">
        <f t="shared" si="1968"/>
        <v>226.31248094872802</v>
      </c>
      <c r="KQ635" s="546">
        <f t="shared" si="1969"/>
        <v>161.22659743563509</v>
      </c>
      <c r="KR635" s="472">
        <f t="shared" si="1970"/>
        <v>3.100843474491036</v>
      </c>
      <c r="KS635" s="472">
        <f t="shared" si="1971"/>
        <v>4.3526291003312698</v>
      </c>
      <c r="KT635" s="473">
        <f t="shared" si="1998"/>
        <v>2521.945896759994</v>
      </c>
      <c r="KU635" s="663">
        <f t="shared" si="1990"/>
        <v>11.330505528877589</v>
      </c>
      <c r="KV635" s="117"/>
    </row>
    <row r="636" spans="1:308" s="26" customFormat="1" ht="15">
      <c r="A636" s="561">
        <f t="shared" si="1972"/>
        <v>6036</v>
      </c>
      <c r="B636" s="561">
        <f t="shared" si="1991"/>
        <v>36</v>
      </c>
      <c r="C636" s="561">
        <f t="shared" si="1992"/>
        <v>6</v>
      </c>
      <c r="D636" s="561" t="str">
        <f t="shared" si="2028"/>
        <v xml:space="preserve">500 CC, 0/0/0.9/3.9, </v>
      </c>
      <c r="E636" s="475">
        <f>INDEX(Input!$1:$1048576,E$93,$C636*2+MIN($B636,2)+5)
+INDEX(Scenarios!E$121:E$199,MATCH($B636,Scenarios!$B$121:$B$199,0))</f>
        <v>1750.0000000000002</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8.9999999999999959E-3</v>
      </c>
      <c r="W636" s="863">
        <f>IFERROR(MAX(0,INDEX(Input!$1:$1048576,W$93,$C636*2+MIN($B636,2)+5)-0%,),"Market")</f>
        <v>3.9E-2</v>
      </c>
      <c r="X636" s="476" t="str">
        <f>INDEX(Input!$1:$1048576,X$93,$C636*2+MIN($B636,2)+5)</f>
        <v>Y</v>
      </c>
      <c r="Y636" s="475">
        <f>INDEX(Input!$1:$1048576,Y$93,$C636*2+MIN($B636,2)+5)
++INDEX(Scenarios!Y$121:Y$199,MATCH($B636,Scenarios!$B$121:$B$199,0))</f>
        <v>2339.3275155115825</v>
      </c>
      <c r="Z636" s="477">
        <f>INDEX(Input!$1:$1048576,Z$93,$C636*2+MIN($B636,2)+5)
+INDEX(Scenarios!Z$121:Z$199,MATCH($B636,Scenarios!$B$121:$B$199,0))</f>
        <v>0</v>
      </c>
      <c r="AA636" s="475">
        <f>INDEX(Input!$1:$1048576,AA$93,$C636*2+MIN($B636,2)+5)</f>
        <v>0</v>
      </c>
      <c r="AB636" s="476">
        <f>INDEX(Input!$1:$1048576,AB$93,$C636*2+MIN($B636,2)+5)</f>
        <v>1</v>
      </c>
      <c r="AC636" s="475">
        <f>INDEX(Input!$1:$1048576,AC$93,$C636*2+MIN($B636,2)+5)
+INDEX(Scenarios!AC$121:AC$199,MATCH($B636,Scenarios!$B$121:$B$199,0))</f>
        <v>0</v>
      </c>
      <c r="AD636" s="476">
        <f>INDEX(Input!$1:$1048576,AD$93,$C636*2+MIN($B636,2)+5)</f>
        <v>0.35</v>
      </c>
      <c r="AE636" s="475">
        <f>INDEX(Input!$1:$1048576,AE$93,$C636*2+MIN($B636,2)+5)
+INDEX(Scenarios!AE$121:AE$199,MATCH($B636,Scenarios!$B$121:$B$199,0))</f>
        <v>0</v>
      </c>
      <c r="AF636" s="476">
        <f>INDEX(Input!$1:$1048576,AF$93,$C636*2+MIN($B636,2)+5)</f>
        <v>1</v>
      </c>
      <c r="AG636" s="475">
        <f>INDEX(Input!$1:$1048576,AG$93,$C636*2+MIN($B636,2)+5)</f>
        <v>0</v>
      </c>
      <c r="AH636" s="476">
        <f>INDEX(Input!$1:$1048576,AH$93,$C636*2+MIN($B636,2)+5)</f>
        <v>1</v>
      </c>
      <c r="AI636" s="475">
        <f>INDEX(Input!$1:$1048576,AI$93,$C636*2+MIN($B636,2)+5)</f>
        <v>0</v>
      </c>
      <c r="AJ636" s="476">
        <f>INDEX(Input!$1:$1048576,AJ$93,$C636*2+MIN($B636,2)+5)</f>
        <v>0.35</v>
      </c>
      <c r="AK636" s="150">
        <f>ROUND(INDEX(Input!$1:$1048576,AK$93,$C635*2+MIN($B636,1)+5)+(Y636-VLOOKUP($C636*1000+1,$A:$HH,Y$92,FALSE)),0)</f>
        <v>5093</v>
      </c>
      <c r="AL636" s="150">
        <f>ROUND(INDEX(Input!$1:$1048576,AL$93,$C635*2+MIN($B636,1)+5)-(Y636-VLOOKUP($C636*1000+1,$A:$HH,Y$92,FALSE))/36,0)</f>
        <v>5217</v>
      </c>
      <c r="AM636" s="32" t="str">
        <f t="shared" si="1973"/>
        <v>std/std/std/std</v>
      </c>
      <c r="AN636" s="32" t="str">
        <f t="shared" si="1974"/>
        <v>$0 + 0/0/0/0.9/3.9</v>
      </c>
      <c r="AO636" s="32" t="str">
        <f t="shared" si="1975"/>
        <v>0/0/0/0.9/3.9</v>
      </c>
      <c r="AP636" s="32" t="str">
        <f t="shared" si="1939"/>
        <v>0/0/0.9/3.9</v>
      </c>
      <c r="AQ636" s="536">
        <f t="shared" si="1940"/>
        <v>0.355455585866079</v>
      </c>
      <c r="AR636" s="32"/>
      <c r="AS636" s="302"/>
      <c r="AT636" s="3">
        <f t="shared" si="1993"/>
        <v>36</v>
      </c>
      <c r="AU636" s="41" t="s">
        <v>121</v>
      </c>
      <c r="AV636" s="41" t="s">
        <v>116</v>
      </c>
      <c r="AW636" s="41" t="str">
        <f>INDEX(Input!$1:$1048576,AW$93,$C636*2+6)</f>
        <v>Kia</v>
      </c>
      <c r="AX636" s="41" t="str">
        <f>INDEX(Input!$1:$1048576,AX$93,$C636*2+6)</f>
        <v>National</v>
      </c>
      <c r="AY636" s="41" t="str">
        <f>IF(LEN(D636)=0,"",INDEX(Input!$1:$1048576,AY$93,$C636*2+6))</f>
        <v>Compact Conventional/Sporty Car (43)</v>
      </c>
      <c r="AZ636" s="41" t="str">
        <f>INDEX(Input!$1:$1048576,AZ$93,$C636*2+6)</f>
        <v>Kia Forte</v>
      </c>
      <c r="BA636" s="3">
        <f>INDEX(Input!$1:$1048576,BA$93,$C636*2+6)</f>
        <v>2020</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19695</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941"/>
        <v>1965.0000000000002</v>
      </c>
      <c r="CJ636" s="16" t="str">
        <f>INDEX(Input!$1:$1048576,CJ$93,$C636*2+6)</f>
        <v>N</v>
      </c>
      <c r="CK636" s="1" t="str">
        <f t="shared" si="1942"/>
        <v>Market</v>
      </c>
      <c r="CL636" s="1" t="str">
        <f t="shared" si="1943"/>
        <v>Market</v>
      </c>
      <c r="CM636" s="1" t="str">
        <f t="shared" si="1944"/>
        <v>Market</v>
      </c>
      <c r="CN636" s="1" t="str">
        <f t="shared" si="1945"/>
        <v>Market</v>
      </c>
      <c r="CO636" s="1" t="str">
        <f t="shared" si="1946"/>
        <v>Market</v>
      </c>
      <c r="CP636" s="304">
        <f t="shared" si="1947"/>
        <v>0</v>
      </c>
      <c r="CQ636" s="1">
        <f t="shared" si="1948"/>
        <v>0</v>
      </c>
      <c r="CR636" s="1">
        <f t="shared" si="1949"/>
        <v>0</v>
      </c>
      <c r="CS636" s="1">
        <f t="shared" si="1950"/>
        <v>0</v>
      </c>
      <c r="CT636" s="1">
        <f t="shared" si="1951"/>
        <v>8.9999999999999959E-3</v>
      </c>
      <c r="CU636" s="1">
        <f t="shared" si="1952"/>
        <v>3.9E-2</v>
      </c>
      <c r="CV636" s="304">
        <f t="shared" si="2013"/>
        <v>2339.3275155115825</v>
      </c>
      <c r="CW636" s="20" t="s">
        <v>122</v>
      </c>
      <c r="CX636" s="20" t="s">
        <v>122</v>
      </c>
      <c r="CY636" s="20" t="s">
        <v>122</v>
      </c>
      <c r="CZ636" s="20" t="s">
        <v>122</v>
      </c>
      <c r="DA636" s="20" t="s">
        <v>122</v>
      </c>
      <c r="DB636" s="503">
        <f t="shared" si="2014"/>
        <v>0</v>
      </c>
      <c r="DC636" s="127">
        <v>0</v>
      </c>
      <c r="DD636" s="127">
        <v>0</v>
      </c>
      <c r="DE636" s="127">
        <v>0</v>
      </c>
      <c r="DF636" s="127">
        <v>0</v>
      </c>
      <c r="DG636" s="127">
        <v>0</v>
      </c>
      <c r="DH636" s="127">
        <v>0</v>
      </c>
      <c r="DI636" s="127">
        <v>0</v>
      </c>
      <c r="DJ636" s="127">
        <v>0</v>
      </c>
      <c r="DK636" s="127">
        <v>0</v>
      </c>
      <c r="DL636" s="127">
        <v>0</v>
      </c>
      <c r="DM636" s="304">
        <f>INDEX(Input!$1:$1048576,DM$93,$C636*2+6)</f>
        <v>20731.578947368424</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v>5.10040451777896E-2</v>
      </c>
      <c r="DZ636" s="7">
        <v>0</v>
      </c>
      <c r="EA636" s="7">
        <v>0.8024729602135261</v>
      </c>
      <c r="EB636" s="7">
        <v>0</v>
      </c>
      <c r="EC636" s="7">
        <v>0</v>
      </c>
      <c r="ED636" s="7">
        <v>0</v>
      </c>
      <c r="EE636" s="7">
        <v>0</v>
      </c>
      <c r="EF636" s="7">
        <v>0</v>
      </c>
      <c r="EG636" s="7">
        <v>0</v>
      </c>
      <c r="EH636" s="7">
        <v>2.4181745309441536E-2</v>
      </c>
      <c r="EI636" s="7">
        <v>1.5796715945203207E-2</v>
      </c>
      <c r="EJ636" s="7">
        <v>0.24814867017334652</v>
      </c>
      <c r="EK636" s="7">
        <v>0.7118728685720086</v>
      </c>
      <c r="EL636" s="7">
        <v>0</v>
      </c>
      <c r="EM636" s="7">
        <v>2.6137952101470369E-2</v>
      </c>
      <c r="EN636" s="7">
        <v>3.6743669071368452E-2</v>
      </c>
      <c r="EO636" s="7">
        <v>0.38220464666150572</v>
      </c>
      <c r="EP636" s="7">
        <v>0.48258672380759726</v>
      </c>
      <c r="EQ636" s="7">
        <v>7.4716198971012601E-2</v>
      </c>
      <c r="ER636" s="7">
        <v>2.374876148851553E-2</v>
      </c>
      <c r="ES636" s="7">
        <v>0.12038504250721388</v>
      </c>
      <c r="ET636" s="7">
        <v>0.14652299460868431</v>
      </c>
      <c r="EU636" s="6">
        <v>1250</v>
      </c>
      <c r="EV636" s="6">
        <v>0</v>
      </c>
      <c r="EW636" s="6">
        <v>1250</v>
      </c>
      <c r="EX636" s="6">
        <v>0</v>
      </c>
      <c r="EY636" s="6">
        <v>1809.6909568046794</v>
      </c>
      <c r="EZ636" s="6">
        <v>-1554.2676731795959</v>
      </c>
      <c r="FA636" s="6">
        <v>0</v>
      </c>
      <c r="FB636" s="6">
        <v>0</v>
      </c>
      <c r="FC636" s="6">
        <v>0</v>
      </c>
      <c r="FD636" s="6">
        <v>0</v>
      </c>
      <c r="FE636" s="6">
        <v>0</v>
      </c>
      <c r="FF636" s="6">
        <v>0</v>
      </c>
      <c r="FG636" s="6">
        <v>0</v>
      </c>
      <c r="FH636" s="6">
        <v>1158.634302652348</v>
      </c>
      <c r="FI636" s="6">
        <v>1531.4299904380614</v>
      </c>
      <c r="FJ636" s="6">
        <v>2070.720584253821</v>
      </c>
      <c r="FK636" s="6">
        <v>1746.9903521590438</v>
      </c>
      <c r="FL636" s="6">
        <v>0</v>
      </c>
      <c r="FM636" s="6">
        <v>1809.6909568046794</v>
      </c>
      <c r="FN636" s="6">
        <v>0</v>
      </c>
      <c r="FO636" s="6">
        <v>0</v>
      </c>
      <c r="FP636" s="6">
        <v>0</v>
      </c>
      <c r="FQ636" s="6">
        <v>0</v>
      </c>
      <c r="FR636" s="6">
        <v>0</v>
      </c>
      <c r="FS636" s="6">
        <v>0</v>
      </c>
      <c r="FT636" s="7">
        <v>0.85347700539131566</v>
      </c>
      <c r="FU636" s="7">
        <v>2.6137952101470369E-2</v>
      </c>
      <c r="FV636" s="7">
        <v>0.12038504250721388</v>
      </c>
      <c r="FW636" s="6">
        <v>1250</v>
      </c>
      <c r="FX636" s="6">
        <v>1809.6909568046794</v>
      </c>
      <c r="FY636" s="6">
        <v>-1554.2676731795959</v>
      </c>
      <c r="FZ636" s="6">
        <v>1676.0854837363124</v>
      </c>
      <c r="GA636" s="6">
        <v>927.03729238325525</v>
      </c>
      <c r="GB636" s="6">
        <v>18767.962707616745</v>
      </c>
      <c r="GC636" s="7">
        <v>6.4493561548621597E-2</v>
      </c>
      <c r="GD636" s="7">
        <v>5.8247373758376353E-2</v>
      </c>
      <c r="GE636" s="7"/>
      <c r="GF636" s="7"/>
      <c r="GG636" s="7">
        <v>-9.6849788417038396E-2</v>
      </c>
      <c r="GH636" s="42">
        <v>2.546507160544639</v>
      </c>
      <c r="GI636" s="6">
        <v>8661.1604494482035</v>
      </c>
      <c r="GJ636" s="14">
        <v>0.51596255589662332</v>
      </c>
      <c r="GK636" s="14">
        <v>0.51419567426615942</v>
      </c>
      <c r="GL636" s="14">
        <v>0.48403744410337646</v>
      </c>
      <c r="GM636" s="14">
        <v>0.48580432573384047</v>
      </c>
      <c r="GO636" s="5">
        <v>338.16872463277008</v>
      </c>
      <c r="GP636" s="5">
        <v>314.32110928815564</v>
      </c>
      <c r="GQ636" s="5">
        <v>527.27910984145694</v>
      </c>
      <c r="GR636" s="5">
        <v>404.20319246551543</v>
      </c>
      <c r="GS636" s="5">
        <v>334.50205195691484</v>
      </c>
      <c r="GT636" s="5">
        <v>289.18266033348181</v>
      </c>
      <c r="GU636" s="5">
        <v>254.29573314828914</v>
      </c>
      <c r="GV636" s="39" t="s">
        <v>392</v>
      </c>
      <c r="GW636" s="5">
        <v>492.375</v>
      </c>
      <c r="GX636" s="5">
        <v>369.28125</v>
      </c>
      <c r="GY636" s="5">
        <v>295.42500000000001</v>
      </c>
      <c r="GZ636" s="5">
        <v>260.68138716125202</v>
      </c>
      <c r="HA636" s="5">
        <v>254.29573314828914</v>
      </c>
      <c r="HB636" s="39">
        <v>276.62124560464758</v>
      </c>
      <c r="HC636" s="5">
        <v>351.11483570160732</v>
      </c>
      <c r="HD636" s="5">
        <v>282.73776275539944</v>
      </c>
      <c r="HE636" s="5">
        <v>280.55735780820959</v>
      </c>
      <c r="HF636" s="5">
        <v>253.64561428438338</v>
      </c>
      <c r="HG636" s="5">
        <v>237.36506461313525</v>
      </c>
      <c r="HH636" s="39">
        <v>280.9467526758396</v>
      </c>
      <c r="HI636" s="16"/>
      <c r="HJ636" s="19" t="str">
        <f t="shared" ref="HJ636:HK636" si="2049">HJ635</f>
        <v>On</v>
      </c>
      <c r="HK636" s="1" t="str">
        <f t="shared" si="2049"/>
        <v>On</v>
      </c>
      <c r="HL636" s="16"/>
      <c r="HM636" s="639">
        <f t="shared" si="2044"/>
        <v>4.9686942767030826E-2</v>
      </c>
      <c r="HN636" s="639">
        <f t="shared" si="2044"/>
        <v>2.6112822013589915E-3</v>
      </c>
      <c r="HO636" s="639">
        <f t="shared" si="2044"/>
        <v>3.166115353075552E-2</v>
      </c>
      <c r="HP636" s="644">
        <f t="shared" si="2042"/>
        <v>634.79716118484953</v>
      </c>
      <c r="HQ636" s="644">
        <f t="shared" si="2042"/>
        <v>104.86776215226841</v>
      </c>
      <c r="HR636" s="644">
        <f t="shared" si="2042"/>
        <v>-44.86258979930281</v>
      </c>
      <c r="HS636" s="644">
        <f t="shared" si="2042"/>
        <v>-146.13326713233289</v>
      </c>
      <c r="HT636" s="644">
        <f t="shared" si="2042"/>
        <v>332.6874683190747</v>
      </c>
      <c r="HU636" s="644">
        <f t="shared" si="2042"/>
        <v>105.53610344690921</v>
      </c>
      <c r="HV636" s="644">
        <f t="shared" si="2042"/>
        <v>0</v>
      </c>
      <c r="HW636" s="644">
        <f t="shared" si="2042"/>
        <v>0</v>
      </c>
      <c r="HX636" s="644">
        <f t="shared" si="2042"/>
        <v>0</v>
      </c>
      <c r="HY636" s="644">
        <f t="shared" si="2042"/>
        <v>2388</v>
      </c>
      <c r="HZ636" s="644">
        <f t="shared" si="2042"/>
        <v>2518</v>
      </c>
      <c r="IA636" s="644">
        <f t="shared" si="2042"/>
        <v>2200</v>
      </c>
      <c r="IB636" s="644">
        <f t="shared" si="2042"/>
        <v>2876.6638940525163</v>
      </c>
      <c r="IC636" s="644">
        <f t="shared" si="2042"/>
        <v>2955.5552304713433</v>
      </c>
      <c r="ID636" s="644">
        <f t="shared" si="2042"/>
        <v>2260.6735136476068</v>
      </c>
      <c r="IE636" s="20">
        <f t="shared" si="1977"/>
        <v>0.355455585866079</v>
      </c>
      <c r="IF636" s="20">
        <f t="shared" si="1956"/>
        <v>0.36520381062896823</v>
      </c>
      <c r="IG636" s="20">
        <f t="shared" si="1957"/>
        <v>0.27934060350495277</v>
      </c>
      <c r="IH636" s="21"/>
      <c r="II636" s="19"/>
      <c r="IJ636" s="19"/>
      <c r="IK636" s="19"/>
      <c r="IL636" s="19">
        <f t="shared" si="1978"/>
        <v>900.00000000000045</v>
      </c>
      <c r="IM636" s="19">
        <f t="shared" si="1978"/>
        <v>757.8753492753217</v>
      </c>
      <c r="IN636" s="19">
        <f t="shared" si="1978"/>
        <v>287.80662962574479</v>
      </c>
      <c r="IO636" s="39"/>
      <c r="IP636" s="39"/>
      <c r="IQ636" s="39"/>
      <c r="IR636" s="39"/>
      <c r="IS636" s="39"/>
      <c r="IT636" s="39"/>
      <c r="IU636" s="39"/>
      <c r="IV636" s="39"/>
      <c r="IW636" s="39"/>
      <c r="IX636" s="19">
        <f t="shared" si="2045"/>
        <v>1600</v>
      </c>
      <c r="IY636" s="19">
        <f t="shared" si="2045"/>
        <v>2503.549291639752</v>
      </c>
      <c r="IZ636" s="19">
        <f t="shared" si="2045"/>
        <v>5888.3563810918577</v>
      </c>
      <c r="JA636" s="19">
        <f t="shared" si="2046"/>
        <v>2500.0000000000005</v>
      </c>
      <c r="JB636" s="19">
        <f t="shared" si="2046"/>
        <v>3261.4246409150737</v>
      </c>
      <c r="JC636" s="19">
        <f t="shared" si="2046"/>
        <v>6176.1630107176024</v>
      </c>
      <c r="JD636" s="19">
        <f t="shared" si="1981"/>
        <v>3804.9767743654179</v>
      </c>
      <c r="JE636" s="21"/>
      <c r="JF636" s="1">
        <f t="shared" si="1982"/>
        <v>6.8844376252282569E-2</v>
      </c>
      <c r="JG636" s="15">
        <f t="shared" si="1983"/>
        <v>7106</v>
      </c>
      <c r="JH636" s="1">
        <f t="shared" si="1984"/>
        <v>9.7776855268479471E-2</v>
      </c>
      <c r="JI636" s="1">
        <f t="shared" si="1985"/>
        <v>4.1104743123226997E-2</v>
      </c>
      <c r="JJ636" s="1">
        <f t="shared" si="1962"/>
        <v>0</v>
      </c>
      <c r="JK636" s="1">
        <f t="shared" si="1963"/>
        <v>0.13888159839170644</v>
      </c>
      <c r="JL636" s="15">
        <f t="shared" si="2047"/>
        <v>986.89263817146605</v>
      </c>
      <c r="JM636" s="15">
        <f t="shared" si="2047"/>
        <v>8092.8926381714664</v>
      </c>
      <c r="JN636" s="21"/>
      <c r="JO636" s="19">
        <f>INDEX([1]Input!$1:$1048576,JO$93,$C636*2+6)</f>
        <v>5995.5</v>
      </c>
      <c r="JP636" s="19">
        <f>INDEX([1]Input!$1:$1048576,JP$93,$C636*2+6)</f>
        <v>1716.3055838443925</v>
      </c>
      <c r="JQ636" s="39">
        <f t="shared" si="1995"/>
        <v>2190.5232256345821</v>
      </c>
      <c r="JR636" s="39">
        <f t="shared" si="1996"/>
        <v>2088.6711905210254</v>
      </c>
      <c r="JS636" s="39">
        <f t="shared" si="1997"/>
        <v>30.793268525675305</v>
      </c>
      <c r="JT636" s="39">
        <f t="shared" si="1987"/>
        <v>18.59720104687705</v>
      </c>
      <c r="JU636" s="385">
        <f>(JQ636*JM636-INDEX([1]Input!$1:$1048576,[1]Input!A$18,$C636*2+6)*JL636*INDEX([1]Input!$1:$1048576,[1]Input!A$19,$C636*2+6))/1000000</f>
        <v>17.727669286481724</v>
      </c>
      <c r="JV636" s="39">
        <f t="shared" si="1966"/>
        <v>-12.680286234720025</v>
      </c>
      <c r="JW636" s="1">
        <f t="shared" si="2000"/>
        <v>-0.4170055505993745</v>
      </c>
      <c r="JX636" s="19">
        <f t="shared" si="2001"/>
        <v>18844.19877863747</v>
      </c>
      <c r="JZ636" s="341"/>
      <c r="KA636" s="60"/>
      <c r="KB636" s="469">
        <f t="shared" si="1988"/>
        <v>0</v>
      </c>
      <c r="KI636" s="472"/>
      <c r="KJ636" s="472"/>
      <c r="KK636" s="472"/>
      <c r="KN636" s="888">
        <f t="shared" si="1989"/>
        <v>6002</v>
      </c>
      <c r="KO636" s="541">
        <f t="shared" si="1967"/>
        <v>5.8983543818537321E-2</v>
      </c>
      <c r="KP636" s="546">
        <f t="shared" si="1968"/>
        <v>316.75821037407712</v>
      </c>
      <c r="KQ636" s="546">
        <f t="shared" si="1969"/>
        <v>207.52828407549123</v>
      </c>
      <c r="KR636" s="472">
        <f t="shared" si="1970"/>
        <v>2.9975249377840596</v>
      </c>
      <c r="KS636" s="472">
        <f t="shared" si="1971"/>
        <v>4.575234836417553</v>
      </c>
      <c r="KT636" s="473">
        <f t="shared" si="1998"/>
        <v>2521.945896759994</v>
      </c>
      <c r="KU636" s="663">
        <f t="shared" si="1990"/>
        <v>11.434010416323765</v>
      </c>
      <c r="KV636" s="117"/>
    </row>
    <row r="637" spans="1:308" s="26" customFormat="1" ht="15">
      <c r="A637" s="561">
        <f t="shared" si="1972"/>
        <v>6037</v>
      </c>
      <c r="B637" s="561">
        <f t="shared" si="1991"/>
        <v>37</v>
      </c>
      <c r="C637" s="561">
        <f t="shared" si="1992"/>
        <v>6</v>
      </c>
      <c r="D637" s="561" t="str">
        <f t="shared" si="2028"/>
        <v xml:space="preserve">750 CC, 0/0/0.9/3.9, </v>
      </c>
      <c r="E637" s="475">
        <f>INDEX(Input!$1:$1048576,E$93,$C637*2+MIN($B637,2)+5)
+INDEX(Scenarios!E$121:E$199,MATCH($B637,Scenarios!$B$121:$B$199,0))</f>
        <v>2000.0000000000002</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8.9999999999999959E-3</v>
      </c>
      <c r="W637" s="863">
        <f>IFERROR(MAX(0,INDEX(Input!$1:$1048576,W$93,$C637*2+MIN($B637,2)+5)-0%,),"Market")</f>
        <v>3.9E-2</v>
      </c>
      <c r="X637" s="476" t="str">
        <f>INDEX(Input!$1:$1048576,X$93,$C637*2+MIN($B637,2)+5)</f>
        <v>Y</v>
      </c>
      <c r="Y637" s="475">
        <f>INDEX(Input!$1:$1048576,Y$93,$C637*2+MIN($B637,2)+5)
++INDEX(Scenarios!Y$121:Y$199,MATCH($B637,Scenarios!$B$121:$B$199,0))</f>
        <v>2339.3275155115825</v>
      </c>
      <c r="Z637" s="477">
        <f>INDEX(Input!$1:$1048576,Z$93,$C637*2+MIN($B637,2)+5)
+INDEX(Scenarios!Z$121:Z$199,MATCH($B637,Scenarios!$B$121:$B$199,0))</f>
        <v>0</v>
      </c>
      <c r="AA637" s="475">
        <f>INDEX(Input!$1:$1048576,AA$93,$C637*2+MIN($B637,2)+5)</f>
        <v>0</v>
      </c>
      <c r="AB637" s="476">
        <f>INDEX(Input!$1:$1048576,AB$93,$C637*2+MIN($B637,2)+5)</f>
        <v>1</v>
      </c>
      <c r="AC637" s="475">
        <f>INDEX(Input!$1:$1048576,AC$93,$C637*2+MIN($B637,2)+5)
+INDEX(Scenarios!AC$121:AC$199,MATCH($B637,Scenarios!$B$121:$B$199,0))</f>
        <v>0</v>
      </c>
      <c r="AD637" s="476">
        <f>INDEX(Input!$1:$1048576,AD$93,$C637*2+MIN($B637,2)+5)</f>
        <v>0.35</v>
      </c>
      <c r="AE637" s="475">
        <f>INDEX(Input!$1:$1048576,AE$93,$C637*2+MIN($B637,2)+5)
+INDEX(Scenarios!AE$121:AE$199,MATCH($B637,Scenarios!$B$121:$B$199,0))</f>
        <v>0</v>
      </c>
      <c r="AF637" s="476">
        <f>INDEX(Input!$1:$1048576,AF$93,$C637*2+MIN($B637,2)+5)</f>
        <v>1</v>
      </c>
      <c r="AG637" s="475">
        <f>INDEX(Input!$1:$1048576,AG$93,$C637*2+MIN($B637,2)+5)</f>
        <v>0</v>
      </c>
      <c r="AH637" s="476">
        <f>INDEX(Input!$1:$1048576,AH$93,$C637*2+MIN($B637,2)+5)</f>
        <v>1</v>
      </c>
      <c r="AI637" s="475">
        <f>INDEX(Input!$1:$1048576,AI$93,$C637*2+MIN($B637,2)+5)</f>
        <v>0</v>
      </c>
      <c r="AJ637" s="476">
        <f>INDEX(Input!$1:$1048576,AJ$93,$C637*2+MIN($B637,2)+5)</f>
        <v>0.35</v>
      </c>
      <c r="AK637" s="150">
        <f>ROUND(INDEX(Input!$1:$1048576,AK$93,$C636*2+MIN($B637,1)+5)+(Y637-VLOOKUP($C637*1000+1,$A:$HH,Y$92,FALSE)),0)</f>
        <v>5093</v>
      </c>
      <c r="AL637" s="150">
        <f>ROUND(INDEX(Input!$1:$1048576,AL$93,$C636*2+MIN($B637,1)+5)-(Y637-VLOOKUP($C637*1000+1,$A:$HH,Y$92,FALSE))/36,0)</f>
        <v>5217</v>
      </c>
      <c r="AM637" s="32" t="str">
        <f t="shared" si="1973"/>
        <v>std/std/std/std</v>
      </c>
      <c r="AN637" s="32" t="str">
        <f t="shared" si="1974"/>
        <v>$0 + 0/0/0/0.9/3.9</v>
      </c>
      <c r="AO637" s="32" t="str">
        <f t="shared" si="1975"/>
        <v>0/0/0/0.9/3.9</v>
      </c>
      <c r="AP637" s="32" t="str">
        <f t="shared" si="1939"/>
        <v>0/0/0.9/3.9</v>
      </c>
      <c r="AQ637" s="536">
        <f t="shared" si="1940"/>
        <v>0.37235213974290671</v>
      </c>
      <c r="AR637" s="32"/>
      <c r="AS637" s="302"/>
      <c r="AT637" s="3">
        <f t="shared" si="1993"/>
        <v>37</v>
      </c>
      <c r="AU637" s="41" t="s">
        <v>121</v>
      </c>
      <c r="AV637" s="41" t="s">
        <v>116</v>
      </c>
      <c r="AW637" s="41" t="str">
        <f>INDEX(Input!$1:$1048576,AW$93,$C637*2+6)</f>
        <v>Kia</v>
      </c>
      <c r="AX637" s="41" t="str">
        <f>INDEX(Input!$1:$1048576,AX$93,$C637*2+6)</f>
        <v>National</v>
      </c>
      <c r="AY637" s="41" t="str">
        <f>IF(LEN(D637)=0,"",INDEX(Input!$1:$1048576,AY$93,$C637*2+6))</f>
        <v>Compact Conventional/Sporty Car (43)</v>
      </c>
      <c r="AZ637" s="41" t="str">
        <f>INDEX(Input!$1:$1048576,AZ$93,$C637*2+6)</f>
        <v>Kia Forte</v>
      </c>
      <c r="BA637" s="3">
        <f>INDEX(Input!$1:$1048576,BA$93,$C637*2+6)</f>
        <v>2020</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19695</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941"/>
        <v>2215</v>
      </c>
      <c r="CJ637" s="16" t="str">
        <f>INDEX(Input!$1:$1048576,CJ$93,$C637*2+6)</f>
        <v>N</v>
      </c>
      <c r="CK637" s="1" t="str">
        <f t="shared" si="1942"/>
        <v>Market</v>
      </c>
      <c r="CL637" s="1" t="str">
        <f t="shared" si="1943"/>
        <v>Market</v>
      </c>
      <c r="CM637" s="1" t="str">
        <f t="shared" si="1944"/>
        <v>Market</v>
      </c>
      <c r="CN637" s="1" t="str">
        <f t="shared" si="1945"/>
        <v>Market</v>
      </c>
      <c r="CO637" s="1" t="str">
        <f t="shared" si="1946"/>
        <v>Market</v>
      </c>
      <c r="CP637" s="304">
        <f t="shared" si="1947"/>
        <v>0</v>
      </c>
      <c r="CQ637" s="1">
        <f t="shared" si="1948"/>
        <v>0</v>
      </c>
      <c r="CR637" s="1">
        <f t="shared" si="1949"/>
        <v>0</v>
      </c>
      <c r="CS637" s="1">
        <f t="shared" si="1950"/>
        <v>0</v>
      </c>
      <c r="CT637" s="1">
        <f t="shared" si="1951"/>
        <v>8.9999999999999959E-3</v>
      </c>
      <c r="CU637" s="1">
        <f t="shared" si="1952"/>
        <v>3.9E-2</v>
      </c>
      <c r="CV637" s="304">
        <f t="shared" si="2013"/>
        <v>2339.3275155115825</v>
      </c>
      <c r="CW637" s="20" t="s">
        <v>122</v>
      </c>
      <c r="CX637" s="20" t="s">
        <v>122</v>
      </c>
      <c r="CY637" s="20" t="s">
        <v>122</v>
      </c>
      <c r="CZ637" s="20" t="s">
        <v>122</v>
      </c>
      <c r="DA637" s="20" t="s">
        <v>122</v>
      </c>
      <c r="DB637" s="503">
        <f t="shared" si="2014"/>
        <v>0</v>
      </c>
      <c r="DC637" s="127">
        <v>0</v>
      </c>
      <c r="DD637" s="127">
        <v>0</v>
      </c>
      <c r="DE637" s="127">
        <v>0</v>
      </c>
      <c r="DF637" s="127">
        <v>0</v>
      </c>
      <c r="DG637" s="127">
        <v>0</v>
      </c>
      <c r="DH637" s="127">
        <v>0</v>
      </c>
      <c r="DI637" s="127">
        <v>0</v>
      </c>
      <c r="DJ637" s="127">
        <v>0</v>
      </c>
      <c r="DK637" s="127">
        <v>0</v>
      </c>
      <c r="DL637" s="127">
        <v>0</v>
      </c>
      <c r="DM637" s="304">
        <f>INDEX(Input!$1:$1048576,DM$93,$C637*2+6)</f>
        <v>20731.578947368424</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v>5.1815832719422882E-2</v>
      </c>
      <c r="DZ637" s="7">
        <v>0</v>
      </c>
      <c r="EA637" s="7">
        <v>0.81502424807805784</v>
      </c>
      <c r="EB637" s="7">
        <v>0</v>
      </c>
      <c r="EC637" s="7">
        <v>0</v>
      </c>
      <c r="ED637" s="7">
        <v>0</v>
      </c>
      <c r="EE637" s="7">
        <v>0</v>
      </c>
      <c r="EF637" s="7">
        <v>0</v>
      </c>
      <c r="EG637" s="7">
        <v>0</v>
      </c>
      <c r="EH637" s="7">
        <v>2.4196686373680151E-2</v>
      </c>
      <c r="EI637" s="7">
        <v>1.5799439790578702E-2</v>
      </c>
      <c r="EJ637" s="7">
        <v>0.24830945800282253</v>
      </c>
      <c r="EK637" s="7">
        <v>0.71169441583291815</v>
      </c>
      <c r="EL637" s="7">
        <v>0</v>
      </c>
      <c r="EM637" s="7">
        <v>2.3748307716546017E-2</v>
      </c>
      <c r="EN637" s="7">
        <v>3.6732977720492103E-2</v>
      </c>
      <c r="EO637" s="7">
        <v>0.38226673939395256</v>
      </c>
      <c r="EP637" s="7">
        <v>0.48252850795043828</v>
      </c>
      <c r="EQ637" s="7">
        <v>7.4718896429498707E-2</v>
      </c>
      <c r="ER637" s="7">
        <v>2.3752878505618295E-2</v>
      </c>
      <c r="ES637" s="7">
        <v>0.10941161148597328</v>
      </c>
      <c r="ET637" s="7">
        <v>0.13315991920251935</v>
      </c>
      <c r="EU637" s="6">
        <v>1500</v>
      </c>
      <c r="EV637" s="6">
        <v>0</v>
      </c>
      <c r="EW637" s="6">
        <v>1500</v>
      </c>
      <c r="EX637" s="6">
        <v>0</v>
      </c>
      <c r="EY637" s="6">
        <v>1809.733881930026</v>
      </c>
      <c r="EZ637" s="6">
        <v>-1554.2676731795959</v>
      </c>
      <c r="FA637" s="6">
        <v>0</v>
      </c>
      <c r="FB637" s="6">
        <v>0</v>
      </c>
      <c r="FC637" s="6">
        <v>0</v>
      </c>
      <c r="FD637" s="6">
        <v>0</v>
      </c>
      <c r="FE637" s="6">
        <v>0</v>
      </c>
      <c r="FF637" s="6">
        <v>0</v>
      </c>
      <c r="FG637" s="6">
        <v>0</v>
      </c>
      <c r="FH637" s="6">
        <v>1158.6446785614119</v>
      </c>
      <c r="FI637" s="6">
        <v>1531.4299904380618</v>
      </c>
      <c r="FJ637" s="6">
        <v>2070.7205842538224</v>
      </c>
      <c r="FK637" s="6">
        <v>1746.9903521590441</v>
      </c>
      <c r="FL637" s="6">
        <v>0</v>
      </c>
      <c r="FM637" s="6">
        <v>1809.733881930026</v>
      </c>
      <c r="FN637" s="6">
        <v>0</v>
      </c>
      <c r="FO637" s="6">
        <v>0</v>
      </c>
      <c r="FP637" s="6">
        <v>0</v>
      </c>
      <c r="FQ637" s="6">
        <v>0</v>
      </c>
      <c r="FR637" s="6">
        <v>0</v>
      </c>
      <c r="FS637" s="6">
        <v>0</v>
      </c>
      <c r="FT637" s="7">
        <v>0.86684008079748076</v>
      </c>
      <c r="FU637" s="7">
        <v>2.3748307716546017E-2</v>
      </c>
      <c r="FV637" s="7">
        <v>0.10941161148597328</v>
      </c>
      <c r="FW637" s="6">
        <v>1499.9999999999998</v>
      </c>
      <c r="FX637" s="6">
        <v>1809.733881930026</v>
      </c>
      <c r="FY637" s="6">
        <v>-1554.2676731795959</v>
      </c>
      <c r="FZ637" s="6">
        <v>1676.0854837363124</v>
      </c>
      <c r="GA637" s="6">
        <v>1173.1833075062209</v>
      </c>
      <c r="GB637" s="6">
        <v>18521.81669249378</v>
      </c>
      <c r="GC637" s="7">
        <v>6.4493561548621597E-2</v>
      </c>
      <c r="GD637" s="7">
        <v>6.1029561481837233E-2</v>
      </c>
      <c r="GE637" s="7"/>
      <c r="GF637" s="7"/>
      <c r="GG637" s="7">
        <v>-5.3710788854060422E-2</v>
      </c>
      <c r="GH637" s="42">
        <v>2.1034587569506398</v>
      </c>
      <c r="GI637" s="6">
        <v>10536.333373995578</v>
      </c>
      <c r="GJ637" s="14">
        <v>0.51596255589662332</v>
      </c>
      <c r="GK637" s="14">
        <v>0.51419567426615942</v>
      </c>
      <c r="GL637" s="14">
        <v>0.48403744410337651</v>
      </c>
      <c r="GM637" s="14">
        <v>0.48580432573384041</v>
      </c>
      <c r="GO637" s="5">
        <v>338.16872463277008</v>
      </c>
      <c r="GP637" s="5">
        <v>309.55158621923283</v>
      </c>
      <c r="GQ637" s="5">
        <v>527.27910984145694</v>
      </c>
      <c r="GR637" s="5">
        <v>404.20319246551543</v>
      </c>
      <c r="GS637" s="5">
        <v>334.50205195691484</v>
      </c>
      <c r="GT637" s="5">
        <v>289.18266033348181</v>
      </c>
      <c r="GU637" s="5">
        <v>254.29573314828914</v>
      </c>
      <c r="GV637" s="39" t="s">
        <v>392</v>
      </c>
      <c r="GW637" s="5">
        <v>492.375</v>
      </c>
      <c r="GX637" s="5">
        <v>369.28125</v>
      </c>
      <c r="GY637" s="5">
        <v>295.42500000000001</v>
      </c>
      <c r="GZ637" s="5">
        <v>260.68138716125202</v>
      </c>
      <c r="HA637" s="5">
        <v>254.29573314828914</v>
      </c>
      <c r="HB637" s="39">
        <v>276.63058951313133</v>
      </c>
      <c r="HC637" s="5">
        <v>351.11483570160732</v>
      </c>
      <c r="HD637" s="5">
        <v>282.73776275539944</v>
      </c>
      <c r="HE637" s="5">
        <v>280.55735780820959</v>
      </c>
      <c r="HF637" s="5">
        <v>253.64561428438338</v>
      </c>
      <c r="HG637" s="5">
        <v>237.36506461313525</v>
      </c>
      <c r="HH637" s="39">
        <v>280.94588329166697</v>
      </c>
      <c r="HI637" s="16"/>
      <c r="HJ637" s="19" t="str">
        <f t="shared" ref="HJ637:HK637" si="2050">HJ636</f>
        <v>On</v>
      </c>
      <c r="HK637" s="1" t="str">
        <f t="shared" si="2050"/>
        <v>On</v>
      </c>
      <c r="HL637" s="16"/>
      <c r="HM637" s="639">
        <f t="shared" si="2044"/>
        <v>4.9686942767030826E-2</v>
      </c>
      <c r="HN637" s="639">
        <f t="shared" si="2044"/>
        <v>2.6112822013589915E-3</v>
      </c>
      <c r="HO637" s="639">
        <f t="shared" si="2044"/>
        <v>3.166115353075552E-2</v>
      </c>
      <c r="HP637" s="644">
        <f t="shared" si="2042"/>
        <v>857.80145773491165</v>
      </c>
      <c r="HQ637" s="644">
        <f t="shared" si="2042"/>
        <v>93.891741451706253</v>
      </c>
      <c r="HR637" s="644">
        <f t="shared" si="2042"/>
        <v>-92.777434095977128</v>
      </c>
      <c r="HS637" s="644">
        <f t="shared" si="2042"/>
        <v>-186.21222319097757</v>
      </c>
      <c r="HT637" s="644">
        <f t="shared" si="2042"/>
        <v>323.31798085799511</v>
      </c>
      <c r="HU637" s="644">
        <f t="shared" si="2042"/>
        <v>114.90248003295308</v>
      </c>
      <c r="HV637" s="644">
        <f t="shared" si="2042"/>
        <v>0</v>
      </c>
      <c r="HW637" s="644">
        <f t="shared" si="2042"/>
        <v>0</v>
      </c>
      <c r="HX637" s="644">
        <f t="shared" si="2042"/>
        <v>0</v>
      </c>
      <c r="HY637" s="644">
        <f t="shared" si="2042"/>
        <v>2388</v>
      </c>
      <c r="HZ637" s="644">
        <f t="shared" si="2042"/>
        <v>2518</v>
      </c>
      <c r="IA637" s="644">
        <f t="shared" si="2042"/>
        <v>2200</v>
      </c>
      <c r="IB637" s="644">
        <f t="shared" si="2042"/>
        <v>3059.5892345439338</v>
      </c>
      <c r="IC637" s="644">
        <f t="shared" si="2042"/>
        <v>2935.2097223097012</v>
      </c>
      <c r="ID637" s="644">
        <f t="shared" si="2042"/>
        <v>2222.1250459369762</v>
      </c>
      <c r="IE637" s="20">
        <f t="shared" si="1977"/>
        <v>0.37235213974290671</v>
      </c>
      <c r="IF637" s="20">
        <f t="shared" si="1956"/>
        <v>0.35721514782330382</v>
      </c>
      <c r="IG637" s="20">
        <f t="shared" si="1957"/>
        <v>0.27043271243378958</v>
      </c>
      <c r="IH637" s="21"/>
      <c r="II637" s="19"/>
      <c r="IJ637" s="19"/>
      <c r="IK637" s="19"/>
      <c r="IL637" s="19">
        <f t="shared" si="1978"/>
        <v>1150.0000000000005</v>
      </c>
      <c r="IM637" s="19">
        <f t="shared" si="1978"/>
        <v>757.906184530264</v>
      </c>
      <c r="IN637" s="19">
        <f t="shared" si="1978"/>
        <v>289.37354750713621</v>
      </c>
      <c r="IO637" s="39"/>
      <c r="IP637" s="39"/>
      <c r="IQ637" s="39"/>
      <c r="IR637" s="39"/>
      <c r="IS637" s="39"/>
      <c r="IT637" s="39"/>
      <c r="IU637" s="39"/>
      <c r="IV637" s="39"/>
      <c r="IW637" s="39"/>
      <c r="IX637" s="19">
        <f t="shared" si="2045"/>
        <v>1600</v>
      </c>
      <c r="IY637" s="19">
        <f t="shared" si="2045"/>
        <v>2503.549291639752</v>
      </c>
      <c r="IZ637" s="19">
        <f t="shared" si="2045"/>
        <v>5888.3563810918577</v>
      </c>
      <c r="JA637" s="19">
        <f t="shared" si="2046"/>
        <v>2750.0000000000005</v>
      </c>
      <c r="JB637" s="19">
        <f t="shared" si="2046"/>
        <v>3261.455476170016</v>
      </c>
      <c r="JC637" s="19">
        <f t="shared" si="2046"/>
        <v>6177.7299285989939</v>
      </c>
      <c r="JD637" s="19">
        <f t="shared" si="1981"/>
        <v>3859.6699456066171</v>
      </c>
      <c r="JE637" s="21"/>
      <c r="JF637" s="1">
        <f t="shared" si="1982"/>
        <v>6.8844376252282569E-2</v>
      </c>
      <c r="JG637" s="15">
        <f t="shared" si="1983"/>
        <v>7106</v>
      </c>
      <c r="JH637" s="1">
        <f t="shared" si="1984"/>
        <v>0.12087190614841553</v>
      </c>
      <c r="JI637" s="1">
        <f t="shared" si="1985"/>
        <v>3.5464148283136869E-2</v>
      </c>
      <c r="JJ637" s="1">
        <f t="shared" si="1962"/>
        <v>0</v>
      </c>
      <c r="JK637" s="1">
        <f t="shared" si="1963"/>
        <v>0.15633605443155241</v>
      </c>
      <c r="JL637" s="15">
        <f t="shared" si="2047"/>
        <v>1110.9240027906114</v>
      </c>
      <c r="JM637" s="15">
        <f t="shared" si="2047"/>
        <v>8216.9240027906108</v>
      </c>
      <c r="JN637" s="21"/>
      <c r="JO637" s="19">
        <f>INDEX([1]Input!$1:$1048576,JO$93,$C637*2+6)</f>
        <v>5995.5</v>
      </c>
      <c r="JP637" s="19">
        <f>INDEX([1]Input!$1:$1048576,JP$93,$C637*2+6)</f>
        <v>1716.3055838443925</v>
      </c>
      <c r="JQ637" s="39">
        <f t="shared" si="1995"/>
        <v>2135.8300543933829</v>
      </c>
      <c r="JR637" s="39">
        <f t="shared" si="1996"/>
        <v>2143.3643617622247</v>
      </c>
      <c r="JS637" s="39">
        <f t="shared" si="1997"/>
        <v>31.714614618904541</v>
      </c>
      <c r="JT637" s="39">
        <f t="shared" si="1987"/>
        <v>19.518547140106289</v>
      </c>
      <c r="JU637" s="385">
        <f>(JQ637*JM637-INDEX([1]Input!$1:$1048576,[1]Input!A$18,$C637*2+6)*JL637*INDEX([1]Input!$1:$1048576,[1]Input!A$19,$C637*2+6))/1000000</f>
        <v>17.549953239826564</v>
      </c>
      <c r="JV637" s="39">
        <f t="shared" si="1966"/>
        <v>-12.858002281375185</v>
      </c>
      <c r="JW637" s="1">
        <f t="shared" si="2000"/>
        <v>-0.42284994373955942</v>
      </c>
      <c r="JX637" s="19">
        <f t="shared" si="2001"/>
        <v>17569.651111215728</v>
      </c>
      <c r="JZ637" s="341"/>
      <c r="KA637" s="60"/>
      <c r="KB637" s="469">
        <f t="shared" si="1988"/>
        <v>0</v>
      </c>
      <c r="KI637" s="472"/>
      <c r="KJ637" s="472"/>
      <c r="KK637" s="472"/>
      <c r="KN637" s="888">
        <f t="shared" si="1989"/>
        <v>6002</v>
      </c>
      <c r="KO637" s="541">
        <f t="shared" si="1967"/>
        <v>7.5213485314302497E-2</v>
      </c>
      <c r="KP637" s="546">
        <f t="shared" si="1968"/>
        <v>415.60434977579587</v>
      </c>
      <c r="KQ637" s="546">
        <f t="shared" si="1969"/>
        <v>262.22145531669048</v>
      </c>
      <c r="KR637" s="472">
        <f t="shared" si="1970"/>
        <v>2.9132345576386913</v>
      </c>
      <c r="KS637" s="472">
        <f t="shared" si="1971"/>
        <v>4.6172917185954683</v>
      </c>
      <c r="KT637" s="473">
        <f t="shared" si="1998"/>
        <v>2521.945896759994</v>
      </c>
      <c r="KU637" s="663">
        <f t="shared" si="1990"/>
        <v>11.522945422048666</v>
      </c>
      <c r="KV637" s="117"/>
    </row>
    <row r="638" spans="1:308" s="26" customFormat="1" ht="15">
      <c r="A638" s="561">
        <f t="shared" si="1972"/>
        <v>6038</v>
      </c>
      <c r="B638" s="561">
        <f t="shared" si="1991"/>
        <v>38</v>
      </c>
      <c r="C638" s="561">
        <f t="shared" si="1992"/>
        <v>6</v>
      </c>
      <c r="D638" s="561" t="str">
        <f t="shared" si="2028"/>
        <v xml:space="preserve">1000 CC, 0/0/0.9/3.9, </v>
      </c>
      <c r="E638" s="475">
        <f>INDEX(Input!$1:$1048576,E$93,$C638*2+MIN($B638,2)+5)
+INDEX(Scenarios!E$121:E$199,MATCH($B638,Scenarios!$B$121:$B$199,0))</f>
        <v>2250</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8.9999999999999959E-3</v>
      </c>
      <c r="W638" s="863">
        <f>IFERROR(MAX(0,INDEX(Input!$1:$1048576,W$93,$C638*2+MIN($B638,2)+5)-0%,),"Market")</f>
        <v>3.9E-2</v>
      </c>
      <c r="X638" s="476" t="str">
        <f>INDEX(Input!$1:$1048576,X$93,$C638*2+MIN($B638,2)+5)</f>
        <v>Y</v>
      </c>
      <c r="Y638" s="475">
        <f>INDEX(Input!$1:$1048576,Y$93,$C638*2+MIN($B638,2)+5)
++INDEX(Scenarios!Y$121:Y$199,MATCH($B638,Scenarios!$B$121:$B$199,0))</f>
        <v>2339.3275155115825</v>
      </c>
      <c r="Z638" s="477">
        <f>INDEX(Input!$1:$1048576,Z$93,$C638*2+MIN($B638,2)+5)
+INDEX(Scenarios!Z$121:Z$199,MATCH($B638,Scenarios!$B$121:$B$199,0))</f>
        <v>0</v>
      </c>
      <c r="AA638" s="475">
        <f>INDEX(Input!$1:$1048576,AA$93,$C638*2+MIN($B638,2)+5)</f>
        <v>0</v>
      </c>
      <c r="AB638" s="476">
        <f>INDEX(Input!$1:$1048576,AB$93,$C638*2+MIN($B638,2)+5)</f>
        <v>1</v>
      </c>
      <c r="AC638" s="475">
        <f>INDEX(Input!$1:$1048576,AC$93,$C638*2+MIN($B638,2)+5)
+INDEX(Scenarios!AC$121:AC$199,MATCH($B638,Scenarios!$B$121:$B$199,0))</f>
        <v>0</v>
      </c>
      <c r="AD638" s="476">
        <f>INDEX(Input!$1:$1048576,AD$93,$C638*2+MIN($B638,2)+5)</f>
        <v>0.35</v>
      </c>
      <c r="AE638" s="475">
        <f>INDEX(Input!$1:$1048576,AE$93,$C638*2+MIN($B638,2)+5)
+INDEX(Scenarios!AE$121:AE$199,MATCH($B638,Scenarios!$B$121:$B$199,0))</f>
        <v>0</v>
      </c>
      <c r="AF638" s="476">
        <f>INDEX(Input!$1:$1048576,AF$93,$C638*2+MIN($B638,2)+5)</f>
        <v>1</v>
      </c>
      <c r="AG638" s="475">
        <f>INDEX(Input!$1:$1048576,AG$93,$C638*2+MIN($B638,2)+5)</f>
        <v>0</v>
      </c>
      <c r="AH638" s="476">
        <f>INDEX(Input!$1:$1048576,AH$93,$C638*2+MIN($B638,2)+5)</f>
        <v>1</v>
      </c>
      <c r="AI638" s="475">
        <f>INDEX(Input!$1:$1048576,AI$93,$C638*2+MIN($B638,2)+5)</f>
        <v>0</v>
      </c>
      <c r="AJ638" s="476">
        <f>INDEX(Input!$1:$1048576,AJ$93,$C638*2+MIN($B638,2)+5)</f>
        <v>0.35</v>
      </c>
      <c r="AK638" s="150">
        <f>ROUND(INDEX(Input!$1:$1048576,AK$93,$C637*2+MIN($B638,1)+5)+(Y638-VLOOKUP($C638*1000+1,$A:$HH,Y$92,FALSE)),0)</f>
        <v>5093</v>
      </c>
      <c r="AL638" s="150">
        <f>ROUND(INDEX(Input!$1:$1048576,AL$93,$C637*2+MIN($B638,1)+5)-(Y638-VLOOKUP($C638*1000+1,$A:$HH,Y$92,FALSE))/36,0)</f>
        <v>5217</v>
      </c>
      <c r="AM638" s="32" t="str">
        <f t="shared" si="1973"/>
        <v>std/std/std/std</v>
      </c>
      <c r="AN638" s="32" t="str">
        <f t="shared" si="1974"/>
        <v>$0 + 0/0/0/0.9/3.9</v>
      </c>
      <c r="AO638" s="32" t="str">
        <f t="shared" si="1975"/>
        <v>0/0/0/0.9/3.9</v>
      </c>
      <c r="AP638" s="32" t="str">
        <f t="shared" si="1939"/>
        <v>0/0/0.9/3.9</v>
      </c>
      <c r="AQ638" s="536">
        <f t="shared" si="1940"/>
        <v>0.38924402691166493</v>
      </c>
      <c r="AR638" s="32"/>
      <c r="AS638" s="302"/>
      <c r="AT638" s="3">
        <f t="shared" si="1993"/>
        <v>38</v>
      </c>
      <c r="AU638" s="41" t="s">
        <v>121</v>
      </c>
      <c r="AV638" s="41" t="s">
        <v>116</v>
      </c>
      <c r="AW638" s="41" t="str">
        <f>INDEX(Input!$1:$1048576,AW$93,$C638*2+6)</f>
        <v>Kia</v>
      </c>
      <c r="AX638" s="41" t="str">
        <f>INDEX(Input!$1:$1048576,AX$93,$C638*2+6)</f>
        <v>National</v>
      </c>
      <c r="AY638" s="41" t="str">
        <f>IF(LEN(D638)=0,"",INDEX(Input!$1:$1048576,AY$93,$C638*2+6))</f>
        <v>Compact Conventional/Sporty Car (43)</v>
      </c>
      <c r="AZ638" s="41" t="str">
        <f>INDEX(Input!$1:$1048576,AZ$93,$C638*2+6)</f>
        <v>Kia Forte</v>
      </c>
      <c r="BA638" s="3">
        <f>INDEX(Input!$1:$1048576,BA$93,$C638*2+6)</f>
        <v>2020</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19695</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941"/>
        <v>2465</v>
      </c>
      <c r="CJ638" s="16" t="str">
        <f>INDEX(Input!$1:$1048576,CJ$93,$C638*2+6)</f>
        <v>N</v>
      </c>
      <c r="CK638" s="1" t="str">
        <f t="shared" si="1942"/>
        <v>Market</v>
      </c>
      <c r="CL638" s="1" t="str">
        <f t="shared" si="1943"/>
        <v>Market</v>
      </c>
      <c r="CM638" s="1" t="str">
        <f t="shared" si="1944"/>
        <v>Market</v>
      </c>
      <c r="CN638" s="1" t="str">
        <f t="shared" si="1945"/>
        <v>Market</v>
      </c>
      <c r="CO638" s="1" t="str">
        <f t="shared" si="1946"/>
        <v>Market</v>
      </c>
      <c r="CP638" s="304">
        <f t="shared" si="1947"/>
        <v>0</v>
      </c>
      <c r="CQ638" s="1">
        <f t="shared" si="1948"/>
        <v>0</v>
      </c>
      <c r="CR638" s="1">
        <f t="shared" si="1949"/>
        <v>0</v>
      </c>
      <c r="CS638" s="1">
        <f t="shared" si="1950"/>
        <v>0</v>
      </c>
      <c r="CT638" s="1">
        <f t="shared" si="1951"/>
        <v>8.9999999999999959E-3</v>
      </c>
      <c r="CU638" s="1">
        <f t="shared" si="1952"/>
        <v>3.9E-2</v>
      </c>
      <c r="CV638" s="304">
        <f t="shared" si="2013"/>
        <v>2339.3275155115825</v>
      </c>
      <c r="CW638" s="20" t="s">
        <v>122</v>
      </c>
      <c r="CX638" s="20" t="s">
        <v>122</v>
      </c>
      <c r="CY638" s="20" t="s">
        <v>122</v>
      </c>
      <c r="CZ638" s="20" t="s">
        <v>122</v>
      </c>
      <c r="DA638" s="20" t="s">
        <v>122</v>
      </c>
      <c r="DB638" s="503">
        <f t="shared" si="2014"/>
        <v>0</v>
      </c>
      <c r="DC638" s="127">
        <v>0</v>
      </c>
      <c r="DD638" s="127">
        <v>0</v>
      </c>
      <c r="DE638" s="127">
        <v>0</v>
      </c>
      <c r="DF638" s="127">
        <v>0</v>
      </c>
      <c r="DG638" s="127">
        <v>0</v>
      </c>
      <c r="DH638" s="127">
        <v>0</v>
      </c>
      <c r="DI638" s="127">
        <v>0</v>
      </c>
      <c r="DJ638" s="127">
        <v>0</v>
      </c>
      <c r="DK638" s="127">
        <v>0</v>
      </c>
      <c r="DL638" s="127">
        <v>0</v>
      </c>
      <c r="DM638" s="304">
        <f>INDEX(Input!$1:$1048576,DM$93,$C638*2+6)</f>
        <v>20731.578947368424</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v>5.2566925900299537E-2</v>
      </c>
      <c r="DZ638" s="7">
        <v>0</v>
      </c>
      <c r="EA638" s="7">
        <v>0.82659263137819572</v>
      </c>
      <c r="EB638" s="7">
        <v>0</v>
      </c>
      <c r="EC638" s="7">
        <v>0</v>
      </c>
      <c r="ED638" s="7">
        <v>0</v>
      </c>
      <c r="EE638" s="7">
        <v>0</v>
      </c>
      <c r="EF638" s="7">
        <v>0</v>
      </c>
      <c r="EG638" s="7">
        <v>0</v>
      </c>
      <c r="EH638" s="7">
        <v>2.4211130211515362E-2</v>
      </c>
      <c r="EI638" s="7">
        <v>1.5802003892059029E-2</v>
      </c>
      <c r="EJ638" s="7">
        <v>0.2484651978121856</v>
      </c>
      <c r="EK638" s="7">
        <v>0.71152166808424033</v>
      </c>
      <c r="EL638" s="7">
        <v>0</v>
      </c>
      <c r="EM638" s="7">
        <v>2.1546374079195508E-2</v>
      </c>
      <c r="EN638" s="7">
        <v>3.6721613508196693E-2</v>
      </c>
      <c r="EO638" s="7">
        <v>0.38232798753582459</v>
      </c>
      <c r="EP638" s="7">
        <v>0.4824721879520526</v>
      </c>
      <c r="EQ638" s="7">
        <v>7.4721722385585179E-2</v>
      </c>
      <c r="ER638" s="7">
        <v>2.3756488618340569E-2</v>
      </c>
      <c r="ES638" s="7">
        <v>9.929406864230915E-2</v>
      </c>
      <c r="ET638" s="7">
        <v>0.12084044272150467</v>
      </c>
      <c r="EU638" s="6">
        <v>1750</v>
      </c>
      <c r="EV638" s="6">
        <v>0</v>
      </c>
      <c r="EW638" s="6">
        <v>1750</v>
      </c>
      <c r="EX638" s="6">
        <v>0</v>
      </c>
      <c r="EY638" s="6">
        <v>1809.7754917765801</v>
      </c>
      <c r="EZ638" s="6">
        <v>-1554.2676731795959</v>
      </c>
      <c r="FA638" s="6">
        <v>0</v>
      </c>
      <c r="FB638" s="6">
        <v>0</v>
      </c>
      <c r="FC638" s="6">
        <v>0</v>
      </c>
      <c r="FD638" s="6">
        <v>0</v>
      </c>
      <c r="FE638" s="6">
        <v>0</v>
      </c>
      <c r="FF638" s="6">
        <v>0</v>
      </c>
      <c r="FG638" s="6">
        <v>0</v>
      </c>
      <c r="FH638" s="6">
        <v>1158.6547090747272</v>
      </c>
      <c r="FI638" s="6">
        <v>1531.4299904380621</v>
      </c>
      <c r="FJ638" s="6">
        <v>2070.7205842538228</v>
      </c>
      <c r="FK638" s="6">
        <v>1746.9903521590443</v>
      </c>
      <c r="FL638" s="6">
        <v>0</v>
      </c>
      <c r="FM638" s="6">
        <v>1809.7754917765801</v>
      </c>
      <c r="FN638" s="6">
        <v>0</v>
      </c>
      <c r="FO638" s="6">
        <v>0</v>
      </c>
      <c r="FP638" s="6">
        <v>0</v>
      </c>
      <c r="FQ638" s="6">
        <v>0</v>
      </c>
      <c r="FR638" s="6">
        <v>0</v>
      </c>
      <c r="FS638" s="6">
        <v>0</v>
      </c>
      <c r="FT638" s="7">
        <v>0.87915955727849526</v>
      </c>
      <c r="FU638" s="7">
        <v>2.1546374079195508E-2</v>
      </c>
      <c r="FV638" s="7">
        <v>9.929406864230915E-2</v>
      </c>
      <c r="FW638" s="6">
        <v>1750</v>
      </c>
      <c r="FX638" s="6">
        <v>1809.7754917765801</v>
      </c>
      <c r="FY638" s="6">
        <v>-1554.2676731795959</v>
      </c>
      <c r="FZ638" s="6">
        <v>1676.0854837363124</v>
      </c>
      <c r="GA638" s="6">
        <v>1423.193763953328</v>
      </c>
      <c r="GB638" s="6">
        <v>18271.806236046672</v>
      </c>
      <c r="GC638" s="7">
        <v>6.4493561548621597E-2</v>
      </c>
      <c r="GD638" s="7">
        <v>6.3977494459151157E-2</v>
      </c>
      <c r="GE638" s="7"/>
      <c r="GF638" s="7"/>
      <c r="GG638" s="7">
        <v>-8.001838898001901E-3</v>
      </c>
      <c r="GH638" s="42">
        <v>0.6231766592887521</v>
      </c>
      <c r="GI638" s="6">
        <v>33027.39412421461</v>
      </c>
      <c r="GJ638" s="14">
        <v>0.51596255589662332</v>
      </c>
      <c r="GK638" s="14">
        <v>0.51419567426615942</v>
      </c>
      <c r="GL638" s="14">
        <v>0.48403744410337679</v>
      </c>
      <c r="GM638" s="14">
        <v>0.48580432573384058</v>
      </c>
      <c r="GO638" s="5">
        <v>338.16872463277008</v>
      </c>
      <c r="GP638" s="5">
        <v>304.78206315030991</v>
      </c>
      <c r="GQ638" s="5">
        <v>527.27910984145694</v>
      </c>
      <c r="GR638" s="5">
        <v>404.20319246551543</v>
      </c>
      <c r="GS638" s="5">
        <v>334.50205195691484</v>
      </c>
      <c r="GT638" s="5">
        <v>289.18266033348181</v>
      </c>
      <c r="GU638" s="5">
        <v>254.29573314828914</v>
      </c>
      <c r="GV638" s="39" t="s">
        <v>392</v>
      </c>
      <c r="GW638" s="5">
        <v>492.375</v>
      </c>
      <c r="GX638" s="5">
        <v>369.28125</v>
      </c>
      <c r="GY638" s="5">
        <v>295.42500000000001</v>
      </c>
      <c r="GZ638" s="5">
        <v>260.68138716125202</v>
      </c>
      <c r="HA638" s="5">
        <v>254.29573314828914</v>
      </c>
      <c r="HB638" s="39">
        <v>276.63962548281194</v>
      </c>
      <c r="HC638" s="5">
        <v>351.11483570160732</v>
      </c>
      <c r="HD638" s="5">
        <v>282.73776275539944</v>
      </c>
      <c r="HE638" s="5">
        <v>280.55735780820959</v>
      </c>
      <c r="HF638" s="5">
        <v>253.64561428438338</v>
      </c>
      <c r="HG638" s="5">
        <v>237.36506461313525</v>
      </c>
      <c r="HH638" s="39">
        <v>280.94498302680802</v>
      </c>
      <c r="HI638" s="16"/>
      <c r="HJ638" s="19" t="str">
        <f t="shared" ref="HJ638:HK638" si="2051">HJ637</f>
        <v>On</v>
      </c>
      <c r="HK638" s="1" t="str">
        <f t="shared" si="2051"/>
        <v>On</v>
      </c>
      <c r="HL638" s="16"/>
      <c r="HM638" s="639">
        <f t="shared" si="2044"/>
        <v>4.9686942767030826E-2</v>
      </c>
      <c r="HN638" s="639">
        <f t="shared" si="2044"/>
        <v>2.6112822013589915E-3</v>
      </c>
      <c r="HO638" s="639">
        <f t="shared" si="2044"/>
        <v>3.166115353075552E-2</v>
      </c>
      <c r="HP638" s="644">
        <f t="shared" si="2042"/>
        <v>1087.5246859076085</v>
      </c>
      <c r="HQ638" s="644">
        <f t="shared" si="2042"/>
        <v>83.045630181566906</v>
      </c>
      <c r="HR638" s="644">
        <f t="shared" si="2042"/>
        <v>-140.94786586455581</v>
      </c>
      <c r="HS638" s="644">
        <f t="shared" si="2042"/>
        <v>-226.29117976550967</v>
      </c>
      <c r="HT638" s="644">
        <f t="shared" si="2042"/>
        <v>313.94866312766931</v>
      </c>
      <c r="HU638" s="644">
        <f t="shared" si="2042"/>
        <v>124.26885713488444</v>
      </c>
      <c r="HV638" s="644">
        <f t="shared" si="2042"/>
        <v>0</v>
      </c>
      <c r="HW638" s="644">
        <f t="shared" si="2042"/>
        <v>0</v>
      </c>
      <c r="HX638" s="644">
        <f t="shared" si="2042"/>
        <v>0</v>
      </c>
      <c r="HY638" s="644">
        <f t="shared" si="2042"/>
        <v>2388</v>
      </c>
      <c r="HZ638" s="644">
        <f t="shared" si="2042"/>
        <v>2518</v>
      </c>
      <c r="IA638" s="644">
        <f t="shared" si="2042"/>
        <v>2200</v>
      </c>
      <c r="IB638" s="644">
        <f t="shared" si="2042"/>
        <v>3249.233506142099</v>
      </c>
      <c r="IC638" s="644">
        <f t="shared" si="2042"/>
        <v>2914.9942933092361</v>
      </c>
      <c r="ID638" s="644">
        <f t="shared" si="2042"/>
        <v>2183.3209912703287</v>
      </c>
      <c r="IE638" s="20">
        <f t="shared" si="1977"/>
        <v>0.38924402691166493</v>
      </c>
      <c r="IF638" s="20">
        <f t="shared" si="1956"/>
        <v>0.34920362448785747</v>
      </c>
      <c r="IG638" s="20">
        <f t="shared" si="1957"/>
        <v>0.26155234860047771</v>
      </c>
      <c r="IH638" s="21"/>
      <c r="II638" s="19"/>
      <c r="IJ638" s="19"/>
      <c r="IK638" s="19"/>
      <c r="IL638" s="19">
        <f t="shared" si="1978"/>
        <v>1400</v>
      </c>
      <c r="IM638" s="19">
        <f t="shared" si="1978"/>
        <v>757.93855469984828</v>
      </c>
      <c r="IN638" s="19">
        <f t="shared" si="1978"/>
        <v>290.88237972739716</v>
      </c>
      <c r="IO638" s="39"/>
      <c r="IP638" s="39"/>
      <c r="IQ638" s="39"/>
      <c r="IR638" s="39"/>
      <c r="IS638" s="39"/>
      <c r="IT638" s="39"/>
      <c r="IU638" s="39"/>
      <c r="IV638" s="39"/>
      <c r="IW638" s="39"/>
      <c r="IX638" s="19">
        <f t="shared" si="2045"/>
        <v>1600</v>
      </c>
      <c r="IY638" s="19">
        <f t="shared" si="2045"/>
        <v>2503.549291639752</v>
      </c>
      <c r="IZ638" s="19">
        <f t="shared" si="2045"/>
        <v>5888.3563810918577</v>
      </c>
      <c r="JA638" s="19">
        <f t="shared" si="2046"/>
        <v>3000</v>
      </c>
      <c r="JB638" s="19">
        <f t="shared" si="2046"/>
        <v>3261.4878463396003</v>
      </c>
      <c r="JC638" s="19">
        <f t="shared" si="2046"/>
        <v>6179.2387608192548</v>
      </c>
      <c r="JD638" s="19">
        <f t="shared" si="1981"/>
        <v>3922.8498683552607</v>
      </c>
      <c r="JE638" s="21"/>
      <c r="JF638" s="1">
        <f t="shared" si="1982"/>
        <v>6.8844376252282569E-2</v>
      </c>
      <c r="JG638" s="15">
        <f t="shared" si="1983"/>
        <v>7106</v>
      </c>
      <c r="JH638" s="1">
        <f t="shared" si="1984"/>
        <v>0.14489480020048123</v>
      </c>
      <c r="JI638" s="1">
        <f t="shared" si="1985"/>
        <v>2.9823577328601754E-2</v>
      </c>
      <c r="JJ638" s="1">
        <f t="shared" si="1962"/>
        <v>0</v>
      </c>
      <c r="JK638" s="1">
        <f t="shared" si="1963"/>
        <v>0.17471837752908298</v>
      </c>
      <c r="JL638" s="15">
        <f t="shared" si="2047"/>
        <v>1241.5487907216636</v>
      </c>
      <c r="JM638" s="15">
        <f t="shared" si="2047"/>
        <v>8347.548790721663</v>
      </c>
      <c r="JN638" s="21"/>
      <c r="JO638" s="19">
        <f>INDEX([1]Input!$1:$1048576,JO$93,$C638*2+6)</f>
        <v>5995.5</v>
      </c>
      <c r="JP638" s="19">
        <f>INDEX([1]Input!$1:$1048576,JP$93,$C638*2+6)</f>
        <v>1716.3055838443925</v>
      </c>
      <c r="JQ638" s="39">
        <f t="shared" si="1995"/>
        <v>2072.6501316447393</v>
      </c>
      <c r="JR638" s="39">
        <f t="shared" si="1996"/>
        <v>2206.5442845108682</v>
      </c>
      <c r="JS638" s="39">
        <f t="shared" si="1997"/>
        <v>32.746180674771594</v>
      </c>
      <c r="JT638" s="39">
        <f t="shared" si="1987"/>
        <v>20.550113195973335</v>
      </c>
      <c r="JU638" s="385">
        <f>(JQ638*JM638-INDEX([1]Input!$1:$1048576,[1]Input!A$18,$C638*2+6)*JL638*INDEX([1]Input!$1:$1048576,[1]Input!A$19,$C638*2+6))/1000000</f>
        <v>17.30154810000014</v>
      </c>
      <c r="JV638" s="39">
        <f t="shared" si="1966"/>
        <v>-13.10640742120161</v>
      </c>
      <c r="JW638" s="1">
        <f t="shared" si="2000"/>
        <v>-0.4310190276377921</v>
      </c>
      <c r="JX638" s="19">
        <f t="shared" si="2001"/>
        <v>16551.998076554333</v>
      </c>
      <c r="JZ638" s="341"/>
      <c r="KA638" s="60"/>
      <c r="KB638" s="469">
        <f t="shared" si="1988"/>
        <v>0</v>
      </c>
      <c r="KI638" s="472"/>
      <c r="KJ638" s="472"/>
      <c r="KK638" s="472"/>
      <c r="KN638" s="888">
        <f t="shared" si="1989"/>
        <v>6002</v>
      </c>
      <c r="KO638" s="541">
        <f t="shared" si="1967"/>
        <v>9.2306199504197606E-2</v>
      </c>
      <c r="KP638" s="546">
        <f t="shared" si="1968"/>
        <v>522.84376337177002</v>
      </c>
      <c r="KQ638" s="546">
        <f t="shared" si="1969"/>
        <v>325.40137806533403</v>
      </c>
      <c r="KR638" s="472">
        <f t="shared" si="1970"/>
        <v>2.8419652394855817</v>
      </c>
      <c r="KS638" s="472">
        <f t="shared" si="1971"/>
        <v>4.5663721832365924</v>
      </c>
      <c r="KT638" s="473">
        <f t="shared" si="1998"/>
        <v>2521.945896759994</v>
      </c>
      <c r="KU638" s="663">
        <f t="shared" si="1990"/>
        <v>11.597405235960018</v>
      </c>
      <c r="KV638" s="117"/>
    </row>
    <row r="639" spans="1:308" s="26" customFormat="1" ht="15">
      <c r="A639" s="561">
        <f t="shared" si="1972"/>
        <v>6039</v>
      </c>
      <c r="B639" s="561">
        <f t="shared" si="1991"/>
        <v>39</v>
      </c>
      <c r="C639" s="561">
        <f t="shared" si="1992"/>
        <v>6</v>
      </c>
      <c r="D639" s="561" t="str">
        <f t="shared" si="2028"/>
        <v xml:space="preserve">250 CC, 360 Lease, </v>
      </c>
      <c r="E639" s="475">
        <f>INDEX(Input!$1:$1048576,E$93,$C639*2+MIN($B639,2)+5)
+INDEX(Scenarios!E$121:E$199,MATCH($B639,Scenarios!$B$121:$B$199,0))</f>
        <v>1500.0000000000002</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1.8999999999999996E-2</v>
      </c>
      <c r="W639" s="863">
        <f>IFERROR(MAX(0,INDEX(Input!$1:$1048576,W$93,$C639*2+MIN($B639,2)+5)-0%,),"Market")</f>
        <v>3.9E-2</v>
      </c>
      <c r="X639" s="476" t="str">
        <f>INDEX(Input!$1:$1048576,X$93,$C639*2+MIN($B639,2)+5)</f>
        <v>Y</v>
      </c>
      <c r="Y639" s="475">
        <f>INDEX(Input!$1:$1048576,Y$93,$C639*2+MIN($B639,2)+5)
++INDEX(Scenarios!Y$121:Y$199,MATCH($B639,Scenarios!$B$121:$B$199,0))</f>
        <v>2699.3275155115825</v>
      </c>
      <c r="Z639" s="477">
        <f>INDEX(Input!$1:$1048576,Z$93,$C639*2+MIN($B639,2)+5)
+INDEX(Scenarios!Z$121:Z$199,MATCH($B639,Scenarios!$B$121:$B$199,0))</f>
        <v>0</v>
      </c>
      <c r="AA639" s="475">
        <f>INDEX(Input!$1:$1048576,AA$93,$C639*2+MIN($B639,2)+5)</f>
        <v>0</v>
      </c>
      <c r="AB639" s="476">
        <f>INDEX(Input!$1:$1048576,AB$93,$C639*2+MIN($B639,2)+5)</f>
        <v>1</v>
      </c>
      <c r="AC639" s="475">
        <f>INDEX(Input!$1:$1048576,AC$93,$C639*2+MIN($B639,2)+5)
+INDEX(Scenarios!AC$121:AC$199,MATCH($B639,Scenarios!$B$121:$B$199,0))</f>
        <v>0</v>
      </c>
      <c r="AD639" s="476">
        <f>INDEX(Input!$1:$1048576,AD$93,$C639*2+MIN($B639,2)+5)</f>
        <v>0.35</v>
      </c>
      <c r="AE639" s="475">
        <f>INDEX(Input!$1:$1048576,AE$93,$C639*2+MIN($B639,2)+5)
+INDEX(Scenarios!AE$121:AE$199,MATCH($B639,Scenarios!$B$121:$B$199,0))</f>
        <v>0</v>
      </c>
      <c r="AF639" s="476">
        <f>INDEX(Input!$1:$1048576,AF$93,$C639*2+MIN($B639,2)+5)</f>
        <v>1</v>
      </c>
      <c r="AG639" s="475">
        <f>INDEX(Input!$1:$1048576,AG$93,$C639*2+MIN($B639,2)+5)</f>
        <v>0</v>
      </c>
      <c r="AH639" s="476">
        <f>INDEX(Input!$1:$1048576,AH$93,$C639*2+MIN($B639,2)+5)</f>
        <v>1</v>
      </c>
      <c r="AI639" s="475">
        <f>INDEX(Input!$1:$1048576,AI$93,$C639*2+MIN($B639,2)+5)</f>
        <v>0</v>
      </c>
      <c r="AJ639" s="476">
        <f>INDEX(Input!$1:$1048576,AJ$93,$C639*2+MIN($B639,2)+5)</f>
        <v>0.35</v>
      </c>
      <c r="AK639" s="150">
        <f>ROUND(INDEX(Input!$1:$1048576,AK$93,$C638*2+MIN($B639,1)+5)+(Y639-VLOOKUP($C639*1000+1,$A:$HH,Y$92,FALSE)),0)</f>
        <v>5453</v>
      </c>
      <c r="AL639" s="150">
        <f>ROUND(INDEX(Input!$1:$1048576,AL$93,$C638*2+MIN($B639,1)+5)-(Y639-VLOOKUP($C639*1000+1,$A:$HH,Y$92,FALSE))/36,0)</f>
        <v>5207</v>
      </c>
      <c r="AM639" s="32" t="str">
        <f t="shared" si="1973"/>
        <v>std/std/std/std</v>
      </c>
      <c r="AN639" s="32" t="str">
        <f t="shared" si="1974"/>
        <v>$0 + 0/0/0/1.9/3.9</v>
      </c>
      <c r="AO639" s="32" t="str">
        <f t="shared" si="1975"/>
        <v>0/0/0/1.9/3.9</v>
      </c>
      <c r="AP639" s="32" t="str">
        <f t="shared" si="1939"/>
        <v>0/0.9/1.9/3.9</v>
      </c>
      <c r="AQ639" s="536">
        <f t="shared" si="1940"/>
        <v>0.33508275189308484</v>
      </c>
      <c r="AR639" s="32"/>
      <c r="AS639" s="302"/>
      <c r="AT639" s="3">
        <f t="shared" si="1993"/>
        <v>39</v>
      </c>
      <c r="AU639" s="41" t="s">
        <v>121</v>
      </c>
      <c r="AV639" s="41" t="s">
        <v>116</v>
      </c>
      <c r="AW639" s="41" t="str">
        <f>INDEX(Input!$1:$1048576,AW$93,$C639*2+6)</f>
        <v>Kia</v>
      </c>
      <c r="AX639" s="41" t="str">
        <f>INDEX(Input!$1:$1048576,AX$93,$C639*2+6)</f>
        <v>National</v>
      </c>
      <c r="AY639" s="41" t="str">
        <f>IF(LEN(D639)=0,"",INDEX(Input!$1:$1048576,AY$93,$C639*2+6))</f>
        <v>Compact Conventional/Sporty Car (43)</v>
      </c>
      <c r="AZ639" s="41" t="str">
        <f>INDEX(Input!$1:$1048576,AZ$93,$C639*2+6)</f>
        <v>Kia Forte</v>
      </c>
      <c r="BA639" s="3">
        <f>INDEX(Input!$1:$1048576,BA$93,$C639*2+6)</f>
        <v>2020</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19695</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941"/>
        <v>1715.0000000000002</v>
      </c>
      <c r="CJ639" s="16" t="str">
        <f>INDEX(Input!$1:$1048576,CJ$93,$C639*2+6)</f>
        <v>N</v>
      </c>
      <c r="CK639" s="1" t="str">
        <f t="shared" si="1942"/>
        <v>Market</v>
      </c>
      <c r="CL639" s="1" t="str">
        <f t="shared" si="1943"/>
        <v>Market</v>
      </c>
      <c r="CM639" s="1" t="str">
        <f t="shared" si="1944"/>
        <v>Market</v>
      </c>
      <c r="CN639" s="1" t="str">
        <f t="shared" si="1945"/>
        <v>Market</v>
      </c>
      <c r="CO639" s="1" t="str">
        <f t="shared" si="1946"/>
        <v>Market</v>
      </c>
      <c r="CP639" s="304">
        <f t="shared" si="1947"/>
        <v>0</v>
      </c>
      <c r="CQ639" s="1">
        <f t="shared" si="1948"/>
        <v>0</v>
      </c>
      <c r="CR639" s="1">
        <f t="shared" si="1949"/>
        <v>0</v>
      </c>
      <c r="CS639" s="1">
        <f t="shared" si="1950"/>
        <v>0</v>
      </c>
      <c r="CT639" s="1">
        <f t="shared" si="1951"/>
        <v>1.8999999999999996E-2</v>
      </c>
      <c r="CU639" s="1">
        <f t="shared" si="1952"/>
        <v>3.9E-2</v>
      </c>
      <c r="CV639" s="304">
        <f t="shared" si="2013"/>
        <v>2699.3275155115825</v>
      </c>
      <c r="CW639" s="20" t="s">
        <v>122</v>
      </c>
      <c r="CX639" s="20" t="s">
        <v>122</v>
      </c>
      <c r="CY639" s="20" t="s">
        <v>122</v>
      </c>
      <c r="CZ639" s="20" t="s">
        <v>122</v>
      </c>
      <c r="DA639" s="20" t="s">
        <v>122</v>
      </c>
      <c r="DB639" s="503">
        <f t="shared" si="2014"/>
        <v>0</v>
      </c>
      <c r="DC639" s="127">
        <v>0</v>
      </c>
      <c r="DD639" s="127">
        <v>0</v>
      </c>
      <c r="DE639" s="127">
        <v>0</v>
      </c>
      <c r="DF639" s="127">
        <v>0</v>
      </c>
      <c r="DG639" s="127">
        <v>0</v>
      </c>
      <c r="DH639" s="127">
        <v>0</v>
      </c>
      <c r="DI639" s="127">
        <v>0</v>
      </c>
      <c r="DJ639" s="127">
        <v>0</v>
      </c>
      <c r="DK639" s="127">
        <v>0</v>
      </c>
      <c r="DL639" s="127">
        <v>0</v>
      </c>
      <c r="DM639" s="304">
        <f>INDEX(Input!$1:$1048576,DM$93,$C639*2+6)</f>
        <v>20731.578947368424</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v>4.9741517580678726E-2</v>
      </c>
      <c r="DZ639" s="7">
        <v>0</v>
      </c>
      <c r="EA639" s="7">
        <v>0.78181883355517945</v>
      </c>
      <c r="EB639" s="7">
        <v>0</v>
      </c>
      <c r="EC639" s="7">
        <v>0</v>
      </c>
      <c r="ED639" s="7">
        <v>0</v>
      </c>
      <c r="EE639" s="7">
        <v>0</v>
      </c>
      <c r="EF639" s="7">
        <v>0</v>
      </c>
      <c r="EG639" s="7">
        <v>0</v>
      </c>
      <c r="EH639" s="7">
        <v>2.9734890786982569E-2</v>
      </c>
      <c r="EI639" s="7">
        <v>1.9434038378864826E-2</v>
      </c>
      <c r="EJ639" s="7">
        <v>0.26168791584055295</v>
      </c>
      <c r="EK639" s="7">
        <v>0.68914315499359957</v>
      </c>
      <c r="EL639" s="7">
        <v>0</v>
      </c>
      <c r="EM639" s="7">
        <v>2.3154658365155803E-2</v>
      </c>
      <c r="EN639" s="7">
        <v>3.6313280084576717E-2</v>
      </c>
      <c r="EO639" s="7">
        <v>0.38490637618511203</v>
      </c>
      <c r="EP639" s="7">
        <v>0.48115738401032349</v>
      </c>
      <c r="EQ639" s="7">
        <v>7.419956506468485E-2</v>
      </c>
      <c r="ER639" s="7">
        <v>2.3423394655302788E-2</v>
      </c>
      <c r="ES639" s="7">
        <v>0.14528499049898611</v>
      </c>
      <c r="ET639" s="7">
        <v>0.16843964886414178</v>
      </c>
      <c r="EU639" s="6">
        <v>1000</v>
      </c>
      <c r="EV639" s="6">
        <v>0</v>
      </c>
      <c r="EW639" s="6">
        <v>1000</v>
      </c>
      <c r="EX639" s="6">
        <v>0</v>
      </c>
      <c r="EY639" s="6">
        <v>1384.3714211335432</v>
      </c>
      <c r="EZ639" s="6">
        <v>-1194.2676731795959</v>
      </c>
      <c r="FA639" s="6">
        <v>0</v>
      </c>
      <c r="FB639" s="6">
        <v>0</v>
      </c>
      <c r="FC639" s="6">
        <v>0</v>
      </c>
      <c r="FD639" s="6">
        <v>0</v>
      </c>
      <c r="FE639" s="6">
        <v>0</v>
      </c>
      <c r="FF639" s="6">
        <v>0</v>
      </c>
      <c r="FG639" s="6">
        <v>0</v>
      </c>
      <c r="FH639" s="6">
        <v>1158.6204636680179</v>
      </c>
      <c r="FI639" s="6">
        <v>1531.4299904380623</v>
      </c>
      <c r="FJ639" s="6">
        <v>1709.9775738488468</v>
      </c>
      <c r="FK639" s="6">
        <v>1266.3227157028191</v>
      </c>
      <c r="FL639" s="6">
        <v>0</v>
      </c>
      <c r="FM639" s="6">
        <v>1384.3714211335432</v>
      </c>
      <c r="FN639" s="6">
        <v>0</v>
      </c>
      <c r="FO639" s="6">
        <v>0</v>
      </c>
      <c r="FP639" s="6">
        <v>0</v>
      </c>
      <c r="FQ639" s="6">
        <v>0</v>
      </c>
      <c r="FR639" s="6">
        <v>0</v>
      </c>
      <c r="FS639" s="6">
        <v>0</v>
      </c>
      <c r="FT639" s="7">
        <v>0.83156035113585813</v>
      </c>
      <c r="FU639" s="7">
        <v>2.3154658365155803E-2</v>
      </c>
      <c r="FV639" s="7">
        <v>0.14528499049898611</v>
      </c>
      <c r="FW639" s="6">
        <v>1000.0000000000001</v>
      </c>
      <c r="FX639" s="6">
        <v>1384.3714211335432</v>
      </c>
      <c r="FY639" s="6">
        <v>-1194.2676731795959</v>
      </c>
      <c r="FZ639" s="6">
        <v>1676.0854837363124</v>
      </c>
      <c r="GA639" s="6">
        <v>690.10583089154682</v>
      </c>
      <c r="GB639" s="6">
        <v>19004.894169108455</v>
      </c>
      <c r="GC639" s="7">
        <v>6.4493561548621597E-2</v>
      </c>
      <c r="GD639" s="7">
        <v>5.5839975987856887E-2</v>
      </c>
      <c r="GE639" s="7"/>
      <c r="GF639" s="7"/>
      <c r="GG639" s="7">
        <v>-0.13417751094798488</v>
      </c>
      <c r="GH639" s="42">
        <v>2.6802034610917294</v>
      </c>
      <c r="GI639" s="6">
        <v>8038.4285556064915</v>
      </c>
      <c r="GJ639" s="14">
        <v>0.51596255589662321</v>
      </c>
      <c r="GK639" s="14">
        <v>0.51419567426615975</v>
      </c>
      <c r="GL639" s="14">
        <v>0.48403744410337673</v>
      </c>
      <c r="GM639" s="14">
        <v>0.48580432573384041</v>
      </c>
      <c r="GO639" s="5">
        <v>338.16872463277008</v>
      </c>
      <c r="GP639" s="5">
        <v>319.09063235707856</v>
      </c>
      <c r="GQ639" s="5">
        <v>527.27910984145694</v>
      </c>
      <c r="GR639" s="5">
        <v>404.20319246551543</v>
      </c>
      <c r="GS639" s="5">
        <v>334.50205195691484</v>
      </c>
      <c r="GT639" s="5">
        <v>289.18266033348181</v>
      </c>
      <c r="GU639" s="5">
        <v>254.29573314828914</v>
      </c>
      <c r="GV639" s="39" t="s">
        <v>392</v>
      </c>
      <c r="GW639" s="5">
        <v>492.375</v>
      </c>
      <c r="GX639" s="5">
        <v>369.28125</v>
      </c>
      <c r="GY639" s="5">
        <v>302.23266563481752</v>
      </c>
      <c r="GZ639" s="5">
        <v>268.52323906086701</v>
      </c>
      <c r="HA639" s="5">
        <v>254.29573314828914</v>
      </c>
      <c r="HB639" s="39">
        <v>285.95893136075233</v>
      </c>
      <c r="HC639" s="5">
        <v>335.36483570160732</v>
      </c>
      <c r="HD639" s="5">
        <v>271.98776275539944</v>
      </c>
      <c r="HE639" s="5">
        <v>270.57658857744036</v>
      </c>
      <c r="HF639" s="5">
        <v>245.3206142843834</v>
      </c>
      <c r="HG639" s="5">
        <v>230.46506461313521</v>
      </c>
      <c r="HH639" s="39">
        <v>270.65890191658195</v>
      </c>
      <c r="HI639" s="16"/>
      <c r="HJ639" s="19" t="str">
        <f t="shared" ref="HJ639:HK639" si="2052">HJ638</f>
        <v>On</v>
      </c>
      <c r="HK639" s="1" t="str">
        <f t="shared" si="2052"/>
        <v>On</v>
      </c>
      <c r="HL639" s="16"/>
      <c r="HM639" s="639">
        <f t="shared" si="2044"/>
        <v>4.9686942767030826E-2</v>
      </c>
      <c r="HN639" s="639">
        <f t="shared" si="2044"/>
        <v>2.6112822013589915E-3</v>
      </c>
      <c r="HO639" s="639">
        <f t="shared" si="2044"/>
        <v>3.166115353075552E-2</v>
      </c>
      <c r="HP639" s="644">
        <f t="shared" si="2042"/>
        <v>387.83337515320363</v>
      </c>
      <c r="HQ639" s="644">
        <f t="shared" si="2042"/>
        <v>2.4850242522751769</v>
      </c>
      <c r="HR639" s="644">
        <f t="shared" si="2042"/>
        <v>222.46077832768037</v>
      </c>
      <c r="HS639" s="644">
        <f t="shared" si="2042"/>
        <v>-105.19521653100144</v>
      </c>
      <c r="HT639" s="644">
        <f t="shared" si="2042"/>
        <v>169.08194411914005</v>
      </c>
      <c r="HU639" s="644">
        <f t="shared" si="2042"/>
        <v>187.41952442450324</v>
      </c>
      <c r="HV639" s="644">
        <f t="shared" si="2042"/>
        <v>0</v>
      </c>
      <c r="HW639" s="644">
        <f t="shared" si="2042"/>
        <v>0</v>
      </c>
      <c r="HX639" s="644">
        <f t="shared" si="2042"/>
        <v>0</v>
      </c>
      <c r="HY639" s="644">
        <f t="shared" si="2042"/>
        <v>2388</v>
      </c>
      <c r="HZ639" s="644">
        <f t="shared" si="2042"/>
        <v>2518</v>
      </c>
      <c r="IA639" s="644">
        <f t="shared" si="2042"/>
        <v>2200</v>
      </c>
      <c r="IB639" s="644">
        <f t="shared" si="2042"/>
        <v>2670.6381586222028</v>
      </c>
      <c r="IC639" s="644">
        <f t="shared" si="2042"/>
        <v>2689.5669683714154</v>
      </c>
      <c r="ID639" s="644">
        <f t="shared" si="2042"/>
        <v>2609.8803027521835</v>
      </c>
      <c r="IE639" s="20">
        <f t="shared" si="1977"/>
        <v>0.33508275189308484</v>
      </c>
      <c r="IF639" s="20">
        <f t="shared" si="1956"/>
        <v>0.33745773393262068</v>
      </c>
      <c r="IG639" s="20">
        <f t="shared" si="1957"/>
        <v>0.32745951417429453</v>
      </c>
      <c r="IH639" s="21"/>
      <c r="II639" s="19"/>
      <c r="IJ639" s="19"/>
      <c r="IK639" s="19"/>
      <c r="IL639" s="19">
        <f t="shared" si="1978"/>
        <v>650</v>
      </c>
      <c r="IM639" s="19">
        <f t="shared" si="1978"/>
        <v>400.08069598413294</v>
      </c>
      <c r="IN639" s="19">
        <f t="shared" si="1978"/>
        <v>642.66881534682034</v>
      </c>
      <c r="IO639" s="39"/>
      <c r="IP639" s="39"/>
      <c r="IQ639" s="39"/>
      <c r="IR639" s="39"/>
      <c r="IS639" s="39"/>
      <c r="IT639" s="39"/>
      <c r="IU639" s="39"/>
      <c r="IV639" s="39"/>
      <c r="IW639" s="39"/>
      <c r="IX639" s="19">
        <f t="shared" si="2045"/>
        <v>1600</v>
      </c>
      <c r="IY639" s="19">
        <f t="shared" si="2045"/>
        <v>2503.549291639752</v>
      </c>
      <c r="IZ639" s="19">
        <f t="shared" si="2045"/>
        <v>5888.3563810918577</v>
      </c>
      <c r="JA639" s="19">
        <f t="shared" si="2046"/>
        <v>2250</v>
      </c>
      <c r="JB639" s="19">
        <f t="shared" si="2046"/>
        <v>2903.629987623885</v>
      </c>
      <c r="JC639" s="19">
        <f t="shared" si="2046"/>
        <v>6531.025196438678</v>
      </c>
      <c r="JD639" s="19">
        <f t="shared" si="1981"/>
        <v>3872.4349254476865</v>
      </c>
      <c r="JE639" s="21"/>
      <c r="JF639" s="1">
        <f t="shared" si="1982"/>
        <v>6.8844376252282569E-2</v>
      </c>
      <c r="JG639" s="15">
        <f t="shared" si="1983"/>
        <v>7106</v>
      </c>
      <c r="JH639" s="1">
        <f t="shared" si="1984"/>
        <v>8.6234052594027472E-2</v>
      </c>
      <c r="JI639" s="1">
        <f t="shared" si="1985"/>
        <v>3.5365360542167441E-2</v>
      </c>
      <c r="JJ639" s="1">
        <f t="shared" si="1962"/>
        <v>0</v>
      </c>
      <c r="JK639" s="1">
        <f t="shared" si="1963"/>
        <v>0.12159941313619491</v>
      </c>
      <c r="JL639" s="15">
        <f t="shared" si="2047"/>
        <v>864.08542974580098</v>
      </c>
      <c r="JM639" s="15">
        <f t="shared" si="2047"/>
        <v>7970.0854297458009</v>
      </c>
      <c r="JN639" s="21"/>
      <c r="JO639" s="19">
        <f>INDEX([1]Input!$1:$1048576,JO$93,$C639*2+6)</f>
        <v>5995.5</v>
      </c>
      <c r="JP639" s="19">
        <f>INDEX([1]Input!$1:$1048576,JP$93,$C639*2+6)</f>
        <v>1716.3055838443925</v>
      </c>
      <c r="JQ639" s="39">
        <f t="shared" si="1995"/>
        <v>2123.0650745523135</v>
      </c>
      <c r="JR639" s="39">
        <f t="shared" si="1996"/>
        <v>2156.1293416032941</v>
      </c>
      <c r="JS639" s="39">
        <f t="shared" si="1997"/>
        <v>30.863637176949375</v>
      </c>
      <c r="JT639" s="39">
        <f t="shared" si="1987"/>
        <v>18.667569698151119</v>
      </c>
      <c r="JU639" s="385">
        <f>(JQ639*JM639-INDEX([1]Input!$1:$1048576,[1]Input!A$18,$C639*2+6)*JL639*INDEX([1]Input!$1:$1048576,[1]Input!A$19,$C639*2+6))/1000000</f>
        <v>16.921010017091575</v>
      </c>
      <c r="JV639" s="39">
        <f t="shared" si="1966"/>
        <v>-13.486945504110174</v>
      </c>
      <c r="JW639" s="1">
        <f t="shared" si="2000"/>
        <v>-0.44353345277378114</v>
      </c>
      <c r="JX639" s="19">
        <f t="shared" si="2001"/>
        <v>21603.847322877318</v>
      </c>
      <c r="JZ639" s="341"/>
      <c r="KA639" s="60"/>
      <c r="KB639" s="469">
        <f t="shared" si="1988"/>
        <v>0</v>
      </c>
      <c r="KI639" s="472"/>
      <c r="KJ639" s="472"/>
      <c r="KK639" s="472"/>
      <c r="KN639" s="888">
        <f t="shared" si="1989"/>
        <v>6002</v>
      </c>
      <c r="KO639" s="541">
        <f t="shared" si="1967"/>
        <v>4.2913787478058296E-2</v>
      </c>
      <c r="KP639" s="546">
        <f t="shared" si="1968"/>
        <v>209.7757048038751</v>
      </c>
      <c r="KQ639" s="546">
        <f t="shared" si="1969"/>
        <v>274.98643515775984</v>
      </c>
      <c r="KR639" s="472">
        <f t="shared" si="1970"/>
        <v>3.2930739288929969</v>
      </c>
      <c r="KS639" s="472">
        <f t="shared" si="1971"/>
        <v>2.512149022945362</v>
      </c>
      <c r="KT639" s="473">
        <f t="shared" si="1998"/>
        <v>2521.945896759994</v>
      </c>
      <c r="KU639" s="663">
        <f t="shared" si="1990"/>
        <v>10.987170265909718</v>
      </c>
      <c r="KV639" s="117"/>
    </row>
    <row r="640" spans="1:308" s="26" customFormat="1" ht="15">
      <c r="A640" s="561">
        <f t="shared" si="1972"/>
        <v>6040</v>
      </c>
      <c r="B640" s="561">
        <f t="shared" si="1991"/>
        <v>40</v>
      </c>
      <c r="C640" s="561">
        <f t="shared" si="1992"/>
        <v>6</v>
      </c>
      <c r="D640" s="561" t="str">
        <f t="shared" si="2028"/>
        <v xml:space="preserve">500 CC, 360 Lease, </v>
      </c>
      <c r="E640" s="475">
        <f>INDEX(Input!$1:$1048576,E$93,$C640*2+MIN($B640,2)+5)
+INDEX(Scenarios!E$121:E$199,MATCH($B640,Scenarios!$B$121:$B$199,0))</f>
        <v>1750.0000000000002</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1.8999999999999996E-2</v>
      </c>
      <c r="W640" s="863">
        <f>IFERROR(MAX(0,INDEX(Input!$1:$1048576,W$93,$C640*2+MIN($B640,2)+5)-0%,),"Market")</f>
        <v>3.9E-2</v>
      </c>
      <c r="X640" s="476" t="str">
        <f>INDEX(Input!$1:$1048576,X$93,$C640*2+MIN($B640,2)+5)</f>
        <v>Y</v>
      </c>
      <c r="Y640" s="475">
        <f>INDEX(Input!$1:$1048576,Y$93,$C640*2+MIN($B640,2)+5)
++INDEX(Scenarios!Y$121:Y$199,MATCH($B640,Scenarios!$B$121:$B$199,0))</f>
        <v>2699.3275155115825</v>
      </c>
      <c r="Z640" s="477">
        <f>INDEX(Input!$1:$1048576,Z$93,$C640*2+MIN($B640,2)+5)
+INDEX(Scenarios!Z$121:Z$199,MATCH($B640,Scenarios!$B$121:$B$199,0))</f>
        <v>0</v>
      </c>
      <c r="AA640" s="475">
        <f>INDEX(Input!$1:$1048576,AA$93,$C640*2+MIN($B640,2)+5)</f>
        <v>0</v>
      </c>
      <c r="AB640" s="476">
        <f>INDEX(Input!$1:$1048576,AB$93,$C640*2+MIN($B640,2)+5)</f>
        <v>1</v>
      </c>
      <c r="AC640" s="475">
        <f>INDEX(Input!$1:$1048576,AC$93,$C640*2+MIN($B640,2)+5)
+INDEX(Scenarios!AC$121:AC$199,MATCH($B640,Scenarios!$B$121:$B$199,0))</f>
        <v>0</v>
      </c>
      <c r="AD640" s="476">
        <f>INDEX(Input!$1:$1048576,AD$93,$C640*2+MIN($B640,2)+5)</f>
        <v>0.35</v>
      </c>
      <c r="AE640" s="475">
        <f>INDEX(Input!$1:$1048576,AE$93,$C640*2+MIN($B640,2)+5)
+INDEX(Scenarios!AE$121:AE$199,MATCH($B640,Scenarios!$B$121:$B$199,0))</f>
        <v>0</v>
      </c>
      <c r="AF640" s="476">
        <f>INDEX(Input!$1:$1048576,AF$93,$C640*2+MIN($B640,2)+5)</f>
        <v>1</v>
      </c>
      <c r="AG640" s="475">
        <f>INDEX(Input!$1:$1048576,AG$93,$C640*2+MIN($B640,2)+5)</f>
        <v>0</v>
      </c>
      <c r="AH640" s="476">
        <f>INDEX(Input!$1:$1048576,AH$93,$C640*2+MIN($B640,2)+5)</f>
        <v>1</v>
      </c>
      <c r="AI640" s="475">
        <f>INDEX(Input!$1:$1048576,AI$93,$C640*2+MIN($B640,2)+5)</f>
        <v>0</v>
      </c>
      <c r="AJ640" s="476">
        <f>INDEX(Input!$1:$1048576,AJ$93,$C640*2+MIN($B640,2)+5)</f>
        <v>0.35</v>
      </c>
      <c r="AK640" s="150">
        <f>ROUND(INDEX(Input!$1:$1048576,AK$93,$C639*2+MIN($B640,1)+5)+(Y640-VLOOKUP($C640*1000+1,$A:$HH,Y$92,FALSE)),0)</f>
        <v>5453</v>
      </c>
      <c r="AL640" s="150">
        <f>ROUND(INDEX(Input!$1:$1048576,AL$93,$C639*2+MIN($B640,1)+5)-(Y640-VLOOKUP($C640*1000+1,$A:$HH,Y$92,FALSE))/36,0)</f>
        <v>5207</v>
      </c>
      <c r="AM640" s="32" t="str">
        <f t="shared" si="1973"/>
        <v>std/std/std/std</v>
      </c>
      <c r="AN640" s="32" t="str">
        <f t="shared" si="1974"/>
        <v>$0 + 0/0/0/1.9/3.9</v>
      </c>
      <c r="AO640" s="32" t="str">
        <f t="shared" si="1975"/>
        <v>0/0/0/1.9/3.9</v>
      </c>
      <c r="AP640" s="32" t="str">
        <f t="shared" si="1939"/>
        <v>0/0.9/1.9/3.9</v>
      </c>
      <c r="AQ640" s="536">
        <f t="shared" si="1940"/>
        <v>0.35189290707759402</v>
      </c>
      <c r="AR640" s="32"/>
      <c r="AS640" s="302"/>
      <c r="AT640" s="3">
        <f t="shared" si="1993"/>
        <v>40</v>
      </c>
      <c r="AU640" s="41" t="s">
        <v>121</v>
      </c>
      <c r="AV640" s="41" t="s">
        <v>116</v>
      </c>
      <c r="AW640" s="41" t="str">
        <f>INDEX(Input!$1:$1048576,AW$93,$C640*2+6)</f>
        <v>Kia</v>
      </c>
      <c r="AX640" s="41" t="str">
        <f>INDEX(Input!$1:$1048576,AX$93,$C640*2+6)</f>
        <v>National</v>
      </c>
      <c r="AY640" s="41" t="str">
        <f>IF(LEN(D640)=0,"",INDEX(Input!$1:$1048576,AY$93,$C640*2+6))</f>
        <v>Compact Conventional/Sporty Car (43)</v>
      </c>
      <c r="AZ640" s="41" t="str">
        <f>INDEX(Input!$1:$1048576,AZ$93,$C640*2+6)</f>
        <v>Kia Forte</v>
      </c>
      <c r="BA640" s="3">
        <f>INDEX(Input!$1:$1048576,BA$93,$C640*2+6)</f>
        <v>2020</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19695</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941"/>
        <v>1965.0000000000002</v>
      </c>
      <c r="CJ640" s="16" t="str">
        <f>INDEX(Input!$1:$1048576,CJ$93,$C640*2+6)</f>
        <v>N</v>
      </c>
      <c r="CK640" s="1" t="str">
        <f t="shared" si="1942"/>
        <v>Market</v>
      </c>
      <c r="CL640" s="1" t="str">
        <f t="shared" si="1943"/>
        <v>Market</v>
      </c>
      <c r="CM640" s="1" t="str">
        <f t="shared" si="1944"/>
        <v>Market</v>
      </c>
      <c r="CN640" s="1" t="str">
        <f t="shared" si="1945"/>
        <v>Market</v>
      </c>
      <c r="CO640" s="1" t="str">
        <f t="shared" si="1946"/>
        <v>Market</v>
      </c>
      <c r="CP640" s="304">
        <f t="shared" si="1947"/>
        <v>0</v>
      </c>
      <c r="CQ640" s="1">
        <f t="shared" si="1948"/>
        <v>0</v>
      </c>
      <c r="CR640" s="1">
        <f t="shared" si="1949"/>
        <v>0</v>
      </c>
      <c r="CS640" s="1">
        <f t="shared" si="1950"/>
        <v>0</v>
      </c>
      <c r="CT640" s="1">
        <f t="shared" si="1951"/>
        <v>1.8999999999999996E-2</v>
      </c>
      <c r="CU640" s="1">
        <f t="shared" si="1952"/>
        <v>3.9E-2</v>
      </c>
      <c r="CV640" s="304">
        <f t="shared" si="2013"/>
        <v>2699.3275155115825</v>
      </c>
      <c r="CW640" s="20" t="s">
        <v>122</v>
      </c>
      <c r="CX640" s="20" t="s">
        <v>122</v>
      </c>
      <c r="CY640" s="20" t="s">
        <v>122</v>
      </c>
      <c r="CZ640" s="20" t="s">
        <v>122</v>
      </c>
      <c r="DA640" s="20" t="s">
        <v>122</v>
      </c>
      <c r="DB640" s="503">
        <f t="shared" si="2014"/>
        <v>0</v>
      </c>
      <c r="DC640" s="127">
        <v>0</v>
      </c>
      <c r="DD640" s="127">
        <v>0</v>
      </c>
      <c r="DE640" s="127">
        <v>0</v>
      </c>
      <c r="DF640" s="127">
        <v>0</v>
      </c>
      <c r="DG640" s="127">
        <v>0</v>
      </c>
      <c r="DH640" s="127">
        <v>0</v>
      </c>
      <c r="DI640" s="127">
        <v>0</v>
      </c>
      <c r="DJ640" s="127">
        <v>0</v>
      </c>
      <c r="DK640" s="127">
        <v>0</v>
      </c>
      <c r="DL640" s="127">
        <v>0</v>
      </c>
      <c r="DM640" s="304">
        <f>INDEX(Input!$1:$1048576,DM$93,$C640*2+6)</f>
        <v>20731.578947368424</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v>5.0644493931336701E-2</v>
      </c>
      <c r="DZ640" s="7">
        <v>0</v>
      </c>
      <c r="EA640" s="7">
        <v>0.79592307720334055</v>
      </c>
      <c r="EB640" s="7">
        <v>0</v>
      </c>
      <c r="EC640" s="7">
        <v>0</v>
      </c>
      <c r="ED640" s="7">
        <v>0</v>
      </c>
      <c r="EE640" s="7">
        <v>0</v>
      </c>
      <c r="EF640" s="7">
        <v>0</v>
      </c>
      <c r="EG640" s="7">
        <v>0</v>
      </c>
      <c r="EH640" s="7">
        <v>2.9754149730473904E-2</v>
      </c>
      <c r="EI640" s="7">
        <v>1.9437645267786848E-2</v>
      </c>
      <c r="EJ640" s="7">
        <v>0.26186195380170968</v>
      </c>
      <c r="EK640" s="7">
        <v>0.68894625120002939</v>
      </c>
      <c r="EL640" s="7">
        <v>0</v>
      </c>
      <c r="EM640" s="7">
        <v>2.108530708818197E-2</v>
      </c>
      <c r="EN640" s="7">
        <v>3.6304608042584598E-2</v>
      </c>
      <c r="EO640" s="7">
        <v>0.38496913432365015</v>
      </c>
      <c r="EP640" s="7">
        <v>0.4810958354669051</v>
      </c>
      <c r="EQ640" s="7">
        <v>7.4201800522390921E-2</v>
      </c>
      <c r="ER640" s="7">
        <v>2.3428621644469325E-2</v>
      </c>
      <c r="ES640" s="7">
        <v>0.13234712177714081</v>
      </c>
      <c r="ET640" s="7">
        <v>0.15343242886532277</v>
      </c>
      <c r="EU640" s="6">
        <v>1250</v>
      </c>
      <c r="EV640" s="6">
        <v>0</v>
      </c>
      <c r="EW640" s="6">
        <v>1250</v>
      </c>
      <c r="EX640" s="6">
        <v>0</v>
      </c>
      <c r="EY640" s="6">
        <v>1384.4478436697132</v>
      </c>
      <c r="EZ640" s="6">
        <v>-1194.2676731795959</v>
      </c>
      <c r="FA640" s="6">
        <v>0</v>
      </c>
      <c r="FB640" s="6">
        <v>0</v>
      </c>
      <c r="FC640" s="6">
        <v>0</v>
      </c>
      <c r="FD640" s="6">
        <v>0</v>
      </c>
      <c r="FE640" s="6">
        <v>0</v>
      </c>
      <c r="FF640" s="6">
        <v>0</v>
      </c>
      <c r="FG640" s="6">
        <v>0</v>
      </c>
      <c r="FH640" s="6">
        <v>1158.6314795531023</v>
      </c>
      <c r="FI640" s="6">
        <v>1531.429990438063</v>
      </c>
      <c r="FJ640" s="6">
        <v>1709.977573848847</v>
      </c>
      <c r="FK640" s="6">
        <v>1266.3227157028193</v>
      </c>
      <c r="FL640" s="6">
        <v>0</v>
      </c>
      <c r="FM640" s="6">
        <v>1384.4478436697132</v>
      </c>
      <c r="FN640" s="6">
        <v>0</v>
      </c>
      <c r="FO640" s="6">
        <v>0</v>
      </c>
      <c r="FP640" s="6">
        <v>0</v>
      </c>
      <c r="FQ640" s="6">
        <v>0</v>
      </c>
      <c r="FR640" s="6">
        <v>0</v>
      </c>
      <c r="FS640" s="6">
        <v>0</v>
      </c>
      <c r="FT640" s="7">
        <v>0.84656757113467729</v>
      </c>
      <c r="FU640" s="7">
        <v>2.108530708818197E-2</v>
      </c>
      <c r="FV640" s="7">
        <v>0.13234712177714081</v>
      </c>
      <c r="FW640" s="6">
        <v>1249.9999999999998</v>
      </c>
      <c r="FX640" s="6">
        <v>1384.4478436697132</v>
      </c>
      <c r="FY640" s="6">
        <v>-1194.2676731795959</v>
      </c>
      <c r="FZ640" s="6">
        <v>1676.0854837363124</v>
      </c>
      <c r="GA640" s="6">
        <v>929.34308267289111</v>
      </c>
      <c r="GB640" s="6">
        <v>18765.656917327109</v>
      </c>
      <c r="GC640" s="7">
        <v>6.4493561548621597E-2</v>
      </c>
      <c r="GD640" s="7">
        <v>5.845220098884138E-2</v>
      </c>
      <c r="GE640" s="7"/>
      <c r="GF640" s="7"/>
      <c r="GG640" s="7">
        <v>-9.3673855416182047E-2</v>
      </c>
      <c r="GH640" s="42">
        <v>2.4706064364289611</v>
      </c>
      <c r="GI640" s="6">
        <v>8901.0700682414008</v>
      </c>
      <c r="GJ640" s="14">
        <v>0.51596255589662343</v>
      </c>
      <c r="GK640" s="14">
        <v>0.51419567426615975</v>
      </c>
      <c r="GL640" s="14">
        <v>0.48403744410337696</v>
      </c>
      <c r="GM640" s="14">
        <v>0.48580432573384047</v>
      </c>
      <c r="GO640" s="5">
        <v>338.16872463277008</v>
      </c>
      <c r="GP640" s="5">
        <v>314.32110928815564</v>
      </c>
      <c r="GQ640" s="5">
        <v>527.27910984145694</v>
      </c>
      <c r="GR640" s="5">
        <v>404.20319246551543</v>
      </c>
      <c r="GS640" s="5">
        <v>334.50205195691484</v>
      </c>
      <c r="GT640" s="5">
        <v>289.18266033348181</v>
      </c>
      <c r="GU640" s="5">
        <v>254.29573314828914</v>
      </c>
      <c r="GV640" s="39" t="s">
        <v>392</v>
      </c>
      <c r="GW640" s="5">
        <v>492.375</v>
      </c>
      <c r="GX640" s="5">
        <v>369.28125</v>
      </c>
      <c r="GY640" s="5">
        <v>302.23266563481752</v>
      </c>
      <c r="GZ640" s="5">
        <v>268.52323906086701</v>
      </c>
      <c r="HA640" s="5">
        <v>254.29573314828914</v>
      </c>
      <c r="HB640" s="39">
        <v>285.96947265199276</v>
      </c>
      <c r="HC640" s="5">
        <v>335.36483570160732</v>
      </c>
      <c r="HD640" s="5">
        <v>271.98776275539944</v>
      </c>
      <c r="HE640" s="5">
        <v>270.57658857744036</v>
      </c>
      <c r="HF640" s="5">
        <v>245.3206142843834</v>
      </c>
      <c r="HG640" s="5">
        <v>230.46506461313521</v>
      </c>
      <c r="HH640" s="39">
        <v>270.65816251168337</v>
      </c>
      <c r="HI640" s="16"/>
      <c r="HJ640" s="19" t="str">
        <f t="shared" ref="HJ640:HK640" si="2053">HJ639</f>
        <v>On</v>
      </c>
      <c r="HK640" s="1" t="str">
        <f t="shared" si="2053"/>
        <v>On</v>
      </c>
      <c r="HL640" s="16"/>
      <c r="HM640" s="639">
        <f t="shared" si="2044"/>
        <v>4.9686942767030826E-2</v>
      </c>
      <c r="HN640" s="639">
        <f t="shared" si="2044"/>
        <v>2.6112822013589915E-3</v>
      </c>
      <c r="HO640" s="639">
        <f t="shared" si="2044"/>
        <v>3.166115353075552E-2</v>
      </c>
      <c r="HP640" s="644">
        <f t="shared" si="2042"/>
        <v>602.90015801052152</v>
      </c>
      <c r="HQ640" s="644">
        <f t="shared" si="2042"/>
        <v>-5.2781410111984739</v>
      </c>
      <c r="HR640" s="644">
        <f t="shared" si="2042"/>
        <v>171.73337230747543</v>
      </c>
      <c r="HS640" s="644">
        <f t="shared" si="2042"/>
        <v>-145.27436720409736</v>
      </c>
      <c r="HT640" s="644">
        <f t="shared" si="2042"/>
        <v>159.7573454898847</v>
      </c>
      <c r="HU640" s="644">
        <f t="shared" si="2042"/>
        <v>196.78609562499838</v>
      </c>
      <c r="HV640" s="644">
        <f t="shared" si="2042"/>
        <v>0</v>
      </c>
      <c r="HW640" s="644">
        <f t="shared" si="2042"/>
        <v>0</v>
      </c>
      <c r="HX640" s="644">
        <f t="shared" si="2042"/>
        <v>0</v>
      </c>
      <c r="HY640" s="644">
        <f t="shared" si="2042"/>
        <v>2388</v>
      </c>
      <c r="HZ640" s="644">
        <f t="shared" si="2042"/>
        <v>2518</v>
      </c>
      <c r="IA640" s="644">
        <f t="shared" si="2042"/>
        <v>2200</v>
      </c>
      <c r="IB640" s="644">
        <f t="shared" si="2042"/>
        <v>2845.625790806424</v>
      </c>
      <c r="IC640" s="644">
        <f t="shared" si="2042"/>
        <v>2672.4792044786864</v>
      </c>
      <c r="ID640" s="644">
        <f t="shared" si="2042"/>
        <v>2568.5194679324736</v>
      </c>
      <c r="IE640" s="20">
        <f t="shared" si="1977"/>
        <v>0.35189290707759402</v>
      </c>
      <c r="IF640" s="20">
        <f t="shared" si="1956"/>
        <v>0.33048142851626061</v>
      </c>
      <c r="IG640" s="20">
        <f t="shared" si="1957"/>
        <v>0.31762566440614537</v>
      </c>
      <c r="IH640" s="21"/>
      <c r="II640" s="19"/>
      <c r="IJ640" s="19"/>
      <c r="IK640" s="19"/>
      <c r="IL640" s="19">
        <f t="shared" si="1978"/>
        <v>900</v>
      </c>
      <c r="IM640" s="19">
        <f t="shared" si="1978"/>
        <v>400.16686994737802</v>
      </c>
      <c r="IN640" s="19">
        <f t="shared" si="1978"/>
        <v>644.35032106146082</v>
      </c>
      <c r="IO640" s="39"/>
      <c r="IP640" s="39"/>
      <c r="IQ640" s="39"/>
      <c r="IR640" s="39"/>
      <c r="IS640" s="39"/>
      <c r="IT640" s="39"/>
      <c r="IU640" s="39"/>
      <c r="IV640" s="39"/>
      <c r="IW640" s="39"/>
      <c r="IX640" s="19">
        <f t="shared" si="2045"/>
        <v>1600</v>
      </c>
      <c r="IY640" s="19">
        <f t="shared" si="2045"/>
        <v>2503.549291639752</v>
      </c>
      <c r="IZ640" s="19">
        <f t="shared" si="2045"/>
        <v>5888.3563810918577</v>
      </c>
      <c r="JA640" s="19">
        <f t="shared" si="2046"/>
        <v>2500</v>
      </c>
      <c r="JB640" s="19">
        <f t="shared" si="2046"/>
        <v>2903.71616158713</v>
      </c>
      <c r="JC640" s="19">
        <f t="shared" si="2046"/>
        <v>6532.7067021533185</v>
      </c>
      <c r="JD640" s="19">
        <f t="shared" si="1981"/>
        <v>3914.3118394229796</v>
      </c>
      <c r="JE640" s="21"/>
      <c r="JF640" s="1">
        <f t="shared" si="1982"/>
        <v>6.8844376252282569E-2</v>
      </c>
      <c r="JG640" s="15">
        <f t="shared" si="1983"/>
        <v>7106</v>
      </c>
      <c r="JH640" s="1">
        <f t="shared" si="1984"/>
        <v>0.10826841954781852</v>
      </c>
      <c r="JI640" s="1">
        <f t="shared" si="1985"/>
        <v>2.9731082734419607E-2</v>
      </c>
      <c r="JJ640" s="1">
        <f t="shared" si="1962"/>
        <v>0</v>
      </c>
      <c r="JK640" s="1">
        <f t="shared" si="1963"/>
        <v>0.13799950228223815</v>
      </c>
      <c r="JL640" s="15">
        <f t="shared" si="2047"/>
        <v>980.62446321758421</v>
      </c>
      <c r="JM640" s="15">
        <f t="shared" si="2047"/>
        <v>8086.624463217584</v>
      </c>
      <c r="JN640" s="21"/>
      <c r="JO640" s="19">
        <f>INDEX([1]Input!$1:$1048576,JO$93,$C640*2+6)</f>
        <v>5995.5</v>
      </c>
      <c r="JP640" s="19">
        <f>INDEX([1]Input!$1:$1048576,JP$93,$C640*2+6)</f>
        <v>1716.3055838443925</v>
      </c>
      <c r="JQ640" s="39">
        <f t="shared" si="1995"/>
        <v>2081.1881605770204</v>
      </c>
      <c r="JR640" s="39">
        <f t="shared" si="1996"/>
        <v>2198.0062555785871</v>
      </c>
      <c r="JS640" s="39">
        <f t="shared" si="1997"/>
        <v>31.653569877340086</v>
      </c>
      <c r="JT640" s="39">
        <f t="shared" si="1987"/>
        <v>19.457502398541831</v>
      </c>
      <c r="JU640" s="385">
        <f>(JQ640*JM640-INDEX([1]Input!$1:$1048576,[1]Input!A$18,$C640*2+6)*JL640*INDEX([1]Input!$1:$1048576,[1]Input!A$19,$C640*2+6))/1000000</f>
        <v>16.829787091880942</v>
      </c>
      <c r="JV640" s="39">
        <f t="shared" si="1966"/>
        <v>-13.578168429320808</v>
      </c>
      <c r="JW640" s="1">
        <f t="shared" si="2000"/>
        <v>-0.44653342181632427</v>
      </c>
      <c r="JX640" s="19">
        <f t="shared" si="2001"/>
        <v>19841.950847013017</v>
      </c>
      <c r="JZ640" s="341"/>
      <c r="KA640" s="60"/>
      <c r="KB640" s="469">
        <f t="shared" si="1988"/>
        <v>0</v>
      </c>
      <c r="KI640" s="472"/>
      <c r="KJ640" s="472"/>
      <c r="KK640" s="472"/>
      <c r="KN640" s="888">
        <f t="shared" si="1989"/>
        <v>6002</v>
      </c>
      <c r="KO640" s="541">
        <f t="shared" si="1967"/>
        <v>5.8163331019144948E-2</v>
      </c>
      <c r="KP640" s="546">
        <f t="shared" si="1968"/>
        <v>298.73004797339388</v>
      </c>
      <c r="KQ640" s="546">
        <f t="shared" si="1969"/>
        <v>316.86334913305291</v>
      </c>
      <c r="KR640" s="472">
        <f t="shared" si="1970"/>
        <v>3.1342251086184443</v>
      </c>
      <c r="KS640" s="472">
        <f t="shared" si="1971"/>
        <v>2.9548612031612733</v>
      </c>
      <c r="KT640" s="473">
        <f t="shared" si="1998"/>
        <v>2521.945896759994</v>
      </c>
      <c r="KU640" s="663">
        <f t="shared" si="1990"/>
        <v>11.102133523064944</v>
      </c>
      <c r="KV640" s="117"/>
    </row>
    <row r="641" spans="1:308" s="26" customFormat="1" ht="15">
      <c r="A641" s="561">
        <f t="shared" si="1972"/>
        <v>6041</v>
      </c>
      <c r="B641" s="561">
        <f t="shared" si="1991"/>
        <v>41</v>
      </c>
      <c r="C641" s="561">
        <f t="shared" si="1992"/>
        <v>6</v>
      </c>
      <c r="D641" s="561" t="str">
        <f t="shared" si="2028"/>
        <v xml:space="preserve">750 CC, 360 Lease, </v>
      </c>
      <c r="E641" s="475">
        <f>INDEX(Input!$1:$1048576,E$93,$C641*2+MIN($B641,2)+5)
+INDEX(Scenarios!E$121:E$199,MATCH($B641,Scenarios!$B$121:$B$199,0))</f>
        <v>2000.0000000000002</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1.8999999999999996E-2</v>
      </c>
      <c r="W641" s="863">
        <f>IFERROR(MAX(0,INDEX(Input!$1:$1048576,W$93,$C641*2+MIN($B641,2)+5)-0%,),"Market")</f>
        <v>3.9E-2</v>
      </c>
      <c r="X641" s="476" t="str">
        <f>INDEX(Input!$1:$1048576,X$93,$C641*2+MIN($B641,2)+5)</f>
        <v>Y</v>
      </c>
      <c r="Y641" s="475">
        <f>INDEX(Input!$1:$1048576,Y$93,$C641*2+MIN($B641,2)+5)
++INDEX(Scenarios!Y$121:Y$199,MATCH($B641,Scenarios!$B$121:$B$199,0))</f>
        <v>2699.3275155115825</v>
      </c>
      <c r="Z641" s="477">
        <f>INDEX(Input!$1:$1048576,Z$93,$C641*2+MIN($B641,2)+5)
+INDEX(Scenarios!Z$121:Z$199,MATCH($B641,Scenarios!$B$121:$B$199,0))</f>
        <v>0</v>
      </c>
      <c r="AA641" s="475">
        <f>INDEX(Input!$1:$1048576,AA$93,$C641*2+MIN($B641,2)+5)</f>
        <v>0</v>
      </c>
      <c r="AB641" s="476">
        <f>INDEX(Input!$1:$1048576,AB$93,$C641*2+MIN($B641,2)+5)</f>
        <v>1</v>
      </c>
      <c r="AC641" s="475">
        <f>INDEX(Input!$1:$1048576,AC$93,$C641*2+MIN($B641,2)+5)
+INDEX(Scenarios!AC$121:AC$199,MATCH($B641,Scenarios!$B$121:$B$199,0))</f>
        <v>0</v>
      </c>
      <c r="AD641" s="476">
        <f>INDEX(Input!$1:$1048576,AD$93,$C641*2+MIN($B641,2)+5)</f>
        <v>0.35</v>
      </c>
      <c r="AE641" s="475">
        <f>INDEX(Input!$1:$1048576,AE$93,$C641*2+MIN($B641,2)+5)
+INDEX(Scenarios!AE$121:AE$199,MATCH($B641,Scenarios!$B$121:$B$199,0))</f>
        <v>0</v>
      </c>
      <c r="AF641" s="476">
        <f>INDEX(Input!$1:$1048576,AF$93,$C641*2+MIN($B641,2)+5)</f>
        <v>1</v>
      </c>
      <c r="AG641" s="475">
        <f>INDEX(Input!$1:$1048576,AG$93,$C641*2+MIN($B641,2)+5)</f>
        <v>0</v>
      </c>
      <c r="AH641" s="476">
        <f>INDEX(Input!$1:$1048576,AH$93,$C641*2+MIN($B641,2)+5)</f>
        <v>1</v>
      </c>
      <c r="AI641" s="475">
        <f>INDEX(Input!$1:$1048576,AI$93,$C641*2+MIN($B641,2)+5)</f>
        <v>0</v>
      </c>
      <c r="AJ641" s="476">
        <f>INDEX(Input!$1:$1048576,AJ$93,$C641*2+MIN($B641,2)+5)</f>
        <v>0.35</v>
      </c>
      <c r="AK641" s="150">
        <f>ROUND(INDEX(Input!$1:$1048576,AK$93,$C640*2+MIN($B641,1)+5)+(Y641-VLOOKUP($C641*1000+1,$A:$HH,Y$92,FALSE)),0)</f>
        <v>5453</v>
      </c>
      <c r="AL641" s="150">
        <f>ROUND(INDEX(Input!$1:$1048576,AL$93,$C640*2+MIN($B641,1)+5)-(Y641-VLOOKUP($C641*1000+1,$A:$HH,Y$92,FALSE))/36,0)</f>
        <v>5207</v>
      </c>
      <c r="AM641" s="32" t="str">
        <f t="shared" si="1973"/>
        <v>std/std/std/std</v>
      </c>
      <c r="AN641" s="32" t="str">
        <f t="shared" si="1974"/>
        <v>$0 + 0/0/0/1.9/3.9</v>
      </c>
      <c r="AO641" s="32" t="str">
        <f t="shared" si="1975"/>
        <v>0/0/0/1.9/3.9</v>
      </c>
      <c r="AP641" s="32" t="str">
        <f t="shared" si="1939"/>
        <v>0/0.9/1.9/3.9</v>
      </c>
      <c r="AQ641" s="536">
        <f t="shared" si="1940"/>
        <v>0.3687501626589883</v>
      </c>
      <c r="AR641" s="32"/>
      <c r="AS641" s="302"/>
      <c r="AT641" s="3">
        <f t="shared" si="1993"/>
        <v>41</v>
      </c>
      <c r="AU641" s="41" t="s">
        <v>121</v>
      </c>
      <c r="AV641" s="41" t="s">
        <v>116</v>
      </c>
      <c r="AW641" s="41" t="str">
        <f>INDEX(Input!$1:$1048576,AW$93,$C641*2+6)</f>
        <v>Kia</v>
      </c>
      <c r="AX641" s="41" t="str">
        <f>INDEX(Input!$1:$1048576,AX$93,$C641*2+6)</f>
        <v>National</v>
      </c>
      <c r="AY641" s="41" t="str">
        <f>IF(LEN(D641)=0,"",INDEX(Input!$1:$1048576,AY$93,$C641*2+6))</f>
        <v>Compact Conventional/Sporty Car (43)</v>
      </c>
      <c r="AZ641" s="41" t="str">
        <f>INDEX(Input!$1:$1048576,AZ$93,$C641*2+6)</f>
        <v>Kia Forte</v>
      </c>
      <c r="BA641" s="3">
        <f>INDEX(Input!$1:$1048576,BA$93,$C641*2+6)</f>
        <v>2020</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19695</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941"/>
        <v>2215</v>
      </c>
      <c r="CJ641" s="16" t="str">
        <f>INDEX(Input!$1:$1048576,CJ$93,$C641*2+6)</f>
        <v>N</v>
      </c>
      <c r="CK641" s="1" t="str">
        <f t="shared" si="1942"/>
        <v>Market</v>
      </c>
      <c r="CL641" s="1" t="str">
        <f t="shared" si="1943"/>
        <v>Market</v>
      </c>
      <c r="CM641" s="1" t="str">
        <f t="shared" si="1944"/>
        <v>Market</v>
      </c>
      <c r="CN641" s="1" t="str">
        <f t="shared" si="1945"/>
        <v>Market</v>
      </c>
      <c r="CO641" s="1" t="str">
        <f t="shared" si="1946"/>
        <v>Market</v>
      </c>
      <c r="CP641" s="304">
        <f t="shared" si="1947"/>
        <v>0</v>
      </c>
      <c r="CQ641" s="1">
        <f t="shared" si="1948"/>
        <v>0</v>
      </c>
      <c r="CR641" s="1">
        <f t="shared" si="1949"/>
        <v>0</v>
      </c>
      <c r="CS641" s="1">
        <f t="shared" si="1950"/>
        <v>0</v>
      </c>
      <c r="CT641" s="1">
        <f t="shared" si="1951"/>
        <v>1.8999999999999996E-2</v>
      </c>
      <c r="CU641" s="1">
        <f t="shared" si="1952"/>
        <v>3.9E-2</v>
      </c>
      <c r="CV641" s="304">
        <f t="shared" si="2013"/>
        <v>2699.3275155115825</v>
      </c>
      <c r="CW641" s="20" t="s">
        <v>122</v>
      </c>
      <c r="CX641" s="20" t="s">
        <v>122</v>
      </c>
      <c r="CY641" s="20" t="s">
        <v>122</v>
      </c>
      <c r="CZ641" s="20" t="s">
        <v>122</v>
      </c>
      <c r="DA641" s="20" t="s">
        <v>122</v>
      </c>
      <c r="DB641" s="503">
        <f t="shared" si="2014"/>
        <v>0</v>
      </c>
      <c r="DC641" s="127">
        <v>0</v>
      </c>
      <c r="DD641" s="127">
        <v>0</v>
      </c>
      <c r="DE641" s="127">
        <v>0</v>
      </c>
      <c r="DF641" s="127">
        <v>0</v>
      </c>
      <c r="DG641" s="127">
        <v>0</v>
      </c>
      <c r="DH641" s="127">
        <v>0</v>
      </c>
      <c r="DI641" s="127">
        <v>0</v>
      </c>
      <c r="DJ641" s="127">
        <v>0</v>
      </c>
      <c r="DK641" s="127">
        <v>0</v>
      </c>
      <c r="DL641" s="127">
        <v>0</v>
      </c>
      <c r="DM641" s="304">
        <f>INDEX(Input!$1:$1048576,DM$93,$C641*2+6)</f>
        <v>20731.578947368424</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v>5.1483296859021192E-2</v>
      </c>
      <c r="DZ641" s="7">
        <v>0</v>
      </c>
      <c r="EA641" s="7">
        <v>0.80898069030794062</v>
      </c>
      <c r="EB641" s="7">
        <v>0</v>
      </c>
      <c r="EC641" s="7">
        <v>0</v>
      </c>
      <c r="ED641" s="7">
        <v>0</v>
      </c>
      <c r="EE641" s="7">
        <v>0</v>
      </c>
      <c r="EF641" s="7">
        <v>0</v>
      </c>
      <c r="EG641" s="7">
        <v>0</v>
      </c>
      <c r="EH641" s="7">
        <v>2.9772727274030172E-2</v>
      </c>
      <c r="EI641" s="7">
        <v>1.9441041278199612E-2</v>
      </c>
      <c r="EJ641" s="7">
        <v>0.26203012253060287</v>
      </c>
      <c r="EK641" s="7">
        <v>0.68875610891716732</v>
      </c>
      <c r="EL641" s="7">
        <v>0</v>
      </c>
      <c r="EM641" s="7">
        <v>1.9170283896638017E-2</v>
      </c>
      <c r="EN641" s="7">
        <v>3.6295236659180066E-2</v>
      </c>
      <c r="EO641" s="7">
        <v>0.38503086598851888</v>
      </c>
      <c r="EP641" s="7">
        <v>0.48103642663395402</v>
      </c>
      <c r="EQ641" s="7">
        <v>7.4204170189605692E-2</v>
      </c>
      <c r="ER641" s="7">
        <v>2.3433300528741471E-2</v>
      </c>
      <c r="ES641" s="7">
        <v>0.12036572893640012</v>
      </c>
      <c r="ET641" s="7">
        <v>0.13953601283303821</v>
      </c>
      <c r="EU641" s="6">
        <v>1500</v>
      </c>
      <c r="EV641" s="6">
        <v>0</v>
      </c>
      <c r="EW641" s="6">
        <v>1500</v>
      </c>
      <c r="EX641" s="6">
        <v>0</v>
      </c>
      <c r="EY641" s="6">
        <v>1384.5216685102639</v>
      </c>
      <c r="EZ641" s="6">
        <v>-1194.2676731795959</v>
      </c>
      <c r="FA641" s="6">
        <v>0</v>
      </c>
      <c r="FB641" s="6">
        <v>0</v>
      </c>
      <c r="FC641" s="6">
        <v>0</v>
      </c>
      <c r="FD641" s="6">
        <v>0</v>
      </c>
      <c r="FE641" s="6">
        <v>0</v>
      </c>
      <c r="FF641" s="6">
        <v>0</v>
      </c>
      <c r="FG641" s="6">
        <v>0</v>
      </c>
      <c r="FH641" s="6">
        <v>1158.642103321336</v>
      </c>
      <c r="FI641" s="6">
        <v>1531.4299904380616</v>
      </c>
      <c r="FJ641" s="6">
        <v>1709.9775738488461</v>
      </c>
      <c r="FK641" s="6">
        <v>1266.3227157028189</v>
      </c>
      <c r="FL641" s="6">
        <v>0</v>
      </c>
      <c r="FM641" s="6">
        <v>1384.5216685102639</v>
      </c>
      <c r="FN641" s="6">
        <v>0</v>
      </c>
      <c r="FO641" s="6">
        <v>0</v>
      </c>
      <c r="FP641" s="6">
        <v>0</v>
      </c>
      <c r="FQ641" s="6">
        <v>0</v>
      </c>
      <c r="FR641" s="6">
        <v>0</v>
      </c>
      <c r="FS641" s="6">
        <v>0</v>
      </c>
      <c r="FT641" s="7">
        <v>0.86046398716696182</v>
      </c>
      <c r="FU641" s="7">
        <v>1.9170283896638017E-2</v>
      </c>
      <c r="FV641" s="7">
        <v>0.12036572893640012</v>
      </c>
      <c r="FW641" s="6">
        <v>1500</v>
      </c>
      <c r="FX641" s="6">
        <v>1384.5216685102639</v>
      </c>
      <c r="FY641" s="6">
        <v>-1194.2676731795959</v>
      </c>
      <c r="FZ641" s="6">
        <v>1676.0854837363124</v>
      </c>
      <c r="GA641" s="6">
        <v>1173.488755169391</v>
      </c>
      <c r="GB641" s="6">
        <v>18521.51124483061</v>
      </c>
      <c r="GC641" s="7">
        <v>6.4493561548621597E-2</v>
      </c>
      <c r="GD641" s="7">
        <v>6.122402648575509E-2</v>
      </c>
      <c r="GE641" s="7"/>
      <c r="GF641" s="7"/>
      <c r="GG641" s="7">
        <v>-5.069552656665751E-2</v>
      </c>
      <c r="GH641" s="42">
        <v>1.9865795755918354</v>
      </c>
      <c r="GI641" s="6">
        <v>11087.51396814508</v>
      </c>
      <c r="GJ641" s="14">
        <v>0.51596255589662343</v>
      </c>
      <c r="GK641" s="14">
        <v>0.51419567426615964</v>
      </c>
      <c r="GL641" s="14">
        <v>0.48403744410337673</v>
      </c>
      <c r="GM641" s="14">
        <v>0.48580432573384036</v>
      </c>
      <c r="GO641" s="5">
        <v>338.16872463277008</v>
      </c>
      <c r="GP641" s="5">
        <v>309.55158621923283</v>
      </c>
      <c r="GQ641" s="5">
        <v>527.27910984145694</v>
      </c>
      <c r="GR641" s="5">
        <v>404.20319246551543</v>
      </c>
      <c r="GS641" s="5">
        <v>334.50205195691484</v>
      </c>
      <c r="GT641" s="5">
        <v>289.18266033348181</v>
      </c>
      <c r="GU641" s="5">
        <v>254.29573314828914</v>
      </c>
      <c r="GV641" s="39" t="s">
        <v>392</v>
      </c>
      <c r="GW641" s="5">
        <v>492.375</v>
      </c>
      <c r="GX641" s="5">
        <v>369.28125</v>
      </c>
      <c r="GY641" s="5">
        <v>302.23266563481752</v>
      </c>
      <c r="GZ641" s="5">
        <v>268.52323906086701</v>
      </c>
      <c r="HA641" s="5">
        <v>254.29573314828914</v>
      </c>
      <c r="HB641" s="39">
        <v>285.97964231450476</v>
      </c>
      <c r="HC641" s="5">
        <v>335.36483570160732</v>
      </c>
      <c r="HD641" s="5">
        <v>271.98776275539944</v>
      </c>
      <c r="HE641" s="5">
        <v>270.57658857744036</v>
      </c>
      <c r="HF641" s="5">
        <v>245.3206142843834</v>
      </c>
      <c r="HG641" s="5">
        <v>230.46506461313521</v>
      </c>
      <c r="HH641" s="39">
        <v>270.65739494487798</v>
      </c>
      <c r="HI641" s="16"/>
      <c r="HJ641" s="19" t="str">
        <f t="shared" ref="HJ641:HK641" si="2054">HJ640</f>
        <v>On</v>
      </c>
      <c r="HK641" s="1" t="str">
        <f t="shared" si="2054"/>
        <v>On</v>
      </c>
      <c r="HL641" s="16"/>
      <c r="HM641" s="639">
        <f t="shared" si="2044"/>
        <v>4.9686942767030826E-2</v>
      </c>
      <c r="HN641" s="639">
        <f t="shared" si="2044"/>
        <v>2.6112822013589915E-3</v>
      </c>
      <c r="HO641" s="639">
        <f t="shared" si="2044"/>
        <v>3.166115353075552E-2</v>
      </c>
      <c r="HP641" s="644">
        <f t="shared" si="2042"/>
        <v>824.62386212680667</v>
      </c>
      <c r="HQ641" s="644">
        <f t="shared" si="2042"/>
        <v>-12.958746884319615</v>
      </c>
      <c r="HR641" s="644">
        <f t="shared" si="2042"/>
        <v>120.64691205251488</v>
      </c>
      <c r="HS641" s="644">
        <f t="shared" si="2042"/>
        <v>-185.35351355117862</v>
      </c>
      <c r="HT641" s="644">
        <f t="shared" si="2042"/>
        <v>150.43191045406837</v>
      </c>
      <c r="HU641" s="644">
        <f t="shared" si="2042"/>
        <v>206.15266249947888</v>
      </c>
      <c r="HV641" s="644">
        <f t="shared" si="2042"/>
        <v>0</v>
      </c>
      <c r="HW641" s="644">
        <f t="shared" si="2042"/>
        <v>0</v>
      </c>
      <c r="HX641" s="644">
        <f t="shared" si="2042"/>
        <v>0</v>
      </c>
      <c r="HY641" s="644">
        <f t="shared" si="2042"/>
        <v>2388</v>
      </c>
      <c r="HZ641" s="644">
        <f t="shared" si="2042"/>
        <v>2518</v>
      </c>
      <c r="IA641" s="644">
        <f t="shared" si="2042"/>
        <v>2200</v>
      </c>
      <c r="IB641" s="644">
        <f t="shared" si="2042"/>
        <v>3027.2703485756278</v>
      </c>
      <c r="IC641" s="644">
        <f t="shared" si="2042"/>
        <v>2655.473163569749</v>
      </c>
      <c r="ID641" s="644">
        <f t="shared" si="2042"/>
        <v>2526.7995745519938</v>
      </c>
      <c r="IE641" s="20">
        <f t="shared" si="1977"/>
        <v>0.3687501626589883</v>
      </c>
      <c r="IF641" s="20">
        <f t="shared" si="1956"/>
        <v>0.32346174878753498</v>
      </c>
      <c r="IG641" s="20">
        <f t="shared" si="1957"/>
        <v>0.30778808855347689</v>
      </c>
      <c r="IH641" s="21"/>
      <c r="II641" s="19"/>
      <c r="IJ641" s="19"/>
      <c r="IK641" s="19"/>
      <c r="IL641" s="19">
        <f t="shared" si="1978"/>
        <v>1150</v>
      </c>
      <c r="IM641" s="19">
        <f t="shared" si="1978"/>
        <v>400.25149480929258</v>
      </c>
      <c r="IN641" s="19">
        <f t="shared" si="1978"/>
        <v>645.98789860792749</v>
      </c>
      <c r="IO641" s="39"/>
      <c r="IP641" s="39"/>
      <c r="IQ641" s="39"/>
      <c r="IR641" s="39"/>
      <c r="IS641" s="39"/>
      <c r="IT641" s="39"/>
      <c r="IU641" s="39"/>
      <c r="IV641" s="39"/>
      <c r="IW641" s="39"/>
      <c r="IX641" s="19">
        <f t="shared" si="2045"/>
        <v>1600</v>
      </c>
      <c r="IY641" s="19">
        <f t="shared" si="2045"/>
        <v>2503.549291639752</v>
      </c>
      <c r="IZ641" s="19">
        <f t="shared" si="2045"/>
        <v>5888.3563810918577</v>
      </c>
      <c r="JA641" s="19">
        <f t="shared" si="2046"/>
        <v>2750</v>
      </c>
      <c r="JB641" s="19">
        <f t="shared" si="2046"/>
        <v>2903.8007864490446</v>
      </c>
      <c r="JC641" s="19">
        <f t="shared" si="2046"/>
        <v>6534.3442796997851</v>
      </c>
      <c r="JD641" s="19">
        <f t="shared" si="1981"/>
        <v>3964.5247636267877</v>
      </c>
      <c r="JE641" s="21"/>
      <c r="JF641" s="1">
        <f t="shared" si="1982"/>
        <v>6.8844376252282569E-2</v>
      </c>
      <c r="JG641" s="15">
        <f t="shared" si="1983"/>
        <v>7106</v>
      </c>
      <c r="JH641" s="1">
        <f t="shared" si="1984"/>
        <v>0.13120067932662566</v>
      </c>
      <c r="JI641" s="1">
        <f t="shared" si="1985"/>
        <v>2.4096687222399188E-2</v>
      </c>
      <c r="JJ641" s="1">
        <f t="shared" si="1962"/>
        <v>0</v>
      </c>
      <c r="JK641" s="1">
        <f t="shared" si="1963"/>
        <v>0.15529736654902482</v>
      </c>
      <c r="JL641" s="15">
        <f t="shared" si="2047"/>
        <v>1103.5430866973704</v>
      </c>
      <c r="JM641" s="15">
        <f t="shared" si="2047"/>
        <v>8209.5430866973711</v>
      </c>
      <c r="JN641" s="21"/>
      <c r="JO641" s="19">
        <f>INDEX([1]Input!$1:$1048576,JO$93,$C641*2+6)</f>
        <v>5995.5</v>
      </c>
      <c r="JP641" s="19">
        <f>INDEX([1]Input!$1:$1048576,JP$93,$C641*2+6)</f>
        <v>1716.3055838443925</v>
      </c>
      <c r="JQ641" s="39">
        <f t="shared" si="1995"/>
        <v>2030.9752363732123</v>
      </c>
      <c r="JR641" s="39">
        <f t="shared" si="1996"/>
        <v>2248.2191797823953</v>
      </c>
      <c r="JS641" s="39">
        <f t="shared" si="1997"/>
        <v>32.546936865272826</v>
      </c>
      <c r="JT641" s="39">
        <f t="shared" si="1987"/>
        <v>20.350869386474571</v>
      </c>
      <c r="JU641" s="385">
        <f>(JQ641*JM641-INDEX([1]Input!$1:$1048576,[1]Input!A$18,$C641*2+6)*JL641*INDEX([1]Input!$1:$1048576,[1]Input!A$19,$C641*2+6))/1000000</f>
        <v>16.673378711021265</v>
      </c>
      <c r="JV641" s="39">
        <f t="shared" si="1966"/>
        <v>-13.734576810180485</v>
      </c>
      <c r="JW641" s="1">
        <f t="shared" si="2000"/>
        <v>-0.45167708827395975</v>
      </c>
      <c r="JX641" s="19">
        <f t="shared" si="2001"/>
        <v>18441.390854415709</v>
      </c>
      <c r="JZ641" s="341"/>
      <c r="KA641" s="60"/>
      <c r="KB641" s="469">
        <f t="shared" si="1988"/>
        <v>0</v>
      </c>
      <c r="KI641" s="472"/>
      <c r="KJ641" s="472"/>
      <c r="KK641" s="472"/>
      <c r="KN641" s="888">
        <f t="shared" si="1989"/>
        <v>6002</v>
      </c>
      <c r="KO641" s="541">
        <f t="shared" si="1967"/>
        <v>7.4247666412395885E-2</v>
      </c>
      <c r="KP641" s="546">
        <f t="shared" si="1968"/>
        <v>396.07504449462351</v>
      </c>
      <c r="KQ641" s="546">
        <f t="shared" si="1969"/>
        <v>367.07627333686105</v>
      </c>
      <c r="KR641" s="472">
        <f t="shared" si="1970"/>
        <v>3.0176241880483774</v>
      </c>
      <c r="KS641" s="472">
        <f t="shared" si="1971"/>
        <v>3.2560144072632249</v>
      </c>
      <c r="KT641" s="473">
        <f t="shared" si="1998"/>
        <v>2521.945896759994</v>
      </c>
      <c r="KU641" s="663">
        <f t="shared" si="1990"/>
        <v>11.203649277409303</v>
      </c>
      <c r="KV641" s="117"/>
    </row>
    <row r="642" spans="1:308" s="26" customFormat="1" ht="15">
      <c r="A642" s="561">
        <f t="shared" si="1972"/>
        <v>6042</v>
      </c>
      <c r="B642" s="561">
        <f t="shared" si="1991"/>
        <v>42</v>
      </c>
      <c r="C642" s="561">
        <f t="shared" si="1992"/>
        <v>6</v>
      </c>
      <c r="D642" s="561" t="str">
        <f t="shared" si="2028"/>
        <v xml:space="preserve">1000 CC, 360 Lease, </v>
      </c>
      <c r="E642" s="475">
        <f>INDEX(Input!$1:$1048576,E$93,$C642*2+MIN($B642,2)+5)
+INDEX(Scenarios!E$121:E$199,MATCH($B642,Scenarios!$B$121:$B$199,0))</f>
        <v>2250</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1.8999999999999996E-2</v>
      </c>
      <c r="W642" s="863">
        <f>IFERROR(MAX(0,INDEX(Input!$1:$1048576,W$93,$C642*2+MIN($B642,2)+5)-0%,),"Market")</f>
        <v>3.9E-2</v>
      </c>
      <c r="X642" s="476" t="str">
        <f>INDEX(Input!$1:$1048576,X$93,$C642*2+MIN($B642,2)+5)</f>
        <v>Y</v>
      </c>
      <c r="Y642" s="475">
        <f>INDEX(Input!$1:$1048576,Y$93,$C642*2+MIN($B642,2)+5)
++INDEX(Scenarios!Y$121:Y$199,MATCH($B642,Scenarios!$B$121:$B$199,0))</f>
        <v>2699.3275155115825</v>
      </c>
      <c r="Z642" s="477">
        <f>INDEX(Input!$1:$1048576,Z$93,$C642*2+MIN($B642,2)+5)
+INDEX(Scenarios!Z$121:Z$199,MATCH($B642,Scenarios!$B$121:$B$199,0))</f>
        <v>0</v>
      </c>
      <c r="AA642" s="475">
        <f>INDEX(Input!$1:$1048576,AA$93,$C642*2+MIN($B642,2)+5)</f>
        <v>0</v>
      </c>
      <c r="AB642" s="476">
        <f>INDEX(Input!$1:$1048576,AB$93,$C642*2+MIN($B642,2)+5)</f>
        <v>1</v>
      </c>
      <c r="AC642" s="475">
        <f>INDEX(Input!$1:$1048576,AC$93,$C642*2+MIN($B642,2)+5)
+INDEX(Scenarios!AC$121:AC$199,MATCH($B642,Scenarios!$B$121:$B$199,0))</f>
        <v>0</v>
      </c>
      <c r="AD642" s="476">
        <f>INDEX(Input!$1:$1048576,AD$93,$C642*2+MIN($B642,2)+5)</f>
        <v>0.35</v>
      </c>
      <c r="AE642" s="475">
        <f>INDEX(Input!$1:$1048576,AE$93,$C642*2+MIN($B642,2)+5)
+INDEX(Scenarios!AE$121:AE$199,MATCH($B642,Scenarios!$B$121:$B$199,0))</f>
        <v>0</v>
      </c>
      <c r="AF642" s="476">
        <f>INDEX(Input!$1:$1048576,AF$93,$C642*2+MIN($B642,2)+5)</f>
        <v>1</v>
      </c>
      <c r="AG642" s="475">
        <f>INDEX(Input!$1:$1048576,AG$93,$C642*2+MIN($B642,2)+5)</f>
        <v>0</v>
      </c>
      <c r="AH642" s="476">
        <f>INDEX(Input!$1:$1048576,AH$93,$C642*2+MIN($B642,2)+5)</f>
        <v>1</v>
      </c>
      <c r="AI642" s="475">
        <f>INDEX(Input!$1:$1048576,AI$93,$C642*2+MIN($B642,2)+5)</f>
        <v>0</v>
      </c>
      <c r="AJ642" s="476">
        <f>INDEX(Input!$1:$1048576,AJ$93,$C642*2+MIN($B642,2)+5)</f>
        <v>0.35</v>
      </c>
      <c r="AK642" s="150">
        <f>ROUND(INDEX(Input!$1:$1048576,AK$93,$C641*2+MIN($B642,1)+5)+(Y642-VLOOKUP($C642*1000+1,$A:$HH,Y$92,FALSE)),0)</f>
        <v>5453</v>
      </c>
      <c r="AL642" s="150">
        <f>ROUND(INDEX(Input!$1:$1048576,AL$93,$C641*2+MIN($B642,1)+5)-(Y642-VLOOKUP($C642*1000+1,$A:$HH,Y$92,FALSE))/36,0)</f>
        <v>5207</v>
      </c>
      <c r="AM642" s="32" t="str">
        <f t="shared" si="1973"/>
        <v>std/std/std/std</v>
      </c>
      <c r="AN642" s="32" t="str">
        <f t="shared" si="1974"/>
        <v>$0 + 0/0/0/1.9/3.9</v>
      </c>
      <c r="AO642" s="32" t="str">
        <f t="shared" si="1975"/>
        <v>0/0/0/1.9/3.9</v>
      </c>
      <c r="AP642" s="32" t="str">
        <f t="shared" si="1939"/>
        <v>0/0.9/1.9/3.9</v>
      </c>
      <c r="AQ642" s="536">
        <f t="shared" si="1940"/>
        <v>0.38561889423796103</v>
      </c>
      <c r="AR642" s="32"/>
      <c r="AS642" s="302"/>
      <c r="AT642" s="3">
        <f t="shared" si="1993"/>
        <v>42</v>
      </c>
      <c r="AU642" s="41" t="s">
        <v>121</v>
      </c>
      <c r="AV642" s="41" t="s">
        <v>116</v>
      </c>
      <c r="AW642" s="41" t="str">
        <f>INDEX(Input!$1:$1048576,AW$93,$C642*2+6)</f>
        <v>Kia</v>
      </c>
      <c r="AX642" s="41" t="str">
        <f>INDEX(Input!$1:$1048576,AX$93,$C642*2+6)</f>
        <v>National</v>
      </c>
      <c r="AY642" s="41" t="str">
        <f>IF(LEN(D642)=0,"",INDEX(Input!$1:$1048576,AY$93,$C642*2+6))</f>
        <v>Compact Conventional/Sporty Car (43)</v>
      </c>
      <c r="AZ642" s="41" t="str">
        <f>INDEX(Input!$1:$1048576,AZ$93,$C642*2+6)</f>
        <v>Kia Forte</v>
      </c>
      <c r="BA642" s="3">
        <f>INDEX(Input!$1:$1048576,BA$93,$C642*2+6)</f>
        <v>2020</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19695</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941"/>
        <v>2465</v>
      </c>
      <c r="CJ642" s="16" t="str">
        <f>INDEX(Input!$1:$1048576,CJ$93,$C642*2+6)</f>
        <v>N</v>
      </c>
      <c r="CK642" s="1" t="str">
        <f t="shared" si="1942"/>
        <v>Market</v>
      </c>
      <c r="CL642" s="1" t="str">
        <f t="shared" si="1943"/>
        <v>Market</v>
      </c>
      <c r="CM642" s="1" t="str">
        <f t="shared" si="1944"/>
        <v>Market</v>
      </c>
      <c r="CN642" s="1" t="str">
        <f t="shared" si="1945"/>
        <v>Market</v>
      </c>
      <c r="CO642" s="1" t="str">
        <f t="shared" si="1946"/>
        <v>Market</v>
      </c>
      <c r="CP642" s="304">
        <f t="shared" si="1947"/>
        <v>0</v>
      </c>
      <c r="CQ642" s="1">
        <f t="shared" si="1948"/>
        <v>0</v>
      </c>
      <c r="CR642" s="1">
        <f t="shared" si="1949"/>
        <v>0</v>
      </c>
      <c r="CS642" s="1">
        <f t="shared" si="1950"/>
        <v>0</v>
      </c>
      <c r="CT642" s="1">
        <f t="shared" si="1951"/>
        <v>1.8999999999999996E-2</v>
      </c>
      <c r="CU642" s="1">
        <f t="shared" si="1952"/>
        <v>3.9E-2</v>
      </c>
      <c r="CV642" s="304">
        <f t="shared" si="2013"/>
        <v>2699.3275155115825</v>
      </c>
      <c r="CW642" s="20" t="s">
        <v>122</v>
      </c>
      <c r="CX642" s="20" t="s">
        <v>122</v>
      </c>
      <c r="CY642" s="20" t="s">
        <v>122</v>
      </c>
      <c r="CZ642" s="20" t="s">
        <v>122</v>
      </c>
      <c r="DA642" s="20" t="s">
        <v>122</v>
      </c>
      <c r="DB642" s="503">
        <f t="shared" si="2014"/>
        <v>0</v>
      </c>
      <c r="DC642" s="127">
        <v>0</v>
      </c>
      <c r="DD642" s="127">
        <v>0</v>
      </c>
      <c r="DE642" s="127">
        <v>0</v>
      </c>
      <c r="DF642" s="127">
        <v>0</v>
      </c>
      <c r="DG642" s="127">
        <v>0</v>
      </c>
      <c r="DH642" s="127">
        <v>0</v>
      </c>
      <c r="DI642" s="127">
        <v>0</v>
      </c>
      <c r="DJ642" s="127">
        <v>0</v>
      </c>
      <c r="DK642" s="127">
        <v>0</v>
      </c>
      <c r="DL642" s="127">
        <v>0</v>
      </c>
      <c r="DM642" s="304">
        <f>INDEX(Input!$1:$1048576,DM$93,$C642*2+6)</f>
        <v>20731.578947368424</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v>5.2260289386080863E-2</v>
      </c>
      <c r="DZ642" s="7">
        <v>0</v>
      </c>
      <c r="EA642" s="7">
        <v>0.82103175530410932</v>
      </c>
      <c r="EB642" s="7">
        <v>0</v>
      </c>
      <c r="EC642" s="7">
        <v>0</v>
      </c>
      <c r="ED642" s="7">
        <v>0</v>
      </c>
      <c r="EE642" s="7">
        <v>0</v>
      </c>
      <c r="EF642" s="7">
        <v>0</v>
      </c>
      <c r="EG642" s="7">
        <v>0</v>
      </c>
      <c r="EH642" s="7">
        <v>2.9790674258900349E-2</v>
      </c>
      <c r="EI642" s="7">
        <v>1.944423584833057E-2</v>
      </c>
      <c r="EJ642" s="7">
        <v>0.26219288656003231</v>
      </c>
      <c r="EK642" s="7">
        <v>0.68857220333273672</v>
      </c>
      <c r="EL642" s="7">
        <v>0</v>
      </c>
      <c r="EM642" s="7">
        <v>1.7403476723205278E-2</v>
      </c>
      <c r="EN642" s="7">
        <v>3.628514689105862E-2</v>
      </c>
      <c r="EO642" s="7">
        <v>0.38509174290327708</v>
      </c>
      <c r="EP642" s="7">
        <v>0.48097898353957497</v>
      </c>
      <c r="EQ642" s="7">
        <v>7.4206679975248227E-2</v>
      </c>
      <c r="ER642" s="7">
        <v>2.3437446690841052E-2</v>
      </c>
      <c r="ES642" s="7">
        <v>0.1093044785866045</v>
      </c>
      <c r="ET642" s="7">
        <v>0.12670795530980972</v>
      </c>
      <c r="EU642" s="6">
        <v>1750</v>
      </c>
      <c r="EV642" s="6">
        <v>0</v>
      </c>
      <c r="EW642" s="6">
        <v>1750</v>
      </c>
      <c r="EX642" s="6">
        <v>0</v>
      </c>
      <c r="EY642" s="6">
        <v>1384.5930996206348</v>
      </c>
      <c r="EZ642" s="6">
        <v>-1194.2676731795959</v>
      </c>
      <c r="FA642" s="6">
        <v>0</v>
      </c>
      <c r="FB642" s="6">
        <v>0</v>
      </c>
      <c r="FC642" s="6">
        <v>0</v>
      </c>
      <c r="FD642" s="6">
        <v>0</v>
      </c>
      <c r="FE642" s="6">
        <v>0</v>
      </c>
      <c r="FF642" s="6">
        <v>0</v>
      </c>
      <c r="FG642" s="6">
        <v>0</v>
      </c>
      <c r="FH642" s="6">
        <v>1158.6523648052016</v>
      </c>
      <c r="FI642" s="6">
        <v>1531.4299904380616</v>
      </c>
      <c r="FJ642" s="6">
        <v>1709.9775738488452</v>
      </c>
      <c r="FK642" s="6">
        <v>1266.3227157028184</v>
      </c>
      <c r="FL642" s="6">
        <v>0</v>
      </c>
      <c r="FM642" s="6">
        <v>1384.5930996206348</v>
      </c>
      <c r="FN642" s="6">
        <v>0</v>
      </c>
      <c r="FO642" s="6">
        <v>0</v>
      </c>
      <c r="FP642" s="6">
        <v>0</v>
      </c>
      <c r="FQ642" s="6">
        <v>0</v>
      </c>
      <c r="FR642" s="6">
        <v>0</v>
      </c>
      <c r="FS642" s="6">
        <v>0</v>
      </c>
      <c r="FT642" s="7">
        <v>0.87329204469019017</v>
      </c>
      <c r="FU642" s="7">
        <v>1.7403476723205278E-2</v>
      </c>
      <c r="FV642" s="7">
        <v>0.1093044785866045</v>
      </c>
      <c r="FW642" s="6">
        <v>1750</v>
      </c>
      <c r="FX642" s="6">
        <v>1384.5930996206348</v>
      </c>
      <c r="FY642" s="6">
        <v>-1194.2676731795959</v>
      </c>
      <c r="FZ642" s="6">
        <v>1676.0854837363124</v>
      </c>
      <c r="GA642" s="6">
        <v>1421.819006678458</v>
      </c>
      <c r="GB642" s="6">
        <v>18273.180993321541</v>
      </c>
      <c r="GC642" s="7">
        <v>6.4493561548621597E-2</v>
      </c>
      <c r="GD642" s="7">
        <v>6.4161907750317063E-2</v>
      </c>
      <c r="GE642" s="7"/>
      <c r="GF642" s="7"/>
      <c r="GG642" s="7">
        <v>-5.1424326760819601E-3</v>
      </c>
      <c r="GH642" s="42">
        <v>0.39832310073808685</v>
      </c>
      <c r="GI642" s="6">
        <v>50866.603814552916</v>
      </c>
      <c r="GJ642" s="14">
        <v>0.51596255589662365</v>
      </c>
      <c r="GK642" s="14">
        <v>0.51419567426615964</v>
      </c>
      <c r="GL642" s="14">
        <v>0.48403744410337673</v>
      </c>
      <c r="GM642" s="14">
        <v>0.48580432573384053</v>
      </c>
      <c r="GO642" s="5">
        <v>338.16872463277008</v>
      </c>
      <c r="GP642" s="5">
        <v>304.78206315030991</v>
      </c>
      <c r="GQ642" s="5">
        <v>527.27910984145694</v>
      </c>
      <c r="GR642" s="5">
        <v>404.20319246551543</v>
      </c>
      <c r="GS642" s="5">
        <v>334.50205195691484</v>
      </c>
      <c r="GT642" s="5">
        <v>289.18266033348181</v>
      </c>
      <c r="GU642" s="5">
        <v>254.29573314828914</v>
      </c>
      <c r="GV642" s="39" t="s">
        <v>392</v>
      </c>
      <c r="GW642" s="5">
        <v>492.375</v>
      </c>
      <c r="GX642" s="5">
        <v>369.28125</v>
      </c>
      <c r="GY642" s="5">
        <v>302.23266563481752</v>
      </c>
      <c r="GZ642" s="5">
        <v>268.52323906086701</v>
      </c>
      <c r="HA642" s="5">
        <v>254.29573314828914</v>
      </c>
      <c r="HB642" s="39">
        <v>285.98946833930268</v>
      </c>
      <c r="HC642" s="5">
        <v>335.36483570160732</v>
      </c>
      <c r="HD642" s="5">
        <v>271.98776275539944</v>
      </c>
      <c r="HE642" s="5">
        <v>270.57658857744036</v>
      </c>
      <c r="HF642" s="5">
        <v>245.3206142843834</v>
      </c>
      <c r="HG642" s="5">
        <v>230.46506461313521</v>
      </c>
      <c r="HH642" s="39">
        <v>270.65659745845556</v>
      </c>
      <c r="HI642" s="16"/>
      <c r="HJ642" s="19" t="str">
        <f t="shared" ref="HJ642:HK642" si="2055">HJ641</f>
        <v>On</v>
      </c>
      <c r="HK642" s="1" t="str">
        <f t="shared" si="2055"/>
        <v>On</v>
      </c>
      <c r="HL642" s="16"/>
      <c r="HM642" s="639">
        <f t="shared" si="2044"/>
        <v>4.9686942767030826E-2</v>
      </c>
      <c r="HN642" s="639">
        <f t="shared" si="2044"/>
        <v>2.6112822013589915E-3</v>
      </c>
      <c r="HO642" s="639">
        <f t="shared" si="2044"/>
        <v>3.166115353075552E-2</v>
      </c>
      <c r="HP642" s="644">
        <f t="shared" si="2042"/>
        <v>1053.1134168138367</v>
      </c>
      <c r="HQ642" s="644">
        <f t="shared" si="2042"/>
        <v>-20.549845739922763</v>
      </c>
      <c r="HR642" s="644">
        <f t="shared" si="2042"/>
        <v>69.256697727811044</v>
      </c>
      <c r="HS642" s="644">
        <f t="shared" si="2042"/>
        <v>-225.4326554616664</v>
      </c>
      <c r="HT642" s="644">
        <f t="shared" si="2042"/>
        <v>141.10561521457086</v>
      </c>
      <c r="HU642" s="644">
        <f t="shared" si="2042"/>
        <v>215.51922493736589</v>
      </c>
      <c r="HV642" s="644">
        <f t="shared" si="2042"/>
        <v>0</v>
      </c>
      <c r="HW642" s="644">
        <f t="shared" si="2042"/>
        <v>0</v>
      </c>
      <c r="HX642" s="644">
        <f t="shared" si="2042"/>
        <v>0</v>
      </c>
      <c r="HY642" s="644">
        <f t="shared" si="2042"/>
        <v>2388</v>
      </c>
      <c r="HZ642" s="644">
        <f t="shared" si="2042"/>
        <v>2518</v>
      </c>
      <c r="IA642" s="644">
        <f t="shared" si="2042"/>
        <v>2200</v>
      </c>
      <c r="IB642" s="644">
        <f t="shared" si="2042"/>
        <v>3215.6807613521701</v>
      </c>
      <c r="IC642" s="644">
        <f t="shared" si="2042"/>
        <v>2638.5557694746481</v>
      </c>
      <c r="ID642" s="644">
        <f t="shared" si="2042"/>
        <v>2484.7759226651769</v>
      </c>
      <c r="IE642" s="20">
        <f t="shared" si="1977"/>
        <v>0.38561889423796103</v>
      </c>
      <c r="IF642" s="20">
        <f t="shared" si="1956"/>
        <v>0.31641105996546892</v>
      </c>
      <c r="IG642" s="20">
        <f t="shared" si="1957"/>
        <v>0.29797004579656994</v>
      </c>
      <c r="IH642" s="21"/>
      <c r="II642" s="19"/>
      <c r="IJ642" s="19"/>
      <c r="IK642" s="19"/>
      <c r="IL642" s="19">
        <f t="shared" si="1978"/>
        <v>1400</v>
      </c>
      <c r="IM642" s="19">
        <f t="shared" si="1978"/>
        <v>400.33452308809137</v>
      </c>
      <c r="IN642" s="19">
        <f t="shared" si="1978"/>
        <v>647.57493121319021</v>
      </c>
      <c r="IO642" s="39"/>
      <c r="IP642" s="39"/>
      <c r="IQ642" s="39"/>
      <c r="IR642" s="39"/>
      <c r="IS642" s="39"/>
      <c r="IT642" s="39"/>
      <c r="IU642" s="39"/>
      <c r="IV642" s="39"/>
      <c r="IW642" s="39"/>
      <c r="IX642" s="19">
        <f t="shared" si="2045"/>
        <v>1600</v>
      </c>
      <c r="IY642" s="19">
        <f t="shared" si="2045"/>
        <v>2503.549291639752</v>
      </c>
      <c r="IZ642" s="19">
        <f t="shared" si="2045"/>
        <v>5888.3563810918577</v>
      </c>
      <c r="JA642" s="19">
        <f t="shared" si="2046"/>
        <v>3000</v>
      </c>
      <c r="JB642" s="19">
        <f t="shared" si="2046"/>
        <v>2903.8838147278434</v>
      </c>
      <c r="JC642" s="19">
        <f t="shared" si="2046"/>
        <v>6535.9313123050479</v>
      </c>
      <c r="JD642" s="19">
        <f t="shared" si="1981"/>
        <v>4023.18939099926</v>
      </c>
      <c r="JE642" s="21"/>
      <c r="JF642" s="1">
        <f t="shared" si="1982"/>
        <v>6.8844376252282569E-2</v>
      </c>
      <c r="JG642" s="15">
        <f t="shared" si="1983"/>
        <v>7106</v>
      </c>
      <c r="JH642" s="1">
        <f t="shared" si="1984"/>
        <v>0.15505492102472909</v>
      </c>
      <c r="JI642" s="1">
        <f t="shared" si="1985"/>
        <v>1.8462170657229153E-2</v>
      </c>
      <c r="JJ642" s="1">
        <f t="shared" si="1962"/>
        <v>0</v>
      </c>
      <c r="JK642" s="1">
        <f t="shared" si="1963"/>
        <v>0.17351709168195825</v>
      </c>
      <c r="JL642" s="15">
        <f t="shared" si="2047"/>
        <v>1233.0124534919953</v>
      </c>
      <c r="JM642" s="15">
        <f t="shared" si="2047"/>
        <v>8339.012453491996</v>
      </c>
      <c r="JN642" s="21"/>
      <c r="JO642" s="19">
        <f>INDEX([1]Input!$1:$1048576,JO$93,$C642*2+6)</f>
        <v>5995.5</v>
      </c>
      <c r="JP642" s="19">
        <f>INDEX([1]Input!$1:$1048576,JP$93,$C642*2+6)</f>
        <v>1716.3055838443925</v>
      </c>
      <c r="JQ642" s="39">
        <f t="shared" si="1995"/>
        <v>1972.31060900074</v>
      </c>
      <c r="JR642" s="39">
        <f t="shared" si="1996"/>
        <v>2306.8838071548676</v>
      </c>
      <c r="JS642" s="39">
        <f t="shared" si="1997"/>
        <v>33.549426434299704</v>
      </c>
      <c r="JT642" s="39">
        <f t="shared" si="1987"/>
        <v>21.353358955501452</v>
      </c>
      <c r="JU642" s="385">
        <f>(JQ642*JM642-INDEX([1]Input!$1:$1048576,[1]Input!A$18,$C642*2+6)*JL642*INDEX([1]Input!$1:$1048576,[1]Input!A$19,$C642*2+6))/1000000</f>
        <v>16.447122730611554</v>
      </c>
      <c r="JV642" s="39">
        <f t="shared" si="1966"/>
        <v>-13.960832790590196</v>
      </c>
      <c r="JW642" s="1">
        <f t="shared" si="2000"/>
        <v>-0.45911777202042064</v>
      </c>
      <c r="JX642" s="19">
        <f t="shared" si="2001"/>
        <v>17318.039971962116</v>
      </c>
      <c r="JZ642" s="341"/>
      <c r="KA642" s="60"/>
      <c r="KB642" s="469">
        <f t="shared" si="1988"/>
        <v>0</v>
      </c>
      <c r="KI642" s="472"/>
      <c r="KJ642" s="472"/>
      <c r="KK642" s="472"/>
      <c r="KN642" s="888">
        <f t="shared" si="1989"/>
        <v>6002</v>
      </c>
      <c r="KO642" s="541">
        <f t="shared" si="1967"/>
        <v>9.1189189671635917E-2</v>
      </c>
      <c r="KP642" s="546">
        <f t="shared" si="1968"/>
        <v>501.8187757062766</v>
      </c>
      <c r="KQ642" s="546">
        <f t="shared" si="1969"/>
        <v>425.74090070933335</v>
      </c>
      <c r="KR642" s="472">
        <f t="shared" si="1970"/>
        <v>2.9252047729817945</v>
      </c>
      <c r="KS642" s="472">
        <f t="shared" si="1971"/>
        <v>3.4479249595755372</v>
      </c>
      <c r="KT642" s="473">
        <f t="shared" si="1998"/>
        <v>2521.945896759994</v>
      </c>
      <c r="KU642" s="663">
        <f t="shared" si="1990"/>
        <v>11.291597543682245</v>
      </c>
      <c r="KV642" s="117"/>
    </row>
    <row r="643" spans="1:308" s="26" customFormat="1" ht="15">
      <c r="A643" s="561">
        <f t="shared" si="1972"/>
        <v>6043</v>
      </c>
      <c r="B643" s="561">
        <f t="shared" si="1991"/>
        <v>43</v>
      </c>
      <c r="C643" s="561">
        <f t="shared" si="1992"/>
        <v>6</v>
      </c>
      <c r="D643" s="561" t="str">
        <f t="shared" si="2028"/>
        <v xml:space="preserve">0/0/0.9/3.9, 360 Lease, </v>
      </c>
      <c r="E643" s="475">
        <f>INDEX(Input!$1:$1048576,E$93,$C643*2+MIN($B643,2)+5)
+INDEX(Scenarios!E$121:E$199,MATCH($B643,Scenarios!$B$121:$B$199,0))</f>
        <v>1250.0000000000002</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8.9999999999999959E-3</v>
      </c>
      <c r="W643" s="863">
        <f>IFERROR(MAX(0,INDEX(Input!$1:$1048576,W$93,$C643*2+MIN($B643,2)+5)-0%,),"Market")</f>
        <v>3.9E-2</v>
      </c>
      <c r="X643" s="476" t="str">
        <f>INDEX(Input!$1:$1048576,X$93,$C643*2+MIN($B643,2)+5)</f>
        <v>Y</v>
      </c>
      <c r="Y643" s="475">
        <f>INDEX(Input!$1:$1048576,Y$93,$C643*2+MIN($B643,2)+5)
++INDEX(Scenarios!Y$121:Y$199,MATCH($B643,Scenarios!$B$121:$B$199,0))</f>
        <v>2699.3275155115825</v>
      </c>
      <c r="Z643" s="477">
        <f>INDEX(Input!$1:$1048576,Z$93,$C643*2+MIN($B643,2)+5)
+INDEX(Scenarios!Z$121:Z$199,MATCH($B643,Scenarios!$B$121:$B$199,0))</f>
        <v>0</v>
      </c>
      <c r="AA643" s="475">
        <f>INDEX(Input!$1:$1048576,AA$93,$C643*2+MIN($B643,2)+5)</f>
        <v>0</v>
      </c>
      <c r="AB643" s="476">
        <f>INDEX(Input!$1:$1048576,AB$93,$C643*2+MIN($B643,2)+5)</f>
        <v>1</v>
      </c>
      <c r="AC643" s="475">
        <f>INDEX(Input!$1:$1048576,AC$93,$C643*2+MIN($B643,2)+5)
+INDEX(Scenarios!AC$121:AC$199,MATCH($B643,Scenarios!$B$121:$B$199,0))</f>
        <v>0</v>
      </c>
      <c r="AD643" s="476">
        <f>INDEX(Input!$1:$1048576,AD$93,$C643*2+MIN($B643,2)+5)</f>
        <v>0.35</v>
      </c>
      <c r="AE643" s="475">
        <f>INDEX(Input!$1:$1048576,AE$93,$C643*2+MIN($B643,2)+5)
+INDEX(Scenarios!AE$121:AE$199,MATCH($B643,Scenarios!$B$121:$B$199,0))</f>
        <v>0</v>
      </c>
      <c r="AF643" s="476">
        <f>INDEX(Input!$1:$1048576,AF$93,$C643*2+MIN($B643,2)+5)</f>
        <v>1</v>
      </c>
      <c r="AG643" s="475">
        <f>INDEX(Input!$1:$1048576,AG$93,$C643*2+MIN($B643,2)+5)</f>
        <v>0</v>
      </c>
      <c r="AH643" s="476">
        <f>INDEX(Input!$1:$1048576,AH$93,$C643*2+MIN($B643,2)+5)</f>
        <v>1</v>
      </c>
      <c r="AI643" s="475">
        <f>INDEX(Input!$1:$1048576,AI$93,$C643*2+MIN($B643,2)+5)</f>
        <v>0</v>
      </c>
      <c r="AJ643" s="476">
        <f>INDEX(Input!$1:$1048576,AJ$93,$C643*2+MIN($B643,2)+5)</f>
        <v>0.35</v>
      </c>
      <c r="AK643" s="150">
        <f>ROUND(INDEX(Input!$1:$1048576,AK$93,$C642*2+MIN($B643,1)+5)+(Y643-VLOOKUP($C643*1000+1,$A:$HH,Y$92,FALSE)),0)</f>
        <v>5453</v>
      </c>
      <c r="AL643" s="150">
        <f>ROUND(INDEX(Input!$1:$1048576,AL$93,$C642*2+MIN($B643,1)+5)-(Y643-VLOOKUP($C643*1000+1,$A:$HH,Y$92,FALSE))/36,0)</f>
        <v>5207</v>
      </c>
      <c r="AM643" s="32" t="str">
        <f t="shared" si="1973"/>
        <v>std/std/std/std</v>
      </c>
      <c r="AN643" s="32" t="str">
        <f t="shared" si="1974"/>
        <v>$0 + 0/0/0/0.9/3.9</v>
      </c>
      <c r="AO643" s="32" t="str">
        <f t="shared" si="1975"/>
        <v>0/0/0/0.9/3.9</v>
      </c>
      <c r="AP643" s="32" t="str">
        <f t="shared" si="1939"/>
        <v>0/0/0.9/3.9</v>
      </c>
      <c r="AQ643" s="536">
        <f t="shared" si="1940"/>
        <v>0.30413249490360494</v>
      </c>
      <c r="AR643" s="32"/>
      <c r="AS643" s="302"/>
      <c r="AT643" s="3">
        <f t="shared" si="1993"/>
        <v>43</v>
      </c>
      <c r="AU643" s="41" t="s">
        <v>121</v>
      </c>
      <c r="AV643" s="41" t="s">
        <v>116</v>
      </c>
      <c r="AW643" s="41" t="str">
        <f>INDEX(Input!$1:$1048576,AW$93,$C643*2+6)</f>
        <v>Kia</v>
      </c>
      <c r="AX643" s="41" t="str">
        <f>INDEX(Input!$1:$1048576,AX$93,$C643*2+6)</f>
        <v>National</v>
      </c>
      <c r="AY643" s="41" t="str">
        <f>IF(LEN(D643)=0,"",INDEX(Input!$1:$1048576,AY$93,$C643*2+6))</f>
        <v>Compact Conventional/Sporty Car (43)</v>
      </c>
      <c r="AZ643" s="41" t="str">
        <f>INDEX(Input!$1:$1048576,AZ$93,$C643*2+6)</f>
        <v>Kia Forte</v>
      </c>
      <c r="BA643" s="3">
        <f>INDEX(Input!$1:$1048576,BA$93,$C643*2+6)</f>
        <v>2020</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19695</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941"/>
        <v>1465.0000000000002</v>
      </c>
      <c r="CJ643" s="16" t="str">
        <f>INDEX(Input!$1:$1048576,CJ$93,$C643*2+6)</f>
        <v>N</v>
      </c>
      <c r="CK643" s="1" t="str">
        <f t="shared" si="1942"/>
        <v>Market</v>
      </c>
      <c r="CL643" s="1" t="str">
        <f t="shared" si="1943"/>
        <v>Market</v>
      </c>
      <c r="CM643" s="1" t="str">
        <f t="shared" si="1944"/>
        <v>Market</v>
      </c>
      <c r="CN643" s="1" t="str">
        <f t="shared" si="1945"/>
        <v>Market</v>
      </c>
      <c r="CO643" s="1" t="str">
        <f t="shared" si="1946"/>
        <v>Market</v>
      </c>
      <c r="CP643" s="304">
        <f t="shared" si="1947"/>
        <v>0</v>
      </c>
      <c r="CQ643" s="1">
        <f t="shared" si="1948"/>
        <v>0</v>
      </c>
      <c r="CR643" s="1">
        <f t="shared" si="1949"/>
        <v>0</v>
      </c>
      <c r="CS643" s="1">
        <f t="shared" si="1950"/>
        <v>0</v>
      </c>
      <c r="CT643" s="1">
        <f t="shared" si="1951"/>
        <v>8.9999999999999959E-3</v>
      </c>
      <c r="CU643" s="1">
        <f t="shared" si="1952"/>
        <v>3.9E-2</v>
      </c>
      <c r="CV643" s="304">
        <f t="shared" si="2013"/>
        <v>2699.3275155115825</v>
      </c>
      <c r="CW643" s="20" t="s">
        <v>122</v>
      </c>
      <c r="CX643" s="20" t="s">
        <v>122</v>
      </c>
      <c r="CY643" s="20" t="s">
        <v>122</v>
      </c>
      <c r="CZ643" s="20" t="s">
        <v>122</v>
      </c>
      <c r="DA643" s="20" t="s">
        <v>122</v>
      </c>
      <c r="DB643" s="503">
        <f t="shared" si="2014"/>
        <v>0</v>
      </c>
      <c r="DC643" s="127">
        <v>0</v>
      </c>
      <c r="DD643" s="127">
        <v>0</v>
      </c>
      <c r="DE643" s="127">
        <v>0</v>
      </c>
      <c r="DF643" s="127">
        <v>0</v>
      </c>
      <c r="DG643" s="127">
        <v>0</v>
      </c>
      <c r="DH643" s="127">
        <v>0</v>
      </c>
      <c r="DI643" s="127">
        <v>0</v>
      </c>
      <c r="DJ643" s="127">
        <v>0</v>
      </c>
      <c r="DK643" s="127">
        <v>0</v>
      </c>
      <c r="DL643" s="127">
        <v>0</v>
      </c>
      <c r="DM643" s="304">
        <f>INDEX(Input!$1:$1048576,DM$93,$C643*2+6)</f>
        <v>20731.578947368424</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v>4.8439505639759177E-2</v>
      </c>
      <c r="DZ643" s="7">
        <v>0</v>
      </c>
      <c r="EA643" s="7">
        <v>0.76243996817678472</v>
      </c>
      <c r="EB643" s="7">
        <v>0</v>
      </c>
      <c r="EC643" s="7">
        <v>0</v>
      </c>
      <c r="ED643" s="7">
        <v>0</v>
      </c>
      <c r="EE643" s="7">
        <v>0</v>
      </c>
      <c r="EF643" s="7">
        <v>0</v>
      </c>
      <c r="EG643" s="7">
        <v>0</v>
      </c>
      <c r="EH643" s="7">
        <v>2.4143369454837169E-2</v>
      </c>
      <c r="EI643" s="7">
        <v>1.5788255875593675E-2</v>
      </c>
      <c r="EJ643" s="7">
        <v>0.24774200486224676</v>
      </c>
      <c r="EK643" s="7">
        <v>0.71232636980732222</v>
      </c>
      <c r="EL643" s="7">
        <v>0</v>
      </c>
      <c r="EM643" s="7">
        <v>3.101919112232078E-2</v>
      </c>
      <c r="EN643" s="7">
        <v>3.6326199880266308E-2</v>
      </c>
      <c r="EO643" s="7">
        <v>0.38482901884595405</v>
      </c>
      <c r="EP643" s="7">
        <v>0.4812300356396878</v>
      </c>
      <c r="EQ643" s="7">
        <v>7.4196149056306865E-2</v>
      </c>
      <c r="ER643" s="7">
        <v>2.3418596577785E-2</v>
      </c>
      <c r="ES643" s="7">
        <v>0.1581013350611353</v>
      </c>
      <c r="ET643" s="7">
        <v>0.18912052618345607</v>
      </c>
      <c r="EU643" s="6">
        <v>750</v>
      </c>
      <c r="EV643" s="6">
        <v>0</v>
      </c>
      <c r="EW643" s="6">
        <v>750</v>
      </c>
      <c r="EX643" s="6">
        <v>0</v>
      </c>
      <c r="EY643" s="6">
        <v>1809.5830709564045</v>
      </c>
      <c r="EZ643" s="6">
        <v>-1194.2676731795959</v>
      </c>
      <c r="FA643" s="6">
        <v>0</v>
      </c>
      <c r="FB643" s="6">
        <v>0</v>
      </c>
      <c r="FC643" s="6">
        <v>0</v>
      </c>
      <c r="FD643" s="6">
        <v>0</v>
      </c>
      <c r="FE643" s="6">
        <v>0</v>
      </c>
      <c r="FF643" s="6">
        <v>0</v>
      </c>
      <c r="FG643" s="6">
        <v>0</v>
      </c>
      <c r="FH643" s="6">
        <v>1158.6078641469255</v>
      </c>
      <c r="FI643" s="6">
        <v>1531.4299904380625</v>
      </c>
      <c r="FJ643" s="6">
        <v>2070.7205842538224</v>
      </c>
      <c r="FK643" s="6">
        <v>1746.9903521590429</v>
      </c>
      <c r="FL643" s="6">
        <v>0</v>
      </c>
      <c r="FM643" s="6">
        <v>1809.5830709564045</v>
      </c>
      <c r="FN643" s="6">
        <v>0</v>
      </c>
      <c r="FO643" s="6">
        <v>0</v>
      </c>
      <c r="FP643" s="6">
        <v>0</v>
      </c>
      <c r="FQ643" s="6">
        <v>0</v>
      </c>
      <c r="FR643" s="6">
        <v>0</v>
      </c>
      <c r="FS643" s="6">
        <v>0</v>
      </c>
      <c r="FT643" s="7">
        <v>0.81087947381654391</v>
      </c>
      <c r="FU643" s="7">
        <v>3.101919112232078E-2</v>
      </c>
      <c r="FV643" s="7">
        <v>0.1581013350611353</v>
      </c>
      <c r="FW643" s="6">
        <v>750</v>
      </c>
      <c r="FX643" s="6">
        <v>1809.5830709564045</v>
      </c>
      <c r="FY643" s="6">
        <v>-1194.2676731795959</v>
      </c>
      <c r="FZ643" s="6">
        <v>1676.0854837363124</v>
      </c>
      <c r="GA643" s="6">
        <v>475.47609494207109</v>
      </c>
      <c r="GB643" s="6">
        <v>19219.523905057929</v>
      </c>
      <c r="GC643" s="7">
        <v>6.4493561548621597E-2</v>
      </c>
      <c r="GD643" s="7">
        <v>5.3561779147438225E-2</v>
      </c>
      <c r="GE643" s="7"/>
      <c r="GF643" s="7"/>
      <c r="GG643" s="7">
        <v>-0.1695019183107436</v>
      </c>
      <c r="GH643" s="42">
        <v>2.7805382102523395</v>
      </c>
      <c r="GI643" s="6">
        <v>7558.6371633212166</v>
      </c>
      <c r="GJ643" s="14">
        <v>0.51596255589662332</v>
      </c>
      <c r="GK643" s="14">
        <v>0.51419567426615964</v>
      </c>
      <c r="GL643" s="14">
        <v>0.48403744410337679</v>
      </c>
      <c r="GM643" s="14">
        <v>0.48580432573384036</v>
      </c>
      <c r="GO643" s="5">
        <v>338.16872463277008</v>
      </c>
      <c r="GP643" s="5">
        <v>323.86015542600148</v>
      </c>
      <c r="GQ643" s="5">
        <v>527.27910984145694</v>
      </c>
      <c r="GR643" s="5">
        <v>404.20319246551543</v>
      </c>
      <c r="GS643" s="5">
        <v>334.50205195691484</v>
      </c>
      <c r="GT643" s="5">
        <v>289.18266033348181</v>
      </c>
      <c r="GU643" s="5">
        <v>254.29573314828914</v>
      </c>
      <c r="GV643" s="39" t="s">
        <v>392</v>
      </c>
      <c r="GW643" s="5">
        <v>492.375</v>
      </c>
      <c r="GX643" s="5">
        <v>369.28125</v>
      </c>
      <c r="GY643" s="5">
        <v>295.42500000000001</v>
      </c>
      <c r="GZ643" s="5">
        <v>260.68138716125202</v>
      </c>
      <c r="HA643" s="5">
        <v>254.29573314828914</v>
      </c>
      <c r="HB643" s="39">
        <v>276.59730637972552</v>
      </c>
      <c r="HC643" s="5">
        <v>335.36483570160732</v>
      </c>
      <c r="HD643" s="5">
        <v>271.98776275539944</v>
      </c>
      <c r="HE643" s="5">
        <v>270.57658857744036</v>
      </c>
      <c r="HF643" s="5">
        <v>245.3206142843834</v>
      </c>
      <c r="HG643" s="5">
        <v>230.46506461313521</v>
      </c>
      <c r="HH643" s="39">
        <v>270.65990853563954</v>
      </c>
      <c r="HI643" s="16"/>
      <c r="HJ643" s="19" t="str">
        <f t="shared" ref="HJ643:HK643" si="2056">HJ642</f>
        <v>On</v>
      </c>
      <c r="HK643" s="1" t="str">
        <f t="shared" si="2056"/>
        <v>On</v>
      </c>
      <c r="HL643" s="16"/>
      <c r="HM643" s="639">
        <f t="shared" si="2044"/>
        <v>4.9686942767030826E-2</v>
      </c>
      <c r="HN643" s="639">
        <f t="shared" si="2044"/>
        <v>2.6112822013589915E-3</v>
      </c>
      <c r="HO643" s="639">
        <f t="shared" si="2044"/>
        <v>3.166115353075552E-2</v>
      </c>
      <c r="HP643" s="644">
        <f t="shared" si="2042"/>
        <v>135.57087352418452</v>
      </c>
      <c r="HQ643" s="644">
        <f t="shared" si="2042"/>
        <v>120.01174038746056</v>
      </c>
      <c r="HR643" s="644">
        <f t="shared" si="2042"/>
        <v>254.72001600967278</v>
      </c>
      <c r="HS643" s="644">
        <f t="shared" si="2042"/>
        <v>-65.975379360669024</v>
      </c>
      <c r="HT643" s="644">
        <f t="shared" si="2042"/>
        <v>351.43431844477493</v>
      </c>
      <c r="HU643" s="644">
        <f t="shared" si="2042"/>
        <v>178.91226672677155</v>
      </c>
      <c r="HV643" s="644">
        <f t="shared" si="2042"/>
        <v>0</v>
      </c>
      <c r="HW643" s="644">
        <f t="shared" si="2042"/>
        <v>0</v>
      </c>
      <c r="HX643" s="644">
        <f t="shared" si="2042"/>
        <v>0</v>
      </c>
      <c r="HY643" s="644">
        <f t="shared" si="2042"/>
        <v>2388</v>
      </c>
      <c r="HZ643" s="644">
        <f t="shared" si="2042"/>
        <v>2518</v>
      </c>
      <c r="IA643" s="644">
        <f t="shared" si="2042"/>
        <v>2200</v>
      </c>
      <c r="IB643" s="644">
        <f t="shared" si="2042"/>
        <v>2457.5954941635155</v>
      </c>
      <c r="IC643" s="644">
        <f t="shared" si="2042"/>
        <v>2989.4460588322354</v>
      </c>
      <c r="ID643" s="644">
        <f t="shared" si="2042"/>
        <v>2633.6322827364438</v>
      </c>
      <c r="IE643" s="20">
        <f t="shared" si="1977"/>
        <v>0.30413249490360494</v>
      </c>
      <c r="IF643" s="20">
        <f t="shared" si="1956"/>
        <v>0.36995009569784965</v>
      </c>
      <c r="IG643" s="20">
        <f t="shared" si="1957"/>
        <v>0.32591740939854541</v>
      </c>
      <c r="IH643" s="21"/>
      <c r="II643" s="19"/>
      <c r="IJ643" s="19"/>
      <c r="IK643" s="19"/>
      <c r="IL643" s="19">
        <f t="shared" si="1978"/>
        <v>399.99999999999955</v>
      </c>
      <c r="IM643" s="19">
        <f t="shared" si="1978"/>
        <v>757.86137469243295</v>
      </c>
      <c r="IN643" s="19">
        <f t="shared" si="1978"/>
        <v>641.80244827682236</v>
      </c>
      <c r="IO643" s="39"/>
      <c r="IP643" s="39"/>
      <c r="IQ643" s="39"/>
      <c r="IR643" s="39"/>
      <c r="IS643" s="39"/>
      <c r="IT643" s="39"/>
      <c r="IU643" s="39"/>
      <c r="IV643" s="39"/>
      <c r="IW643" s="39"/>
      <c r="IX643" s="19">
        <f t="shared" si="2045"/>
        <v>1600</v>
      </c>
      <c r="IY643" s="19">
        <f t="shared" si="2045"/>
        <v>2503.549291639752</v>
      </c>
      <c r="IZ643" s="19">
        <f t="shared" si="2045"/>
        <v>5888.3563810918577</v>
      </c>
      <c r="JA643" s="19">
        <f t="shared" si="2046"/>
        <v>1999.9999999999995</v>
      </c>
      <c r="JB643" s="19">
        <f t="shared" si="2046"/>
        <v>3261.410666332185</v>
      </c>
      <c r="JC643" s="19">
        <f t="shared" si="2046"/>
        <v>6530.15882936868</v>
      </c>
      <c r="JD643" s="19">
        <f t="shared" si="1981"/>
        <v>3943.1166265556672</v>
      </c>
      <c r="JE643" s="21"/>
      <c r="JF643" s="1">
        <f t="shared" si="1982"/>
        <v>6.8844376252282569E-2</v>
      </c>
      <c r="JG643" s="15">
        <f t="shared" si="1983"/>
        <v>7106</v>
      </c>
      <c r="JH643" s="1">
        <f t="shared" si="1984"/>
        <v>7.1812922870998844E-2</v>
      </c>
      <c r="JI643" s="1">
        <f t="shared" si="1985"/>
        <v>6.5349170533475567E-2</v>
      </c>
      <c r="JJ643" s="1">
        <f t="shared" si="1962"/>
        <v>0</v>
      </c>
      <c r="JK643" s="1">
        <f t="shared" si="1963"/>
        <v>0.13716209340447441</v>
      </c>
      <c r="JL643" s="15">
        <f t="shared" si="2047"/>
        <v>974.67383573219524</v>
      </c>
      <c r="JM643" s="15">
        <f t="shared" si="2047"/>
        <v>8080.6738357321956</v>
      </c>
      <c r="JN643" s="21"/>
      <c r="JO643" s="19">
        <f>INDEX([1]Input!$1:$1048576,JO$93,$C643*2+6)</f>
        <v>5995.5</v>
      </c>
      <c r="JP643" s="19">
        <f>INDEX([1]Input!$1:$1048576,JP$93,$C643*2+6)</f>
        <v>1716.3055838443925</v>
      </c>
      <c r="JQ643" s="39">
        <f t="shared" si="1995"/>
        <v>2052.3833734443328</v>
      </c>
      <c r="JR643" s="39">
        <f t="shared" si="1996"/>
        <v>2226.8110427112747</v>
      </c>
      <c r="JS643" s="39">
        <f t="shared" si="1997"/>
        <v>31.863039355448979</v>
      </c>
      <c r="JT643" s="39">
        <f t="shared" si="1987"/>
        <v>19.666971876650727</v>
      </c>
      <c r="JU643" s="385">
        <f>(JQ643*JM643-INDEX([1]Input!$1:$1048576,[1]Input!A$18,$C643*2+6)*JL643*INDEX([1]Input!$1:$1048576,[1]Input!A$19,$C643*2+6))/1000000</f>
        <v>16.584640626683402</v>
      </c>
      <c r="JV643" s="39">
        <f t="shared" si="1966"/>
        <v>-13.823314894518347</v>
      </c>
      <c r="JW643" s="1">
        <f t="shared" si="2000"/>
        <v>-0.45459534051475875</v>
      </c>
      <c r="JX643" s="19">
        <f t="shared" si="2001"/>
        <v>20178.003302896184</v>
      </c>
      <c r="JZ643" s="341"/>
      <c r="KA643" s="60"/>
      <c r="KB643" s="469">
        <f t="shared" si="1988"/>
        <v>0</v>
      </c>
      <c r="KI643" s="472"/>
      <c r="KJ643" s="472"/>
      <c r="KK643" s="472"/>
      <c r="KN643" s="888">
        <f t="shared" si="1989"/>
        <v>6002</v>
      </c>
      <c r="KO643" s="541">
        <f t="shared" si="1967"/>
        <v>5.7384670425935314E-2</v>
      </c>
      <c r="KP643" s="546">
        <f t="shared" si="1968"/>
        <v>257.49060516267292</v>
      </c>
      <c r="KQ643" s="546">
        <f t="shared" si="1969"/>
        <v>345.66813626574049</v>
      </c>
      <c r="KR643" s="472">
        <f t="shared" si="1970"/>
        <v>3.5875199697699172</v>
      </c>
      <c r="KS643" s="472">
        <f t="shared" si="1971"/>
        <v>2.6723686424457513</v>
      </c>
      <c r="KT643" s="473">
        <f t="shared" si="1998"/>
        <v>2521.945896759994</v>
      </c>
      <c r="KU643" s="663">
        <f t="shared" si="1990"/>
        <v>11.009249454620655</v>
      </c>
      <c r="KV643" s="117"/>
    </row>
    <row r="644" spans="1:308" s="26" customFormat="1" ht="15">
      <c r="A644" s="561">
        <f t="shared" si="1972"/>
        <v>6044</v>
      </c>
      <c r="B644" s="561">
        <f t="shared" si="1991"/>
        <v>44</v>
      </c>
      <c r="C644" s="561">
        <f t="shared" si="1992"/>
        <v>6</v>
      </c>
      <c r="D644" s="561" t="str">
        <f t="shared" si="2028"/>
        <v xml:space="preserve">0/0/0/3.9, 360 Lease, </v>
      </c>
      <c r="E644" s="475">
        <f>INDEX(Input!$1:$1048576,E$93,$C644*2+MIN($B644,2)+5)
+INDEX(Scenarios!E$121:E$199,MATCH($B644,Scenarios!$B$121:$B$199,0))</f>
        <v>1250.0000000000002</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63">
        <f>IFERROR(MAX(0,INDEX(Input!$1:$1048576,W$93,$C644*2+MIN($B644,2)+5)-0%,),"Market")</f>
        <v>3.9E-2</v>
      </c>
      <c r="X644" s="476" t="str">
        <f>INDEX(Input!$1:$1048576,X$93,$C644*2+MIN($B644,2)+5)</f>
        <v>Y</v>
      </c>
      <c r="Y644" s="475">
        <f>INDEX(Input!$1:$1048576,Y$93,$C644*2+MIN($B644,2)+5)
++INDEX(Scenarios!Y$121:Y$199,MATCH($B644,Scenarios!$B$121:$B$199,0))</f>
        <v>2699.3275155115825</v>
      </c>
      <c r="Z644" s="477">
        <f>INDEX(Input!$1:$1048576,Z$93,$C644*2+MIN($B644,2)+5)
+INDEX(Scenarios!Z$121:Z$199,MATCH($B644,Scenarios!$B$121:$B$199,0))</f>
        <v>0</v>
      </c>
      <c r="AA644" s="475">
        <f>INDEX(Input!$1:$1048576,AA$93,$C644*2+MIN($B644,2)+5)</f>
        <v>0</v>
      </c>
      <c r="AB644" s="476">
        <f>INDEX(Input!$1:$1048576,AB$93,$C644*2+MIN($B644,2)+5)</f>
        <v>1</v>
      </c>
      <c r="AC644" s="475">
        <f>INDEX(Input!$1:$1048576,AC$93,$C644*2+MIN($B644,2)+5)
+INDEX(Scenarios!AC$121:AC$199,MATCH($B644,Scenarios!$B$121:$B$199,0))</f>
        <v>0</v>
      </c>
      <c r="AD644" s="476">
        <f>INDEX(Input!$1:$1048576,AD$93,$C644*2+MIN($B644,2)+5)</f>
        <v>0.35</v>
      </c>
      <c r="AE644" s="475">
        <f>INDEX(Input!$1:$1048576,AE$93,$C644*2+MIN($B644,2)+5)
+INDEX(Scenarios!AE$121:AE$199,MATCH($B644,Scenarios!$B$121:$B$199,0))</f>
        <v>0</v>
      </c>
      <c r="AF644" s="476">
        <f>INDEX(Input!$1:$1048576,AF$93,$C644*2+MIN($B644,2)+5)</f>
        <v>1</v>
      </c>
      <c r="AG644" s="475">
        <f>INDEX(Input!$1:$1048576,AG$93,$C644*2+MIN($B644,2)+5)</f>
        <v>0</v>
      </c>
      <c r="AH644" s="476">
        <f>INDEX(Input!$1:$1048576,AH$93,$C644*2+MIN($B644,2)+5)</f>
        <v>1</v>
      </c>
      <c r="AI644" s="475">
        <f>INDEX(Input!$1:$1048576,AI$93,$C644*2+MIN($B644,2)+5)</f>
        <v>0</v>
      </c>
      <c r="AJ644" s="476">
        <f>INDEX(Input!$1:$1048576,AJ$93,$C644*2+MIN($B644,2)+5)</f>
        <v>0.35</v>
      </c>
      <c r="AK644" s="150">
        <f>ROUND(INDEX(Input!$1:$1048576,AK$93,$C643*2+MIN($B644,1)+5)+(Y644-VLOOKUP($C644*1000+1,$A:$HH,Y$92,FALSE)),0)</f>
        <v>5453</v>
      </c>
      <c r="AL644" s="150">
        <f>ROUND(INDEX(Input!$1:$1048576,AL$93,$C643*2+MIN($B644,1)+5)-(Y644-VLOOKUP($C644*1000+1,$A:$HH,Y$92,FALSE))/36,0)</f>
        <v>5207</v>
      </c>
      <c r="AM644" s="32" t="str">
        <f t="shared" si="1973"/>
        <v>std/std/std/std</v>
      </c>
      <c r="AN644" s="32" t="str">
        <f t="shared" si="1974"/>
        <v>$0 + 0/0/0/0/3.9</v>
      </c>
      <c r="AO644" s="32" t="str">
        <f t="shared" si="1975"/>
        <v>0/0/0/0/3.9</v>
      </c>
      <c r="AP644" s="32" t="str">
        <f t="shared" si="1939"/>
        <v>0/0/0/3.9</v>
      </c>
      <c r="AQ644" s="536">
        <f t="shared" si="1940"/>
        <v>0.28774533960401044</v>
      </c>
      <c r="AR644" s="32"/>
      <c r="AS644" s="302"/>
      <c r="AT644" s="3">
        <f t="shared" si="1993"/>
        <v>44</v>
      </c>
      <c r="AU644" s="41" t="s">
        <v>121</v>
      </c>
      <c r="AV644" s="41" t="s">
        <v>116</v>
      </c>
      <c r="AW644" s="41" t="str">
        <f>INDEX(Input!$1:$1048576,AW$93,$C644*2+6)</f>
        <v>Kia</v>
      </c>
      <c r="AX644" s="41" t="str">
        <f>INDEX(Input!$1:$1048576,AX$93,$C644*2+6)</f>
        <v>National</v>
      </c>
      <c r="AY644" s="41" t="str">
        <f>IF(LEN(D644)=0,"",INDEX(Input!$1:$1048576,AY$93,$C644*2+6))</f>
        <v>Compact Conventional/Sporty Car (43)</v>
      </c>
      <c r="AZ644" s="41" t="str">
        <f>INDEX(Input!$1:$1048576,AZ$93,$C644*2+6)</f>
        <v>Kia Forte</v>
      </c>
      <c r="BA644" s="3">
        <f>INDEX(Input!$1:$1048576,BA$93,$C644*2+6)</f>
        <v>2020</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19695</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941"/>
        <v>1465.0000000000002</v>
      </c>
      <c r="CJ644" s="16" t="str">
        <f>INDEX(Input!$1:$1048576,CJ$93,$C644*2+6)</f>
        <v>N</v>
      </c>
      <c r="CK644" s="1" t="str">
        <f t="shared" si="1942"/>
        <v>Market</v>
      </c>
      <c r="CL644" s="1" t="str">
        <f t="shared" si="1943"/>
        <v>Market</v>
      </c>
      <c r="CM644" s="1" t="str">
        <f t="shared" si="1944"/>
        <v>Market</v>
      </c>
      <c r="CN644" s="1" t="str">
        <f t="shared" si="1945"/>
        <v>Market</v>
      </c>
      <c r="CO644" s="1" t="str">
        <f t="shared" si="1946"/>
        <v>Market</v>
      </c>
      <c r="CP644" s="304">
        <f t="shared" si="1947"/>
        <v>0</v>
      </c>
      <c r="CQ644" s="1">
        <f t="shared" si="1948"/>
        <v>0</v>
      </c>
      <c r="CR644" s="1">
        <f t="shared" si="1949"/>
        <v>0</v>
      </c>
      <c r="CS644" s="1">
        <f t="shared" si="1950"/>
        <v>0</v>
      </c>
      <c r="CT644" s="1">
        <f t="shared" si="1951"/>
        <v>0</v>
      </c>
      <c r="CU644" s="1">
        <f t="shared" si="1952"/>
        <v>3.9E-2</v>
      </c>
      <c r="CV644" s="304">
        <f t="shared" si="2013"/>
        <v>2699.3275155115825</v>
      </c>
      <c r="CW644" s="20" t="s">
        <v>122</v>
      </c>
      <c r="CX644" s="20" t="s">
        <v>122</v>
      </c>
      <c r="CY644" s="20" t="s">
        <v>122</v>
      </c>
      <c r="CZ644" s="20" t="s">
        <v>122</v>
      </c>
      <c r="DA644" s="20" t="s">
        <v>122</v>
      </c>
      <c r="DB644" s="503">
        <f t="shared" si="2014"/>
        <v>0</v>
      </c>
      <c r="DC644" s="127">
        <v>0</v>
      </c>
      <c r="DD644" s="127">
        <v>0</v>
      </c>
      <c r="DE644" s="127">
        <v>0</v>
      </c>
      <c r="DF644" s="127">
        <v>0</v>
      </c>
      <c r="DG644" s="127">
        <v>0</v>
      </c>
      <c r="DH644" s="127">
        <v>0</v>
      </c>
      <c r="DI644" s="127">
        <v>0</v>
      </c>
      <c r="DJ644" s="127">
        <v>0</v>
      </c>
      <c r="DK644" s="127">
        <v>0</v>
      </c>
      <c r="DL644" s="127">
        <v>0</v>
      </c>
      <c r="DM644" s="304">
        <f>INDEX(Input!$1:$1048576,DM$93,$C644*2+6)</f>
        <v>20731.578947368424</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v>4.815880270947813E-2</v>
      </c>
      <c r="DZ644" s="7">
        <v>0</v>
      </c>
      <c r="EA644" s="7">
        <v>0.75853675144508725</v>
      </c>
      <c r="EB644" s="7">
        <v>0</v>
      </c>
      <c r="EC644" s="7">
        <v>0</v>
      </c>
      <c r="ED644" s="7">
        <v>0</v>
      </c>
      <c r="EE644" s="7">
        <v>0</v>
      </c>
      <c r="EF644" s="7">
        <v>0</v>
      </c>
      <c r="EG644" s="7">
        <v>0</v>
      </c>
      <c r="EH644" s="7">
        <v>2.0603413392187894E-2</v>
      </c>
      <c r="EI644" s="7">
        <v>1.3474057810258282E-2</v>
      </c>
      <c r="EJ644" s="7">
        <v>0.21141504461352886</v>
      </c>
      <c r="EK644" s="7">
        <v>0.75450748418402425</v>
      </c>
      <c r="EL644" s="7">
        <v>0</v>
      </c>
      <c r="EM644" s="7">
        <v>3.6131166743121154E-2</v>
      </c>
      <c r="EN644" s="7">
        <v>3.632997030096289E-2</v>
      </c>
      <c r="EO644" s="7">
        <v>0.3848193561256612</v>
      </c>
      <c r="EP644" s="7">
        <v>0.48123604983034934</v>
      </c>
      <c r="EQ644" s="7">
        <v>7.4195130684180641E-2</v>
      </c>
      <c r="ER644" s="7">
        <v>2.3419493058846268E-2</v>
      </c>
      <c r="ES644" s="7">
        <v>0.15717327910231343</v>
      </c>
      <c r="ET644" s="7">
        <v>0.19330444584543463</v>
      </c>
      <c r="EU644" s="6">
        <v>750</v>
      </c>
      <c r="EV644" s="6">
        <v>0</v>
      </c>
      <c r="EW644" s="6">
        <v>750</v>
      </c>
      <c r="EX644" s="6">
        <v>0</v>
      </c>
      <c r="EY644" s="6">
        <v>2156.2673321423008</v>
      </c>
      <c r="EZ644" s="6">
        <v>-1194.2676731795959</v>
      </c>
      <c r="FA644" s="6">
        <v>0</v>
      </c>
      <c r="FB644" s="6">
        <v>0</v>
      </c>
      <c r="FC644" s="6">
        <v>0</v>
      </c>
      <c r="FD644" s="6">
        <v>0</v>
      </c>
      <c r="FE644" s="6">
        <v>0</v>
      </c>
      <c r="FF644" s="6">
        <v>0</v>
      </c>
      <c r="FG644" s="6">
        <v>0</v>
      </c>
      <c r="FH644" s="6">
        <v>1158.6071446016877</v>
      </c>
      <c r="FI644" s="6">
        <v>1531.4299904380616</v>
      </c>
      <c r="FJ644" s="6">
        <v>2070.7205842538219</v>
      </c>
      <c r="FK644" s="6">
        <v>2218.6393698501024</v>
      </c>
      <c r="FL644" s="6">
        <v>0</v>
      </c>
      <c r="FM644" s="6">
        <v>2156.2673321423008</v>
      </c>
      <c r="FN644" s="6">
        <v>0</v>
      </c>
      <c r="FO644" s="6">
        <v>0</v>
      </c>
      <c r="FP644" s="6">
        <v>0</v>
      </c>
      <c r="FQ644" s="6">
        <v>0</v>
      </c>
      <c r="FR644" s="6">
        <v>0</v>
      </c>
      <c r="FS644" s="6">
        <v>0</v>
      </c>
      <c r="FT644" s="7">
        <v>0.8066955541545654</v>
      </c>
      <c r="FU644" s="7">
        <v>3.6131166743121154E-2</v>
      </c>
      <c r="FV644" s="7">
        <v>0.15717327910231343</v>
      </c>
      <c r="FW644" s="6">
        <v>750</v>
      </c>
      <c r="FX644" s="6">
        <v>2156.2673321423008</v>
      </c>
      <c r="FY644" s="6">
        <v>-1194.2676731795959</v>
      </c>
      <c r="FZ644" s="6">
        <v>1676.0854837363124</v>
      </c>
      <c r="GA644" s="6">
        <v>495.22315381677538</v>
      </c>
      <c r="GB644" s="6">
        <v>19199.776846183224</v>
      </c>
      <c r="GC644" s="7">
        <v>6.4493561548621597E-2</v>
      </c>
      <c r="GD644" s="7">
        <v>5.3715159291987176E-2</v>
      </c>
      <c r="GE644" s="7"/>
      <c r="GF644" s="7"/>
      <c r="GG644" s="7">
        <v>-0.16712369417695441</v>
      </c>
      <c r="GH644" s="42">
        <v>2.7873707827053789</v>
      </c>
      <c r="GI644" s="6">
        <v>7561.0215478446917</v>
      </c>
      <c r="GJ644" s="14">
        <v>0.51596255589662343</v>
      </c>
      <c r="GK644" s="14">
        <v>0.51419567426615975</v>
      </c>
      <c r="GL644" s="14">
        <v>0.48403744410337679</v>
      </c>
      <c r="GM644" s="14">
        <v>0.48580432573384064</v>
      </c>
      <c r="GO644" s="5">
        <v>338.16872463277008</v>
      </c>
      <c r="GP644" s="5">
        <v>323.86015542600148</v>
      </c>
      <c r="GQ644" s="5">
        <v>527.27910984145694</v>
      </c>
      <c r="GR644" s="5">
        <v>404.20319246551543</v>
      </c>
      <c r="GS644" s="5">
        <v>334.50205195691484</v>
      </c>
      <c r="GT644" s="5">
        <v>289.18266033348181</v>
      </c>
      <c r="GU644" s="5">
        <v>254.29573314828914</v>
      </c>
      <c r="GV644" s="39" t="s">
        <v>392</v>
      </c>
      <c r="GW644" s="5">
        <v>492.375</v>
      </c>
      <c r="GX644" s="5">
        <v>369.28125</v>
      </c>
      <c r="GY644" s="5">
        <v>295.42500000000001</v>
      </c>
      <c r="GZ644" s="5">
        <v>252.98666951271395</v>
      </c>
      <c r="HA644" s="5">
        <v>254.29573314828914</v>
      </c>
      <c r="HB644" s="39">
        <v>268.45794768080771</v>
      </c>
      <c r="HC644" s="5">
        <v>335.36483570160732</v>
      </c>
      <c r="HD644" s="5">
        <v>271.98776275539944</v>
      </c>
      <c r="HE644" s="5">
        <v>270.57658857744036</v>
      </c>
      <c r="HF644" s="5">
        <v>245.3206142843834</v>
      </c>
      <c r="HG644" s="5">
        <v>230.46506461313521</v>
      </c>
      <c r="HH644" s="39">
        <v>270.66012893956474</v>
      </c>
      <c r="HI644" s="16"/>
      <c r="HJ644" s="19" t="str">
        <f t="shared" ref="HJ644:HK644" si="2057">HJ643</f>
        <v>On</v>
      </c>
      <c r="HK644" s="1" t="str">
        <f t="shared" si="2057"/>
        <v>On</v>
      </c>
      <c r="HL644" s="16"/>
      <c r="HM644" s="639">
        <f t="shared" si="2044"/>
        <v>4.9686942767030826E-2</v>
      </c>
      <c r="HN644" s="639">
        <f t="shared" si="2044"/>
        <v>2.6112822013589915E-3</v>
      </c>
      <c r="HO644" s="639">
        <f t="shared" si="2044"/>
        <v>3.166115353075552E-2</v>
      </c>
      <c r="HP644" s="644">
        <f t="shared" si="2042"/>
        <v>75.31845375491919</v>
      </c>
      <c r="HQ644" s="644">
        <f t="shared" si="2042"/>
        <v>270.33104733568882</v>
      </c>
      <c r="HR644" s="644">
        <f t="shared" si="2042"/>
        <v>230.40893224196904</v>
      </c>
      <c r="HS644" s="644">
        <f t="shared" si="2042"/>
        <v>-66.892250991488808</v>
      </c>
      <c r="HT644" s="644">
        <f t="shared" si="2042"/>
        <v>533.29317933869913</v>
      </c>
      <c r="HU644" s="644">
        <f t="shared" si="2042"/>
        <v>179.82913835759135</v>
      </c>
      <c r="HV644" s="644">
        <f t="shared" si="2042"/>
        <v>0</v>
      </c>
      <c r="HW644" s="644">
        <f t="shared" si="2042"/>
        <v>0</v>
      </c>
      <c r="HX644" s="644">
        <f t="shared" si="2042"/>
        <v>0</v>
      </c>
      <c r="HY644" s="644">
        <f t="shared" si="2042"/>
        <v>2388</v>
      </c>
      <c r="HZ644" s="644">
        <f t="shared" si="2042"/>
        <v>2518</v>
      </c>
      <c r="IA644" s="644">
        <f t="shared" si="2042"/>
        <v>2200</v>
      </c>
      <c r="IB644" s="644">
        <f t="shared" si="2042"/>
        <v>2396.4262027634304</v>
      </c>
      <c r="IC644" s="644">
        <f t="shared" si="2042"/>
        <v>3321.624226674388</v>
      </c>
      <c r="ID644" s="644">
        <f t="shared" si="2042"/>
        <v>2610.2380705995602</v>
      </c>
      <c r="IE644" s="20">
        <f t="shared" si="1977"/>
        <v>0.28774533960401044</v>
      </c>
      <c r="IF644" s="20">
        <f t="shared" si="1956"/>
        <v>0.39883635475157708</v>
      </c>
      <c r="IG644" s="20">
        <f t="shared" si="1957"/>
        <v>0.31341830564441242</v>
      </c>
      <c r="IH644" s="21"/>
      <c r="II644" s="19"/>
      <c r="IJ644" s="19"/>
      <c r="IK644" s="19"/>
      <c r="IL644" s="19">
        <f t="shared" si="1978"/>
        <v>400.00000000000023</v>
      </c>
      <c r="IM644" s="19">
        <f t="shared" si="1978"/>
        <v>1133.7930338868505</v>
      </c>
      <c r="IN644" s="19">
        <f t="shared" si="1978"/>
        <v>642.95748660010577</v>
      </c>
      <c r="IO644" s="39"/>
      <c r="IP644" s="39"/>
      <c r="IQ644" s="39"/>
      <c r="IR644" s="39"/>
      <c r="IS644" s="39"/>
      <c r="IT644" s="39"/>
      <c r="IU644" s="39"/>
      <c r="IV644" s="39"/>
      <c r="IW644" s="39"/>
      <c r="IX644" s="19">
        <f t="shared" si="2045"/>
        <v>1600</v>
      </c>
      <c r="IY644" s="19">
        <f t="shared" si="2045"/>
        <v>2503.549291639752</v>
      </c>
      <c r="IZ644" s="19">
        <f t="shared" si="2045"/>
        <v>5888.3563810918577</v>
      </c>
      <c r="JA644" s="19">
        <f t="shared" si="2046"/>
        <v>2000.0000000000002</v>
      </c>
      <c r="JB644" s="19">
        <f t="shared" si="2046"/>
        <v>3637.3423255266025</v>
      </c>
      <c r="JC644" s="19">
        <f t="shared" si="2046"/>
        <v>6531.3138676919634</v>
      </c>
      <c r="JD644" s="19">
        <f t="shared" si="1981"/>
        <v>4073.2283593485445</v>
      </c>
      <c r="JE644" s="21"/>
      <c r="JF644" s="1">
        <f t="shared" si="1982"/>
        <v>6.8844376252282569E-2</v>
      </c>
      <c r="JG644" s="15">
        <f t="shared" si="1983"/>
        <v>7106</v>
      </c>
      <c r="JH644" s="1">
        <f t="shared" si="1984"/>
        <v>8.1066483722569235E-2</v>
      </c>
      <c r="JI644" s="1">
        <f t="shared" si="1985"/>
        <v>9.094146730999178E-2</v>
      </c>
      <c r="JJ644" s="1">
        <f t="shared" si="1962"/>
        <v>0</v>
      </c>
      <c r="JK644" s="1">
        <f t="shared" si="1963"/>
        <v>0.17200795103256103</v>
      </c>
      <c r="JL644" s="15">
        <f t="shared" si="2047"/>
        <v>1222.2885000373788</v>
      </c>
      <c r="JM644" s="15">
        <f t="shared" si="2047"/>
        <v>8328.288500037379</v>
      </c>
      <c r="JN644" s="21"/>
      <c r="JO644" s="19">
        <f>INDEX([1]Input!$1:$1048576,JO$93,$C644*2+6)</f>
        <v>5995.5</v>
      </c>
      <c r="JP644" s="19">
        <f>INDEX([1]Input!$1:$1048576,JP$93,$C644*2+6)</f>
        <v>1716.3055838443925</v>
      </c>
      <c r="JQ644" s="39">
        <f t="shared" si="1995"/>
        <v>1922.2716406514555</v>
      </c>
      <c r="JR644" s="39">
        <f t="shared" si="1996"/>
        <v>2356.922775504152</v>
      </c>
      <c r="JS644" s="39">
        <f t="shared" si="1997"/>
        <v>33.923020903188601</v>
      </c>
      <c r="JT644" s="39">
        <f t="shared" si="1987"/>
        <v>21.726953424390345</v>
      </c>
      <c r="JU644" s="385">
        <f>(JQ644*JM644-INDEX([1]Input!$1:$1048576,[1]Input!A$18,$C644*2+6)*JL644*INDEX([1]Input!$1:$1048576,[1]Input!A$19,$C644*2+6))/1000000</f>
        <v>16.009232798785501</v>
      </c>
      <c r="JV644" s="39">
        <f t="shared" si="1966"/>
        <v>-14.398722722416249</v>
      </c>
      <c r="JW644" s="1">
        <f t="shared" si="2000"/>
        <v>-0.47351827755657011</v>
      </c>
      <c r="JX644" s="19">
        <f t="shared" si="2001"/>
        <v>17775.634331604946</v>
      </c>
      <c r="JZ644" s="341"/>
      <c r="KA644" s="60"/>
      <c r="KB644" s="469">
        <f t="shared" si="1988"/>
        <v>0</v>
      </c>
      <c r="KI644" s="472"/>
      <c r="KJ644" s="472"/>
      <c r="KK644" s="472"/>
      <c r="KN644" s="888">
        <f t="shared" si="1989"/>
        <v>6002</v>
      </c>
      <c r="KO644" s="541">
        <f t="shared" si="1967"/>
        <v>8.9785922540727592E-2</v>
      </c>
      <c r="KP644" s="546">
        <f t="shared" si="1968"/>
        <v>413.32443122862531</v>
      </c>
      <c r="KQ644" s="546">
        <f t="shared" si="1969"/>
        <v>475.77986905861781</v>
      </c>
      <c r="KR644" s="472">
        <f t="shared" si="1970"/>
        <v>3.4968499409770737</v>
      </c>
      <c r="KS644" s="472">
        <f t="shared" si="1971"/>
        <v>3.0378198131962804</v>
      </c>
      <c r="KT644" s="473">
        <f t="shared" si="1998"/>
        <v>2521.945896759994</v>
      </c>
      <c r="KU644" s="663">
        <f t="shared" si="1990"/>
        <v>11.132323935397579</v>
      </c>
      <c r="KV644" s="117"/>
    </row>
    <row r="645" spans="1:308" s="26" customFormat="1" ht="15">
      <c r="A645" s="561">
        <f t="shared" si="1972"/>
        <v>6045</v>
      </c>
      <c r="B645" s="561">
        <f t="shared" si="1991"/>
        <v>45</v>
      </c>
      <c r="C645" s="561">
        <f t="shared" si="1992"/>
        <v>6</v>
      </c>
      <c r="D645" s="561" t="str">
        <f t="shared" si="2028"/>
        <v xml:space="preserve">0/0/0/3.9, 360 Lease, </v>
      </c>
      <c r="E645" s="475">
        <f>INDEX(Input!$1:$1048576,E$93,$C645*2+MIN($B645,2)+5)
+INDEX(Scenarios!E$121:E$199,MATCH($B645,Scenarios!$B$121:$B$199,0))</f>
        <v>1250.0000000000002</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63">
        <f>IFERROR(MAX(0,INDEX(Input!$1:$1048576,W$93,$C645*2+MIN($B645,2)+5)-0%,),"Market")</f>
        <v>3.9E-2</v>
      </c>
      <c r="X645" s="476" t="str">
        <f>INDEX(Input!$1:$1048576,X$93,$C645*2+MIN($B645,2)+5)</f>
        <v>Y</v>
      </c>
      <c r="Y645" s="475">
        <f>INDEX(Input!$1:$1048576,Y$93,$C645*2+MIN($B645,2)+5)
++INDEX(Scenarios!Y$121:Y$199,MATCH($B645,Scenarios!$B$121:$B$199,0))</f>
        <v>2699.3275155115825</v>
      </c>
      <c r="Z645" s="477">
        <f>INDEX(Input!$1:$1048576,Z$93,$C645*2+MIN($B645,2)+5)
+INDEX(Scenarios!Z$121:Z$199,MATCH($B645,Scenarios!$B$121:$B$199,0))</f>
        <v>0</v>
      </c>
      <c r="AA645" s="475">
        <f>INDEX(Input!$1:$1048576,AA$93,$C645*2+MIN($B645,2)+5)</f>
        <v>0</v>
      </c>
      <c r="AB645" s="476">
        <f>INDEX(Input!$1:$1048576,AB$93,$C645*2+MIN($B645,2)+5)</f>
        <v>1</v>
      </c>
      <c r="AC645" s="475">
        <f>INDEX(Input!$1:$1048576,AC$93,$C645*2+MIN($B645,2)+5)
+INDEX(Scenarios!AC$121:AC$199,MATCH($B645,Scenarios!$B$121:$B$199,0))</f>
        <v>0</v>
      </c>
      <c r="AD645" s="476">
        <f>INDEX(Input!$1:$1048576,AD$93,$C645*2+MIN($B645,2)+5)</f>
        <v>0.35</v>
      </c>
      <c r="AE645" s="475">
        <f>INDEX(Input!$1:$1048576,AE$93,$C645*2+MIN($B645,2)+5)
+INDEX(Scenarios!AE$121:AE$199,MATCH($B645,Scenarios!$B$121:$B$199,0))</f>
        <v>0</v>
      </c>
      <c r="AF645" s="476">
        <f>INDEX(Input!$1:$1048576,AF$93,$C645*2+MIN($B645,2)+5)</f>
        <v>1</v>
      </c>
      <c r="AG645" s="475">
        <f>INDEX(Input!$1:$1048576,AG$93,$C645*2+MIN($B645,2)+5)</f>
        <v>0</v>
      </c>
      <c r="AH645" s="476">
        <f>INDEX(Input!$1:$1048576,AH$93,$C645*2+MIN($B645,2)+5)</f>
        <v>1</v>
      </c>
      <c r="AI645" s="475">
        <f>INDEX(Input!$1:$1048576,AI$93,$C645*2+MIN($B645,2)+5)</f>
        <v>0</v>
      </c>
      <c r="AJ645" s="476">
        <f>INDEX(Input!$1:$1048576,AJ$93,$C645*2+MIN($B645,2)+5)</f>
        <v>0.35</v>
      </c>
      <c r="AK645" s="150">
        <f>ROUND(INDEX(Input!$1:$1048576,AK$93,$C644*2+MIN($B645,1)+5)+(Y645-VLOOKUP($C645*1000+1,$A:$HH,Y$92,FALSE)),0)</f>
        <v>5453</v>
      </c>
      <c r="AL645" s="150">
        <f>ROUND(INDEX(Input!$1:$1048576,AL$93,$C644*2+MIN($B645,1)+5)-(Y645-VLOOKUP($C645*1000+1,$A:$HH,Y$92,FALSE))/36,0)</f>
        <v>5207</v>
      </c>
      <c r="AM645" s="32" t="str">
        <f t="shared" si="1973"/>
        <v>std/std/std/std</v>
      </c>
      <c r="AN645" s="32" t="str">
        <f t="shared" si="1974"/>
        <v>$0 + 0/0/0/0/3.9</v>
      </c>
      <c r="AO645" s="32" t="str">
        <f t="shared" si="1975"/>
        <v>0/0/0/0/3.9</v>
      </c>
      <c r="AP645" s="32" t="str">
        <f t="shared" si="1939"/>
        <v>0/0/0/3.9</v>
      </c>
      <c r="AQ645" s="536">
        <f t="shared" si="1940"/>
        <v>0.28774533960401044</v>
      </c>
      <c r="AR645" s="32"/>
      <c r="AS645" s="302"/>
      <c r="AT645" s="3">
        <f t="shared" si="1993"/>
        <v>45</v>
      </c>
      <c r="AU645" s="41" t="s">
        <v>121</v>
      </c>
      <c r="AV645" s="41" t="s">
        <v>116</v>
      </c>
      <c r="AW645" s="41" t="str">
        <f>INDEX(Input!$1:$1048576,AW$93,$C645*2+6)</f>
        <v>Kia</v>
      </c>
      <c r="AX645" s="41" t="str">
        <f>INDEX(Input!$1:$1048576,AX$93,$C645*2+6)</f>
        <v>National</v>
      </c>
      <c r="AY645" s="41" t="str">
        <f>IF(LEN(D645)=0,"",INDEX(Input!$1:$1048576,AY$93,$C645*2+6))</f>
        <v>Compact Conventional/Sporty Car (43)</v>
      </c>
      <c r="AZ645" s="41" t="str">
        <f>INDEX(Input!$1:$1048576,AZ$93,$C645*2+6)</f>
        <v>Kia Forte</v>
      </c>
      <c r="BA645" s="3">
        <f>INDEX(Input!$1:$1048576,BA$93,$C645*2+6)</f>
        <v>2020</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19695</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941"/>
        <v>1465.0000000000002</v>
      </c>
      <c r="CJ645" s="16" t="str">
        <f>INDEX(Input!$1:$1048576,CJ$93,$C645*2+6)</f>
        <v>N</v>
      </c>
      <c r="CK645" s="1" t="str">
        <f t="shared" si="1942"/>
        <v>Market</v>
      </c>
      <c r="CL645" s="1" t="str">
        <f t="shared" si="1943"/>
        <v>Market</v>
      </c>
      <c r="CM645" s="1" t="str">
        <f t="shared" si="1944"/>
        <v>Market</v>
      </c>
      <c r="CN645" s="1" t="str">
        <f t="shared" si="1945"/>
        <v>Market</v>
      </c>
      <c r="CO645" s="1" t="str">
        <f t="shared" si="1946"/>
        <v>Market</v>
      </c>
      <c r="CP645" s="304">
        <f t="shared" si="1947"/>
        <v>0</v>
      </c>
      <c r="CQ645" s="1">
        <f t="shared" si="1948"/>
        <v>0</v>
      </c>
      <c r="CR645" s="1">
        <f t="shared" si="1949"/>
        <v>0</v>
      </c>
      <c r="CS645" s="1">
        <f t="shared" si="1950"/>
        <v>0</v>
      </c>
      <c r="CT645" s="1">
        <f t="shared" si="1951"/>
        <v>0</v>
      </c>
      <c r="CU645" s="1">
        <f t="shared" si="1952"/>
        <v>3.9E-2</v>
      </c>
      <c r="CV645" s="304">
        <f t="shared" si="2013"/>
        <v>2699.3275155115825</v>
      </c>
      <c r="CW645" s="20" t="s">
        <v>122</v>
      </c>
      <c r="CX645" s="20" t="s">
        <v>122</v>
      </c>
      <c r="CY645" s="20" t="s">
        <v>122</v>
      </c>
      <c r="CZ645" s="20" t="s">
        <v>122</v>
      </c>
      <c r="DA645" s="20" t="s">
        <v>122</v>
      </c>
      <c r="DB645" s="503">
        <f t="shared" si="2014"/>
        <v>0</v>
      </c>
      <c r="DC645" s="127">
        <v>0</v>
      </c>
      <c r="DD645" s="127">
        <v>0</v>
      </c>
      <c r="DE645" s="127">
        <v>0</v>
      </c>
      <c r="DF645" s="127">
        <v>0</v>
      </c>
      <c r="DG645" s="127">
        <v>0</v>
      </c>
      <c r="DH645" s="127">
        <v>0</v>
      </c>
      <c r="DI645" s="127">
        <v>0</v>
      </c>
      <c r="DJ645" s="127">
        <v>0</v>
      </c>
      <c r="DK645" s="127">
        <v>0</v>
      </c>
      <c r="DL645" s="127">
        <v>0</v>
      </c>
      <c r="DM645" s="304">
        <f>INDEX(Input!$1:$1048576,DM$93,$C645*2+6)</f>
        <v>20731.578947368424</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v>4.7876585847844023E-2</v>
      </c>
      <c r="DZ645" s="7">
        <v>0</v>
      </c>
      <c r="EA645" s="7">
        <v>0.75436576873696848</v>
      </c>
      <c r="EB645" s="7">
        <v>0</v>
      </c>
      <c r="EC645" s="7">
        <v>0</v>
      </c>
      <c r="ED645" s="7">
        <v>0</v>
      </c>
      <c r="EE645" s="7">
        <v>0</v>
      </c>
      <c r="EF645" s="7">
        <v>0</v>
      </c>
      <c r="EG645" s="7">
        <v>0</v>
      </c>
      <c r="EH645" s="7">
        <v>1.7821654604338311E-2</v>
      </c>
      <c r="EI645" s="7">
        <v>1.1655501551466094E-2</v>
      </c>
      <c r="EJ645" s="7">
        <v>0.18286876493249507</v>
      </c>
      <c r="EK645" s="7">
        <v>0.78765407891170047</v>
      </c>
      <c r="EL645" s="7">
        <v>0</v>
      </c>
      <c r="EM645" s="7">
        <v>4.1517811818776902E-2</v>
      </c>
      <c r="EN645" s="7">
        <v>3.6333815796345113E-2</v>
      </c>
      <c r="EO645" s="7">
        <v>0.38480940900605193</v>
      </c>
      <c r="EP645" s="7">
        <v>0.48124228857681406</v>
      </c>
      <c r="EQ645" s="7">
        <v>7.419408882631244E-2</v>
      </c>
      <c r="ER645" s="7">
        <v>2.3420397794476387E-2</v>
      </c>
      <c r="ES645" s="7">
        <v>0.15623983359641072</v>
      </c>
      <c r="ET645" s="7">
        <v>0.19775764541518748</v>
      </c>
      <c r="EU645" s="6">
        <v>750</v>
      </c>
      <c r="EV645" s="6">
        <v>0</v>
      </c>
      <c r="EW645" s="6">
        <v>750</v>
      </c>
      <c r="EX645" s="6">
        <v>0</v>
      </c>
      <c r="EY645" s="6">
        <v>2492.9480877934111</v>
      </c>
      <c r="EZ645" s="6">
        <v>-1194.2676731795959</v>
      </c>
      <c r="FA645" s="6">
        <v>0</v>
      </c>
      <c r="FB645" s="6">
        <v>0</v>
      </c>
      <c r="FC645" s="6">
        <v>0</v>
      </c>
      <c r="FD645" s="6">
        <v>0</v>
      </c>
      <c r="FE645" s="6">
        <v>0</v>
      </c>
      <c r="FF645" s="6">
        <v>0</v>
      </c>
      <c r="FG645" s="6">
        <v>0</v>
      </c>
      <c r="FH645" s="6">
        <v>1158.6063966445759</v>
      </c>
      <c r="FI645" s="6">
        <v>1531.4299904380618</v>
      </c>
      <c r="FJ645" s="6">
        <v>2070.7205842538224</v>
      </c>
      <c r="FK645" s="6">
        <v>2635.3956133202923</v>
      </c>
      <c r="FL645" s="6">
        <v>0</v>
      </c>
      <c r="FM645" s="6">
        <v>2492.9480877934111</v>
      </c>
      <c r="FN645" s="6">
        <v>0</v>
      </c>
      <c r="FO645" s="6">
        <v>0</v>
      </c>
      <c r="FP645" s="6">
        <v>0</v>
      </c>
      <c r="FQ645" s="6">
        <v>0</v>
      </c>
      <c r="FR645" s="6">
        <v>0</v>
      </c>
      <c r="FS645" s="6">
        <v>0</v>
      </c>
      <c r="FT645" s="7">
        <v>0.80224235458481252</v>
      </c>
      <c r="FU645" s="7">
        <v>4.1517811818776902E-2</v>
      </c>
      <c r="FV645" s="7">
        <v>0.15623983359641072</v>
      </c>
      <c r="FW645" s="6">
        <v>750</v>
      </c>
      <c r="FX645" s="6">
        <v>2492.9480877934111</v>
      </c>
      <c r="FY645" s="6">
        <v>-1194.2676731795959</v>
      </c>
      <c r="FZ645" s="6">
        <v>1676.0854837363124</v>
      </c>
      <c r="GA645" s="6">
        <v>518.59133299444329</v>
      </c>
      <c r="GB645" s="6">
        <v>19176.408667005555</v>
      </c>
      <c r="GC645" s="7">
        <v>6.4493561548621597E-2</v>
      </c>
      <c r="GD645" s="7">
        <v>5.3870745068627109E-2</v>
      </c>
      <c r="GE645" s="7"/>
      <c r="GF645" s="7"/>
      <c r="GG645" s="7">
        <v>-0.16471127078299069</v>
      </c>
      <c r="GH645" s="42">
        <v>2.8025960010180975</v>
      </c>
      <c r="GI645" s="6">
        <v>7546.0044859588397</v>
      </c>
      <c r="GJ645" s="14">
        <v>0.51596255589662299</v>
      </c>
      <c r="GK645" s="14">
        <v>0.51419567426615964</v>
      </c>
      <c r="GL645" s="14">
        <v>0.48403744410337668</v>
      </c>
      <c r="GM645" s="14">
        <v>0.48580432573384036</v>
      </c>
      <c r="GO645" s="5">
        <v>338.16872463277008</v>
      </c>
      <c r="GP645" s="5">
        <v>323.86015542600148</v>
      </c>
      <c r="GQ645" s="5">
        <v>527.27910984145694</v>
      </c>
      <c r="GR645" s="5">
        <v>404.20319246551543</v>
      </c>
      <c r="GS645" s="5">
        <v>334.50205195691484</v>
      </c>
      <c r="GT645" s="5">
        <v>289.18266033348181</v>
      </c>
      <c r="GU645" s="5">
        <v>254.29573314828914</v>
      </c>
      <c r="GV645" s="39" t="s">
        <v>392</v>
      </c>
      <c r="GW645" s="5">
        <v>492.375</v>
      </c>
      <c r="GX645" s="5">
        <v>369.28125</v>
      </c>
      <c r="GY645" s="5">
        <v>295.42500000000001</v>
      </c>
      <c r="GZ645" s="5">
        <v>246.1875</v>
      </c>
      <c r="HA645" s="5">
        <v>254.29573314828914</v>
      </c>
      <c r="HB645" s="39">
        <v>261.01368880037006</v>
      </c>
      <c r="HC645" s="5">
        <v>335.36483570160732</v>
      </c>
      <c r="HD645" s="5">
        <v>271.98776275539944</v>
      </c>
      <c r="HE645" s="5">
        <v>270.57658857744036</v>
      </c>
      <c r="HF645" s="5">
        <v>245.3206142843834</v>
      </c>
      <c r="HG645" s="5">
        <v>230.46506461313521</v>
      </c>
      <c r="HH645" s="39">
        <v>270.66035406816212</v>
      </c>
      <c r="HI645" s="16"/>
      <c r="HJ645" s="19" t="str">
        <f t="shared" ref="HJ645:HK645" si="2058">HJ644</f>
        <v>On</v>
      </c>
      <c r="HK645" s="1" t="str">
        <f t="shared" si="2058"/>
        <v>On</v>
      </c>
      <c r="HL645" s="16"/>
      <c r="HM645" s="639">
        <f t="shared" si="2044"/>
        <v>4.9686942767030826E-2</v>
      </c>
      <c r="HN645" s="639">
        <f t="shared" si="2044"/>
        <v>2.6112822013589915E-3</v>
      </c>
      <c r="HO645" s="639">
        <f t="shared" si="2044"/>
        <v>3.166115353075552E-2</v>
      </c>
      <c r="HP645" s="644">
        <f t="shared" si="2042"/>
        <v>75.31845375491919</v>
      </c>
      <c r="HQ645" s="644">
        <f t="shared" si="2042"/>
        <v>270.33104733568882</v>
      </c>
      <c r="HR645" s="644">
        <f t="shared" si="2042"/>
        <v>230.40893224196904</v>
      </c>
      <c r="HS645" s="644">
        <f t="shared" si="2042"/>
        <v>-66.892250991488808</v>
      </c>
      <c r="HT645" s="644">
        <f t="shared" si="2042"/>
        <v>533.29317933869913</v>
      </c>
      <c r="HU645" s="644">
        <f t="shared" si="2042"/>
        <v>179.82913835759135</v>
      </c>
      <c r="HV645" s="644">
        <f t="shared" si="2042"/>
        <v>0</v>
      </c>
      <c r="HW645" s="644">
        <f t="shared" si="2042"/>
        <v>0</v>
      </c>
      <c r="HX645" s="644">
        <f t="shared" si="2042"/>
        <v>0</v>
      </c>
      <c r="HY645" s="644">
        <f t="shared" si="2042"/>
        <v>2388</v>
      </c>
      <c r="HZ645" s="644">
        <f t="shared" si="2042"/>
        <v>2518</v>
      </c>
      <c r="IA645" s="644">
        <f t="shared" si="2042"/>
        <v>2200</v>
      </c>
      <c r="IB645" s="644">
        <f t="shared" si="2042"/>
        <v>2396.4262027634304</v>
      </c>
      <c r="IC645" s="644">
        <f t="shared" si="2042"/>
        <v>3321.624226674388</v>
      </c>
      <c r="ID645" s="644">
        <f t="shared" si="2042"/>
        <v>2610.2380705995602</v>
      </c>
      <c r="IE645" s="20">
        <f t="shared" si="1977"/>
        <v>0.28774533960401044</v>
      </c>
      <c r="IF645" s="20">
        <f t="shared" si="1956"/>
        <v>0.39883635475157708</v>
      </c>
      <c r="IG645" s="20">
        <f t="shared" si="1957"/>
        <v>0.31341830564441242</v>
      </c>
      <c r="IH645" s="21"/>
      <c r="II645" s="19"/>
      <c r="IJ645" s="19"/>
      <c r="IK645" s="19"/>
      <c r="IL645" s="19">
        <f t="shared" si="1978"/>
        <v>400.00000000000023</v>
      </c>
      <c r="IM645" s="19">
        <f t="shared" si="1978"/>
        <v>1133.7930338868505</v>
      </c>
      <c r="IN645" s="19">
        <f t="shared" si="1978"/>
        <v>642.95748660010577</v>
      </c>
      <c r="IO645" s="39"/>
      <c r="IP645" s="39"/>
      <c r="IQ645" s="39"/>
      <c r="IR645" s="39"/>
      <c r="IS645" s="39"/>
      <c r="IT645" s="39"/>
      <c r="IU645" s="39"/>
      <c r="IV645" s="39"/>
      <c r="IW645" s="39"/>
      <c r="IX645" s="19">
        <f t="shared" si="2045"/>
        <v>1600</v>
      </c>
      <c r="IY645" s="19">
        <f t="shared" si="2045"/>
        <v>2503.549291639752</v>
      </c>
      <c r="IZ645" s="19">
        <f t="shared" si="2045"/>
        <v>5888.3563810918577</v>
      </c>
      <c r="JA645" s="19">
        <f t="shared" si="2046"/>
        <v>2000.0000000000002</v>
      </c>
      <c r="JB645" s="19">
        <f t="shared" si="2046"/>
        <v>3637.3423255266025</v>
      </c>
      <c r="JC645" s="19">
        <f t="shared" si="2046"/>
        <v>6531.3138676919634</v>
      </c>
      <c r="JD645" s="19">
        <f t="shared" si="1981"/>
        <v>4073.2283593485445</v>
      </c>
      <c r="JE645" s="21"/>
      <c r="JF645" s="1">
        <f t="shared" si="1982"/>
        <v>6.8844376252282569E-2</v>
      </c>
      <c r="JG645" s="15">
        <f t="shared" si="1983"/>
        <v>7106</v>
      </c>
      <c r="JH645" s="1">
        <f t="shared" si="1984"/>
        <v>8.1066483722569235E-2</v>
      </c>
      <c r="JI645" s="1">
        <f t="shared" si="1985"/>
        <v>9.094146730999178E-2</v>
      </c>
      <c r="JJ645" s="1">
        <f t="shared" si="1962"/>
        <v>0</v>
      </c>
      <c r="JK645" s="1">
        <f t="shared" si="1963"/>
        <v>0.17200795103256103</v>
      </c>
      <c r="JL645" s="15">
        <f t="shared" si="2047"/>
        <v>1222.2885000373788</v>
      </c>
      <c r="JM645" s="15">
        <f t="shared" si="2047"/>
        <v>8328.288500037379</v>
      </c>
      <c r="JN645" s="21"/>
      <c r="JO645" s="19">
        <f>INDEX([1]Input!$1:$1048576,JO$93,$C645*2+6)</f>
        <v>5995.5</v>
      </c>
      <c r="JP645" s="19">
        <f>INDEX([1]Input!$1:$1048576,JP$93,$C645*2+6)</f>
        <v>1716.3055838443925</v>
      </c>
      <c r="JQ645" s="39">
        <f t="shared" si="1995"/>
        <v>1922.2716406514555</v>
      </c>
      <c r="JR645" s="39">
        <f t="shared" si="1996"/>
        <v>2356.922775504152</v>
      </c>
      <c r="JS645" s="39">
        <f t="shared" si="1997"/>
        <v>33.923020903188601</v>
      </c>
      <c r="JT645" s="39">
        <f t="shared" si="1987"/>
        <v>21.726953424390345</v>
      </c>
      <c r="JU645" s="385">
        <f>(JQ645*JM645-INDEX([1]Input!$1:$1048576,[1]Input!A$18,$C645*2+6)*JL645*INDEX([1]Input!$1:$1048576,[1]Input!A$19,$C645*2+6))/1000000</f>
        <v>16.009232798785501</v>
      </c>
      <c r="JV645" s="39">
        <f t="shared" si="1966"/>
        <v>-14.398722722416249</v>
      </c>
      <c r="JW645" s="1">
        <f t="shared" si="2000"/>
        <v>-0.47351827755657011</v>
      </c>
      <c r="JX645" s="19">
        <f t="shared" si="2001"/>
        <v>17775.634331604946</v>
      </c>
      <c r="JZ645" s="341"/>
      <c r="KA645" s="60"/>
      <c r="KB645" s="469">
        <f t="shared" si="1988"/>
        <v>0</v>
      </c>
      <c r="KI645" s="472"/>
      <c r="KJ645" s="472"/>
      <c r="KK645" s="472"/>
      <c r="KN645" s="888">
        <f t="shared" si="1989"/>
        <v>6002</v>
      </c>
      <c r="KO645" s="541">
        <f t="shared" si="1967"/>
        <v>8.9785922540727592E-2</v>
      </c>
      <c r="KP645" s="546">
        <f t="shared" si="1968"/>
        <v>413.32443122862531</v>
      </c>
      <c r="KQ645" s="546">
        <f t="shared" si="1969"/>
        <v>475.77986905861781</v>
      </c>
      <c r="KR645" s="472">
        <f t="shared" si="1970"/>
        <v>3.4968499409770737</v>
      </c>
      <c r="KS645" s="472">
        <f t="shared" si="1971"/>
        <v>3.0378198131962804</v>
      </c>
      <c r="KT645" s="473">
        <f t="shared" si="1998"/>
        <v>2521.945896759994</v>
      </c>
      <c r="KU645" s="663">
        <f t="shared" si="1990"/>
        <v>11.132324935397579</v>
      </c>
      <c r="KV645" s="117"/>
    </row>
    <row r="646" spans="1:308" s="26" customFormat="1" ht="15">
      <c r="A646" s="561">
        <f t="shared" si="1972"/>
        <v>6046</v>
      </c>
      <c r="B646" s="561">
        <f t="shared" si="1991"/>
        <v>46</v>
      </c>
      <c r="C646" s="561">
        <f t="shared" si="1992"/>
        <v>6</v>
      </c>
      <c r="D646" s="561" t="str">
        <f t="shared" si="2028"/>
        <v xml:space="preserve">0/0/0/3.9, 360 Lease, </v>
      </c>
      <c r="E646" s="475">
        <f>INDEX(Input!$1:$1048576,E$93,$C646*2+MIN($B646,2)+5)
+INDEX(Scenarios!E$121:E$199,MATCH($B646,Scenarios!$B$121:$B$199,0))</f>
        <v>1250.0000000000002</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63">
        <f>IFERROR(MAX(0,INDEX(Input!$1:$1048576,W$93,$C646*2+MIN($B646,2)+5)-0%,),"Market")</f>
        <v>3.9E-2</v>
      </c>
      <c r="X646" s="476" t="str">
        <f>INDEX(Input!$1:$1048576,X$93,$C646*2+MIN($B646,2)+5)</f>
        <v>Y</v>
      </c>
      <c r="Y646" s="475">
        <f>INDEX(Input!$1:$1048576,Y$93,$C646*2+MIN($B646,2)+5)
++INDEX(Scenarios!Y$121:Y$199,MATCH($B646,Scenarios!$B$121:$B$199,0))</f>
        <v>2699.3275155115825</v>
      </c>
      <c r="Z646" s="477">
        <f>INDEX(Input!$1:$1048576,Z$93,$C646*2+MIN($B646,2)+5)
+INDEX(Scenarios!Z$121:Z$199,MATCH($B646,Scenarios!$B$121:$B$199,0))</f>
        <v>0</v>
      </c>
      <c r="AA646" s="475">
        <f>INDEX(Input!$1:$1048576,AA$93,$C646*2+MIN($B646,2)+5)</f>
        <v>0</v>
      </c>
      <c r="AB646" s="476">
        <f>INDEX(Input!$1:$1048576,AB$93,$C646*2+MIN($B646,2)+5)</f>
        <v>1</v>
      </c>
      <c r="AC646" s="475">
        <f>INDEX(Input!$1:$1048576,AC$93,$C646*2+MIN($B646,2)+5)
+INDEX(Scenarios!AC$121:AC$199,MATCH($B646,Scenarios!$B$121:$B$199,0))</f>
        <v>0</v>
      </c>
      <c r="AD646" s="476">
        <f>INDEX(Input!$1:$1048576,AD$93,$C646*2+MIN($B646,2)+5)</f>
        <v>0.35</v>
      </c>
      <c r="AE646" s="475">
        <f>INDEX(Input!$1:$1048576,AE$93,$C646*2+MIN($B646,2)+5)
+INDEX(Scenarios!AE$121:AE$199,MATCH($B646,Scenarios!$B$121:$B$199,0))</f>
        <v>0</v>
      </c>
      <c r="AF646" s="476">
        <f>INDEX(Input!$1:$1048576,AF$93,$C646*2+MIN($B646,2)+5)</f>
        <v>1</v>
      </c>
      <c r="AG646" s="475">
        <f>INDEX(Input!$1:$1048576,AG$93,$C646*2+MIN($B646,2)+5)</f>
        <v>0</v>
      </c>
      <c r="AH646" s="476">
        <f>INDEX(Input!$1:$1048576,AH$93,$C646*2+MIN($B646,2)+5)</f>
        <v>1</v>
      </c>
      <c r="AI646" s="475">
        <f>INDEX(Input!$1:$1048576,AI$93,$C646*2+MIN($B646,2)+5)</f>
        <v>0</v>
      </c>
      <c r="AJ646" s="476">
        <f>INDEX(Input!$1:$1048576,AJ$93,$C646*2+MIN($B646,2)+5)</f>
        <v>0.35</v>
      </c>
      <c r="AK646" s="150">
        <f>ROUND(INDEX(Input!$1:$1048576,AK$93,$C645*2+MIN($B646,1)+5)+(Y646-VLOOKUP($C646*1000+1,$A:$HH,Y$92,FALSE)),0)</f>
        <v>5453</v>
      </c>
      <c r="AL646" s="150">
        <f>ROUND(INDEX(Input!$1:$1048576,AL$93,$C645*2+MIN($B646,1)+5)-(Y646-VLOOKUP($C646*1000+1,$A:$HH,Y$92,FALSE))/36,0)</f>
        <v>5207</v>
      </c>
      <c r="AM646" s="32" t="str">
        <f t="shared" si="1973"/>
        <v>std/std/std/std</v>
      </c>
      <c r="AN646" s="32" t="str">
        <f t="shared" si="1974"/>
        <v>$0 + 0/0/0/0/3.9</v>
      </c>
      <c r="AO646" s="32" t="str">
        <f t="shared" si="1975"/>
        <v>0/0/0/0/3.9</v>
      </c>
      <c r="AP646" s="32" t="str">
        <f t="shared" si="1939"/>
        <v>0/0/0/3.9</v>
      </c>
      <c r="AQ646" s="536">
        <f t="shared" si="1940"/>
        <v>0.28774533960401044</v>
      </c>
      <c r="AR646" s="32"/>
      <c r="AS646" s="302"/>
      <c r="AT646" s="3">
        <f t="shared" si="1993"/>
        <v>46</v>
      </c>
      <c r="AU646" s="41" t="s">
        <v>121</v>
      </c>
      <c r="AV646" s="41" t="s">
        <v>116</v>
      </c>
      <c r="AW646" s="41" t="str">
        <f>INDEX(Input!$1:$1048576,AW$93,$C646*2+6)</f>
        <v>Kia</v>
      </c>
      <c r="AX646" s="41" t="str">
        <f>INDEX(Input!$1:$1048576,AX$93,$C646*2+6)</f>
        <v>National</v>
      </c>
      <c r="AY646" s="41" t="str">
        <f>IF(LEN(D646)=0,"",INDEX(Input!$1:$1048576,AY$93,$C646*2+6))</f>
        <v>Compact Conventional/Sporty Car (43)</v>
      </c>
      <c r="AZ646" s="41" t="str">
        <f>INDEX(Input!$1:$1048576,AZ$93,$C646*2+6)</f>
        <v>Kia Forte</v>
      </c>
      <c r="BA646" s="3">
        <f>INDEX(Input!$1:$1048576,BA$93,$C646*2+6)</f>
        <v>2020</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19695</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941"/>
        <v>1465.0000000000002</v>
      </c>
      <c r="CJ646" s="16" t="str">
        <f>INDEX(Input!$1:$1048576,CJ$93,$C646*2+6)</f>
        <v>N</v>
      </c>
      <c r="CK646" s="1" t="str">
        <f t="shared" si="1942"/>
        <v>Market</v>
      </c>
      <c r="CL646" s="1" t="str">
        <f t="shared" si="1943"/>
        <v>Market</v>
      </c>
      <c r="CM646" s="1" t="str">
        <f t="shared" si="1944"/>
        <v>Market</v>
      </c>
      <c r="CN646" s="1" t="str">
        <f t="shared" si="1945"/>
        <v>Market</v>
      </c>
      <c r="CO646" s="1" t="str">
        <f t="shared" si="1946"/>
        <v>Market</v>
      </c>
      <c r="CP646" s="304">
        <f t="shared" si="1947"/>
        <v>0</v>
      </c>
      <c r="CQ646" s="1">
        <f t="shared" si="1948"/>
        <v>0</v>
      </c>
      <c r="CR646" s="1">
        <f t="shared" si="1949"/>
        <v>0</v>
      </c>
      <c r="CS646" s="1">
        <f t="shared" si="1950"/>
        <v>0</v>
      </c>
      <c r="CT646" s="1">
        <f t="shared" si="1951"/>
        <v>0</v>
      </c>
      <c r="CU646" s="1">
        <f t="shared" si="1952"/>
        <v>3.9E-2</v>
      </c>
      <c r="CV646" s="304">
        <f t="shared" si="2013"/>
        <v>2699.3275155115825</v>
      </c>
      <c r="CW646" s="20" t="s">
        <v>122</v>
      </c>
      <c r="CX646" s="20" t="s">
        <v>122</v>
      </c>
      <c r="CY646" s="20" t="s">
        <v>122</v>
      </c>
      <c r="CZ646" s="20" t="s">
        <v>122</v>
      </c>
      <c r="DA646" s="20" t="s">
        <v>122</v>
      </c>
      <c r="DB646" s="503">
        <f t="shared" si="2014"/>
        <v>0</v>
      </c>
      <c r="DC646" s="127">
        <v>0</v>
      </c>
      <c r="DD646" s="127">
        <v>0</v>
      </c>
      <c r="DE646" s="127">
        <v>0</v>
      </c>
      <c r="DF646" s="127">
        <v>0</v>
      </c>
      <c r="DG646" s="127">
        <v>0</v>
      </c>
      <c r="DH646" s="127">
        <v>0</v>
      </c>
      <c r="DI646" s="127">
        <v>0</v>
      </c>
      <c r="DJ646" s="127">
        <v>0</v>
      </c>
      <c r="DK646" s="127">
        <v>0</v>
      </c>
      <c r="DL646" s="127">
        <v>0</v>
      </c>
      <c r="DM646" s="304">
        <f>INDEX(Input!$1:$1048576,DM$93,$C646*2+6)</f>
        <v>20731.578947368424</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v>4.7876585847844023E-2</v>
      </c>
      <c r="DZ646" s="7">
        <v>0</v>
      </c>
      <c r="EA646" s="7">
        <v>0.75436576873696848</v>
      </c>
      <c r="EB646" s="7">
        <v>0</v>
      </c>
      <c r="EC646" s="7">
        <v>0</v>
      </c>
      <c r="ED646" s="7">
        <v>0</v>
      </c>
      <c r="EE646" s="7">
        <v>0</v>
      </c>
      <c r="EF646" s="7">
        <v>0</v>
      </c>
      <c r="EG646" s="7">
        <v>0</v>
      </c>
      <c r="EH646" s="7">
        <v>1.7821654604338311E-2</v>
      </c>
      <c r="EI646" s="7">
        <v>1.1655501551466094E-2</v>
      </c>
      <c r="EJ646" s="7">
        <v>0.18286876493249507</v>
      </c>
      <c r="EK646" s="7">
        <v>0.78765407891170047</v>
      </c>
      <c r="EL646" s="7">
        <v>0</v>
      </c>
      <c r="EM646" s="7">
        <v>4.1517811818776902E-2</v>
      </c>
      <c r="EN646" s="7">
        <v>3.6333815796345113E-2</v>
      </c>
      <c r="EO646" s="7">
        <v>0.38480940900605193</v>
      </c>
      <c r="EP646" s="7">
        <v>0.48124228857681406</v>
      </c>
      <c r="EQ646" s="7">
        <v>7.419408882631244E-2</v>
      </c>
      <c r="ER646" s="7">
        <v>2.3420397794476387E-2</v>
      </c>
      <c r="ES646" s="7">
        <v>0.15623983359641072</v>
      </c>
      <c r="ET646" s="7">
        <v>0.19775764541518748</v>
      </c>
      <c r="EU646" s="6">
        <v>750</v>
      </c>
      <c r="EV646" s="6">
        <v>0</v>
      </c>
      <c r="EW646" s="6">
        <v>750</v>
      </c>
      <c r="EX646" s="6">
        <v>0</v>
      </c>
      <c r="EY646" s="6">
        <v>2492.9480877934111</v>
      </c>
      <c r="EZ646" s="6">
        <v>-1194.2676731795959</v>
      </c>
      <c r="FA646" s="6">
        <v>0</v>
      </c>
      <c r="FB646" s="6">
        <v>0</v>
      </c>
      <c r="FC646" s="6">
        <v>0</v>
      </c>
      <c r="FD646" s="6">
        <v>0</v>
      </c>
      <c r="FE646" s="6">
        <v>0</v>
      </c>
      <c r="FF646" s="6">
        <v>0</v>
      </c>
      <c r="FG646" s="6">
        <v>0</v>
      </c>
      <c r="FH646" s="6">
        <v>1158.6063966445759</v>
      </c>
      <c r="FI646" s="6">
        <v>1531.4299904380618</v>
      </c>
      <c r="FJ646" s="6">
        <v>2070.7205842538224</v>
      </c>
      <c r="FK646" s="6">
        <v>2635.3956133202923</v>
      </c>
      <c r="FL646" s="6">
        <v>0</v>
      </c>
      <c r="FM646" s="6">
        <v>2492.9480877934111</v>
      </c>
      <c r="FN646" s="6">
        <v>0</v>
      </c>
      <c r="FO646" s="6">
        <v>0</v>
      </c>
      <c r="FP646" s="6">
        <v>0</v>
      </c>
      <c r="FQ646" s="6">
        <v>0</v>
      </c>
      <c r="FR646" s="6">
        <v>0</v>
      </c>
      <c r="FS646" s="6">
        <v>0</v>
      </c>
      <c r="FT646" s="7">
        <v>0.80224235458481252</v>
      </c>
      <c r="FU646" s="7">
        <v>4.1517811818776902E-2</v>
      </c>
      <c r="FV646" s="7">
        <v>0.15623983359641072</v>
      </c>
      <c r="FW646" s="6">
        <v>750</v>
      </c>
      <c r="FX646" s="6">
        <v>2492.9480877934111</v>
      </c>
      <c r="FY646" s="6">
        <v>-1194.2676731795959</v>
      </c>
      <c r="FZ646" s="6">
        <v>1676.0854837363124</v>
      </c>
      <c r="GA646" s="6">
        <v>518.59133299444329</v>
      </c>
      <c r="GB646" s="6">
        <v>19176.408667005555</v>
      </c>
      <c r="GC646" s="7">
        <v>6.4493561548621597E-2</v>
      </c>
      <c r="GD646" s="7">
        <v>5.3870745068627109E-2</v>
      </c>
      <c r="GE646" s="7"/>
      <c r="GF646" s="7"/>
      <c r="GG646" s="7">
        <v>-0.16471127078299069</v>
      </c>
      <c r="GH646" s="42">
        <v>2.8025960010180975</v>
      </c>
      <c r="GI646" s="6">
        <v>7546.0044859588397</v>
      </c>
      <c r="GJ646" s="14">
        <v>0.51596255589662299</v>
      </c>
      <c r="GK646" s="14">
        <v>0.51419567426615964</v>
      </c>
      <c r="GL646" s="14">
        <v>0.48403744410337668</v>
      </c>
      <c r="GM646" s="14">
        <v>0.48580432573384036</v>
      </c>
      <c r="GO646" s="5">
        <v>338.16872463277008</v>
      </c>
      <c r="GP646" s="5">
        <v>323.86015542600148</v>
      </c>
      <c r="GQ646" s="5">
        <v>527.27910984145694</v>
      </c>
      <c r="GR646" s="5">
        <v>404.20319246551543</v>
      </c>
      <c r="GS646" s="5">
        <v>334.50205195691484</v>
      </c>
      <c r="GT646" s="5">
        <v>289.18266033348181</v>
      </c>
      <c r="GU646" s="5">
        <v>254.29573314828914</v>
      </c>
      <c r="GV646" s="39" t="s">
        <v>392</v>
      </c>
      <c r="GW646" s="5">
        <v>492.375</v>
      </c>
      <c r="GX646" s="5">
        <v>369.28125</v>
      </c>
      <c r="GY646" s="5">
        <v>295.42500000000001</v>
      </c>
      <c r="GZ646" s="5">
        <v>246.1875</v>
      </c>
      <c r="HA646" s="5">
        <v>254.29573314828914</v>
      </c>
      <c r="HB646" s="39">
        <v>261.01368880037006</v>
      </c>
      <c r="HC646" s="5">
        <v>335.36483570160732</v>
      </c>
      <c r="HD646" s="5">
        <v>271.98776275539944</v>
      </c>
      <c r="HE646" s="5">
        <v>270.57658857744036</v>
      </c>
      <c r="HF646" s="5">
        <v>245.3206142843834</v>
      </c>
      <c r="HG646" s="5">
        <v>230.46506461313521</v>
      </c>
      <c r="HH646" s="39">
        <v>270.66035406816212</v>
      </c>
      <c r="HI646" s="16"/>
      <c r="HJ646" s="19" t="str">
        <f t="shared" ref="HJ646:HK646" si="2059">HJ645</f>
        <v>On</v>
      </c>
      <c r="HK646" s="1" t="str">
        <f t="shared" si="2059"/>
        <v>On</v>
      </c>
      <c r="HL646" s="16"/>
      <c r="HM646" s="639">
        <f t="shared" si="2044"/>
        <v>4.9686942767030826E-2</v>
      </c>
      <c r="HN646" s="639">
        <f t="shared" si="2044"/>
        <v>2.6112822013589915E-3</v>
      </c>
      <c r="HO646" s="639">
        <f t="shared" si="2044"/>
        <v>3.166115353075552E-2</v>
      </c>
      <c r="HP646" s="644">
        <f t="shared" si="2042"/>
        <v>75.31845375491919</v>
      </c>
      <c r="HQ646" s="644">
        <f t="shared" si="2042"/>
        <v>270.33104733568882</v>
      </c>
      <c r="HR646" s="644">
        <f t="shared" si="2042"/>
        <v>230.40893224196904</v>
      </c>
      <c r="HS646" s="644">
        <f t="shared" si="2042"/>
        <v>-66.892250991488808</v>
      </c>
      <c r="HT646" s="644">
        <f t="shared" si="2042"/>
        <v>533.29317933869913</v>
      </c>
      <c r="HU646" s="644">
        <f t="shared" si="2042"/>
        <v>179.82913835759135</v>
      </c>
      <c r="HV646" s="644">
        <f t="shared" si="2042"/>
        <v>0</v>
      </c>
      <c r="HW646" s="644">
        <f t="shared" si="2042"/>
        <v>0</v>
      </c>
      <c r="HX646" s="644">
        <f t="shared" si="2042"/>
        <v>0</v>
      </c>
      <c r="HY646" s="644">
        <f t="shared" si="2042"/>
        <v>2388</v>
      </c>
      <c r="HZ646" s="644">
        <f t="shared" si="2042"/>
        <v>2518</v>
      </c>
      <c r="IA646" s="644">
        <f t="shared" si="2042"/>
        <v>2200</v>
      </c>
      <c r="IB646" s="644">
        <f t="shared" si="2042"/>
        <v>2396.4262027634304</v>
      </c>
      <c r="IC646" s="644">
        <f t="shared" si="2042"/>
        <v>3321.624226674388</v>
      </c>
      <c r="ID646" s="644">
        <f t="shared" si="2042"/>
        <v>2610.2380705995602</v>
      </c>
      <c r="IE646" s="20">
        <f t="shared" si="1977"/>
        <v>0.28774533960401044</v>
      </c>
      <c r="IF646" s="20">
        <f t="shared" si="1956"/>
        <v>0.39883635475157708</v>
      </c>
      <c r="IG646" s="20">
        <f t="shared" si="1957"/>
        <v>0.31341830564441242</v>
      </c>
      <c r="IH646" s="21"/>
      <c r="II646" s="19"/>
      <c r="IJ646" s="19"/>
      <c r="IK646" s="19"/>
      <c r="IL646" s="19">
        <f t="shared" si="1978"/>
        <v>400.00000000000023</v>
      </c>
      <c r="IM646" s="19">
        <f t="shared" si="1978"/>
        <v>1133.7930338868505</v>
      </c>
      <c r="IN646" s="19">
        <f t="shared" si="1978"/>
        <v>642.95748660010577</v>
      </c>
      <c r="IO646" s="39"/>
      <c r="IP646" s="39"/>
      <c r="IQ646" s="39"/>
      <c r="IR646" s="39"/>
      <c r="IS646" s="39"/>
      <c r="IT646" s="39"/>
      <c r="IU646" s="39"/>
      <c r="IV646" s="39"/>
      <c r="IW646" s="39"/>
      <c r="IX646" s="19">
        <f t="shared" si="2045"/>
        <v>1600</v>
      </c>
      <c r="IY646" s="19">
        <f t="shared" si="2045"/>
        <v>2503.549291639752</v>
      </c>
      <c r="IZ646" s="19">
        <f t="shared" si="2045"/>
        <v>5888.3563810918577</v>
      </c>
      <c r="JA646" s="19">
        <f t="shared" si="2046"/>
        <v>2000.0000000000002</v>
      </c>
      <c r="JB646" s="19">
        <f t="shared" si="2046"/>
        <v>3637.3423255266025</v>
      </c>
      <c r="JC646" s="19">
        <f t="shared" si="2046"/>
        <v>6531.3138676919634</v>
      </c>
      <c r="JD646" s="19">
        <f t="shared" si="1981"/>
        <v>4073.2283593485445</v>
      </c>
      <c r="JE646" s="21"/>
      <c r="JF646" s="1">
        <f t="shared" si="1982"/>
        <v>6.8844376252282569E-2</v>
      </c>
      <c r="JG646" s="15">
        <f t="shared" si="1983"/>
        <v>7106</v>
      </c>
      <c r="JH646" s="1">
        <f t="shared" si="1984"/>
        <v>8.1066483722569235E-2</v>
      </c>
      <c r="JI646" s="1">
        <f t="shared" si="1985"/>
        <v>9.094146730999178E-2</v>
      </c>
      <c r="JJ646" s="1">
        <f t="shared" si="1962"/>
        <v>0</v>
      </c>
      <c r="JK646" s="1">
        <f t="shared" si="1963"/>
        <v>0.17200795103256103</v>
      </c>
      <c r="JL646" s="15">
        <f t="shared" si="2047"/>
        <v>1222.2885000373788</v>
      </c>
      <c r="JM646" s="15">
        <f t="shared" si="2047"/>
        <v>8328.288500037379</v>
      </c>
      <c r="JN646" s="21"/>
      <c r="JO646" s="19">
        <f>INDEX([1]Input!$1:$1048576,JO$93,$C646*2+6)</f>
        <v>5995.5</v>
      </c>
      <c r="JP646" s="19">
        <f>INDEX([1]Input!$1:$1048576,JP$93,$C646*2+6)</f>
        <v>1716.3055838443925</v>
      </c>
      <c r="JQ646" s="39">
        <f t="shared" si="1995"/>
        <v>1922.2716406514555</v>
      </c>
      <c r="JR646" s="39">
        <f t="shared" si="1996"/>
        <v>2356.922775504152</v>
      </c>
      <c r="JS646" s="39">
        <f t="shared" si="1997"/>
        <v>33.923020903188601</v>
      </c>
      <c r="JT646" s="39">
        <f t="shared" si="1987"/>
        <v>21.726953424390345</v>
      </c>
      <c r="JU646" s="385">
        <f>(JQ646*JM646-INDEX([1]Input!$1:$1048576,[1]Input!A$18,$C646*2+6)*JL646*INDEX([1]Input!$1:$1048576,[1]Input!A$19,$C646*2+6))/1000000</f>
        <v>16.009232798785501</v>
      </c>
      <c r="JV646" s="39">
        <f t="shared" si="1966"/>
        <v>-14.398722722416249</v>
      </c>
      <c r="JW646" s="1">
        <f t="shared" si="2000"/>
        <v>-0.47351827755657011</v>
      </c>
      <c r="JX646" s="19">
        <f t="shared" si="2001"/>
        <v>17775.634331604946</v>
      </c>
      <c r="JZ646" s="341"/>
      <c r="KA646" s="60"/>
      <c r="KB646" s="469">
        <f t="shared" si="1988"/>
        <v>0</v>
      </c>
      <c r="KI646" s="472"/>
      <c r="KJ646" s="472"/>
      <c r="KK646" s="472"/>
      <c r="KN646" s="888">
        <f t="shared" si="1989"/>
        <v>6002</v>
      </c>
      <c r="KO646" s="541">
        <f t="shared" si="1967"/>
        <v>8.9785922540727592E-2</v>
      </c>
      <c r="KP646" s="546">
        <f t="shared" si="1968"/>
        <v>413.32443122862531</v>
      </c>
      <c r="KQ646" s="546">
        <f t="shared" si="1969"/>
        <v>475.77986905861781</v>
      </c>
      <c r="KR646" s="472">
        <f t="shared" si="1970"/>
        <v>3.4968499409770737</v>
      </c>
      <c r="KS646" s="472">
        <f t="shared" si="1971"/>
        <v>3.0378198131962804</v>
      </c>
      <c r="KT646" s="473">
        <f t="shared" si="1998"/>
        <v>2521.945896759994</v>
      </c>
      <c r="KU646" s="663">
        <f t="shared" si="1990"/>
        <v>11.132325935397578</v>
      </c>
      <c r="KV646" s="117"/>
    </row>
    <row r="647" spans="1:308" s="26" customFormat="1" ht="15">
      <c r="A647" s="561">
        <f t="shared" si="1972"/>
        <v>6047</v>
      </c>
      <c r="B647" s="561">
        <f t="shared" si="1991"/>
        <v>47</v>
      </c>
      <c r="C647" s="561">
        <f t="shared" si="1992"/>
        <v>6</v>
      </c>
      <c r="D647" s="561" t="str">
        <f t="shared" si="2028"/>
        <v xml:space="preserve">250 CC, -360 Lease, </v>
      </c>
      <c r="E647" s="475">
        <f>INDEX(Input!$1:$1048576,E$93,$C647*2+MIN($B647,2)+5)
+INDEX(Scenarios!E$121:E$199,MATCH($B647,Scenarios!$B$121:$B$199,0))</f>
        <v>1500.0000000000002</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1.8999999999999996E-2</v>
      </c>
      <c r="W647" s="863">
        <f>IFERROR(MAX(0,INDEX(Input!$1:$1048576,W$93,$C647*2+MIN($B647,2)+5)-0%,),"Market")</f>
        <v>3.9E-2</v>
      </c>
      <c r="X647" s="476" t="str">
        <f>INDEX(Input!$1:$1048576,X$93,$C647*2+MIN($B647,2)+5)</f>
        <v>Y</v>
      </c>
      <c r="Y647" s="475">
        <f>INDEX(Input!$1:$1048576,Y$93,$C647*2+MIN($B647,2)+5)
++INDEX(Scenarios!Y$121:Y$199,MATCH($B647,Scenarios!$B$121:$B$199,0))</f>
        <v>1979.3275155115825</v>
      </c>
      <c r="Z647" s="477">
        <f>INDEX(Input!$1:$1048576,Z$93,$C647*2+MIN($B647,2)+5)
+INDEX(Scenarios!Z$121:Z$199,MATCH($B647,Scenarios!$B$121:$B$199,0))</f>
        <v>0</v>
      </c>
      <c r="AA647" s="475">
        <f>INDEX(Input!$1:$1048576,AA$93,$C647*2+MIN($B647,2)+5)</f>
        <v>0</v>
      </c>
      <c r="AB647" s="476">
        <f>INDEX(Input!$1:$1048576,AB$93,$C647*2+MIN($B647,2)+5)</f>
        <v>1</v>
      </c>
      <c r="AC647" s="475">
        <f>INDEX(Input!$1:$1048576,AC$93,$C647*2+MIN($B647,2)+5)
+INDEX(Scenarios!AC$121:AC$199,MATCH($B647,Scenarios!$B$121:$B$199,0))</f>
        <v>0</v>
      </c>
      <c r="AD647" s="476">
        <f>INDEX(Input!$1:$1048576,AD$93,$C647*2+MIN($B647,2)+5)</f>
        <v>0.35</v>
      </c>
      <c r="AE647" s="475">
        <f>INDEX(Input!$1:$1048576,AE$93,$C647*2+MIN($B647,2)+5)
+INDEX(Scenarios!AE$121:AE$199,MATCH($B647,Scenarios!$B$121:$B$199,0))</f>
        <v>0</v>
      </c>
      <c r="AF647" s="476">
        <f>INDEX(Input!$1:$1048576,AF$93,$C647*2+MIN($B647,2)+5)</f>
        <v>1</v>
      </c>
      <c r="AG647" s="475">
        <f>INDEX(Input!$1:$1048576,AG$93,$C647*2+MIN($B647,2)+5)</f>
        <v>0</v>
      </c>
      <c r="AH647" s="476">
        <f>INDEX(Input!$1:$1048576,AH$93,$C647*2+MIN($B647,2)+5)</f>
        <v>1</v>
      </c>
      <c r="AI647" s="475">
        <f>INDEX(Input!$1:$1048576,AI$93,$C647*2+MIN($B647,2)+5)</f>
        <v>0</v>
      </c>
      <c r="AJ647" s="476">
        <f>INDEX(Input!$1:$1048576,AJ$93,$C647*2+MIN($B647,2)+5)</f>
        <v>0.35</v>
      </c>
      <c r="AK647" s="150">
        <f>ROUND(INDEX(Input!$1:$1048576,AK$93,$C646*2+MIN($B647,1)+5)+(Y647-VLOOKUP($C647*1000+1,$A:$HH,Y$92,FALSE)),0)</f>
        <v>4733</v>
      </c>
      <c r="AL647" s="150">
        <f>ROUND(INDEX(Input!$1:$1048576,AL$93,$C646*2+MIN($B647,1)+5)-(Y647-VLOOKUP($C647*1000+1,$A:$HH,Y$92,FALSE))/36,0)</f>
        <v>5227</v>
      </c>
      <c r="AM647" s="32" t="str">
        <f t="shared" si="1973"/>
        <v>std/std/std/std</v>
      </c>
      <c r="AN647" s="32" t="str">
        <f t="shared" si="1974"/>
        <v>$0 + 0/0/0/1.9/3.9</v>
      </c>
      <c r="AO647" s="32" t="str">
        <f t="shared" si="1975"/>
        <v>0/0/0/1.9/3.9</v>
      </c>
      <c r="AP647" s="32" t="str">
        <f t="shared" si="1939"/>
        <v>0/0.9/1.9/3.9</v>
      </c>
      <c r="AQ647" s="536">
        <f t="shared" si="1940"/>
        <v>0.37283913851225453</v>
      </c>
      <c r="AR647" s="32"/>
      <c r="AS647" s="302"/>
      <c r="AT647" s="3">
        <f t="shared" si="1993"/>
        <v>47</v>
      </c>
      <c r="AU647" s="41" t="s">
        <v>121</v>
      </c>
      <c r="AV647" s="41" t="s">
        <v>116</v>
      </c>
      <c r="AW647" s="41" t="str">
        <f>INDEX(Input!$1:$1048576,AW$93,$C647*2+6)</f>
        <v>Kia</v>
      </c>
      <c r="AX647" s="41" t="str">
        <f>INDEX(Input!$1:$1048576,AX$93,$C647*2+6)</f>
        <v>National</v>
      </c>
      <c r="AY647" s="41" t="str">
        <f>IF(LEN(D647)=0,"",INDEX(Input!$1:$1048576,AY$93,$C647*2+6))</f>
        <v>Compact Conventional/Sporty Car (43)</v>
      </c>
      <c r="AZ647" s="41" t="str">
        <f>INDEX(Input!$1:$1048576,AZ$93,$C647*2+6)</f>
        <v>Kia Forte</v>
      </c>
      <c r="BA647" s="3">
        <f>INDEX(Input!$1:$1048576,BA$93,$C647*2+6)</f>
        <v>2020</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19695</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941"/>
        <v>1715.0000000000002</v>
      </c>
      <c r="CJ647" s="16" t="str">
        <f>INDEX(Input!$1:$1048576,CJ$93,$C647*2+6)</f>
        <v>N</v>
      </c>
      <c r="CK647" s="1" t="str">
        <f t="shared" si="1942"/>
        <v>Market</v>
      </c>
      <c r="CL647" s="1" t="str">
        <f t="shared" si="1943"/>
        <v>Market</v>
      </c>
      <c r="CM647" s="1" t="str">
        <f t="shared" si="1944"/>
        <v>Market</v>
      </c>
      <c r="CN647" s="1" t="str">
        <f t="shared" si="1945"/>
        <v>Market</v>
      </c>
      <c r="CO647" s="1" t="str">
        <f t="shared" si="1946"/>
        <v>Market</v>
      </c>
      <c r="CP647" s="304">
        <f t="shared" si="1947"/>
        <v>0</v>
      </c>
      <c r="CQ647" s="1">
        <f t="shared" si="1948"/>
        <v>0</v>
      </c>
      <c r="CR647" s="1">
        <f t="shared" si="1949"/>
        <v>0</v>
      </c>
      <c r="CS647" s="1">
        <f t="shared" si="1950"/>
        <v>0</v>
      </c>
      <c r="CT647" s="1">
        <f t="shared" si="1951"/>
        <v>1.8999999999999996E-2</v>
      </c>
      <c r="CU647" s="1">
        <f t="shared" si="1952"/>
        <v>3.9E-2</v>
      </c>
      <c r="CV647" s="304">
        <f t="shared" si="2013"/>
        <v>1979.3275155115825</v>
      </c>
      <c r="CW647" s="20" t="s">
        <v>122</v>
      </c>
      <c r="CX647" s="20" t="s">
        <v>122</v>
      </c>
      <c r="CY647" s="20" t="s">
        <v>122</v>
      </c>
      <c r="CZ647" s="20" t="s">
        <v>122</v>
      </c>
      <c r="DA647" s="20" t="s">
        <v>122</v>
      </c>
      <c r="DB647" s="503">
        <f t="shared" si="2014"/>
        <v>0</v>
      </c>
      <c r="DC647" s="127">
        <v>0</v>
      </c>
      <c r="DD647" s="127">
        <v>0</v>
      </c>
      <c r="DE647" s="127">
        <v>0</v>
      </c>
      <c r="DF647" s="127">
        <v>0</v>
      </c>
      <c r="DG647" s="127">
        <v>0</v>
      </c>
      <c r="DH647" s="127">
        <v>0</v>
      </c>
      <c r="DI647" s="127">
        <v>0</v>
      </c>
      <c r="DJ647" s="127">
        <v>0</v>
      </c>
      <c r="DK647" s="127">
        <v>0</v>
      </c>
      <c r="DL647" s="127">
        <v>0</v>
      </c>
      <c r="DM647" s="304">
        <f>INDEX(Input!$1:$1048576,DM$93,$C647*2+6)</f>
        <v>20731.578947368424</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v>5.1088446147315628E-2</v>
      </c>
      <c r="DZ647" s="7">
        <v>0</v>
      </c>
      <c r="EA647" s="7">
        <v>0.80304029769246577</v>
      </c>
      <c r="EB647" s="7">
        <v>0</v>
      </c>
      <c r="EC647" s="7">
        <v>0</v>
      </c>
      <c r="ED647" s="7">
        <v>0</v>
      </c>
      <c r="EE647" s="7">
        <v>0</v>
      </c>
      <c r="EF647" s="7">
        <v>0</v>
      </c>
      <c r="EG647" s="7">
        <v>0</v>
      </c>
      <c r="EH647" s="7">
        <v>2.9749567887069287E-2</v>
      </c>
      <c r="EI647" s="7">
        <v>1.9439335905236502E-2</v>
      </c>
      <c r="EJ647" s="7">
        <v>0.26181189482081013</v>
      </c>
      <c r="EK647" s="7">
        <v>0.68899920138688431</v>
      </c>
      <c r="EL647" s="7">
        <v>0</v>
      </c>
      <c r="EM647" s="7">
        <v>2.3800257259389695E-2</v>
      </c>
      <c r="EN647" s="7">
        <v>3.7188212668872879E-2</v>
      </c>
      <c r="EO647" s="7">
        <v>0.3794910424318908</v>
      </c>
      <c r="EP647" s="7">
        <v>0.48406386788419148</v>
      </c>
      <c r="EQ647" s="7">
        <v>7.5205151502372031E-2</v>
      </c>
      <c r="ER647" s="7">
        <v>2.4051725512673358E-2</v>
      </c>
      <c r="ES647" s="7">
        <v>0.12207099890082895</v>
      </c>
      <c r="ET647" s="7">
        <v>0.14587125616021859</v>
      </c>
      <c r="EU647" s="6">
        <v>1000</v>
      </c>
      <c r="EV647" s="6">
        <v>0</v>
      </c>
      <c r="EW647" s="6">
        <v>1000</v>
      </c>
      <c r="EX647" s="6">
        <v>0</v>
      </c>
      <c r="EY647" s="6">
        <v>1384.4264876223247</v>
      </c>
      <c r="EZ647" s="6">
        <v>-1914.2676731795959</v>
      </c>
      <c r="FA647" s="6">
        <v>0</v>
      </c>
      <c r="FB647" s="6">
        <v>0</v>
      </c>
      <c r="FC647" s="6">
        <v>0</v>
      </c>
      <c r="FD647" s="6">
        <v>0</v>
      </c>
      <c r="FE647" s="6">
        <v>0</v>
      </c>
      <c r="FF647" s="6">
        <v>0</v>
      </c>
      <c r="FG647" s="6">
        <v>0</v>
      </c>
      <c r="FH647" s="6">
        <v>1158.6284959136287</v>
      </c>
      <c r="FI647" s="6">
        <v>1531.429990438063</v>
      </c>
      <c r="FJ647" s="6">
        <v>1709.9775738488463</v>
      </c>
      <c r="FK647" s="6">
        <v>1266.3227157028184</v>
      </c>
      <c r="FL647" s="6">
        <v>0</v>
      </c>
      <c r="FM647" s="6">
        <v>1384.4264876223247</v>
      </c>
      <c r="FN647" s="6">
        <v>0</v>
      </c>
      <c r="FO647" s="6">
        <v>0</v>
      </c>
      <c r="FP647" s="6">
        <v>0</v>
      </c>
      <c r="FQ647" s="6">
        <v>0</v>
      </c>
      <c r="FR647" s="6">
        <v>0</v>
      </c>
      <c r="FS647" s="6">
        <v>0</v>
      </c>
      <c r="FT647" s="7">
        <v>0.85412874383978143</v>
      </c>
      <c r="FU647" s="7">
        <v>2.3800257259389695E-2</v>
      </c>
      <c r="FV647" s="7">
        <v>0.12207099890082895</v>
      </c>
      <c r="FW647" s="6">
        <v>999.99999999999989</v>
      </c>
      <c r="FX647" s="6">
        <v>1384.4264876223247</v>
      </c>
      <c r="FY647" s="6">
        <v>-1914.2676731795959</v>
      </c>
      <c r="FZ647" s="6">
        <v>1676.0854837363124</v>
      </c>
      <c r="GA647" s="6">
        <v>653.4018833733071</v>
      </c>
      <c r="GB647" s="6">
        <v>19041.598116626694</v>
      </c>
      <c r="GC647" s="7">
        <v>6.4493561548621597E-2</v>
      </c>
      <c r="GD647" s="7">
        <v>5.5105472287047826E-2</v>
      </c>
      <c r="GE647" s="7"/>
      <c r="GF647" s="7"/>
      <c r="GG647" s="7">
        <v>-0.14556630206406115</v>
      </c>
      <c r="GH647" s="42">
        <v>2.8033385087372649</v>
      </c>
      <c r="GI647" s="6">
        <v>7678.9537168803536</v>
      </c>
      <c r="GJ647" s="14">
        <v>0.51596255589662343</v>
      </c>
      <c r="GK647" s="14">
        <v>0.51419567426615942</v>
      </c>
      <c r="GL647" s="14">
        <v>0.48403744410337679</v>
      </c>
      <c r="GM647" s="14">
        <v>0.48580432573384047</v>
      </c>
      <c r="GO647" s="5">
        <v>338.16872463277008</v>
      </c>
      <c r="GP647" s="5">
        <v>319.09063235707856</v>
      </c>
      <c r="GQ647" s="5">
        <v>527.27910984145694</v>
      </c>
      <c r="GR647" s="5">
        <v>404.20319246551543</v>
      </c>
      <c r="GS647" s="5">
        <v>334.50205195691484</v>
      </c>
      <c r="GT647" s="5">
        <v>289.18266033348181</v>
      </c>
      <c r="GU647" s="5">
        <v>254.29573314828914</v>
      </c>
      <c r="GV647" s="39" t="s">
        <v>392</v>
      </c>
      <c r="GW647" s="5">
        <v>492.375</v>
      </c>
      <c r="GX647" s="5">
        <v>369.28125</v>
      </c>
      <c r="GY647" s="5">
        <v>302.23266563481752</v>
      </c>
      <c r="GZ647" s="5">
        <v>268.52323906086701</v>
      </c>
      <c r="HA647" s="5">
        <v>254.29573314828914</v>
      </c>
      <c r="HB647" s="39">
        <v>285.96692988400412</v>
      </c>
      <c r="HC647" s="5">
        <v>366.86483570160732</v>
      </c>
      <c r="HD647" s="5">
        <v>293.48776275539944</v>
      </c>
      <c r="HE647" s="5">
        <v>290.53812703897881</v>
      </c>
      <c r="HF647" s="5">
        <v>261.97061428438337</v>
      </c>
      <c r="HG647" s="5">
        <v>244.26506461313522</v>
      </c>
      <c r="HH647" s="39">
        <v>291.23457012500626</v>
      </c>
      <c r="HI647" s="16"/>
      <c r="HJ647" s="19" t="str">
        <f t="shared" ref="HJ647:HK647" si="2060">HJ646</f>
        <v>On</v>
      </c>
      <c r="HK647" s="1" t="str">
        <f t="shared" si="2060"/>
        <v>On</v>
      </c>
      <c r="HL647" s="16"/>
      <c r="HM647" s="639">
        <f t="shared" si="2044"/>
        <v>4.9686942767030826E-2</v>
      </c>
      <c r="HN647" s="639">
        <f t="shared" si="2044"/>
        <v>2.6112822013589915E-3</v>
      </c>
      <c r="HO647" s="639">
        <f t="shared" si="2044"/>
        <v>3.166115353075552E-2</v>
      </c>
      <c r="HP647" s="644">
        <f t="shared" si="2042"/>
        <v>533.52696570155456</v>
      </c>
      <c r="HQ647" s="644">
        <f t="shared" si="2042"/>
        <v>12.094794925227536</v>
      </c>
      <c r="HR647" s="644">
        <f t="shared" si="2042"/>
        <v>-165.03659377432439</v>
      </c>
      <c r="HS647" s="644">
        <f t="shared" si="2042"/>
        <v>-105.1955740450795</v>
      </c>
      <c r="HT647" s="644">
        <f t="shared" si="2042"/>
        <v>169.15227233100558</v>
      </c>
      <c r="HU647" s="644">
        <f t="shared" si="2042"/>
        <v>3.2020977259318499</v>
      </c>
      <c r="HV647" s="644">
        <f t="shared" si="2042"/>
        <v>0</v>
      </c>
      <c r="HW647" s="644">
        <f t="shared" si="2042"/>
        <v>0</v>
      </c>
      <c r="HX647" s="644">
        <f t="shared" si="2042"/>
        <v>0</v>
      </c>
      <c r="HY647" s="644">
        <f t="shared" si="2042"/>
        <v>2388</v>
      </c>
      <c r="HZ647" s="644">
        <f t="shared" si="2042"/>
        <v>2518</v>
      </c>
      <c r="IA647" s="644">
        <f t="shared" si="2042"/>
        <v>2200</v>
      </c>
      <c r="IB647" s="644">
        <f t="shared" si="2042"/>
        <v>2816.3313916564753</v>
      </c>
      <c r="IC647" s="644">
        <f t="shared" si="2042"/>
        <v>2699.2470672562331</v>
      </c>
      <c r="ID647" s="644">
        <f t="shared" si="2042"/>
        <v>2038.1655039516074</v>
      </c>
      <c r="IE647" s="20">
        <f t="shared" si="1977"/>
        <v>0.37283913851225453</v>
      </c>
      <c r="IF647" s="20">
        <f t="shared" si="1956"/>
        <v>0.35733896734205711</v>
      </c>
      <c r="IG647" s="20">
        <f t="shared" si="1957"/>
        <v>0.2698218941456883</v>
      </c>
      <c r="IH647" s="21"/>
      <c r="II647" s="19"/>
      <c r="IJ647" s="19"/>
      <c r="IK647" s="19"/>
      <c r="IL647" s="19">
        <f t="shared" si="1978"/>
        <v>649.99999999999955</v>
      </c>
      <c r="IM647" s="19">
        <f t="shared" si="1978"/>
        <v>400.22448036523474</v>
      </c>
      <c r="IN647" s="19">
        <f t="shared" si="1978"/>
        <v>-71.28776511570868</v>
      </c>
      <c r="IO647" s="39"/>
      <c r="IP647" s="39"/>
      <c r="IQ647" s="39"/>
      <c r="IR647" s="39"/>
      <c r="IS647" s="39"/>
      <c r="IT647" s="39"/>
      <c r="IU647" s="39"/>
      <c r="IV647" s="39"/>
      <c r="IW647" s="39"/>
      <c r="IX647" s="19">
        <f t="shared" si="2045"/>
        <v>1600</v>
      </c>
      <c r="IY647" s="19">
        <f t="shared" si="2045"/>
        <v>2503.549291639752</v>
      </c>
      <c r="IZ647" s="19">
        <f t="shared" si="2045"/>
        <v>5888.3563810918577</v>
      </c>
      <c r="JA647" s="19">
        <f t="shared" si="2046"/>
        <v>2249.9999999999995</v>
      </c>
      <c r="JB647" s="19">
        <f t="shared" si="2046"/>
        <v>2903.7737720049868</v>
      </c>
      <c r="JC647" s="19">
        <f t="shared" si="2046"/>
        <v>5817.068615976149</v>
      </c>
      <c r="JD647" s="19">
        <f t="shared" si="1981"/>
        <v>3446.0920550739065</v>
      </c>
      <c r="JE647" s="21"/>
      <c r="JF647" s="1">
        <f t="shared" si="1982"/>
        <v>6.8844376252282569E-2</v>
      </c>
      <c r="JG647" s="15">
        <f t="shared" si="1983"/>
        <v>7106</v>
      </c>
      <c r="JH647" s="1">
        <f t="shared" si="1984"/>
        <v>5.3558284105327578E-2</v>
      </c>
      <c r="JI647" s="1">
        <f t="shared" si="1985"/>
        <v>9.4509985944072512E-3</v>
      </c>
      <c r="JJ647" s="1">
        <f t="shared" si="1962"/>
        <v>0</v>
      </c>
      <c r="JK647" s="1">
        <f t="shared" si="1963"/>
        <v>6.3009282699734812E-2</v>
      </c>
      <c r="JL647" s="15">
        <f t="shared" si="2047"/>
        <v>447.74396286431556</v>
      </c>
      <c r="JM647" s="15">
        <f t="shared" si="2047"/>
        <v>7553.7439628643151</v>
      </c>
      <c r="JN647" s="21"/>
      <c r="JO647" s="19">
        <f>INDEX([1]Input!$1:$1048576,JO$93,$C647*2+6)</f>
        <v>5995.5</v>
      </c>
      <c r="JP647" s="19">
        <f>INDEX([1]Input!$1:$1048576,JP$93,$C647*2+6)</f>
        <v>1716.3055838443925</v>
      </c>
      <c r="JQ647" s="39">
        <f t="shared" si="1995"/>
        <v>2549.4079449260935</v>
      </c>
      <c r="JR647" s="39">
        <f t="shared" si="1996"/>
        <v>1729.7864712295141</v>
      </c>
      <c r="JS647" s="39">
        <f t="shared" si="1997"/>
        <v>26.030897056489202</v>
      </c>
      <c r="JT647" s="39">
        <f t="shared" si="1987"/>
        <v>13.83482957769095</v>
      </c>
      <c r="JU647" s="385">
        <f>(JQ647*JM647-INDEX([1]Input!$1:$1048576,[1]Input!A$18,$C647*2+6)*JL647*INDEX([1]Input!$1:$1048576,[1]Input!A$19,$C647*2+6))/1000000</f>
        <v>19.257574872863799</v>
      </c>
      <c r="JV647" s="39">
        <f t="shared" si="1966"/>
        <v>-11.150380648337951</v>
      </c>
      <c r="JW647" s="1">
        <f t="shared" si="2000"/>
        <v>-0.36669287550632662</v>
      </c>
      <c r="JX647" s="19">
        <f t="shared" si="2001"/>
        <v>30898.975140137089</v>
      </c>
      <c r="JZ647" s="341"/>
      <c r="KA647" s="60"/>
      <c r="KB647" s="469">
        <f t="shared" si="1988"/>
        <v>0</v>
      </c>
      <c r="KI647" s="472"/>
      <c r="KJ647" s="472"/>
      <c r="KK647" s="472"/>
      <c r="KN647" s="888">
        <f t="shared" si="1989"/>
        <v>6002</v>
      </c>
      <c r="KO647" s="541">
        <f t="shared" si="1967"/>
        <v>-1.15659618216164E-2</v>
      </c>
      <c r="KP647" s="546">
        <f t="shared" si="1968"/>
        <v>4.4471727760750071</v>
      </c>
      <c r="KQ647" s="546">
        <f t="shared" si="1969"/>
        <v>-151.35643521602015</v>
      </c>
      <c r="KR647" s="472">
        <f t="shared" si="1970"/>
        <v>-41.865624646841901</v>
      </c>
      <c r="KS647" s="472">
        <f t="shared" si="1971"/>
        <v>1.2301007612731074</v>
      </c>
      <c r="KT647" s="473">
        <f t="shared" si="1998"/>
        <v>2521.945896759994</v>
      </c>
      <c r="KU647" s="663">
        <f t="shared" si="1990"/>
        <v>11.402979383181426</v>
      </c>
      <c r="KV647" s="117"/>
    </row>
    <row r="648" spans="1:308" s="26" customFormat="1" ht="15">
      <c r="A648" s="561">
        <f t="shared" si="1972"/>
        <v>6048</v>
      </c>
      <c r="B648" s="561">
        <f t="shared" si="1991"/>
        <v>48</v>
      </c>
      <c r="C648" s="561">
        <f t="shared" si="1992"/>
        <v>6</v>
      </c>
      <c r="D648" s="561" t="str">
        <f t="shared" si="2028"/>
        <v xml:space="preserve">500 CC, -360 Lease, </v>
      </c>
      <c r="E648" s="475">
        <f>INDEX(Input!$1:$1048576,E$93,$C648*2+MIN($B648,2)+5)
+INDEX(Scenarios!E$121:E$199,MATCH($B648,Scenarios!$B$121:$B$199,0))</f>
        <v>1750.0000000000002</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1.8999999999999996E-2</v>
      </c>
      <c r="W648" s="863">
        <f>IFERROR(MAX(0,INDEX(Input!$1:$1048576,W$93,$C648*2+MIN($B648,2)+5)-0%,),"Market")</f>
        <v>3.9E-2</v>
      </c>
      <c r="X648" s="476" t="str">
        <f>INDEX(Input!$1:$1048576,X$93,$C648*2+MIN($B648,2)+5)</f>
        <v>Y</v>
      </c>
      <c r="Y648" s="475">
        <f>INDEX(Input!$1:$1048576,Y$93,$C648*2+MIN($B648,2)+5)
++INDEX(Scenarios!Y$121:Y$199,MATCH($B648,Scenarios!$B$121:$B$199,0))</f>
        <v>1979.3275155115825</v>
      </c>
      <c r="Z648" s="477">
        <f>INDEX(Input!$1:$1048576,Z$93,$C648*2+MIN($B648,2)+5)
+INDEX(Scenarios!Z$121:Z$199,MATCH($B648,Scenarios!$B$121:$B$199,0))</f>
        <v>0</v>
      </c>
      <c r="AA648" s="475">
        <f>INDEX(Input!$1:$1048576,AA$93,$C648*2+MIN($B648,2)+5)</f>
        <v>0</v>
      </c>
      <c r="AB648" s="476">
        <f>INDEX(Input!$1:$1048576,AB$93,$C648*2+MIN($B648,2)+5)</f>
        <v>1</v>
      </c>
      <c r="AC648" s="475">
        <f>INDEX(Input!$1:$1048576,AC$93,$C648*2+MIN($B648,2)+5)
+INDEX(Scenarios!AC$121:AC$199,MATCH($B648,Scenarios!$B$121:$B$199,0))</f>
        <v>0</v>
      </c>
      <c r="AD648" s="476">
        <f>INDEX(Input!$1:$1048576,AD$93,$C648*2+MIN($B648,2)+5)</f>
        <v>0.35</v>
      </c>
      <c r="AE648" s="475">
        <f>INDEX(Input!$1:$1048576,AE$93,$C648*2+MIN($B648,2)+5)
+INDEX(Scenarios!AE$121:AE$199,MATCH($B648,Scenarios!$B$121:$B$199,0))</f>
        <v>0</v>
      </c>
      <c r="AF648" s="476">
        <f>INDEX(Input!$1:$1048576,AF$93,$C648*2+MIN($B648,2)+5)</f>
        <v>1</v>
      </c>
      <c r="AG648" s="475">
        <f>INDEX(Input!$1:$1048576,AG$93,$C648*2+MIN($B648,2)+5)</f>
        <v>0</v>
      </c>
      <c r="AH648" s="476">
        <f>INDEX(Input!$1:$1048576,AH$93,$C648*2+MIN($B648,2)+5)</f>
        <v>1</v>
      </c>
      <c r="AI648" s="475">
        <f>INDEX(Input!$1:$1048576,AI$93,$C648*2+MIN($B648,2)+5)</f>
        <v>0</v>
      </c>
      <c r="AJ648" s="476">
        <f>INDEX(Input!$1:$1048576,AJ$93,$C648*2+MIN($B648,2)+5)</f>
        <v>0.35</v>
      </c>
      <c r="AK648" s="150">
        <f>ROUND(INDEX(Input!$1:$1048576,AK$93,$C647*2+MIN($B648,1)+5)+(Y648-VLOOKUP($C648*1000+1,$A:$HH,Y$92,FALSE)),0)</f>
        <v>4733</v>
      </c>
      <c r="AL648" s="150">
        <f>ROUND(INDEX(Input!$1:$1048576,AL$93,$C647*2+MIN($B648,1)+5)-(Y648-VLOOKUP($C648*1000+1,$A:$HH,Y$92,FALSE))/36,0)</f>
        <v>5227</v>
      </c>
      <c r="AM648" s="32" t="str">
        <f t="shared" si="1973"/>
        <v>std/std/std/std</v>
      </c>
      <c r="AN648" s="32" t="str">
        <f t="shared" si="1974"/>
        <v>$0 + 0/0/0/1.9/3.9</v>
      </c>
      <c r="AO648" s="32" t="str">
        <f t="shared" si="1975"/>
        <v>0/0/0/1.9/3.9</v>
      </c>
      <c r="AP648" s="32" t="str">
        <f t="shared" si="1939"/>
        <v>0/0.9/1.9/3.9</v>
      </c>
      <c r="AQ648" s="536">
        <f t="shared" si="1940"/>
        <v>0.38991936125510118</v>
      </c>
      <c r="AR648" s="32"/>
      <c r="AS648" s="302"/>
      <c r="AT648" s="3">
        <f t="shared" si="1993"/>
        <v>48</v>
      </c>
      <c r="AU648" s="41" t="s">
        <v>121</v>
      </c>
      <c r="AV648" s="41" t="s">
        <v>116</v>
      </c>
      <c r="AW648" s="41" t="str">
        <f>INDEX(Input!$1:$1048576,AW$93,$C648*2+6)</f>
        <v>Kia</v>
      </c>
      <c r="AX648" s="41" t="str">
        <f>INDEX(Input!$1:$1048576,AX$93,$C648*2+6)</f>
        <v>National</v>
      </c>
      <c r="AY648" s="41" t="str">
        <f>IF(LEN(D648)=0,"",INDEX(Input!$1:$1048576,AY$93,$C648*2+6))</f>
        <v>Compact Conventional/Sporty Car (43)</v>
      </c>
      <c r="AZ648" s="41" t="str">
        <f>INDEX(Input!$1:$1048576,AZ$93,$C648*2+6)</f>
        <v>Kia Forte</v>
      </c>
      <c r="BA648" s="3">
        <f>INDEX(Input!$1:$1048576,BA$93,$C648*2+6)</f>
        <v>2020</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19695</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941"/>
        <v>1965.0000000000002</v>
      </c>
      <c r="CJ648" s="16" t="str">
        <f>INDEX(Input!$1:$1048576,CJ$93,$C648*2+6)</f>
        <v>N</v>
      </c>
      <c r="CK648" s="1" t="str">
        <f t="shared" si="1942"/>
        <v>Market</v>
      </c>
      <c r="CL648" s="1" t="str">
        <f t="shared" si="1943"/>
        <v>Market</v>
      </c>
      <c r="CM648" s="1" t="str">
        <f t="shared" si="1944"/>
        <v>Market</v>
      </c>
      <c r="CN648" s="1" t="str">
        <f t="shared" si="1945"/>
        <v>Market</v>
      </c>
      <c r="CO648" s="1" t="str">
        <f t="shared" si="1946"/>
        <v>Market</v>
      </c>
      <c r="CP648" s="304">
        <f t="shared" si="1947"/>
        <v>0</v>
      </c>
      <c r="CQ648" s="1">
        <f t="shared" si="1948"/>
        <v>0</v>
      </c>
      <c r="CR648" s="1">
        <f t="shared" si="1949"/>
        <v>0</v>
      </c>
      <c r="CS648" s="1">
        <f t="shared" si="1950"/>
        <v>0</v>
      </c>
      <c r="CT648" s="1">
        <f t="shared" si="1951"/>
        <v>1.8999999999999996E-2</v>
      </c>
      <c r="CU648" s="1">
        <f t="shared" si="1952"/>
        <v>3.9E-2</v>
      </c>
      <c r="CV648" s="304">
        <f t="shared" si="2013"/>
        <v>1979.3275155115825</v>
      </c>
      <c r="CW648" s="20" t="s">
        <v>122</v>
      </c>
      <c r="CX648" s="20" t="s">
        <v>122</v>
      </c>
      <c r="CY648" s="20" t="s">
        <v>122</v>
      </c>
      <c r="CZ648" s="20" t="s">
        <v>122</v>
      </c>
      <c r="DA648" s="20" t="s">
        <v>122</v>
      </c>
      <c r="DB648" s="503">
        <f t="shared" si="2014"/>
        <v>0</v>
      </c>
      <c r="DC648" s="127">
        <v>0</v>
      </c>
      <c r="DD648" s="127">
        <v>0</v>
      </c>
      <c r="DE648" s="127">
        <v>0</v>
      </c>
      <c r="DF648" s="127">
        <v>0</v>
      </c>
      <c r="DG648" s="127">
        <v>0</v>
      </c>
      <c r="DH648" s="127">
        <v>0</v>
      </c>
      <c r="DI648" s="127">
        <v>0</v>
      </c>
      <c r="DJ648" s="127">
        <v>0</v>
      </c>
      <c r="DK648" s="127">
        <v>0</v>
      </c>
      <c r="DL648" s="127">
        <v>0</v>
      </c>
      <c r="DM648" s="304">
        <f>INDEX(Input!$1:$1048576,DM$93,$C648*2+6)</f>
        <v>20731.578947368424</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v>5.1891245712948696E-2</v>
      </c>
      <c r="DZ648" s="7">
        <v>0</v>
      </c>
      <c r="EA648" s="7">
        <v>0.81556768760882981</v>
      </c>
      <c r="EB648" s="7">
        <v>0</v>
      </c>
      <c r="EC648" s="7">
        <v>0</v>
      </c>
      <c r="ED648" s="7">
        <v>0</v>
      </c>
      <c r="EE648" s="7">
        <v>0</v>
      </c>
      <c r="EF648" s="7">
        <v>0</v>
      </c>
      <c r="EG648" s="7">
        <v>0</v>
      </c>
      <c r="EH648" s="7">
        <v>2.9767628337640618E-2</v>
      </c>
      <c r="EI648" s="7">
        <v>1.9442540621623098E-2</v>
      </c>
      <c r="EJ648" s="7">
        <v>0.26197567230126162</v>
      </c>
      <c r="EK648" s="7">
        <v>0.6888141587394746</v>
      </c>
      <c r="EL648" s="7">
        <v>0</v>
      </c>
      <c r="EM648" s="7">
        <v>2.1619885276639019E-2</v>
      </c>
      <c r="EN648" s="7">
        <v>3.717764595860247E-2</v>
      </c>
      <c r="EO648" s="7">
        <v>0.37955250155271075</v>
      </c>
      <c r="EP648" s="7">
        <v>0.48400602814707655</v>
      </c>
      <c r="EQ648" s="7">
        <v>7.5207839176902672E-2</v>
      </c>
      <c r="ER648" s="7">
        <v>2.4055985164707337E-2</v>
      </c>
      <c r="ES648" s="7">
        <v>0.11092118140158243</v>
      </c>
      <c r="ET648" s="7">
        <v>0.13254106667822149</v>
      </c>
      <c r="EU648" s="6">
        <v>1250</v>
      </c>
      <c r="EV648" s="6">
        <v>0</v>
      </c>
      <c r="EW648" s="6">
        <v>1250</v>
      </c>
      <c r="EX648" s="6">
        <v>0</v>
      </c>
      <c r="EY648" s="6">
        <v>1384.4983609971182</v>
      </c>
      <c r="EZ648" s="6">
        <v>-1914.2676731795959</v>
      </c>
      <c r="FA648" s="6">
        <v>0</v>
      </c>
      <c r="FB648" s="6">
        <v>0</v>
      </c>
      <c r="FC648" s="6">
        <v>0</v>
      </c>
      <c r="FD648" s="6">
        <v>0</v>
      </c>
      <c r="FE648" s="6">
        <v>0</v>
      </c>
      <c r="FF648" s="6">
        <v>0</v>
      </c>
      <c r="FG648" s="6">
        <v>0</v>
      </c>
      <c r="FH648" s="6">
        <v>1158.6388465011389</v>
      </c>
      <c r="FI648" s="6">
        <v>1531.4299904380623</v>
      </c>
      <c r="FJ648" s="6">
        <v>1709.9775738488454</v>
      </c>
      <c r="FK648" s="6">
        <v>1266.3227157028191</v>
      </c>
      <c r="FL648" s="6">
        <v>0</v>
      </c>
      <c r="FM648" s="6">
        <v>1384.4983609971182</v>
      </c>
      <c r="FN648" s="6">
        <v>0</v>
      </c>
      <c r="FO648" s="6">
        <v>0</v>
      </c>
      <c r="FP648" s="6">
        <v>0</v>
      </c>
      <c r="FQ648" s="6">
        <v>0</v>
      </c>
      <c r="FR648" s="6">
        <v>0</v>
      </c>
      <c r="FS648" s="6">
        <v>0</v>
      </c>
      <c r="FT648" s="7">
        <v>0.86745893332177848</v>
      </c>
      <c r="FU648" s="7">
        <v>2.1619885276639019E-2</v>
      </c>
      <c r="FV648" s="7">
        <v>0.11092118140158243</v>
      </c>
      <c r="FW648" s="6">
        <v>1249.9999999999998</v>
      </c>
      <c r="FX648" s="6">
        <v>1384.4983609971182</v>
      </c>
      <c r="FY648" s="6">
        <v>-1914.2676731795959</v>
      </c>
      <c r="FZ648" s="6">
        <v>1676.0854837363124</v>
      </c>
      <c r="GA648" s="6">
        <v>901.92353055473632</v>
      </c>
      <c r="GB648" s="6">
        <v>18793.076469445263</v>
      </c>
      <c r="GC648" s="7">
        <v>6.4493561548621597E-2</v>
      </c>
      <c r="GD648" s="7">
        <v>5.7754493716929006E-2</v>
      </c>
      <c r="GE648" s="7"/>
      <c r="GF648" s="7"/>
      <c r="GG648" s="7">
        <v>-0.10449210231027509</v>
      </c>
      <c r="GH648" s="42">
        <v>2.6583222626004974</v>
      </c>
      <c r="GI648" s="6">
        <v>8310.7318142928452</v>
      </c>
      <c r="GJ648" s="14">
        <v>0.51596255589662299</v>
      </c>
      <c r="GK648" s="14">
        <v>0.51419567426615931</v>
      </c>
      <c r="GL648" s="14">
        <v>0.48403744410337662</v>
      </c>
      <c r="GM648" s="14">
        <v>0.48580432573384014</v>
      </c>
      <c r="GO648" s="5">
        <v>338.16872463277008</v>
      </c>
      <c r="GP648" s="5">
        <v>314.32110928815564</v>
      </c>
      <c r="GQ648" s="5">
        <v>527.27910984145694</v>
      </c>
      <c r="GR648" s="5">
        <v>404.20319246551543</v>
      </c>
      <c r="GS648" s="5">
        <v>334.50205195691484</v>
      </c>
      <c r="GT648" s="5">
        <v>289.18266033348181</v>
      </c>
      <c r="GU648" s="5">
        <v>254.29573314828914</v>
      </c>
      <c r="GV648" s="39" t="s">
        <v>392</v>
      </c>
      <c r="GW648" s="5">
        <v>492.375</v>
      </c>
      <c r="GX648" s="5">
        <v>369.28125</v>
      </c>
      <c r="GY648" s="5">
        <v>302.23266563481752</v>
      </c>
      <c r="GZ648" s="5">
        <v>268.52323906086701</v>
      </c>
      <c r="HA648" s="5">
        <v>254.29573314828914</v>
      </c>
      <c r="HB648" s="39">
        <v>285.97681649346822</v>
      </c>
      <c r="HC648" s="5">
        <v>366.86483570160732</v>
      </c>
      <c r="HD648" s="5">
        <v>293.48776275539944</v>
      </c>
      <c r="HE648" s="5">
        <v>290.53812703897881</v>
      </c>
      <c r="HF648" s="5">
        <v>261.97061428438337</v>
      </c>
      <c r="HG648" s="5">
        <v>244.26506461313522</v>
      </c>
      <c r="HH648" s="39">
        <v>291.23367099748657</v>
      </c>
      <c r="HI648" s="16"/>
      <c r="HJ648" s="19" t="str">
        <f t="shared" ref="HJ648:HK648" si="2061">HJ647</f>
        <v>On</v>
      </c>
      <c r="HK648" s="1" t="str">
        <f t="shared" si="2061"/>
        <v>On</v>
      </c>
      <c r="HL648" s="16"/>
      <c r="HM648" s="639">
        <f t="shared" si="2044"/>
        <v>4.9686942767030826E-2</v>
      </c>
      <c r="HN648" s="639">
        <f t="shared" si="2044"/>
        <v>2.6112822013589915E-3</v>
      </c>
      <c r="HO648" s="639">
        <f t="shared" si="2044"/>
        <v>3.166115353075552E-2</v>
      </c>
      <c r="HP648" s="644">
        <f t="shared" si="2042"/>
        <v>750.004484973172</v>
      </c>
      <c r="HQ648" s="644">
        <f t="shared" si="2042"/>
        <v>3.742722850965932</v>
      </c>
      <c r="HR648" s="644">
        <f t="shared" si="2042"/>
        <v>-211.61340963893645</v>
      </c>
      <c r="HS648" s="644">
        <f t="shared" si="2042"/>
        <v>-145.27471267936471</v>
      </c>
      <c r="HT648" s="644">
        <f t="shared" si="2042"/>
        <v>159.8253218826784</v>
      </c>
      <c r="HU648" s="644">
        <f t="shared" si="2042"/>
        <v>12.568656887616276</v>
      </c>
      <c r="HV648" s="644">
        <f t="shared" si="2042"/>
        <v>0</v>
      </c>
      <c r="HW648" s="644">
        <f t="shared" si="2042"/>
        <v>0</v>
      </c>
      <c r="HX648" s="644">
        <f t="shared" si="2042"/>
        <v>0</v>
      </c>
      <c r="HY648" s="644">
        <f t="shared" si="2042"/>
        <v>2388</v>
      </c>
      <c r="HZ648" s="644">
        <f t="shared" si="2042"/>
        <v>2518</v>
      </c>
      <c r="IA648" s="644">
        <f t="shared" si="2042"/>
        <v>2200</v>
      </c>
      <c r="IB648" s="644">
        <f t="shared" si="2042"/>
        <v>2992.7297722938074</v>
      </c>
      <c r="IC648" s="644">
        <f t="shared" si="2042"/>
        <v>2681.5680447336445</v>
      </c>
      <c r="ID648" s="644">
        <f t="shared" si="2042"/>
        <v>2000.9552472486798</v>
      </c>
      <c r="IE648" s="20">
        <f t="shared" si="1977"/>
        <v>0.38991936125510118</v>
      </c>
      <c r="IF648" s="20">
        <f t="shared" si="1956"/>
        <v>0.34937845335872952</v>
      </c>
      <c r="IG648" s="20">
        <f t="shared" si="1957"/>
        <v>0.26070218538616924</v>
      </c>
      <c r="IH648" s="21"/>
      <c r="II648" s="19"/>
      <c r="IJ648" s="19"/>
      <c r="IK648" s="19"/>
      <c r="IL648" s="19">
        <f t="shared" si="1978"/>
        <v>900</v>
      </c>
      <c r="IM648" s="19">
        <f t="shared" si="1978"/>
        <v>400.30588499497162</v>
      </c>
      <c r="IN648" s="19">
        <f t="shared" si="1978"/>
        <v>-69.599862812220636</v>
      </c>
      <c r="IO648" s="39"/>
      <c r="IP648" s="39"/>
      <c r="IQ648" s="39"/>
      <c r="IR648" s="39"/>
      <c r="IS648" s="39"/>
      <c r="IT648" s="39"/>
      <c r="IU648" s="39"/>
      <c r="IV648" s="39"/>
      <c r="IW648" s="39"/>
      <c r="IX648" s="19">
        <f t="shared" si="2045"/>
        <v>1600</v>
      </c>
      <c r="IY648" s="19">
        <f t="shared" si="2045"/>
        <v>2503.549291639752</v>
      </c>
      <c r="IZ648" s="19">
        <f t="shared" si="2045"/>
        <v>5888.3563810918577</v>
      </c>
      <c r="JA648" s="19">
        <f t="shared" si="2046"/>
        <v>2500</v>
      </c>
      <c r="JB648" s="19">
        <f t="shared" si="2046"/>
        <v>2903.8551766347236</v>
      </c>
      <c r="JC648" s="19">
        <f t="shared" si="2046"/>
        <v>5818.756518279637</v>
      </c>
      <c r="JD648" s="19">
        <f t="shared" si="1981"/>
        <v>3506.3053740736514</v>
      </c>
      <c r="JE648" s="21"/>
      <c r="JF648" s="1">
        <f t="shared" si="1982"/>
        <v>6.8844376252282569E-2</v>
      </c>
      <c r="JG648" s="15">
        <f t="shared" si="1983"/>
        <v>7106</v>
      </c>
      <c r="JH648" s="1">
        <f t="shared" si="1984"/>
        <v>7.6292400532676816E-2</v>
      </c>
      <c r="JI648" s="1">
        <f t="shared" si="1985"/>
        <v>3.8163898242231861E-3</v>
      </c>
      <c r="JJ648" s="1">
        <f t="shared" si="1962"/>
        <v>0</v>
      </c>
      <c r="JK648" s="1">
        <f t="shared" si="1963"/>
        <v>8.0108790356900009E-2</v>
      </c>
      <c r="JL648" s="15">
        <f t="shared" si="2047"/>
        <v>569.25306427613145</v>
      </c>
      <c r="JM648" s="15">
        <f t="shared" si="2047"/>
        <v>7675.2530642761321</v>
      </c>
      <c r="JN648" s="21"/>
      <c r="JO648" s="19">
        <f>INDEX([1]Input!$1:$1048576,JO$93,$C648*2+6)</f>
        <v>5995.5</v>
      </c>
      <c r="JP648" s="19">
        <f>INDEX([1]Input!$1:$1048576,JP$93,$C648*2+6)</f>
        <v>1716.3055838443925</v>
      </c>
      <c r="JQ648" s="39">
        <f t="shared" si="1995"/>
        <v>2489.1946259263486</v>
      </c>
      <c r="JR648" s="39">
        <f t="shared" si="1996"/>
        <v>1789.9997902292589</v>
      </c>
      <c r="JS648" s="39">
        <f t="shared" si="1997"/>
        <v>26.911781066646661</v>
      </c>
      <c r="JT648" s="39">
        <f t="shared" si="1987"/>
        <v>14.715713587848407</v>
      </c>
      <c r="JU648" s="385">
        <f>(JQ648*JM648-INDEX([1]Input!$1:$1048576,[1]Input!A$18,$C648*2+6)*JL648*INDEX([1]Input!$1:$1048576,[1]Input!A$19,$C648*2+6))/1000000</f>
        <v>19.105198680220887</v>
      </c>
      <c r="JV648" s="39">
        <f t="shared" si="1966"/>
        <v>-11.302756840980862</v>
      </c>
      <c r="JW648" s="1">
        <f t="shared" si="2000"/>
        <v>-0.3717039388952042</v>
      </c>
      <c r="JX648" s="19">
        <f t="shared" si="2001"/>
        <v>25850.916773827248</v>
      </c>
      <c r="JZ648" s="341"/>
      <c r="KA648" s="60"/>
      <c r="KB648" s="469">
        <f t="shared" si="1988"/>
        <v>0</v>
      </c>
      <c r="KI648" s="472"/>
      <c r="KJ648" s="472"/>
      <c r="KK648" s="472"/>
      <c r="KN648" s="888">
        <f t="shared" si="1989"/>
        <v>6002</v>
      </c>
      <c r="KO648" s="541">
        <f t="shared" si="1967"/>
        <v>4.3339326379208121E-3</v>
      </c>
      <c r="KP648" s="546">
        <f t="shared" si="1968"/>
        <v>109.66627110222076</v>
      </c>
      <c r="KQ648" s="546">
        <f t="shared" si="1969"/>
        <v>-91.143116216275303</v>
      </c>
      <c r="KR648" s="472">
        <f t="shared" si="1970"/>
        <v>0.63616372816683797</v>
      </c>
      <c r="KS648" s="472">
        <f t="shared" si="1971"/>
        <v>-0.7654522554725417</v>
      </c>
      <c r="KT648" s="473">
        <f t="shared" si="1998"/>
        <v>2521.945896759994</v>
      </c>
      <c r="KU648" s="663">
        <f t="shared" si="1990"/>
        <v>11.477791421762703</v>
      </c>
      <c r="KV648" s="117"/>
    </row>
    <row r="649" spans="1:308" s="26" customFormat="1" ht="15">
      <c r="A649" s="561">
        <f t="shared" si="1972"/>
        <v>6049</v>
      </c>
      <c r="B649" s="561">
        <f t="shared" si="1991"/>
        <v>49</v>
      </c>
      <c r="C649" s="561">
        <f t="shared" si="1992"/>
        <v>6</v>
      </c>
      <c r="D649" s="561" t="str">
        <f t="shared" si="2028"/>
        <v xml:space="preserve">750 CC, -360 Lease, </v>
      </c>
      <c r="E649" s="475">
        <f>INDEX(Input!$1:$1048576,E$93,$C649*2+MIN($B649,2)+5)
+INDEX(Scenarios!E$121:E$199,MATCH($B649,Scenarios!$B$121:$B$199,0))</f>
        <v>2000.0000000000002</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1.8999999999999996E-2</v>
      </c>
      <c r="W649" s="863">
        <f>IFERROR(MAX(0,INDEX(Input!$1:$1048576,W$93,$C649*2+MIN($B649,2)+5)-0%,),"Market")</f>
        <v>3.9E-2</v>
      </c>
      <c r="X649" s="476" t="str">
        <f>INDEX(Input!$1:$1048576,X$93,$C649*2+MIN($B649,2)+5)</f>
        <v>Y</v>
      </c>
      <c r="Y649" s="475">
        <f>INDEX(Input!$1:$1048576,Y$93,$C649*2+MIN($B649,2)+5)
++INDEX(Scenarios!Y$121:Y$199,MATCH($B649,Scenarios!$B$121:$B$199,0))</f>
        <v>1979.3275155115825</v>
      </c>
      <c r="Z649" s="477">
        <f>INDEX(Input!$1:$1048576,Z$93,$C649*2+MIN($B649,2)+5)
+INDEX(Scenarios!Z$121:Z$199,MATCH($B649,Scenarios!$B$121:$B$199,0))</f>
        <v>0</v>
      </c>
      <c r="AA649" s="475">
        <f>INDEX(Input!$1:$1048576,AA$93,$C649*2+MIN($B649,2)+5)</f>
        <v>0</v>
      </c>
      <c r="AB649" s="476">
        <f>INDEX(Input!$1:$1048576,AB$93,$C649*2+MIN($B649,2)+5)</f>
        <v>1</v>
      </c>
      <c r="AC649" s="475">
        <f>INDEX(Input!$1:$1048576,AC$93,$C649*2+MIN($B649,2)+5)
+INDEX(Scenarios!AC$121:AC$199,MATCH($B649,Scenarios!$B$121:$B$199,0))</f>
        <v>0</v>
      </c>
      <c r="AD649" s="476">
        <f>INDEX(Input!$1:$1048576,AD$93,$C649*2+MIN($B649,2)+5)</f>
        <v>0.35</v>
      </c>
      <c r="AE649" s="475">
        <f>INDEX(Input!$1:$1048576,AE$93,$C649*2+MIN($B649,2)+5)
+INDEX(Scenarios!AE$121:AE$199,MATCH($B649,Scenarios!$B$121:$B$199,0))</f>
        <v>0</v>
      </c>
      <c r="AF649" s="476">
        <f>INDEX(Input!$1:$1048576,AF$93,$C649*2+MIN($B649,2)+5)</f>
        <v>1</v>
      </c>
      <c r="AG649" s="475">
        <f>INDEX(Input!$1:$1048576,AG$93,$C649*2+MIN($B649,2)+5)</f>
        <v>0</v>
      </c>
      <c r="AH649" s="476">
        <f>INDEX(Input!$1:$1048576,AH$93,$C649*2+MIN($B649,2)+5)</f>
        <v>1</v>
      </c>
      <c r="AI649" s="475">
        <f>INDEX(Input!$1:$1048576,AI$93,$C649*2+MIN($B649,2)+5)</f>
        <v>0</v>
      </c>
      <c r="AJ649" s="476">
        <f>INDEX(Input!$1:$1048576,AJ$93,$C649*2+MIN($B649,2)+5)</f>
        <v>0.35</v>
      </c>
      <c r="AK649" s="150">
        <f>ROUND(INDEX(Input!$1:$1048576,AK$93,$C648*2+MIN($B649,1)+5)+(Y649-VLOOKUP($C649*1000+1,$A:$HH,Y$92,FALSE)),0)</f>
        <v>4733</v>
      </c>
      <c r="AL649" s="150">
        <f>ROUND(INDEX(Input!$1:$1048576,AL$93,$C648*2+MIN($B649,1)+5)-(Y649-VLOOKUP($C649*1000+1,$A:$HH,Y$92,FALSE))/36,0)</f>
        <v>5227</v>
      </c>
      <c r="AM649" s="32" t="str">
        <f t="shared" si="1973"/>
        <v>std/std/std/std</v>
      </c>
      <c r="AN649" s="32" t="str">
        <f t="shared" si="1974"/>
        <v>$0 + 0/0/0/1.9/3.9</v>
      </c>
      <c r="AO649" s="32" t="str">
        <f t="shared" si="1975"/>
        <v>0/0/0/1.9/3.9</v>
      </c>
      <c r="AP649" s="32" t="str">
        <f t="shared" si="1939"/>
        <v>0/0.9/1.9/3.9</v>
      </c>
      <c r="AQ649" s="536">
        <f t="shared" si="1940"/>
        <v>0.40696496788518893</v>
      </c>
      <c r="AR649" s="32"/>
      <c r="AS649" s="302"/>
      <c r="AT649" s="3">
        <f t="shared" si="1993"/>
        <v>49</v>
      </c>
      <c r="AU649" s="41" t="s">
        <v>121</v>
      </c>
      <c r="AV649" s="41" t="s">
        <v>116</v>
      </c>
      <c r="AW649" s="41" t="str">
        <f>INDEX(Input!$1:$1048576,AW$93,$C649*2+6)</f>
        <v>Kia</v>
      </c>
      <c r="AX649" s="41" t="str">
        <f>INDEX(Input!$1:$1048576,AX$93,$C649*2+6)</f>
        <v>National</v>
      </c>
      <c r="AY649" s="41" t="str">
        <f>IF(LEN(D649)=0,"",INDEX(Input!$1:$1048576,AY$93,$C649*2+6))</f>
        <v>Compact Conventional/Sporty Car (43)</v>
      </c>
      <c r="AZ649" s="41" t="str">
        <f>INDEX(Input!$1:$1048576,AZ$93,$C649*2+6)</f>
        <v>Kia Forte</v>
      </c>
      <c r="BA649" s="3">
        <f>INDEX(Input!$1:$1048576,BA$93,$C649*2+6)</f>
        <v>2020</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19695</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941"/>
        <v>2215</v>
      </c>
      <c r="CJ649" s="16" t="str">
        <f>INDEX(Input!$1:$1048576,CJ$93,$C649*2+6)</f>
        <v>N</v>
      </c>
      <c r="CK649" s="1" t="str">
        <f t="shared" si="1942"/>
        <v>Market</v>
      </c>
      <c r="CL649" s="1" t="str">
        <f t="shared" si="1943"/>
        <v>Market</v>
      </c>
      <c r="CM649" s="1" t="str">
        <f t="shared" si="1944"/>
        <v>Market</v>
      </c>
      <c r="CN649" s="1" t="str">
        <f t="shared" si="1945"/>
        <v>Market</v>
      </c>
      <c r="CO649" s="1" t="str">
        <f t="shared" si="1946"/>
        <v>Market</v>
      </c>
      <c r="CP649" s="304">
        <f t="shared" si="1947"/>
        <v>0</v>
      </c>
      <c r="CQ649" s="1">
        <f t="shared" si="1948"/>
        <v>0</v>
      </c>
      <c r="CR649" s="1">
        <f t="shared" si="1949"/>
        <v>0</v>
      </c>
      <c r="CS649" s="1">
        <f t="shared" si="1950"/>
        <v>0</v>
      </c>
      <c r="CT649" s="1">
        <f t="shared" si="1951"/>
        <v>1.8999999999999996E-2</v>
      </c>
      <c r="CU649" s="1">
        <f t="shared" si="1952"/>
        <v>3.9E-2</v>
      </c>
      <c r="CV649" s="304">
        <f t="shared" si="2013"/>
        <v>1979.3275155115825</v>
      </c>
      <c r="CW649" s="20" t="s">
        <v>122</v>
      </c>
      <c r="CX649" s="20" t="s">
        <v>122</v>
      </c>
      <c r="CY649" s="20" t="s">
        <v>122</v>
      </c>
      <c r="CZ649" s="20" t="s">
        <v>122</v>
      </c>
      <c r="DA649" s="20" t="s">
        <v>122</v>
      </c>
      <c r="DB649" s="503">
        <f t="shared" si="2014"/>
        <v>0</v>
      </c>
      <c r="DC649" s="127">
        <v>0</v>
      </c>
      <c r="DD649" s="127">
        <v>0</v>
      </c>
      <c r="DE649" s="127">
        <v>0</v>
      </c>
      <c r="DF649" s="127">
        <v>0</v>
      </c>
      <c r="DG649" s="127">
        <v>0</v>
      </c>
      <c r="DH649" s="127">
        <v>0</v>
      </c>
      <c r="DI649" s="127">
        <v>0</v>
      </c>
      <c r="DJ649" s="127">
        <v>0</v>
      </c>
      <c r="DK649" s="127">
        <v>0</v>
      </c>
      <c r="DL649" s="127">
        <v>0</v>
      </c>
      <c r="DM649" s="304">
        <f>INDEX(Input!$1:$1048576,DM$93,$C649*2+6)</f>
        <v>20731.578947368424</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v>5.2633823739220154E-2</v>
      </c>
      <c r="DZ649" s="7">
        <v>0</v>
      </c>
      <c r="EA649" s="7">
        <v>0.82710962919073694</v>
      </c>
      <c r="EB649" s="7">
        <v>0</v>
      </c>
      <c r="EC649" s="7">
        <v>0</v>
      </c>
      <c r="ED649" s="7">
        <v>0</v>
      </c>
      <c r="EE649" s="7">
        <v>0</v>
      </c>
      <c r="EF649" s="7">
        <v>0</v>
      </c>
      <c r="EG649" s="7">
        <v>0</v>
      </c>
      <c r="EH649" s="7">
        <v>2.9785071752891485E-2</v>
      </c>
      <c r="EI649" s="7">
        <v>1.9445552190601751E-2</v>
      </c>
      <c r="EJ649" s="7">
        <v>0.26213414918342137</v>
      </c>
      <c r="EK649" s="7">
        <v>0.68863522687308532</v>
      </c>
      <c r="EL649" s="7">
        <v>0</v>
      </c>
      <c r="EM649" s="7">
        <v>1.9611563844204673E-2</v>
      </c>
      <c r="EN649" s="7">
        <v>3.7166414047238042E-2</v>
      </c>
      <c r="EO649" s="7">
        <v>0.37961306758735597</v>
      </c>
      <c r="EP649" s="7">
        <v>0.48395013641915247</v>
      </c>
      <c r="EQ649" s="7">
        <v>7.5210653434860802E-2</v>
      </c>
      <c r="ER649" s="7">
        <v>2.40597285113924E-2</v>
      </c>
      <c r="ES649" s="7">
        <v>0.10064498322583823</v>
      </c>
      <c r="ET649" s="7">
        <v>0.12025654707004294</v>
      </c>
      <c r="EU649" s="6">
        <v>1500</v>
      </c>
      <c r="EV649" s="6">
        <v>0</v>
      </c>
      <c r="EW649" s="6">
        <v>1500</v>
      </c>
      <c r="EX649" s="6">
        <v>0</v>
      </c>
      <c r="EY649" s="6">
        <v>1384.5678877687064</v>
      </c>
      <c r="EZ649" s="6">
        <v>-1914.2676731795959</v>
      </c>
      <c r="FA649" s="6">
        <v>0</v>
      </c>
      <c r="FB649" s="6">
        <v>0</v>
      </c>
      <c r="FC649" s="6">
        <v>0</v>
      </c>
      <c r="FD649" s="6">
        <v>0</v>
      </c>
      <c r="FE649" s="6">
        <v>0</v>
      </c>
      <c r="FF649" s="6">
        <v>0</v>
      </c>
      <c r="FG649" s="6">
        <v>0</v>
      </c>
      <c r="FH649" s="6">
        <v>1158.6488420626365</v>
      </c>
      <c r="FI649" s="6">
        <v>1531.4299904380607</v>
      </c>
      <c r="FJ649" s="6">
        <v>1709.9775738488449</v>
      </c>
      <c r="FK649" s="6">
        <v>1266.3227157028184</v>
      </c>
      <c r="FL649" s="6">
        <v>0</v>
      </c>
      <c r="FM649" s="6">
        <v>1384.5678877687064</v>
      </c>
      <c r="FN649" s="6">
        <v>0</v>
      </c>
      <c r="FO649" s="6">
        <v>0</v>
      </c>
      <c r="FP649" s="6">
        <v>0</v>
      </c>
      <c r="FQ649" s="6">
        <v>0</v>
      </c>
      <c r="FR649" s="6">
        <v>0</v>
      </c>
      <c r="FS649" s="6">
        <v>0</v>
      </c>
      <c r="FT649" s="7">
        <v>0.87974345292995704</v>
      </c>
      <c r="FU649" s="7">
        <v>1.9611563844204673E-2</v>
      </c>
      <c r="FV649" s="7">
        <v>0.10064498322583823</v>
      </c>
      <c r="FW649" s="6">
        <v>1500.0000000000002</v>
      </c>
      <c r="FX649" s="6">
        <v>1384.5678877687064</v>
      </c>
      <c r="FY649" s="6">
        <v>-1914.2676731795959</v>
      </c>
      <c r="FZ649" s="6">
        <v>1676.0854837363124</v>
      </c>
      <c r="GA649" s="6">
        <v>1154.1072830656226</v>
      </c>
      <c r="GB649" s="6">
        <v>18540.892716934377</v>
      </c>
      <c r="GC649" s="7">
        <v>6.4493561548621597E-2</v>
      </c>
      <c r="GD649" s="7">
        <v>6.0562032206304385E-2</v>
      </c>
      <c r="GE649" s="7"/>
      <c r="GF649" s="7"/>
      <c r="GG649" s="7">
        <v>-6.0960028379782351E-2</v>
      </c>
      <c r="GH649" s="42">
        <v>2.300110919186189</v>
      </c>
      <c r="GI649" s="6">
        <v>9716.7378221912586</v>
      </c>
      <c r="GJ649" s="14">
        <v>0.5159625558966231</v>
      </c>
      <c r="GK649" s="14">
        <v>0.51419567426615931</v>
      </c>
      <c r="GL649" s="14">
        <v>0.48403744410337673</v>
      </c>
      <c r="GM649" s="14">
        <v>0.48580432573384025</v>
      </c>
      <c r="GO649" s="5">
        <v>338.16872463277008</v>
      </c>
      <c r="GP649" s="5">
        <v>309.55158621923283</v>
      </c>
      <c r="GQ649" s="5">
        <v>527.27910984145694</v>
      </c>
      <c r="GR649" s="5">
        <v>404.20319246551543</v>
      </c>
      <c r="GS649" s="5">
        <v>334.50205195691484</v>
      </c>
      <c r="GT649" s="5">
        <v>289.18266033348181</v>
      </c>
      <c r="GU649" s="5">
        <v>254.29573314828914</v>
      </c>
      <c r="GV649" s="39" t="s">
        <v>392</v>
      </c>
      <c r="GW649" s="5">
        <v>492.375</v>
      </c>
      <c r="GX649" s="5">
        <v>369.28125</v>
      </c>
      <c r="GY649" s="5">
        <v>302.23266563481752</v>
      </c>
      <c r="GZ649" s="5">
        <v>268.52323906086701</v>
      </c>
      <c r="HA649" s="5">
        <v>254.29573314828914</v>
      </c>
      <c r="HB649" s="39">
        <v>285.98636683721185</v>
      </c>
      <c r="HC649" s="5">
        <v>366.86483570160732</v>
      </c>
      <c r="HD649" s="5">
        <v>293.48776275539944</v>
      </c>
      <c r="HE649" s="5">
        <v>290.53812703897881</v>
      </c>
      <c r="HF649" s="5">
        <v>261.97061428438337</v>
      </c>
      <c r="HG649" s="5">
        <v>244.26506461313522</v>
      </c>
      <c r="HH649" s="39">
        <v>291.2327387379342</v>
      </c>
      <c r="HI649" s="16"/>
      <c r="HJ649" s="19" t="str">
        <f t="shared" ref="HJ649:HK649" si="2062">HJ648</f>
        <v>On</v>
      </c>
      <c r="HK649" s="1" t="str">
        <f t="shared" si="2062"/>
        <v>On</v>
      </c>
      <c r="HL649" s="16"/>
      <c r="HM649" s="639">
        <f t="shared" si="2044"/>
        <v>4.9686942767030826E-2</v>
      </c>
      <c r="HN649" s="639">
        <f t="shared" si="2044"/>
        <v>2.6112822013589915E-3</v>
      </c>
      <c r="HO649" s="639">
        <f t="shared" si="2044"/>
        <v>3.166115353075552E-2</v>
      </c>
      <c r="HP649" s="644">
        <f t="shared" ref="HP649:ID664" si="2063">HP149+HP249+HP349+HP449+HP549</f>
        <v>972.9768033837812</v>
      </c>
      <c r="HQ649" s="644">
        <f t="shared" si="2063"/>
        <v>-4.5030293059270257</v>
      </c>
      <c r="HR649" s="644">
        <f t="shared" si="2063"/>
        <v>-258.36756283802947</v>
      </c>
      <c r="HS649" s="644">
        <f t="shared" si="2063"/>
        <v>-185.35384673371257</v>
      </c>
      <c r="HT649" s="644">
        <f t="shared" si="2063"/>
        <v>150.49748231671853</v>
      </c>
      <c r="HU649" s="644">
        <f t="shared" si="2063"/>
        <v>21.935211469363381</v>
      </c>
      <c r="HV649" s="644">
        <f t="shared" si="2063"/>
        <v>0</v>
      </c>
      <c r="HW649" s="644">
        <f t="shared" si="2063"/>
        <v>0</v>
      </c>
      <c r="HX649" s="644">
        <f t="shared" si="2063"/>
        <v>0</v>
      </c>
      <c r="HY649" s="644">
        <f t="shared" si="2063"/>
        <v>2388</v>
      </c>
      <c r="HZ649" s="644">
        <f t="shared" si="2063"/>
        <v>2518</v>
      </c>
      <c r="IA649" s="644">
        <f t="shared" si="2063"/>
        <v>2200</v>
      </c>
      <c r="IB649" s="644">
        <f t="shared" si="2063"/>
        <v>3175.6229566500688</v>
      </c>
      <c r="IC649" s="644">
        <f t="shared" si="2063"/>
        <v>2663.9944530107914</v>
      </c>
      <c r="ID649" s="644">
        <f t="shared" si="2063"/>
        <v>1963.5676486313339</v>
      </c>
      <c r="IE649" s="20">
        <f t="shared" si="1977"/>
        <v>0.40696496788518893</v>
      </c>
      <c r="IF649" s="20">
        <f t="shared" si="1956"/>
        <v>0.34139834351100645</v>
      </c>
      <c r="IG649" s="20">
        <f t="shared" si="1957"/>
        <v>0.25163668860380461</v>
      </c>
      <c r="IH649" s="21"/>
      <c r="II649" s="19"/>
      <c r="IJ649" s="19"/>
      <c r="IK649" s="19"/>
      <c r="IL649" s="19">
        <f t="shared" si="1978"/>
        <v>1149.9999999999995</v>
      </c>
      <c r="IM649" s="19">
        <f t="shared" si="1978"/>
        <v>400.38562903548291</v>
      </c>
      <c r="IN649" s="19">
        <f t="shared" si="1978"/>
        <v>-67.974178379166915</v>
      </c>
      <c r="IO649" s="39"/>
      <c r="IP649" s="39"/>
      <c r="IQ649" s="39"/>
      <c r="IR649" s="39"/>
      <c r="IS649" s="39"/>
      <c r="IT649" s="39"/>
      <c r="IU649" s="39"/>
      <c r="IV649" s="39"/>
      <c r="IW649" s="39"/>
      <c r="IX649" s="19">
        <f t="shared" si="2045"/>
        <v>1600</v>
      </c>
      <c r="IY649" s="19">
        <f t="shared" si="2045"/>
        <v>2503.549291639752</v>
      </c>
      <c r="IZ649" s="19">
        <f t="shared" si="2045"/>
        <v>5888.3563810918577</v>
      </c>
      <c r="JA649" s="19">
        <f t="shared" si="2046"/>
        <v>2749.9999999999995</v>
      </c>
      <c r="JB649" s="19">
        <f t="shared" si="2046"/>
        <v>2903.9349206752349</v>
      </c>
      <c r="JC649" s="19">
        <f t="shared" si="2046"/>
        <v>5820.3822027126907</v>
      </c>
      <c r="JD649" s="19">
        <f t="shared" si="1981"/>
        <v>3575.1739371657004</v>
      </c>
      <c r="JE649" s="21"/>
      <c r="JF649" s="1">
        <f t="shared" si="1982"/>
        <v>6.8844376252282569E-2</v>
      </c>
      <c r="JG649" s="15">
        <f t="shared" si="1983"/>
        <v>7106</v>
      </c>
      <c r="JH649" s="1">
        <f t="shared" si="1984"/>
        <v>9.9930511010389064E-2</v>
      </c>
      <c r="JI649" s="1">
        <f t="shared" si="1985"/>
        <v>-1.8183440680594792E-3</v>
      </c>
      <c r="JJ649" s="1">
        <f t="shared" si="1962"/>
        <v>0</v>
      </c>
      <c r="JK649" s="1">
        <f t="shared" si="1963"/>
        <v>9.811216694232959E-2</v>
      </c>
      <c r="JL649" s="15">
        <f t="shared" si="2047"/>
        <v>697.18505829219407</v>
      </c>
      <c r="JM649" s="15">
        <f t="shared" si="2047"/>
        <v>7803.1850582921943</v>
      </c>
      <c r="JN649" s="21"/>
      <c r="JO649" s="19">
        <f>INDEX([1]Input!$1:$1048576,JO$93,$C649*2+6)</f>
        <v>5995.5</v>
      </c>
      <c r="JP649" s="19">
        <f>INDEX([1]Input!$1:$1048576,JP$93,$C649*2+6)</f>
        <v>1716.3055838443925</v>
      </c>
      <c r="JQ649" s="39">
        <f t="shared" si="1995"/>
        <v>2420.3260628342996</v>
      </c>
      <c r="JR649" s="39">
        <f t="shared" si="1996"/>
        <v>1858.8683533213079</v>
      </c>
      <c r="JS649" s="39">
        <f t="shared" si="1997"/>
        <v>27.897743847287071</v>
      </c>
      <c r="JT649" s="39">
        <f t="shared" si="1987"/>
        <v>15.701676368488817</v>
      </c>
      <c r="JU649" s="385">
        <f>(JQ649*JM649-INDEX([1]Input!$1:$1048576,[1]Input!A$18,$C649*2+6)*JL649*INDEX([1]Input!$1:$1048576,[1]Input!A$19,$C649*2+6))/1000000</f>
        <v>18.886252169703781</v>
      </c>
      <c r="JV649" s="39">
        <f t="shared" si="1966"/>
        <v>-11.521703351497969</v>
      </c>
      <c r="JW649" s="1">
        <f t="shared" si="2000"/>
        <v>-0.37890424245933063</v>
      </c>
      <c r="JX649" s="19">
        <f t="shared" si="2001"/>
        <v>22521.533101915902</v>
      </c>
      <c r="JZ649" s="341"/>
      <c r="KA649" s="60"/>
      <c r="KB649" s="469">
        <f t="shared" si="1988"/>
        <v>0</v>
      </c>
      <c r="KI649" s="472"/>
      <c r="KJ649" s="472"/>
      <c r="KK649" s="472"/>
      <c r="KN649" s="888">
        <f t="shared" si="1989"/>
        <v>6002</v>
      </c>
      <c r="KO649" s="541">
        <f t="shared" si="1967"/>
        <v>2.1074285247060454E-2</v>
      </c>
      <c r="KP649" s="546">
        <f t="shared" si="1968"/>
        <v>223.33354485515758</v>
      </c>
      <c r="KQ649" s="546">
        <f t="shared" si="1969"/>
        <v>-22.274553124226259</v>
      </c>
      <c r="KR649" s="472">
        <f t="shared" si="1970"/>
        <v>1.5190033029516223</v>
      </c>
      <c r="KS649" s="472">
        <f t="shared" si="1971"/>
        <v>-15.230132357892719</v>
      </c>
      <c r="KT649" s="473">
        <f t="shared" si="1998"/>
        <v>2521.945896759994</v>
      </c>
      <c r="KU649" s="663">
        <f t="shared" si="1990"/>
        <v>11.536145467128547</v>
      </c>
      <c r="KV649" s="117"/>
    </row>
    <row r="650" spans="1:308" s="26" customFormat="1" ht="15">
      <c r="A650" s="561">
        <f t="shared" si="1972"/>
        <v>6050</v>
      </c>
      <c r="B650" s="561">
        <f t="shared" si="1991"/>
        <v>50</v>
      </c>
      <c r="C650" s="561">
        <f t="shared" si="1992"/>
        <v>6</v>
      </c>
      <c r="D650" s="561" t="str">
        <f t="shared" si="2028"/>
        <v xml:space="preserve">1000 CC, -360 Lease, </v>
      </c>
      <c r="E650" s="475">
        <f>INDEX(Input!$1:$1048576,E$93,$C650*2+MIN($B650,2)+5)
+INDEX(Scenarios!E$121:E$199,MATCH($B650,Scenarios!$B$121:$B$199,0))</f>
        <v>2250</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1.8999999999999996E-2</v>
      </c>
      <c r="W650" s="863">
        <f>IFERROR(MAX(0,INDEX(Input!$1:$1048576,W$93,$C650*2+MIN($B650,2)+5)-0%,),"Market")</f>
        <v>3.9E-2</v>
      </c>
      <c r="X650" s="476" t="str">
        <f>INDEX(Input!$1:$1048576,X$93,$C650*2+MIN($B650,2)+5)</f>
        <v>Y</v>
      </c>
      <c r="Y650" s="475">
        <f>INDEX(Input!$1:$1048576,Y$93,$C650*2+MIN($B650,2)+5)
++INDEX(Scenarios!Y$121:Y$199,MATCH($B650,Scenarios!$B$121:$B$199,0))</f>
        <v>1979.3275155115825</v>
      </c>
      <c r="Z650" s="477">
        <f>INDEX(Input!$1:$1048576,Z$93,$C650*2+MIN($B650,2)+5)
+INDEX(Scenarios!Z$121:Z$199,MATCH($B650,Scenarios!$B$121:$B$199,0))</f>
        <v>0</v>
      </c>
      <c r="AA650" s="475">
        <f>INDEX(Input!$1:$1048576,AA$93,$C650*2+MIN($B650,2)+5)</f>
        <v>0</v>
      </c>
      <c r="AB650" s="476">
        <f>INDEX(Input!$1:$1048576,AB$93,$C650*2+MIN($B650,2)+5)</f>
        <v>1</v>
      </c>
      <c r="AC650" s="475">
        <f>INDEX(Input!$1:$1048576,AC$93,$C650*2+MIN($B650,2)+5)
+INDEX(Scenarios!AC$121:AC$199,MATCH($B650,Scenarios!$B$121:$B$199,0))</f>
        <v>0</v>
      </c>
      <c r="AD650" s="476">
        <f>INDEX(Input!$1:$1048576,AD$93,$C650*2+MIN($B650,2)+5)</f>
        <v>0.35</v>
      </c>
      <c r="AE650" s="475">
        <f>INDEX(Input!$1:$1048576,AE$93,$C650*2+MIN($B650,2)+5)
+INDEX(Scenarios!AE$121:AE$199,MATCH($B650,Scenarios!$B$121:$B$199,0))</f>
        <v>0</v>
      </c>
      <c r="AF650" s="476">
        <f>INDEX(Input!$1:$1048576,AF$93,$C650*2+MIN($B650,2)+5)</f>
        <v>1</v>
      </c>
      <c r="AG650" s="475">
        <f>INDEX(Input!$1:$1048576,AG$93,$C650*2+MIN($B650,2)+5)</f>
        <v>0</v>
      </c>
      <c r="AH650" s="476">
        <f>INDEX(Input!$1:$1048576,AH$93,$C650*2+MIN($B650,2)+5)</f>
        <v>1</v>
      </c>
      <c r="AI650" s="475">
        <f>INDEX(Input!$1:$1048576,AI$93,$C650*2+MIN($B650,2)+5)</f>
        <v>0</v>
      </c>
      <c r="AJ650" s="476">
        <f>INDEX(Input!$1:$1048576,AJ$93,$C650*2+MIN($B650,2)+5)</f>
        <v>0.35</v>
      </c>
      <c r="AK650" s="150">
        <f>ROUND(INDEX(Input!$1:$1048576,AK$93,$C649*2+MIN($B650,1)+5)+(Y650-VLOOKUP($C650*1000+1,$A:$HH,Y$92,FALSE)),0)</f>
        <v>4733</v>
      </c>
      <c r="AL650" s="150">
        <f>ROUND(INDEX(Input!$1:$1048576,AL$93,$C649*2+MIN($B650,1)+5)-(Y650-VLOOKUP($C650*1000+1,$A:$HH,Y$92,FALSE))/36,0)</f>
        <v>5227</v>
      </c>
      <c r="AM650" s="32" t="str">
        <f t="shared" si="1973"/>
        <v>std/std/std/std</v>
      </c>
      <c r="AN650" s="32" t="str">
        <f t="shared" si="1974"/>
        <v>$0 + 0/0/0/1.9/3.9</v>
      </c>
      <c r="AO650" s="32" t="str">
        <f t="shared" si="1975"/>
        <v>0/0/0/1.9/3.9</v>
      </c>
      <c r="AP650" s="32" t="str">
        <f t="shared" si="1939"/>
        <v>0/0.9/1.9/3.9</v>
      </c>
      <c r="AQ650" s="536">
        <f t="shared" si="1940"/>
        <v>0.42394054638654416</v>
      </c>
      <c r="AR650" s="32"/>
      <c r="AS650" s="302"/>
      <c r="AT650" s="3">
        <f t="shared" si="1993"/>
        <v>50</v>
      </c>
      <c r="AU650" s="41" t="s">
        <v>121</v>
      </c>
      <c r="AV650" s="41" t="s">
        <v>116</v>
      </c>
      <c r="AW650" s="41" t="str">
        <f>INDEX(Input!$1:$1048576,AW$93,$C650*2+6)</f>
        <v>Kia</v>
      </c>
      <c r="AX650" s="41" t="str">
        <f>INDEX(Input!$1:$1048576,AX$93,$C650*2+6)</f>
        <v>National</v>
      </c>
      <c r="AY650" s="41" t="str">
        <f>IF(LEN(D650)=0,"",INDEX(Input!$1:$1048576,AY$93,$C650*2+6))</f>
        <v>Compact Conventional/Sporty Car (43)</v>
      </c>
      <c r="AZ650" s="41" t="str">
        <f>INDEX(Input!$1:$1048576,AZ$93,$C650*2+6)</f>
        <v>Kia Forte</v>
      </c>
      <c r="BA650" s="3">
        <f>INDEX(Input!$1:$1048576,BA$93,$C650*2+6)</f>
        <v>2020</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19695</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941"/>
        <v>2465</v>
      </c>
      <c r="CJ650" s="16" t="str">
        <f>INDEX(Input!$1:$1048576,CJ$93,$C650*2+6)</f>
        <v>N</v>
      </c>
      <c r="CK650" s="1" t="str">
        <f t="shared" si="1942"/>
        <v>Market</v>
      </c>
      <c r="CL650" s="1" t="str">
        <f t="shared" si="1943"/>
        <v>Market</v>
      </c>
      <c r="CM650" s="1" t="str">
        <f t="shared" si="1944"/>
        <v>Market</v>
      </c>
      <c r="CN650" s="1" t="str">
        <f t="shared" si="1945"/>
        <v>Market</v>
      </c>
      <c r="CO650" s="1" t="str">
        <f t="shared" si="1946"/>
        <v>Market</v>
      </c>
      <c r="CP650" s="304">
        <f t="shared" si="1947"/>
        <v>0</v>
      </c>
      <c r="CQ650" s="1">
        <f t="shared" si="1948"/>
        <v>0</v>
      </c>
      <c r="CR650" s="1">
        <f t="shared" si="1949"/>
        <v>0</v>
      </c>
      <c r="CS650" s="1">
        <f t="shared" si="1950"/>
        <v>0</v>
      </c>
      <c r="CT650" s="1">
        <f t="shared" si="1951"/>
        <v>1.8999999999999996E-2</v>
      </c>
      <c r="CU650" s="1">
        <f t="shared" si="1952"/>
        <v>3.9E-2</v>
      </c>
      <c r="CV650" s="304">
        <f t="shared" si="2013"/>
        <v>1979.3275155115825</v>
      </c>
      <c r="CW650" s="20" t="s">
        <v>122</v>
      </c>
      <c r="CX650" s="20" t="s">
        <v>122</v>
      </c>
      <c r="CY650" s="20" t="s">
        <v>122</v>
      </c>
      <c r="CZ650" s="20" t="s">
        <v>122</v>
      </c>
      <c r="DA650" s="20" t="s">
        <v>122</v>
      </c>
      <c r="DB650" s="503">
        <f t="shared" si="2014"/>
        <v>0</v>
      </c>
      <c r="DC650" s="127">
        <v>0</v>
      </c>
      <c r="DD650" s="127">
        <v>0</v>
      </c>
      <c r="DE650" s="127">
        <v>0</v>
      </c>
      <c r="DF650" s="127">
        <v>0</v>
      </c>
      <c r="DG650" s="127">
        <v>0</v>
      </c>
      <c r="DH650" s="127">
        <v>0</v>
      </c>
      <c r="DI650" s="127">
        <v>0</v>
      </c>
      <c r="DJ650" s="127">
        <v>0</v>
      </c>
      <c r="DK650" s="127">
        <v>0</v>
      </c>
      <c r="DL650" s="127">
        <v>0</v>
      </c>
      <c r="DM650" s="304">
        <f>INDEX(Input!$1:$1048576,DM$93,$C650*2+6)</f>
        <v>20731.578947368424</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v>5.3319039879533493E-2</v>
      </c>
      <c r="DZ650" s="7">
        <v>0</v>
      </c>
      <c r="EA650" s="7">
        <v>0.83771433337990897</v>
      </c>
      <c r="EB650" s="7">
        <v>0</v>
      </c>
      <c r="EC650" s="7">
        <v>0</v>
      </c>
      <c r="ED650" s="7">
        <v>0</v>
      </c>
      <c r="EE650" s="7">
        <v>0</v>
      </c>
      <c r="EF650" s="7">
        <v>0</v>
      </c>
      <c r="EG650" s="7">
        <v>0</v>
      </c>
      <c r="EH650" s="7">
        <v>2.9801951959026171E-2</v>
      </c>
      <c r="EI650" s="7">
        <v>1.9448381607947499E-2</v>
      </c>
      <c r="EJ650" s="7">
        <v>0.26228781285205005</v>
      </c>
      <c r="EK650" s="7">
        <v>0.68846185358097589</v>
      </c>
      <c r="EL650" s="7">
        <v>0</v>
      </c>
      <c r="EM650" s="7">
        <v>1.7766699450693611E-2</v>
      </c>
      <c r="EN650" s="7">
        <v>3.7154507612667316E-2</v>
      </c>
      <c r="EO650" s="7">
        <v>0.37967290643462581</v>
      </c>
      <c r="EP650" s="7">
        <v>0.4838960113164627</v>
      </c>
      <c r="EQ650" s="7">
        <v>7.5213598345977489E-2</v>
      </c>
      <c r="ER650" s="7">
        <v>2.4062976290265978E-2</v>
      </c>
      <c r="ES650" s="7">
        <v>9.1199927289863925E-2</v>
      </c>
      <c r="ET650" s="7">
        <v>0.10896662674055761</v>
      </c>
      <c r="EU650" s="6">
        <v>1750</v>
      </c>
      <c r="EV650" s="6">
        <v>0</v>
      </c>
      <c r="EW650" s="6">
        <v>1750</v>
      </c>
      <c r="EX650" s="6">
        <v>0</v>
      </c>
      <c r="EY650" s="6">
        <v>1384.6352821817668</v>
      </c>
      <c r="EZ650" s="6">
        <v>-1914.2676731795959</v>
      </c>
      <c r="FA650" s="6">
        <v>0</v>
      </c>
      <c r="FB650" s="6">
        <v>0</v>
      </c>
      <c r="FC650" s="6">
        <v>0</v>
      </c>
      <c r="FD650" s="6">
        <v>0</v>
      </c>
      <c r="FE650" s="6">
        <v>0</v>
      </c>
      <c r="FF650" s="6">
        <v>0</v>
      </c>
      <c r="FG650" s="6">
        <v>0</v>
      </c>
      <c r="FH650" s="6">
        <v>1158.658513845679</v>
      </c>
      <c r="FI650" s="6">
        <v>1531.4299904380612</v>
      </c>
      <c r="FJ650" s="6">
        <v>1709.9775738488459</v>
      </c>
      <c r="FK650" s="6">
        <v>1266.3227157028189</v>
      </c>
      <c r="FL650" s="6">
        <v>0</v>
      </c>
      <c r="FM650" s="6">
        <v>1384.6352821817668</v>
      </c>
      <c r="FN650" s="6">
        <v>0</v>
      </c>
      <c r="FO650" s="6">
        <v>0</v>
      </c>
      <c r="FP650" s="6">
        <v>0</v>
      </c>
      <c r="FQ650" s="6">
        <v>0</v>
      </c>
      <c r="FR650" s="6">
        <v>0</v>
      </c>
      <c r="FS650" s="6">
        <v>0</v>
      </c>
      <c r="FT650" s="7">
        <v>0.89103337325944243</v>
      </c>
      <c r="FU650" s="7">
        <v>1.7766699450693611E-2</v>
      </c>
      <c r="FV650" s="7">
        <v>9.1199927289863925E-2</v>
      </c>
      <c r="FW650" s="6">
        <v>1750</v>
      </c>
      <c r="FX650" s="6">
        <v>1384.6352821817668</v>
      </c>
      <c r="FY650" s="6">
        <v>-1914.2676731795959</v>
      </c>
      <c r="FZ650" s="6">
        <v>1676.0854837363124</v>
      </c>
      <c r="GA650" s="6">
        <v>1409.3277295040577</v>
      </c>
      <c r="GB650" s="6">
        <v>18285.672270495943</v>
      </c>
      <c r="GC650" s="7">
        <v>6.4493561548621597E-2</v>
      </c>
      <c r="GD650" s="7">
        <v>6.3534494315928489E-2</v>
      </c>
      <c r="GE650" s="7"/>
      <c r="GF650" s="7"/>
      <c r="GG650" s="7">
        <v>-1.4870743833399083E-2</v>
      </c>
      <c r="GH650" s="42">
        <v>1.097922347718512</v>
      </c>
      <c r="GI650" s="6">
        <v>19347.754833138752</v>
      </c>
      <c r="GJ650" s="14">
        <v>0.51596255589662354</v>
      </c>
      <c r="GK650" s="14">
        <v>0.51419567426615964</v>
      </c>
      <c r="GL650" s="14">
        <v>0.48403744410337679</v>
      </c>
      <c r="GM650" s="14">
        <v>0.48580432573384069</v>
      </c>
      <c r="GO650" s="5">
        <v>338.16872463277008</v>
      </c>
      <c r="GP650" s="5">
        <v>304.78206315030991</v>
      </c>
      <c r="GQ650" s="5">
        <v>527.27910984145694</v>
      </c>
      <c r="GR650" s="5">
        <v>404.20319246551543</v>
      </c>
      <c r="GS650" s="5">
        <v>334.50205195691484</v>
      </c>
      <c r="GT650" s="5">
        <v>289.18266033348181</v>
      </c>
      <c r="GU650" s="5">
        <v>254.29573314828914</v>
      </c>
      <c r="GV650" s="39" t="s">
        <v>392</v>
      </c>
      <c r="GW650" s="5">
        <v>492.375</v>
      </c>
      <c r="GX650" s="5">
        <v>369.28125</v>
      </c>
      <c r="GY650" s="5">
        <v>302.23266563481752</v>
      </c>
      <c r="GZ650" s="5">
        <v>268.52323906086701</v>
      </c>
      <c r="HA650" s="5">
        <v>254.29573314828914</v>
      </c>
      <c r="HB650" s="39">
        <v>285.99561050169859</v>
      </c>
      <c r="HC650" s="5">
        <v>366.86483570160732</v>
      </c>
      <c r="HD650" s="5">
        <v>293.48776275539944</v>
      </c>
      <c r="HE650" s="5">
        <v>290.53812703897881</v>
      </c>
      <c r="HF650" s="5">
        <v>261.97061428438337</v>
      </c>
      <c r="HG650" s="5">
        <v>244.26506461313522</v>
      </c>
      <c r="HH650" s="39">
        <v>291.23177204831205</v>
      </c>
      <c r="HI650" s="16"/>
      <c r="HJ650" s="19" t="str">
        <f t="shared" ref="HJ650:HK659" si="2064">HJ649</f>
        <v>On</v>
      </c>
      <c r="HK650" s="1" t="str">
        <f t="shared" si="2064"/>
        <v>On</v>
      </c>
      <c r="HL650" s="16"/>
      <c r="HM650" s="639">
        <f t="shared" ref="HM650:HO665" si="2065">(HM150*HY150+HM250*HY250+HM350*HY350+HM450*HY450+HM550*HY550)/HY650</f>
        <v>4.9686942767030826E-2</v>
      </c>
      <c r="HN650" s="639">
        <f t="shared" si="2065"/>
        <v>2.6112822013589915E-3</v>
      </c>
      <c r="HO650" s="639">
        <f t="shared" si="2065"/>
        <v>3.166115353075552E-2</v>
      </c>
      <c r="HP650" s="644">
        <f t="shared" si="2063"/>
        <v>1202.5481741831286</v>
      </c>
      <c r="HQ650" s="644">
        <f t="shared" si="2063"/>
        <v>-12.635375343169821</v>
      </c>
      <c r="HR650" s="644">
        <f t="shared" si="2063"/>
        <v>-305.2448499067238</v>
      </c>
      <c r="HS650" s="644">
        <f t="shared" si="2063"/>
        <v>-225.43297617563192</v>
      </c>
      <c r="HT650" s="644">
        <f t="shared" si="2063"/>
        <v>141.16874523955744</v>
      </c>
      <c r="HU650" s="644">
        <f t="shared" si="2063"/>
        <v>31.301761438681982</v>
      </c>
      <c r="HV650" s="644">
        <f t="shared" si="2063"/>
        <v>0</v>
      </c>
      <c r="HW650" s="644">
        <f t="shared" si="2063"/>
        <v>0</v>
      </c>
      <c r="HX650" s="644">
        <f t="shared" si="2063"/>
        <v>0</v>
      </c>
      <c r="HY650" s="644">
        <f t="shared" si="2063"/>
        <v>2388</v>
      </c>
      <c r="HZ650" s="644">
        <f t="shared" si="2063"/>
        <v>2518</v>
      </c>
      <c r="IA650" s="644">
        <f t="shared" si="2063"/>
        <v>2200</v>
      </c>
      <c r="IB650" s="644">
        <f t="shared" si="2063"/>
        <v>3365.115198007496</v>
      </c>
      <c r="IC650" s="644">
        <f t="shared" si="2063"/>
        <v>2646.5333698963873</v>
      </c>
      <c r="ID650" s="644">
        <f t="shared" si="2063"/>
        <v>1926.0569115319581</v>
      </c>
      <c r="IE650" s="20">
        <f t="shared" si="1977"/>
        <v>0.42394054638654416</v>
      </c>
      <c r="IF650" s="20">
        <f t="shared" si="1956"/>
        <v>0.33341289579875988</v>
      </c>
      <c r="IG650" s="20">
        <f t="shared" si="1957"/>
        <v>0.24264655781469602</v>
      </c>
      <c r="IH650" s="21"/>
      <c r="II650" s="19"/>
      <c r="IJ650" s="19"/>
      <c r="IK650" s="19"/>
      <c r="IL650" s="19">
        <f t="shared" si="1978"/>
        <v>1400</v>
      </c>
      <c r="IM650" s="19">
        <f t="shared" si="1978"/>
        <v>400.4636965311247</v>
      </c>
      <c r="IN650" s="19">
        <f t="shared" si="1978"/>
        <v>-66.418127218521477</v>
      </c>
      <c r="IO650" s="39"/>
      <c r="IP650" s="39"/>
      <c r="IQ650" s="39"/>
      <c r="IR650" s="39"/>
      <c r="IS650" s="39"/>
      <c r="IT650" s="39"/>
      <c r="IU650" s="39"/>
      <c r="IV650" s="39"/>
      <c r="IW650" s="39"/>
      <c r="IX650" s="19">
        <f t="shared" ref="IX650:IZ665" si="2066">(IX150*HY150+IX250*HY250+IX350*HY350+IX450*HY450+IX550*HY550)/HY650</f>
        <v>1600</v>
      </c>
      <c r="IY650" s="19">
        <f t="shared" si="2066"/>
        <v>2503.549291639752</v>
      </c>
      <c r="IZ650" s="19">
        <f t="shared" si="2066"/>
        <v>5888.3563810918577</v>
      </c>
      <c r="JA650" s="19">
        <f t="shared" ref="JA650:JC665" si="2067">IFERROR((JA150*IB150+JA250*IB250+JA350*IB350+JA450*IB450+JA550*IB550)/IB650,0)</f>
        <v>3000</v>
      </c>
      <c r="JB650" s="19">
        <f t="shared" si="2067"/>
        <v>2904.0129881708767</v>
      </c>
      <c r="JC650" s="19">
        <f t="shared" si="2067"/>
        <v>5821.9382538733362</v>
      </c>
      <c r="JD650" s="19">
        <f t="shared" si="1981"/>
        <v>3652.730296094961</v>
      </c>
      <c r="JE650" s="21"/>
      <c r="JF650" s="1">
        <f t="shared" si="1982"/>
        <v>6.8844376252282569E-2</v>
      </c>
      <c r="JG650" s="15">
        <f t="shared" si="1983"/>
        <v>7106</v>
      </c>
      <c r="JH650" s="1">
        <f t="shared" si="1984"/>
        <v>0.12449591175531027</v>
      </c>
      <c r="JI650" s="1">
        <f t="shared" si="1985"/>
        <v>-7.4532042636353086E-3</v>
      </c>
      <c r="JJ650" s="1">
        <f t="shared" si="1962"/>
        <v>0</v>
      </c>
      <c r="JK650" s="1">
        <f t="shared" si="1963"/>
        <v>0.11704270749167496</v>
      </c>
      <c r="JL650" s="15">
        <f t="shared" ref="JL650:JM665" si="2068">JL150+JL250+JL350+JL450+JL550</f>
        <v>831.70547943584222</v>
      </c>
      <c r="JM650" s="15">
        <f t="shared" si="2068"/>
        <v>7937.7054794358428</v>
      </c>
      <c r="JN650" s="21"/>
      <c r="JO650" s="19">
        <f>INDEX([1]Input!$1:$1048576,JO$93,$C650*2+6)</f>
        <v>5995.5</v>
      </c>
      <c r="JP650" s="19">
        <f>INDEX([1]Input!$1:$1048576,JP$93,$C650*2+6)</f>
        <v>1716.3055838443925</v>
      </c>
      <c r="JQ650" s="39">
        <f t="shared" si="1995"/>
        <v>2342.769703905039</v>
      </c>
      <c r="JR650" s="39">
        <f t="shared" si="1996"/>
        <v>1936.4247122505685</v>
      </c>
      <c r="JS650" s="39">
        <f t="shared" si="1997"/>
        <v>28.99429728621428</v>
      </c>
      <c r="JT650" s="39">
        <f t="shared" si="1987"/>
        <v>16.798229807416028</v>
      </c>
      <c r="JU650" s="385">
        <f>(JQ650*JM650-INDEX([1]Input!$1:$1048576,[1]Input!A$18,$C650*2+6)*JL650*INDEX([1]Input!$1:$1048576,[1]Input!A$19,$C650*2+6))/1000000</f>
        <v>18.596215915743315</v>
      </c>
      <c r="JV650" s="39">
        <f t="shared" si="1966"/>
        <v>-11.811739605458435</v>
      </c>
      <c r="JW650" s="1">
        <f t="shared" si="2000"/>
        <v>-0.38844241261872325</v>
      </c>
      <c r="JX650" s="19">
        <f t="shared" si="2001"/>
        <v>20197.32973120546</v>
      </c>
      <c r="JZ650" s="341"/>
      <c r="KA650" s="60"/>
      <c r="KB650" s="469">
        <f t="shared" si="1988"/>
        <v>0</v>
      </c>
      <c r="KI650" s="472"/>
      <c r="KJ650" s="472"/>
      <c r="KK650" s="472"/>
      <c r="KN650" s="888">
        <f t="shared" si="1989"/>
        <v>6002</v>
      </c>
      <c r="KO650" s="541">
        <f t="shared" si="1967"/>
        <v>3.8676756781991228E-2</v>
      </c>
      <c r="KP650" s="546">
        <f t="shared" si="1968"/>
        <v>345.38095234050093</v>
      </c>
      <c r="KQ650" s="546">
        <f t="shared" si="1969"/>
        <v>55.28180580503431</v>
      </c>
      <c r="KR650" s="472">
        <f t="shared" si="1970"/>
        <v>1.802650320776312</v>
      </c>
      <c r="KS650" s="472">
        <f t="shared" si="1971"/>
        <v>11.262314525730169</v>
      </c>
      <c r="KT650" s="473">
        <f t="shared" si="1998"/>
        <v>2521.945896759994</v>
      </c>
      <c r="KU650" s="663">
        <f t="shared" si="1990"/>
        <v>11.57880833870637</v>
      </c>
      <c r="KV650" s="117"/>
    </row>
    <row r="651" spans="1:308" s="26" customFormat="1" ht="15" outlineLevel="1">
      <c r="A651" s="561">
        <f t="shared" si="1972"/>
        <v>6051</v>
      </c>
      <c r="B651" s="561">
        <f t="shared" si="1991"/>
        <v>51</v>
      </c>
      <c r="C651" s="561">
        <f t="shared" si="1992"/>
        <v>6</v>
      </c>
      <c r="D651" s="561" t="str">
        <f t="shared" si="2028"/>
        <v xml:space="preserve">0/0/0.9/3.9, -360 Lease, </v>
      </c>
      <c r="E651" s="475">
        <f>INDEX(Input!$1:$1048576,E$93,$C651*2+MIN($B651,2)+5)
+INDEX(Scenarios!E$121:E$199,MATCH($B651,Scenarios!$B$121:$B$199,0))</f>
        <v>1250.0000000000002</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8.9999999999999959E-3</v>
      </c>
      <c r="W651" s="863">
        <f>IFERROR(MAX(0,INDEX(Input!$1:$1048576,W$93,$C651*2+MIN($B651,2)+5)-0%,),"Market")</f>
        <v>3.9E-2</v>
      </c>
      <c r="X651" s="476" t="str">
        <f>INDEX(Input!$1:$1048576,X$93,$C651*2+MIN($B651,2)+5)</f>
        <v>Y</v>
      </c>
      <c r="Y651" s="475">
        <f>INDEX(Input!$1:$1048576,Y$93,$C651*2+MIN($B651,2)+5)
++INDEX(Scenarios!Y$121:Y$199,MATCH($B651,Scenarios!$B$121:$B$199,0))</f>
        <v>1979.3275155115825</v>
      </c>
      <c r="Z651" s="477">
        <f>INDEX(Input!$1:$1048576,Z$93,$C651*2+MIN($B651,2)+5)
+INDEX(Scenarios!Z$121:Z$199,MATCH($B651,Scenarios!$B$121:$B$199,0))</f>
        <v>0</v>
      </c>
      <c r="AA651" s="475">
        <f>INDEX(Input!$1:$1048576,AA$93,$C651*2+MIN($B651,2)+5)</f>
        <v>0</v>
      </c>
      <c r="AB651" s="476">
        <f>INDEX(Input!$1:$1048576,AB$93,$C651*2+MIN($B651,2)+5)</f>
        <v>1</v>
      </c>
      <c r="AC651" s="475">
        <f>INDEX(Input!$1:$1048576,AC$93,$C651*2+MIN($B651,2)+5)
+INDEX(Scenarios!AC$121:AC$199,MATCH($B651,Scenarios!$B$121:$B$199,0))</f>
        <v>0</v>
      </c>
      <c r="AD651" s="476">
        <f>INDEX(Input!$1:$1048576,AD$93,$C651*2+MIN($B651,2)+5)</f>
        <v>0.35</v>
      </c>
      <c r="AE651" s="475">
        <f>INDEX(Input!$1:$1048576,AE$93,$C651*2+MIN($B651,2)+5)
+INDEX(Scenarios!AE$121:AE$199,MATCH($B651,Scenarios!$B$121:$B$199,0))</f>
        <v>0</v>
      </c>
      <c r="AF651" s="476">
        <f>INDEX(Input!$1:$1048576,AF$93,$C651*2+MIN($B651,2)+5)</f>
        <v>1</v>
      </c>
      <c r="AG651" s="475">
        <f>INDEX(Input!$1:$1048576,AG$93,$C651*2+MIN($B651,2)+5)</f>
        <v>0</v>
      </c>
      <c r="AH651" s="476">
        <f>INDEX(Input!$1:$1048576,AH$93,$C651*2+MIN($B651,2)+5)</f>
        <v>1</v>
      </c>
      <c r="AI651" s="475">
        <f>INDEX(Input!$1:$1048576,AI$93,$C651*2+MIN($B651,2)+5)</f>
        <v>0</v>
      </c>
      <c r="AJ651" s="476">
        <f>INDEX(Input!$1:$1048576,AJ$93,$C651*2+MIN($B651,2)+5)</f>
        <v>0.35</v>
      </c>
      <c r="AK651" s="150">
        <f>ROUND(INDEX(Input!$1:$1048576,AK$93,$C650*2+MIN($B651,1)+5)+(Y651-VLOOKUP($C651*1000+1,$A:$HH,Y$92,FALSE)),0)</f>
        <v>4733</v>
      </c>
      <c r="AL651" s="150">
        <f>ROUND(INDEX(Input!$1:$1048576,AL$93,$C650*2+MIN($B651,1)+5)-(Y651-VLOOKUP($C651*1000+1,$A:$HH,Y$92,FALSE))/36,0)</f>
        <v>5227</v>
      </c>
      <c r="AM651" s="32" t="str">
        <f t="shared" si="1973"/>
        <v>std/std/std/std</v>
      </c>
      <c r="AN651" s="32" t="str">
        <f t="shared" si="1974"/>
        <v>$0 + 0/0/0/0.9/3.9</v>
      </c>
      <c r="AO651" s="32" t="str">
        <f t="shared" si="1975"/>
        <v>0/0/0/0.9/3.9</v>
      </c>
      <c r="AP651" s="32" t="str">
        <f t="shared" si="1939"/>
        <v>0/0/0.9/3.9</v>
      </c>
      <c r="AQ651" s="536">
        <f t="shared" si="1940"/>
        <v>0.33918004804981117</v>
      </c>
      <c r="AR651" s="32"/>
      <c r="AS651" s="302"/>
      <c r="AT651" s="3">
        <f t="shared" si="1993"/>
        <v>51</v>
      </c>
      <c r="AU651" s="41" t="s">
        <v>121</v>
      </c>
      <c r="AV651" s="41" t="s">
        <v>116</v>
      </c>
      <c r="AW651" s="41" t="str">
        <f>INDEX(Input!$1:$1048576,AW$93,$C651*2+6)</f>
        <v>Kia</v>
      </c>
      <c r="AX651" s="41" t="str">
        <f>INDEX(Input!$1:$1048576,AX$93,$C651*2+6)</f>
        <v>National</v>
      </c>
      <c r="AY651" s="41" t="str">
        <f>IF(LEN(D651)=0,"",INDEX(Input!$1:$1048576,AY$93,$C651*2+6))</f>
        <v>Compact Conventional/Sporty Car (43)</v>
      </c>
      <c r="AZ651" s="41" t="str">
        <f>INDEX(Input!$1:$1048576,AZ$93,$C651*2+6)</f>
        <v>Kia Forte</v>
      </c>
      <c r="BA651" s="3">
        <f>INDEX(Input!$1:$1048576,BA$93,$C651*2+6)</f>
        <v>2020</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19695</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941"/>
        <v>1465.0000000000002</v>
      </c>
      <c r="CJ651" s="16" t="str">
        <f>INDEX(Input!$1:$1048576,CJ$93,$C651*2+6)</f>
        <v>N</v>
      </c>
      <c r="CK651" s="1" t="str">
        <f t="shared" si="1942"/>
        <v>Market</v>
      </c>
      <c r="CL651" s="1" t="str">
        <f t="shared" si="1943"/>
        <v>Market</v>
      </c>
      <c r="CM651" s="1" t="str">
        <f t="shared" si="1944"/>
        <v>Market</v>
      </c>
      <c r="CN651" s="1" t="str">
        <f t="shared" si="1945"/>
        <v>Market</v>
      </c>
      <c r="CO651" s="1" t="str">
        <f t="shared" si="1946"/>
        <v>Market</v>
      </c>
      <c r="CP651" s="304">
        <f t="shared" si="1947"/>
        <v>0</v>
      </c>
      <c r="CQ651" s="1">
        <f t="shared" si="1948"/>
        <v>0</v>
      </c>
      <c r="CR651" s="1">
        <f t="shared" si="1949"/>
        <v>0</v>
      </c>
      <c r="CS651" s="1">
        <f t="shared" si="1950"/>
        <v>0</v>
      </c>
      <c r="CT651" s="1">
        <f t="shared" si="1951"/>
        <v>8.9999999999999959E-3</v>
      </c>
      <c r="CU651" s="1">
        <f t="shared" si="1952"/>
        <v>3.9E-2</v>
      </c>
      <c r="CV651" s="304">
        <f t="shared" si="2013"/>
        <v>1979.3275155115825</v>
      </c>
      <c r="CW651" s="20" t="s">
        <v>122</v>
      </c>
      <c r="CX651" s="20" t="s">
        <v>122</v>
      </c>
      <c r="CY651" s="20" t="s">
        <v>122</v>
      </c>
      <c r="CZ651" s="20" t="s">
        <v>122</v>
      </c>
      <c r="DA651" s="20" t="s">
        <v>122</v>
      </c>
      <c r="DB651" s="503">
        <f t="shared" si="2014"/>
        <v>0</v>
      </c>
      <c r="DC651" s="127">
        <v>0</v>
      </c>
      <c r="DD651" s="127">
        <v>0</v>
      </c>
      <c r="DE651" s="127">
        <v>0</v>
      </c>
      <c r="DF651" s="127">
        <v>0</v>
      </c>
      <c r="DG651" s="127">
        <v>0</v>
      </c>
      <c r="DH651" s="127">
        <v>0</v>
      </c>
      <c r="DI651" s="127">
        <v>0</v>
      </c>
      <c r="DJ651" s="127">
        <v>0</v>
      </c>
      <c r="DK651" s="127">
        <v>0</v>
      </c>
      <c r="DL651" s="127">
        <v>0</v>
      </c>
      <c r="DM651" s="304">
        <f>INDEX(Input!$1:$1048576,DM$93,$C651*2+6)</f>
        <v>20731.578947368424</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v>4.9869536149318862E-2</v>
      </c>
      <c r="DZ651" s="7">
        <v>0</v>
      </c>
      <c r="EA651" s="7">
        <v>0.78499933005189759</v>
      </c>
      <c r="EB651" s="7">
        <v>0</v>
      </c>
      <c r="EC651" s="7">
        <v>0</v>
      </c>
      <c r="ED651" s="7">
        <v>0</v>
      </c>
      <c r="EE651" s="7">
        <v>0</v>
      </c>
      <c r="EF651" s="7">
        <v>0</v>
      </c>
      <c r="EG651" s="7">
        <v>0</v>
      </c>
      <c r="EH651" s="7">
        <v>2.4156407699611252E-2</v>
      </c>
      <c r="EI651" s="7">
        <v>1.5793025532750075E-2</v>
      </c>
      <c r="EJ651" s="7">
        <v>0.24787196408110637</v>
      </c>
      <c r="EK651" s="7">
        <v>0.71217860268653266</v>
      </c>
      <c r="EL651" s="7">
        <v>0</v>
      </c>
      <c r="EM651" s="7">
        <v>3.196142767973046E-2</v>
      </c>
      <c r="EN651" s="7">
        <v>3.7203293514775339E-2</v>
      </c>
      <c r="EO651" s="7">
        <v>0.37941447408693318</v>
      </c>
      <c r="EP651" s="7">
        <v>0.48413311305413154</v>
      </c>
      <c r="EQ651" s="7">
        <v>7.5201199447922473E-2</v>
      </c>
      <c r="ER651" s="7">
        <v>2.4047919896238057E-2</v>
      </c>
      <c r="ES651" s="7">
        <v>0.13316970611905302</v>
      </c>
      <c r="ET651" s="7">
        <v>0.16513113379878347</v>
      </c>
      <c r="EU651" s="6">
        <v>750</v>
      </c>
      <c r="EV651" s="6">
        <v>0</v>
      </c>
      <c r="EW651" s="6">
        <v>750</v>
      </c>
      <c r="EX651" s="6">
        <v>0</v>
      </c>
      <c r="EY651" s="6">
        <v>1809.6166519104527</v>
      </c>
      <c r="EZ651" s="6">
        <v>-1914.2676731795959</v>
      </c>
      <c r="FA651" s="6">
        <v>0</v>
      </c>
      <c r="FB651" s="6">
        <v>0</v>
      </c>
      <c r="FC651" s="6">
        <v>0</v>
      </c>
      <c r="FD651" s="6">
        <v>0</v>
      </c>
      <c r="FE651" s="6">
        <v>0</v>
      </c>
      <c r="FF651" s="6">
        <v>0</v>
      </c>
      <c r="FG651" s="6">
        <v>0</v>
      </c>
      <c r="FH651" s="6">
        <v>1158.6165098813162</v>
      </c>
      <c r="FI651" s="6">
        <v>1531.4299904380625</v>
      </c>
      <c r="FJ651" s="6">
        <v>2070.720584253821</v>
      </c>
      <c r="FK651" s="6">
        <v>1746.9903521590425</v>
      </c>
      <c r="FL651" s="6">
        <v>0</v>
      </c>
      <c r="FM651" s="6">
        <v>1809.6166519104527</v>
      </c>
      <c r="FN651" s="6">
        <v>0</v>
      </c>
      <c r="FO651" s="6">
        <v>0</v>
      </c>
      <c r="FP651" s="6">
        <v>0</v>
      </c>
      <c r="FQ651" s="6">
        <v>0</v>
      </c>
      <c r="FR651" s="6">
        <v>0</v>
      </c>
      <c r="FS651" s="6">
        <v>0</v>
      </c>
      <c r="FT651" s="7">
        <v>0.83486886620121648</v>
      </c>
      <c r="FU651" s="7">
        <v>3.196142767973046E-2</v>
      </c>
      <c r="FV651" s="7">
        <v>0.13316970611905302</v>
      </c>
      <c r="FW651" s="6">
        <v>749.99999999999989</v>
      </c>
      <c r="FX651" s="6">
        <v>1809.6166519104527</v>
      </c>
      <c r="FY651" s="6">
        <v>-1914.2676731795959</v>
      </c>
      <c r="FZ651" s="6">
        <v>1676.0854837363124</v>
      </c>
      <c r="GA651" s="6">
        <v>429.06711792845402</v>
      </c>
      <c r="GB651" s="6">
        <v>19265.932882071545</v>
      </c>
      <c r="GC651" s="7">
        <v>6.4493561548621597E-2</v>
      </c>
      <c r="GD651" s="7">
        <v>5.2792474272634317E-2</v>
      </c>
      <c r="GE651" s="7"/>
      <c r="GF651" s="7"/>
      <c r="GG651" s="7">
        <v>-0.18143031637609047</v>
      </c>
      <c r="GH651" s="42">
        <v>2.8654510462740643</v>
      </c>
      <c r="GI651" s="6">
        <v>7302.3305874298212</v>
      </c>
      <c r="GJ651" s="14">
        <v>0.51596255589662332</v>
      </c>
      <c r="GK651" s="14">
        <v>0.51419567426615986</v>
      </c>
      <c r="GL651" s="14">
        <v>0.48403744410337673</v>
      </c>
      <c r="GM651" s="14">
        <v>0.48580432573384069</v>
      </c>
      <c r="GO651" s="5">
        <v>338.16872463277008</v>
      </c>
      <c r="GP651" s="5">
        <v>323.86015542600148</v>
      </c>
      <c r="GQ651" s="5">
        <v>527.27910984145694</v>
      </c>
      <c r="GR651" s="5">
        <v>404.20319246551543</v>
      </c>
      <c r="GS651" s="5">
        <v>334.50205195691484</v>
      </c>
      <c r="GT651" s="5">
        <v>289.18266033348181</v>
      </c>
      <c r="GU651" s="5">
        <v>254.29573314828914</v>
      </c>
      <c r="GV651" s="39" t="s">
        <v>392</v>
      </c>
      <c r="GW651" s="5">
        <v>492.375</v>
      </c>
      <c r="GX651" s="5">
        <v>369.28125</v>
      </c>
      <c r="GY651" s="5">
        <v>295.42500000000001</v>
      </c>
      <c r="GZ651" s="5">
        <v>260.68138716125202</v>
      </c>
      <c r="HA651" s="5">
        <v>254.29573314828914</v>
      </c>
      <c r="HB651" s="39">
        <v>276.60536049466032</v>
      </c>
      <c r="HC651" s="5">
        <v>366.86483570160732</v>
      </c>
      <c r="HD651" s="5">
        <v>293.48776275539944</v>
      </c>
      <c r="HE651" s="5">
        <v>290.53812703897881</v>
      </c>
      <c r="HF651" s="5">
        <v>261.97061428438337</v>
      </c>
      <c r="HG651" s="5">
        <v>244.26506461313522</v>
      </c>
      <c r="HH651" s="39">
        <v>291.23578434550552</v>
      </c>
      <c r="HI651" s="16"/>
      <c r="HJ651" s="19" t="str">
        <f t="shared" si="2064"/>
        <v>On</v>
      </c>
      <c r="HK651" s="1" t="str">
        <f t="shared" si="2064"/>
        <v>On</v>
      </c>
      <c r="HL651" s="16"/>
      <c r="HM651" s="639">
        <f t="shared" si="2065"/>
        <v>4.9686942767030826E-2</v>
      </c>
      <c r="HN651" s="639">
        <f t="shared" si="2065"/>
        <v>2.6112822013589915E-3</v>
      </c>
      <c r="HO651" s="639">
        <f t="shared" si="2065"/>
        <v>3.166115353075552E-2</v>
      </c>
      <c r="HP651" s="644">
        <f t="shared" si="2063"/>
        <v>276.47236565093942</v>
      </c>
      <c r="HQ651" s="644">
        <f t="shared" si="2063"/>
        <v>133.83136889614423</v>
      </c>
      <c r="HR651" s="644">
        <f t="shared" si="2063"/>
        <v>-135.3288641334847</v>
      </c>
      <c r="HS651" s="644">
        <f t="shared" si="2063"/>
        <v>-65.97533537623103</v>
      </c>
      <c r="HT651" s="644">
        <f t="shared" si="2063"/>
        <v>351.42007254305167</v>
      </c>
      <c r="HU651" s="644">
        <f t="shared" si="2063"/>
        <v>-5.3055614703158573</v>
      </c>
      <c r="HV651" s="644">
        <f t="shared" si="2063"/>
        <v>0</v>
      </c>
      <c r="HW651" s="644">
        <f t="shared" si="2063"/>
        <v>0</v>
      </c>
      <c r="HX651" s="644">
        <f t="shared" si="2063"/>
        <v>0</v>
      </c>
      <c r="HY651" s="644">
        <f t="shared" si="2063"/>
        <v>2388</v>
      </c>
      <c r="HZ651" s="644">
        <f t="shared" si="2063"/>
        <v>2518</v>
      </c>
      <c r="IA651" s="644">
        <f t="shared" si="2063"/>
        <v>2200</v>
      </c>
      <c r="IB651" s="644">
        <f t="shared" si="2063"/>
        <v>2598.4970302747083</v>
      </c>
      <c r="IC651" s="644">
        <f t="shared" si="2063"/>
        <v>3003.2514414391958</v>
      </c>
      <c r="ID651" s="644">
        <f t="shared" si="2063"/>
        <v>2059.3655743961995</v>
      </c>
      <c r="IE651" s="20">
        <f t="shared" si="1977"/>
        <v>0.33918004804981117</v>
      </c>
      <c r="IF651" s="20">
        <f t="shared" si="1956"/>
        <v>0.39201236574256237</v>
      </c>
      <c r="IG651" s="20">
        <f t="shared" si="1957"/>
        <v>0.2688075862076264</v>
      </c>
      <c r="IH651" s="21"/>
      <c r="II651" s="19"/>
      <c r="IJ651" s="19"/>
      <c r="IK651" s="19"/>
      <c r="IL651" s="19">
        <f t="shared" si="1978"/>
        <v>400</v>
      </c>
      <c r="IM651" s="19">
        <f t="shared" si="1978"/>
        <v>757.77805250403571</v>
      </c>
      <c r="IN651" s="19">
        <f t="shared" si="1978"/>
        <v>-72.082629651932621</v>
      </c>
      <c r="IO651" s="39"/>
      <c r="IP651" s="39"/>
      <c r="IQ651" s="39"/>
      <c r="IR651" s="39"/>
      <c r="IS651" s="39"/>
      <c r="IT651" s="39"/>
      <c r="IU651" s="39"/>
      <c r="IV651" s="39"/>
      <c r="IW651" s="39"/>
      <c r="IX651" s="19">
        <f t="shared" si="2066"/>
        <v>1600</v>
      </c>
      <c r="IY651" s="19">
        <f t="shared" si="2066"/>
        <v>2503.549291639752</v>
      </c>
      <c r="IZ651" s="19">
        <f t="shared" si="2066"/>
        <v>5888.3563810918577</v>
      </c>
      <c r="JA651" s="19">
        <f t="shared" si="2067"/>
        <v>2000</v>
      </c>
      <c r="JB651" s="19">
        <f t="shared" si="2067"/>
        <v>3261.3273441437877</v>
      </c>
      <c r="JC651" s="19">
        <f t="shared" si="2067"/>
        <v>5816.273751439925</v>
      </c>
      <c r="JD651" s="19">
        <f t="shared" si="1981"/>
        <v>3520.2992515856786</v>
      </c>
      <c r="JE651" s="21"/>
      <c r="JF651" s="1">
        <f t="shared" si="1982"/>
        <v>6.8844376252282569E-2</v>
      </c>
      <c r="JG651" s="15">
        <f t="shared" si="1983"/>
        <v>7106</v>
      </c>
      <c r="JH651" s="1">
        <f t="shared" si="1984"/>
        <v>3.8696154012608917E-2</v>
      </c>
      <c r="JI651" s="1">
        <f t="shared" si="1985"/>
        <v>3.9422906796581024E-2</v>
      </c>
      <c r="JJ651" s="1">
        <f t="shared" si="1962"/>
        <v>0</v>
      </c>
      <c r="JK651" s="1">
        <f t="shared" si="1963"/>
        <v>7.8119060809189955E-2</v>
      </c>
      <c r="JL651" s="15">
        <f t="shared" si="2068"/>
        <v>555.1140461101038</v>
      </c>
      <c r="JM651" s="15">
        <f t="shared" si="2068"/>
        <v>7661.114046110104</v>
      </c>
      <c r="JN651" s="21"/>
      <c r="JO651" s="19">
        <f>INDEX([1]Input!$1:$1048576,JO$93,$C651*2+6)</f>
        <v>5995.5</v>
      </c>
      <c r="JP651" s="19">
        <f>INDEX([1]Input!$1:$1048576,JP$93,$C651*2+6)</f>
        <v>1716.3055838443925</v>
      </c>
      <c r="JQ651" s="39">
        <f t="shared" si="1995"/>
        <v>2475.2007484143214</v>
      </c>
      <c r="JR651" s="39">
        <f t="shared" si="1996"/>
        <v>1803.9936677412861</v>
      </c>
      <c r="JS651" s="39">
        <f t="shared" si="1997"/>
        <v>26.969414042833929</v>
      </c>
      <c r="JT651" s="39">
        <f t="shared" si="1987"/>
        <v>14.773346564035675</v>
      </c>
      <c r="JU651" s="385">
        <f>(JQ651*JM651-INDEX([1]Input!$1:$1048576,[1]Input!A$18,$C651*2+6)*JL651*INDEX([1]Input!$1:$1048576,[1]Input!A$19,$C651*2+6))/1000000</f>
        <v>18.962795220619199</v>
      </c>
      <c r="JV651" s="39">
        <f t="shared" si="1966"/>
        <v>-11.44516030058255</v>
      </c>
      <c r="JW651" s="1">
        <f t="shared" si="2000"/>
        <v>-0.37638703768171744</v>
      </c>
      <c r="JX651" s="19">
        <f t="shared" si="2001"/>
        <v>26613.173756921045</v>
      </c>
      <c r="JZ651" s="341"/>
      <c r="KA651" s="60"/>
      <c r="KB651" s="469">
        <f t="shared" si="1988"/>
        <v>0</v>
      </c>
      <c r="KI651" s="472"/>
      <c r="KJ651" s="472"/>
      <c r="KK651" s="472"/>
      <c r="KN651" s="888">
        <f t="shared" si="1989"/>
        <v>6002</v>
      </c>
      <c r="KO651" s="541">
        <f t="shared" si="1967"/>
        <v>2.483792245231875E-3</v>
      </c>
      <c r="KP651" s="546">
        <f t="shared" si="1968"/>
        <v>51.528368501269696</v>
      </c>
      <c r="KQ651" s="546">
        <f t="shared" si="1969"/>
        <v>-77.149238704248091</v>
      </c>
      <c r="KR651" s="472">
        <f t="shared" si="1970"/>
        <v>0.77594099658042404</v>
      </c>
      <c r="KS651" s="472">
        <f t="shared" si="1971"/>
        <v>-0.51825493392505695</v>
      </c>
      <c r="KT651" s="473">
        <f t="shared" si="1998"/>
        <v>2521.945896759994</v>
      </c>
      <c r="KU651" s="663">
        <f t="shared" si="1990"/>
        <v>11.400802094295223</v>
      </c>
      <c r="KV651" s="117"/>
    </row>
    <row r="652" spans="1:308" s="26" customFormat="1" ht="15" outlineLevel="1">
      <c r="A652" s="561">
        <f t="shared" si="1972"/>
        <v>6052</v>
      </c>
      <c r="B652" s="561">
        <f t="shared" si="1991"/>
        <v>52</v>
      </c>
      <c r="C652" s="561">
        <f t="shared" si="1992"/>
        <v>6</v>
      </c>
      <c r="D652" s="561" t="str">
        <f t="shared" si="2028"/>
        <v xml:space="preserve">0/0/0/3.9, -360 Lease, </v>
      </c>
      <c r="E652" s="475">
        <f>INDEX(Input!$1:$1048576,E$93,$C652*2+MIN($B652,2)+5)
+INDEX(Scenarios!E$121:E$199,MATCH($B652,Scenarios!$B$121:$B$199,0))</f>
        <v>1250.0000000000002</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63">
        <f>IFERROR(MAX(0,INDEX(Input!$1:$1048576,W$93,$C652*2+MIN($B652,2)+5)-0%,),"Market")</f>
        <v>3.9E-2</v>
      </c>
      <c r="X652" s="476" t="str">
        <f>INDEX(Input!$1:$1048576,X$93,$C652*2+MIN($B652,2)+5)</f>
        <v>Y</v>
      </c>
      <c r="Y652" s="475">
        <f>INDEX(Input!$1:$1048576,Y$93,$C652*2+MIN($B652,2)+5)
++INDEX(Scenarios!Y$121:Y$199,MATCH($B652,Scenarios!$B$121:$B$199,0))</f>
        <v>1979.3275155115825</v>
      </c>
      <c r="Z652" s="477">
        <f>INDEX(Input!$1:$1048576,Z$93,$C652*2+MIN($B652,2)+5)
+INDEX(Scenarios!Z$121:Z$199,MATCH($B652,Scenarios!$B$121:$B$199,0))</f>
        <v>0</v>
      </c>
      <c r="AA652" s="475">
        <f>INDEX(Input!$1:$1048576,AA$93,$C652*2+MIN($B652,2)+5)</f>
        <v>0</v>
      </c>
      <c r="AB652" s="476">
        <f>INDEX(Input!$1:$1048576,AB$93,$C652*2+MIN($B652,2)+5)</f>
        <v>1</v>
      </c>
      <c r="AC652" s="475">
        <f>INDEX(Input!$1:$1048576,AC$93,$C652*2+MIN($B652,2)+5)
+INDEX(Scenarios!AC$121:AC$199,MATCH($B652,Scenarios!$B$121:$B$199,0))</f>
        <v>0</v>
      </c>
      <c r="AD652" s="476">
        <f>INDEX(Input!$1:$1048576,AD$93,$C652*2+MIN($B652,2)+5)</f>
        <v>0.35</v>
      </c>
      <c r="AE652" s="475">
        <f>INDEX(Input!$1:$1048576,AE$93,$C652*2+MIN($B652,2)+5)
+INDEX(Scenarios!AE$121:AE$199,MATCH($B652,Scenarios!$B$121:$B$199,0))</f>
        <v>0</v>
      </c>
      <c r="AF652" s="476">
        <f>INDEX(Input!$1:$1048576,AF$93,$C652*2+MIN($B652,2)+5)</f>
        <v>1</v>
      </c>
      <c r="AG652" s="475">
        <f>INDEX(Input!$1:$1048576,AG$93,$C652*2+MIN($B652,2)+5)</f>
        <v>0</v>
      </c>
      <c r="AH652" s="476">
        <f>INDEX(Input!$1:$1048576,AH$93,$C652*2+MIN($B652,2)+5)</f>
        <v>1</v>
      </c>
      <c r="AI652" s="475">
        <f>INDEX(Input!$1:$1048576,AI$93,$C652*2+MIN($B652,2)+5)</f>
        <v>0</v>
      </c>
      <c r="AJ652" s="476">
        <f>INDEX(Input!$1:$1048576,AJ$93,$C652*2+MIN($B652,2)+5)</f>
        <v>0.35</v>
      </c>
      <c r="AK652" s="150">
        <f>ROUND(INDEX(Input!$1:$1048576,AK$93,$C651*2+MIN($B652,1)+5)+(Y652-VLOOKUP($C652*1000+1,$A:$HH,Y$92,FALSE)),0)</f>
        <v>4733</v>
      </c>
      <c r="AL652" s="150">
        <f>ROUND(INDEX(Input!$1:$1048576,AL$93,$C651*2+MIN($B652,1)+5)-(Y652-VLOOKUP($C652*1000+1,$A:$HH,Y$92,FALSE))/36,0)</f>
        <v>5227</v>
      </c>
      <c r="AM652" s="32" t="str">
        <f t="shared" si="1973"/>
        <v>std/std/std/std</v>
      </c>
      <c r="AN652" s="32" t="str">
        <f t="shared" si="1974"/>
        <v>$0 + 0/0/0/0/3.9</v>
      </c>
      <c r="AO652" s="32" t="str">
        <f t="shared" si="1975"/>
        <v>0/0/0/0/3.9</v>
      </c>
      <c r="AP652" s="32" t="str">
        <f t="shared" si="1939"/>
        <v>0/0/0/3.9</v>
      </c>
      <c r="AQ652" s="536">
        <f t="shared" si="1940"/>
        <v>0.32018846193952399</v>
      </c>
      <c r="AR652" s="32"/>
      <c r="AS652" s="302"/>
      <c r="AT652" s="3">
        <f t="shared" si="1993"/>
        <v>52</v>
      </c>
      <c r="AU652" s="41" t="s">
        <v>121</v>
      </c>
      <c r="AV652" s="41" t="s">
        <v>116</v>
      </c>
      <c r="AW652" s="41" t="str">
        <f>INDEX(Input!$1:$1048576,AW$93,$C652*2+6)</f>
        <v>Kia</v>
      </c>
      <c r="AX652" s="41" t="str">
        <f>INDEX(Input!$1:$1048576,AX$93,$C652*2+6)</f>
        <v>National</v>
      </c>
      <c r="AY652" s="41" t="str">
        <f>IF(LEN(D652)=0,"",INDEX(Input!$1:$1048576,AY$93,$C652*2+6))</f>
        <v>Compact Conventional/Sporty Car (43)</v>
      </c>
      <c r="AZ652" s="41" t="str">
        <f>INDEX(Input!$1:$1048576,AZ$93,$C652*2+6)</f>
        <v>Kia Forte</v>
      </c>
      <c r="BA652" s="3">
        <f>INDEX(Input!$1:$1048576,BA$93,$C652*2+6)</f>
        <v>2020</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19695</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941"/>
        <v>1465.0000000000002</v>
      </c>
      <c r="CJ652" s="16" t="str">
        <f>INDEX(Input!$1:$1048576,CJ$93,$C652*2+6)</f>
        <v>N</v>
      </c>
      <c r="CK652" s="1" t="str">
        <f t="shared" si="1942"/>
        <v>Market</v>
      </c>
      <c r="CL652" s="1" t="str">
        <f t="shared" si="1943"/>
        <v>Market</v>
      </c>
      <c r="CM652" s="1" t="str">
        <f t="shared" si="1944"/>
        <v>Market</v>
      </c>
      <c r="CN652" s="1" t="str">
        <f t="shared" si="1945"/>
        <v>Market</v>
      </c>
      <c r="CO652" s="1" t="str">
        <f t="shared" si="1946"/>
        <v>Market</v>
      </c>
      <c r="CP652" s="304">
        <f t="shared" si="1947"/>
        <v>0</v>
      </c>
      <c r="CQ652" s="1">
        <f t="shared" si="1948"/>
        <v>0</v>
      </c>
      <c r="CR652" s="1">
        <f t="shared" si="1949"/>
        <v>0</v>
      </c>
      <c r="CS652" s="1">
        <f t="shared" si="1950"/>
        <v>0</v>
      </c>
      <c r="CT652" s="1">
        <f t="shared" si="1951"/>
        <v>0</v>
      </c>
      <c r="CU652" s="1">
        <f t="shared" si="1952"/>
        <v>3.9E-2</v>
      </c>
      <c r="CV652" s="304">
        <f t="shared" si="2013"/>
        <v>1979.3275155115825</v>
      </c>
      <c r="CW652" s="20" t="s">
        <v>122</v>
      </c>
      <c r="CX652" s="20" t="s">
        <v>122</v>
      </c>
      <c r="CY652" s="20" t="s">
        <v>122</v>
      </c>
      <c r="CZ652" s="20" t="s">
        <v>122</v>
      </c>
      <c r="DA652" s="20" t="s">
        <v>122</v>
      </c>
      <c r="DB652" s="503">
        <f t="shared" si="2014"/>
        <v>0</v>
      </c>
      <c r="DC652" s="127">
        <v>0</v>
      </c>
      <c r="DD652" s="127">
        <v>0</v>
      </c>
      <c r="DE652" s="127">
        <v>0</v>
      </c>
      <c r="DF652" s="127">
        <v>0</v>
      </c>
      <c r="DG652" s="127">
        <v>0</v>
      </c>
      <c r="DH652" s="127">
        <v>0</v>
      </c>
      <c r="DI652" s="127">
        <v>0</v>
      </c>
      <c r="DJ652" s="127">
        <v>0</v>
      </c>
      <c r="DK652" s="127">
        <v>0</v>
      </c>
      <c r="DL652" s="127">
        <v>0</v>
      </c>
      <c r="DM652" s="304">
        <f>INDEX(Input!$1:$1048576,DM$93,$C652*2+6)</f>
        <v>20731.578947368424</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v>4.9571858848692654E-2</v>
      </c>
      <c r="DZ652" s="7">
        <v>0</v>
      </c>
      <c r="EA652" s="7">
        <v>0.78084386372276415</v>
      </c>
      <c r="EB652" s="7">
        <v>0</v>
      </c>
      <c r="EC652" s="7">
        <v>0</v>
      </c>
      <c r="ED652" s="7">
        <v>0</v>
      </c>
      <c r="EE652" s="7">
        <v>0</v>
      </c>
      <c r="EF652" s="7">
        <v>0</v>
      </c>
      <c r="EG652" s="7">
        <v>0</v>
      </c>
      <c r="EH652" s="7">
        <v>2.0614950603481206E-2</v>
      </c>
      <c r="EI652" s="7">
        <v>1.3478441546203918E-2</v>
      </c>
      <c r="EJ652" s="7">
        <v>0.21153008498104559</v>
      </c>
      <c r="EK652" s="7">
        <v>0.75437652286926937</v>
      </c>
      <c r="EL652" s="7">
        <v>0</v>
      </c>
      <c r="EM652" s="7">
        <v>3.7220921888983557E-2</v>
      </c>
      <c r="EN652" s="7">
        <v>3.7207250974374946E-2</v>
      </c>
      <c r="EO652" s="7">
        <v>0.37940429928484842</v>
      </c>
      <c r="EP652" s="7">
        <v>0.48413950993756472</v>
      </c>
      <c r="EQ652" s="7">
        <v>7.5200120930058123E-2</v>
      </c>
      <c r="ER652" s="7">
        <v>2.4048818873153792E-2</v>
      </c>
      <c r="ES652" s="7">
        <v>0.13236335553955966</v>
      </c>
      <c r="ET652" s="7">
        <v>0.1695842774285431</v>
      </c>
      <c r="EU652" s="6">
        <v>750</v>
      </c>
      <c r="EV652" s="6">
        <v>0</v>
      </c>
      <c r="EW652" s="6">
        <v>750</v>
      </c>
      <c r="EX652" s="6">
        <v>0</v>
      </c>
      <c r="EY652" s="6">
        <v>2156.235249971443</v>
      </c>
      <c r="EZ652" s="6">
        <v>-1914.2676731795959</v>
      </c>
      <c r="FA652" s="6">
        <v>0</v>
      </c>
      <c r="FB652" s="6">
        <v>0</v>
      </c>
      <c r="FC652" s="6">
        <v>0</v>
      </c>
      <c r="FD652" s="6">
        <v>0</v>
      </c>
      <c r="FE652" s="6">
        <v>0</v>
      </c>
      <c r="FF652" s="6">
        <v>0</v>
      </c>
      <c r="FG652" s="6">
        <v>0</v>
      </c>
      <c r="FH652" s="6">
        <v>1158.6157219114252</v>
      </c>
      <c r="FI652" s="6">
        <v>1531.4299904380618</v>
      </c>
      <c r="FJ652" s="6">
        <v>2070.7205842538224</v>
      </c>
      <c r="FK652" s="6">
        <v>2218.6393698501029</v>
      </c>
      <c r="FL652" s="6">
        <v>0</v>
      </c>
      <c r="FM652" s="6">
        <v>2156.235249971443</v>
      </c>
      <c r="FN652" s="6">
        <v>0</v>
      </c>
      <c r="FO652" s="6">
        <v>0</v>
      </c>
      <c r="FP652" s="6">
        <v>0</v>
      </c>
      <c r="FQ652" s="6">
        <v>0</v>
      </c>
      <c r="FR652" s="6">
        <v>0</v>
      </c>
      <c r="FS652" s="6">
        <v>0</v>
      </c>
      <c r="FT652" s="7">
        <v>0.83041572257145679</v>
      </c>
      <c r="FU652" s="7">
        <v>3.7220921888983557E-2</v>
      </c>
      <c r="FV652" s="7">
        <v>0.13236335553955966</v>
      </c>
      <c r="FW652" s="6">
        <v>750</v>
      </c>
      <c r="FX652" s="6">
        <v>2156.235249971443</v>
      </c>
      <c r="FY652" s="6">
        <v>-1914.2676731795959</v>
      </c>
      <c r="FZ652" s="6">
        <v>1676.0854837363124</v>
      </c>
      <c r="GA652" s="6">
        <v>449.68996311909621</v>
      </c>
      <c r="GB652" s="6">
        <v>19245.310036880903</v>
      </c>
      <c r="GC652" s="7">
        <v>6.4493561548621597E-2</v>
      </c>
      <c r="GD652" s="7">
        <v>5.2948379986693744E-2</v>
      </c>
      <c r="GE652" s="7"/>
      <c r="GF652" s="7"/>
      <c r="GG652" s="7">
        <v>-0.17901293221686879</v>
      </c>
      <c r="GH652" s="42">
        <v>2.874814560833399</v>
      </c>
      <c r="GI652" s="6">
        <v>7300.5666312442499</v>
      </c>
      <c r="GJ652" s="14">
        <v>0.51596255589662332</v>
      </c>
      <c r="GK652" s="14">
        <v>0.51419567426615942</v>
      </c>
      <c r="GL652" s="14">
        <v>0.48403744410337662</v>
      </c>
      <c r="GM652" s="14">
        <v>0.48580432573384019</v>
      </c>
      <c r="GO652" s="5">
        <v>338.16872463277008</v>
      </c>
      <c r="GP652" s="5">
        <v>323.86015542600148</v>
      </c>
      <c r="GQ652" s="5">
        <v>527.27910984145694</v>
      </c>
      <c r="GR652" s="5">
        <v>404.20319246551543</v>
      </c>
      <c r="GS652" s="5">
        <v>334.50205195691484</v>
      </c>
      <c r="GT652" s="5">
        <v>289.18266033348181</v>
      </c>
      <c r="GU652" s="5">
        <v>254.29573314828914</v>
      </c>
      <c r="GV652" s="39" t="s">
        <v>392</v>
      </c>
      <c r="GW652" s="5">
        <v>492.375</v>
      </c>
      <c r="GX652" s="5">
        <v>369.28125</v>
      </c>
      <c r="GY652" s="5">
        <v>295.42500000000001</v>
      </c>
      <c r="GZ652" s="5">
        <v>252.98666951271395</v>
      </c>
      <c r="HA652" s="5">
        <v>254.29573314828914</v>
      </c>
      <c r="HB652" s="39">
        <v>268.46610148042674</v>
      </c>
      <c r="HC652" s="5">
        <v>366.86483570160732</v>
      </c>
      <c r="HD652" s="5">
        <v>293.48776275539944</v>
      </c>
      <c r="HE652" s="5">
        <v>290.53812703897881</v>
      </c>
      <c r="HF652" s="5">
        <v>261.97061428438337</v>
      </c>
      <c r="HG652" s="5">
        <v>244.26506461313522</v>
      </c>
      <c r="HH652" s="39">
        <v>291.23604560556959</v>
      </c>
      <c r="HI652" s="16"/>
      <c r="HJ652" s="19" t="str">
        <f t="shared" si="2064"/>
        <v>On</v>
      </c>
      <c r="HK652" s="1" t="str">
        <f t="shared" si="2064"/>
        <v>On</v>
      </c>
      <c r="HL652" s="16"/>
      <c r="HM652" s="639">
        <f t="shared" si="2065"/>
        <v>4.9686942767030826E-2</v>
      </c>
      <c r="HN652" s="639">
        <f t="shared" si="2065"/>
        <v>2.6112822013589915E-3</v>
      </c>
      <c r="HO652" s="639">
        <f t="shared" si="2065"/>
        <v>3.166115353075552E-2</v>
      </c>
      <c r="HP652" s="644">
        <f t="shared" si="2063"/>
        <v>211.93190105386552</v>
      </c>
      <c r="HQ652" s="644">
        <f t="shared" si="2063"/>
        <v>288.89113966284856</v>
      </c>
      <c r="HR652" s="644">
        <f t="shared" si="2063"/>
        <v>-157.68558278535752</v>
      </c>
      <c r="HS652" s="644">
        <f t="shared" si="2063"/>
        <v>-66.891983164370444</v>
      </c>
      <c r="HT652" s="644">
        <f t="shared" si="2063"/>
        <v>533.23399647540089</v>
      </c>
      <c r="HU652" s="644">
        <f t="shared" si="2063"/>
        <v>-4.3889136821764474</v>
      </c>
      <c r="HV652" s="644">
        <f t="shared" si="2063"/>
        <v>0</v>
      </c>
      <c r="HW652" s="644">
        <f t="shared" si="2063"/>
        <v>0</v>
      </c>
      <c r="HX652" s="644">
        <f t="shared" si="2063"/>
        <v>0</v>
      </c>
      <c r="HY652" s="644">
        <f t="shared" si="2063"/>
        <v>2388</v>
      </c>
      <c r="HZ652" s="644">
        <f t="shared" si="2063"/>
        <v>2518</v>
      </c>
      <c r="IA652" s="644">
        <f t="shared" si="2063"/>
        <v>2200</v>
      </c>
      <c r="IB652" s="644">
        <f t="shared" si="2063"/>
        <v>2533.039917889495</v>
      </c>
      <c r="IC652" s="644">
        <f t="shared" si="2063"/>
        <v>3340.1251361382492</v>
      </c>
      <c r="ID652" s="644">
        <f t="shared" si="2063"/>
        <v>2037.9255035324661</v>
      </c>
      <c r="IE652" s="20">
        <f t="shared" si="1977"/>
        <v>0.32018846193952399</v>
      </c>
      <c r="IF652" s="20">
        <f t="shared" si="1956"/>
        <v>0.422207925928274</v>
      </c>
      <c r="IG652" s="20">
        <f t="shared" si="1957"/>
        <v>0.25760361213220201</v>
      </c>
      <c r="IH652" s="21"/>
      <c r="II652" s="19"/>
      <c r="IJ652" s="19"/>
      <c r="IK652" s="19"/>
      <c r="IL652" s="19">
        <f t="shared" si="1978"/>
        <v>400.00000000000023</v>
      </c>
      <c r="IM652" s="19">
        <f t="shared" si="1978"/>
        <v>1133.5734793441266</v>
      </c>
      <c r="IN652" s="19">
        <f t="shared" si="1978"/>
        <v>-70.798558041626166</v>
      </c>
      <c r="IO652" s="39"/>
      <c r="IP652" s="39"/>
      <c r="IQ652" s="39"/>
      <c r="IR652" s="39"/>
      <c r="IS652" s="39"/>
      <c r="IT652" s="39"/>
      <c r="IU652" s="39"/>
      <c r="IV652" s="39"/>
      <c r="IW652" s="39"/>
      <c r="IX652" s="19">
        <f t="shared" si="2066"/>
        <v>1600</v>
      </c>
      <c r="IY652" s="19">
        <f t="shared" si="2066"/>
        <v>2503.549291639752</v>
      </c>
      <c r="IZ652" s="19">
        <f t="shared" si="2066"/>
        <v>5888.3563810918577</v>
      </c>
      <c r="JA652" s="19">
        <f t="shared" si="2067"/>
        <v>2000.0000000000002</v>
      </c>
      <c r="JB652" s="19">
        <f t="shared" si="2067"/>
        <v>3637.1227709838786</v>
      </c>
      <c r="JC652" s="19">
        <f t="shared" si="2067"/>
        <v>5817.5578230502315</v>
      </c>
      <c r="JD652" s="19">
        <f t="shared" si="1981"/>
        <v>3674.6228943683373</v>
      </c>
      <c r="JE652" s="21"/>
      <c r="JF652" s="1">
        <f t="shared" si="1982"/>
        <v>6.8844376252282569E-2</v>
      </c>
      <c r="JG652" s="15">
        <f t="shared" si="1983"/>
        <v>7106</v>
      </c>
      <c r="JH652" s="1">
        <f t="shared" si="1984"/>
        <v>4.8288412317950551E-2</v>
      </c>
      <c r="JI652" s="1">
        <f t="shared" si="1985"/>
        <v>6.5008879767640582E-2</v>
      </c>
      <c r="JJ652" s="1">
        <f t="shared" si="1962"/>
        <v>0</v>
      </c>
      <c r="JK652" s="1">
        <f t="shared" si="1963"/>
        <v>0.11329729208559113</v>
      </c>
      <c r="JL652" s="15">
        <f t="shared" si="2068"/>
        <v>805.09055756021053</v>
      </c>
      <c r="JM652" s="15">
        <f t="shared" si="2068"/>
        <v>7911.0905575602101</v>
      </c>
      <c r="JN652" s="21"/>
      <c r="JO652" s="19">
        <f>INDEX([1]Input!$1:$1048576,JO$93,$C652*2+6)</f>
        <v>5995.5</v>
      </c>
      <c r="JP652" s="19">
        <f>INDEX([1]Input!$1:$1048576,JP$93,$C652*2+6)</f>
        <v>1716.3055838443925</v>
      </c>
      <c r="JQ652" s="39">
        <f t="shared" si="1995"/>
        <v>2320.8771056316627</v>
      </c>
      <c r="JR652" s="39">
        <f t="shared" si="1996"/>
        <v>1958.3173105239448</v>
      </c>
      <c r="JS652" s="39">
        <f t="shared" si="1997"/>
        <v>29.070274482231923</v>
      </c>
      <c r="JT652" s="39">
        <f t="shared" si="1987"/>
        <v>16.874207003433668</v>
      </c>
      <c r="JU652" s="385">
        <f>(JQ652*JM652-INDEX([1]Input!$1:$1048576,[1]Input!A$18,$C652*2+6)*JL652*INDEX([1]Input!$1:$1048576,[1]Input!A$19,$C652*2+6))/1000000</f>
        <v>18.360668955620319</v>
      </c>
      <c r="JV652" s="39">
        <f t="shared" si="1966"/>
        <v>-12.04728656558143</v>
      </c>
      <c r="JW652" s="1">
        <f t="shared" si="2000"/>
        <v>-0.39618864073849153</v>
      </c>
      <c r="JX652" s="19">
        <f t="shared" si="2001"/>
        <v>20959.390027589154</v>
      </c>
      <c r="JZ652" s="341"/>
      <c r="KA652" s="60"/>
      <c r="KB652" s="469">
        <f t="shared" si="1988"/>
        <v>0</v>
      </c>
      <c r="KI652" s="472"/>
      <c r="KJ652" s="472"/>
      <c r="KK652" s="472"/>
      <c r="KN652" s="888">
        <f t="shared" si="1989"/>
        <v>6002</v>
      </c>
      <c r="KO652" s="541">
        <f t="shared" si="1967"/>
        <v>3.5194100388729055E-2</v>
      </c>
      <c r="KP652" s="546">
        <f t="shared" si="1968"/>
        <v>225.02107566935496</v>
      </c>
      <c r="KQ652" s="546">
        <f t="shared" si="1969"/>
        <v>77.174404078410589</v>
      </c>
      <c r="KR652" s="472">
        <f t="shared" si="1970"/>
        <v>2.5177145836683454</v>
      </c>
      <c r="KS652" s="472">
        <f t="shared" si="1971"/>
        <v>7.3410200002303814</v>
      </c>
      <c r="KT652" s="473">
        <f t="shared" si="1998"/>
        <v>2521.945896759994</v>
      </c>
      <c r="KU652" s="663">
        <f t="shared" si="1990"/>
        <v>11.453263606392008</v>
      </c>
      <c r="KV652" s="117"/>
    </row>
    <row r="653" spans="1:308" s="26" customFormat="1" ht="15" outlineLevel="1">
      <c r="A653" s="561">
        <f t="shared" si="1972"/>
        <v>6053</v>
      </c>
      <c r="B653" s="561">
        <f t="shared" si="1991"/>
        <v>53</v>
      </c>
      <c r="C653" s="561">
        <f t="shared" si="1992"/>
        <v>6</v>
      </c>
      <c r="D653" s="561" t="str">
        <f t="shared" si="2028"/>
        <v xml:space="preserve">0/0/0/3.9, -360 Lease, </v>
      </c>
      <c r="E653" s="475">
        <f>INDEX(Input!$1:$1048576,E$93,$C653*2+MIN($B653,2)+5)
+INDEX(Scenarios!E$121:E$199,MATCH($B653,Scenarios!$B$121:$B$199,0))</f>
        <v>1250.0000000000002</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63">
        <f>IFERROR(MAX(0,INDEX(Input!$1:$1048576,W$93,$C653*2+MIN($B653,2)+5)-0%,),"Market")</f>
        <v>3.9E-2</v>
      </c>
      <c r="X653" s="476" t="str">
        <f>INDEX(Input!$1:$1048576,X$93,$C653*2+MIN($B653,2)+5)</f>
        <v>Y</v>
      </c>
      <c r="Y653" s="475">
        <f>INDEX(Input!$1:$1048576,Y$93,$C653*2+MIN($B653,2)+5)
++INDEX(Scenarios!Y$121:Y$199,MATCH($B653,Scenarios!$B$121:$B$199,0))</f>
        <v>1979.3275155115825</v>
      </c>
      <c r="Z653" s="477">
        <f>INDEX(Input!$1:$1048576,Z$93,$C653*2+MIN($B653,2)+5)
+INDEX(Scenarios!Z$121:Z$199,MATCH($B653,Scenarios!$B$121:$B$199,0))</f>
        <v>0</v>
      </c>
      <c r="AA653" s="475">
        <f>INDEX(Input!$1:$1048576,AA$93,$C653*2+MIN($B653,2)+5)</f>
        <v>0</v>
      </c>
      <c r="AB653" s="476">
        <f>INDEX(Input!$1:$1048576,AB$93,$C653*2+MIN($B653,2)+5)</f>
        <v>1</v>
      </c>
      <c r="AC653" s="475">
        <f>INDEX(Input!$1:$1048576,AC$93,$C653*2+MIN($B653,2)+5)
+INDEX(Scenarios!AC$121:AC$199,MATCH($B653,Scenarios!$B$121:$B$199,0))</f>
        <v>0</v>
      </c>
      <c r="AD653" s="476">
        <f>INDEX(Input!$1:$1048576,AD$93,$C653*2+MIN($B653,2)+5)</f>
        <v>0.35</v>
      </c>
      <c r="AE653" s="475">
        <f>INDEX(Input!$1:$1048576,AE$93,$C653*2+MIN($B653,2)+5)
+INDEX(Scenarios!AE$121:AE$199,MATCH($B653,Scenarios!$B$121:$B$199,0))</f>
        <v>0</v>
      </c>
      <c r="AF653" s="476">
        <f>INDEX(Input!$1:$1048576,AF$93,$C653*2+MIN($B653,2)+5)</f>
        <v>1</v>
      </c>
      <c r="AG653" s="475">
        <f>INDEX(Input!$1:$1048576,AG$93,$C653*2+MIN($B653,2)+5)</f>
        <v>0</v>
      </c>
      <c r="AH653" s="476">
        <f>INDEX(Input!$1:$1048576,AH$93,$C653*2+MIN($B653,2)+5)</f>
        <v>1</v>
      </c>
      <c r="AI653" s="475">
        <f>INDEX(Input!$1:$1048576,AI$93,$C653*2+MIN($B653,2)+5)</f>
        <v>0</v>
      </c>
      <c r="AJ653" s="476">
        <f>INDEX(Input!$1:$1048576,AJ$93,$C653*2+MIN($B653,2)+5)</f>
        <v>0.35</v>
      </c>
      <c r="AK653" s="150">
        <f>ROUND(INDEX(Input!$1:$1048576,AK$93,$C652*2+MIN($B653,1)+5)+(Y653-VLOOKUP($C653*1000+1,$A:$HH,Y$92,FALSE)),0)</f>
        <v>4733</v>
      </c>
      <c r="AL653" s="150">
        <f>ROUND(INDEX(Input!$1:$1048576,AL$93,$C652*2+MIN($B653,1)+5)-(Y653-VLOOKUP($C653*1000+1,$A:$HH,Y$92,FALSE))/36,0)</f>
        <v>5227</v>
      </c>
      <c r="AM653" s="32" t="str">
        <f t="shared" si="1973"/>
        <v>std/std/std/std</v>
      </c>
      <c r="AN653" s="32" t="str">
        <f t="shared" si="1974"/>
        <v>$0 + 0/0/0/0/3.9</v>
      </c>
      <c r="AO653" s="32" t="str">
        <f t="shared" si="1975"/>
        <v>0/0/0/0/3.9</v>
      </c>
      <c r="AP653" s="32" t="str">
        <f t="shared" si="1939"/>
        <v>0/0/0/3.9</v>
      </c>
      <c r="AQ653" s="536">
        <f t="shared" si="1940"/>
        <v>0.32018846193952399</v>
      </c>
      <c r="AR653" s="32"/>
      <c r="AS653" s="302"/>
      <c r="AT653" s="3">
        <f t="shared" si="1993"/>
        <v>53</v>
      </c>
      <c r="AU653" s="41" t="s">
        <v>121</v>
      </c>
      <c r="AV653" s="41" t="s">
        <v>116</v>
      </c>
      <c r="AW653" s="41" t="str">
        <f>INDEX(Input!$1:$1048576,AW$93,$C653*2+6)</f>
        <v>Kia</v>
      </c>
      <c r="AX653" s="41" t="str">
        <f>INDEX(Input!$1:$1048576,AX$93,$C653*2+6)</f>
        <v>National</v>
      </c>
      <c r="AY653" s="41" t="str">
        <f>IF(LEN(D653)=0,"",INDEX(Input!$1:$1048576,AY$93,$C653*2+6))</f>
        <v>Compact Conventional/Sporty Car (43)</v>
      </c>
      <c r="AZ653" s="41" t="str">
        <f>INDEX(Input!$1:$1048576,AZ$93,$C653*2+6)</f>
        <v>Kia Forte</v>
      </c>
      <c r="BA653" s="3">
        <f>INDEX(Input!$1:$1048576,BA$93,$C653*2+6)</f>
        <v>2020</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19695</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941"/>
        <v>1465.0000000000002</v>
      </c>
      <c r="CJ653" s="16" t="str">
        <f>INDEX(Input!$1:$1048576,CJ$93,$C653*2+6)</f>
        <v>N</v>
      </c>
      <c r="CK653" s="1" t="str">
        <f t="shared" si="1942"/>
        <v>Market</v>
      </c>
      <c r="CL653" s="1" t="str">
        <f t="shared" si="1943"/>
        <v>Market</v>
      </c>
      <c r="CM653" s="1" t="str">
        <f t="shared" si="1944"/>
        <v>Market</v>
      </c>
      <c r="CN653" s="1" t="str">
        <f t="shared" si="1945"/>
        <v>Market</v>
      </c>
      <c r="CO653" s="1" t="str">
        <f t="shared" si="1946"/>
        <v>Market</v>
      </c>
      <c r="CP653" s="304">
        <f t="shared" si="1947"/>
        <v>0</v>
      </c>
      <c r="CQ653" s="1">
        <f t="shared" si="1948"/>
        <v>0</v>
      </c>
      <c r="CR653" s="1">
        <f t="shared" si="1949"/>
        <v>0</v>
      </c>
      <c r="CS653" s="1">
        <f t="shared" si="1950"/>
        <v>0</v>
      </c>
      <c r="CT653" s="1">
        <f t="shared" si="1951"/>
        <v>0</v>
      </c>
      <c r="CU653" s="1">
        <f t="shared" si="1952"/>
        <v>3.9E-2</v>
      </c>
      <c r="CV653" s="304">
        <f t="shared" si="2013"/>
        <v>1979.3275155115825</v>
      </c>
      <c r="CW653" s="20" t="s">
        <v>122</v>
      </c>
      <c r="CX653" s="20" t="s">
        <v>122</v>
      </c>
      <c r="CY653" s="20" t="s">
        <v>122</v>
      </c>
      <c r="CZ653" s="20" t="s">
        <v>122</v>
      </c>
      <c r="DA653" s="20" t="s">
        <v>122</v>
      </c>
      <c r="DB653" s="503">
        <f t="shared" si="2014"/>
        <v>0</v>
      </c>
      <c r="DC653" s="127">
        <v>0</v>
      </c>
      <c r="DD653" s="127">
        <v>0</v>
      </c>
      <c r="DE653" s="127">
        <v>0</v>
      </c>
      <c r="DF653" s="127">
        <v>0</v>
      </c>
      <c r="DG653" s="127">
        <v>0</v>
      </c>
      <c r="DH653" s="127">
        <v>0</v>
      </c>
      <c r="DI653" s="127">
        <v>0</v>
      </c>
      <c r="DJ653" s="127">
        <v>0</v>
      </c>
      <c r="DK653" s="127">
        <v>0</v>
      </c>
      <c r="DL653" s="127">
        <v>0</v>
      </c>
      <c r="DM653" s="304">
        <f>INDEX(Input!$1:$1048576,DM$93,$C653*2+6)</f>
        <v>20731.578947368424</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v>4.9272678116169595E-2</v>
      </c>
      <c r="DZ653" s="7">
        <v>0</v>
      </c>
      <c r="EA653" s="7">
        <v>0.77641334498518422</v>
      </c>
      <c r="EB653" s="7">
        <v>0</v>
      </c>
      <c r="EC653" s="7">
        <v>0</v>
      </c>
      <c r="ED653" s="7">
        <v>0</v>
      </c>
      <c r="EE653" s="7">
        <v>0</v>
      </c>
      <c r="EF653" s="7">
        <v>0</v>
      </c>
      <c r="EG653" s="7">
        <v>0</v>
      </c>
      <c r="EH653" s="7">
        <v>1.7831869165745893E-2</v>
      </c>
      <c r="EI653" s="7">
        <v>1.1659486370048539E-2</v>
      </c>
      <c r="EJ653" s="7">
        <v>0.18297061661218747</v>
      </c>
      <c r="EK653" s="7">
        <v>0.78753802785201799</v>
      </c>
      <c r="EL653" s="7">
        <v>0</v>
      </c>
      <c r="EM653" s="7">
        <v>4.2761356950146517E-2</v>
      </c>
      <c r="EN653" s="7">
        <v>3.7211286233698702E-2</v>
      </c>
      <c r="EO653" s="7">
        <v>0.37939383445131974</v>
      </c>
      <c r="EP653" s="7">
        <v>0.48414613547887148</v>
      </c>
      <c r="EQ653" s="7">
        <v>7.5199017739944973E-2</v>
      </c>
      <c r="ER653" s="7">
        <v>2.4049726096165909E-2</v>
      </c>
      <c r="ES653" s="7">
        <v>0.13155261994849962</v>
      </c>
      <c r="ET653" s="7">
        <v>0.17431397689864622</v>
      </c>
      <c r="EU653" s="6">
        <v>750</v>
      </c>
      <c r="EV653" s="6">
        <v>0</v>
      </c>
      <c r="EW653" s="6">
        <v>750</v>
      </c>
      <c r="EX653" s="6">
        <v>0</v>
      </c>
      <c r="EY653" s="6">
        <v>2492.8712425550293</v>
      </c>
      <c r="EZ653" s="6">
        <v>-1914.2676731795959</v>
      </c>
      <c r="FA653" s="6">
        <v>0</v>
      </c>
      <c r="FB653" s="6">
        <v>0</v>
      </c>
      <c r="FC653" s="6">
        <v>0</v>
      </c>
      <c r="FD653" s="6">
        <v>0</v>
      </c>
      <c r="FE653" s="6">
        <v>0</v>
      </c>
      <c r="FF653" s="6">
        <v>0</v>
      </c>
      <c r="FG653" s="6">
        <v>0</v>
      </c>
      <c r="FH653" s="6">
        <v>1158.6149049325725</v>
      </c>
      <c r="FI653" s="6">
        <v>1531.4299904380614</v>
      </c>
      <c r="FJ653" s="6">
        <v>2070.7205842538224</v>
      </c>
      <c r="FK653" s="6">
        <v>2635.395613320291</v>
      </c>
      <c r="FL653" s="6">
        <v>0</v>
      </c>
      <c r="FM653" s="6">
        <v>2492.8712425550293</v>
      </c>
      <c r="FN653" s="6">
        <v>0</v>
      </c>
      <c r="FO653" s="6">
        <v>0</v>
      </c>
      <c r="FP653" s="6">
        <v>0</v>
      </c>
      <c r="FQ653" s="6">
        <v>0</v>
      </c>
      <c r="FR653" s="6">
        <v>0</v>
      </c>
      <c r="FS653" s="6">
        <v>0</v>
      </c>
      <c r="FT653" s="7">
        <v>0.82568602310135386</v>
      </c>
      <c r="FU653" s="7">
        <v>4.2761356950146517E-2</v>
      </c>
      <c r="FV653" s="7">
        <v>0.13155261994849962</v>
      </c>
      <c r="FW653" s="6">
        <v>750</v>
      </c>
      <c r="FX653" s="6">
        <v>2492.8712425550293</v>
      </c>
      <c r="FY653" s="6">
        <v>-1914.2676731795959</v>
      </c>
      <c r="FZ653" s="6">
        <v>1676.0854837363124</v>
      </c>
      <c r="GA653" s="6">
        <v>474.03614667017223</v>
      </c>
      <c r="GB653" s="6">
        <v>19220.963853329828</v>
      </c>
      <c r="GC653" s="7">
        <v>6.4493561548621597E-2</v>
      </c>
      <c r="GD653" s="7">
        <v>5.3106513658493039E-2</v>
      </c>
      <c r="GE653" s="7"/>
      <c r="GF653" s="7"/>
      <c r="GG653" s="7">
        <v>-0.17656100262882646</v>
      </c>
      <c r="GH653" s="42">
        <v>2.8928670725462928</v>
      </c>
      <c r="GI653" s="6">
        <v>7282.1609260311952</v>
      </c>
      <c r="GJ653" s="14">
        <v>0.51596255589662321</v>
      </c>
      <c r="GK653" s="14">
        <v>0.51419567426615975</v>
      </c>
      <c r="GL653" s="14">
        <v>0.48403744410337662</v>
      </c>
      <c r="GM653" s="14">
        <v>0.48580432573384064</v>
      </c>
      <c r="GO653" s="5">
        <v>338.16872463277008</v>
      </c>
      <c r="GP653" s="5">
        <v>323.86015542600148</v>
      </c>
      <c r="GQ653" s="5">
        <v>527.27910984145694</v>
      </c>
      <c r="GR653" s="5">
        <v>404.20319246551543</v>
      </c>
      <c r="GS653" s="5">
        <v>334.50205195691484</v>
      </c>
      <c r="GT653" s="5">
        <v>289.18266033348181</v>
      </c>
      <c r="GU653" s="5">
        <v>254.29573314828914</v>
      </c>
      <c r="GV653" s="39" t="s">
        <v>392</v>
      </c>
      <c r="GW653" s="5">
        <v>492.375</v>
      </c>
      <c r="GX653" s="5">
        <v>369.28125</v>
      </c>
      <c r="GY653" s="5">
        <v>295.42500000000001</v>
      </c>
      <c r="GZ653" s="5">
        <v>246.1875</v>
      </c>
      <c r="HA653" s="5">
        <v>254.29573314828914</v>
      </c>
      <c r="HB653" s="39">
        <v>261.02170892604778</v>
      </c>
      <c r="HC653" s="5">
        <v>366.86483570160732</v>
      </c>
      <c r="HD653" s="5">
        <v>293.48776275539944</v>
      </c>
      <c r="HE653" s="5">
        <v>290.53812703897881</v>
      </c>
      <c r="HF653" s="5">
        <v>261.97061428438337</v>
      </c>
      <c r="HG653" s="5">
        <v>244.26506461313522</v>
      </c>
      <c r="HH653" s="39">
        <v>291.23631227159643</v>
      </c>
      <c r="HI653" s="16"/>
      <c r="HJ653" s="19" t="str">
        <f t="shared" si="2064"/>
        <v>On</v>
      </c>
      <c r="HK653" s="1" t="str">
        <f t="shared" si="2064"/>
        <v>On</v>
      </c>
      <c r="HL653" s="16"/>
      <c r="HM653" s="639">
        <f t="shared" si="2065"/>
        <v>4.9686942767030826E-2</v>
      </c>
      <c r="HN653" s="639">
        <f t="shared" si="2065"/>
        <v>2.6112822013589915E-3</v>
      </c>
      <c r="HO653" s="639">
        <f t="shared" si="2065"/>
        <v>3.166115353075552E-2</v>
      </c>
      <c r="HP653" s="644">
        <f t="shared" si="2063"/>
        <v>211.93190105386552</v>
      </c>
      <c r="HQ653" s="644">
        <f t="shared" si="2063"/>
        <v>288.89113966284856</v>
      </c>
      <c r="HR653" s="644">
        <f t="shared" si="2063"/>
        <v>-157.68558278535752</v>
      </c>
      <c r="HS653" s="644">
        <f t="shared" si="2063"/>
        <v>-66.891983164370444</v>
      </c>
      <c r="HT653" s="644">
        <f t="shared" si="2063"/>
        <v>533.23399647540089</v>
      </c>
      <c r="HU653" s="644">
        <f t="shared" si="2063"/>
        <v>-4.3889136821764474</v>
      </c>
      <c r="HV653" s="644">
        <f t="shared" si="2063"/>
        <v>0</v>
      </c>
      <c r="HW653" s="644">
        <f t="shared" si="2063"/>
        <v>0</v>
      </c>
      <c r="HX653" s="644">
        <f t="shared" si="2063"/>
        <v>0</v>
      </c>
      <c r="HY653" s="644">
        <f t="shared" si="2063"/>
        <v>2388</v>
      </c>
      <c r="HZ653" s="644">
        <f t="shared" si="2063"/>
        <v>2518</v>
      </c>
      <c r="IA653" s="644">
        <f t="shared" si="2063"/>
        <v>2200</v>
      </c>
      <c r="IB653" s="644">
        <f t="shared" si="2063"/>
        <v>2533.039917889495</v>
      </c>
      <c r="IC653" s="644">
        <f t="shared" si="2063"/>
        <v>3340.1251361382492</v>
      </c>
      <c r="ID653" s="644">
        <f t="shared" si="2063"/>
        <v>2037.9255035324661</v>
      </c>
      <c r="IE653" s="20">
        <f t="shared" si="1977"/>
        <v>0.32018846193952399</v>
      </c>
      <c r="IF653" s="20">
        <f t="shared" si="1956"/>
        <v>0.422207925928274</v>
      </c>
      <c r="IG653" s="20">
        <f t="shared" si="1957"/>
        <v>0.25760361213220201</v>
      </c>
      <c r="IH653" s="21"/>
      <c r="II653" s="19"/>
      <c r="IJ653" s="19"/>
      <c r="IK653" s="19"/>
      <c r="IL653" s="19">
        <f t="shared" si="1978"/>
        <v>400.00000000000023</v>
      </c>
      <c r="IM653" s="19">
        <f t="shared" si="1978"/>
        <v>1133.5734793441266</v>
      </c>
      <c r="IN653" s="19">
        <f t="shared" si="1978"/>
        <v>-70.798558041626166</v>
      </c>
      <c r="IO653" s="39"/>
      <c r="IP653" s="39"/>
      <c r="IQ653" s="39"/>
      <c r="IR653" s="39"/>
      <c r="IS653" s="39"/>
      <c r="IT653" s="39"/>
      <c r="IU653" s="39"/>
      <c r="IV653" s="39"/>
      <c r="IW653" s="39"/>
      <c r="IX653" s="19">
        <f t="shared" si="2066"/>
        <v>1600</v>
      </c>
      <c r="IY653" s="19">
        <f t="shared" si="2066"/>
        <v>2503.549291639752</v>
      </c>
      <c r="IZ653" s="19">
        <f t="shared" si="2066"/>
        <v>5888.3563810918577</v>
      </c>
      <c r="JA653" s="19">
        <f t="shared" si="2067"/>
        <v>2000.0000000000002</v>
      </c>
      <c r="JB653" s="19">
        <f t="shared" si="2067"/>
        <v>3637.1227709838786</v>
      </c>
      <c r="JC653" s="19">
        <f t="shared" si="2067"/>
        <v>5817.5578230502315</v>
      </c>
      <c r="JD653" s="19">
        <f t="shared" si="1981"/>
        <v>3674.6228943683373</v>
      </c>
      <c r="JE653" s="21"/>
      <c r="JF653" s="1">
        <f t="shared" si="1982"/>
        <v>6.8844376252282569E-2</v>
      </c>
      <c r="JG653" s="15">
        <f t="shared" si="1983"/>
        <v>7106</v>
      </c>
      <c r="JH653" s="1">
        <f t="shared" si="1984"/>
        <v>4.8288412317950551E-2</v>
      </c>
      <c r="JI653" s="1">
        <f t="shared" si="1985"/>
        <v>6.5008879767640582E-2</v>
      </c>
      <c r="JJ653" s="1">
        <f t="shared" si="1962"/>
        <v>0</v>
      </c>
      <c r="JK653" s="1">
        <f t="shared" si="1963"/>
        <v>0.11329729208559113</v>
      </c>
      <c r="JL653" s="15">
        <f t="shared" si="2068"/>
        <v>805.09055756021053</v>
      </c>
      <c r="JM653" s="15">
        <f t="shared" si="2068"/>
        <v>7911.0905575602101</v>
      </c>
      <c r="JN653" s="21"/>
      <c r="JO653" s="19">
        <f>INDEX([1]Input!$1:$1048576,JO$93,$C653*2+6)</f>
        <v>5995.5</v>
      </c>
      <c r="JP653" s="19">
        <f>INDEX([1]Input!$1:$1048576,JP$93,$C653*2+6)</f>
        <v>1716.3055838443925</v>
      </c>
      <c r="JQ653" s="39">
        <f t="shared" si="1995"/>
        <v>2320.8771056316627</v>
      </c>
      <c r="JR653" s="39">
        <f t="shared" si="1996"/>
        <v>1958.3173105239448</v>
      </c>
      <c r="JS653" s="39">
        <f t="shared" si="1997"/>
        <v>29.070274482231923</v>
      </c>
      <c r="JT653" s="39">
        <f t="shared" si="1987"/>
        <v>16.874207003433668</v>
      </c>
      <c r="JU653" s="385">
        <f>(JQ653*JM653-INDEX([1]Input!$1:$1048576,[1]Input!A$18,$C653*2+6)*JL653*INDEX([1]Input!$1:$1048576,[1]Input!A$19,$C653*2+6))/1000000</f>
        <v>18.360668955620319</v>
      </c>
      <c r="JV653" s="39">
        <f t="shared" si="1966"/>
        <v>-12.04728656558143</v>
      </c>
      <c r="JW653" s="1">
        <f t="shared" si="2000"/>
        <v>-0.39618864073849153</v>
      </c>
      <c r="JX653" s="19">
        <f t="shared" si="2001"/>
        <v>20959.390027589154</v>
      </c>
      <c r="JZ653" s="341"/>
      <c r="KA653" s="60"/>
      <c r="KB653" s="469">
        <f t="shared" si="1988"/>
        <v>0</v>
      </c>
      <c r="KI653" s="472"/>
      <c r="KJ653" s="472"/>
      <c r="KK653" s="472"/>
      <c r="KN653" s="888">
        <f t="shared" si="1989"/>
        <v>6002</v>
      </c>
      <c r="KO653" s="541">
        <f t="shared" si="1967"/>
        <v>3.5194100388729055E-2</v>
      </c>
      <c r="KP653" s="546">
        <f t="shared" si="1968"/>
        <v>225.02107566935496</v>
      </c>
      <c r="KQ653" s="546">
        <f t="shared" si="1969"/>
        <v>77.174404078410589</v>
      </c>
      <c r="KR653" s="472">
        <f t="shared" si="1970"/>
        <v>2.5177145836683454</v>
      </c>
      <c r="KS653" s="472">
        <f t="shared" si="1971"/>
        <v>7.3410200002303814</v>
      </c>
      <c r="KT653" s="473">
        <f t="shared" si="1998"/>
        <v>2521.945896759994</v>
      </c>
      <c r="KU653" s="663">
        <f t="shared" si="1990"/>
        <v>11.453264606392008</v>
      </c>
      <c r="KV653" s="117"/>
    </row>
    <row r="654" spans="1:308" s="26" customFormat="1" ht="15" outlineLevel="1">
      <c r="A654" s="561">
        <f t="shared" si="1972"/>
        <v>6054</v>
      </c>
      <c r="B654" s="561">
        <f t="shared" si="1991"/>
        <v>54</v>
      </c>
      <c r="C654" s="561">
        <f t="shared" si="1992"/>
        <v>6</v>
      </c>
      <c r="D654" s="561" t="str">
        <f t="shared" si="2028"/>
        <v xml:space="preserve">0/0/0/3.9, -360 Lease, </v>
      </c>
      <c r="E654" s="475">
        <f>INDEX(Input!$1:$1048576,E$93,$C654*2+MIN($B654,2)+5)
+INDEX(Scenarios!E$121:E$199,MATCH($B654,Scenarios!$B$121:$B$199,0))</f>
        <v>1250.0000000000002</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63">
        <f>IFERROR(MAX(0,INDEX(Input!$1:$1048576,W$93,$C654*2+MIN($B654,2)+5)-0%,),"Market")</f>
        <v>3.9E-2</v>
      </c>
      <c r="X654" s="476" t="str">
        <f>INDEX(Input!$1:$1048576,X$93,$C654*2+MIN($B654,2)+5)</f>
        <v>Y</v>
      </c>
      <c r="Y654" s="475">
        <f>INDEX(Input!$1:$1048576,Y$93,$C654*2+MIN($B654,2)+5)
++INDEX(Scenarios!Y$121:Y$199,MATCH($B654,Scenarios!$B$121:$B$199,0))</f>
        <v>1979.3275155115825</v>
      </c>
      <c r="Z654" s="477">
        <f>INDEX(Input!$1:$1048576,Z$93,$C654*2+MIN($B654,2)+5)
+INDEX(Scenarios!Z$121:Z$199,MATCH($B654,Scenarios!$B$121:$B$199,0))</f>
        <v>0</v>
      </c>
      <c r="AA654" s="475">
        <f>INDEX(Input!$1:$1048576,AA$93,$C654*2+MIN($B654,2)+5)</f>
        <v>0</v>
      </c>
      <c r="AB654" s="476">
        <f>INDEX(Input!$1:$1048576,AB$93,$C654*2+MIN($B654,2)+5)</f>
        <v>1</v>
      </c>
      <c r="AC654" s="475">
        <f>INDEX(Input!$1:$1048576,AC$93,$C654*2+MIN($B654,2)+5)
+INDEX(Scenarios!AC$121:AC$199,MATCH($B654,Scenarios!$B$121:$B$199,0))</f>
        <v>0</v>
      </c>
      <c r="AD654" s="476">
        <f>INDEX(Input!$1:$1048576,AD$93,$C654*2+MIN($B654,2)+5)</f>
        <v>0.35</v>
      </c>
      <c r="AE654" s="475">
        <f>INDEX(Input!$1:$1048576,AE$93,$C654*2+MIN($B654,2)+5)
+INDEX(Scenarios!AE$121:AE$199,MATCH($B654,Scenarios!$B$121:$B$199,0))</f>
        <v>0</v>
      </c>
      <c r="AF654" s="476">
        <f>INDEX(Input!$1:$1048576,AF$93,$C654*2+MIN($B654,2)+5)</f>
        <v>1</v>
      </c>
      <c r="AG654" s="475">
        <f>INDEX(Input!$1:$1048576,AG$93,$C654*2+MIN($B654,2)+5)</f>
        <v>0</v>
      </c>
      <c r="AH654" s="476">
        <f>INDEX(Input!$1:$1048576,AH$93,$C654*2+MIN($B654,2)+5)</f>
        <v>1</v>
      </c>
      <c r="AI654" s="475">
        <f>INDEX(Input!$1:$1048576,AI$93,$C654*2+MIN($B654,2)+5)</f>
        <v>0</v>
      </c>
      <c r="AJ654" s="476">
        <f>INDEX(Input!$1:$1048576,AJ$93,$C654*2+MIN($B654,2)+5)</f>
        <v>0.35</v>
      </c>
      <c r="AK654" s="150">
        <f>ROUND(INDEX(Input!$1:$1048576,AK$93,$C653*2+MIN($B654,1)+5)+(Y654-VLOOKUP($C654*1000+1,$A:$HH,Y$92,FALSE)),0)</f>
        <v>4733</v>
      </c>
      <c r="AL654" s="150">
        <f>ROUND(INDEX(Input!$1:$1048576,AL$93,$C653*2+MIN($B654,1)+5)-(Y654-VLOOKUP($C654*1000+1,$A:$HH,Y$92,FALSE))/36,0)</f>
        <v>5227</v>
      </c>
      <c r="AM654" s="32" t="str">
        <f t="shared" si="1973"/>
        <v>std/std/std/std</v>
      </c>
      <c r="AN654" s="32" t="str">
        <f t="shared" si="1974"/>
        <v>$0 + 0/0/0/0/3.9</v>
      </c>
      <c r="AO654" s="32" t="str">
        <f t="shared" si="1975"/>
        <v>0/0/0/0/3.9</v>
      </c>
      <c r="AP654" s="32" t="str">
        <f t="shared" si="1939"/>
        <v>0/0/0/3.9</v>
      </c>
      <c r="AQ654" s="536">
        <f t="shared" si="1940"/>
        <v>0.32018846193952399</v>
      </c>
      <c r="AR654" s="32"/>
      <c r="AS654" s="302"/>
      <c r="AT654" s="3">
        <f t="shared" si="1993"/>
        <v>54</v>
      </c>
      <c r="AU654" s="41" t="s">
        <v>121</v>
      </c>
      <c r="AV654" s="41" t="s">
        <v>116</v>
      </c>
      <c r="AW654" s="41" t="str">
        <f>INDEX(Input!$1:$1048576,AW$93,$C654*2+6)</f>
        <v>Kia</v>
      </c>
      <c r="AX654" s="41" t="str">
        <f>INDEX(Input!$1:$1048576,AX$93,$C654*2+6)</f>
        <v>National</v>
      </c>
      <c r="AY654" s="41" t="str">
        <f>IF(LEN(D654)=0,"",INDEX(Input!$1:$1048576,AY$93,$C654*2+6))</f>
        <v>Compact Conventional/Sporty Car (43)</v>
      </c>
      <c r="AZ654" s="41" t="str">
        <f>INDEX(Input!$1:$1048576,AZ$93,$C654*2+6)</f>
        <v>Kia Forte</v>
      </c>
      <c r="BA654" s="3">
        <f>INDEX(Input!$1:$1048576,BA$93,$C654*2+6)</f>
        <v>2020</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19695</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941"/>
        <v>1465.0000000000002</v>
      </c>
      <c r="CJ654" s="16" t="str">
        <f>INDEX(Input!$1:$1048576,CJ$93,$C654*2+6)</f>
        <v>N</v>
      </c>
      <c r="CK654" s="1" t="str">
        <f t="shared" si="1942"/>
        <v>Market</v>
      </c>
      <c r="CL654" s="1" t="str">
        <f t="shared" si="1943"/>
        <v>Market</v>
      </c>
      <c r="CM654" s="1" t="str">
        <f t="shared" si="1944"/>
        <v>Market</v>
      </c>
      <c r="CN654" s="1" t="str">
        <f t="shared" si="1945"/>
        <v>Market</v>
      </c>
      <c r="CO654" s="1" t="str">
        <f t="shared" si="1946"/>
        <v>Market</v>
      </c>
      <c r="CP654" s="304">
        <f t="shared" si="1947"/>
        <v>0</v>
      </c>
      <c r="CQ654" s="1">
        <f t="shared" si="1948"/>
        <v>0</v>
      </c>
      <c r="CR654" s="1">
        <f t="shared" si="1949"/>
        <v>0</v>
      </c>
      <c r="CS654" s="1">
        <f t="shared" si="1950"/>
        <v>0</v>
      </c>
      <c r="CT654" s="1">
        <f t="shared" si="1951"/>
        <v>0</v>
      </c>
      <c r="CU654" s="1">
        <f t="shared" si="1952"/>
        <v>3.9E-2</v>
      </c>
      <c r="CV654" s="304">
        <f t="shared" si="2013"/>
        <v>1979.3275155115825</v>
      </c>
      <c r="CW654" s="20" t="s">
        <v>122</v>
      </c>
      <c r="CX654" s="20" t="s">
        <v>122</v>
      </c>
      <c r="CY654" s="20" t="s">
        <v>122</v>
      </c>
      <c r="CZ654" s="20" t="s">
        <v>122</v>
      </c>
      <c r="DA654" s="20" t="s">
        <v>122</v>
      </c>
      <c r="DB654" s="503">
        <f t="shared" si="2014"/>
        <v>0</v>
      </c>
      <c r="DC654" s="127">
        <v>0</v>
      </c>
      <c r="DD654" s="127">
        <v>0</v>
      </c>
      <c r="DE654" s="127">
        <v>0</v>
      </c>
      <c r="DF654" s="127">
        <v>0</v>
      </c>
      <c r="DG654" s="127">
        <v>0</v>
      </c>
      <c r="DH654" s="127">
        <v>0</v>
      </c>
      <c r="DI654" s="127">
        <v>0</v>
      </c>
      <c r="DJ654" s="127">
        <v>0</v>
      </c>
      <c r="DK654" s="127">
        <v>0</v>
      </c>
      <c r="DL654" s="127">
        <v>0</v>
      </c>
      <c r="DM654" s="304">
        <f>INDEX(Input!$1:$1048576,DM$93,$C654*2+6)</f>
        <v>20731.578947368424</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v>4.9272678116169595E-2</v>
      </c>
      <c r="DZ654" s="7">
        <v>0</v>
      </c>
      <c r="EA654" s="7">
        <v>0.77641334498518422</v>
      </c>
      <c r="EB654" s="7">
        <v>0</v>
      </c>
      <c r="EC654" s="7">
        <v>0</v>
      </c>
      <c r="ED654" s="7">
        <v>0</v>
      </c>
      <c r="EE654" s="7">
        <v>0</v>
      </c>
      <c r="EF654" s="7">
        <v>0</v>
      </c>
      <c r="EG654" s="7">
        <v>0</v>
      </c>
      <c r="EH654" s="7">
        <v>1.7831869165745893E-2</v>
      </c>
      <c r="EI654" s="7">
        <v>1.1659486370048539E-2</v>
      </c>
      <c r="EJ654" s="7">
        <v>0.18297061661218747</v>
      </c>
      <c r="EK654" s="7">
        <v>0.78753802785201799</v>
      </c>
      <c r="EL654" s="7">
        <v>0</v>
      </c>
      <c r="EM654" s="7">
        <v>4.2761356950146517E-2</v>
      </c>
      <c r="EN654" s="7">
        <v>3.7211286233698702E-2</v>
      </c>
      <c r="EO654" s="7">
        <v>0.37939383445131974</v>
      </c>
      <c r="EP654" s="7">
        <v>0.48414613547887148</v>
      </c>
      <c r="EQ654" s="7">
        <v>7.5199017739944973E-2</v>
      </c>
      <c r="ER654" s="7">
        <v>2.4049726096165909E-2</v>
      </c>
      <c r="ES654" s="7">
        <v>0.13155261994849962</v>
      </c>
      <c r="ET654" s="7">
        <v>0.17431397689864622</v>
      </c>
      <c r="EU654" s="6">
        <v>750</v>
      </c>
      <c r="EV654" s="6">
        <v>0</v>
      </c>
      <c r="EW654" s="6">
        <v>750</v>
      </c>
      <c r="EX654" s="6">
        <v>0</v>
      </c>
      <c r="EY654" s="6">
        <v>2492.8712425550293</v>
      </c>
      <c r="EZ654" s="6">
        <v>-1914.2676731795959</v>
      </c>
      <c r="FA654" s="6">
        <v>0</v>
      </c>
      <c r="FB654" s="6">
        <v>0</v>
      </c>
      <c r="FC654" s="6">
        <v>0</v>
      </c>
      <c r="FD654" s="6">
        <v>0</v>
      </c>
      <c r="FE654" s="6">
        <v>0</v>
      </c>
      <c r="FF654" s="6">
        <v>0</v>
      </c>
      <c r="FG654" s="6">
        <v>0</v>
      </c>
      <c r="FH654" s="6">
        <v>1158.6149049325725</v>
      </c>
      <c r="FI654" s="6">
        <v>1531.4299904380614</v>
      </c>
      <c r="FJ654" s="6">
        <v>2070.7205842538224</v>
      </c>
      <c r="FK654" s="6">
        <v>2635.395613320291</v>
      </c>
      <c r="FL654" s="6">
        <v>0</v>
      </c>
      <c r="FM654" s="6">
        <v>2492.8712425550293</v>
      </c>
      <c r="FN654" s="6">
        <v>0</v>
      </c>
      <c r="FO654" s="6">
        <v>0</v>
      </c>
      <c r="FP654" s="6">
        <v>0</v>
      </c>
      <c r="FQ654" s="6">
        <v>0</v>
      </c>
      <c r="FR654" s="6">
        <v>0</v>
      </c>
      <c r="FS654" s="6">
        <v>0</v>
      </c>
      <c r="FT654" s="7">
        <v>0.82568602310135386</v>
      </c>
      <c r="FU654" s="7">
        <v>4.2761356950146517E-2</v>
      </c>
      <c r="FV654" s="7">
        <v>0.13155261994849962</v>
      </c>
      <c r="FW654" s="6">
        <v>750</v>
      </c>
      <c r="FX654" s="6">
        <v>2492.8712425550293</v>
      </c>
      <c r="FY654" s="6">
        <v>-1914.2676731795959</v>
      </c>
      <c r="FZ654" s="6">
        <v>1676.0854837363124</v>
      </c>
      <c r="GA654" s="6">
        <v>474.03614667017223</v>
      </c>
      <c r="GB654" s="6">
        <v>19220.963853329828</v>
      </c>
      <c r="GC654" s="7">
        <v>6.4493561548621597E-2</v>
      </c>
      <c r="GD654" s="7">
        <v>5.3106513658493039E-2</v>
      </c>
      <c r="GE654" s="7"/>
      <c r="GF654" s="7"/>
      <c r="GG654" s="7">
        <v>-0.17656100262882646</v>
      </c>
      <c r="GH654" s="42">
        <v>2.8928670725462928</v>
      </c>
      <c r="GI654" s="6">
        <v>7282.1609260311952</v>
      </c>
      <c r="GJ654" s="14">
        <v>0.51596255589662321</v>
      </c>
      <c r="GK654" s="14">
        <v>0.51419567426615975</v>
      </c>
      <c r="GL654" s="14">
        <v>0.48403744410337662</v>
      </c>
      <c r="GM654" s="14">
        <v>0.48580432573384064</v>
      </c>
      <c r="GO654" s="5">
        <v>338.16872463277008</v>
      </c>
      <c r="GP654" s="5">
        <v>323.86015542600148</v>
      </c>
      <c r="GQ654" s="5">
        <v>527.27910984145694</v>
      </c>
      <c r="GR654" s="5">
        <v>404.20319246551543</v>
      </c>
      <c r="GS654" s="5">
        <v>334.50205195691484</v>
      </c>
      <c r="GT654" s="5">
        <v>289.18266033348181</v>
      </c>
      <c r="GU654" s="5">
        <v>254.29573314828914</v>
      </c>
      <c r="GV654" s="39" t="s">
        <v>392</v>
      </c>
      <c r="GW654" s="5">
        <v>492.375</v>
      </c>
      <c r="GX654" s="5">
        <v>369.28125</v>
      </c>
      <c r="GY654" s="5">
        <v>295.42500000000001</v>
      </c>
      <c r="GZ654" s="5">
        <v>246.1875</v>
      </c>
      <c r="HA654" s="5">
        <v>254.29573314828914</v>
      </c>
      <c r="HB654" s="39">
        <v>261.02170892604778</v>
      </c>
      <c r="HC654" s="5">
        <v>366.86483570160732</v>
      </c>
      <c r="HD654" s="5">
        <v>293.48776275539944</v>
      </c>
      <c r="HE654" s="5">
        <v>290.53812703897881</v>
      </c>
      <c r="HF654" s="5">
        <v>261.97061428438337</v>
      </c>
      <c r="HG654" s="5">
        <v>244.26506461313522</v>
      </c>
      <c r="HH654" s="39">
        <v>291.23631227159643</v>
      </c>
      <c r="HI654" s="16"/>
      <c r="HJ654" s="19" t="str">
        <f t="shared" si="2064"/>
        <v>On</v>
      </c>
      <c r="HK654" s="1" t="str">
        <f t="shared" si="2064"/>
        <v>On</v>
      </c>
      <c r="HL654" s="16"/>
      <c r="HM654" s="639">
        <f t="shared" si="2065"/>
        <v>4.9686942767030826E-2</v>
      </c>
      <c r="HN654" s="639">
        <f t="shared" si="2065"/>
        <v>2.6112822013589915E-3</v>
      </c>
      <c r="HO654" s="639">
        <f t="shared" si="2065"/>
        <v>3.166115353075552E-2</v>
      </c>
      <c r="HP654" s="644">
        <f t="shared" si="2063"/>
        <v>211.93190105386552</v>
      </c>
      <c r="HQ654" s="644">
        <f t="shared" si="2063"/>
        <v>288.89113966284856</v>
      </c>
      <c r="HR654" s="644">
        <f t="shared" si="2063"/>
        <v>-157.68558278535752</v>
      </c>
      <c r="HS654" s="644">
        <f t="shared" si="2063"/>
        <v>-66.891983164370444</v>
      </c>
      <c r="HT654" s="644">
        <f t="shared" si="2063"/>
        <v>533.23399647540089</v>
      </c>
      <c r="HU654" s="644">
        <f t="shared" si="2063"/>
        <v>-4.3889136821764474</v>
      </c>
      <c r="HV654" s="644">
        <f t="shared" si="2063"/>
        <v>0</v>
      </c>
      <c r="HW654" s="644">
        <f t="shared" si="2063"/>
        <v>0</v>
      </c>
      <c r="HX654" s="644">
        <f t="shared" si="2063"/>
        <v>0</v>
      </c>
      <c r="HY654" s="644">
        <f t="shared" si="2063"/>
        <v>2388</v>
      </c>
      <c r="HZ654" s="644">
        <f t="shared" si="2063"/>
        <v>2518</v>
      </c>
      <c r="IA654" s="644">
        <f t="shared" si="2063"/>
        <v>2200</v>
      </c>
      <c r="IB654" s="644">
        <f t="shared" si="2063"/>
        <v>2533.039917889495</v>
      </c>
      <c r="IC654" s="644">
        <f t="shared" si="2063"/>
        <v>3340.1251361382492</v>
      </c>
      <c r="ID654" s="644">
        <f t="shared" si="2063"/>
        <v>2037.9255035324661</v>
      </c>
      <c r="IE654" s="20">
        <f t="shared" si="1977"/>
        <v>0.32018846193952399</v>
      </c>
      <c r="IF654" s="20">
        <f t="shared" si="1956"/>
        <v>0.422207925928274</v>
      </c>
      <c r="IG654" s="20">
        <f t="shared" si="1957"/>
        <v>0.25760361213220201</v>
      </c>
      <c r="IH654" s="21"/>
      <c r="II654" s="19"/>
      <c r="IJ654" s="19"/>
      <c r="IK654" s="19"/>
      <c r="IL654" s="19">
        <f t="shared" si="1978"/>
        <v>400.00000000000023</v>
      </c>
      <c r="IM654" s="19">
        <f t="shared" si="1978"/>
        <v>1133.5734793441266</v>
      </c>
      <c r="IN654" s="19">
        <f t="shared" si="1978"/>
        <v>-70.798558041626166</v>
      </c>
      <c r="IO654" s="39"/>
      <c r="IP654" s="39"/>
      <c r="IQ654" s="39"/>
      <c r="IR654" s="39"/>
      <c r="IS654" s="39"/>
      <c r="IT654" s="39"/>
      <c r="IU654" s="39"/>
      <c r="IV654" s="39"/>
      <c r="IW654" s="39"/>
      <c r="IX654" s="19">
        <f t="shared" si="2066"/>
        <v>1600</v>
      </c>
      <c r="IY654" s="19">
        <f t="shared" si="2066"/>
        <v>2503.549291639752</v>
      </c>
      <c r="IZ654" s="19">
        <f t="shared" si="2066"/>
        <v>5888.3563810918577</v>
      </c>
      <c r="JA654" s="19">
        <f t="shared" si="2067"/>
        <v>2000.0000000000002</v>
      </c>
      <c r="JB654" s="19">
        <f t="shared" si="2067"/>
        <v>3637.1227709838786</v>
      </c>
      <c r="JC654" s="19">
        <f t="shared" si="2067"/>
        <v>5817.5578230502315</v>
      </c>
      <c r="JD654" s="19">
        <f t="shared" si="1981"/>
        <v>3674.6228943683373</v>
      </c>
      <c r="JE654" s="21"/>
      <c r="JF654" s="1">
        <f t="shared" si="1982"/>
        <v>6.8844376252282569E-2</v>
      </c>
      <c r="JG654" s="15">
        <f t="shared" si="1983"/>
        <v>7106</v>
      </c>
      <c r="JH654" s="1">
        <f t="shared" si="1984"/>
        <v>4.8288412317950551E-2</v>
      </c>
      <c r="JI654" s="1">
        <f t="shared" si="1985"/>
        <v>6.5008879767640582E-2</v>
      </c>
      <c r="JJ654" s="1">
        <f t="shared" si="1962"/>
        <v>0</v>
      </c>
      <c r="JK654" s="1">
        <f t="shared" si="1963"/>
        <v>0.11329729208559113</v>
      </c>
      <c r="JL654" s="15">
        <f t="shared" si="2068"/>
        <v>805.09055756021053</v>
      </c>
      <c r="JM654" s="15">
        <f t="shared" si="2068"/>
        <v>7911.0905575602101</v>
      </c>
      <c r="JN654" s="21"/>
      <c r="JO654" s="19">
        <f>INDEX([1]Input!$1:$1048576,JO$93,$C654*2+6)</f>
        <v>5995.5</v>
      </c>
      <c r="JP654" s="19">
        <f>INDEX([1]Input!$1:$1048576,JP$93,$C654*2+6)</f>
        <v>1716.3055838443925</v>
      </c>
      <c r="JQ654" s="39">
        <f t="shared" si="1995"/>
        <v>2320.8771056316627</v>
      </c>
      <c r="JR654" s="39">
        <f t="shared" si="1996"/>
        <v>1958.3173105239448</v>
      </c>
      <c r="JS654" s="39">
        <f t="shared" si="1997"/>
        <v>29.070274482231923</v>
      </c>
      <c r="JT654" s="39">
        <f t="shared" si="1987"/>
        <v>16.874207003433668</v>
      </c>
      <c r="JU654" s="385">
        <f>(JQ654*JM654-INDEX([1]Input!$1:$1048576,[1]Input!A$18,$C654*2+6)*JL654*INDEX([1]Input!$1:$1048576,[1]Input!A$19,$C654*2+6))/1000000</f>
        <v>18.360668955620319</v>
      </c>
      <c r="JV654" s="39">
        <f t="shared" si="1966"/>
        <v>-12.04728656558143</v>
      </c>
      <c r="JW654" s="1">
        <f t="shared" si="2000"/>
        <v>-0.39618864073849153</v>
      </c>
      <c r="JX654" s="19">
        <f t="shared" si="2001"/>
        <v>20959.390027589154</v>
      </c>
      <c r="JZ654" s="341"/>
      <c r="KA654" s="60"/>
      <c r="KB654" s="469">
        <f t="shared" si="1988"/>
        <v>0</v>
      </c>
      <c r="KI654" s="472"/>
      <c r="KJ654" s="472"/>
      <c r="KK654" s="472"/>
      <c r="KN654" s="888">
        <f t="shared" si="1989"/>
        <v>6002</v>
      </c>
      <c r="KO654" s="541">
        <f t="shared" si="1967"/>
        <v>3.5194100388729055E-2</v>
      </c>
      <c r="KP654" s="546">
        <f t="shared" si="1968"/>
        <v>225.02107566935496</v>
      </c>
      <c r="KQ654" s="546">
        <f t="shared" si="1969"/>
        <v>77.174404078410589</v>
      </c>
      <c r="KR654" s="472">
        <f t="shared" si="1970"/>
        <v>2.5177145836683454</v>
      </c>
      <c r="KS654" s="472">
        <f t="shared" si="1971"/>
        <v>7.3410200002303814</v>
      </c>
      <c r="KT654" s="473">
        <f t="shared" si="1998"/>
        <v>2521.945896759994</v>
      </c>
      <c r="KU654" s="663">
        <f t="shared" si="1990"/>
        <v>11.453265606392009</v>
      </c>
      <c r="KV654" s="117"/>
    </row>
    <row r="655" spans="1:308" s="26" customFormat="1" ht="15" outlineLevel="1">
      <c r="A655" s="561">
        <f t="shared" si="1972"/>
        <v>6055</v>
      </c>
      <c r="B655" s="561">
        <f t="shared" si="1991"/>
        <v>55</v>
      </c>
      <c r="C655" s="561">
        <f t="shared" si="1992"/>
        <v>6</v>
      </c>
      <c r="D655" s="561" t="str">
        <f t="shared" si="2028"/>
        <v xml:space="preserve">500 CC, 500 Combo, 360 Lease, </v>
      </c>
      <c r="E655" s="475">
        <f>INDEX(Input!$1:$1048576,E$93,$C655*2+MIN($B655,2)+5)
+INDEX(Scenarios!E$121:E$199,MATCH($B655,Scenarios!$B$121:$B$199,0))</f>
        <v>1750.0000000000002</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1.8999999999999996E-2</v>
      </c>
      <c r="W655" s="863">
        <f>IFERROR(MAX(0,INDEX(Input!$1:$1048576,W$93,$C655*2+MIN($B655,2)+5)-0%,),"Market")</f>
        <v>3.9E-2</v>
      </c>
      <c r="X655" s="476" t="str">
        <f>INDEX(Input!$1:$1048576,X$93,$C655*2+MIN($B655,2)+5)</f>
        <v>Y</v>
      </c>
      <c r="Y655" s="475">
        <f>INDEX(Input!$1:$1048576,Y$93,$C655*2+MIN($B655,2)+5)
++INDEX(Scenarios!Y$121:Y$199,MATCH($B655,Scenarios!$B$121:$B$199,0))</f>
        <v>2699.3275155115825</v>
      </c>
      <c r="Z655" s="477">
        <f>INDEX(Input!$1:$1048576,Z$93,$C655*2+MIN($B655,2)+5)
+INDEX(Scenarios!Z$121:Z$199,MATCH($B655,Scenarios!$B$121:$B$199,0))</f>
        <v>0</v>
      </c>
      <c r="AA655" s="475">
        <f>INDEX(Input!$1:$1048576,AA$93,$C655*2+MIN($B655,2)+5)</f>
        <v>0</v>
      </c>
      <c r="AB655" s="476">
        <f>INDEX(Input!$1:$1048576,AB$93,$C655*2+MIN($B655,2)+5)</f>
        <v>1</v>
      </c>
      <c r="AC655" s="475">
        <f>INDEX(Input!$1:$1048576,AC$93,$C655*2+MIN($B655,2)+5)
+INDEX(Scenarios!AC$121:AC$199,MATCH($B655,Scenarios!$B$121:$B$199,0))</f>
        <v>0</v>
      </c>
      <c r="AD655" s="476">
        <f>INDEX(Input!$1:$1048576,AD$93,$C655*2+MIN($B655,2)+5)</f>
        <v>0.35</v>
      </c>
      <c r="AE655" s="475">
        <f>INDEX(Input!$1:$1048576,AE$93,$C655*2+MIN($B655,2)+5)
+INDEX(Scenarios!AE$121:AE$199,MATCH($B655,Scenarios!$B$121:$B$199,0))</f>
        <v>0</v>
      </c>
      <c r="AF655" s="476">
        <f>INDEX(Input!$1:$1048576,AF$93,$C655*2+MIN($B655,2)+5)</f>
        <v>1</v>
      </c>
      <c r="AG655" s="475">
        <f>INDEX(Input!$1:$1048576,AG$93,$C655*2+MIN($B655,2)+5)</f>
        <v>0</v>
      </c>
      <c r="AH655" s="476">
        <f>INDEX(Input!$1:$1048576,AH$93,$C655*2+MIN($B655,2)+5)</f>
        <v>1</v>
      </c>
      <c r="AI655" s="475">
        <f>INDEX(Input!$1:$1048576,AI$93,$C655*2+MIN($B655,2)+5)</f>
        <v>0</v>
      </c>
      <c r="AJ655" s="476">
        <f>INDEX(Input!$1:$1048576,AJ$93,$C655*2+MIN($B655,2)+5)</f>
        <v>0.35</v>
      </c>
      <c r="AK655" s="150">
        <f>ROUND(INDEX(Input!$1:$1048576,AK$93,$C654*2+MIN($B655,1)+5)+(Y655-VLOOKUP($C655*1000+1,$A:$HH,Y$92,FALSE)),0)</f>
        <v>5453</v>
      </c>
      <c r="AL655" s="150">
        <f>ROUND(INDEX(Input!$1:$1048576,AL$93,$C654*2+MIN($B655,1)+5)-(Y655-VLOOKUP($C655*1000+1,$A:$HH,Y$92,FALSE))/36,0)</f>
        <v>5207</v>
      </c>
      <c r="AM655" s="32" t="str">
        <f t="shared" si="1973"/>
        <v>std/std/std/std</v>
      </c>
      <c r="AN655" s="32" t="str">
        <f t="shared" si="1974"/>
        <v>$500 + 0/0/0/1.9/3.9</v>
      </c>
      <c r="AO655" s="32" t="str">
        <f t="shared" si="1975"/>
        <v>0/0/0/1.9/3.9</v>
      </c>
      <c r="AP655" s="32" t="str">
        <f t="shared" si="1939"/>
        <v>0/0.9/1.9/3.9</v>
      </c>
      <c r="AQ655" s="536">
        <f t="shared" si="1940"/>
        <v>0.33858353799088892</v>
      </c>
      <c r="AR655" s="32"/>
      <c r="AS655" s="302"/>
      <c r="AT655" s="3">
        <f t="shared" si="1993"/>
        <v>55</v>
      </c>
      <c r="AU655" s="41" t="s">
        <v>121</v>
      </c>
      <c r="AV655" s="41" t="s">
        <v>116</v>
      </c>
      <c r="AW655" s="41" t="str">
        <f>INDEX(Input!$1:$1048576,AW$93,$C655*2+6)</f>
        <v>Kia</v>
      </c>
      <c r="AX655" s="41" t="str">
        <f>INDEX(Input!$1:$1048576,AX$93,$C655*2+6)</f>
        <v>National</v>
      </c>
      <c r="AY655" s="41" t="str">
        <f>IF(LEN(D655)=0,"",INDEX(Input!$1:$1048576,AY$93,$C655*2+6))</f>
        <v>Compact Conventional/Sporty Car (43)</v>
      </c>
      <c r="AZ655" s="41" t="str">
        <f>INDEX(Input!$1:$1048576,AZ$93,$C655*2+6)</f>
        <v>Kia Forte</v>
      </c>
      <c r="BA655" s="3">
        <f>INDEX(Input!$1:$1048576,BA$93,$C655*2+6)</f>
        <v>2020</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19695</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941"/>
        <v>1965.0000000000002</v>
      </c>
      <c r="CJ655" s="16" t="str">
        <f>INDEX(Input!$1:$1048576,CJ$93,$C655*2+6)</f>
        <v>N</v>
      </c>
      <c r="CK655" s="1" t="str">
        <f t="shared" si="1942"/>
        <v>Market</v>
      </c>
      <c r="CL655" s="1" t="str">
        <f t="shared" si="1943"/>
        <v>Market</v>
      </c>
      <c r="CM655" s="1" t="str">
        <f t="shared" si="1944"/>
        <v>Market</v>
      </c>
      <c r="CN655" s="1" t="str">
        <f t="shared" si="1945"/>
        <v>Market</v>
      </c>
      <c r="CO655" s="1" t="str">
        <f t="shared" si="1946"/>
        <v>Market</v>
      </c>
      <c r="CP655" s="304">
        <f t="shared" si="1947"/>
        <v>500</v>
      </c>
      <c r="CQ655" s="1">
        <f t="shared" si="1948"/>
        <v>0</v>
      </c>
      <c r="CR655" s="1">
        <f t="shared" si="1949"/>
        <v>0</v>
      </c>
      <c r="CS655" s="1">
        <f t="shared" si="1950"/>
        <v>0</v>
      </c>
      <c r="CT655" s="1">
        <f t="shared" si="1951"/>
        <v>1.8999999999999996E-2</v>
      </c>
      <c r="CU655" s="1">
        <f t="shared" si="1952"/>
        <v>3.9E-2</v>
      </c>
      <c r="CV655" s="304">
        <f t="shared" si="2013"/>
        <v>2699.3275155115825</v>
      </c>
      <c r="CW655" s="20" t="s">
        <v>122</v>
      </c>
      <c r="CX655" s="20" t="s">
        <v>122</v>
      </c>
      <c r="CY655" s="20" t="s">
        <v>122</v>
      </c>
      <c r="CZ655" s="20" t="s">
        <v>122</v>
      </c>
      <c r="DA655" s="20" t="s">
        <v>122</v>
      </c>
      <c r="DB655" s="503">
        <f t="shared" si="2014"/>
        <v>0</v>
      </c>
      <c r="DC655" s="127">
        <v>0</v>
      </c>
      <c r="DD655" s="127">
        <v>0</v>
      </c>
      <c r="DE655" s="127">
        <v>0</v>
      </c>
      <c r="DF655" s="127">
        <v>0</v>
      </c>
      <c r="DG655" s="127">
        <v>0</v>
      </c>
      <c r="DH655" s="127">
        <v>0</v>
      </c>
      <c r="DI655" s="127">
        <v>0</v>
      </c>
      <c r="DJ655" s="127">
        <v>0</v>
      </c>
      <c r="DK655" s="127">
        <v>0</v>
      </c>
      <c r="DL655" s="127">
        <v>0</v>
      </c>
      <c r="DM655" s="304">
        <f>INDEX(Input!$1:$1048576,DM$93,$C655*2+6)</f>
        <v>20731.578947368424</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v>5.0419732443241508E-2</v>
      </c>
      <c r="DZ655" s="7">
        <v>0</v>
      </c>
      <c r="EA655" s="7">
        <v>0.79155509922804124</v>
      </c>
      <c r="EB655" s="7">
        <v>0</v>
      </c>
      <c r="EC655" s="7">
        <v>0</v>
      </c>
      <c r="ED655" s="7">
        <v>0</v>
      </c>
      <c r="EE655" s="7">
        <v>0</v>
      </c>
      <c r="EF655" s="7">
        <v>0</v>
      </c>
      <c r="EG655" s="7">
        <v>0</v>
      </c>
      <c r="EH655" s="7">
        <v>2.97559355778617E-2</v>
      </c>
      <c r="EI655" s="7">
        <v>1.9438238336894953E-2</v>
      </c>
      <c r="EJ655" s="7">
        <v>0.26188446742936394</v>
      </c>
      <c r="EK655" s="7">
        <v>0.688921358655879</v>
      </c>
      <c r="EL655" s="7">
        <v>0</v>
      </c>
      <c r="EM655" s="7">
        <v>2.6280532016317051E-2</v>
      </c>
      <c r="EN655" s="7">
        <v>3.63078687053782E-2</v>
      </c>
      <c r="EO655" s="7">
        <v>0.38495949566354254</v>
      </c>
      <c r="EP655" s="7">
        <v>0.48110255498476923</v>
      </c>
      <c r="EQ655" s="7">
        <v>7.4200931989732474E-2</v>
      </c>
      <c r="ER655" s="7">
        <v>2.3429148656577557E-2</v>
      </c>
      <c r="ES655" s="7">
        <v>0.13174463631240022</v>
      </c>
      <c r="ET655" s="7">
        <v>0.15802516832871732</v>
      </c>
      <c r="EU655" s="6">
        <v>1250</v>
      </c>
      <c r="EV655" s="6">
        <v>0</v>
      </c>
      <c r="EW655" s="6">
        <v>1250</v>
      </c>
      <c r="EX655" s="6">
        <v>0</v>
      </c>
      <c r="EY655" s="6">
        <v>1884.4577977170561</v>
      </c>
      <c r="EZ655" s="6">
        <v>-1194.2676731795959</v>
      </c>
      <c r="FA655" s="6">
        <v>0</v>
      </c>
      <c r="FB655" s="6">
        <v>0</v>
      </c>
      <c r="FC655" s="6">
        <v>0</v>
      </c>
      <c r="FD655" s="6">
        <v>0</v>
      </c>
      <c r="FE655" s="6">
        <v>0</v>
      </c>
      <c r="FF655" s="6">
        <v>0</v>
      </c>
      <c r="FG655" s="6">
        <v>0</v>
      </c>
      <c r="FH655" s="6">
        <v>1158.6315084629102</v>
      </c>
      <c r="FI655" s="6">
        <v>1531.4299904380618</v>
      </c>
      <c r="FJ655" s="6">
        <v>1709.9775738488454</v>
      </c>
      <c r="FK655" s="6">
        <v>1266.3227157028191</v>
      </c>
      <c r="FL655" s="6">
        <v>0</v>
      </c>
      <c r="FM655" s="6">
        <v>1384.4577977170561</v>
      </c>
      <c r="FN655" s="6">
        <v>0</v>
      </c>
      <c r="FO655" s="6">
        <v>0</v>
      </c>
      <c r="FP655" s="6">
        <v>0</v>
      </c>
      <c r="FQ655" s="6">
        <v>0</v>
      </c>
      <c r="FR655" s="6">
        <v>0</v>
      </c>
      <c r="FS655" s="6">
        <v>0</v>
      </c>
      <c r="FT655" s="7">
        <v>0.84197483167128273</v>
      </c>
      <c r="FU655" s="7">
        <v>2.6280532016317051E-2</v>
      </c>
      <c r="FV655" s="7">
        <v>0.13174463631240022</v>
      </c>
      <c r="FW655" s="6">
        <v>1250</v>
      </c>
      <c r="FX655" s="6">
        <v>1884.4577977170561</v>
      </c>
      <c r="FY655" s="6">
        <v>-1194.2676731795959</v>
      </c>
      <c r="FZ655" s="6">
        <v>1676.0854837363124</v>
      </c>
      <c r="GA655" s="6">
        <v>944.65473281270238</v>
      </c>
      <c r="GB655" s="6">
        <v>18750.345267187298</v>
      </c>
      <c r="GC655" s="7">
        <v>6.4493561548621597E-2</v>
      </c>
      <c r="GD655" s="7">
        <v>5.8580136224420765E-2</v>
      </c>
      <c r="GE655" s="7"/>
      <c r="GF655" s="7"/>
      <c r="GG655" s="7">
        <v>-9.1690165377868157E-2</v>
      </c>
      <c r="GH655" s="42">
        <v>2.4689115201087755</v>
      </c>
      <c r="GI655" s="6">
        <v>8921.8543366009653</v>
      </c>
      <c r="GJ655" s="14">
        <v>0.51596255589662321</v>
      </c>
      <c r="GK655" s="14">
        <v>0.51419567426615964</v>
      </c>
      <c r="GL655" s="14">
        <v>0.48403744410337668</v>
      </c>
      <c r="GM655" s="14">
        <v>0.48580432573384019</v>
      </c>
      <c r="GO655" s="5">
        <v>338.16872463277008</v>
      </c>
      <c r="GP655" s="5">
        <v>314.32110928815564</v>
      </c>
      <c r="GQ655" s="5">
        <v>527.27910984145694</v>
      </c>
      <c r="GR655" s="5">
        <v>404.20319246551543</v>
      </c>
      <c r="GS655" s="5">
        <v>334.50205195691484</v>
      </c>
      <c r="GT655" s="5">
        <v>289.18266033348181</v>
      </c>
      <c r="GU655" s="5">
        <v>254.29573314828914</v>
      </c>
      <c r="GV655" s="39" t="s">
        <v>392</v>
      </c>
      <c r="GW655" s="5">
        <v>478.48611111111109</v>
      </c>
      <c r="GX655" s="5">
        <v>358.86458333333331</v>
      </c>
      <c r="GY655" s="5">
        <v>293.70730201644801</v>
      </c>
      <c r="GZ655" s="5">
        <v>260.94874922811567</v>
      </c>
      <c r="HA655" s="5">
        <v>247.12257207671746</v>
      </c>
      <c r="HB655" s="39">
        <v>277.90404442510612</v>
      </c>
      <c r="HC655" s="5">
        <v>335.36483570160732</v>
      </c>
      <c r="HD655" s="5">
        <v>271.98776275539944</v>
      </c>
      <c r="HE655" s="5">
        <v>270.57658857744036</v>
      </c>
      <c r="HF655" s="5">
        <v>245.3206142843834</v>
      </c>
      <c r="HG655" s="5">
        <v>230.46506461313521</v>
      </c>
      <c r="HH655" s="39">
        <v>270.65836095886169</v>
      </c>
      <c r="HI655" s="16"/>
      <c r="HJ655" s="19" t="str">
        <f t="shared" si="2064"/>
        <v>On</v>
      </c>
      <c r="HK655" s="1" t="str">
        <f t="shared" si="2064"/>
        <v>On</v>
      </c>
      <c r="HL655" s="16"/>
      <c r="HM655" s="639">
        <f t="shared" si="2065"/>
        <v>4.9686942767030826E-2</v>
      </c>
      <c r="HN655" s="639">
        <f t="shared" si="2065"/>
        <v>2.6112822013589915E-3</v>
      </c>
      <c r="HO655" s="639">
        <f t="shared" si="2065"/>
        <v>3.166115353075552E-2</v>
      </c>
      <c r="HP655" s="644">
        <f t="shared" si="2063"/>
        <v>583.73087385565384</v>
      </c>
      <c r="HQ655" s="644">
        <f t="shared" si="2063"/>
        <v>35.63772152557538</v>
      </c>
      <c r="HR655" s="644">
        <f t="shared" si="2063"/>
        <v>165.85980400359435</v>
      </c>
      <c r="HS655" s="644">
        <f t="shared" si="2063"/>
        <v>-146.51151570618816</v>
      </c>
      <c r="HT655" s="644">
        <f t="shared" si="2063"/>
        <v>401.49118040835202</v>
      </c>
      <c r="HU655" s="644">
        <f t="shared" si="2063"/>
        <v>198.02324412708919</v>
      </c>
      <c r="HV655" s="644">
        <f t="shared" si="2063"/>
        <v>0</v>
      </c>
      <c r="HW655" s="644">
        <f t="shared" si="2063"/>
        <v>0</v>
      </c>
      <c r="HX655" s="644">
        <f t="shared" si="2063"/>
        <v>0</v>
      </c>
      <c r="HY655" s="644">
        <f t="shared" si="2063"/>
        <v>2388</v>
      </c>
      <c r="HZ655" s="644">
        <f t="shared" si="2063"/>
        <v>2518</v>
      </c>
      <c r="IA655" s="644">
        <f t="shared" si="2063"/>
        <v>2200</v>
      </c>
      <c r="IB655" s="644">
        <f t="shared" si="2063"/>
        <v>2825.2193581494657</v>
      </c>
      <c r="IC655" s="644">
        <f t="shared" si="2063"/>
        <v>2955.1289019339274</v>
      </c>
      <c r="ID655" s="644">
        <f t="shared" si="2063"/>
        <v>2563.8830481306836</v>
      </c>
      <c r="IE655" s="20">
        <f t="shared" si="1977"/>
        <v>0.33858353799088892</v>
      </c>
      <c r="IF655" s="20">
        <f t="shared" si="1956"/>
        <v>0.35415232305759464</v>
      </c>
      <c r="IG655" s="20">
        <f t="shared" si="1957"/>
        <v>0.30726413895151639</v>
      </c>
      <c r="IH655" s="21"/>
      <c r="II655" s="19"/>
      <c r="IJ655" s="19"/>
      <c r="IK655" s="19"/>
      <c r="IL655" s="19">
        <f t="shared" si="1978"/>
        <v>900</v>
      </c>
      <c r="IM655" s="19">
        <f t="shared" si="1978"/>
        <v>900.14476428119042</v>
      </c>
      <c r="IN655" s="19">
        <f t="shared" si="1978"/>
        <v>644.56291000131205</v>
      </c>
      <c r="IO655" s="39"/>
      <c r="IP655" s="39"/>
      <c r="IQ655" s="39"/>
      <c r="IR655" s="39"/>
      <c r="IS655" s="39"/>
      <c r="IT655" s="39"/>
      <c r="IU655" s="39"/>
      <c r="IV655" s="39"/>
      <c r="IW655" s="39"/>
      <c r="IX655" s="19">
        <f t="shared" si="2066"/>
        <v>1600</v>
      </c>
      <c r="IY655" s="19">
        <f t="shared" si="2066"/>
        <v>2503.549291639752</v>
      </c>
      <c r="IZ655" s="19">
        <f t="shared" si="2066"/>
        <v>5888.3563810918577</v>
      </c>
      <c r="JA655" s="19">
        <f t="shared" si="2067"/>
        <v>2500</v>
      </c>
      <c r="JB655" s="19">
        <f t="shared" si="2067"/>
        <v>3403.6940559209424</v>
      </c>
      <c r="JC655" s="19">
        <f t="shared" si="2067"/>
        <v>6532.9192910931697</v>
      </c>
      <c r="JD655" s="19">
        <f t="shared" si="1981"/>
        <v>4059.2168226764443</v>
      </c>
      <c r="JE655" s="21"/>
      <c r="JF655" s="1">
        <f t="shared" si="1982"/>
        <v>6.8844376252282569E-2</v>
      </c>
      <c r="JG655" s="15">
        <f t="shared" si="1983"/>
        <v>7106</v>
      </c>
      <c r="JH655" s="1">
        <f t="shared" si="1984"/>
        <v>0.11050216709609113</v>
      </c>
      <c r="JI655" s="1">
        <f t="shared" si="1985"/>
        <v>6.3749353902230937E-2</v>
      </c>
      <c r="JJ655" s="1">
        <f t="shared" si="1962"/>
        <v>0</v>
      </c>
      <c r="JK655" s="1">
        <f t="shared" si="1963"/>
        <v>0.17425152099832208</v>
      </c>
      <c r="JL655" s="15">
        <f t="shared" si="2068"/>
        <v>1238.2313082140768</v>
      </c>
      <c r="JM655" s="15">
        <f t="shared" si="2068"/>
        <v>8344.2313082140754</v>
      </c>
      <c r="JN655" s="21"/>
      <c r="JO655" s="19">
        <f>INDEX([1]Input!$1:$1048576,JO$93,$C655*2+6)</f>
        <v>5995.5</v>
      </c>
      <c r="JP655" s="19">
        <f>INDEX([1]Input!$1:$1048576,JP$93,$C655*2+6)</f>
        <v>1716.3055838443925</v>
      </c>
      <c r="JQ655" s="39">
        <f t="shared" si="1995"/>
        <v>1936.2831773235557</v>
      </c>
      <c r="JR655" s="39">
        <f t="shared" si="1996"/>
        <v>2342.9112388320518</v>
      </c>
      <c r="JS655" s="39">
        <f t="shared" si="1997"/>
        <v>33.871044098606049</v>
      </c>
      <c r="JT655" s="39">
        <f t="shared" si="1987"/>
        <v>21.674976619807794</v>
      </c>
      <c r="JU655" s="385">
        <f>(JQ655*JM655-INDEX([1]Input!$1:$1048576,[1]Input!A$18,$C655*2+6)*JL655*INDEX([1]Input!$1:$1048576,[1]Input!A$19,$C655*2+6))/1000000</f>
        <v>16.156794709791441</v>
      </c>
      <c r="JV655" s="39">
        <f t="shared" si="1966"/>
        <v>-14.251160811410308</v>
      </c>
      <c r="JW655" s="1">
        <f t="shared" si="2000"/>
        <v>-0.4686655372628975</v>
      </c>
      <c r="JX655" s="19">
        <f t="shared" si="2001"/>
        <v>17504.788060213083</v>
      </c>
      <c r="JZ655" s="341"/>
      <c r="KA655" s="60"/>
      <c r="KB655" s="469">
        <f t="shared" si="1988"/>
        <v>0</v>
      </c>
      <c r="KI655" s="472"/>
      <c r="KJ655" s="472"/>
      <c r="KK655" s="472"/>
      <c r="KN655" s="888">
        <f t="shared" si="1989"/>
        <v>6002</v>
      </c>
      <c r="KO655" s="541">
        <f t="shared" si="1967"/>
        <v>9.1872095217941263E-2</v>
      </c>
      <c r="KP655" s="546">
        <f t="shared" si="1968"/>
        <v>465.20691760804755</v>
      </c>
      <c r="KQ655" s="546">
        <f t="shared" si="1969"/>
        <v>461.76833238651761</v>
      </c>
      <c r="KR655" s="472">
        <f t="shared" si="1970"/>
        <v>3.1790494274675298</v>
      </c>
      <c r="KS655" s="472">
        <f t="shared" si="1971"/>
        <v>3.2027224072132543</v>
      </c>
      <c r="KT655" s="473">
        <f t="shared" si="1998"/>
        <v>2521.945896759994</v>
      </c>
      <c r="KU655" s="663">
        <f t="shared" si="1990"/>
        <v>11.201433202005846</v>
      </c>
      <c r="KV655" s="117"/>
    </row>
    <row r="656" spans="1:308" s="26" customFormat="1" ht="15" outlineLevel="1">
      <c r="A656" s="561">
        <f t="shared" si="1972"/>
        <v>6056</v>
      </c>
      <c r="B656" s="561">
        <f t="shared" si="1991"/>
        <v>56</v>
      </c>
      <c r="C656" s="561">
        <f t="shared" si="1992"/>
        <v>6</v>
      </c>
      <c r="D656" s="561" t="str">
        <f t="shared" si="2028"/>
        <v xml:space="preserve">1000 CC, 1000 Combo, 720 Lease, </v>
      </c>
      <c r="E656" s="475">
        <f>INDEX(Input!$1:$1048576,E$93,$C656*2+MIN($B656,2)+5)
+INDEX(Scenarios!E$121:E$199,MATCH($B656,Scenarios!$B$121:$B$199,0))</f>
        <v>2250</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1.8999999999999996E-2</v>
      </c>
      <c r="W656" s="863">
        <f>IFERROR(MAX(0,INDEX(Input!$1:$1048576,W$93,$C656*2+MIN($B656,2)+5)-0%,),"Market")</f>
        <v>3.9E-2</v>
      </c>
      <c r="X656" s="476" t="str">
        <f>INDEX(Input!$1:$1048576,X$93,$C656*2+MIN($B656,2)+5)</f>
        <v>Y</v>
      </c>
      <c r="Y656" s="475">
        <f>INDEX(Input!$1:$1048576,Y$93,$C656*2+MIN($B656,2)+5)
++INDEX(Scenarios!Y$121:Y$199,MATCH($B656,Scenarios!$B$121:$B$199,0))</f>
        <v>3059.3275155115825</v>
      </c>
      <c r="Z656" s="477">
        <f>INDEX(Input!$1:$1048576,Z$93,$C656*2+MIN($B656,2)+5)
+INDEX(Scenarios!Z$121:Z$199,MATCH($B656,Scenarios!$B$121:$B$199,0))</f>
        <v>0</v>
      </c>
      <c r="AA656" s="475">
        <f>INDEX(Input!$1:$1048576,AA$93,$C656*2+MIN($B656,2)+5)</f>
        <v>0</v>
      </c>
      <c r="AB656" s="476">
        <f>INDEX(Input!$1:$1048576,AB$93,$C656*2+MIN($B656,2)+5)</f>
        <v>1</v>
      </c>
      <c r="AC656" s="475">
        <f>INDEX(Input!$1:$1048576,AC$93,$C656*2+MIN($B656,2)+5)
+INDEX(Scenarios!AC$121:AC$199,MATCH($B656,Scenarios!$B$121:$B$199,0))</f>
        <v>0</v>
      </c>
      <c r="AD656" s="476">
        <f>INDEX(Input!$1:$1048576,AD$93,$C656*2+MIN($B656,2)+5)</f>
        <v>0.35</v>
      </c>
      <c r="AE656" s="475">
        <f>INDEX(Input!$1:$1048576,AE$93,$C656*2+MIN($B656,2)+5)
+INDEX(Scenarios!AE$121:AE$199,MATCH($B656,Scenarios!$B$121:$B$199,0))</f>
        <v>0</v>
      </c>
      <c r="AF656" s="476">
        <f>INDEX(Input!$1:$1048576,AF$93,$C656*2+MIN($B656,2)+5)</f>
        <v>1</v>
      </c>
      <c r="AG656" s="475">
        <f>INDEX(Input!$1:$1048576,AG$93,$C656*2+MIN($B656,2)+5)</f>
        <v>0</v>
      </c>
      <c r="AH656" s="476">
        <f>INDEX(Input!$1:$1048576,AH$93,$C656*2+MIN($B656,2)+5)</f>
        <v>1</v>
      </c>
      <c r="AI656" s="475">
        <f>INDEX(Input!$1:$1048576,AI$93,$C656*2+MIN($B656,2)+5)</f>
        <v>0</v>
      </c>
      <c r="AJ656" s="476">
        <f>INDEX(Input!$1:$1048576,AJ$93,$C656*2+MIN($B656,2)+5)</f>
        <v>0.35</v>
      </c>
      <c r="AK656" s="150">
        <f>ROUND(INDEX(Input!$1:$1048576,AK$93,$C655*2+MIN($B656,1)+5)+(Y656-VLOOKUP($C656*1000+1,$A:$HH,Y$92,FALSE)),0)</f>
        <v>5813</v>
      </c>
      <c r="AL656" s="150">
        <f>ROUND(INDEX(Input!$1:$1048576,AL$93,$C655*2+MIN($B656,1)+5)-(Y656-VLOOKUP($C656*1000+1,$A:$HH,Y$92,FALSE))/36,0)</f>
        <v>5197</v>
      </c>
      <c r="AM656" s="32" t="str">
        <f t="shared" si="1973"/>
        <v>std/std/std/std</v>
      </c>
      <c r="AN656" s="32" t="str">
        <f t="shared" si="1974"/>
        <v>$1000 + 0/0/0/1.9/3.9</v>
      </c>
      <c r="AO656" s="32" t="str">
        <f t="shared" si="1975"/>
        <v>0/0/0/1.9/3.9</v>
      </c>
      <c r="AP656" s="32" t="str">
        <f t="shared" si="1939"/>
        <v>0/0.9/1.9/3.9</v>
      </c>
      <c r="AQ656" s="536">
        <f t="shared" si="1940"/>
        <v>0.34052188507881453</v>
      </c>
      <c r="AR656" s="32"/>
      <c r="AS656" s="302"/>
      <c r="AT656" s="3">
        <f t="shared" si="1993"/>
        <v>56</v>
      </c>
      <c r="AU656" s="41" t="s">
        <v>121</v>
      </c>
      <c r="AV656" s="41" t="s">
        <v>116</v>
      </c>
      <c r="AW656" s="41" t="str">
        <f>INDEX(Input!$1:$1048576,AW$93,$C656*2+6)</f>
        <v>Kia</v>
      </c>
      <c r="AX656" s="41" t="str">
        <f>INDEX(Input!$1:$1048576,AX$93,$C656*2+6)</f>
        <v>National</v>
      </c>
      <c r="AY656" s="41" t="str">
        <f>IF(LEN(D656)=0,"",INDEX(Input!$1:$1048576,AY$93,$C656*2+6))</f>
        <v>Compact Conventional/Sporty Car (43)</v>
      </c>
      <c r="AZ656" s="41" t="str">
        <f>INDEX(Input!$1:$1048576,AZ$93,$C656*2+6)</f>
        <v>Kia Forte</v>
      </c>
      <c r="BA656" s="3">
        <f>INDEX(Input!$1:$1048576,BA$93,$C656*2+6)</f>
        <v>2020</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19695</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941"/>
        <v>2465</v>
      </c>
      <c r="CJ656" s="16" t="str">
        <f>INDEX(Input!$1:$1048576,CJ$93,$C656*2+6)</f>
        <v>N</v>
      </c>
      <c r="CK656" s="1" t="str">
        <f t="shared" si="1942"/>
        <v>Market</v>
      </c>
      <c r="CL656" s="1" t="str">
        <f t="shared" si="1943"/>
        <v>Market</v>
      </c>
      <c r="CM656" s="1" t="str">
        <f t="shared" si="1944"/>
        <v>Market</v>
      </c>
      <c r="CN656" s="1" t="str">
        <f t="shared" si="1945"/>
        <v>Market</v>
      </c>
      <c r="CO656" s="1" t="str">
        <f t="shared" si="1946"/>
        <v>Market</v>
      </c>
      <c r="CP656" s="304">
        <f t="shared" si="1947"/>
        <v>1000</v>
      </c>
      <c r="CQ656" s="1">
        <f t="shared" si="1948"/>
        <v>0</v>
      </c>
      <c r="CR656" s="1">
        <f t="shared" si="1949"/>
        <v>0</v>
      </c>
      <c r="CS656" s="1">
        <f t="shared" si="1950"/>
        <v>0</v>
      </c>
      <c r="CT656" s="1">
        <f t="shared" si="1951"/>
        <v>1.8999999999999996E-2</v>
      </c>
      <c r="CU656" s="1">
        <f t="shared" si="1952"/>
        <v>3.9E-2</v>
      </c>
      <c r="CV656" s="304">
        <f t="shared" si="2013"/>
        <v>3059.3275155115825</v>
      </c>
      <c r="CW656" s="20" t="s">
        <v>122</v>
      </c>
      <c r="CX656" s="20" t="s">
        <v>122</v>
      </c>
      <c r="CY656" s="20" t="s">
        <v>122</v>
      </c>
      <c r="CZ656" s="20" t="s">
        <v>122</v>
      </c>
      <c r="DA656" s="20" t="s">
        <v>122</v>
      </c>
      <c r="DB656" s="503">
        <f t="shared" si="2014"/>
        <v>0</v>
      </c>
      <c r="DC656" s="127">
        <v>0</v>
      </c>
      <c r="DD656" s="127">
        <v>0</v>
      </c>
      <c r="DE656" s="127">
        <v>0</v>
      </c>
      <c r="DF656" s="127">
        <v>0</v>
      </c>
      <c r="DG656" s="127">
        <v>0</v>
      </c>
      <c r="DH656" s="127">
        <v>0</v>
      </c>
      <c r="DI656" s="127">
        <v>0</v>
      </c>
      <c r="DJ656" s="127">
        <v>0</v>
      </c>
      <c r="DK656" s="127">
        <v>0</v>
      </c>
      <c r="DL656" s="127">
        <v>0</v>
      </c>
      <c r="DM656" s="304">
        <f>INDEX(Input!$1:$1048576,DM$93,$C656*2+6)</f>
        <v>20731.578947368424</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v>5.1221945097129733E-2</v>
      </c>
      <c r="DZ656" s="7">
        <v>0</v>
      </c>
      <c r="EA656" s="7">
        <v>0.8031590317072298</v>
      </c>
      <c r="EB656" s="7">
        <v>0</v>
      </c>
      <c r="EC656" s="7">
        <v>0</v>
      </c>
      <c r="ED656" s="7">
        <v>0</v>
      </c>
      <c r="EE656" s="7">
        <v>0</v>
      </c>
      <c r="EF656" s="7">
        <v>0</v>
      </c>
      <c r="EG656" s="7">
        <v>0</v>
      </c>
      <c r="EH656" s="7">
        <v>2.9787817660636966E-2</v>
      </c>
      <c r="EI656" s="7">
        <v>1.9442973629749411E-2</v>
      </c>
      <c r="EJ656" s="7">
        <v>0.26218402835271321</v>
      </c>
      <c r="EK656" s="7">
        <v>0.68858518035690008</v>
      </c>
      <c r="EL656" s="7">
        <v>0</v>
      </c>
      <c r="EM656" s="7">
        <v>2.6727154865878594E-2</v>
      </c>
      <c r="EN656" s="7">
        <v>3.5861989984530836E-2</v>
      </c>
      <c r="EO656" s="7">
        <v>0.38792267497086397</v>
      </c>
      <c r="EP656" s="7">
        <v>0.47944470301723724</v>
      </c>
      <c r="EQ656" s="7">
        <v>7.3662492404553567E-2</v>
      </c>
      <c r="ER656" s="7">
        <v>2.3108139622814012E-2</v>
      </c>
      <c r="ES656" s="7">
        <v>0.11889186832976185</v>
      </c>
      <c r="ET656" s="7">
        <v>0.14561902319564049</v>
      </c>
      <c r="EU656" s="6">
        <v>1750</v>
      </c>
      <c r="EV656" s="6">
        <v>0</v>
      </c>
      <c r="EW656" s="6">
        <v>1750</v>
      </c>
      <c r="EX656" s="6">
        <v>0</v>
      </c>
      <c r="EY656" s="6">
        <v>2384.5890403977533</v>
      </c>
      <c r="EZ656" s="6">
        <v>-834.26767317959593</v>
      </c>
      <c r="FA656" s="6">
        <v>0</v>
      </c>
      <c r="FB656" s="6">
        <v>0</v>
      </c>
      <c r="FC656" s="6">
        <v>0</v>
      </c>
      <c r="FD656" s="6">
        <v>0</v>
      </c>
      <c r="FE656" s="6">
        <v>0</v>
      </c>
      <c r="FF656" s="6">
        <v>0</v>
      </c>
      <c r="FG656" s="6">
        <v>0</v>
      </c>
      <c r="FH656" s="6">
        <v>1158.6489344169556</v>
      </c>
      <c r="FI656" s="6">
        <v>1531.4299904380623</v>
      </c>
      <c r="FJ656" s="6">
        <v>1709.9775738488465</v>
      </c>
      <c r="FK656" s="6">
        <v>1266.3227157028193</v>
      </c>
      <c r="FL656" s="6">
        <v>0</v>
      </c>
      <c r="FM656" s="6">
        <v>1384.5890403977533</v>
      </c>
      <c r="FN656" s="6">
        <v>0</v>
      </c>
      <c r="FO656" s="6">
        <v>0</v>
      </c>
      <c r="FP656" s="6">
        <v>0</v>
      </c>
      <c r="FQ656" s="6">
        <v>0</v>
      </c>
      <c r="FR656" s="6">
        <v>0</v>
      </c>
      <c r="FS656" s="6">
        <v>0</v>
      </c>
      <c r="FT656" s="7">
        <v>0.85438097680435954</v>
      </c>
      <c r="FU656" s="7">
        <v>2.6727154865878594E-2</v>
      </c>
      <c r="FV656" s="7">
        <v>0.11889186832976185</v>
      </c>
      <c r="FW656" s="6">
        <v>1750</v>
      </c>
      <c r="FX656" s="6">
        <v>2384.5890403977533</v>
      </c>
      <c r="FY656" s="6">
        <v>-834.26767317959593</v>
      </c>
      <c r="FZ656" s="6">
        <v>1676.0854837363124</v>
      </c>
      <c r="GA656" s="6">
        <v>1459.7123476303716</v>
      </c>
      <c r="GB656" s="6">
        <v>18235.287652369629</v>
      </c>
      <c r="GC656" s="7">
        <v>6.4493561548621597E-2</v>
      </c>
      <c r="GD656" s="7">
        <v>6.4794822285212508E-2</v>
      </c>
      <c r="GE656" s="7"/>
      <c r="GF656" s="7"/>
      <c r="GG656" s="7">
        <v>4.6711753756038255E-3</v>
      </c>
      <c r="GH656" s="42">
        <v>-0.42518586492859634</v>
      </c>
      <c r="GI656" s="6">
        <v>-44861.20663049107</v>
      </c>
      <c r="GJ656" s="14">
        <v>0.51596255589662332</v>
      </c>
      <c r="GK656" s="14">
        <v>0.51419567426615964</v>
      </c>
      <c r="GL656" s="14">
        <v>0.48403744410337673</v>
      </c>
      <c r="GM656" s="14">
        <v>0.48580432573384047</v>
      </c>
      <c r="GO656" s="5">
        <v>338.16872463277008</v>
      </c>
      <c r="GP656" s="5">
        <v>304.78206315030991</v>
      </c>
      <c r="GQ656" s="5">
        <v>527.27910984145694</v>
      </c>
      <c r="GR656" s="5">
        <v>404.20319246551543</v>
      </c>
      <c r="GS656" s="5">
        <v>334.50205195691484</v>
      </c>
      <c r="GT656" s="5">
        <v>289.18266033348181</v>
      </c>
      <c r="GU656" s="5">
        <v>254.29573314828914</v>
      </c>
      <c r="GV656" s="39" t="s">
        <v>392</v>
      </c>
      <c r="GW656" s="5">
        <v>464.59722222222223</v>
      </c>
      <c r="GX656" s="5">
        <v>348.44791666666669</v>
      </c>
      <c r="GY656" s="5">
        <v>285.1819383980785</v>
      </c>
      <c r="GZ656" s="5">
        <v>253.37425939536436</v>
      </c>
      <c r="HA656" s="5">
        <v>239.94941100514569</v>
      </c>
      <c r="HB656" s="39">
        <v>269.85411052248156</v>
      </c>
      <c r="HC656" s="5">
        <v>319.61483570160732</v>
      </c>
      <c r="HD656" s="5">
        <v>261.23776275539944</v>
      </c>
      <c r="HE656" s="5">
        <v>260.59581934667114</v>
      </c>
      <c r="HF656" s="5">
        <v>236.99561428438341</v>
      </c>
      <c r="HG656" s="5">
        <v>223.56506461313523</v>
      </c>
      <c r="HH656" s="39">
        <v>260.367221347515</v>
      </c>
      <c r="HI656" s="16"/>
      <c r="HJ656" s="19" t="str">
        <f t="shared" si="2064"/>
        <v>On</v>
      </c>
      <c r="HK656" s="1" t="str">
        <f t="shared" si="2064"/>
        <v>On</v>
      </c>
      <c r="HL656" s="16"/>
      <c r="HM656" s="639">
        <f t="shared" si="2065"/>
        <v>4.9686942767030826E-2</v>
      </c>
      <c r="HN656" s="639">
        <f t="shared" si="2065"/>
        <v>2.6112822013589915E-3</v>
      </c>
      <c r="HO656" s="639">
        <f t="shared" si="2065"/>
        <v>3.166115353075552E-2</v>
      </c>
      <c r="HP656" s="644">
        <f t="shared" si="2063"/>
        <v>930.67903933976424</v>
      </c>
      <c r="HQ656" s="644">
        <f t="shared" si="2063"/>
        <v>56.712627126142799</v>
      </c>
      <c r="HR656" s="644">
        <f t="shared" si="2063"/>
        <v>276.44978182173577</v>
      </c>
      <c r="HS656" s="644">
        <f t="shared" si="2063"/>
        <v>-227.90676932074425</v>
      </c>
      <c r="HT656" s="644">
        <f t="shared" si="2063"/>
        <v>624.5376230818747</v>
      </c>
      <c r="HU656" s="644">
        <f t="shared" si="2063"/>
        <v>310.10223090276838</v>
      </c>
      <c r="HV656" s="644">
        <f t="shared" si="2063"/>
        <v>0</v>
      </c>
      <c r="HW656" s="644">
        <f t="shared" si="2063"/>
        <v>0</v>
      </c>
      <c r="HX656" s="644">
        <f t="shared" si="2063"/>
        <v>0</v>
      </c>
      <c r="HY656" s="644">
        <f t="shared" si="2063"/>
        <v>2388</v>
      </c>
      <c r="HZ656" s="644">
        <f t="shared" si="2063"/>
        <v>2518</v>
      </c>
      <c r="IA656" s="644">
        <f t="shared" si="2063"/>
        <v>2200</v>
      </c>
      <c r="IB656" s="644">
        <f t="shared" si="2063"/>
        <v>3090.7722700190193</v>
      </c>
      <c r="IC656" s="644">
        <f t="shared" si="2063"/>
        <v>3199.2502502080179</v>
      </c>
      <c r="ID656" s="644">
        <f t="shared" si="2063"/>
        <v>2786.5520127245045</v>
      </c>
      <c r="IE656" s="20">
        <f t="shared" si="1977"/>
        <v>0.34052188507881453</v>
      </c>
      <c r="IF656" s="20">
        <f t="shared" si="1956"/>
        <v>0.35247330791957682</v>
      </c>
      <c r="IG656" s="20">
        <f t="shared" si="1957"/>
        <v>0.3070048070016087</v>
      </c>
      <c r="IH656" s="21"/>
      <c r="II656" s="19"/>
      <c r="IJ656" s="19"/>
      <c r="IK656" s="19"/>
      <c r="IL656" s="19">
        <f t="shared" si="1978"/>
        <v>1400.0000000000005</v>
      </c>
      <c r="IM656" s="19">
        <f t="shared" si="1978"/>
        <v>1400.2169093664929</v>
      </c>
      <c r="IN656" s="19">
        <f t="shared" si="1978"/>
        <v>1005.8417116388173</v>
      </c>
      <c r="IO656" s="39"/>
      <c r="IP656" s="39"/>
      <c r="IQ656" s="39"/>
      <c r="IR656" s="39"/>
      <c r="IS656" s="39"/>
      <c r="IT656" s="39"/>
      <c r="IU656" s="39"/>
      <c r="IV656" s="39"/>
      <c r="IW656" s="39"/>
      <c r="IX656" s="19">
        <f t="shared" si="2066"/>
        <v>1600</v>
      </c>
      <c r="IY656" s="19">
        <f t="shared" si="2066"/>
        <v>2503.549291639752</v>
      </c>
      <c r="IZ656" s="19">
        <f t="shared" si="2066"/>
        <v>5888.3563810918577</v>
      </c>
      <c r="JA656" s="19">
        <f t="shared" si="2067"/>
        <v>3000.0000000000005</v>
      </c>
      <c r="JB656" s="19">
        <f t="shared" si="2067"/>
        <v>3903.766201006245</v>
      </c>
      <c r="JC656" s="19">
        <f t="shared" si="2067"/>
        <v>6894.1980927306749</v>
      </c>
      <c r="JD656" s="19">
        <f t="shared" si="1981"/>
        <v>4514.0909963393933</v>
      </c>
      <c r="JE656" s="21"/>
      <c r="JF656" s="1">
        <f t="shared" si="1982"/>
        <v>6.8844376252282569E-2</v>
      </c>
      <c r="JG656" s="15">
        <f t="shared" si="1983"/>
        <v>7106</v>
      </c>
      <c r="JH656" s="1">
        <f t="shared" si="1984"/>
        <v>0.17785553733290779</v>
      </c>
      <c r="JI656" s="1">
        <f t="shared" si="1985"/>
        <v>9.9455823904291973E-2</v>
      </c>
      <c r="JJ656" s="1">
        <f t="shared" si="1962"/>
        <v>0</v>
      </c>
      <c r="JK656" s="1">
        <f t="shared" si="1963"/>
        <v>0.27731136123719979</v>
      </c>
      <c r="JL656" s="15">
        <f t="shared" si="2068"/>
        <v>1970.5745329515419</v>
      </c>
      <c r="JM656" s="15">
        <f t="shared" si="2068"/>
        <v>9076.5745329515412</v>
      </c>
      <c r="JN656" s="21"/>
      <c r="JO656" s="19">
        <f>INDEX([1]Input!$1:$1048576,JO$93,$C656*2+6)</f>
        <v>5995.5</v>
      </c>
      <c r="JP656" s="19">
        <f>INDEX([1]Input!$1:$1048576,JP$93,$C656*2+6)</f>
        <v>1716.3055838443925</v>
      </c>
      <c r="JQ656" s="39">
        <f t="shared" si="1995"/>
        <v>1481.4090036606067</v>
      </c>
      <c r="JR656" s="39">
        <f t="shared" si="1996"/>
        <v>2797.7854124950009</v>
      </c>
      <c r="JS656" s="39">
        <f t="shared" si="1997"/>
        <v>40.972483376799985</v>
      </c>
      <c r="JT656" s="39">
        <f t="shared" si="1987"/>
        <v>28.77641589800173</v>
      </c>
      <c r="JU656" s="385">
        <f>(JQ656*JM656-INDEX([1]Input!$1:$1048576,[1]Input!A$18,$C656*2+6)*JL656*INDEX([1]Input!$1:$1048576,[1]Input!A$19,$C656*2+6))/1000000</f>
        <v>13.446119235510979</v>
      </c>
      <c r="JV656" s="39">
        <f t="shared" si="1966"/>
        <v>-16.961836285690772</v>
      </c>
      <c r="JW656" s="1">
        <f t="shared" si="2000"/>
        <v>-0.55780916523191582</v>
      </c>
      <c r="JX656" s="19">
        <f t="shared" si="2001"/>
        <v>14603.058862686199</v>
      </c>
      <c r="JZ656" s="341"/>
      <c r="KA656" s="60"/>
      <c r="KB656" s="469">
        <f t="shared" si="1988"/>
        <v>0</v>
      </c>
      <c r="KI656" s="472"/>
      <c r="KJ656" s="472"/>
      <c r="KK656" s="472"/>
      <c r="KN656" s="888">
        <f t="shared" si="1989"/>
        <v>6002</v>
      </c>
      <c r="KO656" s="541">
        <f t="shared" si="1967"/>
        <v>0.18770178901197698</v>
      </c>
      <c r="KP656" s="546">
        <f t="shared" si="1968"/>
        <v>922.67353491944948</v>
      </c>
      <c r="KQ656" s="546">
        <f t="shared" si="1969"/>
        <v>916.64250604946665</v>
      </c>
      <c r="KR656" s="472">
        <f t="shared" si="1970"/>
        <v>3.2747652368167421</v>
      </c>
      <c r="KS656" s="472">
        <f t="shared" si="1971"/>
        <v>3.2963114814598988</v>
      </c>
      <c r="KT656" s="473">
        <f t="shared" si="1998"/>
        <v>2521.945896759994</v>
      </c>
      <c r="KU656" s="663">
        <f t="shared" si="1990"/>
        <v>11.339662945772162</v>
      </c>
      <c r="KV656" s="117"/>
    </row>
    <row r="657" spans="1:308" s="26" customFormat="1" ht="15" outlineLevel="1">
      <c r="A657" s="561">
        <f t="shared" si="1972"/>
        <v>6057</v>
      </c>
      <c r="B657" s="561">
        <f t="shared" si="1991"/>
        <v>57</v>
      </c>
      <c r="C657" s="561">
        <f t="shared" si="1992"/>
        <v>6</v>
      </c>
      <c r="D657" s="561" t="str">
        <f t="shared" si="2028"/>
        <v xml:space="preserve">500 CC, 0/0/0.9/3.9, 360 Lease, </v>
      </c>
      <c r="E657" s="475">
        <f>INDEX(Input!$1:$1048576,E$93,$C657*2+MIN($B657,2)+5)
+INDEX(Scenarios!E$121:E$199,MATCH($B657,Scenarios!$B$121:$B$199,0))</f>
        <v>1750.0000000000002</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8.9999999999999959E-3</v>
      </c>
      <c r="W657" s="863">
        <f>IFERROR(MAX(0,INDEX(Input!$1:$1048576,W$93,$C657*2+MIN($B657,2)+5)-0%,),"Market")</f>
        <v>3.9E-2</v>
      </c>
      <c r="X657" s="476" t="str">
        <f>INDEX(Input!$1:$1048576,X$93,$C657*2+MIN($B657,2)+5)</f>
        <v>Y</v>
      </c>
      <c r="Y657" s="475">
        <f>INDEX(Input!$1:$1048576,Y$93,$C657*2+MIN($B657,2)+5)
++INDEX(Scenarios!Y$121:Y$199,MATCH($B657,Scenarios!$B$121:$B$199,0))</f>
        <v>2699.3275155115825</v>
      </c>
      <c r="Z657" s="477">
        <f>INDEX(Input!$1:$1048576,Z$93,$C657*2+MIN($B657,2)+5)
+INDEX(Scenarios!Z$121:Z$199,MATCH($B657,Scenarios!$B$121:$B$199,0))</f>
        <v>0</v>
      </c>
      <c r="AA657" s="475">
        <f>INDEX(Input!$1:$1048576,AA$93,$C657*2+MIN($B657,2)+5)</f>
        <v>0</v>
      </c>
      <c r="AB657" s="476">
        <f>INDEX(Input!$1:$1048576,AB$93,$C657*2+MIN($B657,2)+5)</f>
        <v>1</v>
      </c>
      <c r="AC657" s="475">
        <f>INDEX(Input!$1:$1048576,AC$93,$C657*2+MIN($B657,2)+5)
+INDEX(Scenarios!AC$121:AC$199,MATCH($B657,Scenarios!$B$121:$B$199,0))</f>
        <v>0</v>
      </c>
      <c r="AD657" s="476">
        <f>INDEX(Input!$1:$1048576,AD$93,$C657*2+MIN($B657,2)+5)</f>
        <v>0.35</v>
      </c>
      <c r="AE657" s="475">
        <f>INDEX(Input!$1:$1048576,AE$93,$C657*2+MIN($B657,2)+5)
+INDEX(Scenarios!AE$121:AE$199,MATCH($B657,Scenarios!$B$121:$B$199,0))</f>
        <v>0</v>
      </c>
      <c r="AF657" s="476">
        <f>INDEX(Input!$1:$1048576,AF$93,$C657*2+MIN($B657,2)+5)</f>
        <v>1</v>
      </c>
      <c r="AG657" s="475">
        <f>INDEX(Input!$1:$1048576,AG$93,$C657*2+MIN($B657,2)+5)</f>
        <v>0</v>
      </c>
      <c r="AH657" s="476">
        <f>INDEX(Input!$1:$1048576,AH$93,$C657*2+MIN($B657,2)+5)</f>
        <v>1</v>
      </c>
      <c r="AI657" s="475">
        <f>INDEX(Input!$1:$1048576,AI$93,$C657*2+MIN($B657,2)+5)</f>
        <v>0</v>
      </c>
      <c r="AJ657" s="476">
        <f>INDEX(Input!$1:$1048576,AJ$93,$C657*2+MIN($B657,2)+5)</f>
        <v>0.35</v>
      </c>
      <c r="AK657" s="150">
        <f>ROUND(INDEX(Input!$1:$1048576,AK$93,$C656*2+MIN($B657,1)+5)+(Y657-VLOOKUP($C657*1000+1,$A:$HH,Y$92,FALSE)),0)</f>
        <v>5453</v>
      </c>
      <c r="AL657" s="150">
        <f>ROUND(INDEX(Input!$1:$1048576,AL$93,$C656*2+MIN($B657,1)+5)-(Y657-VLOOKUP($C657*1000+1,$A:$HH,Y$92,FALSE))/36,0)</f>
        <v>5207</v>
      </c>
      <c r="AM657" s="32" t="str">
        <f t="shared" si="1973"/>
        <v>std/std/std/std</v>
      </c>
      <c r="AN657" s="32" t="str">
        <f t="shared" si="1974"/>
        <v>$0 + 0/0/0/0.9/3.9</v>
      </c>
      <c r="AO657" s="32" t="str">
        <f t="shared" si="1975"/>
        <v>0/0/0/0.9/3.9</v>
      </c>
      <c r="AP657" s="32" t="str">
        <f t="shared" si="1939"/>
        <v>0/0/0.9/3.9</v>
      </c>
      <c r="AQ657" s="536">
        <f t="shared" si="1940"/>
        <v>0.33739238500495722</v>
      </c>
      <c r="AR657" s="32"/>
      <c r="AS657" s="302"/>
      <c r="AT657" s="3">
        <f t="shared" si="1993"/>
        <v>57</v>
      </c>
      <c r="AU657" s="41" t="s">
        <v>121</v>
      </c>
      <c r="AV657" s="41" t="s">
        <v>116</v>
      </c>
      <c r="AW657" s="41" t="str">
        <f>INDEX(Input!$1:$1048576,AW$93,$C657*2+6)</f>
        <v>Kia</v>
      </c>
      <c r="AX657" s="41" t="str">
        <f>INDEX(Input!$1:$1048576,AX$93,$C657*2+6)</f>
        <v>National</v>
      </c>
      <c r="AY657" s="41" t="str">
        <f>IF(LEN(D657)=0,"",INDEX(Input!$1:$1048576,AY$93,$C657*2+6))</f>
        <v>Compact Conventional/Sporty Car (43)</v>
      </c>
      <c r="AZ657" s="41" t="str">
        <f>INDEX(Input!$1:$1048576,AZ$93,$C657*2+6)</f>
        <v>Kia Forte</v>
      </c>
      <c r="BA657" s="3">
        <f>INDEX(Input!$1:$1048576,BA$93,$C657*2+6)</f>
        <v>2020</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19695</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941"/>
        <v>1965.0000000000002</v>
      </c>
      <c r="CJ657" s="16" t="str">
        <f>INDEX(Input!$1:$1048576,CJ$93,$C657*2+6)</f>
        <v>N</v>
      </c>
      <c r="CK657" s="1" t="str">
        <f t="shared" si="1942"/>
        <v>Market</v>
      </c>
      <c r="CL657" s="1" t="str">
        <f t="shared" si="1943"/>
        <v>Market</v>
      </c>
      <c r="CM657" s="1" t="str">
        <f t="shared" si="1944"/>
        <v>Market</v>
      </c>
      <c r="CN657" s="1" t="str">
        <f t="shared" si="1945"/>
        <v>Market</v>
      </c>
      <c r="CO657" s="1" t="str">
        <f t="shared" si="1946"/>
        <v>Market</v>
      </c>
      <c r="CP657" s="304">
        <f t="shared" si="1947"/>
        <v>0</v>
      </c>
      <c r="CQ657" s="1">
        <f t="shared" si="1948"/>
        <v>0</v>
      </c>
      <c r="CR657" s="1">
        <f t="shared" si="1949"/>
        <v>0</v>
      </c>
      <c r="CS657" s="1">
        <f t="shared" si="1950"/>
        <v>0</v>
      </c>
      <c r="CT657" s="1">
        <f t="shared" si="1951"/>
        <v>8.9999999999999959E-3</v>
      </c>
      <c r="CU657" s="1">
        <f t="shared" si="1952"/>
        <v>3.9E-2</v>
      </c>
      <c r="CV657" s="304">
        <f t="shared" si="2013"/>
        <v>2699.3275155115825</v>
      </c>
      <c r="CW657" s="20" t="s">
        <v>122</v>
      </c>
      <c r="CX657" s="20" t="s">
        <v>122</v>
      </c>
      <c r="CY657" s="20" t="s">
        <v>122</v>
      </c>
      <c r="CZ657" s="20" t="s">
        <v>122</v>
      </c>
      <c r="DA657" s="20" t="s">
        <v>122</v>
      </c>
      <c r="DB657" s="503">
        <f t="shared" si="2014"/>
        <v>0</v>
      </c>
      <c r="DC657" s="127">
        <v>0</v>
      </c>
      <c r="DD657" s="127">
        <v>0</v>
      </c>
      <c r="DE657" s="127">
        <v>0</v>
      </c>
      <c r="DF657" s="127">
        <v>0</v>
      </c>
      <c r="DG657" s="127">
        <v>0</v>
      </c>
      <c r="DH657" s="127">
        <v>0</v>
      </c>
      <c r="DI657" s="127">
        <v>0</v>
      </c>
      <c r="DJ657" s="127">
        <v>0</v>
      </c>
      <c r="DK657" s="127">
        <v>0</v>
      </c>
      <c r="DL657" s="127">
        <v>0</v>
      </c>
      <c r="DM657" s="304">
        <f>INDEX(Input!$1:$1048576,DM$93,$C657*2+6)</f>
        <v>20731.578947368424</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v>5.0356961939064304E-2</v>
      </c>
      <c r="DZ657" s="7">
        <v>0</v>
      </c>
      <c r="EA657" s="7">
        <v>0.79226614643777526</v>
      </c>
      <c r="EB657" s="7">
        <v>0</v>
      </c>
      <c r="EC657" s="7">
        <v>0</v>
      </c>
      <c r="ED657" s="7">
        <v>0</v>
      </c>
      <c r="EE657" s="7">
        <v>0</v>
      </c>
      <c r="EF657" s="7">
        <v>0</v>
      </c>
      <c r="EG657" s="7">
        <v>0</v>
      </c>
      <c r="EH657" s="7">
        <v>2.4175939359745862E-2</v>
      </c>
      <c r="EI657" s="7">
        <v>1.5794567515294164E-2</v>
      </c>
      <c r="EJ657" s="7">
        <v>0.24809092670743735</v>
      </c>
      <c r="EK657" s="7">
        <v>0.71193856641752284</v>
      </c>
      <c r="EL657" s="7">
        <v>0</v>
      </c>
      <c r="EM657" s="7">
        <v>2.579682857520384E-2</v>
      </c>
      <c r="EN657" s="7">
        <v>3.63087397677479E-2</v>
      </c>
      <c r="EO657" s="7">
        <v>0.38495773888140772</v>
      </c>
      <c r="EP657" s="7">
        <v>0.48110339681994246</v>
      </c>
      <c r="EQ657" s="7">
        <v>7.4200707522419765E-2</v>
      </c>
      <c r="ER657" s="7">
        <v>2.3429417008482379E-2</v>
      </c>
      <c r="ES657" s="7">
        <v>0.1315800630479565</v>
      </c>
      <c r="ET657" s="7">
        <v>0.15737689162316038</v>
      </c>
      <c r="EU657" s="6">
        <v>1250</v>
      </c>
      <c r="EV657" s="6">
        <v>0</v>
      </c>
      <c r="EW657" s="6">
        <v>1250</v>
      </c>
      <c r="EX657" s="6">
        <v>0</v>
      </c>
      <c r="EY657" s="6">
        <v>1809.6760497695573</v>
      </c>
      <c r="EZ657" s="6">
        <v>-1194.2676731795959</v>
      </c>
      <c r="FA657" s="6">
        <v>0</v>
      </c>
      <c r="FB657" s="6">
        <v>0</v>
      </c>
      <c r="FC657" s="6">
        <v>0</v>
      </c>
      <c r="FD657" s="6">
        <v>0</v>
      </c>
      <c r="FE657" s="6">
        <v>0</v>
      </c>
      <c r="FF657" s="6">
        <v>0</v>
      </c>
      <c r="FG657" s="6">
        <v>0</v>
      </c>
      <c r="FH657" s="6">
        <v>1158.630463651273</v>
      </c>
      <c r="FI657" s="6">
        <v>1531.4299904380623</v>
      </c>
      <c r="FJ657" s="6">
        <v>2070.7205842538219</v>
      </c>
      <c r="FK657" s="6">
        <v>1746.9903521590434</v>
      </c>
      <c r="FL657" s="6">
        <v>0</v>
      </c>
      <c r="FM657" s="6">
        <v>1809.6760497695573</v>
      </c>
      <c r="FN657" s="6">
        <v>0</v>
      </c>
      <c r="FO657" s="6">
        <v>0</v>
      </c>
      <c r="FP657" s="6">
        <v>0</v>
      </c>
      <c r="FQ657" s="6">
        <v>0</v>
      </c>
      <c r="FR657" s="6">
        <v>0</v>
      </c>
      <c r="FS657" s="6">
        <v>0</v>
      </c>
      <c r="FT657" s="7">
        <v>0.84262310837683962</v>
      </c>
      <c r="FU657" s="7">
        <v>2.579682857520384E-2</v>
      </c>
      <c r="FV657" s="7">
        <v>0.1315800630479565</v>
      </c>
      <c r="FW657" s="6">
        <v>1250</v>
      </c>
      <c r="FX657" s="6">
        <v>1809.6760497695573</v>
      </c>
      <c r="FY657" s="6">
        <v>-1194.2676731795959</v>
      </c>
      <c r="FZ657" s="6">
        <v>1676.0854837363124</v>
      </c>
      <c r="GA657" s="6">
        <v>942.82097257049941</v>
      </c>
      <c r="GB657" s="6">
        <v>18752.179027429502</v>
      </c>
      <c r="GC657" s="7">
        <v>6.4493561548621597E-2</v>
      </c>
      <c r="GD657" s="7">
        <v>5.8615685532318551E-2</v>
      </c>
      <c r="GE657" s="7"/>
      <c r="GF657" s="7"/>
      <c r="GG657" s="7">
        <v>-9.113895829542186E-2</v>
      </c>
      <c r="GH657" s="42">
        <v>2.4479321667627172</v>
      </c>
      <c r="GI657" s="6">
        <v>8988.3870496917352</v>
      </c>
      <c r="GJ657" s="14">
        <v>0.51596255589662332</v>
      </c>
      <c r="GK657" s="14">
        <v>0.51419567426615942</v>
      </c>
      <c r="GL657" s="14">
        <v>0.48403744410337662</v>
      </c>
      <c r="GM657" s="14">
        <v>0.48580432573384003</v>
      </c>
      <c r="GO657" s="5">
        <v>338.16872463277008</v>
      </c>
      <c r="GP657" s="5">
        <v>314.32110928815564</v>
      </c>
      <c r="GQ657" s="5">
        <v>527.27910984145694</v>
      </c>
      <c r="GR657" s="5">
        <v>404.20319246551543</v>
      </c>
      <c r="GS657" s="5">
        <v>334.50205195691484</v>
      </c>
      <c r="GT657" s="5">
        <v>289.18266033348181</v>
      </c>
      <c r="GU657" s="5">
        <v>254.29573314828914</v>
      </c>
      <c r="GV657" s="39" t="s">
        <v>392</v>
      </c>
      <c r="GW657" s="5">
        <v>492.375</v>
      </c>
      <c r="GX657" s="5">
        <v>369.28125</v>
      </c>
      <c r="GY657" s="5">
        <v>295.42500000000001</v>
      </c>
      <c r="GZ657" s="5">
        <v>260.68138716125202</v>
      </c>
      <c r="HA657" s="5">
        <v>254.29573314828914</v>
      </c>
      <c r="HB657" s="39">
        <v>276.61766086736975</v>
      </c>
      <c r="HC657" s="5">
        <v>335.36483570160732</v>
      </c>
      <c r="HD657" s="5">
        <v>271.98776275539944</v>
      </c>
      <c r="HE657" s="5">
        <v>270.57658857744036</v>
      </c>
      <c r="HF657" s="5">
        <v>245.3206142843834</v>
      </c>
      <c r="HG657" s="5">
        <v>230.46506461313521</v>
      </c>
      <c r="HH657" s="39">
        <v>270.65840981947701</v>
      </c>
      <c r="HI657" s="16"/>
      <c r="HJ657" s="19" t="str">
        <f t="shared" si="2064"/>
        <v>On</v>
      </c>
      <c r="HK657" s="1" t="str">
        <f t="shared" si="2064"/>
        <v>On</v>
      </c>
      <c r="HL657" s="16"/>
      <c r="HM657" s="639">
        <f t="shared" si="2065"/>
        <v>4.9686942767030826E-2</v>
      </c>
      <c r="HN657" s="639">
        <f t="shared" si="2065"/>
        <v>2.6112822013589915E-3</v>
      </c>
      <c r="HO657" s="639">
        <f t="shared" si="2065"/>
        <v>3.166115353075552E-2</v>
      </c>
      <c r="HP657" s="644">
        <f t="shared" si="2063"/>
        <v>560.04869101170652</v>
      </c>
      <c r="HQ657" s="644">
        <f t="shared" si="2063"/>
        <v>98.52894884910819</v>
      </c>
      <c r="HR657" s="644">
        <f t="shared" si="2063"/>
        <v>155.83583285206277</v>
      </c>
      <c r="HS657" s="644">
        <f t="shared" si="2063"/>
        <v>-146.13328837711865</v>
      </c>
      <c r="HT657" s="644">
        <f t="shared" si="2063"/>
        <v>332.69436694989218</v>
      </c>
      <c r="HU657" s="644">
        <f t="shared" si="2063"/>
        <v>197.64501679801964</v>
      </c>
      <c r="HV657" s="644">
        <f t="shared" si="2063"/>
        <v>0</v>
      </c>
      <c r="HW657" s="644">
        <f t="shared" si="2063"/>
        <v>0</v>
      </c>
      <c r="HX657" s="644">
        <f t="shared" si="2063"/>
        <v>0</v>
      </c>
      <c r="HY657" s="644">
        <f t="shared" si="2063"/>
        <v>2388</v>
      </c>
      <c r="HZ657" s="644">
        <f t="shared" si="2063"/>
        <v>2518</v>
      </c>
      <c r="IA657" s="644">
        <f t="shared" si="2063"/>
        <v>2200</v>
      </c>
      <c r="IB657" s="644">
        <f t="shared" si="2063"/>
        <v>2801.9154026345873</v>
      </c>
      <c r="IC657" s="644">
        <f t="shared" si="2063"/>
        <v>2949.2233157990004</v>
      </c>
      <c r="ID657" s="644">
        <f t="shared" si="2063"/>
        <v>2553.4808496500827</v>
      </c>
      <c r="IE657" s="20">
        <f t="shared" si="1977"/>
        <v>0.33739238500495722</v>
      </c>
      <c r="IF657" s="20">
        <f t="shared" si="1956"/>
        <v>0.35513045379386926</v>
      </c>
      <c r="IG657" s="20">
        <f t="shared" si="1957"/>
        <v>0.30747716120117352</v>
      </c>
      <c r="IH657" s="21"/>
      <c r="II657" s="19"/>
      <c r="IJ657" s="19"/>
      <c r="IK657" s="19"/>
      <c r="IL657" s="19">
        <f t="shared" si="1978"/>
        <v>900</v>
      </c>
      <c r="IM657" s="19">
        <f t="shared" si="1978"/>
        <v>757.91533531680034</v>
      </c>
      <c r="IN657" s="19">
        <f t="shared" si="1978"/>
        <v>645.09101490205649</v>
      </c>
      <c r="IO657" s="39"/>
      <c r="IP657" s="39"/>
      <c r="IQ657" s="39"/>
      <c r="IR657" s="39"/>
      <c r="IS657" s="39"/>
      <c r="IT657" s="39"/>
      <c r="IU657" s="39"/>
      <c r="IV657" s="39"/>
      <c r="IW657" s="39"/>
      <c r="IX657" s="19">
        <f t="shared" si="2066"/>
        <v>1600</v>
      </c>
      <c r="IY657" s="19">
        <f t="shared" si="2066"/>
        <v>2503.549291639752</v>
      </c>
      <c r="IZ657" s="19">
        <f t="shared" si="2066"/>
        <v>5888.3563810918577</v>
      </c>
      <c r="JA657" s="19">
        <f t="shared" si="2067"/>
        <v>2500</v>
      </c>
      <c r="JB657" s="19">
        <f t="shared" si="2067"/>
        <v>3261.4646269565524</v>
      </c>
      <c r="JC657" s="19">
        <f t="shared" si="2067"/>
        <v>6533.4473959939141</v>
      </c>
      <c r="JD657" s="19">
        <f t="shared" si="1981"/>
        <v>4010.6122336935341</v>
      </c>
      <c r="JE657" s="21"/>
      <c r="JF657" s="1">
        <f t="shared" si="1982"/>
        <v>6.8844376252282569E-2</v>
      </c>
      <c r="JG657" s="15">
        <f t="shared" si="1983"/>
        <v>7106</v>
      </c>
      <c r="JH657" s="1">
        <f t="shared" si="1984"/>
        <v>0.11460927001307031</v>
      </c>
      <c r="JI657" s="1">
        <f t="shared" si="1985"/>
        <v>5.4067843423978773E-2</v>
      </c>
      <c r="JJ657" s="1">
        <f t="shared" si="1962"/>
        <v>0</v>
      </c>
      <c r="JK657" s="1">
        <f t="shared" si="1963"/>
        <v>0.16867711343704905</v>
      </c>
      <c r="JL657" s="15">
        <f t="shared" si="2068"/>
        <v>1198.6195680836706</v>
      </c>
      <c r="JM657" s="15">
        <f t="shared" si="2068"/>
        <v>8304.6195680836699</v>
      </c>
      <c r="JN657" s="21"/>
      <c r="JO657" s="19">
        <f>INDEX([1]Input!$1:$1048576,JO$93,$C657*2+6)</f>
        <v>5995.5</v>
      </c>
      <c r="JP657" s="19">
        <f>INDEX([1]Input!$1:$1048576,JP$93,$C657*2+6)</f>
        <v>1716.3055838443925</v>
      </c>
      <c r="JQ657" s="39">
        <f t="shared" si="1995"/>
        <v>1984.8877663064659</v>
      </c>
      <c r="JR657" s="39">
        <f t="shared" si="1996"/>
        <v>2294.3066498491416</v>
      </c>
      <c r="JS657" s="39">
        <f t="shared" si="1997"/>
        <v>33.306608835927079</v>
      </c>
      <c r="JT657" s="39">
        <f t="shared" si="1987"/>
        <v>21.110541357128827</v>
      </c>
      <c r="JU657" s="385">
        <f>(JQ657*JM657-INDEX([1]Input!$1:$1048576,[1]Input!A$18,$C657*2+6)*JL657*INDEX([1]Input!$1:$1048576,[1]Input!A$19,$C657*2+6))/1000000</f>
        <v>16.483737784518564</v>
      </c>
      <c r="JV657" s="39">
        <f t="shared" si="1966"/>
        <v>-13.924217736683186</v>
      </c>
      <c r="JW657" s="1">
        <f t="shared" si="2000"/>
        <v>-0.45791364457155354</v>
      </c>
      <c r="JX657" s="19">
        <f t="shared" si="2001"/>
        <v>17612.378371963296</v>
      </c>
      <c r="JZ657" s="341"/>
      <c r="KA657" s="60"/>
      <c r="KB657" s="469">
        <f t="shared" si="1988"/>
        <v>0</v>
      </c>
      <c r="KI657" s="472"/>
      <c r="KJ657" s="472"/>
      <c r="KK657" s="472"/>
      <c r="KN657" s="888">
        <f t="shared" si="1989"/>
        <v>6002</v>
      </c>
      <c r="KO657" s="541">
        <f t="shared" si="1967"/>
        <v>8.6688759318703124E-2</v>
      </c>
      <c r="KP657" s="546">
        <f t="shared" si="1968"/>
        <v>414.83522904970715</v>
      </c>
      <c r="KQ657" s="546">
        <f t="shared" si="1969"/>
        <v>413.16374340360744</v>
      </c>
      <c r="KR657" s="472">
        <f t="shared" si="1970"/>
        <v>3.3639302323537019</v>
      </c>
      <c r="KS657" s="472">
        <f t="shared" si="1971"/>
        <v>3.3775392703867593</v>
      </c>
      <c r="KT657" s="473">
        <f t="shared" si="1998"/>
        <v>2521.945896759994</v>
      </c>
      <c r="KU657" s="663">
        <f t="shared" si="1990"/>
        <v>11.260052846640043</v>
      </c>
      <c r="KV657" s="117"/>
    </row>
    <row r="658" spans="1:308" s="26" customFormat="1" ht="15" outlineLevel="1">
      <c r="A658" s="561">
        <f t="shared" si="1972"/>
        <v>6058</v>
      </c>
      <c r="B658" s="561">
        <f t="shared" si="1991"/>
        <v>58</v>
      </c>
      <c r="C658" s="561">
        <f t="shared" si="1992"/>
        <v>6</v>
      </c>
      <c r="D658" s="561" t="str">
        <f t="shared" si="2028"/>
        <v xml:space="preserve">1000 CC, 0/0/0.9/3.9, 360 Lease, </v>
      </c>
      <c r="E658" s="475">
        <f>INDEX(Input!$1:$1048576,E$93,$C658*2+MIN($B658,2)+5)
+INDEX(Scenarios!E$121:E$199,MATCH($B658,Scenarios!$B$121:$B$199,0))</f>
        <v>2250</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8.9999999999999959E-3</v>
      </c>
      <c r="W658" s="863">
        <f>IFERROR(MAX(0,INDEX(Input!$1:$1048576,W$93,$C658*2+MIN($B658,2)+5)-0%,),"Market")</f>
        <v>3.9E-2</v>
      </c>
      <c r="X658" s="476" t="str">
        <f>INDEX(Input!$1:$1048576,X$93,$C658*2+MIN($B658,2)+5)</f>
        <v>Y</v>
      </c>
      <c r="Y658" s="475">
        <f>INDEX(Input!$1:$1048576,Y$93,$C658*2+MIN($B658,2)+5)
++INDEX(Scenarios!Y$121:Y$199,MATCH($B658,Scenarios!$B$121:$B$199,0))</f>
        <v>2699.3275155115825</v>
      </c>
      <c r="Z658" s="477">
        <f>INDEX(Input!$1:$1048576,Z$93,$C658*2+MIN($B658,2)+5)
+INDEX(Scenarios!Z$121:Z$199,MATCH($B658,Scenarios!$B$121:$B$199,0))</f>
        <v>0</v>
      </c>
      <c r="AA658" s="475">
        <f>INDEX(Input!$1:$1048576,AA$93,$C658*2+MIN($B658,2)+5)</f>
        <v>0</v>
      </c>
      <c r="AB658" s="476">
        <f>INDEX(Input!$1:$1048576,AB$93,$C658*2+MIN($B658,2)+5)</f>
        <v>1</v>
      </c>
      <c r="AC658" s="475">
        <f>INDEX(Input!$1:$1048576,AC$93,$C658*2+MIN($B658,2)+5)
+INDEX(Scenarios!AC$121:AC$199,MATCH($B658,Scenarios!$B$121:$B$199,0))</f>
        <v>0</v>
      </c>
      <c r="AD658" s="476">
        <f>INDEX(Input!$1:$1048576,AD$93,$C658*2+MIN($B658,2)+5)</f>
        <v>0.35</v>
      </c>
      <c r="AE658" s="475">
        <f>INDEX(Input!$1:$1048576,AE$93,$C658*2+MIN($B658,2)+5)
+INDEX(Scenarios!AE$121:AE$199,MATCH($B658,Scenarios!$B$121:$B$199,0))</f>
        <v>0</v>
      </c>
      <c r="AF658" s="476">
        <f>INDEX(Input!$1:$1048576,AF$93,$C658*2+MIN($B658,2)+5)</f>
        <v>1</v>
      </c>
      <c r="AG658" s="475">
        <f>INDEX(Input!$1:$1048576,AG$93,$C658*2+MIN($B658,2)+5)</f>
        <v>0</v>
      </c>
      <c r="AH658" s="476">
        <f>INDEX(Input!$1:$1048576,AH$93,$C658*2+MIN($B658,2)+5)</f>
        <v>1</v>
      </c>
      <c r="AI658" s="475">
        <f>INDEX(Input!$1:$1048576,AI$93,$C658*2+MIN($B658,2)+5)</f>
        <v>0</v>
      </c>
      <c r="AJ658" s="476">
        <f>INDEX(Input!$1:$1048576,AJ$93,$C658*2+MIN($B658,2)+5)</f>
        <v>0.35</v>
      </c>
      <c r="AK658" s="150">
        <f>ROUND(INDEX(Input!$1:$1048576,AK$93,$C657*2+MIN($B658,1)+5)+(Y658-VLOOKUP($C658*1000+1,$A:$HH,Y$92,FALSE)),0)</f>
        <v>5453</v>
      </c>
      <c r="AL658" s="150">
        <f>ROUND(INDEX(Input!$1:$1048576,AL$93,$C657*2+MIN($B658,1)+5)-(Y658-VLOOKUP($C658*1000+1,$A:$HH,Y$92,FALSE))/36,0)</f>
        <v>5207</v>
      </c>
      <c r="AM658" s="32" t="str">
        <f t="shared" si="1973"/>
        <v>std/std/std/std</v>
      </c>
      <c r="AN658" s="32" t="str">
        <f t="shared" si="1974"/>
        <v>$0 + 0/0/0/0.9/3.9</v>
      </c>
      <c r="AO658" s="32" t="str">
        <f t="shared" si="1975"/>
        <v>0/0/0/0.9/3.9</v>
      </c>
      <c r="AP658" s="32" t="str">
        <f t="shared" si="1939"/>
        <v>0/0/0.9/3.9</v>
      </c>
      <c r="AQ658" s="536">
        <f t="shared" si="1940"/>
        <v>0.37093314728321813</v>
      </c>
      <c r="AR658" s="32"/>
      <c r="AS658" s="302"/>
      <c r="AT658" s="3">
        <f t="shared" si="1993"/>
        <v>58</v>
      </c>
      <c r="AU658" s="41" t="s">
        <v>121</v>
      </c>
      <c r="AV658" s="41" t="s">
        <v>116</v>
      </c>
      <c r="AW658" s="41" t="str">
        <f>INDEX(Input!$1:$1048576,AW$93,$C658*2+6)</f>
        <v>Kia</v>
      </c>
      <c r="AX658" s="41" t="str">
        <f>INDEX(Input!$1:$1048576,AX$93,$C658*2+6)</f>
        <v>National</v>
      </c>
      <c r="AY658" s="41" t="str">
        <f>IF(LEN(D658)=0,"",INDEX(Input!$1:$1048576,AY$93,$C658*2+6))</f>
        <v>Compact Conventional/Sporty Car (43)</v>
      </c>
      <c r="AZ658" s="41" t="str">
        <f>INDEX(Input!$1:$1048576,AZ$93,$C658*2+6)</f>
        <v>Kia Forte</v>
      </c>
      <c r="BA658" s="3">
        <f>INDEX(Input!$1:$1048576,BA$93,$C658*2+6)</f>
        <v>2020</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19695</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941"/>
        <v>2465</v>
      </c>
      <c r="CJ658" s="16" t="str">
        <f>INDEX(Input!$1:$1048576,CJ$93,$C658*2+6)</f>
        <v>N</v>
      </c>
      <c r="CK658" s="1" t="str">
        <f t="shared" si="1942"/>
        <v>Market</v>
      </c>
      <c r="CL658" s="1" t="str">
        <f t="shared" si="1943"/>
        <v>Market</v>
      </c>
      <c r="CM658" s="1" t="str">
        <f t="shared" si="1944"/>
        <v>Market</v>
      </c>
      <c r="CN658" s="1" t="str">
        <f t="shared" si="1945"/>
        <v>Market</v>
      </c>
      <c r="CO658" s="1" t="str">
        <f t="shared" si="1946"/>
        <v>Market</v>
      </c>
      <c r="CP658" s="304">
        <f t="shared" si="1947"/>
        <v>0</v>
      </c>
      <c r="CQ658" s="1">
        <f t="shared" si="1948"/>
        <v>0</v>
      </c>
      <c r="CR658" s="1">
        <f t="shared" si="1949"/>
        <v>0</v>
      </c>
      <c r="CS658" s="1">
        <f t="shared" si="1950"/>
        <v>0</v>
      </c>
      <c r="CT658" s="1">
        <f t="shared" si="1951"/>
        <v>8.9999999999999959E-3</v>
      </c>
      <c r="CU658" s="1">
        <f t="shared" si="1952"/>
        <v>3.9E-2</v>
      </c>
      <c r="CV658" s="304">
        <f t="shared" si="2013"/>
        <v>2699.3275155115825</v>
      </c>
      <c r="CW658" s="20" t="s">
        <v>122</v>
      </c>
      <c r="CX658" s="20" t="s">
        <v>122</v>
      </c>
      <c r="CY658" s="20" t="s">
        <v>122</v>
      </c>
      <c r="CZ658" s="20" t="s">
        <v>122</v>
      </c>
      <c r="DA658" s="20" t="s">
        <v>122</v>
      </c>
      <c r="DB658" s="503">
        <f t="shared" si="2014"/>
        <v>0</v>
      </c>
      <c r="DC658" s="127">
        <v>0</v>
      </c>
      <c r="DD658" s="127">
        <v>0</v>
      </c>
      <c r="DE658" s="127">
        <v>0</v>
      </c>
      <c r="DF658" s="127">
        <v>0</v>
      </c>
      <c r="DG658" s="127">
        <v>0</v>
      </c>
      <c r="DH658" s="127">
        <v>0</v>
      </c>
      <c r="DI658" s="127">
        <v>0</v>
      </c>
      <c r="DJ658" s="127">
        <v>0</v>
      </c>
      <c r="DK658" s="127">
        <v>0</v>
      </c>
      <c r="DL658" s="127">
        <v>0</v>
      </c>
      <c r="DM658" s="304">
        <f>INDEX(Input!$1:$1048576,DM$93,$C658*2+6)</f>
        <v>20731.578947368424</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v>5.201514301946155E-2</v>
      </c>
      <c r="DZ658" s="7">
        <v>0</v>
      </c>
      <c r="EA658" s="7">
        <v>0.81789086705412228</v>
      </c>
      <c r="EB658" s="7">
        <v>0</v>
      </c>
      <c r="EC658" s="7">
        <v>0</v>
      </c>
      <c r="ED658" s="7">
        <v>0</v>
      </c>
      <c r="EE658" s="7">
        <v>0</v>
      </c>
      <c r="EF658" s="7">
        <v>0</v>
      </c>
      <c r="EG658" s="7">
        <v>0</v>
      </c>
      <c r="EH658" s="7">
        <v>2.4206255314601639E-2</v>
      </c>
      <c r="EI658" s="7">
        <v>1.5800179423720952E-2</v>
      </c>
      <c r="EJ658" s="7">
        <v>0.24841682805174731</v>
      </c>
      <c r="EK658" s="7">
        <v>0.71157673720992998</v>
      </c>
      <c r="EL658" s="7">
        <v>0</v>
      </c>
      <c r="EM658" s="7">
        <v>2.1313619050401481E-2</v>
      </c>
      <c r="EN658" s="7">
        <v>3.6288582691685049E-2</v>
      </c>
      <c r="EO658" s="7">
        <v>0.38508217022255081</v>
      </c>
      <c r="EP658" s="7">
        <v>0.48098538797730844</v>
      </c>
      <c r="EQ658" s="7">
        <v>7.420577422321234E-2</v>
      </c>
      <c r="ER658" s="7">
        <v>2.3438084885243602E-2</v>
      </c>
      <c r="ES658" s="7">
        <v>0.1087803708760146</v>
      </c>
      <c r="ET658" s="7">
        <v>0.13009398992641619</v>
      </c>
      <c r="EU658" s="6">
        <v>1750</v>
      </c>
      <c r="EV658" s="6">
        <v>0</v>
      </c>
      <c r="EW658" s="6">
        <v>1750</v>
      </c>
      <c r="EX658" s="6">
        <v>0</v>
      </c>
      <c r="EY658" s="6">
        <v>1809.7630165607343</v>
      </c>
      <c r="EZ658" s="6">
        <v>-1194.2676731795959</v>
      </c>
      <c r="FA658" s="6">
        <v>0</v>
      </c>
      <c r="FB658" s="6">
        <v>0</v>
      </c>
      <c r="FC658" s="6">
        <v>0</v>
      </c>
      <c r="FD658" s="6">
        <v>0</v>
      </c>
      <c r="FE658" s="6">
        <v>0</v>
      </c>
      <c r="FF658" s="6">
        <v>0</v>
      </c>
      <c r="FG658" s="6">
        <v>0</v>
      </c>
      <c r="FH658" s="6">
        <v>1158.6514941728256</v>
      </c>
      <c r="FI658" s="6">
        <v>1531.4299904380603</v>
      </c>
      <c r="FJ658" s="6">
        <v>2070.7205842538206</v>
      </c>
      <c r="FK658" s="6">
        <v>1746.9903521590431</v>
      </c>
      <c r="FL658" s="6">
        <v>0</v>
      </c>
      <c r="FM658" s="6">
        <v>1809.7630165607343</v>
      </c>
      <c r="FN658" s="6">
        <v>0</v>
      </c>
      <c r="FO658" s="6">
        <v>0</v>
      </c>
      <c r="FP658" s="6">
        <v>0</v>
      </c>
      <c r="FQ658" s="6">
        <v>0</v>
      </c>
      <c r="FR658" s="6">
        <v>0</v>
      </c>
      <c r="FS658" s="6">
        <v>0</v>
      </c>
      <c r="FT658" s="7">
        <v>0.86990601007358381</v>
      </c>
      <c r="FU658" s="7">
        <v>2.1313619050401481E-2</v>
      </c>
      <c r="FV658" s="7">
        <v>0.1087803708760146</v>
      </c>
      <c r="FW658" s="6">
        <v>1750</v>
      </c>
      <c r="FX658" s="6">
        <v>1809.7630165607345</v>
      </c>
      <c r="FY658" s="6">
        <v>-1194.2676731795959</v>
      </c>
      <c r="FZ658" s="6">
        <v>1676.0854837363124</v>
      </c>
      <c r="GA658" s="6">
        <v>1430.995236721541</v>
      </c>
      <c r="GB658" s="6">
        <v>18264.004763278459</v>
      </c>
      <c r="GC658" s="7">
        <v>6.4493561548621597E-2</v>
      </c>
      <c r="GD658" s="7">
        <v>6.4309064193545762E-2</v>
      </c>
      <c r="GE658" s="7"/>
      <c r="GF658" s="7"/>
      <c r="GG658" s="7">
        <v>-2.8607096684642431E-3</v>
      </c>
      <c r="GH658" s="42">
        <v>0.22988135026445011</v>
      </c>
      <c r="GI658" s="6">
        <v>87105.626855786453</v>
      </c>
      <c r="GJ658" s="14">
        <v>0.51596255589662354</v>
      </c>
      <c r="GK658" s="14">
        <v>0.51419567426615964</v>
      </c>
      <c r="GL658" s="14">
        <v>0.48403744410337668</v>
      </c>
      <c r="GM658" s="14">
        <v>0.48580432573384053</v>
      </c>
      <c r="GO658" s="5">
        <v>338.16872463277008</v>
      </c>
      <c r="GP658" s="5">
        <v>304.78206315030991</v>
      </c>
      <c r="GQ658" s="5">
        <v>527.27910984145694</v>
      </c>
      <c r="GR658" s="5">
        <v>404.20319246551543</v>
      </c>
      <c r="GS658" s="5">
        <v>334.50205195691484</v>
      </c>
      <c r="GT658" s="5">
        <v>289.18266033348181</v>
      </c>
      <c r="GU658" s="5">
        <v>254.29573314828914</v>
      </c>
      <c r="GV658" s="39" t="s">
        <v>392</v>
      </c>
      <c r="GW658" s="5">
        <v>492.375</v>
      </c>
      <c r="GX658" s="5">
        <v>369.28125</v>
      </c>
      <c r="GY658" s="5">
        <v>295.42500000000001</v>
      </c>
      <c r="GZ658" s="5">
        <v>260.68138716125202</v>
      </c>
      <c r="HA658" s="5">
        <v>254.29573314828914</v>
      </c>
      <c r="HB658" s="39">
        <v>276.63661732309265</v>
      </c>
      <c r="HC658" s="5">
        <v>335.36483570160732</v>
      </c>
      <c r="HD658" s="5">
        <v>271.98776275539944</v>
      </c>
      <c r="HE658" s="5">
        <v>270.57658857744036</v>
      </c>
      <c r="HF658" s="5">
        <v>245.3206142843834</v>
      </c>
      <c r="HG658" s="5">
        <v>230.46506461313521</v>
      </c>
      <c r="HH658" s="39">
        <v>270.65680382593592</v>
      </c>
      <c r="HI658" s="16"/>
      <c r="HJ658" s="19" t="str">
        <f t="shared" si="2064"/>
        <v>On</v>
      </c>
      <c r="HK658" s="1" t="str">
        <f t="shared" si="2064"/>
        <v>On</v>
      </c>
      <c r="HL658" s="16"/>
      <c r="HM658" s="639">
        <f t="shared" si="2065"/>
        <v>4.9686942767030826E-2</v>
      </c>
      <c r="HN658" s="639">
        <f t="shared" si="2065"/>
        <v>2.6112822013589915E-3</v>
      </c>
      <c r="HO658" s="639">
        <f t="shared" si="2065"/>
        <v>3.166115353075552E-2</v>
      </c>
      <c r="HP658" s="644">
        <f t="shared" si="2063"/>
        <v>1011.3104656895387</v>
      </c>
      <c r="HQ658" s="644">
        <f t="shared" si="2063"/>
        <v>77.463416988092092</v>
      </c>
      <c r="HR658" s="644">
        <f t="shared" si="2063"/>
        <v>55.338477382553698</v>
      </c>
      <c r="HS658" s="644">
        <f t="shared" si="2063"/>
        <v>-226.29119944959879</v>
      </c>
      <c r="HT658" s="644">
        <f t="shared" si="2063"/>
        <v>313.9550722828003</v>
      </c>
      <c r="HU658" s="644">
        <f t="shared" si="2063"/>
        <v>216.37776892529828</v>
      </c>
      <c r="HV658" s="644">
        <f t="shared" si="2063"/>
        <v>0</v>
      </c>
      <c r="HW658" s="644">
        <f t="shared" si="2063"/>
        <v>0</v>
      </c>
      <c r="HX658" s="644">
        <f t="shared" si="2063"/>
        <v>0</v>
      </c>
      <c r="HY658" s="644">
        <f t="shared" si="2063"/>
        <v>2388</v>
      </c>
      <c r="HZ658" s="644">
        <f t="shared" si="2063"/>
        <v>2518</v>
      </c>
      <c r="IA658" s="644">
        <f t="shared" si="2063"/>
        <v>2200</v>
      </c>
      <c r="IB658" s="644">
        <f t="shared" si="2063"/>
        <v>3173.01926623994</v>
      </c>
      <c r="IC658" s="644">
        <f t="shared" si="2063"/>
        <v>2909.4184892708922</v>
      </c>
      <c r="ID658" s="644">
        <f t="shared" si="2063"/>
        <v>2471.7162463078525</v>
      </c>
      <c r="IE658" s="20">
        <f t="shared" si="1977"/>
        <v>0.37093314728321813</v>
      </c>
      <c r="IF658" s="20">
        <f t="shared" si="1956"/>
        <v>0.34011761872095425</v>
      </c>
      <c r="IG658" s="20">
        <f t="shared" si="1957"/>
        <v>0.28894923399582767</v>
      </c>
      <c r="IH658" s="21"/>
      <c r="II658" s="19"/>
      <c r="IJ658" s="19"/>
      <c r="IK658" s="19"/>
      <c r="IL658" s="19">
        <f t="shared" si="1978"/>
        <v>1400</v>
      </c>
      <c r="IM658" s="19">
        <f t="shared" si="1978"/>
        <v>757.97549436678946</v>
      </c>
      <c r="IN658" s="19">
        <f t="shared" si="1978"/>
        <v>648.21127600151976</v>
      </c>
      <c r="IO658" s="39"/>
      <c r="IP658" s="39"/>
      <c r="IQ658" s="39"/>
      <c r="IR658" s="39"/>
      <c r="IS658" s="39"/>
      <c r="IT658" s="39"/>
      <c r="IU658" s="39"/>
      <c r="IV658" s="39"/>
      <c r="IW658" s="39"/>
      <c r="IX658" s="19">
        <f t="shared" si="2066"/>
        <v>1600</v>
      </c>
      <c r="IY658" s="19">
        <f t="shared" si="2066"/>
        <v>2503.549291639752</v>
      </c>
      <c r="IZ658" s="19">
        <f t="shared" si="2066"/>
        <v>5888.3563810918577</v>
      </c>
      <c r="JA658" s="19">
        <f t="shared" si="2067"/>
        <v>3000</v>
      </c>
      <c r="JB658" s="19">
        <f t="shared" si="2067"/>
        <v>3261.5247860065415</v>
      </c>
      <c r="JC658" s="19">
        <f t="shared" si="2067"/>
        <v>6536.5676570933774</v>
      </c>
      <c r="JD658" s="19">
        <f t="shared" si="1981"/>
        <v>4110.8377029446019</v>
      </c>
      <c r="JE658" s="21"/>
      <c r="JF658" s="1">
        <f t="shared" si="1982"/>
        <v>6.8844376252282569E-2</v>
      </c>
      <c r="JG658" s="15">
        <f t="shared" si="1983"/>
        <v>7106</v>
      </c>
      <c r="JH658" s="1">
        <f t="shared" si="1984"/>
        <v>0.16100652407264066</v>
      </c>
      <c r="JI658" s="1">
        <f t="shared" si="1985"/>
        <v>4.2786608747326177E-2</v>
      </c>
      <c r="JJ658" s="1">
        <f t="shared" si="1962"/>
        <v>0</v>
      </c>
      <c r="JK658" s="1">
        <f t="shared" si="1963"/>
        <v>0.20379313281996683</v>
      </c>
      <c r="JL658" s="15">
        <f t="shared" si="2068"/>
        <v>1448.1540018186843</v>
      </c>
      <c r="JM658" s="15">
        <f t="shared" si="2068"/>
        <v>8554.1540018186843</v>
      </c>
      <c r="JN658" s="21"/>
      <c r="JO658" s="19">
        <f>INDEX([1]Input!$1:$1048576,JO$93,$C658*2+6)</f>
        <v>5995.5</v>
      </c>
      <c r="JP658" s="19">
        <f>INDEX([1]Input!$1:$1048576,JP$93,$C658*2+6)</f>
        <v>1716.3055838443925</v>
      </c>
      <c r="JQ658" s="39">
        <f t="shared" si="1995"/>
        <v>1884.6622970553981</v>
      </c>
      <c r="JR658" s="39">
        <f t="shared" si="1996"/>
        <v>2394.5321191002095</v>
      </c>
      <c r="JS658" s="39">
        <f t="shared" si="1997"/>
        <v>35.164738787470689</v>
      </c>
      <c r="JT658" s="39">
        <f t="shared" si="1987"/>
        <v>22.968671308672434</v>
      </c>
      <c r="JU658" s="385">
        <f>(JQ658*JM658-INDEX([1]Input!$1:$1048576,[1]Input!A$18,$C658*2+6)*JL658*INDEX([1]Input!$1:$1048576,[1]Input!A$19,$C658*2+6))/1000000</f>
        <v>16.121691530433228</v>
      </c>
      <c r="JV658" s="39">
        <f t="shared" si="1966"/>
        <v>-14.286263990768521</v>
      </c>
      <c r="JW658" s="1">
        <f t="shared" si="2000"/>
        <v>-0.4698199450077305</v>
      </c>
      <c r="JX658" s="19">
        <f t="shared" si="2001"/>
        <v>15860.655206439998</v>
      </c>
      <c r="JZ658" s="341"/>
      <c r="KA658" s="60"/>
      <c r="KB658" s="469">
        <f t="shared" si="1988"/>
        <v>0</v>
      </c>
      <c r="KI658" s="472"/>
      <c r="KJ658" s="472"/>
      <c r="KK658" s="472"/>
      <c r="KN658" s="888">
        <f t="shared" si="1989"/>
        <v>6002</v>
      </c>
      <c r="KO658" s="541">
        <f t="shared" si="1967"/>
        <v>0.11934122003405534</v>
      </c>
      <c r="KP658" s="546">
        <f t="shared" si="1968"/>
        <v>605.4478264184736</v>
      </c>
      <c r="KQ658" s="546">
        <f t="shared" si="1969"/>
        <v>513.38921265467525</v>
      </c>
      <c r="KR658" s="472">
        <f t="shared" si="1970"/>
        <v>3.1730255736388124</v>
      </c>
      <c r="KS658" s="472">
        <f t="shared" si="1971"/>
        <v>3.7419980579569634</v>
      </c>
      <c r="KT658" s="473">
        <f t="shared" si="1998"/>
        <v>2521.945896759994</v>
      </c>
      <c r="KU658" s="663">
        <f t="shared" si="1990"/>
        <v>11.459572131698364</v>
      </c>
      <c r="KV658" s="117"/>
    </row>
    <row r="659" spans="1:308" s="26" customFormat="1" ht="15" outlineLevel="1">
      <c r="A659" s="561">
        <f t="shared" si="1972"/>
        <v>6059</v>
      </c>
      <c r="B659" s="561">
        <f t="shared" si="1991"/>
        <v>59</v>
      </c>
      <c r="C659" s="561">
        <f t="shared" si="1992"/>
        <v>6</v>
      </c>
      <c r="D659" s="561" t="str">
        <f t="shared" si="2028"/>
        <v xml:space="preserve">250 CC, 0/0/0.9/3.9, -360 Lease, </v>
      </c>
      <c r="E659" s="475">
        <f>INDEX(Input!$1:$1048576,E$93,$C659*2+MIN($B659,2)+5)
+INDEX(Scenarios!E$121:E$199,MATCH($B659,Scenarios!$B$121:$B$199,0))</f>
        <v>1500.0000000000002</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8.9999999999999959E-3</v>
      </c>
      <c r="W659" s="863">
        <f>IFERROR(MAX(0,INDEX(Input!$1:$1048576,W$93,$C659*2+MIN($B659,2)+5)-0%,),"Market")</f>
        <v>3.9E-2</v>
      </c>
      <c r="X659" s="476" t="str">
        <f>INDEX(Input!$1:$1048576,X$93,$C659*2+MIN($B659,2)+5)</f>
        <v>Y</v>
      </c>
      <c r="Y659" s="475">
        <f>INDEX(Input!$1:$1048576,Y$93,$C659*2+MIN($B659,2)+5)
++INDEX(Scenarios!Y$121:Y$199,MATCH($B659,Scenarios!$B$121:$B$199,0))</f>
        <v>1979.3275155115825</v>
      </c>
      <c r="Z659" s="477">
        <f>INDEX(Input!$1:$1048576,Z$93,$C659*2+MIN($B659,2)+5)
+INDEX(Scenarios!Z$121:Z$199,MATCH($B659,Scenarios!$B$121:$B$199,0))</f>
        <v>0</v>
      </c>
      <c r="AA659" s="475">
        <f>INDEX(Input!$1:$1048576,AA$93,$C659*2+MIN($B659,2)+5)</f>
        <v>0</v>
      </c>
      <c r="AB659" s="476">
        <f>INDEX(Input!$1:$1048576,AB$93,$C659*2+MIN($B659,2)+5)</f>
        <v>1</v>
      </c>
      <c r="AC659" s="475">
        <f>INDEX(Input!$1:$1048576,AC$93,$C659*2+MIN($B659,2)+5)
+INDEX(Scenarios!AC$121:AC$199,MATCH($B659,Scenarios!$B$121:$B$199,0))</f>
        <v>0</v>
      </c>
      <c r="AD659" s="476">
        <f>INDEX(Input!$1:$1048576,AD$93,$C659*2+MIN($B659,2)+5)</f>
        <v>0.35</v>
      </c>
      <c r="AE659" s="475">
        <f>INDEX(Input!$1:$1048576,AE$93,$C659*2+MIN($B659,2)+5)
+INDEX(Scenarios!AE$121:AE$199,MATCH($B659,Scenarios!$B$121:$B$199,0))</f>
        <v>0</v>
      </c>
      <c r="AF659" s="476">
        <f>INDEX(Input!$1:$1048576,AF$93,$C659*2+MIN($B659,2)+5)</f>
        <v>1</v>
      </c>
      <c r="AG659" s="475">
        <f>INDEX(Input!$1:$1048576,AG$93,$C659*2+MIN($B659,2)+5)</f>
        <v>0</v>
      </c>
      <c r="AH659" s="476">
        <f>INDEX(Input!$1:$1048576,AH$93,$C659*2+MIN($B659,2)+5)</f>
        <v>1</v>
      </c>
      <c r="AI659" s="475">
        <f>INDEX(Input!$1:$1048576,AI$93,$C659*2+MIN($B659,2)+5)</f>
        <v>0</v>
      </c>
      <c r="AJ659" s="476">
        <f>INDEX(Input!$1:$1048576,AJ$93,$C659*2+MIN($B659,2)+5)</f>
        <v>0.35</v>
      </c>
      <c r="AK659" s="150">
        <f>ROUND(INDEX(Input!$1:$1048576,AK$93,$C658*2+MIN($B659,1)+5)+(Y659-VLOOKUP($C659*1000+1,$A:$HH,Y$92,FALSE)),0)</f>
        <v>4733</v>
      </c>
      <c r="AL659" s="150">
        <f>ROUND(INDEX(Input!$1:$1048576,AL$93,$C658*2+MIN($B659,1)+5)-(Y659-VLOOKUP($C659*1000+1,$A:$HH,Y$92,FALSE))/36,0)</f>
        <v>5227</v>
      </c>
      <c r="AM659" s="32" t="str">
        <f t="shared" si="1973"/>
        <v>std/std/std/std</v>
      </c>
      <c r="AN659" s="32" t="str">
        <f t="shared" si="1974"/>
        <v>$0 + 0/0/0/0.9/3.9</v>
      </c>
      <c r="AO659" s="32" t="str">
        <f t="shared" si="1975"/>
        <v>0/0/0/0.9/3.9</v>
      </c>
      <c r="AP659" s="32" t="str">
        <f t="shared" si="1939"/>
        <v>0/0/0.9/3.9</v>
      </c>
      <c r="AQ659" s="536">
        <f t="shared" si="1940"/>
        <v>0.3561578056339279</v>
      </c>
      <c r="AR659" s="32"/>
      <c r="AS659" s="302"/>
      <c r="AT659" s="3">
        <f t="shared" si="1993"/>
        <v>59</v>
      </c>
      <c r="AU659" s="41" t="s">
        <v>121</v>
      </c>
      <c r="AV659" s="41" t="s">
        <v>116</v>
      </c>
      <c r="AW659" s="41" t="str">
        <f>INDEX(Input!$1:$1048576,AW$93,$C659*2+6)</f>
        <v>Kia</v>
      </c>
      <c r="AX659" s="41" t="str">
        <f>INDEX(Input!$1:$1048576,AX$93,$C659*2+6)</f>
        <v>National</v>
      </c>
      <c r="AY659" s="41" t="str">
        <f>IF(LEN(D659)=0,"",INDEX(Input!$1:$1048576,AY$93,$C659*2+6))</f>
        <v>Compact Conventional/Sporty Car (43)</v>
      </c>
      <c r="AZ659" s="41" t="str">
        <f>INDEX(Input!$1:$1048576,AZ$93,$C659*2+6)</f>
        <v>Kia Forte</v>
      </c>
      <c r="BA659" s="3">
        <f>INDEX(Input!$1:$1048576,BA$93,$C659*2+6)</f>
        <v>2020</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19695</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941"/>
        <v>1715.0000000000002</v>
      </c>
      <c r="CJ659" s="16" t="str">
        <f>INDEX(Input!$1:$1048576,CJ$93,$C659*2+6)</f>
        <v>N</v>
      </c>
      <c r="CK659" s="1" t="str">
        <f t="shared" si="1942"/>
        <v>Market</v>
      </c>
      <c r="CL659" s="1" t="str">
        <f t="shared" si="1943"/>
        <v>Market</v>
      </c>
      <c r="CM659" s="1" t="str">
        <f t="shared" si="1944"/>
        <v>Market</v>
      </c>
      <c r="CN659" s="1" t="str">
        <f t="shared" si="1945"/>
        <v>Market</v>
      </c>
      <c r="CO659" s="1" t="str">
        <f t="shared" si="1946"/>
        <v>Market</v>
      </c>
      <c r="CP659" s="304">
        <f t="shared" si="1947"/>
        <v>0</v>
      </c>
      <c r="CQ659" s="1">
        <f t="shared" si="1948"/>
        <v>0</v>
      </c>
      <c r="CR659" s="1">
        <f t="shared" si="1949"/>
        <v>0</v>
      </c>
      <c r="CS659" s="1">
        <f t="shared" si="1950"/>
        <v>0</v>
      </c>
      <c r="CT659" s="1">
        <f t="shared" si="1951"/>
        <v>8.9999999999999959E-3</v>
      </c>
      <c r="CU659" s="1">
        <f t="shared" si="1952"/>
        <v>3.9E-2</v>
      </c>
      <c r="CV659" s="304">
        <f t="shared" si="2013"/>
        <v>1979.3275155115825</v>
      </c>
      <c r="CW659" s="20" t="s">
        <v>122</v>
      </c>
      <c r="CX659" s="20" t="s">
        <v>122</v>
      </c>
      <c r="CY659" s="20" t="s">
        <v>122</v>
      </c>
      <c r="CZ659" s="20" t="s">
        <v>122</v>
      </c>
      <c r="DA659" s="20" t="s">
        <v>122</v>
      </c>
      <c r="DB659" s="503">
        <f t="shared" si="2014"/>
        <v>0</v>
      </c>
      <c r="DC659" s="127">
        <v>0</v>
      </c>
      <c r="DD659" s="127">
        <v>0</v>
      </c>
      <c r="DE659" s="127">
        <v>0</v>
      </c>
      <c r="DF659" s="127">
        <v>0</v>
      </c>
      <c r="DG659" s="127">
        <v>0</v>
      </c>
      <c r="DH659" s="127">
        <v>0</v>
      </c>
      <c r="DI659" s="127">
        <v>0</v>
      </c>
      <c r="DJ659" s="127">
        <v>0</v>
      </c>
      <c r="DK659" s="127">
        <v>0</v>
      </c>
      <c r="DL659" s="127">
        <v>0</v>
      </c>
      <c r="DM659" s="304">
        <f>INDEX(Input!$1:$1048576,DM$93,$C659*2+6)</f>
        <v>20731.578947368424</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v>5.0761242906970538E-2</v>
      </c>
      <c r="DZ659" s="7">
        <v>0</v>
      </c>
      <c r="EA659" s="7">
        <v>0.79886982715237187</v>
      </c>
      <c r="EB659" s="7">
        <v>0</v>
      </c>
      <c r="EC659" s="7">
        <v>0</v>
      </c>
      <c r="ED659" s="7">
        <v>0</v>
      </c>
      <c r="EE659" s="7">
        <v>0</v>
      </c>
      <c r="EF659" s="7">
        <v>0</v>
      </c>
      <c r="EG659" s="7">
        <v>0</v>
      </c>
      <c r="EH659" s="7">
        <v>2.4171975602564393E-2</v>
      </c>
      <c r="EI659" s="7">
        <v>1.5795924558962171E-2</v>
      </c>
      <c r="EJ659" s="7">
        <v>0.24803922719904192</v>
      </c>
      <c r="EK659" s="7">
        <v>0.71199287263943112</v>
      </c>
      <c r="EL659" s="7">
        <v>0</v>
      </c>
      <c r="EM659" s="7">
        <v>2.9096470660117432E-2</v>
      </c>
      <c r="EN659" s="7">
        <v>3.7192936847674718E-2</v>
      </c>
      <c r="EO659" s="7">
        <v>0.37947812515704143</v>
      </c>
      <c r="EP659" s="7">
        <v>0.48407243944532802</v>
      </c>
      <c r="EQ659" s="7">
        <v>7.5203886544432358E-2</v>
      </c>
      <c r="ER659" s="7">
        <v>2.4052612005523975E-2</v>
      </c>
      <c r="ES659" s="7">
        <v>0.1212724592805403</v>
      </c>
      <c r="ET659" s="7">
        <v>0.15036892994065754</v>
      </c>
      <c r="EU659" s="6">
        <v>1000</v>
      </c>
      <c r="EV659" s="6">
        <v>0</v>
      </c>
      <c r="EW659" s="6">
        <v>1000</v>
      </c>
      <c r="EX659" s="6">
        <v>0</v>
      </c>
      <c r="EY659" s="6">
        <v>1809.661277002901</v>
      </c>
      <c r="EZ659" s="6">
        <v>-1914.2676731795959</v>
      </c>
      <c r="FA659" s="6">
        <v>0</v>
      </c>
      <c r="FB659" s="6">
        <v>0</v>
      </c>
      <c r="FC659" s="6">
        <v>0</v>
      </c>
      <c r="FD659" s="6">
        <v>0</v>
      </c>
      <c r="FE659" s="6">
        <v>0</v>
      </c>
      <c r="FF659" s="6">
        <v>0</v>
      </c>
      <c r="FG659" s="6">
        <v>0</v>
      </c>
      <c r="FH659" s="6">
        <v>1158.6273334266334</v>
      </c>
      <c r="FI659" s="6">
        <v>1531.4299904380612</v>
      </c>
      <c r="FJ659" s="6">
        <v>2070.7205842538224</v>
      </c>
      <c r="FK659" s="6">
        <v>1746.9903521590445</v>
      </c>
      <c r="FL659" s="6">
        <v>0</v>
      </c>
      <c r="FM659" s="6">
        <v>1809.661277002901</v>
      </c>
      <c r="FN659" s="6">
        <v>0</v>
      </c>
      <c r="FO659" s="6">
        <v>0</v>
      </c>
      <c r="FP659" s="6">
        <v>0</v>
      </c>
      <c r="FQ659" s="6">
        <v>0</v>
      </c>
      <c r="FR659" s="6">
        <v>0</v>
      </c>
      <c r="FS659" s="6">
        <v>0</v>
      </c>
      <c r="FT659" s="7">
        <v>0.84963107005934235</v>
      </c>
      <c r="FU659" s="7">
        <v>2.9096470660117432E-2</v>
      </c>
      <c r="FV659" s="7">
        <v>0.1212724592805403</v>
      </c>
      <c r="FW659" s="6">
        <v>1000</v>
      </c>
      <c r="FX659" s="6">
        <v>1809.661277002901</v>
      </c>
      <c r="FY659" s="6">
        <v>-1914.2676731795959</v>
      </c>
      <c r="FZ659" s="6">
        <v>1676.0854837363124</v>
      </c>
      <c r="GA659" s="6">
        <v>670.13787786268085</v>
      </c>
      <c r="GB659" s="6">
        <v>19024.862122137318</v>
      </c>
      <c r="GC659" s="7">
        <v>6.4493561548621597E-2</v>
      </c>
      <c r="GD659" s="7">
        <v>5.5280118445220114E-2</v>
      </c>
      <c r="GE659" s="7"/>
      <c r="GF659" s="7"/>
      <c r="GG659" s="7">
        <v>-0.14285833937788475</v>
      </c>
      <c r="GH659" s="42">
        <v>2.7969597796337791</v>
      </c>
      <c r="GI659" s="6">
        <v>7711.7121412504694</v>
      </c>
      <c r="GJ659" s="14">
        <v>0.51596255589662343</v>
      </c>
      <c r="GK659" s="14">
        <v>0.51419567426615942</v>
      </c>
      <c r="GL659" s="14">
        <v>0.48403744410337679</v>
      </c>
      <c r="GM659" s="14">
        <v>0.48580432573384041</v>
      </c>
      <c r="GO659" s="5">
        <v>338.16872463277008</v>
      </c>
      <c r="GP659" s="5">
        <v>319.09063235707856</v>
      </c>
      <c r="GQ659" s="5">
        <v>527.27910984145694</v>
      </c>
      <c r="GR659" s="5">
        <v>404.20319246551543</v>
      </c>
      <c r="GS659" s="5">
        <v>334.50205195691484</v>
      </c>
      <c r="GT659" s="5">
        <v>289.18266033348181</v>
      </c>
      <c r="GU659" s="5">
        <v>254.29573314828914</v>
      </c>
      <c r="GV659" s="39" t="s">
        <v>392</v>
      </c>
      <c r="GW659" s="5">
        <v>492.375</v>
      </c>
      <c r="GX659" s="5">
        <v>369.28125</v>
      </c>
      <c r="GY659" s="5">
        <v>295.42500000000001</v>
      </c>
      <c r="GZ659" s="5">
        <v>260.68138716125202</v>
      </c>
      <c r="HA659" s="5">
        <v>254.29573314828914</v>
      </c>
      <c r="HB659" s="39">
        <v>276.6150936372004</v>
      </c>
      <c r="HC659" s="5">
        <v>366.86483570160732</v>
      </c>
      <c r="HD659" s="5">
        <v>293.48776275539944</v>
      </c>
      <c r="HE659" s="5">
        <v>290.53812703897881</v>
      </c>
      <c r="HF659" s="5">
        <v>261.97061428438337</v>
      </c>
      <c r="HG659" s="5">
        <v>244.26506461313522</v>
      </c>
      <c r="HH659" s="39">
        <v>291.23488772073307</v>
      </c>
      <c r="HI659" s="16"/>
      <c r="HJ659" s="19" t="str">
        <f t="shared" si="2064"/>
        <v>On</v>
      </c>
      <c r="HK659" s="1" t="str">
        <f t="shared" si="2064"/>
        <v>On</v>
      </c>
      <c r="HL659" s="16"/>
      <c r="HM659" s="639">
        <f t="shared" si="2065"/>
        <v>4.9686942767030826E-2</v>
      </c>
      <c r="HN659" s="639">
        <f t="shared" si="2065"/>
        <v>2.6112822013589915E-3</v>
      </c>
      <c r="HO659" s="639">
        <f t="shared" si="2065"/>
        <v>3.166115353075552E-2</v>
      </c>
      <c r="HP659" s="644">
        <f t="shared" si="2063"/>
        <v>487.10646844920529</v>
      </c>
      <c r="HQ659" s="644">
        <f t="shared" si="2063"/>
        <v>122.22735138631721</v>
      </c>
      <c r="HR659" s="644">
        <f t="shared" si="2063"/>
        <v>-180.60074440944726</v>
      </c>
      <c r="HS659" s="644">
        <f t="shared" si="2063"/>
        <v>-106.05429117018697</v>
      </c>
      <c r="HT659" s="644">
        <f t="shared" si="2063"/>
        <v>342.05048965825205</v>
      </c>
      <c r="HU659" s="644">
        <f t="shared" si="2063"/>
        <v>4.0608148510393081</v>
      </c>
      <c r="HV659" s="644">
        <f t="shared" si="2063"/>
        <v>0</v>
      </c>
      <c r="HW659" s="644">
        <f t="shared" si="2063"/>
        <v>0</v>
      </c>
      <c r="HX659" s="644">
        <f t="shared" si="2063"/>
        <v>0</v>
      </c>
      <c r="HY659" s="644">
        <f t="shared" si="2063"/>
        <v>2388</v>
      </c>
      <c r="HZ659" s="644">
        <f t="shared" si="2063"/>
        <v>2518</v>
      </c>
      <c r="IA659" s="644">
        <f t="shared" si="2063"/>
        <v>2200</v>
      </c>
      <c r="IB659" s="644">
        <f t="shared" si="2063"/>
        <v>2769.052177279018</v>
      </c>
      <c r="IC659" s="644">
        <f t="shared" si="2063"/>
        <v>2982.277841044569</v>
      </c>
      <c r="ID659" s="644">
        <f t="shared" si="2063"/>
        <v>2023.4600704415921</v>
      </c>
      <c r="IE659" s="20">
        <f t="shared" si="1977"/>
        <v>0.3561578056339279</v>
      </c>
      <c r="IF659" s="20">
        <f t="shared" si="1956"/>
        <v>0.38358306873828735</v>
      </c>
      <c r="IG659" s="20">
        <f t="shared" si="1957"/>
        <v>0.26025912562778469</v>
      </c>
      <c r="IH659" s="21"/>
      <c r="II659" s="19"/>
      <c r="IJ659" s="19"/>
      <c r="IK659" s="19"/>
      <c r="IL659" s="19">
        <f t="shared" si="1978"/>
        <v>650</v>
      </c>
      <c r="IM659" s="19">
        <f t="shared" si="1978"/>
        <v>757.80725129163238</v>
      </c>
      <c r="IN659" s="19">
        <f t="shared" si="1978"/>
        <v>-70.406440323262359</v>
      </c>
      <c r="IO659" s="39"/>
      <c r="IP659" s="39"/>
      <c r="IQ659" s="39"/>
      <c r="IR659" s="39"/>
      <c r="IS659" s="39"/>
      <c r="IT659" s="39"/>
      <c r="IU659" s="39"/>
      <c r="IV659" s="39"/>
      <c r="IW659" s="39"/>
      <c r="IX659" s="19">
        <f t="shared" si="2066"/>
        <v>1600</v>
      </c>
      <c r="IY659" s="19">
        <f t="shared" si="2066"/>
        <v>2503.549291639752</v>
      </c>
      <c r="IZ659" s="19">
        <f t="shared" si="2066"/>
        <v>5888.3563810918577</v>
      </c>
      <c r="JA659" s="19">
        <f t="shared" si="2067"/>
        <v>2250</v>
      </c>
      <c r="JB659" s="19">
        <f t="shared" si="2067"/>
        <v>3261.3565429313844</v>
      </c>
      <c r="JC659" s="19">
        <f t="shared" si="2067"/>
        <v>5817.9499407685953</v>
      </c>
      <c r="JD659" s="19">
        <f t="shared" si="1981"/>
        <v>3566.5307781943065</v>
      </c>
      <c r="JE659" s="21"/>
      <c r="JF659" s="1">
        <f t="shared" si="1982"/>
        <v>6.8844376252282569E-2</v>
      </c>
      <c r="JG659" s="15">
        <f t="shared" si="1983"/>
        <v>7106</v>
      </c>
      <c r="JH659" s="1">
        <f t="shared" si="1984"/>
        <v>6.0333953761057588E-2</v>
      </c>
      <c r="JI659" s="1">
        <f t="shared" si="1985"/>
        <v>3.3782298527878472E-2</v>
      </c>
      <c r="JJ659" s="1">
        <f t="shared" si="1962"/>
        <v>0</v>
      </c>
      <c r="JK659" s="1">
        <f t="shared" si="1963"/>
        <v>9.4116252288936067E-2</v>
      </c>
      <c r="JL659" s="15">
        <f t="shared" si="2068"/>
        <v>668.79008876517969</v>
      </c>
      <c r="JM659" s="15">
        <f t="shared" si="2068"/>
        <v>7774.7900887651795</v>
      </c>
      <c r="JN659" s="21"/>
      <c r="JO659" s="19">
        <f>INDEX([1]Input!$1:$1048576,JO$93,$C659*2+6)</f>
        <v>5995.5</v>
      </c>
      <c r="JP659" s="19">
        <f>INDEX([1]Input!$1:$1048576,JP$93,$C659*2+6)</f>
        <v>1716.3055838443925</v>
      </c>
      <c r="JQ659" s="39">
        <f t="shared" si="1995"/>
        <v>2428.9692218056935</v>
      </c>
      <c r="JR659" s="39">
        <f t="shared" si="1996"/>
        <v>1850.2251943499141</v>
      </c>
      <c r="JS659" s="39">
        <f t="shared" si="1997"/>
        <v>27.729028145581054</v>
      </c>
      <c r="JT659" s="39">
        <f t="shared" si="1987"/>
        <v>15.532960666782802</v>
      </c>
      <c r="JU659" s="385">
        <f>(JQ659*JM659-INDEX([1]Input!$1:$1048576,[1]Input!A$18,$C659*2+6)*JL659*INDEX([1]Input!$1:$1048576,[1]Input!A$19,$C659*2+6))/1000000</f>
        <v>18.884725831610574</v>
      </c>
      <c r="JV659" s="39">
        <f t="shared" si="1966"/>
        <v>-11.523229689591176</v>
      </c>
      <c r="JW659" s="1">
        <f t="shared" si="2000"/>
        <v>-0.37895443781337679</v>
      </c>
      <c r="JX659" s="19">
        <f t="shared" si="2001"/>
        <v>23225.464802359853</v>
      </c>
      <c r="JZ659" s="341"/>
      <c r="KA659" s="60"/>
      <c r="KB659" s="469">
        <f t="shared" si="1988"/>
        <v>0</v>
      </c>
      <c r="KI659" s="472"/>
      <c r="KJ659" s="472"/>
      <c r="KK659" s="472"/>
      <c r="KN659" s="888">
        <f t="shared" si="1989"/>
        <v>6002</v>
      </c>
      <c r="KO659" s="541">
        <f t="shared" si="1967"/>
        <v>1.7358703340721204E-2</v>
      </c>
      <c r="KP659" s="546">
        <f t="shared" si="1968"/>
        <v>140.82074388227872</v>
      </c>
      <c r="KQ659" s="546">
        <f t="shared" si="1969"/>
        <v>-30.917712095620118</v>
      </c>
      <c r="KR659" s="472">
        <f t="shared" si="1970"/>
        <v>1.984314337968786</v>
      </c>
      <c r="KS659" s="472">
        <f t="shared" si="1971"/>
        <v>-9.0379462847970906</v>
      </c>
      <c r="KT659" s="473">
        <f t="shared" si="1998"/>
        <v>2521.945896759994</v>
      </c>
      <c r="KU659" s="663">
        <f t="shared" si="1990"/>
        <v>11.501937155335103</v>
      </c>
      <c r="KV659" s="117"/>
    </row>
    <row r="660" spans="1:308" s="26" customFormat="1" ht="15" outlineLevel="1">
      <c r="A660" s="561">
        <f t="shared" si="1972"/>
        <v>6060</v>
      </c>
      <c r="B660" s="561">
        <f t="shared" si="1991"/>
        <v>60</v>
      </c>
      <c r="C660" s="561">
        <f t="shared" si="1992"/>
        <v>6</v>
      </c>
      <c r="D660" s="561" t="str">
        <f t="shared" si="2028"/>
        <v xml:space="preserve">500 CC, 0/0/0.9/3.9, -360 Lease, </v>
      </c>
      <c r="E660" s="475">
        <f>INDEX(Input!$1:$1048576,E$93,$C660*2+MIN($B660,2)+5)
+INDEX(Scenarios!E$121:E$200,MATCH($B660,Scenarios!$B$121:$B$200,0))</f>
        <v>1750.0000000000002</v>
      </c>
      <c r="F660" s="475">
        <f>INDEX(Input!$1:$1048576,F$93,$C660*2+MIN($B660,2)+5)
+INDEX(Scenarios!F$121:F$200,MATCH($B660,Scenarios!$B$121:$B$200,0))</f>
        <v>0</v>
      </c>
      <c r="G660" s="475">
        <f>INDEX(Input!$1:$1048576,G$93,$C660*2+MIN($B660,2)+5)
+INDEX(Scenarios!G$121:G$200,MATCH($B660,Scenarios!$B$121:$B$200,0))</f>
        <v>0</v>
      </c>
      <c r="H660" s="475">
        <f>INDEX(Input!$1:$1048576,H$93,$C660*2+MIN($B660,2)+5)
+INDEX(Scenarios!H$121:H$200,MATCH($B660,Scenarios!$B$121:$B$200,0))</f>
        <v>0</v>
      </c>
      <c r="I660" s="476">
        <f>INDEX(Input!$1:$1048576,I$93,$C660*2+MIN($B660,2)+5)</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+INDEX(Scenarios!Q$121:Q$200,MATCH($B660,Scenarios!$B$121:$B$200,0))</f>
        <v>0</v>
      </c>
      <c r="R660" s="478">
        <f>IFERROR(MAX(0,INDEX(Input!$1:$1048576,R$93,$C660*2+MIN($B660,2)+5)
+INDEX(Scenarios!R$121:R$200,MATCH($B660,Scenarios!$B$121:$B$200,0)),),"Market")</f>
        <v>0</v>
      </c>
      <c r="S660" s="478">
        <f>IFERROR(MAX(0,INDEX(Input!$1:$1048576,S$93,$C660*2+MIN($B660,2)+5)
+INDEX(Scenarios!S$121:S$200,MATCH($B660,Scenarios!$B$121:$B$200,0)),),"Market")</f>
        <v>0</v>
      </c>
      <c r="T660" s="478">
        <f>IFERROR(MAX(0,INDEX(Input!$1:$1048576,T$93,$C660*2+MIN($B660,2)+5)
+INDEX(Scenarios!T$121:T$200,MATCH($B660,Scenarios!$B$121:$B$200,0)),),"Market")</f>
        <v>0</v>
      </c>
      <c r="U660" s="478">
        <f>IFERROR(MAX(0,INDEX(Input!$1:$1048576,U$93,$C660*2+MIN($B660,2)+5)
+INDEX(Scenarios!U$121:U$200,MATCH($B660,Scenarios!$B$121:$B$200,0)),),"Market")</f>
        <v>0</v>
      </c>
      <c r="V660" s="478">
        <f>IFERROR(MAX(0,INDEX(Input!$1:$1048576,V$93,$C660*2+MIN($B660,2)+5)
+INDEX(Scenarios!V$121:V$200,MATCH($B660,Scenarios!$B$121:$B$200,0)),),"Market")</f>
        <v>8.9999999999999959E-3</v>
      </c>
      <c r="W660" s="863">
        <f>IFERROR(MAX(0,INDEX(Input!$1:$1048576,W$93,$C660*2+MIN($B660,2)+5)-0%,),"Market")</f>
        <v>3.9E-2</v>
      </c>
      <c r="X660" s="476" t="str">
        <f>INDEX(Input!$1:$1048576,X$93,$C660*2+MIN($B660,2)+5)</f>
        <v>Y</v>
      </c>
      <c r="Y660" s="475">
        <f>INDEX(Input!$1:$1048576,Y$93,$C660*2+MIN($B660,2)+5)
++INDEX(Scenarios!Y$121:Y$200,MATCH($B660,Scenarios!$B$121:$B$200,0))</f>
        <v>1979.3275155115825</v>
      </c>
      <c r="Z660" s="477">
        <f>INDEX(Input!$1:$1048576,Z$93,$C660*2+MIN($B660,2)+5)
+INDEX(Scenarios!Z$121:Z$200,MATCH($B660,Scenarios!$B$121:$B$200,0))</f>
        <v>0</v>
      </c>
      <c r="AA660" s="475">
        <f>INDEX(Input!$1:$1048576,AA$93,$C660*2+MIN($B660,2)+5)</f>
        <v>0</v>
      </c>
      <c r="AB660" s="476">
        <f>INDEX(Input!$1:$1048576,AB$93,$C660*2+MIN($B660,2)+5)</f>
        <v>1</v>
      </c>
      <c r="AC660" s="475">
        <f>INDEX(Input!$1:$1048576,AC$93,$C660*2+MIN($B660,2)+5)
+INDEX(Scenarios!AC$121:AC$200,MATCH($B660,Scenarios!$B$121:$B$200,0))</f>
        <v>0</v>
      </c>
      <c r="AD660" s="476">
        <f>INDEX(Input!$1:$1048576,AD$93,$C660*2+MIN($B660,2)+5)</f>
        <v>0.35</v>
      </c>
      <c r="AE660" s="475">
        <f>INDEX(Input!$1:$1048576,AE$93,$C660*2+MIN($B660,2)+5)
+INDEX(Scenarios!AE$121:AE$200,MATCH($B660,Scenarios!$B$121:$B$200,0))</f>
        <v>0</v>
      </c>
      <c r="AF660" s="476">
        <f>INDEX(Input!$1:$1048576,AF$93,$C660*2+MIN($B660,2)+5)</f>
        <v>1</v>
      </c>
      <c r="AG660" s="475">
        <f>INDEX(Input!$1:$1048576,AG$93,$C660*2+MIN($B660,2)+5)</f>
        <v>0</v>
      </c>
      <c r="AH660" s="476">
        <f>INDEX(Input!$1:$1048576,AH$93,$C660*2+MIN($B660,2)+5)</f>
        <v>1</v>
      </c>
      <c r="AI660" s="475">
        <f>INDEX(Input!$1:$1048576,AI$93,$C660*2+MIN($B660,2)+5)</f>
        <v>0</v>
      </c>
      <c r="AJ660" s="476">
        <f>INDEX(Input!$1:$1048576,AJ$93,$C660*2+MIN($B660,2)+5)</f>
        <v>0.35</v>
      </c>
      <c r="AK660" s="150">
        <f>ROUND(INDEX(Input!$1:$1048576,AK$93,$C659*2+MIN($B660,1)+5)+(Y660-VLOOKUP($C660*1000+1,$A:$HH,Y$92,FALSE)),0)</f>
        <v>4733</v>
      </c>
      <c r="AL660" s="150">
        <f>ROUND(INDEX(Input!$1:$1048576,AL$93,$C659*2+MIN($B660,1)+5)-(Y660-VLOOKUP($C660*1000+1,$A:$HH,Y$92,FALSE))/36,0)</f>
        <v>5227</v>
      </c>
      <c r="AM660" s="32" t="str">
        <f t="shared" si="1973"/>
        <v>std/std/std/std</v>
      </c>
      <c r="AN660" s="32" t="str">
        <f t="shared" si="1974"/>
        <v>$0 + 0/0/0/0.9/3.9</v>
      </c>
      <c r="AO660" s="32" t="str">
        <f t="shared" si="1975"/>
        <v>0/0/0/0.9/3.9</v>
      </c>
      <c r="AP660" s="32" t="str">
        <f t="shared" si="1939"/>
        <v>0/0/0.9/3.9</v>
      </c>
      <c r="AQ660" s="536">
        <f t="shared" si="1940"/>
        <v>0.37316479167456357</v>
      </c>
      <c r="AR660" s="32"/>
      <c r="AS660" s="302"/>
      <c r="AT660" s="3">
        <f t="shared" si="1993"/>
        <v>60</v>
      </c>
      <c r="AU660" s="41" t="s">
        <v>121</v>
      </c>
      <c r="AV660" s="41" t="s">
        <v>116</v>
      </c>
      <c r="AW660" s="41" t="str">
        <f>INDEX(Input!$1:$1048576,AW$93,$C660*2+6)</f>
        <v>Kia</v>
      </c>
      <c r="AX660" s="41" t="str">
        <f>INDEX(Input!$1:$1048576,AX$93,$C660*2+6)</f>
        <v>National</v>
      </c>
      <c r="AY660" s="41" t="str">
        <f>IF(LEN(D660)=0,"",INDEX(Input!$1:$1048576,AY$93,$C660*2+6))</f>
        <v>Compact Conventional/Sporty Car (43)</v>
      </c>
      <c r="AZ660" s="41" t="str">
        <f>INDEX(Input!$1:$1048576,AZ$93,$C660*2+6)</f>
        <v>Kia Forte</v>
      </c>
      <c r="BA660" s="3">
        <f>INDEX(Input!$1:$1048576,BA$93,$C660*2+6)</f>
        <v>2020</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19695</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941"/>
        <v>1965.0000000000002</v>
      </c>
      <c r="CJ660" s="16" t="str">
        <f>INDEX(Input!$1:$1048576,CJ$93,$C660*2+6)</f>
        <v>N</v>
      </c>
      <c r="CK660" s="1" t="str">
        <f t="shared" si="1942"/>
        <v>Market</v>
      </c>
      <c r="CL660" s="1" t="str">
        <f t="shared" si="1943"/>
        <v>Market</v>
      </c>
      <c r="CM660" s="1" t="str">
        <f t="shared" si="1944"/>
        <v>Market</v>
      </c>
      <c r="CN660" s="1" t="str">
        <f t="shared" si="1945"/>
        <v>Market</v>
      </c>
      <c r="CO660" s="1" t="str">
        <f t="shared" si="1946"/>
        <v>Market</v>
      </c>
      <c r="CP660" s="304">
        <f t="shared" si="1947"/>
        <v>0</v>
      </c>
      <c r="CQ660" s="1">
        <f t="shared" si="1948"/>
        <v>0</v>
      </c>
      <c r="CR660" s="1">
        <f t="shared" si="1949"/>
        <v>0</v>
      </c>
      <c r="CS660" s="1">
        <f t="shared" si="1950"/>
        <v>0</v>
      </c>
      <c r="CT660" s="1">
        <f t="shared" si="1951"/>
        <v>8.9999999999999959E-3</v>
      </c>
      <c r="CU660" s="1">
        <f t="shared" si="1952"/>
        <v>3.9E-2</v>
      </c>
      <c r="CV660" s="304">
        <f t="shared" si="2013"/>
        <v>1979.3275155115825</v>
      </c>
      <c r="CW660" s="20" t="s">
        <v>122</v>
      </c>
      <c r="CX660" s="20" t="s">
        <v>122</v>
      </c>
      <c r="CY660" s="20" t="s">
        <v>122</v>
      </c>
      <c r="CZ660" s="20" t="s">
        <v>122</v>
      </c>
      <c r="DA660" s="20" t="s">
        <v>122</v>
      </c>
      <c r="DB660" s="503">
        <f t="shared" si="2014"/>
        <v>0</v>
      </c>
      <c r="DC660" s="127">
        <v>0</v>
      </c>
      <c r="DD660" s="127">
        <v>0</v>
      </c>
      <c r="DE660" s="127">
        <v>0</v>
      </c>
      <c r="DF660" s="127">
        <v>0</v>
      </c>
      <c r="DG660" s="127">
        <v>0</v>
      </c>
      <c r="DH660" s="127">
        <v>0</v>
      </c>
      <c r="DI660" s="127">
        <v>0</v>
      </c>
      <c r="DJ660" s="127">
        <v>0</v>
      </c>
      <c r="DK660" s="127">
        <v>0</v>
      </c>
      <c r="DL660" s="127">
        <v>0</v>
      </c>
      <c r="DM660" s="304">
        <f>INDEX(Input!$1:$1048576,DM$93,$C660*2+6)</f>
        <v>20731.578947368424</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v>5.1589158386220399E-2</v>
      </c>
      <c r="DZ660" s="7">
        <v>0</v>
      </c>
      <c r="EA660" s="7">
        <v>0.81170302930204574</v>
      </c>
      <c r="EB660" s="7">
        <v>0</v>
      </c>
      <c r="EC660" s="7">
        <v>0</v>
      </c>
      <c r="ED660" s="7">
        <v>0</v>
      </c>
      <c r="EE660" s="7">
        <v>0</v>
      </c>
      <c r="EF660" s="7">
        <v>0</v>
      </c>
      <c r="EG660" s="7">
        <v>0</v>
      </c>
      <c r="EH660" s="7">
        <v>2.4186988210222096E-2</v>
      </c>
      <c r="EI660" s="7">
        <v>1.5798654707222477E-2</v>
      </c>
      <c r="EJ660" s="7">
        <v>0.24820080379282669</v>
      </c>
      <c r="EK660" s="7">
        <v>0.71181355328972862</v>
      </c>
      <c r="EL660" s="7">
        <v>0</v>
      </c>
      <c r="EM660" s="7">
        <v>2.6446605999442839E-2</v>
      </c>
      <c r="EN660" s="7">
        <v>3.7181956522153156E-2</v>
      </c>
      <c r="EO660" s="7">
        <v>0.37954065903640194</v>
      </c>
      <c r="EP660" s="7">
        <v>0.48401391784128528</v>
      </c>
      <c r="EQ660" s="7">
        <v>7.5206687051701873E-2</v>
      </c>
      <c r="ER660" s="7">
        <v>2.4056779548457884E-2</v>
      </c>
      <c r="ES660" s="7">
        <v>0.11026120631229103</v>
      </c>
      <c r="ET660" s="7">
        <v>0.13670781231173387</v>
      </c>
      <c r="EU660" s="6">
        <v>1250</v>
      </c>
      <c r="EV660" s="6">
        <v>0</v>
      </c>
      <c r="EW660" s="6">
        <v>1250</v>
      </c>
      <c r="EX660" s="6">
        <v>0</v>
      </c>
      <c r="EY660" s="6">
        <v>1809.7044152898643</v>
      </c>
      <c r="EZ660" s="6">
        <v>-1914.2676731795959</v>
      </c>
      <c r="FA660" s="6">
        <v>0</v>
      </c>
      <c r="FB660" s="6">
        <v>0</v>
      </c>
      <c r="FC660" s="6">
        <v>0</v>
      </c>
      <c r="FD660" s="6">
        <v>0</v>
      </c>
      <c r="FE660" s="6">
        <v>0</v>
      </c>
      <c r="FF660" s="6">
        <v>0</v>
      </c>
      <c r="FG660" s="6">
        <v>0</v>
      </c>
      <c r="FH660" s="6">
        <v>1158.6377701813885</v>
      </c>
      <c r="FI660" s="6">
        <v>1531.4299904380621</v>
      </c>
      <c r="FJ660" s="6">
        <v>2070.7205842538224</v>
      </c>
      <c r="FK660" s="6">
        <v>1746.9903521590429</v>
      </c>
      <c r="FL660" s="6">
        <v>0</v>
      </c>
      <c r="FM660" s="6">
        <v>1809.7044152898643</v>
      </c>
      <c r="FN660" s="6">
        <v>0</v>
      </c>
      <c r="FO660" s="6">
        <v>0</v>
      </c>
      <c r="FP660" s="6">
        <v>0</v>
      </c>
      <c r="FQ660" s="6">
        <v>0</v>
      </c>
      <c r="FR660" s="6">
        <v>0</v>
      </c>
      <c r="FS660" s="6">
        <v>0</v>
      </c>
      <c r="FT660" s="7">
        <v>0.8632921876882661</v>
      </c>
      <c r="FU660" s="7">
        <v>2.6446605999442839E-2</v>
      </c>
      <c r="FV660" s="7">
        <v>0.11026120631229103</v>
      </c>
      <c r="FW660" s="6">
        <v>1250</v>
      </c>
      <c r="FX660" s="6">
        <v>1809.7044152898641</v>
      </c>
      <c r="FY660" s="6">
        <v>-1914.2676731795959</v>
      </c>
      <c r="FZ660" s="6">
        <v>1676.0854837363124</v>
      </c>
      <c r="GA660" s="6">
        <v>915.9063114075509</v>
      </c>
      <c r="GB660" s="6">
        <v>18779.093688592449</v>
      </c>
      <c r="GC660" s="7">
        <v>6.4493561548621597E-2</v>
      </c>
      <c r="GD660" s="7">
        <v>5.7920267353981335E-2</v>
      </c>
      <c r="GE660" s="7"/>
      <c r="GF660" s="7"/>
      <c r="GG660" s="7">
        <v>-0.10192171182366268</v>
      </c>
      <c r="GH660" s="42">
        <v>2.6406249834728444</v>
      </c>
      <c r="GI660" s="6">
        <v>8374.3678965501422</v>
      </c>
      <c r="GJ660" s="14">
        <v>0.5159625558966231</v>
      </c>
      <c r="GK660" s="14">
        <v>0.51419567426615942</v>
      </c>
      <c r="GL660" s="14">
        <v>0.48403744410337662</v>
      </c>
      <c r="GM660" s="14">
        <v>0.4858043257338403</v>
      </c>
      <c r="GO660" s="5">
        <v>338.16872463277008</v>
      </c>
      <c r="GP660" s="5">
        <v>314.32110928815564</v>
      </c>
      <c r="GQ660" s="5">
        <v>527.27910984145694</v>
      </c>
      <c r="GR660" s="5">
        <v>404.20319246551543</v>
      </c>
      <c r="GS660" s="5">
        <v>334.50205195691484</v>
      </c>
      <c r="GT660" s="5">
        <v>289.18266033348181</v>
      </c>
      <c r="GU660" s="5">
        <v>254.29573314828914</v>
      </c>
      <c r="GV660" s="39" t="s">
        <v>392</v>
      </c>
      <c r="GW660" s="5">
        <v>492.375</v>
      </c>
      <c r="GX660" s="5">
        <v>369.28125</v>
      </c>
      <c r="GY660" s="5">
        <v>295.42500000000001</v>
      </c>
      <c r="GZ660" s="5">
        <v>260.68138716125202</v>
      </c>
      <c r="HA660" s="5">
        <v>254.29573314828914</v>
      </c>
      <c r="HB660" s="39">
        <v>276.62448221085168</v>
      </c>
      <c r="HC660" s="5">
        <v>366.86483570160732</v>
      </c>
      <c r="HD660" s="5">
        <v>293.48776275539944</v>
      </c>
      <c r="HE660" s="5">
        <v>290.53812703897881</v>
      </c>
      <c r="HF660" s="5">
        <v>261.97061428438337</v>
      </c>
      <c r="HG660" s="5">
        <v>244.26506461313522</v>
      </c>
      <c r="HH660" s="39">
        <v>291.23396123228838</v>
      </c>
      <c r="HI660" s="16"/>
      <c r="HJ660" s="19" t="str">
        <f t="shared" ref="HJ660:HK660" si="2069">HJ659</f>
        <v>On</v>
      </c>
      <c r="HK660" s="1" t="str">
        <f t="shared" si="2069"/>
        <v>On</v>
      </c>
      <c r="HL660" s="16"/>
      <c r="HM660" s="639">
        <f t="shared" si="2065"/>
        <v>4.9686942767030826E-2</v>
      </c>
      <c r="HN660" s="639">
        <f t="shared" si="2065"/>
        <v>2.6112822013589915E-3</v>
      </c>
      <c r="HO660" s="639">
        <f t="shared" si="2065"/>
        <v>3.166115353075552E-2</v>
      </c>
      <c r="HP660" s="644">
        <f t="shared" si="2063"/>
        <v>704.17387604364239</v>
      </c>
      <c r="HQ660" s="644">
        <f t="shared" si="2063"/>
        <v>110.74713576424695</v>
      </c>
      <c r="HR660" s="644">
        <f t="shared" si="2063"/>
        <v>-226.15168382385019</v>
      </c>
      <c r="HS660" s="644">
        <f t="shared" si="2063"/>
        <v>-146.13324747369748</v>
      </c>
      <c r="HT660" s="644">
        <f t="shared" si="2063"/>
        <v>332.6810721219025</v>
      </c>
      <c r="HU660" s="644">
        <f t="shared" si="2063"/>
        <v>13.427191681949044</v>
      </c>
      <c r="HV660" s="644">
        <f t="shared" si="2063"/>
        <v>0</v>
      </c>
      <c r="HW660" s="644">
        <f t="shared" si="2063"/>
        <v>0</v>
      </c>
      <c r="HX660" s="644">
        <f t="shared" si="2063"/>
        <v>0</v>
      </c>
      <c r="HY660" s="644">
        <f t="shared" si="2063"/>
        <v>2388</v>
      </c>
      <c r="HZ660" s="644">
        <f t="shared" si="2063"/>
        <v>2518</v>
      </c>
      <c r="IA660" s="644">
        <f t="shared" si="2063"/>
        <v>2200</v>
      </c>
      <c r="IB660" s="644">
        <f t="shared" si="2063"/>
        <v>2946.0406285699446</v>
      </c>
      <c r="IC660" s="644">
        <f t="shared" si="2063"/>
        <v>2961.4282078861497</v>
      </c>
      <c r="ID660" s="644">
        <f t="shared" si="2063"/>
        <v>1987.2755078580985</v>
      </c>
      <c r="IE660" s="20">
        <f t="shared" si="1977"/>
        <v>0.37316479167456357</v>
      </c>
      <c r="IF660" s="20">
        <f t="shared" si="1956"/>
        <v>0.37511388320243388</v>
      </c>
      <c r="IG660" s="20">
        <f t="shared" si="1957"/>
        <v>0.25172132512300255</v>
      </c>
      <c r="IH660" s="21"/>
      <c r="II660" s="19"/>
      <c r="IJ660" s="19"/>
      <c r="IK660" s="19"/>
      <c r="IL660" s="19">
        <f t="shared" si="1978"/>
        <v>900.00000000000045</v>
      </c>
      <c r="IM660" s="19">
        <f t="shared" si="1978"/>
        <v>757.83802709960446</v>
      </c>
      <c r="IN660" s="19">
        <f t="shared" si="1978"/>
        <v>-68.782831515323778</v>
      </c>
      <c r="IO660" s="39"/>
      <c r="IP660" s="39"/>
      <c r="IQ660" s="39"/>
      <c r="IR660" s="39"/>
      <c r="IS660" s="39"/>
      <c r="IT660" s="39"/>
      <c r="IU660" s="39"/>
      <c r="IV660" s="39"/>
      <c r="IW660" s="39"/>
      <c r="IX660" s="19">
        <f t="shared" si="2066"/>
        <v>1600</v>
      </c>
      <c r="IY660" s="19">
        <f t="shared" si="2066"/>
        <v>2503.549291639752</v>
      </c>
      <c r="IZ660" s="19">
        <f t="shared" si="2066"/>
        <v>5888.3563810918577</v>
      </c>
      <c r="JA660" s="19">
        <f t="shared" si="2067"/>
        <v>2500.0000000000005</v>
      </c>
      <c r="JB660" s="19">
        <f t="shared" si="2067"/>
        <v>3261.3873187393565</v>
      </c>
      <c r="JC660" s="19">
        <f t="shared" si="2067"/>
        <v>5819.5735495765339</v>
      </c>
      <c r="JD660" s="19">
        <f t="shared" si="1981"/>
        <v>3621.2144064960835</v>
      </c>
      <c r="JE660" s="21"/>
      <c r="JF660" s="1">
        <f t="shared" si="1982"/>
        <v>6.8844376252282569E-2</v>
      </c>
      <c r="JG660" s="15">
        <f t="shared" si="1983"/>
        <v>7106</v>
      </c>
      <c r="JH660" s="1">
        <f t="shared" si="1984"/>
        <v>8.285523895075135E-2</v>
      </c>
      <c r="JI660" s="1">
        <f t="shared" si="1985"/>
        <v>2.8141713528026184E-2</v>
      </c>
      <c r="JJ660" s="1">
        <f t="shared" si="1962"/>
        <v>0</v>
      </c>
      <c r="JK660" s="1">
        <f t="shared" si="1963"/>
        <v>0.11099695247877756</v>
      </c>
      <c r="JL660" s="15">
        <f t="shared" si="2068"/>
        <v>788.74434431419331</v>
      </c>
      <c r="JM660" s="15">
        <f t="shared" si="2068"/>
        <v>7894.7443443141919</v>
      </c>
      <c r="JN660" s="21"/>
      <c r="JO660" s="19">
        <f>INDEX([1]Input!$1:$1048576,JO$93,$C660*2+6)</f>
        <v>5995.5</v>
      </c>
      <c r="JP660" s="19">
        <f>INDEX([1]Input!$1:$1048576,JP$93,$C660*2+6)</f>
        <v>1716.3055838443925</v>
      </c>
      <c r="JQ660" s="39">
        <f t="shared" si="1995"/>
        <v>2374.2855935039165</v>
      </c>
      <c r="JR660" s="39">
        <f t="shared" si="1996"/>
        <v>1904.908822651691</v>
      </c>
      <c r="JS660" s="39">
        <f t="shared" si="1997"/>
        <v>28.588561955234027</v>
      </c>
      <c r="JT660" s="39">
        <f t="shared" si="1987"/>
        <v>16.392494476435775</v>
      </c>
      <c r="JU660" s="385">
        <f>(JQ660*JM660-INDEX([1]Input!$1:$1048576,[1]Input!A$18,$C660*2+6)*JL660*INDEX([1]Input!$1:$1048576,[1]Input!A$19,$C660*2+6))/1000000</f>
        <v>18.744377761101706</v>
      </c>
      <c r="JV660" s="39">
        <f t="shared" si="1966"/>
        <v>-11.663577760100043</v>
      </c>
      <c r="JW660" s="1">
        <f t="shared" si="2000"/>
        <v>-0.38356994280551643</v>
      </c>
      <c r="JX660" s="19">
        <f t="shared" si="2001"/>
        <v>20783.026331160465</v>
      </c>
      <c r="JZ660" s="341"/>
      <c r="KA660" s="60"/>
      <c r="KB660" s="469">
        <f t="shared" si="1988"/>
        <v>0</v>
      </c>
      <c r="KI660" s="472"/>
      <c r="KJ660" s="472"/>
      <c r="KK660" s="472"/>
      <c r="KN660" s="888">
        <f t="shared" si="1989"/>
        <v>6002</v>
      </c>
      <c r="KO660" s="541">
        <f t="shared" si="1967"/>
        <v>3.3055140735460675E-2</v>
      </c>
      <c r="KP660" s="546">
        <f t="shared" si="1968"/>
        <v>238.55706578764091</v>
      </c>
      <c r="KQ660" s="546">
        <f t="shared" si="1969"/>
        <v>23.765916206156817</v>
      </c>
      <c r="KR660" s="472">
        <f t="shared" si="1970"/>
        <v>2.2305221976676455</v>
      </c>
      <c r="KS660" s="472">
        <f t="shared" si="1971"/>
        <v>22.389493678007074</v>
      </c>
      <c r="KT660" s="473">
        <f t="shared" si="1998"/>
        <v>2521.945896759994</v>
      </c>
      <c r="KU660" s="663">
        <f t="shared" si="1990"/>
        <v>11.586940533748852</v>
      </c>
      <c r="KV660" s="117"/>
    </row>
    <row r="661" spans="1:308" s="26" customFormat="1" ht="15" outlineLevel="1">
      <c r="A661" s="561">
        <f t="shared" si="1972"/>
        <v>6061</v>
      </c>
      <c r="B661" s="561">
        <f t="shared" si="1991"/>
        <v>61</v>
      </c>
      <c r="C661" s="561">
        <f t="shared" si="1992"/>
        <v>6</v>
      </c>
      <c r="D661" s="561" t="str">
        <f t="shared" si="2028"/>
        <v xml:space="preserve">750 CC, 0/0/0.9/3.9, -360 Lease, </v>
      </c>
      <c r="E661" s="475">
        <f>INDEX(Input!$1:$1048576,E$93,$C661*2+MIN($B661,2)+5)
+INDEX(Scenarios!E$121:E$200,MATCH($B661,Scenarios!$B$121:$B$200,0))</f>
        <v>2000.0000000000002</v>
      </c>
      <c r="F661" s="475">
        <f>INDEX(Input!$1:$1048576,F$93,$C661*2+MIN($B661,2)+5)
+INDEX(Scenarios!F$121:F$200,MATCH($B661,Scenarios!$B$121:$B$200,0))</f>
        <v>0</v>
      </c>
      <c r="G661" s="475">
        <f>INDEX(Input!$1:$1048576,G$93,$C661*2+MIN($B661,2)+5)
+INDEX(Scenarios!G$121:G$200,MATCH($B661,Scenarios!$B$121:$B$200,0))</f>
        <v>0</v>
      </c>
      <c r="H661" s="475">
        <f>INDEX(Input!$1:$1048576,H$93,$C661*2+MIN($B661,2)+5)
+INDEX(Scenarios!H$121:H$200,MATCH($B661,Scenarios!$B$121:$B$200,0))</f>
        <v>0</v>
      </c>
      <c r="I661" s="476">
        <f>INDEX(Input!$1:$1048576,I$93,$C661*2+MIN($B661,2)+5)</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+INDEX(Scenarios!Q$121:Q$200,MATCH($B661,Scenarios!$B$121:$B$200,0))</f>
        <v>0</v>
      </c>
      <c r="R661" s="478">
        <f>IFERROR(MAX(0,INDEX(Input!$1:$1048576,R$93,$C661*2+MIN($B661,2)+5)
+INDEX(Scenarios!R$121:R$200,MATCH($B661,Scenarios!$B$121:$B$200,0)),),"Market")</f>
        <v>0</v>
      </c>
      <c r="S661" s="478">
        <f>IFERROR(MAX(0,INDEX(Input!$1:$1048576,S$93,$C661*2+MIN($B661,2)+5)
+INDEX(Scenarios!S$121:S$200,MATCH($B661,Scenarios!$B$121:$B$200,0)),),"Market")</f>
        <v>0</v>
      </c>
      <c r="T661" s="478">
        <f>IFERROR(MAX(0,INDEX(Input!$1:$1048576,T$93,$C661*2+MIN($B661,2)+5)
+INDEX(Scenarios!T$121:T$200,MATCH($B661,Scenarios!$B$121:$B$200,0)),),"Market")</f>
        <v>0</v>
      </c>
      <c r="U661" s="478">
        <f>IFERROR(MAX(0,INDEX(Input!$1:$1048576,U$93,$C661*2+MIN($B661,2)+5)
+INDEX(Scenarios!U$121:U$200,MATCH($B661,Scenarios!$B$121:$B$200,0)),),"Market")</f>
        <v>0</v>
      </c>
      <c r="V661" s="478">
        <f>IFERROR(MAX(0,INDEX(Input!$1:$1048576,V$93,$C661*2+MIN($B661,2)+5)
+INDEX(Scenarios!V$121:V$200,MATCH($B661,Scenarios!$B$121:$B$200,0)),),"Market")</f>
        <v>8.9999999999999959E-3</v>
      </c>
      <c r="W661" s="863">
        <f>IFERROR(MAX(0,INDEX(Input!$1:$1048576,W$93,$C661*2+MIN($B661,2)+5)-0%,),"Market")</f>
        <v>3.9E-2</v>
      </c>
      <c r="X661" s="476" t="str">
        <f>INDEX(Input!$1:$1048576,X$93,$C661*2+MIN($B661,2)+5)</f>
        <v>Y</v>
      </c>
      <c r="Y661" s="475">
        <f>INDEX(Input!$1:$1048576,Y$93,$C661*2+MIN($B661,2)+5)
++INDEX(Scenarios!Y$121:Y$200,MATCH($B661,Scenarios!$B$121:$B$200,0))</f>
        <v>1979.3275155115825</v>
      </c>
      <c r="Z661" s="477">
        <f>INDEX(Input!$1:$1048576,Z$93,$C661*2+MIN($B661,2)+5)
+INDEX(Scenarios!Z$121:Z$200,MATCH($B661,Scenarios!$B$121:$B$200,0))</f>
        <v>0</v>
      </c>
      <c r="AA661" s="475">
        <f>INDEX(Input!$1:$1048576,AA$93,$C661*2+MIN($B661,2)+5)</f>
        <v>0</v>
      </c>
      <c r="AB661" s="476">
        <f>INDEX(Input!$1:$1048576,AB$93,$C661*2+MIN($B661,2)+5)</f>
        <v>1</v>
      </c>
      <c r="AC661" s="475">
        <f>INDEX(Input!$1:$1048576,AC$93,$C661*2+MIN($B661,2)+5)
+INDEX(Scenarios!AC$121:AC$200,MATCH($B661,Scenarios!$B$121:$B$200,0))</f>
        <v>0</v>
      </c>
      <c r="AD661" s="476">
        <f>INDEX(Input!$1:$1048576,AD$93,$C661*2+MIN($B661,2)+5)</f>
        <v>0.35</v>
      </c>
      <c r="AE661" s="475">
        <f>INDEX(Input!$1:$1048576,AE$93,$C661*2+MIN($B661,2)+5)
+INDEX(Scenarios!AE$121:AE$200,MATCH($B661,Scenarios!$B$121:$B$200,0))</f>
        <v>0</v>
      </c>
      <c r="AF661" s="476">
        <f>INDEX(Input!$1:$1048576,AF$93,$C661*2+MIN($B661,2)+5)</f>
        <v>1</v>
      </c>
      <c r="AG661" s="475">
        <f>INDEX(Input!$1:$1048576,AG$93,$C661*2+MIN($B661,2)+5)</f>
        <v>0</v>
      </c>
      <c r="AH661" s="476">
        <f>INDEX(Input!$1:$1048576,AH$93,$C661*2+MIN($B661,2)+5)</f>
        <v>1</v>
      </c>
      <c r="AI661" s="475">
        <f>INDEX(Input!$1:$1048576,AI$93,$C661*2+MIN($B661,2)+5)</f>
        <v>0</v>
      </c>
      <c r="AJ661" s="476">
        <f>INDEX(Input!$1:$1048576,AJ$93,$C661*2+MIN($B661,2)+5)</f>
        <v>0.35</v>
      </c>
      <c r="AK661" s="150">
        <f>ROUND(INDEX(Input!$1:$1048576,AK$93,$C660*2+MIN($B661,1)+5)+(Y661-VLOOKUP($C661*1000+1,$A:$HH,Y$92,FALSE)),0)</f>
        <v>4733</v>
      </c>
      <c r="AL661" s="150">
        <f>ROUND(INDEX(Input!$1:$1048576,AL$93,$C660*2+MIN($B661,1)+5)-(Y661-VLOOKUP($C661*1000+1,$A:$HH,Y$92,FALSE))/36,0)</f>
        <v>5227</v>
      </c>
      <c r="AM661" s="32" t="str">
        <f t="shared" si="1973"/>
        <v>std/std/std/std</v>
      </c>
      <c r="AN661" s="32" t="str">
        <f t="shared" si="1974"/>
        <v>$0 + 0/0/0/0.9/3.9</v>
      </c>
      <c r="AO661" s="32" t="str">
        <f t="shared" si="1975"/>
        <v>0/0/0/0.9/3.9</v>
      </c>
      <c r="AP661" s="32" t="str">
        <f t="shared" si="1939"/>
        <v>0/0/0.9/3.9</v>
      </c>
      <c r="AQ661" s="536">
        <f t="shared" si="1940"/>
        <v>0.39016432768294279</v>
      </c>
      <c r="AR661" s="32"/>
      <c r="AS661" s="302"/>
      <c r="AT661" s="3">
        <f t="shared" si="1993"/>
        <v>61</v>
      </c>
      <c r="AU661" s="41" t="s">
        <v>121</v>
      </c>
      <c r="AV661" s="41" t="s">
        <v>116</v>
      </c>
      <c r="AW661" s="41" t="str">
        <f>INDEX(Input!$1:$1048576,AW$93,$C661*2+6)</f>
        <v>Kia</v>
      </c>
      <c r="AX661" s="41" t="str">
        <f>INDEX(Input!$1:$1048576,AX$93,$C661*2+6)</f>
        <v>National</v>
      </c>
      <c r="AY661" s="41" t="str">
        <f>IF(LEN(D661)=0,"",INDEX(Input!$1:$1048576,AY$93,$C661*2+6))</f>
        <v>Compact Conventional/Sporty Car (43)</v>
      </c>
      <c r="AZ661" s="41" t="str">
        <f>INDEX(Input!$1:$1048576,AZ$93,$C661*2+6)</f>
        <v>Kia Forte</v>
      </c>
      <c r="BA661" s="3">
        <f>INDEX(Input!$1:$1048576,BA$93,$C661*2+6)</f>
        <v>2020</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19695</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941"/>
        <v>2215</v>
      </c>
      <c r="CJ661" s="16" t="str">
        <f>INDEX(Input!$1:$1048576,CJ$93,$C661*2+6)</f>
        <v>N</v>
      </c>
      <c r="CK661" s="1" t="str">
        <f t="shared" si="1942"/>
        <v>Market</v>
      </c>
      <c r="CL661" s="1" t="str">
        <f t="shared" si="1943"/>
        <v>Market</v>
      </c>
      <c r="CM661" s="1" t="str">
        <f t="shared" si="1944"/>
        <v>Market</v>
      </c>
      <c r="CN661" s="1" t="str">
        <f t="shared" si="1945"/>
        <v>Market</v>
      </c>
      <c r="CO661" s="1" t="str">
        <f t="shared" si="1946"/>
        <v>Market</v>
      </c>
      <c r="CP661" s="304">
        <f t="shared" si="1947"/>
        <v>0</v>
      </c>
      <c r="CQ661" s="1">
        <f t="shared" si="1948"/>
        <v>0</v>
      </c>
      <c r="CR661" s="1">
        <f t="shared" si="1949"/>
        <v>0</v>
      </c>
      <c r="CS661" s="1">
        <f t="shared" si="1950"/>
        <v>0</v>
      </c>
      <c r="CT661" s="1">
        <f t="shared" si="1951"/>
        <v>8.9999999999999959E-3</v>
      </c>
      <c r="CU661" s="1">
        <f t="shared" si="1952"/>
        <v>3.9E-2</v>
      </c>
      <c r="CV661" s="304">
        <f t="shared" si="2013"/>
        <v>1979.3275155115825</v>
      </c>
      <c r="CW661" s="20" t="s">
        <v>122</v>
      </c>
      <c r="CX661" s="20" t="s">
        <v>122</v>
      </c>
      <c r="CY661" s="20" t="s">
        <v>122</v>
      </c>
      <c r="CZ661" s="20" t="s">
        <v>122</v>
      </c>
      <c r="DA661" s="20" t="s">
        <v>122</v>
      </c>
      <c r="DB661" s="503">
        <f t="shared" si="2014"/>
        <v>0</v>
      </c>
      <c r="DC661" s="127">
        <v>0</v>
      </c>
      <c r="DD661" s="127">
        <v>0</v>
      </c>
      <c r="DE661" s="127">
        <v>0</v>
      </c>
      <c r="DF661" s="127">
        <v>0</v>
      </c>
      <c r="DG661" s="127">
        <v>0</v>
      </c>
      <c r="DH661" s="127">
        <v>0</v>
      </c>
      <c r="DI661" s="127">
        <v>0</v>
      </c>
      <c r="DJ661" s="127">
        <v>0</v>
      </c>
      <c r="DK661" s="127">
        <v>0</v>
      </c>
      <c r="DL661" s="127">
        <v>0</v>
      </c>
      <c r="DM661" s="304">
        <f>INDEX(Input!$1:$1048576,DM$93,$C661*2+6)</f>
        <v>20731.578947368424</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v>5.2355718915944607E-2</v>
      </c>
      <c r="DZ661" s="7">
        <v>0</v>
      </c>
      <c r="EA661" s="7">
        <v>0.82354007898078041</v>
      </c>
      <c r="EB661" s="7">
        <v>0</v>
      </c>
      <c r="EC661" s="7">
        <v>0</v>
      </c>
      <c r="ED661" s="7">
        <v>0</v>
      </c>
      <c r="EE661" s="7">
        <v>0</v>
      </c>
      <c r="EF661" s="7">
        <v>0</v>
      </c>
      <c r="EG661" s="7">
        <v>0</v>
      </c>
      <c r="EH661" s="7">
        <v>2.4201486890961778E-2</v>
      </c>
      <c r="EI661" s="7">
        <v>1.5801224232791167E-2</v>
      </c>
      <c r="EJ661" s="7">
        <v>0.2483571409043992</v>
      </c>
      <c r="EK661" s="7">
        <v>0.71164014797184738</v>
      </c>
      <c r="EL661" s="7">
        <v>0</v>
      </c>
      <c r="EM661" s="7">
        <v>2.4003059414234969E-2</v>
      </c>
      <c r="EN661" s="7">
        <v>3.7170339072396946E-2</v>
      </c>
      <c r="EO661" s="7">
        <v>0.37960223911146895</v>
      </c>
      <c r="EP661" s="7">
        <v>0.48395737565464447</v>
      </c>
      <c r="EQ661" s="7">
        <v>7.5209606091724154E-2</v>
      </c>
      <c r="ER661" s="7">
        <v>2.4060440069765827E-2</v>
      </c>
      <c r="ES661" s="7">
        <v>0.10010114268904005</v>
      </c>
      <c r="ET661" s="7">
        <v>0.12410420210327505</v>
      </c>
      <c r="EU661" s="6">
        <v>1500</v>
      </c>
      <c r="EV661" s="6">
        <v>0</v>
      </c>
      <c r="EW661" s="6">
        <v>1500</v>
      </c>
      <c r="EX661" s="6">
        <v>0</v>
      </c>
      <c r="EY661" s="6">
        <v>1809.7461860489566</v>
      </c>
      <c r="EZ661" s="6">
        <v>-1914.2676731795959</v>
      </c>
      <c r="FA661" s="6">
        <v>0</v>
      </c>
      <c r="FB661" s="6">
        <v>0</v>
      </c>
      <c r="FC661" s="6">
        <v>0</v>
      </c>
      <c r="FD661" s="6">
        <v>0</v>
      </c>
      <c r="FE661" s="6">
        <v>0</v>
      </c>
      <c r="FF661" s="6">
        <v>0</v>
      </c>
      <c r="FG661" s="6">
        <v>0</v>
      </c>
      <c r="FH661" s="6">
        <v>1158.6478494706632</v>
      </c>
      <c r="FI661" s="6">
        <v>1531.4299904380623</v>
      </c>
      <c r="FJ661" s="6">
        <v>2070.7205842538219</v>
      </c>
      <c r="FK661" s="6">
        <v>1746.9903521590441</v>
      </c>
      <c r="FL661" s="6">
        <v>0</v>
      </c>
      <c r="FM661" s="6">
        <v>1809.7461860489566</v>
      </c>
      <c r="FN661" s="6">
        <v>0</v>
      </c>
      <c r="FO661" s="6">
        <v>0</v>
      </c>
      <c r="FP661" s="6">
        <v>0</v>
      </c>
      <c r="FQ661" s="6">
        <v>0</v>
      </c>
      <c r="FR661" s="6">
        <v>0</v>
      </c>
      <c r="FS661" s="6">
        <v>0</v>
      </c>
      <c r="FT661" s="7">
        <v>0.875895797896725</v>
      </c>
      <c r="FU661" s="7">
        <v>2.4003059414234969E-2</v>
      </c>
      <c r="FV661" s="7">
        <v>0.10010114268904005</v>
      </c>
      <c r="FW661" s="6">
        <v>1500.0000000000002</v>
      </c>
      <c r="FX661" s="6">
        <v>1809.7461860489566</v>
      </c>
      <c r="FY661" s="6">
        <v>-1914.2676731795959</v>
      </c>
      <c r="FZ661" s="6">
        <v>1676.0854837363124</v>
      </c>
      <c r="GA661" s="6">
        <v>1165.6627605755384</v>
      </c>
      <c r="GB661" s="6">
        <v>18529.337239424462</v>
      </c>
      <c r="GC661" s="7">
        <v>6.4493561548621597E-2</v>
      </c>
      <c r="GD661" s="7">
        <v>6.0719212516855733E-2</v>
      </c>
      <c r="GE661" s="7"/>
      <c r="GF661" s="7"/>
      <c r="GG661" s="7">
        <v>-5.8522881061862091E-2</v>
      </c>
      <c r="GH661" s="42">
        <v>2.2581442600672053</v>
      </c>
      <c r="GI661" s="6">
        <v>9887.426178566313</v>
      </c>
      <c r="GJ661" s="14">
        <v>0.51596255589662321</v>
      </c>
      <c r="GK661" s="14">
        <v>0.51419567426615931</v>
      </c>
      <c r="GL661" s="14">
        <v>0.48403744410337668</v>
      </c>
      <c r="GM661" s="14">
        <v>0.48580432573384036</v>
      </c>
      <c r="GO661" s="5">
        <v>338.16872463277008</v>
      </c>
      <c r="GP661" s="5">
        <v>309.55158621923283</v>
      </c>
      <c r="GQ661" s="5">
        <v>527.27910984145694</v>
      </c>
      <c r="GR661" s="5">
        <v>404.20319246551543</v>
      </c>
      <c r="GS661" s="5">
        <v>334.50205195691484</v>
      </c>
      <c r="GT661" s="5">
        <v>289.18266033348181</v>
      </c>
      <c r="GU661" s="5">
        <v>254.29573314828914</v>
      </c>
      <c r="GV661" s="39" t="s">
        <v>392</v>
      </c>
      <c r="GW661" s="5">
        <v>492.375</v>
      </c>
      <c r="GX661" s="5">
        <v>369.28125</v>
      </c>
      <c r="GY661" s="5">
        <v>295.42500000000001</v>
      </c>
      <c r="GZ661" s="5">
        <v>260.68138716125202</v>
      </c>
      <c r="HA661" s="5">
        <v>254.29573314828914</v>
      </c>
      <c r="HB661" s="39">
        <v>276.63355222877465</v>
      </c>
      <c r="HC661" s="5">
        <v>366.86483570160732</v>
      </c>
      <c r="HD661" s="5">
        <v>293.48776275539944</v>
      </c>
      <c r="HE661" s="5">
        <v>290.53812703897881</v>
      </c>
      <c r="HF661" s="5">
        <v>261.97061428438337</v>
      </c>
      <c r="HG661" s="5">
        <v>244.26506461313522</v>
      </c>
      <c r="HH661" s="39">
        <v>291.23300337613034</v>
      </c>
      <c r="HI661" s="16"/>
      <c r="HJ661" s="19" t="str">
        <f t="shared" ref="HJ661:HK661" si="2070">HJ660</f>
        <v>On</v>
      </c>
      <c r="HK661" s="1" t="str">
        <f t="shared" si="2070"/>
        <v>On</v>
      </c>
      <c r="HL661" s="16"/>
      <c r="HM661" s="639">
        <f t="shared" si="2065"/>
        <v>4.9686942767030826E-2</v>
      </c>
      <c r="HN661" s="639">
        <f t="shared" si="2065"/>
        <v>2.6112822013589915E-3</v>
      </c>
      <c r="HO661" s="639">
        <f t="shared" si="2065"/>
        <v>3.166115353075552E-2</v>
      </c>
      <c r="HP661" s="644">
        <f t="shared" si="2063"/>
        <v>927.77616127096258</v>
      </c>
      <c r="HQ661" s="644">
        <f t="shared" si="2063"/>
        <v>99.401828212006592</v>
      </c>
      <c r="HR661" s="644">
        <f t="shared" si="2063"/>
        <v>-271.92794338424869</v>
      </c>
      <c r="HS661" s="644">
        <f t="shared" si="2063"/>
        <v>-186.2122042885955</v>
      </c>
      <c r="HT661" s="644">
        <f t="shared" si="2063"/>
        <v>323.31182275598235</v>
      </c>
      <c r="HU661" s="644">
        <f t="shared" si="2063"/>
        <v>22.793569024246334</v>
      </c>
      <c r="HV661" s="644">
        <f t="shared" si="2063"/>
        <v>0</v>
      </c>
      <c r="HW661" s="644">
        <f t="shared" si="2063"/>
        <v>0</v>
      </c>
      <c r="HX661" s="644">
        <f t="shared" si="2063"/>
        <v>0</v>
      </c>
      <c r="HY661" s="644">
        <f t="shared" si="2063"/>
        <v>2388</v>
      </c>
      <c r="HZ661" s="644">
        <f t="shared" si="2063"/>
        <v>2518</v>
      </c>
      <c r="IA661" s="644">
        <f t="shared" si="2063"/>
        <v>2200</v>
      </c>
      <c r="IB661" s="644">
        <f t="shared" si="2063"/>
        <v>3129.5639569823661</v>
      </c>
      <c r="IC661" s="644">
        <f t="shared" si="2063"/>
        <v>2940.7136509679895</v>
      </c>
      <c r="ID661" s="644">
        <f t="shared" si="2063"/>
        <v>1950.8656256399977</v>
      </c>
      <c r="IE661" s="20">
        <f t="shared" si="1977"/>
        <v>0.39016432768294279</v>
      </c>
      <c r="IF661" s="20">
        <f t="shared" si="1956"/>
        <v>0.36662026413555177</v>
      </c>
      <c r="IG661" s="20">
        <f t="shared" si="1957"/>
        <v>0.24321540818150536</v>
      </c>
      <c r="IH661" s="21"/>
      <c r="II661" s="19"/>
      <c r="IJ661" s="19"/>
      <c r="IK661" s="19"/>
      <c r="IL661" s="19">
        <f t="shared" si="1978"/>
        <v>1150</v>
      </c>
      <c r="IM661" s="19">
        <f t="shared" si="1978"/>
        <v>757.87035824260283</v>
      </c>
      <c r="IN661" s="19">
        <f t="shared" si="1978"/>
        <v>-67.219050029221762</v>
      </c>
      <c r="IO661" s="39"/>
      <c r="IP661" s="39"/>
      <c r="IQ661" s="39"/>
      <c r="IR661" s="39"/>
      <c r="IS661" s="39"/>
      <c r="IT661" s="39"/>
      <c r="IU661" s="39"/>
      <c r="IV661" s="39"/>
      <c r="IW661" s="39"/>
      <c r="IX661" s="19">
        <f t="shared" si="2066"/>
        <v>1600</v>
      </c>
      <c r="IY661" s="19">
        <f t="shared" si="2066"/>
        <v>2503.549291639752</v>
      </c>
      <c r="IZ661" s="19">
        <f t="shared" si="2066"/>
        <v>5888.3563810918577</v>
      </c>
      <c r="JA661" s="19">
        <f t="shared" si="2067"/>
        <v>2750</v>
      </c>
      <c r="JB661" s="19">
        <f t="shared" si="2067"/>
        <v>3261.4196498823549</v>
      </c>
      <c r="JC661" s="19">
        <f t="shared" si="2067"/>
        <v>5821.1373310626359</v>
      </c>
      <c r="JD661" s="19">
        <f t="shared" si="1981"/>
        <v>3684.4447266798379</v>
      </c>
      <c r="JE661" s="21"/>
      <c r="JF661" s="1">
        <f t="shared" si="1982"/>
        <v>6.8844376252282569E-2</v>
      </c>
      <c r="JG661" s="15">
        <f t="shared" si="1983"/>
        <v>7106</v>
      </c>
      <c r="JH661" s="1">
        <f t="shared" si="1984"/>
        <v>0.10628342894718837</v>
      </c>
      <c r="JI661" s="1">
        <f t="shared" si="1985"/>
        <v>2.250115219415046E-2</v>
      </c>
      <c r="JJ661" s="1">
        <f t="shared" si="1962"/>
        <v>0</v>
      </c>
      <c r="JK661" s="1">
        <f t="shared" si="1963"/>
        <v>0.12878458114133878</v>
      </c>
      <c r="JL661" s="15">
        <f t="shared" si="2068"/>
        <v>915.14323359035347</v>
      </c>
      <c r="JM661" s="15">
        <f t="shared" si="2068"/>
        <v>8021.1432335903537</v>
      </c>
      <c r="JN661" s="21"/>
      <c r="JO661" s="19">
        <f>INDEX([1]Input!$1:$1048576,JO$93,$C661*2+6)</f>
        <v>5995.5</v>
      </c>
      <c r="JP661" s="19">
        <f>INDEX([1]Input!$1:$1048576,JP$93,$C661*2+6)</f>
        <v>1716.3055838443925</v>
      </c>
      <c r="JQ661" s="39">
        <f t="shared" si="1995"/>
        <v>2311.0552733201621</v>
      </c>
      <c r="JR661" s="39">
        <f t="shared" si="1996"/>
        <v>1968.1391428354455</v>
      </c>
      <c r="JS661" s="39">
        <f t="shared" si="1997"/>
        <v>29.553458888945642</v>
      </c>
      <c r="JT661" s="39">
        <f t="shared" si="1987"/>
        <v>17.35739141014739</v>
      </c>
      <c r="JU661" s="385">
        <f>(JQ661*JM661-INDEX([1]Input!$1:$1048576,[1]Input!A$18,$C661*2+6)*JL661*INDEX([1]Input!$1:$1048576,[1]Input!A$19,$C661*2+6))/1000000</f>
        <v>18.537305368045324</v>
      </c>
      <c r="JV661" s="39">
        <f t="shared" si="1966"/>
        <v>-11.870650153156426</v>
      </c>
      <c r="JW661" s="1">
        <f t="shared" si="2000"/>
        <v>-0.39037975259072227</v>
      </c>
      <c r="JX661" s="19">
        <f t="shared" si="2001"/>
        <v>18966.857616429799</v>
      </c>
      <c r="JZ661" s="341"/>
      <c r="KA661" s="60"/>
      <c r="KB661" s="469">
        <f t="shared" si="1988"/>
        <v>0</v>
      </c>
      <c r="KI661" s="472"/>
      <c r="KJ661" s="472"/>
      <c r="KK661" s="472"/>
      <c r="KN661" s="888">
        <f t="shared" si="1989"/>
        <v>6002</v>
      </c>
      <c r="KO661" s="541">
        <f t="shared" si="1967"/>
        <v>4.9594881182411843E-2</v>
      </c>
      <c r="KP661" s="546">
        <f t="shared" si="1968"/>
        <v>344.72996128541956</v>
      </c>
      <c r="KQ661" s="546">
        <f t="shared" si="1969"/>
        <v>86.996236389911246</v>
      </c>
      <c r="KR661" s="472">
        <f t="shared" si="1970"/>
        <v>2.3158885043671198</v>
      </c>
      <c r="KS661" s="472">
        <f t="shared" si="1971"/>
        <v>9.1769045142786094</v>
      </c>
      <c r="KT661" s="473">
        <f t="shared" si="1998"/>
        <v>2521.945896759994</v>
      </c>
      <c r="KU661" s="663">
        <f t="shared" si="1990"/>
        <v>11.656005704401462</v>
      </c>
      <c r="KV661" s="117"/>
    </row>
    <row r="662" spans="1:308" s="26" customFormat="1" ht="15" outlineLevel="1">
      <c r="A662" s="561">
        <f t="shared" si="1972"/>
        <v>6062</v>
      </c>
      <c r="B662" s="561">
        <f t="shared" si="1991"/>
        <v>62</v>
      </c>
      <c r="C662" s="561">
        <f t="shared" si="1992"/>
        <v>6</v>
      </c>
      <c r="D662" s="561" t="str">
        <f t="shared" si="2028"/>
        <v xml:space="preserve">1000 CC, 0/0/0.9/3.9, -360 Lease, </v>
      </c>
      <c r="E662" s="475">
        <f>INDEX(Input!$1:$1048576,E$93,$C662*2+MIN($B662,2)+5)
+INDEX(Scenarios!E$121:E$200,MATCH($B662,Scenarios!$B$121:$B$200,0))</f>
        <v>2250</v>
      </c>
      <c r="F662" s="475">
        <f>INDEX(Input!$1:$1048576,F$93,$C662*2+MIN($B662,2)+5)
+INDEX(Scenarios!F$121:F$200,MATCH($B662,Scenarios!$B$121:$B$200,0))</f>
        <v>0</v>
      </c>
      <c r="G662" s="475">
        <f>INDEX(Input!$1:$1048576,G$93,$C662*2+MIN($B662,2)+5)
+INDEX(Scenarios!G$121:G$200,MATCH($B662,Scenarios!$B$121:$B$200,0))</f>
        <v>0</v>
      </c>
      <c r="H662" s="475">
        <f>INDEX(Input!$1:$1048576,H$93,$C662*2+MIN($B662,2)+5)
+INDEX(Scenarios!H$121:H$200,MATCH($B662,Scenarios!$B$121:$B$200,0))</f>
        <v>0</v>
      </c>
      <c r="I662" s="476">
        <f>INDEX(Input!$1:$1048576,I$93,$C662*2+MIN($B662,2)+5)</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+INDEX(Scenarios!Q$121:Q$200,MATCH($B662,Scenarios!$B$121:$B$200,0))</f>
        <v>0</v>
      </c>
      <c r="R662" s="478">
        <f>IFERROR(MAX(0,INDEX(Input!$1:$1048576,R$93,$C662*2+MIN($B662,2)+5)
+INDEX(Scenarios!R$121:R$200,MATCH($B662,Scenarios!$B$121:$B$200,0)),),"Market")</f>
        <v>0</v>
      </c>
      <c r="S662" s="478">
        <f>IFERROR(MAX(0,INDEX(Input!$1:$1048576,S$93,$C662*2+MIN($B662,2)+5)
+INDEX(Scenarios!S$121:S$200,MATCH($B662,Scenarios!$B$121:$B$200,0)),),"Market")</f>
        <v>0</v>
      </c>
      <c r="T662" s="478">
        <f>IFERROR(MAX(0,INDEX(Input!$1:$1048576,T$93,$C662*2+MIN($B662,2)+5)
+INDEX(Scenarios!T$121:T$200,MATCH($B662,Scenarios!$B$121:$B$200,0)),),"Market")</f>
        <v>0</v>
      </c>
      <c r="U662" s="478">
        <f>IFERROR(MAX(0,INDEX(Input!$1:$1048576,U$93,$C662*2+MIN($B662,2)+5)
+INDEX(Scenarios!U$121:U$200,MATCH($B662,Scenarios!$B$121:$B$200,0)),),"Market")</f>
        <v>0</v>
      </c>
      <c r="V662" s="478">
        <f>IFERROR(MAX(0,INDEX(Input!$1:$1048576,V$93,$C662*2+MIN($B662,2)+5)
+INDEX(Scenarios!V$121:V$200,MATCH($B662,Scenarios!$B$121:$B$200,0)),),"Market")</f>
        <v>8.9999999999999959E-3</v>
      </c>
      <c r="W662" s="863">
        <f>IFERROR(MAX(0,INDEX(Input!$1:$1048576,W$93,$C662*2+MIN($B662,2)+5)-0%,),"Market")</f>
        <v>3.9E-2</v>
      </c>
      <c r="X662" s="476" t="str">
        <f>INDEX(Input!$1:$1048576,X$93,$C662*2+MIN($B662,2)+5)</f>
        <v>Y</v>
      </c>
      <c r="Y662" s="475">
        <f>INDEX(Input!$1:$1048576,Y$93,$C662*2+MIN($B662,2)+5)
++INDEX(Scenarios!Y$121:Y$200,MATCH($B662,Scenarios!$B$121:$B$200,0))</f>
        <v>1979.3275155115825</v>
      </c>
      <c r="Z662" s="477">
        <f>INDEX(Input!$1:$1048576,Z$93,$C662*2+MIN($B662,2)+5)
+INDEX(Scenarios!Z$121:Z$200,MATCH($B662,Scenarios!$B$121:$B$200,0))</f>
        <v>0</v>
      </c>
      <c r="AA662" s="475">
        <f>INDEX(Input!$1:$1048576,AA$93,$C662*2+MIN($B662,2)+5)</f>
        <v>0</v>
      </c>
      <c r="AB662" s="476">
        <f>INDEX(Input!$1:$1048576,AB$93,$C662*2+MIN($B662,2)+5)</f>
        <v>1</v>
      </c>
      <c r="AC662" s="475">
        <f>INDEX(Input!$1:$1048576,AC$93,$C662*2+MIN($B662,2)+5)
+INDEX(Scenarios!AC$121:AC$200,MATCH($B662,Scenarios!$B$121:$B$200,0))</f>
        <v>0</v>
      </c>
      <c r="AD662" s="476">
        <f>INDEX(Input!$1:$1048576,AD$93,$C662*2+MIN($B662,2)+5)</f>
        <v>0.35</v>
      </c>
      <c r="AE662" s="475">
        <f>INDEX(Input!$1:$1048576,AE$93,$C662*2+MIN($B662,2)+5)
+INDEX(Scenarios!AE$121:AE$200,MATCH($B662,Scenarios!$B$121:$B$200,0))</f>
        <v>0</v>
      </c>
      <c r="AF662" s="476">
        <f>INDEX(Input!$1:$1048576,AF$93,$C662*2+MIN($B662,2)+5)</f>
        <v>1</v>
      </c>
      <c r="AG662" s="475">
        <f>INDEX(Input!$1:$1048576,AG$93,$C662*2+MIN($B662,2)+5)</f>
        <v>0</v>
      </c>
      <c r="AH662" s="476">
        <f>INDEX(Input!$1:$1048576,AH$93,$C662*2+MIN($B662,2)+5)</f>
        <v>1</v>
      </c>
      <c r="AI662" s="475">
        <f>INDEX(Input!$1:$1048576,AI$93,$C662*2+MIN($B662,2)+5)</f>
        <v>0</v>
      </c>
      <c r="AJ662" s="476">
        <f>INDEX(Input!$1:$1048576,AJ$93,$C662*2+MIN($B662,2)+5)</f>
        <v>0.35</v>
      </c>
      <c r="AK662" s="150">
        <f>ROUND(INDEX(Input!$1:$1048576,AK$93,$C661*2+MIN($B662,1)+5)+(Y662-VLOOKUP($C662*1000+1,$A:$HH,Y$92,FALSE)),0)</f>
        <v>4733</v>
      </c>
      <c r="AL662" s="150">
        <f>ROUND(INDEX(Input!$1:$1048576,AL$93,$C661*2+MIN($B662,1)+5)-(Y662-VLOOKUP($C662*1000+1,$A:$HH,Y$92,FALSE))/36,0)</f>
        <v>5227</v>
      </c>
      <c r="AM662" s="32" t="str">
        <f t="shared" si="1973"/>
        <v>std/std/std/std</v>
      </c>
      <c r="AN662" s="32" t="str">
        <f t="shared" si="1974"/>
        <v>$0 + 0/0/0/0.9/3.9</v>
      </c>
      <c r="AO662" s="32" t="str">
        <f t="shared" si="1975"/>
        <v>0/0/0/0.9/3.9</v>
      </c>
      <c r="AP662" s="32" t="str">
        <f t="shared" si="1939"/>
        <v>0/0/0.9/3.9</v>
      </c>
      <c r="AQ662" s="536">
        <f t="shared" si="1940"/>
        <v>0.40712059562923492</v>
      </c>
      <c r="AR662" s="32"/>
      <c r="AS662" s="302"/>
      <c r="AT662" s="3">
        <f t="shared" si="1993"/>
        <v>62</v>
      </c>
      <c r="AU662" s="41" t="s">
        <v>121</v>
      </c>
      <c r="AV662" s="41" t="s">
        <v>116</v>
      </c>
      <c r="AW662" s="41" t="str">
        <f>INDEX(Input!$1:$1048576,AW$93,$C662*2+6)</f>
        <v>Kia</v>
      </c>
      <c r="AX662" s="41" t="str">
        <f>INDEX(Input!$1:$1048576,AX$93,$C662*2+6)</f>
        <v>National</v>
      </c>
      <c r="AY662" s="41" t="str">
        <f>IF(LEN(D662)=0,"",INDEX(Input!$1:$1048576,AY$93,$C662*2+6))</f>
        <v>Compact Conventional/Sporty Car (43)</v>
      </c>
      <c r="AZ662" s="41" t="str">
        <f>INDEX(Input!$1:$1048576,AZ$93,$C662*2+6)</f>
        <v>Kia Forte</v>
      </c>
      <c r="BA662" s="3">
        <f>INDEX(Input!$1:$1048576,BA$93,$C662*2+6)</f>
        <v>2020</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19695</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941"/>
        <v>2465</v>
      </c>
      <c r="CJ662" s="16" t="str">
        <f>INDEX(Input!$1:$1048576,CJ$93,$C662*2+6)</f>
        <v>N</v>
      </c>
      <c r="CK662" s="1" t="str">
        <f t="shared" si="1942"/>
        <v>Market</v>
      </c>
      <c r="CL662" s="1" t="str">
        <f t="shared" si="1943"/>
        <v>Market</v>
      </c>
      <c r="CM662" s="1" t="str">
        <f t="shared" si="1944"/>
        <v>Market</v>
      </c>
      <c r="CN662" s="1" t="str">
        <f t="shared" si="1945"/>
        <v>Market</v>
      </c>
      <c r="CO662" s="1" t="str">
        <f t="shared" si="1946"/>
        <v>Market</v>
      </c>
      <c r="CP662" s="304">
        <f t="shared" si="1947"/>
        <v>0</v>
      </c>
      <c r="CQ662" s="1">
        <f t="shared" si="1948"/>
        <v>0</v>
      </c>
      <c r="CR662" s="1">
        <f t="shared" si="1949"/>
        <v>0</v>
      </c>
      <c r="CS662" s="1">
        <f t="shared" si="1950"/>
        <v>0</v>
      </c>
      <c r="CT662" s="1">
        <f t="shared" si="1951"/>
        <v>8.9999999999999959E-3</v>
      </c>
      <c r="CU662" s="1">
        <f t="shared" si="1952"/>
        <v>3.9E-2</v>
      </c>
      <c r="CV662" s="304">
        <f t="shared" si="2013"/>
        <v>1979.3275155115825</v>
      </c>
      <c r="CW662" s="20" t="s">
        <v>122</v>
      </c>
      <c r="CX662" s="20" t="s">
        <v>122</v>
      </c>
      <c r="CY662" s="20" t="s">
        <v>122</v>
      </c>
      <c r="CZ662" s="20" t="s">
        <v>122</v>
      </c>
      <c r="DA662" s="20" t="s">
        <v>122</v>
      </c>
      <c r="DB662" s="503">
        <f t="shared" si="2014"/>
        <v>0</v>
      </c>
      <c r="DC662" s="127">
        <v>0</v>
      </c>
      <c r="DD662" s="127">
        <v>0</v>
      </c>
      <c r="DE662" s="127">
        <v>0</v>
      </c>
      <c r="DF662" s="127">
        <v>0</v>
      </c>
      <c r="DG662" s="127">
        <v>0</v>
      </c>
      <c r="DH662" s="127">
        <v>0</v>
      </c>
      <c r="DI662" s="127">
        <v>0</v>
      </c>
      <c r="DJ662" s="127">
        <v>0</v>
      </c>
      <c r="DK662" s="127">
        <v>0</v>
      </c>
      <c r="DL662" s="127">
        <v>0</v>
      </c>
      <c r="DM662" s="304">
        <f>INDEX(Input!$1:$1048576,DM$93,$C662*2+6)</f>
        <v>20731.578947368424</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v>5.3063686411728622E-2</v>
      </c>
      <c r="DZ662" s="7">
        <v>0</v>
      </c>
      <c r="EA662" s="7">
        <v>0.834427267949713</v>
      </c>
      <c r="EB662" s="7">
        <v>0</v>
      </c>
      <c r="EC662" s="7">
        <v>0</v>
      </c>
      <c r="ED662" s="7">
        <v>0</v>
      </c>
      <c r="EE662" s="7">
        <v>0</v>
      </c>
      <c r="EF662" s="7">
        <v>0</v>
      </c>
      <c r="EG662" s="7">
        <v>0</v>
      </c>
      <c r="EH662" s="7">
        <v>2.4215514877209909E-2</v>
      </c>
      <c r="EI662" s="7">
        <v>1.5803642121427642E-2</v>
      </c>
      <c r="EJ662" s="7">
        <v>0.24850870335050421</v>
      </c>
      <c r="EK662" s="7">
        <v>0.7114721396508582</v>
      </c>
      <c r="EL662" s="7">
        <v>0</v>
      </c>
      <c r="EM662" s="7">
        <v>2.1756036754601173E-2</v>
      </c>
      <c r="EN662" s="7">
        <v>3.715807486735085E-2</v>
      </c>
      <c r="EO662" s="7">
        <v>0.37966302900780113</v>
      </c>
      <c r="EP662" s="7">
        <v>0.48390263473354173</v>
      </c>
      <c r="EQ662" s="7">
        <v>7.5212647918725492E-2</v>
      </c>
      <c r="ER662" s="7">
        <v>2.4063613472580653E-2</v>
      </c>
      <c r="ES662" s="7">
        <v>9.0753008883957251E-2</v>
      </c>
      <c r="ET662" s="7">
        <v>0.11250904563855839</v>
      </c>
      <c r="EU662" s="6">
        <v>1750</v>
      </c>
      <c r="EV662" s="6">
        <v>0</v>
      </c>
      <c r="EW662" s="6">
        <v>1750</v>
      </c>
      <c r="EX662" s="6">
        <v>0</v>
      </c>
      <c r="EY662" s="6">
        <v>1809.7867130894224</v>
      </c>
      <c r="EZ662" s="6">
        <v>-1914.2676731795959</v>
      </c>
      <c r="FA662" s="6">
        <v>0</v>
      </c>
      <c r="FB662" s="6">
        <v>0</v>
      </c>
      <c r="FC662" s="6">
        <v>0</v>
      </c>
      <c r="FD662" s="6">
        <v>0</v>
      </c>
      <c r="FE662" s="6">
        <v>0</v>
      </c>
      <c r="FF662" s="6">
        <v>0</v>
      </c>
      <c r="FG662" s="6">
        <v>0</v>
      </c>
      <c r="FH662" s="6">
        <v>1158.6576017347604</v>
      </c>
      <c r="FI662" s="6">
        <v>1531.4299904380623</v>
      </c>
      <c r="FJ662" s="6">
        <v>2070.7205842538237</v>
      </c>
      <c r="FK662" s="6">
        <v>1746.9903521590441</v>
      </c>
      <c r="FL662" s="6">
        <v>0</v>
      </c>
      <c r="FM662" s="6">
        <v>1809.7867130894224</v>
      </c>
      <c r="FN662" s="6">
        <v>0</v>
      </c>
      <c r="FO662" s="6">
        <v>0</v>
      </c>
      <c r="FP662" s="6">
        <v>0</v>
      </c>
      <c r="FQ662" s="6">
        <v>0</v>
      </c>
      <c r="FR662" s="6">
        <v>0</v>
      </c>
      <c r="FS662" s="6">
        <v>0</v>
      </c>
      <c r="FT662" s="7">
        <v>0.88749095436144165</v>
      </c>
      <c r="FU662" s="7">
        <v>2.1756036754601173E-2</v>
      </c>
      <c r="FV662" s="7">
        <v>9.0753008883957251E-2</v>
      </c>
      <c r="FW662" s="6">
        <v>1750</v>
      </c>
      <c r="FX662" s="6">
        <v>1809.7867130894224</v>
      </c>
      <c r="FY662" s="6">
        <v>-1914.2676731795959</v>
      </c>
      <c r="FZ662" s="6">
        <v>1676.0854837363124</v>
      </c>
      <c r="GA662" s="6">
        <v>1418.7574052301452</v>
      </c>
      <c r="GB662" s="6">
        <v>18276.242594769854</v>
      </c>
      <c r="GC662" s="7">
        <v>6.4493561548621597E-2</v>
      </c>
      <c r="GD662" s="7">
        <v>6.3683369876857243E-2</v>
      </c>
      <c r="GE662" s="7"/>
      <c r="GF662" s="7"/>
      <c r="GG662" s="7">
        <v>-1.256236517739142E-2</v>
      </c>
      <c r="GH662" s="42">
        <v>0.96147992712266084</v>
      </c>
      <c r="GI662" s="6">
        <v>21902.804387822431</v>
      </c>
      <c r="GJ662" s="14">
        <v>0.51596255589662343</v>
      </c>
      <c r="GK662" s="14">
        <v>0.51419567426615964</v>
      </c>
      <c r="GL662" s="14">
        <v>0.48403744410337673</v>
      </c>
      <c r="GM662" s="14">
        <v>0.48580432573384041</v>
      </c>
      <c r="GO662" s="5">
        <v>338.16872463277008</v>
      </c>
      <c r="GP662" s="5">
        <v>304.78206315030991</v>
      </c>
      <c r="GQ662" s="5">
        <v>527.27910984145694</v>
      </c>
      <c r="GR662" s="5">
        <v>404.20319246551543</v>
      </c>
      <c r="GS662" s="5">
        <v>334.50205195691484</v>
      </c>
      <c r="GT662" s="5">
        <v>289.18266033348181</v>
      </c>
      <c r="GU662" s="5">
        <v>254.29573314828914</v>
      </c>
      <c r="GV662" s="39" t="s">
        <v>392</v>
      </c>
      <c r="GW662" s="5">
        <v>492.375</v>
      </c>
      <c r="GX662" s="5">
        <v>369.28125</v>
      </c>
      <c r="GY662" s="5">
        <v>295.42500000000001</v>
      </c>
      <c r="GZ662" s="5">
        <v>260.68138716125202</v>
      </c>
      <c r="HA662" s="5">
        <v>254.29573314828914</v>
      </c>
      <c r="HB662" s="39">
        <v>276.64233083291208</v>
      </c>
      <c r="HC662" s="5">
        <v>366.86483570160732</v>
      </c>
      <c r="HD662" s="5">
        <v>293.48776275539944</v>
      </c>
      <c r="HE662" s="5">
        <v>290.53812703897881</v>
      </c>
      <c r="HF662" s="5">
        <v>261.97061428438337</v>
      </c>
      <c r="HG662" s="5">
        <v>244.26506461313522</v>
      </c>
      <c r="HH662" s="39">
        <v>291.23201285727583</v>
      </c>
      <c r="HI662" s="16"/>
      <c r="HJ662" s="19" t="str">
        <f t="shared" ref="HJ662:HK662" si="2071">HJ661</f>
        <v>On</v>
      </c>
      <c r="HK662" s="1" t="str">
        <f t="shared" si="2071"/>
        <v>On</v>
      </c>
      <c r="HL662" s="16"/>
      <c r="HM662" s="639">
        <f t="shared" si="2065"/>
        <v>4.9686942767030826E-2</v>
      </c>
      <c r="HN662" s="639">
        <f t="shared" si="2065"/>
        <v>2.6112822013589915E-3</v>
      </c>
      <c r="HO662" s="639">
        <f t="shared" si="2065"/>
        <v>3.166115353075552E-2</v>
      </c>
      <c r="HP662" s="644">
        <f t="shared" si="2063"/>
        <v>1158.0150237055097</v>
      </c>
      <c r="HQ662" s="644">
        <f t="shared" si="2063"/>
        <v>88.201954085565518</v>
      </c>
      <c r="HR662" s="644">
        <f t="shared" si="2063"/>
        <v>-317.87492719858653</v>
      </c>
      <c r="HS662" s="644">
        <f t="shared" si="2063"/>
        <v>-226.29116161484836</v>
      </c>
      <c r="HT662" s="644">
        <f t="shared" si="2063"/>
        <v>313.94274352745344</v>
      </c>
      <c r="HU662" s="644">
        <f t="shared" si="2063"/>
        <v>32.159946877898392</v>
      </c>
      <c r="HV662" s="644">
        <f t="shared" si="2063"/>
        <v>0</v>
      </c>
      <c r="HW662" s="644">
        <f t="shared" si="2063"/>
        <v>0</v>
      </c>
      <c r="HX662" s="644">
        <f t="shared" si="2063"/>
        <v>0</v>
      </c>
      <c r="HY662" s="644">
        <f t="shared" si="2063"/>
        <v>2388</v>
      </c>
      <c r="HZ662" s="644">
        <f t="shared" si="2063"/>
        <v>2518</v>
      </c>
      <c r="IA662" s="644">
        <f t="shared" si="2063"/>
        <v>2200</v>
      </c>
      <c r="IB662" s="644">
        <f t="shared" si="2063"/>
        <v>3319.7238620906614</v>
      </c>
      <c r="IC662" s="644">
        <f t="shared" si="2063"/>
        <v>2920.1446976130192</v>
      </c>
      <c r="ID662" s="644">
        <f t="shared" si="2063"/>
        <v>1914.285019679312</v>
      </c>
      <c r="IE662" s="20">
        <f t="shared" si="1977"/>
        <v>0.40712059562923492</v>
      </c>
      <c r="IF662" s="20">
        <f t="shared" si="1956"/>
        <v>0.3581174513313472</v>
      </c>
      <c r="IG662" s="20">
        <f t="shared" si="1957"/>
        <v>0.23476195303941799</v>
      </c>
      <c r="IH662" s="21"/>
      <c r="II662" s="19"/>
      <c r="IJ662" s="19"/>
      <c r="IK662" s="19"/>
      <c r="IL662" s="19">
        <f t="shared" si="1978"/>
        <v>1400</v>
      </c>
      <c r="IM662" s="19">
        <f t="shared" si="1978"/>
        <v>757.90421904857476</v>
      </c>
      <c r="IN662" s="19">
        <f t="shared" si="1978"/>
        <v>-65.72248652979215</v>
      </c>
      <c r="IO662" s="39"/>
      <c r="IP662" s="39"/>
      <c r="IQ662" s="39"/>
      <c r="IR662" s="39"/>
      <c r="IS662" s="39"/>
      <c r="IT662" s="39"/>
      <c r="IU662" s="39"/>
      <c r="IV662" s="39"/>
      <c r="IW662" s="39"/>
      <c r="IX662" s="19">
        <f t="shared" si="2066"/>
        <v>1600</v>
      </c>
      <c r="IY662" s="19">
        <f t="shared" si="2066"/>
        <v>2503.549291639752</v>
      </c>
      <c r="IZ662" s="19">
        <f t="shared" si="2066"/>
        <v>5888.3563810918577</v>
      </c>
      <c r="JA662" s="19">
        <f t="shared" si="2067"/>
        <v>3000</v>
      </c>
      <c r="JB662" s="19">
        <f t="shared" si="2067"/>
        <v>3261.4535106883268</v>
      </c>
      <c r="JC662" s="19">
        <f t="shared" si="2067"/>
        <v>5822.6338945620655</v>
      </c>
      <c r="JD662" s="19">
        <f t="shared" si="1981"/>
        <v>3756.2781106919861</v>
      </c>
      <c r="JE662" s="21"/>
      <c r="JF662" s="1">
        <f t="shared" si="1982"/>
        <v>6.8844376252282569E-2</v>
      </c>
      <c r="JG662" s="15">
        <f t="shared" si="1983"/>
        <v>7106</v>
      </c>
      <c r="JH662" s="1">
        <f t="shared" si="1984"/>
        <v>0.13064199980192637</v>
      </c>
      <c r="JI662" s="1">
        <f t="shared" si="1985"/>
        <v>1.6860614803054248E-2</v>
      </c>
      <c r="JJ662" s="1">
        <f t="shared" si="1962"/>
        <v>0</v>
      </c>
      <c r="JK662" s="1">
        <f t="shared" si="1963"/>
        <v>0.1475026146049806</v>
      </c>
      <c r="JL662" s="15">
        <f t="shared" si="2068"/>
        <v>1048.1535793829921</v>
      </c>
      <c r="JM662" s="15">
        <f t="shared" si="2068"/>
        <v>8154.1535793829917</v>
      </c>
      <c r="JN662" s="21"/>
      <c r="JO662" s="19">
        <f>INDEX([1]Input!$1:$1048576,JO$93,$C662*2+6)</f>
        <v>5995.5</v>
      </c>
      <c r="JP662" s="19">
        <f>INDEX([1]Input!$1:$1048576,JP$93,$C662*2+6)</f>
        <v>1716.3055838443925</v>
      </c>
      <c r="JQ662" s="39">
        <f t="shared" si="1995"/>
        <v>2239.2218893080139</v>
      </c>
      <c r="JR662" s="39">
        <f t="shared" si="1996"/>
        <v>2039.9725268475936</v>
      </c>
      <c r="JS662" s="39">
        <f t="shared" si="1997"/>
        <v>30.629268601457042</v>
      </c>
      <c r="JT662" s="39">
        <f t="shared" si="1987"/>
        <v>18.43320112265879</v>
      </c>
      <c r="JU662" s="385">
        <f>(JQ662*JM662-INDEX([1]Input!$1:$1048576,[1]Input!A$18,$C662*2+6)*JL662*INDEX([1]Input!$1:$1048576,[1]Input!A$19,$C662*2+6))/1000000</f>
        <v>18.258959183733687</v>
      </c>
      <c r="JV662" s="39">
        <f t="shared" si="1966"/>
        <v>-12.148996337468063</v>
      </c>
      <c r="JW662" s="1">
        <f t="shared" si="2000"/>
        <v>-0.3995334815915938</v>
      </c>
      <c r="JX662" s="19">
        <f t="shared" si="2001"/>
        <v>17586.355172788426</v>
      </c>
      <c r="JZ662" s="341"/>
      <c r="KA662" s="60"/>
      <c r="KB662" s="469">
        <f t="shared" si="1988"/>
        <v>0</v>
      </c>
      <c r="KI662" s="472"/>
      <c r="KJ662" s="472"/>
      <c r="KK662" s="472"/>
      <c r="KN662" s="26">
        <f t="shared" si="1989"/>
        <v>6002</v>
      </c>
      <c r="KO662" s="789">
        <f t="shared" si="1967"/>
        <v>6.6999754031910275E-2</v>
      </c>
      <c r="KP662" s="790">
        <f t="shared" si="1968"/>
        <v>459.29670903654471</v>
      </c>
      <c r="KQ662" s="790">
        <f t="shared" si="1969"/>
        <v>158.82962040205939</v>
      </c>
      <c r="KR662" s="26">
        <f t="shared" si="1970"/>
        <v>2.3482249501177366</v>
      </c>
      <c r="KS662" s="26">
        <f t="shared" si="1971"/>
        <v>6.790496564409068</v>
      </c>
      <c r="KT662" s="791">
        <f t="shared" si="1998"/>
        <v>2521.945896759994</v>
      </c>
      <c r="KU662" s="792">
        <f t="shared" si="1990"/>
        <v>11.70963722360236</v>
      </c>
      <c r="KV662" s="117"/>
    </row>
    <row r="663" spans="1:308" s="26" customFormat="1" ht="15" outlineLevel="1">
      <c r="A663" s="561">
        <f t="shared" si="1972"/>
        <v>6063</v>
      </c>
      <c r="B663" s="561">
        <f t="shared" si="1991"/>
        <v>63</v>
      </c>
      <c r="C663" s="561">
        <f t="shared" si="1992"/>
        <v>6</v>
      </c>
      <c r="D663" s="561" t="str">
        <f t="shared" si="2028"/>
        <v xml:space="preserve">-250 CC, 0/0/0.9/3.9, </v>
      </c>
      <c r="E663" s="475">
        <f>INDEX(Input!$1:$1048576,E$93,$C663*2+MIN($B663,2)+5)
+INDEX(Scenarios!E$121:E$200,MATCH($B663,Scenarios!$B$121:$B$200,0))</f>
        <v>1000.0000000000002</v>
      </c>
      <c r="F663" s="475">
        <f>INDEX(Input!$1:$1048576,F$93,$C663*2+MIN($B663,2)+5)
+INDEX(Scenarios!F$121:F$200,MATCH($B663,Scenarios!$B$121:$B$200,0))</f>
        <v>0</v>
      </c>
      <c r="G663" s="475">
        <f>INDEX(Input!$1:$1048576,G$93,$C663*2+MIN($B663,2)+5)
+INDEX(Scenarios!G$121:G$200,MATCH($B663,Scenarios!$B$121:$B$200,0))</f>
        <v>0</v>
      </c>
      <c r="H663" s="475">
        <f>INDEX(Input!$1:$1048576,H$93,$C663*2+MIN($B663,2)+5)
+INDEX(Scenarios!H$121:H$200,MATCH($B663,Scenarios!$B$121:$B$200,0))</f>
        <v>0</v>
      </c>
      <c r="I663" s="476">
        <f>INDEX(Input!$1:$1048576,I$93,$C663*2+MIN($B663,2)+5)</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+INDEX(Scenarios!Q$121:Q$200,MATCH($B663,Scenarios!$B$121:$B$200,0))</f>
        <v>0</v>
      </c>
      <c r="R663" s="478">
        <f>IFERROR(MAX(0,INDEX(Input!$1:$1048576,R$93,$C663*2+MIN($B663,2)+5)
+INDEX(Scenarios!R$121:R$200,MATCH($B663,Scenarios!$B$121:$B$200,0)),),"Market")</f>
        <v>0</v>
      </c>
      <c r="S663" s="478">
        <f>IFERROR(MAX(0,INDEX(Input!$1:$1048576,S$93,$C663*2+MIN($B663,2)+5)
+INDEX(Scenarios!S$121:S$200,MATCH($B663,Scenarios!$B$121:$B$200,0)),),"Market")</f>
        <v>0</v>
      </c>
      <c r="T663" s="478">
        <f>IFERROR(MAX(0,INDEX(Input!$1:$1048576,T$93,$C663*2+MIN($B663,2)+5)
+INDEX(Scenarios!T$121:T$200,MATCH($B663,Scenarios!$B$121:$B$200,0)),),"Market")</f>
        <v>0</v>
      </c>
      <c r="U663" s="478">
        <f>IFERROR(MAX(0,INDEX(Input!$1:$1048576,U$93,$C663*2+MIN($B663,2)+5)
+INDEX(Scenarios!U$121:U$200,MATCH($B663,Scenarios!$B$121:$B$200,0)),),"Market")</f>
        <v>0</v>
      </c>
      <c r="V663" s="478">
        <f>IFERROR(MAX(0,INDEX(Input!$1:$1048576,V$93,$C663*2+MIN($B663,2)+5)
+INDEX(Scenarios!V$121:V$200,MATCH($B663,Scenarios!$B$121:$B$200,0)),),"Market")</f>
        <v>8.9999999999999959E-3</v>
      </c>
      <c r="W663" s="863">
        <f>IFERROR(MAX(0,INDEX(Input!$1:$1048576,W$93,$C663*2+MIN($B663,2)+5)-0%,),"Market")</f>
        <v>3.9E-2</v>
      </c>
      <c r="X663" s="476" t="str">
        <f>INDEX(Input!$1:$1048576,X$93,$C663*2+MIN($B663,2)+5)</f>
        <v>Y</v>
      </c>
      <c r="Y663" s="475">
        <f>INDEX(Input!$1:$1048576,Y$93,$C663*2+MIN($B663,2)+5)
++INDEX(Scenarios!Y$121:Y$200,MATCH($B663,Scenarios!$B$121:$B$200,0))</f>
        <v>2339.3275155115825</v>
      </c>
      <c r="Z663" s="477">
        <f>INDEX(Input!$1:$1048576,Z$93,$C663*2+MIN($B663,2)+5)
+INDEX(Scenarios!Z$121:Z$200,MATCH($B663,Scenarios!$B$121:$B$200,0))</f>
        <v>0</v>
      </c>
      <c r="AA663" s="475">
        <f>INDEX(Input!$1:$1048576,AA$93,$C663*2+MIN($B663,2)+5)</f>
        <v>0</v>
      </c>
      <c r="AB663" s="476">
        <f>INDEX(Input!$1:$1048576,AB$93,$C663*2+MIN($B663,2)+5)</f>
        <v>1</v>
      </c>
      <c r="AC663" s="475">
        <f>INDEX(Input!$1:$1048576,AC$93,$C663*2+MIN($B663,2)+5)
+INDEX(Scenarios!AC$121:AC$200,MATCH($B663,Scenarios!$B$121:$B$200,0))</f>
        <v>0</v>
      </c>
      <c r="AD663" s="476">
        <f>INDEX(Input!$1:$1048576,AD$93,$C663*2+MIN($B663,2)+5)</f>
        <v>0.35</v>
      </c>
      <c r="AE663" s="475">
        <f>INDEX(Input!$1:$1048576,AE$93,$C663*2+MIN($B663,2)+5)
+INDEX(Scenarios!AE$121:AE$200,MATCH($B663,Scenarios!$B$121:$B$200,0))</f>
        <v>0</v>
      </c>
      <c r="AF663" s="476">
        <f>INDEX(Input!$1:$1048576,AF$93,$C663*2+MIN($B663,2)+5)</f>
        <v>1</v>
      </c>
      <c r="AG663" s="475">
        <f>INDEX(Input!$1:$1048576,AG$93,$C663*2+MIN($B663,2)+5)</f>
        <v>0</v>
      </c>
      <c r="AH663" s="476">
        <f>INDEX(Input!$1:$1048576,AH$93,$C663*2+MIN($B663,2)+5)</f>
        <v>1</v>
      </c>
      <c r="AI663" s="475">
        <f>INDEX(Input!$1:$1048576,AI$93,$C663*2+MIN($B663,2)+5)</f>
        <v>0</v>
      </c>
      <c r="AJ663" s="476">
        <f>INDEX(Input!$1:$1048576,AJ$93,$C663*2+MIN($B663,2)+5)</f>
        <v>0.35</v>
      </c>
      <c r="AK663" s="150">
        <f>ROUND(INDEX(Input!$1:$1048576,AK$93,$C662*2+MIN($B663,1)+5)+(Y663-VLOOKUP($C663*1000+1,$A:$HH,Y$92,FALSE)),0)</f>
        <v>5093</v>
      </c>
      <c r="AL663" s="150">
        <f>ROUND(INDEX(Input!$1:$1048576,AL$93,$C662*2+MIN($B663,1)+5)-(Y663-VLOOKUP($C663*1000+1,$A:$HH,Y$92,FALSE))/36,0)</f>
        <v>5217</v>
      </c>
      <c r="AM663" s="32" t="str">
        <f t="shared" si="1973"/>
        <v>std/std/std/std</v>
      </c>
      <c r="AN663" s="32" t="str">
        <f t="shared" si="1974"/>
        <v>$0 + 0/0/0/0.9/3.9</v>
      </c>
      <c r="AO663" s="32" t="str">
        <f t="shared" si="1975"/>
        <v>0/0/0/0.9/3.9</v>
      </c>
      <c r="AP663" s="32" t="str">
        <f t="shared" si="1939"/>
        <v>0/0/0.9/3.9</v>
      </c>
      <c r="AQ663" s="536">
        <f t="shared" si="1940"/>
        <v>0.30509887156915866</v>
      </c>
      <c r="AR663" s="32"/>
      <c r="AS663" s="302"/>
      <c r="AT663" s="3">
        <f t="shared" si="1993"/>
        <v>63</v>
      </c>
      <c r="AU663" s="41" t="s">
        <v>121</v>
      </c>
      <c r="AV663" s="41" t="s">
        <v>116</v>
      </c>
      <c r="AW663" s="41" t="str">
        <f>INDEX(Input!$1:$1048576,AW$93,$C663*2+6)</f>
        <v>Kia</v>
      </c>
      <c r="AX663" s="41" t="str">
        <f>INDEX(Input!$1:$1048576,AX$93,$C663*2+6)</f>
        <v>National</v>
      </c>
      <c r="AY663" s="41" t="str">
        <f>IF(LEN(D663)=0,"",INDEX(Input!$1:$1048576,AY$93,$C663*2+6))</f>
        <v>Compact Conventional/Sporty Car (43)</v>
      </c>
      <c r="AZ663" s="41" t="str">
        <f>INDEX(Input!$1:$1048576,AZ$93,$C663*2+6)</f>
        <v>Kia Forte</v>
      </c>
      <c r="BA663" s="3">
        <f>INDEX(Input!$1:$1048576,BA$93,$C663*2+6)</f>
        <v>2020</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19695</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941"/>
        <v>1215.0000000000002</v>
      </c>
      <c r="CJ663" s="16" t="str">
        <f>INDEX(Input!$1:$1048576,CJ$93,$C663*2+6)</f>
        <v>N</v>
      </c>
      <c r="CK663" s="1" t="str">
        <f t="shared" si="1942"/>
        <v>Market</v>
      </c>
      <c r="CL663" s="1" t="str">
        <f t="shared" si="1943"/>
        <v>Market</v>
      </c>
      <c r="CM663" s="1" t="str">
        <f t="shared" si="1944"/>
        <v>Market</v>
      </c>
      <c r="CN663" s="1" t="str">
        <f t="shared" si="1945"/>
        <v>Market</v>
      </c>
      <c r="CO663" s="1" t="str">
        <f t="shared" si="1946"/>
        <v>Market</v>
      </c>
      <c r="CP663" s="304">
        <f t="shared" si="1947"/>
        <v>0</v>
      </c>
      <c r="CQ663" s="1">
        <f t="shared" si="1948"/>
        <v>0</v>
      </c>
      <c r="CR663" s="1">
        <f t="shared" si="1949"/>
        <v>0</v>
      </c>
      <c r="CS663" s="1">
        <f t="shared" si="1950"/>
        <v>0</v>
      </c>
      <c r="CT663" s="1">
        <f t="shared" si="1951"/>
        <v>8.9999999999999959E-3</v>
      </c>
      <c r="CU663" s="1">
        <f t="shared" si="1952"/>
        <v>3.9E-2</v>
      </c>
      <c r="CV663" s="304">
        <f t="shared" si="2013"/>
        <v>2339.3275155115825</v>
      </c>
      <c r="CW663" s="20" t="s">
        <v>122</v>
      </c>
      <c r="CX663" s="20" t="s">
        <v>122</v>
      </c>
      <c r="CY663" s="20" t="s">
        <v>122</v>
      </c>
      <c r="CZ663" s="20" t="s">
        <v>122</v>
      </c>
      <c r="DA663" s="20" t="s">
        <v>122</v>
      </c>
      <c r="DB663" s="503">
        <f t="shared" si="2014"/>
        <v>0</v>
      </c>
      <c r="DC663" s="127">
        <v>0</v>
      </c>
      <c r="DD663" s="127">
        <v>0</v>
      </c>
      <c r="DE663" s="127">
        <v>0</v>
      </c>
      <c r="DF663" s="127">
        <v>0</v>
      </c>
      <c r="DG663" s="127">
        <v>0</v>
      </c>
      <c r="DH663" s="127">
        <v>0</v>
      </c>
      <c r="DI663" s="127">
        <v>0</v>
      </c>
      <c r="DJ663" s="127">
        <v>0</v>
      </c>
      <c r="DK663" s="127">
        <v>0</v>
      </c>
      <c r="DL663" s="127">
        <v>0</v>
      </c>
      <c r="DM663" s="304">
        <f>INDEX(Input!$1:$1048576,DM$93,$C663*2+6)</f>
        <v>20731.578947368424</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v>4.8181325703441254E-2</v>
      </c>
      <c r="DZ663" s="7">
        <v>0</v>
      </c>
      <c r="EA663" s="7">
        <v>0.75852972233727767</v>
      </c>
      <c r="EB663" s="7">
        <v>0</v>
      </c>
      <c r="EC663" s="7">
        <v>0</v>
      </c>
      <c r="ED663" s="7">
        <v>0</v>
      </c>
      <c r="EE663" s="7">
        <v>0</v>
      </c>
      <c r="EF663" s="7">
        <v>0</v>
      </c>
      <c r="EG663" s="7">
        <v>0</v>
      </c>
      <c r="EH663" s="7">
        <v>2.4133531295909831E-2</v>
      </c>
      <c r="EI663" s="7">
        <v>1.5787506633269961E-2</v>
      </c>
      <c r="EJ663" s="7">
        <v>0.24763160630575828</v>
      </c>
      <c r="EK663" s="7">
        <v>0.71244735576506169</v>
      </c>
      <c r="EL663" s="7">
        <v>0</v>
      </c>
      <c r="EM663" s="7">
        <v>3.4510552558288055E-2</v>
      </c>
      <c r="EN663" s="7">
        <v>3.6771866198823326E-2</v>
      </c>
      <c r="EO663" s="7">
        <v>0.38201165302845869</v>
      </c>
      <c r="EP663" s="7">
        <v>0.48277444958312521</v>
      </c>
      <c r="EQ663" s="7">
        <v>7.4708822523171473E-2</v>
      </c>
      <c r="ER663" s="7">
        <v>2.3733208666421434E-2</v>
      </c>
      <c r="ES663" s="7">
        <v>0.15877839940099295</v>
      </c>
      <c r="ET663" s="7">
        <v>0.19328895195928109</v>
      </c>
      <c r="EU663" s="6">
        <v>500</v>
      </c>
      <c r="EV663" s="6">
        <v>0</v>
      </c>
      <c r="EW663" s="6">
        <v>500</v>
      </c>
      <c r="EX663" s="6">
        <v>0</v>
      </c>
      <c r="EY663" s="6">
        <v>1809.5531115435178</v>
      </c>
      <c r="EZ663" s="6">
        <v>-1554.2676731795959</v>
      </c>
      <c r="FA663" s="6">
        <v>0</v>
      </c>
      <c r="FB663" s="6">
        <v>0</v>
      </c>
      <c r="FC663" s="6">
        <v>0</v>
      </c>
      <c r="FD663" s="6">
        <v>0</v>
      </c>
      <c r="FE663" s="6">
        <v>0</v>
      </c>
      <c r="FF663" s="6">
        <v>0</v>
      </c>
      <c r="FG663" s="6">
        <v>0</v>
      </c>
      <c r="FH663" s="6">
        <v>1158.6008129639445</v>
      </c>
      <c r="FI663" s="6">
        <v>1531.4299904380618</v>
      </c>
      <c r="FJ663" s="6">
        <v>2070.7205842538219</v>
      </c>
      <c r="FK663" s="6">
        <v>1746.9903521590434</v>
      </c>
      <c r="FL663" s="6">
        <v>0</v>
      </c>
      <c r="FM663" s="6">
        <v>1809.5531115435178</v>
      </c>
      <c r="FN663" s="6">
        <v>0</v>
      </c>
      <c r="FO663" s="6">
        <v>0</v>
      </c>
      <c r="FP663" s="6">
        <v>0</v>
      </c>
      <c r="FQ663" s="6">
        <v>0</v>
      </c>
      <c r="FR663" s="6">
        <v>0</v>
      </c>
      <c r="FS663" s="6">
        <v>0</v>
      </c>
      <c r="FT663" s="7">
        <v>0.80671104804071891</v>
      </c>
      <c r="FU663" s="7">
        <v>3.4510552558288055E-2</v>
      </c>
      <c r="FV663" s="7">
        <v>0.15877839940099295</v>
      </c>
      <c r="FW663" s="6">
        <v>500.00000000000006</v>
      </c>
      <c r="FX663" s="6">
        <v>1809.5531115435178</v>
      </c>
      <c r="FY663" s="6">
        <v>-1554.2676731795959</v>
      </c>
      <c r="FZ663" s="6">
        <v>1676.0854837363124</v>
      </c>
      <c r="GA663" s="6">
        <v>219.0200683951339</v>
      </c>
      <c r="GB663" s="6">
        <v>19475.979931604867</v>
      </c>
      <c r="GC663" s="7">
        <v>6.4493561548621597E-2</v>
      </c>
      <c r="GD663" s="7">
        <v>5.0831491429245992E-2</v>
      </c>
      <c r="GE663" s="7"/>
      <c r="GF663" s="7"/>
      <c r="GG663" s="7">
        <v>-0.21183618630017495</v>
      </c>
      <c r="GH663" s="42">
        <v>2.863367454374055</v>
      </c>
      <c r="GI663" s="6">
        <v>7097.2850182583052</v>
      </c>
      <c r="GJ663" s="14">
        <v>0.51596255589662321</v>
      </c>
      <c r="GK663" s="14">
        <v>0.51419567426615953</v>
      </c>
      <c r="GL663" s="14">
        <v>0.48403744410337651</v>
      </c>
      <c r="GM663" s="14">
        <v>0.48580432573384053</v>
      </c>
      <c r="GO663" s="5">
        <v>338.16872463277008</v>
      </c>
      <c r="GP663" s="5">
        <v>328.62967849492429</v>
      </c>
      <c r="GQ663" s="5">
        <v>527.27910984145694</v>
      </c>
      <c r="GR663" s="5">
        <v>404.20319246551543</v>
      </c>
      <c r="GS663" s="5">
        <v>334.50205195691484</v>
      </c>
      <c r="GT663" s="5">
        <v>289.18266033348181</v>
      </c>
      <c r="GU663" s="5">
        <v>254.29573314828914</v>
      </c>
      <c r="GV663" s="39" t="s">
        <v>392</v>
      </c>
      <c r="GW663" s="5">
        <v>492.375</v>
      </c>
      <c r="GX663" s="5">
        <v>369.28125</v>
      </c>
      <c r="GY663" s="5">
        <v>295.42500000000001</v>
      </c>
      <c r="GZ663" s="5">
        <v>260.68138716125202</v>
      </c>
      <c r="HA663" s="5">
        <v>254.29573314828914</v>
      </c>
      <c r="HB663" s="39">
        <v>276.59110992882177</v>
      </c>
      <c r="HC663" s="5">
        <v>351.11483570160732</v>
      </c>
      <c r="HD663" s="5">
        <v>282.73776275539944</v>
      </c>
      <c r="HE663" s="5">
        <v>280.55735780820959</v>
      </c>
      <c r="HF663" s="5">
        <v>253.64561428438338</v>
      </c>
      <c r="HG663" s="5">
        <v>237.36506461313525</v>
      </c>
      <c r="HH663" s="39">
        <v>280.94919166488893</v>
      </c>
      <c r="HI663" s="16"/>
      <c r="HJ663" s="19" t="str">
        <f t="shared" ref="HJ663:HK663" si="2072">HJ662</f>
        <v>On</v>
      </c>
      <c r="HK663" s="1" t="str">
        <f t="shared" si="2072"/>
        <v>On</v>
      </c>
      <c r="HL663" s="16"/>
      <c r="HM663" s="639">
        <f t="shared" si="2065"/>
        <v>4.9686942767030826E-2</v>
      </c>
      <c r="HN663" s="639">
        <f t="shared" si="2065"/>
        <v>2.6112822013589915E-3</v>
      </c>
      <c r="HO663" s="639">
        <f t="shared" si="2065"/>
        <v>3.166115353075552E-2</v>
      </c>
      <c r="HP663" s="644">
        <f t="shared" si="2063"/>
        <v>5.0565374709964566</v>
      </c>
      <c r="HQ663" s="644">
        <f t="shared" si="2063"/>
        <v>138.46870636757393</v>
      </c>
      <c r="HR663" s="644">
        <f t="shared" si="2063"/>
        <v>96.802917691927618</v>
      </c>
      <c r="HS663" s="644">
        <f t="shared" si="2063"/>
        <v>-25.896402023860944</v>
      </c>
      <c r="HT663" s="644">
        <f t="shared" si="2063"/>
        <v>360.79691619450017</v>
      </c>
      <c r="HU663" s="644">
        <f t="shared" si="2063"/>
        <v>77.436976756239545</v>
      </c>
      <c r="HV663" s="644">
        <f t="shared" si="2063"/>
        <v>0</v>
      </c>
      <c r="HW663" s="644">
        <f t="shared" si="2063"/>
        <v>0</v>
      </c>
      <c r="HX663" s="644">
        <f t="shared" si="2063"/>
        <v>0</v>
      </c>
      <c r="HY663" s="644">
        <f t="shared" si="2063"/>
        <v>2388</v>
      </c>
      <c r="HZ663" s="644">
        <f t="shared" si="2063"/>
        <v>2518</v>
      </c>
      <c r="IA663" s="644">
        <f t="shared" si="2063"/>
        <v>2200</v>
      </c>
      <c r="IB663" s="644">
        <f t="shared" si="2063"/>
        <v>2367.1601354471354</v>
      </c>
      <c r="IC663" s="644">
        <f t="shared" si="2063"/>
        <v>3017.265622562074</v>
      </c>
      <c r="ID663" s="644">
        <f t="shared" si="2063"/>
        <v>2374.239894448167</v>
      </c>
      <c r="IE663" s="20">
        <f t="shared" si="1977"/>
        <v>0.30509887156915866</v>
      </c>
      <c r="IF663" s="20">
        <f t="shared" si="1956"/>
        <v>0.38888975987854635</v>
      </c>
      <c r="IG663" s="20">
        <f t="shared" si="1957"/>
        <v>0.3060113685522951</v>
      </c>
      <c r="IH663" s="21"/>
      <c r="II663" s="19"/>
      <c r="IJ663" s="19"/>
      <c r="IK663" s="19"/>
      <c r="IL663" s="19">
        <f t="shared" si="1978"/>
        <v>150</v>
      </c>
      <c r="IM663" s="19">
        <f t="shared" si="1978"/>
        <v>757.79224133903517</v>
      </c>
      <c r="IN663" s="19">
        <f t="shared" si="1978"/>
        <v>282.82646964771629</v>
      </c>
      <c r="IO663" s="39"/>
      <c r="IP663" s="39"/>
      <c r="IQ663" s="39"/>
      <c r="IR663" s="39"/>
      <c r="IS663" s="39"/>
      <c r="IT663" s="39"/>
      <c r="IU663" s="39"/>
      <c r="IV663" s="39"/>
      <c r="IW663" s="39"/>
      <c r="IX663" s="19">
        <f t="shared" si="2066"/>
        <v>1600</v>
      </c>
      <c r="IY663" s="19">
        <f t="shared" si="2066"/>
        <v>2503.549291639752</v>
      </c>
      <c r="IZ663" s="19">
        <f t="shared" si="2066"/>
        <v>5888.3563810918577</v>
      </c>
      <c r="JA663" s="19">
        <f t="shared" si="2067"/>
        <v>1750</v>
      </c>
      <c r="JB663" s="19">
        <f t="shared" si="2067"/>
        <v>3261.3415329787872</v>
      </c>
      <c r="JC663" s="19">
        <f t="shared" si="2067"/>
        <v>6171.182850739574</v>
      </c>
      <c r="JD663" s="19">
        <f t="shared" si="1981"/>
        <v>3690.6774606293493</v>
      </c>
      <c r="JE663" s="21"/>
      <c r="JF663" s="1">
        <f t="shared" si="1982"/>
        <v>6.8844376252282569E-2</v>
      </c>
      <c r="JG663" s="15">
        <f t="shared" si="1983"/>
        <v>7106</v>
      </c>
      <c r="JH663" s="1">
        <f t="shared" si="1984"/>
        <v>3.3820456168097097E-2</v>
      </c>
      <c r="JI663" s="1">
        <f t="shared" si="1985"/>
        <v>5.8026666328015591E-2</v>
      </c>
      <c r="JJ663" s="1">
        <f t="shared" si="1962"/>
        <v>0</v>
      </c>
      <c r="JK663" s="1">
        <f t="shared" si="1963"/>
        <v>9.1847122496112682E-2</v>
      </c>
      <c r="JL663" s="15">
        <f t="shared" si="2068"/>
        <v>652.66565245737672</v>
      </c>
      <c r="JM663" s="15">
        <f t="shared" si="2068"/>
        <v>7758.6656524573764</v>
      </c>
      <c r="JN663" s="21"/>
      <c r="JO663" s="19">
        <f>INDEX([1]Input!$1:$1048576,JO$93,$C663*2+6)</f>
        <v>5995.5</v>
      </c>
      <c r="JP663" s="19">
        <f>INDEX([1]Input!$1:$1048576,JP$93,$C663*2+6)</f>
        <v>1716.3055838443925</v>
      </c>
      <c r="JQ663" s="39">
        <f t="shared" si="1995"/>
        <v>2304.8225393706507</v>
      </c>
      <c r="JR663" s="39">
        <f t="shared" si="1996"/>
        <v>1974.3718767849568</v>
      </c>
      <c r="JS663" s="39">
        <f t="shared" si="1997"/>
        <v>28.634732448083543</v>
      </c>
      <c r="JT663" s="39">
        <f t="shared" si="1987"/>
        <v>16.438664969285288</v>
      </c>
      <c r="JU663" s="385">
        <f>(JQ663*JM663-INDEX([1]Input!$1:$1048576,[1]Input!A$18,$C663*2+6)*JL663*INDEX([1]Input!$1:$1048576,[1]Input!A$19,$C663*2+6))/1000000</f>
        <v>17.882347471224659</v>
      </c>
      <c r="JV663" s="39">
        <f t="shared" si="1966"/>
        <v>-12.525608049977091</v>
      </c>
      <c r="JW663" s="1">
        <f t="shared" si="2000"/>
        <v>-0.4119187835973942</v>
      </c>
      <c r="JX663" s="19">
        <f t="shared" si="2001"/>
        <v>25186.961972629379</v>
      </c>
      <c r="JZ663" s="341"/>
      <c r="KA663" s="60"/>
      <c r="KB663" s="469">
        <f t="shared" si="1988"/>
        <v>0</v>
      </c>
      <c r="KI663" s="472"/>
      <c r="KJ663" s="472"/>
      <c r="KK663" s="472"/>
      <c r="KN663" s="26">
        <f t="shared" si="1989"/>
        <v>6002</v>
      </c>
      <c r="KO663" s="789">
        <f t="shared" si="1967"/>
        <v>1.5248763981983826E-2</v>
      </c>
      <c r="KP663" s="790">
        <f t="shared" si="1968"/>
        <v>70.472411018961608</v>
      </c>
      <c r="KQ663" s="790">
        <f t="shared" si="1969"/>
        <v>93.228970339422631</v>
      </c>
      <c r="KR663" s="26">
        <f t="shared" si="1970"/>
        <v>3.4831753321643797</v>
      </c>
      <c r="KS663" s="26">
        <f t="shared" si="1971"/>
        <v>2.6329558587390971</v>
      </c>
      <c r="KT663" s="791">
        <f t="shared" si="1998"/>
        <v>2521.945896759994</v>
      </c>
      <c r="KU663" s="792">
        <f t="shared" si="1990"/>
        <v>11.080922807330291</v>
      </c>
      <c r="KV663" s="117"/>
    </row>
    <row r="664" spans="1:308" s="26" customFormat="1" ht="15" outlineLevel="1">
      <c r="A664" s="561">
        <f t="shared" si="1972"/>
        <v>6064</v>
      </c>
      <c r="B664" s="561">
        <f t="shared" si="1991"/>
        <v>64</v>
      </c>
      <c r="C664" s="561">
        <f t="shared" si="1992"/>
        <v>6</v>
      </c>
      <c r="D664" s="561" t="str">
        <f t="shared" si="2028"/>
        <v xml:space="preserve">-500 CC, 0/0/0.9/3.9, </v>
      </c>
      <c r="E664" s="475">
        <f>INDEX(Input!$1:$1048576,E$93,$C664*2+MIN($B664,2)+5)
+INDEX(Scenarios!E$121:E$200,MATCH($B664,Scenarios!$B$121:$B$200,0))</f>
        <v>750.00000000000023</v>
      </c>
      <c r="F664" s="475">
        <f>INDEX(Input!$1:$1048576,F$93,$C664*2+MIN($B664,2)+5)
+INDEX(Scenarios!F$121:F$200,MATCH($B664,Scenarios!$B$121:$B$200,0))</f>
        <v>0</v>
      </c>
      <c r="G664" s="475">
        <f>INDEX(Input!$1:$1048576,G$93,$C664*2+MIN($B664,2)+5)
+INDEX(Scenarios!G$121:G$200,MATCH($B664,Scenarios!$B$121:$B$200,0))</f>
        <v>0</v>
      </c>
      <c r="H664" s="475">
        <f>INDEX(Input!$1:$1048576,H$93,$C664*2+MIN($B664,2)+5)
+INDEX(Scenarios!H$121:H$200,MATCH($B664,Scenarios!$B$121:$B$200,0))</f>
        <v>0</v>
      </c>
      <c r="I664" s="476">
        <f>INDEX(Input!$1:$1048576,I$93,$C664*2+MIN($B664,2)+5)</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+INDEX(Scenarios!Q$121:Q$200,MATCH($B664,Scenarios!$B$121:$B$200,0))</f>
        <v>0</v>
      </c>
      <c r="R664" s="478">
        <f>IFERROR(MAX(0,INDEX(Input!$1:$1048576,R$93,$C664*2+MIN($B664,2)+5)
+INDEX(Scenarios!R$121:R$200,MATCH($B664,Scenarios!$B$121:$B$200,0)),),"Market")</f>
        <v>0</v>
      </c>
      <c r="S664" s="478">
        <f>IFERROR(MAX(0,INDEX(Input!$1:$1048576,S$93,$C664*2+MIN($B664,2)+5)
+INDEX(Scenarios!S$121:S$200,MATCH($B664,Scenarios!$B$121:$B$200,0)),),"Market")</f>
        <v>0</v>
      </c>
      <c r="T664" s="478">
        <f>IFERROR(MAX(0,INDEX(Input!$1:$1048576,T$93,$C664*2+MIN($B664,2)+5)
+INDEX(Scenarios!T$121:T$200,MATCH($B664,Scenarios!$B$121:$B$200,0)),),"Market")</f>
        <v>0</v>
      </c>
      <c r="U664" s="478">
        <f>IFERROR(MAX(0,INDEX(Input!$1:$1048576,U$93,$C664*2+MIN($B664,2)+5)
+INDEX(Scenarios!U$121:U$200,MATCH($B664,Scenarios!$B$121:$B$200,0)),),"Market")</f>
        <v>0</v>
      </c>
      <c r="V664" s="478">
        <f>IFERROR(MAX(0,INDEX(Input!$1:$1048576,V$93,$C664*2+MIN($B664,2)+5)
+INDEX(Scenarios!V$121:V$200,MATCH($B664,Scenarios!$B$121:$B$200,0)),),"Market")</f>
        <v>8.9999999999999959E-3</v>
      </c>
      <c r="W664" s="863">
        <f>IFERROR(MAX(0,INDEX(Input!$1:$1048576,W$93,$C664*2+MIN($B664,2)+5)-0%,),"Market")</f>
        <v>3.9E-2</v>
      </c>
      <c r="X664" s="476" t="str">
        <f>INDEX(Input!$1:$1048576,X$93,$C664*2+MIN($B664,2)+5)</f>
        <v>Y</v>
      </c>
      <c r="Y664" s="475">
        <f>INDEX(Input!$1:$1048576,Y$93,$C664*2+MIN($B664,2)+5)
++INDEX(Scenarios!Y$121:Y$200,MATCH($B664,Scenarios!$B$121:$B$200,0))</f>
        <v>2339.3275155115825</v>
      </c>
      <c r="Z664" s="477">
        <f>INDEX(Input!$1:$1048576,Z$93,$C664*2+MIN($B664,2)+5)
+INDEX(Scenarios!Z$121:Z$200,MATCH($B664,Scenarios!$B$121:$B$200,0))</f>
        <v>0</v>
      </c>
      <c r="AA664" s="475">
        <f>INDEX(Input!$1:$1048576,AA$93,$C664*2+MIN($B664,2)+5)</f>
        <v>0</v>
      </c>
      <c r="AB664" s="476">
        <f>INDEX(Input!$1:$1048576,AB$93,$C664*2+MIN($B664,2)+5)</f>
        <v>1</v>
      </c>
      <c r="AC664" s="475">
        <f>INDEX(Input!$1:$1048576,AC$93,$C664*2+MIN($B664,2)+5)
+INDEX(Scenarios!AC$121:AC$200,MATCH($B664,Scenarios!$B$121:$B$200,0))</f>
        <v>0</v>
      </c>
      <c r="AD664" s="476">
        <f>INDEX(Input!$1:$1048576,AD$93,$C664*2+MIN($B664,2)+5)</f>
        <v>0.35</v>
      </c>
      <c r="AE664" s="475">
        <f>INDEX(Input!$1:$1048576,AE$93,$C664*2+MIN($B664,2)+5)
+INDEX(Scenarios!AE$121:AE$200,MATCH($B664,Scenarios!$B$121:$B$200,0))</f>
        <v>0</v>
      </c>
      <c r="AF664" s="476">
        <f>INDEX(Input!$1:$1048576,AF$93,$C664*2+MIN($B664,2)+5)</f>
        <v>1</v>
      </c>
      <c r="AG664" s="475">
        <f>INDEX(Input!$1:$1048576,AG$93,$C664*2+MIN($B664,2)+5)</f>
        <v>0</v>
      </c>
      <c r="AH664" s="476">
        <f>INDEX(Input!$1:$1048576,AH$93,$C664*2+MIN($B664,2)+5)</f>
        <v>1</v>
      </c>
      <c r="AI664" s="475">
        <f>INDEX(Input!$1:$1048576,AI$93,$C664*2+MIN($B664,2)+5)</f>
        <v>0</v>
      </c>
      <c r="AJ664" s="476">
        <f>INDEX(Input!$1:$1048576,AJ$93,$C664*2+MIN($B664,2)+5)</f>
        <v>0.35</v>
      </c>
      <c r="AK664" s="150">
        <f>ROUND(INDEX(Input!$1:$1048576,AK$93,$C663*2+MIN($B664,1)+5)+(Y664-VLOOKUP($C664*1000+1,$A:$HH,Y$92,FALSE)),0)</f>
        <v>5093</v>
      </c>
      <c r="AL664" s="150">
        <f>ROUND(INDEX(Input!$1:$1048576,AL$93,$C663*2+MIN($B664,1)+5)-(Y664-VLOOKUP($C664*1000+1,$A:$HH,Y$92,FALSE))/36,0)</f>
        <v>5217</v>
      </c>
      <c r="AM664" s="32" t="str">
        <f t="shared" si="1973"/>
        <v>std/std/std/std</v>
      </c>
      <c r="AN664" s="32" t="str">
        <f t="shared" si="1974"/>
        <v>$0 + 0/0/0/0.9/3.9</v>
      </c>
      <c r="AO664" s="32" t="str">
        <f t="shared" si="1975"/>
        <v>0/0/0/0.9/3.9</v>
      </c>
      <c r="AP664" s="32" t="str">
        <f t="shared" si="1939"/>
        <v>0/0/0.9/3.9</v>
      </c>
      <c r="AQ664" s="536">
        <f t="shared" si="1940"/>
        <v>0.28854635668391126</v>
      </c>
      <c r="AR664" s="32"/>
      <c r="AS664" s="302"/>
      <c r="AT664" s="3">
        <f t="shared" si="1993"/>
        <v>64</v>
      </c>
      <c r="AU664" s="41" t="s">
        <v>121</v>
      </c>
      <c r="AV664" s="41" t="s">
        <v>116</v>
      </c>
      <c r="AW664" s="41" t="str">
        <f>INDEX(Input!$1:$1048576,AW$93,$C664*2+6)</f>
        <v>Kia</v>
      </c>
      <c r="AX664" s="41" t="str">
        <f>INDEX(Input!$1:$1048576,AX$93,$C664*2+6)</f>
        <v>National</v>
      </c>
      <c r="AY664" s="41" t="str">
        <f>IF(LEN(D664)=0,"",INDEX(Input!$1:$1048576,AY$93,$C664*2+6))</f>
        <v>Compact Conventional/Sporty Car (43)</v>
      </c>
      <c r="AZ664" s="41" t="str">
        <f>INDEX(Input!$1:$1048576,AZ$93,$C664*2+6)</f>
        <v>Kia Forte</v>
      </c>
      <c r="BA664" s="3">
        <f>INDEX(Input!$1:$1048576,BA$93,$C664*2+6)</f>
        <v>2020</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19695</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941"/>
        <v>965.00000000000023</v>
      </c>
      <c r="CJ664" s="16" t="str">
        <f>INDEX(Input!$1:$1048576,CJ$93,$C664*2+6)</f>
        <v>N</v>
      </c>
      <c r="CK664" s="1" t="str">
        <f t="shared" si="1942"/>
        <v>Market</v>
      </c>
      <c r="CL664" s="1" t="str">
        <f t="shared" si="1943"/>
        <v>Market</v>
      </c>
      <c r="CM664" s="1" t="str">
        <f t="shared" si="1944"/>
        <v>Market</v>
      </c>
      <c r="CN664" s="1" t="str">
        <f t="shared" si="1945"/>
        <v>Market</v>
      </c>
      <c r="CO664" s="1" t="str">
        <f t="shared" si="1946"/>
        <v>Market</v>
      </c>
      <c r="CP664" s="304">
        <f t="shared" si="1947"/>
        <v>0</v>
      </c>
      <c r="CQ664" s="1">
        <f t="shared" si="1948"/>
        <v>0</v>
      </c>
      <c r="CR664" s="1">
        <f t="shared" si="1949"/>
        <v>0</v>
      </c>
      <c r="CS664" s="1">
        <f t="shared" si="1950"/>
        <v>0</v>
      </c>
      <c r="CT664" s="1">
        <f t="shared" si="1951"/>
        <v>8.9999999999999959E-3</v>
      </c>
      <c r="CU664" s="1">
        <f t="shared" si="1952"/>
        <v>3.9E-2</v>
      </c>
      <c r="CV664" s="304">
        <f t="shared" si="2013"/>
        <v>2339.3275155115825</v>
      </c>
      <c r="CW664" s="20" t="s">
        <v>122</v>
      </c>
      <c r="CX664" s="20" t="s">
        <v>122</v>
      </c>
      <c r="CY664" s="20" t="s">
        <v>122</v>
      </c>
      <c r="CZ664" s="20" t="s">
        <v>122</v>
      </c>
      <c r="DA664" s="20" t="s">
        <v>122</v>
      </c>
      <c r="DB664" s="503">
        <f t="shared" si="2014"/>
        <v>0</v>
      </c>
      <c r="DC664" s="127">
        <v>0</v>
      </c>
      <c r="DD664" s="127">
        <v>0</v>
      </c>
      <c r="DE664" s="127">
        <v>0</v>
      </c>
      <c r="DF664" s="127">
        <v>0</v>
      </c>
      <c r="DG664" s="127">
        <v>0</v>
      </c>
      <c r="DH664" s="127">
        <v>0</v>
      </c>
      <c r="DI664" s="127">
        <v>0</v>
      </c>
      <c r="DJ664" s="127">
        <v>0</v>
      </c>
      <c r="DK664" s="127">
        <v>0</v>
      </c>
      <c r="DL664" s="127">
        <v>0</v>
      </c>
      <c r="DM664" s="304">
        <f>INDEX(Input!$1:$1048576,DM$93,$C664*2+6)</f>
        <v>20731.578947368424</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v>4.7106002132613629E-2</v>
      </c>
      <c r="DZ664" s="7">
        <v>0</v>
      </c>
      <c r="EA664" s="7">
        <v>0.74169359126243284</v>
      </c>
      <c r="EB664" s="7">
        <v>0</v>
      </c>
      <c r="EC664" s="7">
        <v>0</v>
      </c>
      <c r="ED664" s="7">
        <v>0</v>
      </c>
      <c r="EE664" s="7">
        <v>0</v>
      </c>
      <c r="EF664" s="7">
        <v>0</v>
      </c>
      <c r="EG664" s="7">
        <v>0</v>
      </c>
      <c r="EH664" s="7">
        <v>2.4116211382696057E-2</v>
      </c>
      <c r="EI664" s="7">
        <v>1.5784070454875235E-2</v>
      </c>
      <c r="EJ664" s="7">
        <v>0.24744638768952376</v>
      </c>
      <c r="EK664" s="7">
        <v>0.71265333047290447</v>
      </c>
      <c r="EL664" s="7">
        <v>0</v>
      </c>
      <c r="EM664" s="7">
        <v>3.7721275705952101E-2</v>
      </c>
      <c r="EN664" s="7">
        <v>3.6780051505744121E-2</v>
      </c>
      <c r="EO664" s="7">
        <v>0.38194455476440936</v>
      </c>
      <c r="EP664" s="7">
        <v>0.48284189323497617</v>
      </c>
      <c r="EQ664" s="7">
        <v>7.4706578602319718E-2</v>
      </c>
      <c r="ER664" s="7">
        <v>2.3726921892550649E-2</v>
      </c>
      <c r="ES664" s="7">
        <v>0.17347913089900141</v>
      </c>
      <c r="ET664" s="7">
        <v>0.21120040660495348</v>
      </c>
      <c r="EU664" s="6">
        <v>250</v>
      </c>
      <c r="EV664" s="6">
        <v>0</v>
      </c>
      <c r="EW664" s="6">
        <v>250</v>
      </c>
      <c r="EX664" s="6">
        <v>0</v>
      </c>
      <c r="EY664" s="6">
        <v>1809.5037919759322</v>
      </c>
      <c r="EZ664" s="6">
        <v>-1554.2676731795959</v>
      </c>
      <c r="FA664" s="6">
        <v>0</v>
      </c>
      <c r="FB664" s="6">
        <v>0</v>
      </c>
      <c r="FC664" s="6">
        <v>0</v>
      </c>
      <c r="FD664" s="6">
        <v>0</v>
      </c>
      <c r="FE664" s="6">
        <v>0</v>
      </c>
      <c r="FF664" s="6">
        <v>0</v>
      </c>
      <c r="FG664" s="6">
        <v>0</v>
      </c>
      <c r="FH664" s="6">
        <v>1158.5887770113527</v>
      </c>
      <c r="FI664" s="6">
        <v>1531.4299904380621</v>
      </c>
      <c r="FJ664" s="6">
        <v>2070.7205842538219</v>
      </c>
      <c r="FK664" s="6">
        <v>1746.9903521590447</v>
      </c>
      <c r="FL664" s="6">
        <v>0</v>
      </c>
      <c r="FM664" s="6">
        <v>1809.5037919759322</v>
      </c>
      <c r="FN664" s="6">
        <v>0</v>
      </c>
      <c r="FO664" s="6">
        <v>0</v>
      </c>
      <c r="FP664" s="6">
        <v>0</v>
      </c>
      <c r="FQ664" s="6">
        <v>0</v>
      </c>
      <c r="FR664" s="6">
        <v>0</v>
      </c>
      <c r="FS664" s="6">
        <v>0</v>
      </c>
      <c r="FT664" s="7">
        <v>0.78879959339504646</v>
      </c>
      <c r="FU664" s="7">
        <v>3.7721275705952101E-2</v>
      </c>
      <c r="FV664" s="7">
        <v>0.17347913089900141</v>
      </c>
      <c r="FW664" s="6">
        <v>250</v>
      </c>
      <c r="FX664" s="6">
        <v>1809.5037919759322</v>
      </c>
      <c r="FY664" s="6">
        <v>-1554.2676731795959</v>
      </c>
      <c r="FZ664" s="6">
        <v>1676.0854837363124</v>
      </c>
      <c r="GA664" s="6">
        <v>-4.176315350757875</v>
      </c>
      <c r="GB664" s="6">
        <v>19699.176315350756</v>
      </c>
      <c r="GC664" s="7">
        <v>6.4493561548621597E-2</v>
      </c>
      <c r="GD664" s="7">
        <v>4.8649096430557863E-2</v>
      </c>
      <c r="GE664" s="7"/>
      <c r="GF664" s="7"/>
      <c r="GG664" s="7">
        <v>-0.24567514551229452</v>
      </c>
      <c r="GH664" s="42">
        <v>2.8796536310553282</v>
      </c>
      <c r="GI664" s="6">
        <v>6835.1879010957264</v>
      </c>
      <c r="GJ664" s="14">
        <v>0.5159625558966231</v>
      </c>
      <c r="GK664" s="14">
        <v>0.51419567426615942</v>
      </c>
      <c r="GL664" s="14">
        <v>0.48403744410337673</v>
      </c>
      <c r="GM664" s="14">
        <v>0.48580432573384075</v>
      </c>
      <c r="GO664" s="5">
        <v>338.16872463277008</v>
      </c>
      <c r="GP664" s="5">
        <v>333.39920156384721</v>
      </c>
      <c r="GQ664" s="5">
        <v>527.27910984145694</v>
      </c>
      <c r="GR664" s="5">
        <v>404.20319246551543</v>
      </c>
      <c r="GS664" s="5">
        <v>334.50205195691484</v>
      </c>
      <c r="GT664" s="5">
        <v>289.18266033348181</v>
      </c>
      <c r="GU664" s="5">
        <v>254.29573314828914</v>
      </c>
      <c r="GV664" s="39" t="s">
        <v>392</v>
      </c>
      <c r="GW664" s="5">
        <v>492.375</v>
      </c>
      <c r="GX664" s="5">
        <v>369.28125</v>
      </c>
      <c r="GY664" s="5">
        <v>295.42500000000001</v>
      </c>
      <c r="GZ664" s="5">
        <v>260.68138716125202</v>
      </c>
      <c r="HA664" s="5">
        <v>254.29573314828914</v>
      </c>
      <c r="HB664" s="39">
        <v>276.58028868315978</v>
      </c>
      <c r="HC664" s="5">
        <v>351.11483570160732</v>
      </c>
      <c r="HD664" s="5">
        <v>282.73776275539944</v>
      </c>
      <c r="HE664" s="5">
        <v>280.55735780820959</v>
      </c>
      <c r="HF664" s="5">
        <v>253.64561428438338</v>
      </c>
      <c r="HG664" s="5">
        <v>237.36506461313525</v>
      </c>
      <c r="HH664" s="39">
        <v>280.94995482611682</v>
      </c>
      <c r="HI664" s="16"/>
      <c r="HJ664" s="19" t="str">
        <f t="shared" ref="HJ664:HK664" si="2073">HJ663</f>
        <v>On</v>
      </c>
      <c r="HK664" s="1" t="str">
        <f t="shared" si="2073"/>
        <v>On</v>
      </c>
      <c r="HL664" s="16"/>
      <c r="HM664" s="639">
        <f t="shared" si="2065"/>
        <v>4.9686942767030826E-2</v>
      </c>
      <c r="HN664" s="639">
        <f t="shared" si="2065"/>
        <v>2.6112822013589915E-3</v>
      </c>
      <c r="HO664" s="639">
        <f t="shared" si="2065"/>
        <v>3.166115353075552E-2</v>
      </c>
      <c r="HP664" s="644">
        <f t="shared" si="2063"/>
        <v>-192.11433946819989</v>
      </c>
      <c r="HQ664" s="644">
        <f t="shared" si="2063"/>
        <v>149.8554003830728</v>
      </c>
      <c r="HR664" s="644">
        <f t="shared" si="2063"/>
        <v>143.15642397720416</v>
      </c>
      <c r="HS664" s="644">
        <f t="shared" si="2063"/>
        <v>14.182552008778949</v>
      </c>
      <c r="HT664" s="644">
        <f t="shared" si="2063"/>
        <v>370.16704538025118</v>
      </c>
      <c r="HU664" s="644">
        <f t="shared" si="2063"/>
        <v>68.070602196200426</v>
      </c>
      <c r="HV664" s="644">
        <f t="shared" si="2063"/>
        <v>0</v>
      </c>
      <c r="HW664" s="644">
        <f t="shared" si="2063"/>
        <v>0</v>
      </c>
      <c r="HX664" s="644">
        <f t="shared" si="2063"/>
        <v>0</v>
      </c>
      <c r="HY664" s="644">
        <f t="shared" si="2063"/>
        <v>2388</v>
      </c>
      <c r="HZ664" s="644">
        <f t="shared" si="2063"/>
        <v>2518</v>
      </c>
      <c r="IA664" s="644">
        <f t="shared" si="2063"/>
        <v>2200</v>
      </c>
      <c r="IB664" s="644">
        <f t="shared" si="2063"/>
        <v>2210.0682125405788</v>
      </c>
      <c r="IC664" s="644">
        <f t="shared" si="2063"/>
        <v>3038.022445763324</v>
      </c>
      <c r="ID664" s="644">
        <f t="shared" si="2063"/>
        <v>2411.2270261734047</v>
      </c>
      <c r="IE664" s="20">
        <f t="shared" si="1977"/>
        <v>0.28854635668391126</v>
      </c>
      <c r="IF664" s="20">
        <f t="shared" si="1956"/>
        <v>0.39664400549938106</v>
      </c>
      <c r="IG664" s="20">
        <f t="shared" si="1957"/>
        <v>0.31480963781670757</v>
      </c>
      <c r="IH664" s="21"/>
      <c r="II664" s="19"/>
      <c r="IJ664" s="19"/>
      <c r="IK664" s="19"/>
      <c r="IL664" s="19">
        <f t="shared" si="1978"/>
        <v>-100</v>
      </c>
      <c r="IM664" s="19">
        <f t="shared" si="1978"/>
        <v>757.76771216303405</v>
      </c>
      <c r="IN664" s="19">
        <f t="shared" si="1978"/>
        <v>281.0952677350715</v>
      </c>
      <c r="IO664" s="39"/>
      <c r="IP664" s="39"/>
      <c r="IQ664" s="39"/>
      <c r="IR664" s="39"/>
      <c r="IS664" s="39"/>
      <c r="IT664" s="39"/>
      <c r="IU664" s="39"/>
      <c r="IV664" s="39"/>
      <c r="IW664" s="39"/>
      <c r="IX664" s="19">
        <f t="shared" si="2066"/>
        <v>1600</v>
      </c>
      <c r="IY664" s="19">
        <f t="shared" si="2066"/>
        <v>2503.549291639752</v>
      </c>
      <c r="IZ664" s="19">
        <f t="shared" si="2066"/>
        <v>5888.3563810918577</v>
      </c>
      <c r="JA664" s="19">
        <f t="shared" si="2067"/>
        <v>1500</v>
      </c>
      <c r="JB664" s="19">
        <f t="shared" si="2067"/>
        <v>3261.3170038027861</v>
      </c>
      <c r="JC664" s="19">
        <f t="shared" si="2067"/>
        <v>6169.4516488269292</v>
      </c>
      <c r="JD664" s="19">
        <f t="shared" si="1981"/>
        <v>3668.6042137123391</v>
      </c>
      <c r="JE664" s="21"/>
      <c r="JF664" s="1">
        <f t="shared" si="1982"/>
        <v>6.8844376252282569E-2</v>
      </c>
      <c r="JG664" s="15">
        <f t="shared" si="1983"/>
        <v>7106</v>
      </c>
      <c r="JH664" s="1">
        <f t="shared" si="1984"/>
        <v>1.4198914282588949E-2</v>
      </c>
      <c r="JI664" s="1">
        <f t="shared" si="1985"/>
        <v>6.36673514755461E-2</v>
      </c>
      <c r="JJ664" s="1">
        <f t="shared" si="1962"/>
        <v>0</v>
      </c>
      <c r="JK664" s="1">
        <f t="shared" si="1963"/>
        <v>7.7866265758135059E-2</v>
      </c>
      <c r="JL664" s="15">
        <f t="shared" si="2068"/>
        <v>553.31768447730769</v>
      </c>
      <c r="JM664" s="15">
        <f t="shared" si="2068"/>
        <v>7659.3176844773079</v>
      </c>
      <c r="JN664" s="21"/>
      <c r="JO664" s="19">
        <f>INDEX([1]Input!$1:$1048576,JO$93,$C664*2+6)</f>
        <v>5995.5</v>
      </c>
      <c r="JP664" s="19">
        <f>INDEX([1]Input!$1:$1048576,JP$93,$C664*2+6)</f>
        <v>1716.3055838443925</v>
      </c>
      <c r="JQ664" s="39">
        <f t="shared" si="1995"/>
        <v>2326.8957862876609</v>
      </c>
      <c r="JR664" s="39">
        <f t="shared" si="1996"/>
        <v>1952.2986298679466</v>
      </c>
      <c r="JS664" s="39">
        <f t="shared" si="1997"/>
        <v>28.099005131434886</v>
      </c>
      <c r="JT664" s="39">
        <f t="shared" si="1987"/>
        <v>15.902937652636634</v>
      </c>
      <c r="JU664" s="385">
        <f>(JQ664*JM664-INDEX([1]Input!$1:$1048576,[1]Input!A$18,$C664*2+6)*JL664*INDEX([1]Input!$1:$1048576,[1]Input!A$19,$C664*2+6))/1000000</f>
        <v>17.822434045848812</v>
      </c>
      <c r="JV664" s="39">
        <f t="shared" si="1966"/>
        <v>-12.585521475352937</v>
      </c>
      <c r="JW664" s="1">
        <f t="shared" si="2000"/>
        <v>-0.41388910433579673</v>
      </c>
      <c r="JX664" s="19">
        <f t="shared" si="2001"/>
        <v>28741.061597659518</v>
      </c>
      <c r="JZ664" s="341"/>
      <c r="KA664" s="60"/>
      <c r="KB664" s="469">
        <f t="shared" si="1988"/>
        <v>0</v>
      </c>
      <c r="KI664" s="472"/>
      <c r="KJ664" s="472"/>
      <c r="KK664" s="472"/>
      <c r="KN664" s="26">
        <f t="shared" si="1989"/>
        <v>6002</v>
      </c>
      <c r="KO664" s="789">
        <f t="shared" si="1967"/>
        <v>2.2487319901502989E-3</v>
      </c>
      <c r="KP664" s="790">
        <f t="shared" si="1968"/>
        <v>4.9125382542958258</v>
      </c>
      <c r="KQ664" s="790">
        <f t="shared" si="1969"/>
        <v>71.155723422412393</v>
      </c>
      <c r="KR664" s="26">
        <f t="shared" si="1970"/>
        <v>7.3687118896881003</v>
      </c>
      <c r="KS664" s="26">
        <f t="shared" si="1971"/>
        <v>0.50873039162406175</v>
      </c>
      <c r="KT664" s="791">
        <f t="shared" si="1998"/>
        <v>2521.945896759994</v>
      </c>
      <c r="KU664" s="792">
        <f t="shared" si="1990"/>
        <v>10.936110686597075</v>
      </c>
      <c r="KV664" s="117"/>
    </row>
    <row r="665" spans="1:308" s="26" customFormat="1" ht="15" outlineLevel="1">
      <c r="A665" s="561">
        <f t="shared" si="1972"/>
        <v>6065</v>
      </c>
      <c r="B665" s="561">
        <f t="shared" si="1991"/>
        <v>65</v>
      </c>
      <c r="C665" s="561">
        <f t="shared" si="1992"/>
        <v>6</v>
      </c>
      <c r="D665" s="561" t="str">
        <f t="shared" si="2028"/>
        <v xml:space="preserve">250 CC, 0.9/1.9/2.9/3.9, </v>
      </c>
      <c r="E665" s="475">
        <f>INDEX(Input!$1:$1048576,E$93,$C665*2+MIN($B665,2)+5)
+INDEX(Scenarios!E$121:E$200,MATCH($B665,Scenarios!$B$121:$B$200,0))</f>
        <v>1500.0000000000002</v>
      </c>
      <c r="F665" s="475">
        <f>INDEX(Input!$1:$1048576,F$93,$C665*2+MIN($B665,2)+5)
+INDEX(Scenarios!F$121:F$200,MATCH($B665,Scenarios!$B$121:$B$200,0))</f>
        <v>0</v>
      </c>
      <c r="G665" s="475">
        <f>INDEX(Input!$1:$1048576,G$93,$C665*2+MIN($B665,2)+5)
+INDEX(Scenarios!G$121:G$200,MATCH($B665,Scenarios!$B$121:$B$200,0))</f>
        <v>0</v>
      </c>
      <c r="H665" s="475">
        <f>INDEX(Input!$1:$1048576,H$93,$C665*2+MIN($B665,2)+5)
+INDEX(Scenarios!H$121:H$200,MATCH($B665,Scenarios!$B$121:$B$200,0))</f>
        <v>0</v>
      </c>
      <c r="I665" s="476">
        <f>INDEX(Input!$1:$1048576,I$93,$C665*2+MIN($B665,2)+5)</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+INDEX(Scenarios!Q$121:Q$200,MATCH($B665,Scenarios!$B$121:$B$200,0))</f>
        <v>0</v>
      </c>
      <c r="R665" s="478">
        <f>IFERROR(MAX(0,INDEX(Input!$1:$1048576,R$93,$C665*2+MIN($B665,2)+5)
+INDEX(Scenarios!R$121:R$200,MATCH($B665,Scenarios!$B$121:$B$200,0)),),"Market")</f>
        <v>9.0000000000000011E-3</v>
      </c>
      <c r="S665" s="478">
        <f>IFERROR(MAX(0,INDEX(Input!$1:$1048576,S$93,$C665*2+MIN($B665,2)+5)
+INDEX(Scenarios!S$121:S$200,MATCH($B665,Scenarios!$B$121:$B$200,0)),),"Market")</f>
        <v>9.0000000000000011E-3</v>
      </c>
      <c r="T665" s="478">
        <f>IFERROR(MAX(0,INDEX(Input!$1:$1048576,T$93,$C665*2+MIN($B665,2)+5)
+INDEX(Scenarios!T$121:T$200,MATCH($B665,Scenarios!$B$121:$B$200,0)),),"Market")</f>
        <v>9.0000000000000011E-3</v>
      </c>
      <c r="U665" s="478">
        <f>IFERROR(MAX(0,INDEX(Input!$1:$1048576,U$93,$C665*2+MIN($B665,2)+5)
+INDEX(Scenarios!U$121:U$200,MATCH($B665,Scenarios!$B$121:$B$200,0)),),"Market")</f>
        <v>9.0000000000000011E-3</v>
      </c>
      <c r="V665" s="478">
        <f>IFERROR(MAX(0,INDEX(Input!$1:$1048576,V$93,$C665*2+MIN($B665,2)+5)
+INDEX(Scenarios!V$121:V$200,MATCH($B665,Scenarios!$B$121:$B$200,0)),),"Market")</f>
        <v>2.8999999999999998E-2</v>
      </c>
      <c r="W665" s="863">
        <f>IFERROR(MAX(0,INDEX(Input!$1:$1048576,W$93,$C665*2+MIN($B665,2)+5)-0%,),"Market")</f>
        <v>3.9E-2</v>
      </c>
      <c r="X665" s="476" t="str">
        <f>INDEX(Input!$1:$1048576,X$93,$C665*2+MIN($B665,2)+5)</f>
        <v>Y</v>
      </c>
      <c r="Y665" s="475">
        <f>INDEX(Input!$1:$1048576,Y$93,$C665*2+MIN($B665,2)+5)
++INDEX(Scenarios!Y$121:Y$200,MATCH($B665,Scenarios!$B$121:$B$200,0))</f>
        <v>2339.3275155115825</v>
      </c>
      <c r="Z665" s="477">
        <f>INDEX(Input!$1:$1048576,Z$93,$C665*2+MIN($B665,2)+5)
+INDEX(Scenarios!Z$121:Z$200,MATCH($B665,Scenarios!$B$121:$B$200,0))</f>
        <v>0</v>
      </c>
      <c r="AA665" s="475">
        <f>INDEX(Input!$1:$1048576,AA$93,$C665*2+MIN($B665,2)+5)</f>
        <v>0</v>
      </c>
      <c r="AB665" s="476">
        <f>INDEX(Input!$1:$1048576,AB$93,$C665*2+MIN($B665,2)+5)</f>
        <v>1</v>
      </c>
      <c r="AC665" s="475">
        <f>INDEX(Input!$1:$1048576,AC$93,$C665*2+MIN($B665,2)+5)
+INDEX(Scenarios!AC$121:AC$200,MATCH($B665,Scenarios!$B$121:$B$200,0))</f>
        <v>0</v>
      </c>
      <c r="AD665" s="476">
        <f>INDEX(Input!$1:$1048576,AD$93,$C665*2+MIN($B665,2)+5)</f>
        <v>0.35</v>
      </c>
      <c r="AE665" s="475">
        <f>INDEX(Input!$1:$1048576,AE$93,$C665*2+MIN($B665,2)+5)
+INDEX(Scenarios!AE$121:AE$200,MATCH($B665,Scenarios!$B$121:$B$200,0))</f>
        <v>0</v>
      </c>
      <c r="AF665" s="476">
        <f>INDEX(Input!$1:$1048576,AF$93,$C665*2+MIN($B665,2)+5)</f>
        <v>1</v>
      </c>
      <c r="AG665" s="475">
        <f>INDEX(Input!$1:$1048576,AG$93,$C665*2+MIN($B665,2)+5)</f>
        <v>0</v>
      </c>
      <c r="AH665" s="476">
        <f>INDEX(Input!$1:$1048576,AH$93,$C665*2+MIN($B665,2)+5)</f>
        <v>1</v>
      </c>
      <c r="AI665" s="475">
        <f>INDEX(Input!$1:$1048576,AI$93,$C665*2+MIN($B665,2)+5)</f>
        <v>0</v>
      </c>
      <c r="AJ665" s="476">
        <f>INDEX(Input!$1:$1048576,AJ$93,$C665*2+MIN($B665,2)+5)</f>
        <v>0.35</v>
      </c>
      <c r="AK665" s="150">
        <f>ROUND(INDEX(Input!$1:$1048576,AK$93,$C664*2+MIN($B665,1)+5)+(Y665-VLOOKUP($C665*1000+1,$A:$HH,Y$92,FALSE)),0)</f>
        <v>5093</v>
      </c>
      <c r="AL665" s="150">
        <f>ROUND(INDEX(Input!$1:$1048576,AL$93,$C664*2+MIN($B665,1)+5)-(Y665-VLOOKUP($C665*1000+1,$A:$HH,Y$92,FALSE))/36,0)</f>
        <v>5217</v>
      </c>
      <c r="AM665" s="32" t="str">
        <f t="shared" si="1973"/>
        <v>std/std/std/std</v>
      </c>
      <c r="AN665" s="32" t="str">
        <f t="shared" si="1974"/>
        <v>$0 + 0.9/0.9/0.9/2.9/3.9</v>
      </c>
      <c r="AO665" s="32" t="str">
        <f t="shared" si="1975"/>
        <v>0.9/0.9/0.9/2.9/3.9</v>
      </c>
      <c r="AP665" s="32" t="str">
        <f t="shared" ref="AP665:AP700" si="2074">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0.9/1.9/2.9/3.9</v>
      </c>
      <c r="AQ665" s="536">
        <f t="shared" ref="AQ665:AQ699" si="2075">SUM(IE665,G665*IF665,H665*IG665,AC665*AD665,AE665*AF665,AI665)</f>
        <v>0.37054012592802987</v>
      </c>
      <c r="AR665" s="32"/>
      <c r="AS665" s="302"/>
      <c r="AT665" s="3">
        <f t="shared" si="1993"/>
        <v>65</v>
      </c>
      <c r="AU665" s="41" t="s">
        <v>121</v>
      </c>
      <c r="AV665" s="41" t="s">
        <v>116</v>
      </c>
      <c r="AW665" s="41" t="str">
        <f>INDEX(Input!$1:$1048576,AW$93,$C665*2+6)</f>
        <v>Kia</v>
      </c>
      <c r="AX665" s="41" t="str">
        <f>INDEX(Input!$1:$1048576,AX$93,$C665*2+6)</f>
        <v>National</v>
      </c>
      <c r="AY665" s="41" t="str">
        <f>IF(LEN(D665)=0,"",INDEX(Input!$1:$1048576,AY$93,$C665*2+6))</f>
        <v>Compact Conventional/Sporty Car (43)</v>
      </c>
      <c r="AZ665" s="41" t="str">
        <f>INDEX(Input!$1:$1048576,AZ$93,$C665*2+6)</f>
        <v>Kia Forte</v>
      </c>
      <c r="BA665" s="3">
        <f>INDEX(Input!$1:$1048576,BA$93,$C665*2+6)</f>
        <v>2020</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19695</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ref="CI665:CI700" si="2076">E665+F665*I665+AA581*AB581+AC665*AD665</f>
        <v>1715.0000000000002</v>
      </c>
      <c r="CJ665" s="16" t="str">
        <f>INDEX(Input!$1:$1048576,CJ$93,$C665*2+6)</f>
        <v>N</v>
      </c>
      <c r="CK665" s="1" t="str">
        <f t="shared" ref="CK665:CK700" si="2077">K665</f>
        <v>Market</v>
      </c>
      <c r="CL665" s="1" t="str">
        <f t="shared" ref="CL665:CL700" si="2078">L665</f>
        <v>Market</v>
      </c>
      <c r="CM665" s="1" t="str">
        <f t="shared" ref="CM665:CM700" si="2079">M665</f>
        <v>Market</v>
      </c>
      <c r="CN665" s="1" t="str">
        <f t="shared" ref="CN665:CN700" si="2080">N665</f>
        <v>Market</v>
      </c>
      <c r="CO665" s="1" t="str">
        <f t="shared" ref="CO665:CO700" si="2081">O665</f>
        <v>Market</v>
      </c>
      <c r="CP665" s="304">
        <f t="shared" ref="CP665:CP700" si="2082">Q665+G665*I665+AA665*AB665+AC665*AD665</f>
        <v>0</v>
      </c>
      <c r="CQ665" s="1">
        <f t="shared" ref="CQ665:CQ699" si="2083">S665</f>
        <v>9.0000000000000011E-3</v>
      </c>
      <c r="CR665" s="1">
        <f t="shared" ref="CR665:CR699" si="2084">T665</f>
        <v>9.0000000000000011E-3</v>
      </c>
      <c r="CS665" s="1">
        <f t="shared" ref="CS665:CS699" si="2085">U665</f>
        <v>9.0000000000000011E-3</v>
      </c>
      <c r="CT665" s="1">
        <f t="shared" ref="CT665:CT699" si="2086">V665</f>
        <v>2.8999999999999998E-2</v>
      </c>
      <c r="CU665" s="1">
        <f t="shared" ref="CU665:CU699" si="2087">W665</f>
        <v>3.9E-2</v>
      </c>
      <c r="CV665" s="304">
        <f t="shared" si="2013"/>
        <v>2339.3275155115825</v>
      </c>
      <c r="CW665" s="20" t="s">
        <v>122</v>
      </c>
      <c r="CX665" s="20" t="s">
        <v>122</v>
      </c>
      <c r="CY665" s="20" t="s">
        <v>122</v>
      </c>
      <c r="CZ665" s="20" t="s">
        <v>122</v>
      </c>
      <c r="DA665" s="20" t="s">
        <v>122</v>
      </c>
      <c r="DB665" s="503">
        <f t="shared" si="2014"/>
        <v>0</v>
      </c>
      <c r="DC665" s="127">
        <v>0</v>
      </c>
      <c r="DD665" s="127">
        <v>0</v>
      </c>
      <c r="DE665" s="127">
        <v>0</v>
      </c>
      <c r="DF665" s="127">
        <v>0</v>
      </c>
      <c r="DG665" s="127">
        <v>0</v>
      </c>
      <c r="DH665" s="127">
        <v>0</v>
      </c>
      <c r="DI665" s="127">
        <v>0</v>
      </c>
      <c r="DJ665" s="127">
        <v>0</v>
      </c>
      <c r="DK665" s="127">
        <v>0</v>
      </c>
      <c r="DL665" s="127">
        <v>0</v>
      </c>
      <c r="DM665" s="304">
        <f>INDEX(Input!$1:$1048576,DM$93,$C665*2+6)</f>
        <v>20731.578947368424</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v>5.0826916435838865E-2</v>
      </c>
      <c r="DZ665" s="7">
        <v>0</v>
      </c>
      <c r="EA665" s="7">
        <v>0.7973002513363856</v>
      </c>
      <c r="EB665" s="7">
        <v>0</v>
      </c>
      <c r="EC665" s="7">
        <v>0</v>
      </c>
      <c r="ED665" s="7">
        <v>0</v>
      </c>
      <c r="EE665" s="7">
        <v>0</v>
      </c>
      <c r="EF665" s="7">
        <v>0</v>
      </c>
      <c r="EG665" s="7">
        <v>0</v>
      </c>
      <c r="EH665" s="7">
        <v>3.5578458252972338E-2</v>
      </c>
      <c r="EI665" s="7">
        <v>2.3148910046111613E-2</v>
      </c>
      <c r="EJ665" s="7">
        <v>0.29076059616507804</v>
      </c>
      <c r="EK665" s="7">
        <v>0.65051203553583825</v>
      </c>
      <c r="EL665" s="7">
        <v>0</v>
      </c>
      <c r="EM665" s="7">
        <v>1.7742544944974743E-2</v>
      </c>
      <c r="EN665" s="7">
        <v>3.6743739381174763E-2</v>
      </c>
      <c r="EO665" s="7">
        <v>0.38216876856850268</v>
      </c>
      <c r="EP665" s="7">
        <v>0.48262901206689329</v>
      </c>
      <c r="EQ665" s="7">
        <v>7.4716275663887943E-2</v>
      </c>
      <c r="ER665" s="7">
        <v>2.3742204319540609E-2</v>
      </c>
      <c r="ES665" s="7">
        <v>0.1341302872828008</v>
      </c>
      <c r="ET665" s="7">
        <v>0.15187283222777559</v>
      </c>
      <c r="EU665" s="6">
        <v>1000</v>
      </c>
      <c r="EV665" s="6">
        <v>0</v>
      </c>
      <c r="EW665" s="6">
        <v>1000</v>
      </c>
      <c r="EX665" s="6">
        <v>0</v>
      </c>
      <c r="EY665" s="6">
        <v>945.69799440201473</v>
      </c>
      <c r="EZ665" s="6">
        <v>-1554.2676731795959</v>
      </c>
      <c r="FA665" s="6">
        <v>0</v>
      </c>
      <c r="FB665" s="6">
        <v>0</v>
      </c>
      <c r="FC665" s="6">
        <v>0</v>
      </c>
      <c r="FD665" s="6">
        <v>0</v>
      </c>
      <c r="FE665" s="6">
        <v>0</v>
      </c>
      <c r="FF665" s="6">
        <v>0</v>
      </c>
      <c r="FG665" s="6">
        <v>0</v>
      </c>
      <c r="FH665" s="6">
        <v>930.22468274954292</v>
      </c>
      <c r="FI665" s="6">
        <v>1232.1164465304241</v>
      </c>
      <c r="FJ665" s="6">
        <v>1302.9658415685929</v>
      </c>
      <c r="FK665" s="6">
        <v>776.66319621661671</v>
      </c>
      <c r="FL665" s="6">
        <v>0</v>
      </c>
      <c r="FM665" s="6">
        <v>945.69799440201473</v>
      </c>
      <c r="FN665" s="6">
        <v>0</v>
      </c>
      <c r="FO665" s="6">
        <v>0</v>
      </c>
      <c r="FP665" s="6">
        <v>0</v>
      </c>
      <c r="FQ665" s="6">
        <v>0</v>
      </c>
      <c r="FR665" s="6">
        <v>0</v>
      </c>
      <c r="FS665" s="6">
        <v>0</v>
      </c>
      <c r="FT665" s="7">
        <v>0.84812716777222441</v>
      </c>
      <c r="FU665" s="7">
        <v>1.7742544944974743E-2</v>
      </c>
      <c r="FV665" s="7">
        <v>0.1341302872828008</v>
      </c>
      <c r="FW665" s="6">
        <v>1000</v>
      </c>
      <c r="FX665" s="6">
        <v>945.69799440201473</v>
      </c>
      <c r="FY665" s="6">
        <v>-1554.2676731795959</v>
      </c>
      <c r="FZ665" s="6">
        <v>1676.0854837363124</v>
      </c>
      <c r="GA665" s="6">
        <v>656.43188742432517</v>
      </c>
      <c r="GB665" s="6">
        <v>19038.568112575675</v>
      </c>
      <c r="GC665" s="7">
        <v>6.4493561548621597E-2</v>
      </c>
      <c r="GD665" s="7">
        <v>5.5247234183537899E-2</v>
      </c>
      <c r="GE665" s="7"/>
      <c r="GF665" s="7"/>
      <c r="GG665" s="7">
        <v>-0.14336822378948488</v>
      </c>
      <c r="GH665" s="42">
        <v>2.769212189067733</v>
      </c>
      <c r="GI665" s="6">
        <v>7768.5629396245567</v>
      </c>
      <c r="GJ665" s="14">
        <v>0.51596255589662299</v>
      </c>
      <c r="GK665" s="14">
        <v>0.51419567426615953</v>
      </c>
      <c r="GL665" s="14">
        <v>0.48403744410337646</v>
      </c>
      <c r="GM665" s="14">
        <v>0.48580432573384019</v>
      </c>
      <c r="GO665" s="5">
        <v>338.16872463277008</v>
      </c>
      <c r="GP665" s="5">
        <v>319.09063235707856</v>
      </c>
      <c r="GQ665" s="5">
        <v>527.27910984145694</v>
      </c>
      <c r="GR665" s="5">
        <v>404.20319246551543</v>
      </c>
      <c r="GS665" s="5">
        <v>334.50205195691484</v>
      </c>
      <c r="GT665" s="5">
        <v>289.18266033348181</v>
      </c>
      <c r="GU665" s="5">
        <v>254.29573314828914</v>
      </c>
      <c r="GV665" s="39" t="s">
        <v>392</v>
      </c>
      <c r="GW665" s="5">
        <v>499.23658026051567</v>
      </c>
      <c r="GX665" s="5">
        <v>376.10664223131414</v>
      </c>
      <c r="GY665" s="5">
        <v>309.91347913050362</v>
      </c>
      <c r="GZ665" s="5">
        <v>276.51178903140271</v>
      </c>
      <c r="HA665" s="5">
        <v>254.29573314828914</v>
      </c>
      <c r="HB665" s="39">
        <v>296.45340134196596</v>
      </c>
      <c r="HC665" s="5">
        <v>351.11483570160732</v>
      </c>
      <c r="HD665" s="5">
        <v>282.73776275539944</v>
      </c>
      <c r="HE665" s="5">
        <v>280.55735780820959</v>
      </c>
      <c r="HF665" s="5">
        <v>253.64561428438338</v>
      </c>
      <c r="HG665" s="5">
        <v>237.36506461313525</v>
      </c>
      <c r="HH665" s="39">
        <v>280.94696056317662</v>
      </c>
      <c r="HI665" s="16"/>
      <c r="HJ665" s="19" t="str">
        <f t="shared" ref="HJ665:HK665" si="2088">HJ664</f>
        <v>On</v>
      </c>
      <c r="HK665" s="1" t="str">
        <f t="shared" si="2088"/>
        <v>On</v>
      </c>
      <c r="HL665" s="16"/>
      <c r="HM665" s="639">
        <f t="shared" si="2065"/>
        <v>4.9686942767030826E-2</v>
      </c>
      <c r="HN665" s="639">
        <f t="shared" si="2065"/>
        <v>2.6112822013589915E-3</v>
      </c>
      <c r="HO665" s="639">
        <f t="shared" si="2065"/>
        <v>3.166115353075552E-2</v>
      </c>
      <c r="HP665" s="644">
        <f t="shared" ref="HP665:ID680" si="2089">HP165+HP265+HP365+HP465+HP565</f>
        <v>499.19983667690587</v>
      </c>
      <c r="HQ665" s="644">
        <f t="shared" si="2089"/>
        <v>-83.357134846099953</v>
      </c>
      <c r="HR665" s="644">
        <f t="shared" si="2089"/>
        <v>33.497371403523196</v>
      </c>
      <c r="HS665" s="644">
        <f t="shared" si="2089"/>
        <v>-104.15954818165943</v>
      </c>
      <c r="HT665" s="644">
        <f t="shared" si="2089"/>
        <v>-34.689194750323239</v>
      </c>
      <c r="HU665" s="644">
        <f t="shared" si="2089"/>
        <v>94.274963968836474</v>
      </c>
      <c r="HV665" s="644">
        <f t="shared" si="2089"/>
        <v>0</v>
      </c>
      <c r="HW665" s="644">
        <f t="shared" si="2089"/>
        <v>0</v>
      </c>
      <c r="HX665" s="644">
        <f t="shared" si="2089"/>
        <v>0</v>
      </c>
      <c r="HY665" s="644">
        <f t="shared" si="2089"/>
        <v>2388</v>
      </c>
      <c r="HZ665" s="644">
        <f t="shared" si="2089"/>
        <v>2518</v>
      </c>
      <c r="IA665" s="644">
        <f t="shared" si="2089"/>
        <v>2200</v>
      </c>
      <c r="IB665" s="644">
        <f t="shared" si="2089"/>
        <v>2783.0402884952464</v>
      </c>
      <c r="IC665" s="644">
        <f t="shared" si="2089"/>
        <v>2399.9536704035768</v>
      </c>
      <c r="ID665" s="644">
        <f t="shared" si="2089"/>
        <v>2327.7723353723595</v>
      </c>
      <c r="IE665" s="20">
        <f t="shared" si="1977"/>
        <v>0.37054012592802987</v>
      </c>
      <c r="IF665" s="20">
        <f t="shared" ref="IF665:IF701" si="2090">IC665/SUM($IB665:$ID665)</f>
        <v>0.31953512815784657</v>
      </c>
      <c r="IG665" s="20">
        <f t="shared" ref="IG665:IG701" si="2091">ID665/SUM($IB665:$ID665)</f>
        <v>0.3099247459141235</v>
      </c>
      <c r="IH665" s="21"/>
      <c r="II665" s="19"/>
      <c r="IJ665" s="19"/>
      <c r="IK665" s="19"/>
      <c r="IL665" s="19">
        <f t="shared" si="1978"/>
        <v>650</v>
      </c>
      <c r="IM665" s="19">
        <f t="shared" si="1978"/>
        <v>-21.454901728898221</v>
      </c>
      <c r="IN665" s="19">
        <f t="shared" si="1978"/>
        <v>284.64816873138443</v>
      </c>
      <c r="IO665" s="39"/>
      <c r="IP665" s="39"/>
      <c r="IQ665" s="39"/>
      <c r="IR665" s="39"/>
      <c r="IS665" s="39"/>
      <c r="IT665" s="39"/>
      <c r="IU665" s="39"/>
      <c r="IV665" s="39"/>
      <c r="IW665" s="39"/>
      <c r="IX665" s="19">
        <f t="shared" si="2066"/>
        <v>1600</v>
      </c>
      <c r="IY665" s="19">
        <f t="shared" si="2066"/>
        <v>2503.549291639752</v>
      </c>
      <c r="IZ665" s="19">
        <f t="shared" si="2066"/>
        <v>5888.3563810918577</v>
      </c>
      <c r="JA665" s="19">
        <f t="shared" si="2067"/>
        <v>2250</v>
      </c>
      <c r="JB665" s="19">
        <f t="shared" si="2067"/>
        <v>2482.0943899108538</v>
      </c>
      <c r="JC665" s="19">
        <f t="shared" si="2067"/>
        <v>6173.0045498232421</v>
      </c>
      <c r="JD665" s="19">
        <f t="shared" si="1981"/>
        <v>3539.9984989488003</v>
      </c>
      <c r="JE665" s="21"/>
      <c r="JF665" s="1">
        <f t="shared" si="1982"/>
        <v>6.8844376252282569E-2</v>
      </c>
      <c r="JG665" s="15">
        <f t="shared" si="1983"/>
        <v>7106</v>
      </c>
      <c r="JH665" s="1">
        <f t="shared" si="1984"/>
        <v>6.3233897162162836E-2</v>
      </c>
      <c r="JI665" s="1">
        <f t="shared" si="1985"/>
        <v>-6.2726961670625083E-3</v>
      </c>
      <c r="JJ665" s="1">
        <f t="shared" ref="JJ665:JJ701" si="2092">SUM(HV665:HX665)/SUM(HY665:IA665)</f>
        <v>0</v>
      </c>
      <c r="JK665" s="1">
        <f t="shared" ref="JK665:JK701" si="2093">JL665/JG665</f>
        <v>5.6961200995100325E-2</v>
      </c>
      <c r="JL665" s="15">
        <f t="shared" si="2068"/>
        <v>404.76629427118291</v>
      </c>
      <c r="JM665" s="15">
        <f t="shared" si="2068"/>
        <v>7510.7662942711822</v>
      </c>
      <c r="JN665" s="21"/>
      <c r="JO665" s="19">
        <f>INDEX([1]Input!$1:$1048576,JO$93,$C665*2+6)</f>
        <v>5995.5</v>
      </c>
      <c r="JP665" s="19">
        <f>INDEX([1]Input!$1:$1048576,JP$93,$C665*2+6)</f>
        <v>1716.3055838443925</v>
      </c>
      <c r="JQ665" s="39">
        <f t="shared" si="1995"/>
        <v>2455.5015010511997</v>
      </c>
      <c r="JR665" s="39">
        <f t="shared" si="1996"/>
        <v>1823.6929151044078</v>
      </c>
      <c r="JS665" s="39">
        <f t="shared" si="1997"/>
        <v>26.588101407675229</v>
      </c>
      <c r="JT665" s="39">
        <f t="shared" si="1987"/>
        <v>14.392033928876975</v>
      </c>
      <c r="JU665" s="385">
        <f>(JQ665*JM665-INDEX([1]Input!$1:$1048576,[1]Input!A$18,$C665*2+6)*JL665*INDEX([1]Input!$1:$1048576,[1]Input!A$19,$C665*2+6))/1000000</f>
        <v>18.442697909627647</v>
      </c>
      <c r="JV665" s="39">
        <f t="shared" ref="JV665:JV701" si="2094">JU665-(JO665-JP665)*JG665/1000000</f>
        <v>-11.965257611574103</v>
      </c>
      <c r="JW665" s="1">
        <f t="shared" si="2000"/>
        <v>-0.39349102583471635</v>
      </c>
      <c r="JX665" s="19">
        <f t="shared" si="2001"/>
        <v>35556.404109168943</v>
      </c>
      <c r="JZ665" s="341"/>
      <c r="KA665" s="60"/>
      <c r="KB665" s="469">
        <f t="shared" si="1988"/>
        <v>0</v>
      </c>
      <c r="KI665" s="472"/>
      <c r="KJ665" s="472"/>
      <c r="KK665" s="472"/>
      <c r="KN665" s="26">
        <f t="shared" si="1989"/>
        <v>6002</v>
      </c>
      <c r="KO665" s="789">
        <f t="shared" ref="KO665:KO701" si="2095">JM665/INDEX(JM:JM,MATCH(KN665,A:A,0))-1</f>
        <v>-1.718974133120077E-2</v>
      </c>
      <c r="KP665" s="790">
        <f t="shared" ref="KP665:KP701" si="2096">(IL665-INDEX(IL:IL,MATCH(KN665,A:A,0)))*IE665
+(IM665-IF(HN665=0,INDEX(IX:IX,MATCH(KN665,A:A,0)),INDEX(IM:IM,MATCH(KN665,A:A,0))))*IF665
+(IN665-INDEX(IN:IN,MATCH(KN665,A:A,0)))*IG665</f>
        <v>-33.762142971931318</v>
      </c>
      <c r="KQ665" s="790">
        <f t="shared" ref="KQ665:KQ701" si="2097">JD665-INDEX(JD:JD,MATCH(KN665,A:A,0))</f>
        <v>-57.449991341126406</v>
      </c>
      <c r="KR665" s="26">
        <f t="shared" ref="KR665:KR701" si="2098">KO665/(KP665/(BX665-INDEX(JD:JD,MATCH(KN665,A:A,0))))</f>
        <v>8.1959473587812841</v>
      </c>
      <c r="KS665" s="26">
        <f t="shared" ref="KS665:KS701" si="2099">KO665/(KQ665/(BX665-INDEX(JD:JD,MATCH(KN665,A:A,0))))</f>
        <v>4.8165846514150426</v>
      </c>
      <c r="KT665" s="791">
        <f t="shared" si="1998"/>
        <v>2521.945896759994</v>
      </c>
      <c r="KU665" s="792">
        <f t="shared" si="1990"/>
        <v>11.005697608248353</v>
      </c>
      <c r="KV665" s="117"/>
    </row>
    <row r="666" spans="1:308" s="26" customFormat="1" ht="15" outlineLevel="1">
      <c r="A666" s="561">
        <f t="shared" ref="A666:A699" si="2100">C666*1000+B666</f>
        <v>6066</v>
      </c>
      <c r="B666" s="561">
        <f t="shared" si="1991"/>
        <v>66</v>
      </c>
      <c r="C666" s="561">
        <f t="shared" si="1992"/>
        <v>6</v>
      </c>
      <c r="D666" s="561" t="str">
        <f t="shared" si="2028"/>
        <v xml:space="preserve">500 CC, 0.9/1.9/2.9/3.9, </v>
      </c>
      <c r="E666" s="475">
        <f>INDEX(Input!$1:$1048576,E$93,$C666*2+MIN($B666,2)+5)
+INDEX(Scenarios!E$121:E$200,MATCH($B666,Scenarios!$B$121:$B$200,0))</f>
        <v>1750.0000000000002</v>
      </c>
      <c r="F666" s="475">
        <f>INDEX(Input!$1:$1048576,F$93,$C666*2+MIN($B666,2)+5)
+INDEX(Scenarios!F$121:F$200,MATCH($B666,Scenarios!$B$121:$B$200,0))</f>
        <v>0</v>
      </c>
      <c r="G666" s="475">
        <f>INDEX(Input!$1:$1048576,G$93,$C666*2+MIN($B666,2)+5)
+INDEX(Scenarios!G$121:G$200,MATCH($B666,Scenarios!$B$121:$B$200,0))</f>
        <v>0</v>
      </c>
      <c r="H666" s="475">
        <f>INDEX(Input!$1:$1048576,H$93,$C666*2+MIN($B666,2)+5)
+INDEX(Scenarios!H$121:H$200,MATCH($B666,Scenarios!$B$121:$B$200,0))</f>
        <v>0</v>
      </c>
      <c r="I666" s="476">
        <f>INDEX(Input!$1:$1048576,I$93,$C666*2+MIN($B666,2)+5)</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+INDEX(Scenarios!Q$121:Q$200,MATCH($B666,Scenarios!$B$121:$B$200,0))</f>
        <v>0</v>
      </c>
      <c r="R666" s="478">
        <f>IFERROR(MAX(0,INDEX(Input!$1:$1048576,R$93,$C666*2+MIN($B666,2)+5)
+INDEX(Scenarios!R$121:R$200,MATCH($B666,Scenarios!$B$121:$B$200,0)),),"Market")</f>
        <v>9.0000000000000011E-3</v>
      </c>
      <c r="S666" s="478">
        <f>IFERROR(MAX(0,INDEX(Input!$1:$1048576,S$93,$C666*2+MIN($B666,2)+5)
+INDEX(Scenarios!S$121:S$200,MATCH($B666,Scenarios!$B$121:$B$200,0)),),"Market")</f>
        <v>9.0000000000000011E-3</v>
      </c>
      <c r="T666" s="478">
        <f>IFERROR(MAX(0,INDEX(Input!$1:$1048576,T$93,$C666*2+MIN($B666,2)+5)
+INDEX(Scenarios!T$121:T$200,MATCH($B666,Scenarios!$B$121:$B$200,0)),),"Market")</f>
        <v>9.0000000000000011E-3</v>
      </c>
      <c r="U666" s="478">
        <f>IFERROR(MAX(0,INDEX(Input!$1:$1048576,U$93,$C666*2+MIN($B666,2)+5)
+INDEX(Scenarios!U$121:U$200,MATCH($B666,Scenarios!$B$121:$B$200,0)),),"Market")</f>
        <v>9.0000000000000011E-3</v>
      </c>
      <c r="V666" s="478">
        <f>IFERROR(MAX(0,INDEX(Input!$1:$1048576,V$93,$C666*2+MIN($B666,2)+5)
+INDEX(Scenarios!V$121:V$200,MATCH($B666,Scenarios!$B$121:$B$200,0)),),"Market")</f>
        <v>2.8999999999999998E-2</v>
      </c>
      <c r="W666" s="863">
        <f>IFERROR(MAX(0,INDEX(Input!$1:$1048576,W$93,$C666*2+MIN($B666,2)+5)-0%,),"Market")</f>
        <v>3.9E-2</v>
      </c>
      <c r="X666" s="476" t="str">
        <f>INDEX(Input!$1:$1048576,X$93,$C666*2+MIN($B666,2)+5)</f>
        <v>Y</v>
      </c>
      <c r="Y666" s="475">
        <f>INDEX(Input!$1:$1048576,Y$93,$C666*2+MIN($B666,2)+5)
++INDEX(Scenarios!Y$121:Y$200,MATCH($B666,Scenarios!$B$121:$B$200,0))</f>
        <v>2339.3275155115825</v>
      </c>
      <c r="Z666" s="477">
        <f>INDEX(Input!$1:$1048576,Z$93,$C666*2+MIN($B666,2)+5)
+INDEX(Scenarios!Z$121:Z$200,MATCH($B666,Scenarios!$B$121:$B$200,0))</f>
        <v>0</v>
      </c>
      <c r="AA666" s="475">
        <f>INDEX(Input!$1:$1048576,AA$93,$C666*2+MIN($B666,2)+5)</f>
        <v>0</v>
      </c>
      <c r="AB666" s="476">
        <f>INDEX(Input!$1:$1048576,AB$93,$C666*2+MIN($B666,2)+5)</f>
        <v>1</v>
      </c>
      <c r="AC666" s="475">
        <f>INDEX(Input!$1:$1048576,AC$93,$C666*2+MIN($B666,2)+5)
+INDEX(Scenarios!AC$121:AC$200,MATCH($B666,Scenarios!$B$121:$B$200,0))</f>
        <v>0</v>
      </c>
      <c r="AD666" s="476">
        <f>INDEX(Input!$1:$1048576,AD$93,$C666*2+MIN($B666,2)+5)</f>
        <v>0.35</v>
      </c>
      <c r="AE666" s="475">
        <f>INDEX(Input!$1:$1048576,AE$93,$C666*2+MIN($B666,2)+5)
+INDEX(Scenarios!AE$121:AE$200,MATCH($B666,Scenarios!$B$121:$B$200,0))</f>
        <v>0</v>
      </c>
      <c r="AF666" s="476">
        <f>INDEX(Input!$1:$1048576,AF$93,$C666*2+MIN($B666,2)+5)</f>
        <v>1</v>
      </c>
      <c r="AG666" s="475">
        <f>INDEX(Input!$1:$1048576,AG$93,$C666*2+MIN($B666,2)+5)</f>
        <v>0</v>
      </c>
      <c r="AH666" s="476">
        <f>INDEX(Input!$1:$1048576,AH$93,$C666*2+MIN($B666,2)+5)</f>
        <v>1</v>
      </c>
      <c r="AI666" s="475">
        <f>INDEX(Input!$1:$1048576,AI$93,$C666*2+MIN($B666,2)+5)</f>
        <v>0</v>
      </c>
      <c r="AJ666" s="476">
        <f>INDEX(Input!$1:$1048576,AJ$93,$C666*2+MIN($B666,2)+5)</f>
        <v>0.35</v>
      </c>
      <c r="AK666" s="150">
        <f>ROUND(INDEX(Input!$1:$1048576,AK$93,$C665*2+MIN($B666,1)+5)+(Y666-VLOOKUP($C666*1000+1,$A:$HH,Y$92,FALSE)),0)</f>
        <v>5093</v>
      </c>
      <c r="AL666" s="150">
        <f>ROUND(INDEX(Input!$1:$1048576,AL$93,$C665*2+MIN($B666,1)+5)-(Y666-VLOOKUP($C666*1000+1,$A:$HH,Y$92,FALSE))/36,0)</f>
        <v>5217</v>
      </c>
      <c r="AM666" s="32" t="str">
        <f t="shared" ref="AM666:AM699" si="2101">IF(K666="market","std",ROUND(K666*1000,0)/10)&amp;"/"&amp;IF(L666="market","std",ROUND(L666*1000,0)/10)&amp;"/"&amp;IF(M666="market","std",ROUND(M666*1000,0)/10)&amp;"/"&amp;IF(N666="market","std",ROUND(N666*1000,0)/10)&amp;IF(P666="N","","/"&amp;IF(O666="market","std",ROUND(O666*1000,0)/10))</f>
        <v>std/std/std/std</v>
      </c>
      <c r="AN666" s="32" t="str">
        <f t="shared" ref="AN666:AN699" si="2102">"$"&amp;ROUND(Q666,0)&amp;" + "&amp;IF(S666="market","std",ROUND(S666*1000,0)/10)&amp;"/"&amp;IF(T666="market","std",ROUND(T666*1000,0)/10)&amp;"/"&amp;IF(U666="market","std",ROUND(U666*1000,0)/10)&amp;"/"&amp;IF(V666="market","std",ROUND(V666*1000,0)/10)&amp;IF(X666="N","","/"&amp;IF(W666="market","std",ROUND(W666*1000,0)/10))</f>
        <v>$0 + 0.9/0.9/0.9/2.9/3.9</v>
      </c>
      <c r="AO666" s="32" t="str">
        <f t="shared" ref="AO666:AO699" si="2103">IF(S666="market","std",ROUND(S666*1000,0)/10)&amp;"/"&amp;IF(T666="market","std",ROUND(T666*1000,0)/10)&amp;"/"&amp;IF(U666="market","std",ROUND(U666*1000,0)/10)&amp;"/"&amp;IF(V666="market","std",ROUND(V666*1000,0)/10)&amp;IF(X666="N","","/"&amp;IF(W666="market","std",ROUND(W666*1000,0)/10))</f>
        <v>0.9/0.9/0.9/2.9/3.9</v>
      </c>
      <c r="AP666" s="32" t="str">
        <f t="shared" si="2074"/>
        <v>0.9/1.9/2.9/3.9</v>
      </c>
      <c r="AQ666" s="536">
        <f t="shared" si="2075"/>
        <v>0.3876795611960604</v>
      </c>
      <c r="AR666" s="32"/>
      <c r="AS666" s="302"/>
      <c r="AT666" s="3">
        <f t="shared" si="1993"/>
        <v>66</v>
      </c>
      <c r="AU666" s="41" t="s">
        <v>121</v>
      </c>
      <c r="AV666" s="41" t="s">
        <v>116</v>
      </c>
      <c r="AW666" s="41" t="str">
        <f>INDEX(Input!$1:$1048576,AW$93,$C666*2+6)</f>
        <v>Kia</v>
      </c>
      <c r="AX666" s="41" t="str">
        <f>INDEX(Input!$1:$1048576,AX$93,$C666*2+6)</f>
        <v>National</v>
      </c>
      <c r="AY666" s="41" t="str">
        <f>IF(LEN(D666)=0,"",INDEX(Input!$1:$1048576,AY$93,$C666*2+6))</f>
        <v>Compact Conventional/Sporty Car (43)</v>
      </c>
      <c r="AZ666" s="41" t="str">
        <f>INDEX(Input!$1:$1048576,AZ$93,$C666*2+6)</f>
        <v>Kia Forte</v>
      </c>
      <c r="BA666" s="3">
        <f>INDEX(Input!$1:$1048576,BA$93,$C666*2+6)</f>
        <v>2020</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19695</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si="2076"/>
        <v>1965.0000000000002</v>
      </c>
      <c r="CJ666" s="16" t="str">
        <f>INDEX(Input!$1:$1048576,CJ$93,$C666*2+6)</f>
        <v>N</v>
      </c>
      <c r="CK666" s="1" t="str">
        <f t="shared" si="2077"/>
        <v>Market</v>
      </c>
      <c r="CL666" s="1" t="str">
        <f t="shared" si="2078"/>
        <v>Market</v>
      </c>
      <c r="CM666" s="1" t="str">
        <f t="shared" si="2079"/>
        <v>Market</v>
      </c>
      <c r="CN666" s="1" t="str">
        <f t="shared" si="2080"/>
        <v>Market</v>
      </c>
      <c r="CO666" s="1" t="str">
        <f t="shared" si="2081"/>
        <v>Market</v>
      </c>
      <c r="CP666" s="304">
        <f t="shared" si="2082"/>
        <v>0</v>
      </c>
      <c r="CQ666" s="1">
        <f t="shared" si="2083"/>
        <v>9.0000000000000011E-3</v>
      </c>
      <c r="CR666" s="1">
        <f t="shared" si="2084"/>
        <v>9.0000000000000011E-3</v>
      </c>
      <c r="CS666" s="1">
        <f t="shared" si="2085"/>
        <v>9.0000000000000011E-3</v>
      </c>
      <c r="CT666" s="1">
        <f t="shared" si="2086"/>
        <v>2.8999999999999998E-2</v>
      </c>
      <c r="CU666" s="1">
        <f t="shared" si="2087"/>
        <v>3.9E-2</v>
      </c>
      <c r="CV666" s="304">
        <f t="shared" si="2013"/>
        <v>2339.3275155115825</v>
      </c>
      <c r="CW666" s="20" t="s">
        <v>122</v>
      </c>
      <c r="CX666" s="20" t="s">
        <v>122</v>
      </c>
      <c r="CY666" s="20" t="s">
        <v>122</v>
      </c>
      <c r="CZ666" s="20" t="s">
        <v>122</v>
      </c>
      <c r="DA666" s="20" t="s">
        <v>122</v>
      </c>
      <c r="DB666" s="503">
        <f t="shared" si="2014"/>
        <v>0</v>
      </c>
      <c r="DC666" s="127">
        <v>0</v>
      </c>
      <c r="DD666" s="127">
        <v>0</v>
      </c>
      <c r="DE666" s="127">
        <v>0</v>
      </c>
      <c r="DF666" s="127">
        <v>0</v>
      </c>
      <c r="DG666" s="127">
        <v>0</v>
      </c>
      <c r="DH666" s="127">
        <v>0</v>
      </c>
      <c r="DI666" s="127">
        <v>0</v>
      </c>
      <c r="DJ666" s="127">
        <v>0</v>
      </c>
      <c r="DK666" s="127">
        <v>0</v>
      </c>
      <c r="DL666" s="127">
        <v>0</v>
      </c>
      <c r="DM666" s="304">
        <f>INDEX(Input!$1:$1048576,DM$93,$C666*2+6)</f>
        <v>20731.578947368424</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v>5.1649409055817525E-2</v>
      </c>
      <c r="DZ666" s="7">
        <v>0</v>
      </c>
      <c r="EA666" s="7">
        <v>0.81028461371602378</v>
      </c>
      <c r="EB666" s="7">
        <v>0</v>
      </c>
      <c r="EC666" s="7">
        <v>0</v>
      </c>
      <c r="ED666" s="7">
        <v>0</v>
      </c>
      <c r="EE666" s="7">
        <v>0</v>
      </c>
      <c r="EF666" s="7">
        <v>0</v>
      </c>
      <c r="EG666" s="7">
        <v>0</v>
      </c>
      <c r="EH666" s="7">
        <v>3.5599402519696358E-2</v>
      </c>
      <c r="EI666" s="7">
        <v>2.3152121595206569E-2</v>
      </c>
      <c r="EJ666" s="7">
        <v>0.29093601674858333</v>
      </c>
      <c r="EK666" s="7">
        <v>0.6503124591365137</v>
      </c>
      <c r="EL666" s="7">
        <v>0</v>
      </c>
      <c r="EM666" s="7">
        <v>1.6125139240008288E-2</v>
      </c>
      <c r="EN666" s="7">
        <v>3.6734573296437617E-2</v>
      </c>
      <c r="EO666" s="7">
        <v>0.38222964484390881</v>
      </c>
      <c r="EP666" s="7">
        <v>0.482570120755272</v>
      </c>
      <c r="EQ666" s="7">
        <v>7.4718614739968492E-2</v>
      </c>
      <c r="ER666" s="7">
        <v>2.3747046364412612E-2</v>
      </c>
      <c r="ES666" s="7">
        <v>0.12194083798815054</v>
      </c>
      <c r="ET666" s="7">
        <v>0.1380659772281588</v>
      </c>
      <c r="EU666" s="6">
        <v>1250</v>
      </c>
      <c r="EV666" s="6">
        <v>0</v>
      </c>
      <c r="EW666" s="6">
        <v>1250</v>
      </c>
      <c r="EX666" s="6">
        <v>0</v>
      </c>
      <c r="EY666" s="6">
        <v>945.79531478244303</v>
      </c>
      <c r="EZ666" s="6">
        <v>-1554.2676731795959</v>
      </c>
      <c r="FA666" s="6">
        <v>0</v>
      </c>
      <c r="FB666" s="6">
        <v>0</v>
      </c>
      <c r="FC666" s="6">
        <v>0</v>
      </c>
      <c r="FD666" s="6">
        <v>0</v>
      </c>
      <c r="FE666" s="6">
        <v>0</v>
      </c>
      <c r="FF666" s="6">
        <v>0</v>
      </c>
      <c r="FG666" s="6">
        <v>0</v>
      </c>
      <c r="FH666" s="6">
        <v>930.2335907663072</v>
      </c>
      <c r="FI666" s="6">
        <v>1232.1164465304237</v>
      </c>
      <c r="FJ666" s="6">
        <v>1302.9658415685935</v>
      </c>
      <c r="FK666" s="6">
        <v>776.66319621661614</v>
      </c>
      <c r="FL666" s="6">
        <v>0</v>
      </c>
      <c r="FM666" s="6">
        <v>945.79531478244303</v>
      </c>
      <c r="FN666" s="6">
        <v>0</v>
      </c>
      <c r="FO666" s="6">
        <v>0</v>
      </c>
      <c r="FP666" s="6">
        <v>0</v>
      </c>
      <c r="FQ666" s="6">
        <v>0</v>
      </c>
      <c r="FR666" s="6">
        <v>0</v>
      </c>
      <c r="FS666" s="6">
        <v>0</v>
      </c>
      <c r="FT666" s="7">
        <v>0.86193402277184128</v>
      </c>
      <c r="FU666" s="7">
        <v>1.6125139240008288E-2</v>
      </c>
      <c r="FV666" s="7">
        <v>0.12194083798815054</v>
      </c>
      <c r="FW666" s="6">
        <v>1250.0000000000002</v>
      </c>
      <c r="FX666" s="6">
        <v>945.79531478244303</v>
      </c>
      <c r="FY666" s="6">
        <v>-1554.2676731795959</v>
      </c>
      <c r="FZ666" s="6">
        <v>1676.0854837363124</v>
      </c>
      <c r="GA666" s="6">
        <v>903.13990708280335</v>
      </c>
      <c r="GB666" s="6">
        <v>18791.860092917195</v>
      </c>
      <c r="GC666" s="7">
        <v>6.4493561548621597E-2</v>
      </c>
      <c r="GD666" s="7">
        <v>5.7889118143442421E-2</v>
      </c>
      <c r="GE666" s="7"/>
      <c r="GF666" s="7"/>
      <c r="GG666" s="7">
        <v>-0.10240469353208377</v>
      </c>
      <c r="GH666" s="42">
        <v>2.609317525104998</v>
      </c>
      <c r="GI666" s="6">
        <v>8451.0905917000309</v>
      </c>
      <c r="GJ666" s="14">
        <v>0.51596255589662343</v>
      </c>
      <c r="GK666" s="14">
        <v>0.51419567426615975</v>
      </c>
      <c r="GL666" s="14">
        <v>0.48403744410337685</v>
      </c>
      <c r="GM666" s="14">
        <v>0.48580432573384041</v>
      </c>
      <c r="GO666" s="5">
        <v>338.16872463277008</v>
      </c>
      <c r="GP666" s="5">
        <v>314.32110928815564</v>
      </c>
      <c r="GQ666" s="5">
        <v>527.27910984145694</v>
      </c>
      <c r="GR666" s="5">
        <v>404.20319246551543</v>
      </c>
      <c r="GS666" s="5">
        <v>334.50205195691484</v>
      </c>
      <c r="GT666" s="5">
        <v>289.18266033348181</v>
      </c>
      <c r="GU666" s="5">
        <v>254.29573314828914</v>
      </c>
      <c r="GV666" s="39" t="s">
        <v>392</v>
      </c>
      <c r="GW666" s="5">
        <v>499.23658026051567</v>
      </c>
      <c r="GX666" s="5">
        <v>376.10664223131414</v>
      </c>
      <c r="GY666" s="5">
        <v>309.91347913050362</v>
      </c>
      <c r="GZ666" s="5">
        <v>276.51178903140271</v>
      </c>
      <c r="HA666" s="5">
        <v>254.29573314828914</v>
      </c>
      <c r="HB666" s="39">
        <v>296.46424534712736</v>
      </c>
      <c r="HC666" s="5">
        <v>351.11483570160732</v>
      </c>
      <c r="HD666" s="5">
        <v>282.73776275539944</v>
      </c>
      <c r="HE666" s="5">
        <v>280.55735780820959</v>
      </c>
      <c r="HF666" s="5">
        <v>253.64561428438338</v>
      </c>
      <c r="HG666" s="5">
        <v>237.36506461313525</v>
      </c>
      <c r="HH666" s="39">
        <v>280.94617447465021</v>
      </c>
      <c r="HI666" s="16"/>
      <c r="HJ666" s="19" t="str">
        <f t="shared" ref="HJ666:HK666" si="2104">HJ665</f>
        <v>On</v>
      </c>
      <c r="HK666" s="1" t="str">
        <f t="shared" si="2104"/>
        <v>On</v>
      </c>
      <c r="HL666" s="16"/>
      <c r="HM666" s="639">
        <f t="shared" ref="HM666:HO681" si="2105">(HM166*HY166+HM266*HY266+HM366*HY366+HM466*HY466+HM566*HY566)/HY666</f>
        <v>4.9686942767030826E-2</v>
      </c>
      <c r="HN666" s="639">
        <f t="shared" si="2105"/>
        <v>2.6112822013589915E-3</v>
      </c>
      <c r="HO666" s="639">
        <f t="shared" si="2105"/>
        <v>3.166115353075552E-2</v>
      </c>
      <c r="HP666" s="644">
        <f t="shared" si="2089"/>
        <v>714.67420927034095</v>
      </c>
      <c r="HQ666" s="644">
        <f t="shared" si="2089"/>
        <v>-88.850203063801587</v>
      </c>
      <c r="HR666" s="644">
        <f t="shared" si="2089"/>
        <v>-16.085649881821798</v>
      </c>
      <c r="HS666" s="644">
        <f t="shared" si="2089"/>
        <v>-144.23873256565349</v>
      </c>
      <c r="HT666" s="644">
        <f t="shared" si="2089"/>
        <v>-44.005138993886291</v>
      </c>
      <c r="HU666" s="644">
        <f t="shared" si="2089"/>
        <v>103.64156888022977</v>
      </c>
      <c r="HV666" s="644">
        <f t="shared" si="2089"/>
        <v>0</v>
      </c>
      <c r="HW666" s="644">
        <f t="shared" si="2089"/>
        <v>0</v>
      </c>
      <c r="HX666" s="644">
        <f t="shared" si="2089"/>
        <v>0</v>
      </c>
      <c r="HY666" s="644">
        <f t="shared" si="2089"/>
        <v>2388</v>
      </c>
      <c r="HZ666" s="644">
        <f t="shared" si="2089"/>
        <v>2518</v>
      </c>
      <c r="IA666" s="644">
        <f t="shared" si="2089"/>
        <v>2200</v>
      </c>
      <c r="IB666" s="644">
        <f t="shared" si="2089"/>
        <v>2958.4354767046875</v>
      </c>
      <c r="IC666" s="644">
        <f t="shared" si="2089"/>
        <v>2385.1446579423123</v>
      </c>
      <c r="ID666" s="644">
        <f t="shared" si="2089"/>
        <v>2287.5559189984078</v>
      </c>
      <c r="IE666" s="20">
        <f t="shared" ref="IE666:IE701" si="2106">IB666/SUM($IB666:$ID666)</f>
        <v>0.3876795611960604</v>
      </c>
      <c r="IF666" s="20">
        <f t="shared" si="2090"/>
        <v>0.31255433544562794</v>
      </c>
      <c r="IG666" s="20">
        <f t="shared" si="2091"/>
        <v>0.29976610335831166</v>
      </c>
      <c r="IH666" s="21"/>
      <c r="II666" s="19"/>
      <c r="IJ666" s="19"/>
      <c r="IK666" s="19"/>
      <c r="IL666" s="19">
        <f t="shared" ref="IL666:IN701" si="2107">JA666-IX666</f>
        <v>900</v>
      </c>
      <c r="IM666" s="19">
        <f t="shared" si="2107"/>
        <v>-21.362467062631822</v>
      </c>
      <c r="IN666" s="19">
        <f t="shared" si="2107"/>
        <v>286.37805352906798</v>
      </c>
      <c r="IO666" s="39"/>
      <c r="IP666" s="39"/>
      <c r="IQ666" s="39"/>
      <c r="IR666" s="39"/>
      <c r="IS666" s="39"/>
      <c r="IT666" s="39"/>
      <c r="IU666" s="39"/>
      <c r="IV666" s="39"/>
      <c r="IW666" s="39"/>
      <c r="IX666" s="19">
        <f t="shared" ref="IX666:IZ681" si="2108">(IX166*HY166+IX266*HY266+IX366*HY366+IX466*HY466+IX566*HY566)/HY666</f>
        <v>1600</v>
      </c>
      <c r="IY666" s="19">
        <f t="shared" si="2108"/>
        <v>2503.549291639752</v>
      </c>
      <c r="IZ666" s="19">
        <f t="shared" si="2108"/>
        <v>5888.3563810918577</v>
      </c>
      <c r="JA666" s="19">
        <f t="shared" ref="JA666:JC681" si="2109">IFERROR((JA166*IB166+JA266*IB266+JA366*IB366+JA466*IB466+JA566*IB566)/IB666,0)</f>
        <v>2500</v>
      </c>
      <c r="JB666" s="19">
        <f t="shared" si="2109"/>
        <v>2482.1868245771202</v>
      </c>
      <c r="JC666" s="19">
        <f t="shared" si="2109"/>
        <v>6174.7344346209256</v>
      </c>
      <c r="JD666" s="19">
        <f t="shared" ref="JD666:JD701" si="2110">SUMPRODUCT(IE666:IG666,JA666:JC666)</f>
        <v>3595.9932371364484</v>
      </c>
      <c r="JE666" s="21"/>
      <c r="JF666" s="1">
        <f t="shared" ref="JF666:JF701" si="2111">(JF166*JG166+JF266*JG266+JF366*JG366+JF466*JG466+JF566*JG566)/JG666</f>
        <v>6.8844376252282569E-2</v>
      </c>
      <c r="JG666" s="15">
        <f t="shared" ref="JG666:JG701" si="2112">JG166+JG266+JG366+JG466+JG566</f>
        <v>7106</v>
      </c>
      <c r="JH666" s="1">
        <f t="shared" ref="JH666:JH701" si="2113">SUM(HP666:HR666)/SUM(HY666:IA666)</f>
        <v>8.5806129513751411E-2</v>
      </c>
      <c r="JI666" s="1">
        <f t="shared" ref="JI666:JI701" si="2114">SUM(HS666:HU666)/SUM(HY666:IA666)</f>
        <v>-1.1905756076457927E-2</v>
      </c>
      <c r="JJ666" s="1">
        <f t="shared" si="2092"/>
        <v>0</v>
      </c>
      <c r="JK666" s="1">
        <f t="shared" si="2093"/>
        <v>7.3900373437293471E-2</v>
      </c>
      <c r="JL666" s="15">
        <f t="shared" ref="JL666:JM681" si="2115">JL166+JL266+JL366+JL466+JL566</f>
        <v>525.1360536454074</v>
      </c>
      <c r="JM666" s="15">
        <f t="shared" si="2115"/>
        <v>7631.1360536454067</v>
      </c>
      <c r="JN666" s="21"/>
      <c r="JO666" s="19">
        <f>INDEX([1]Input!$1:$1048576,JO$93,$C666*2+6)</f>
        <v>5995.5</v>
      </c>
      <c r="JP666" s="19">
        <f>INDEX([1]Input!$1:$1048576,JP$93,$C666*2+6)</f>
        <v>1716.3055838443925</v>
      </c>
      <c r="JQ666" s="39">
        <f t="shared" si="1995"/>
        <v>2399.5067628635516</v>
      </c>
      <c r="JR666" s="39">
        <f t="shared" si="1996"/>
        <v>1879.687653292056</v>
      </c>
      <c r="JS666" s="39">
        <f t="shared" si="1997"/>
        <v>27.441513640577007</v>
      </c>
      <c r="JT666" s="39">
        <f t="shared" ref="JT666:JT701" si="2116">(JD666*JM666-JP666*JG666)/1000000</f>
        <v>15.245446161778753</v>
      </c>
      <c r="JU666" s="385">
        <f>(JQ666*JM666-INDEX([1]Input!$1:$1048576,[1]Input!A$18,$C666*2+6)*JL666*INDEX([1]Input!$1:$1048576,[1]Input!A$19,$C666*2+6))/1000000</f>
        <v>18.310962569054027</v>
      </c>
      <c r="JV666" s="39">
        <f t="shared" si="2094"/>
        <v>-12.096992952147723</v>
      </c>
      <c r="JW666" s="1">
        <f t="shared" si="2000"/>
        <v>-0.39782329146440554</v>
      </c>
      <c r="JX666" s="19">
        <f t="shared" si="2001"/>
        <v>29031.421582935305</v>
      </c>
      <c r="JZ666" s="341"/>
      <c r="KA666" s="60"/>
      <c r="KB666" s="469">
        <f t="shared" ref="KB666:KB701" si="2117">KA671</f>
        <v>0</v>
      </c>
      <c r="KI666" s="472"/>
      <c r="KJ666" s="472"/>
      <c r="KK666" s="472"/>
      <c r="KN666" s="26">
        <f t="shared" ref="KN666:KN701" si="2118">C666*1000+$KN$97</f>
        <v>6002</v>
      </c>
      <c r="KO666" s="789">
        <f t="shared" si="2095"/>
        <v>-1.4389337955280634E-3</v>
      </c>
      <c r="KP666" s="790">
        <f t="shared" si="2096"/>
        <v>70.660748102641193</v>
      </c>
      <c r="KQ666" s="790">
        <f t="shared" si="2097"/>
        <v>-1.4552531534782247</v>
      </c>
      <c r="KR666" s="26">
        <f t="shared" si="2098"/>
        <v>-0.32781015648077766</v>
      </c>
      <c r="KS666" s="26">
        <f t="shared" si="2099"/>
        <v>15.917031917926176</v>
      </c>
      <c r="KT666" s="791">
        <f t="shared" si="1998"/>
        <v>2521.945896759994</v>
      </c>
      <c r="KU666" s="792">
        <f t="shared" ref="KU666:KU701" si="2119">IF(D666="",0,IFERROR((JM666/KT666-1)/(JD666/BX666)+B666*10^-6,0))</f>
        <v>11.09573315056122</v>
      </c>
      <c r="KV666" s="117"/>
    </row>
    <row r="667" spans="1:308" s="26" customFormat="1" ht="15" outlineLevel="1">
      <c r="A667" s="561">
        <f t="shared" si="2100"/>
        <v>6067</v>
      </c>
      <c r="B667" s="561">
        <f t="shared" ref="B667:B699" si="2120">B666+1</f>
        <v>67</v>
      </c>
      <c r="C667" s="561">
        <f t="shared" ref="C667:C699" si="2121">C666</f>
        <v>6</v>
      </c>
      <c r="D667" s="561" t="str">
        <f t="shared" si="2028"/>
        <v xml:space="preserve">250 CC, 0.9/1.9/2.9/3.9, -360 Lease, </v>
      </c>
      <c r="E667" s="475">
        <f>INDEX(Input!$1:$1048576,E$93,$C667*2+MIN($B667,2)+5)
+INDEX(Scenarios!E$121:E$200,MATCH($B667,Scenarios!$B$121:$B$200,0))</f>
        <v>1500.0000000000002</v>
      </c>
      <c r="F667" s="475">
        <f>INDEX(Input!$1:$1048576,F$93,$C667*2+MIN($B667,2)+5)
+INDEX(Scenarios!F$121:F$200,MATCH($B667,Scenarios!$B$121:$B$200,0))</f>
        <v>0</v>
      </c>
      <c r="G667" s="475">
        <f>INDEX(Input!$1:$1048576,G$93,$C667*2+MIN($B667,2)+5)
+INDEX(Scenarios!G$121:G$200,MATCH($B667,Scenarios!$B$121:$B$200,0))</f>
        <v>0</v>
      </c>
      <c r="H667" s="475">
        <f>INDEX(Input!$1:$1048576,H$93,$C667*2+MIN($B667,2)+5)
+INDEX(Scenarios!H$121:H$200,MATCH($B667,Scenarios!$B$121:$B$200,0))</f>
        <v>0</v>
      </c>
      <c r="I667" s="476">
        <f>INDEX(Input!$1:$1048576,I$93,$C667*2+MIN($B667,2)+5)</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+INDEX(Scenarios!Q$121:Q$200,MATCH($B667,Scenarios!$B$121:$B$200,0))</f>
        <v>0</v>
      </c>
      <c r="R667" s="478">
        <f>IFERROR(MAX(0,INDEX(Input!$1:$1048576,R$93,$C667*2+MIN($B667,2)+5)
+INDEX(Scenarios!R$121:R$200,MATCH($B667,Scenarios!$B$121:$B$200,0)),),"Market")</f>
        <v>9.0000000000000011E-3</v>
      </c>
      <c r="S667" s="478">
        <f>IFERROR(MAX(0,INDEX(Input!$1:$1048576,S$93,$C667*2+MIN($B667,2)+5)
+INDEX(Scenarios!S$121:S$200,MATCH($B667,Scenarios!$B$121:$B$200,0)),),"Market")</f>
        <v>9.0000000000000011E-3</v>
      </c>
      <c r="T667" s="478">
        <f>IFERROR(MAX(0,INDEX(Input!$1:$1048576,T$93,$C667*2+MIN($B667,2)+5)
+INDEX(Scenarios!T$121:T$200,MATCH($B667,Scenarios!$B$121:$B$200,0)),),"Market")</f>
        <v>9.0000000000000011E-3</v>
      </c>
      <c r="U667" s="478">
        <f>IFERROR(MAX(0,INDEX(Input!$1:$1048576,U$93,$C667*2+MIN($B667,2)+5)
+INDEX(Scenarios!U$121:U$200,MATCH($B667,Scenarios!$B$121:$B$200,0)),),"Market")</f>
        <v>9.0000000000000011E-3</v>
      </c>
      <c r="V667" s="478">
        <f>IFERROR(MAX(0,INDEX(Input!$1:$1048576,V$93,$C667*2+MIN($B667,2)+5)
+INDEX(Scenarios!V$121:V$200,MATCH($B667,Scenarios!$B$121:$B$200,0)),),"Market")</f>
        <v>2.8999999999999998E-2</v>
      </c>
      <c r="W667" s="863">
        <f>IFERROR(MAX(0,INDEX(Input!$1:$1048576,W$93,$C667*2+MIN($B667,2)+5)-0%,),"Market")</f>
        <v>3.9E-2</v>
      </c>
      <c r="X667" s="476" t="str">
        <f>INDEX(Input!$1:$1048576,X$93,$C667*2+MIN($B667,2)+5)</f>
        <v>Y</v>
      </c>
      <c r="Y667" s="475">
        <f>INDEX(Input!$1:$1048576,Y$93,$C667*2+MIN($B667,2)+5)
++INDEX(Scenarios!Y$121:Y$200,MATCH($B667,Scenarios!$B$121:$B$200,0))</f>
        <v>1979.3275155115825</v>
      </c>
      <c r="Z667" s="477">
        <f>INDEX(Input!$1:$1048576,Z$93,$C667*2+MIN($B667,2)+5)
+INDEX(Scenarios!Z$121:Z$200,MATCH($B667,Scenarios!$B$121:$B$200,0))</f>
        <v>0</v>
      </c>
      <c r="AA667" s="475">
        <f>INDEX(Input!$1:$1048576,AA$93,$C667*2+MIN($B667,2)+5)</f>
        <v>0</v>
      </c>
      <c r="AB667" s="476">
        <f>INDEX(Input!$1:$1048576,AB$93,$C667*2+MIN($B667,2)+5)</f>
        <v>1</v>
      </c>
      <c r="AC667" s="475">
        <f>INDEX(Input!$1:$1048576,AC$93,$C667*2+MIN($B667,2)+5)
+INDEX(Scenarios!AC$121:AC$200,MATCH($B667,Scenarios!$B$121:$B$200,0))</f>
        <v>0</v>
      </c>
      <c r="AD667" s="476">
        <f>INDEX(Input!$1:$1048576,AD$93,$C667*2+MIN($B667,2)+5)</f>
        <v>0.35</v>
      </c>
      <c r="AE667" s="475">
        <f>INDEX(Input!$1:$1048576,AE$93,$C667*2+MIN($B667,2)+5)
+INDEX(Scenarios!AE$121:AE$200,MATCH($B667,Scenarios!$B$121:$B$200,0))</f>
        <v>0</v>
      </c>
      <c r="AF667" s="476">
        <f>INDEX(Input!$1:$1048576,AF$93,$C667*2+MIN($B667,2)+5)</f>
        <v>1</v>
      </c>
      <c r="AG667" s="475">
        <f>INDEX(Input!$1:$1048576,AG$93,$C667*2+MIN($B667,2)+5)</f>
        <v>0</v>
      </c>
      <c r="AH667" s="476">
        <f>INDEX(Input!$1:$1048576,AH$93,$C667*2+MIN($B667,2)+5)</f>
        <v>1</v>
      </c>
      <c r="AI667" s="475">
        <f>INDEX(Input!$1:$1048576,AI$93,$C667*2+MIN($B667,2)+5)</f>
        <v>0</v>
      </c>
      <c r="AJ667" s="476">
        <f>INDEX(Input!$1:$1048576,AJ$93,$C667*2+MIN($B667,2)+5)</f>
        <v>0.35</v>
      </c>
      <c r="AK667" s="150">
        <f>ROUND(INDEX(Input!$1:$1048576,AK$93,$C666*2+MIN($B667,1)+5)+(Y667-VLOOKUP($C667*1000+1,$A:$HH,Y$92,FALSE)),0)</f>
        <v>4733</v>
      </c>
      <c r="AL667" s="150">
        <f>ROUND(INDEX(Input!$1:$1048576,AL$93,$C666*2+MIN($B667,1)+5)-(Y667-VLOOKUP($C667*1000+1,$A:$HH,Y$92,FALSE))/36,0)</f>
        <v>5227</v>
      </c>
      <c r="AM667" s="32" t="str">
        <f t="shared" si="2101"/>
        <v>std/std/std/std</v>
      </c>
      <c r="AN667" s="32" t="str">
        <f t="shared" si="2102"/>
        <v>$0 + 0.9/0.9/0.9/2.9/3.9</v>
      </c>
      <c r="AO667" s="32" t="str">
        <f t="shared" si="2103"/>
        <v>0.9/0.9/0.9/2.9/3.9</v>
      </c>
      <c r="AP667" s="32" t="str">
        <f t="shared" si="2074"/>
        <v>0.9/1.9/2.9/3.9</v>
      </c>
      <c r="AQ667" s="536">
        <f t="shared" si="2075"/>
        <v>0.39056913481290273</v>
      </c>
      <c r="AR667" s="32"/>
      <c r="AS667" s="302"/>
      <c r="AT667" s="3">
        <f t="shared" ref="AT667:AT699" si="2122">AT666+1</f>
        <v>67</v>
      </c>
      <c r="AU667" s="41" t="s">
        <v>121</v>
      </c>
      <c r="AV667" s="41" t="s">
        <v>116</v>
      </c>
      <c r="AW667" s="41" t="str">
        <f>INDEX(Input!$1:$1048576,AW$93,$C667*2+6)</f>
        <v>Kia</v>
      </c>
      <c r="AX667" s="41" t="str">
        <f>INDEX(Input!$1:$1048576,AX$93,$C667*2+6)</f>
        <v>National</v>
      </c>
      <c r="AY667" s="41" t="str">
        <f>IF(LEN(D667)=0,"",INDEX(Input!$1:$1048576,AY$93,$C667*2+6))</f>
        <v>Compact Conventional/Sporty Car (43)</v>
      </c>
      <c r="AZ667" s="41" t="str">
        <f>INDEX(Input!$1:$1048576,AZ$93,$C667*2+6)</f>
        <v>Kia Forte</v>
      </c>
      <c r="BA667" s="3">
        <f>INDEX(Input!$1:$1048576,BA$93,$C667*2+6)</f>
        <v>2020</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19695</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2076"/>
        <v>1715.0000000000002</v>
      </c>
      <c r="CJ667" s="16" t="str">
        <f>INDEX(Input!$1:$1048576,CJ$93,$C667*2+6)</f>
        <v>N</v>
      </c>
      <c r="CK667" s="1" t="str">
        <f t="shared" si="2077"/>
        <v>Market</v>
      </c>
      <c r="CL667" s="1" t="str">
        <f t="shared" si="2078"/>
        <v>Market</v>
      </c>
      <c r="CM667" s="1" t="str">
        <f t="shared" si="2079"/>
        <v>Market</v>
      </c>
      <c r="CN667" s="1" t="str">
        <f t="shared" si="2080"/>
        <v>Market</v>
      </c>
      <c r="CO667" s="1" t="str">
        <f t="shared" si="2081"/>
        <v>Market</v>
      </c>
      <c r="CP667" s="304">
        <f t="shared" si="2082"/>
        <v>0</v>
      </c>
      <c r="CQ667" s="1">
        <f t="shared" si="2083"/>
        <v>9.0000000000000011E-3</v>
      </c>
      <c r="CR667" s="1">
        <f t="shared" si="2084"/>
        <v>9.0000000000000011E-3</v>
      </c>
      <c r="CS667" s="1">
        <f t="shared" si="2085"/>
        <v>9.0000000000000011E-3</v>
      </c>
      <c r="CT667" s="1">
        <f t="shared" si="2086"/>
        <v>2.8999999999999998E-2</v>
      </c>
      <c r="CU667" s="1">
        <f t="shared" si="2087"/>
        <v>3.9E-2</v>
      </c>
      <c r="CV667" s="304">
        <f t="shared" si="2013"/>
        <v>1979.3275155115825</v>
      </c>
      <c r="CW667" s="20" t="s">
        <v>122</v>
      </c>
      <c r="CX667" s="20" t="s">
        <v>122</v>
      </c>
      <c r="CY667" s="20" t="s">
        <v>122</v>
      </c>
      <c r="CZ667" s="20" t="s">
        <v>122</v>
      </c>
      <c r="DA667" s="20" t="s">
        <v>122</v>
      </c>
      <c r="DB667" s="503">
        <f t="shared" si="2014"/>
        <v>0</v>
      </c>
      <c r="DC667" s="127">
        <v>0</v>
      </c>
      <c r="DD667" s="127">
        <v>0</v>
      </c>
      <c r="DE667" s="127">
        <v>0</v>
      </c>
      <c r="DF667" s="127">
        <v>0</v>
      </c>
      <c r="DG667" s="127">
        <v>0</v>
      </c>
      <c r="DH667" s="127">
        <v>0</v>
      </c>
      <c r="DI667" s="127">
        <v>0</v>
      </c>
      <c r="DJ667" s="127">
        <v>0</v>
      </c>
      <c r="DK667" s="127">
        <v>0</v>
      </c>
      <c r="DL667" s="127">
        <v>0</v>
      </c>
      <c r="DM667" s="304">
        <f>INDEX(Input!$1:$1048576,DM$93,$C667*2+6)</f>
        <v>20731.578947368424</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v>5.1477293140312755E-2</v>
      </c>
      <c r="DZ667" s="7">
        <v>0</v>
      </c>
      <c r="EA667" s="7">
        <v>0.80752660247037145</v>
      </c>
      <c r="EB667" s="7">
        <v>0</v>
      </c>
      <c r="EC667" s="7">
        <v>0</v>
      </c>
      <c r="ED667" s="7">
        <v>0</v>
      </c>
      <c r="EE667" s="7">
        <v>0</v>
      </c>
      <c r="EF667" s="7">
        <v>0</v>
      </c>
      <c r="EG667" s="7">
        <v>0</v>
      </c>
      <c r="EH667" s="7">
        <v>3.558647321520822E-2</v>
      </c>
      <c r="EI667" s="7">
        <v>2.3151613709844549E-2</v>
      </c>
      <c r="EJ667" s="7">
        <v>0.2908233403075221</v>
      </c>
      <c r="EK667" s="7">
        <v>0.65043857276742534</v>
      </c>
      <c r="EL667" s="7">
        <v>0</v>
      </c>
      <c r="EM667" s="7">
        <v>1.7976512458673734E-2</v>
      </c>
      <c r="EN667" s="7">
        <v>3.7182756063311388E-2</v>
      </c>
      <c r="EO667" s="7">
        <v>0.37950590719109428</v>
      </c>
      <c r="EP667" s="7">
        <v>0.48405402886107884</v>
      </c>
      <c r="EQ667" s="7">
        <v>7.5206608857017923E-2</v>
      </c>
      <c r="ER667" s="7">
        <v>2.4050699027497305E-2</v>
      </c>
      <c r="ES667" s="7">
        <v>0.12301959193064213</v>
      </c>
      <c r="ET667" s="7">
        <v>0.14099610438931584</v>
      </c>
      <c r="EU667" s="6">
        <v>1000</v>
      </c>
      <c r="EV667" s="6">
        <v>0</v>
      </c>
      <c r="EW667" s="6">
        <v>1000</v>
      </c>
      <c r="EX667" s="6">
        <v>0</v>
      </c>
      <c r="EY667" s="6">
        <v>945.73359472603602</v>
      </c>
      <c r="EZ667" s="6">
        <v>-1914.2676731795959</v>
      </c>
      <c r="FA667" s="6">
        <v>0</v>
      </c>
      <c r="FB667" s="6">
        <v>0</v>
      </c>
      <c r="FC667" s="6">
        <v>0</v>
      </c>
      <c r="FD667" s="6">
        <v>0</v>
      </c>
      <c r="FE667" s="6">
        <v>0</v>
      </c>
      <c r="FF667" s="6">
        <v>0</v>
      </c>
      <c r="FG667" s="6">
        <v>0</v>
      </c>
      <c r="FH667" s="6">
        <v>930.22793493813504</v>
      </c>
      <c r="FI667" s="6">
        <v>1232.1164465304232</v>
      </c>
      <c r="FJ667" s="6">
        <v>1302.9658415685931</v>
      </c>
      <c r="FK667" s="6">
        <v>776.66319621661694</v>
      </c>
      <c r="FL667" s="6">
        <v>0</v>
      </c>
      <c r="FM667" s="6">
        <v>945.73359472603602</v>
      </c>
      <c r="FN667" s="6">
        <v>0</v>
      </c>
      <c r="FO667" s="6">
        <v>0</v>
      </c>
      <c r="FP667" s="6">
        <v>0</v>
      </c>
      <c r="FQ667" s="6">
        <v>0</v>
      </c>
      <c r="FR667" s="6">
        <v>0</v>
      </c>
      <c r="FS667" s="6">
        <v>0</v>
      </c>
      <c r="FT667" s="7">
        <v>0.85900389561068424</v>
      </c>
      <c r="FU667" s="7">
        <v>1.7976512458673734E-2</v>
      </c>
      <c r="FV667" s="7">
        <v>0.12301959193064213</v>
      </c>
      <c r="FW667" s="6">
        <v>1000</v>
      </c>
      <c r="FX667" s="6">
        <v>945.73359472603602</v>
      </c>
      <c r="FY667" s="6">
        <v>-1914.2676731795959</v>
      </c>
      <c r="FZ667" s="6">
        <v>1676.0854837363124</v>
      </c>
      <c r="GA667" s="6">
        <v>640.51245935828945</v>
      </c>
      <c r="GB667" s="6">
        <v>19054.487540641712</v>
      </c>
      <c r="GC667" s="7">
        <v>6.4493561548621597E-2</v>
      </c>
      <c r="GD667" s="7">
        <v>5.4900135561938498E-2</v>
      </c>
      <c r="GE667" s="7"/>
      <c r="GF667" s="7"/>
      <c r="GG667" s="7">
        <v>-0.14875013499526818</v>
      </c>
      <c r="GH667" s="42">
        <v>2.8289978975566483</v>
      </c>
      <c r="GI667" s="6">
        <v>7602.3415992845503</v>
      </c>
      <c r="GJ667" s="14">
        <v>0.51596255589662321</v>
      </c>
      <c r="GK667" s="14">
        <v>0.51419567426615953</v>
      </c>
      <c r="GL667" s="14">
        <v>0.48403744410337635</v>
      </c>
      <c r="GM667" s="14">
        <v>0.48580432573384019</v>
      </c>
      <c r="GO667" s="5">
        <v>338.16872463277008</v>
      </c>
      <c r="GP667" s="5">
        <v>319.09063235707856</v>
      </c>
      <c r="GQ667" s="5">
        <v>527.27910984145694</v>
      </c>
      <c r="GR667" s="5">
        <v>404.20319246551543</v>
      </c>
      <c r="GS667" s="5">
        <v>334.50205195691484</v>
      </c>
      <c r="GT667" s="5">
        <v>289.18266033348181</v>
      </c>
      <c r="GU667" s="5">
        <v>254.29573314828914</v>
      </c>
      <c r="GV667" s="39" t="s">
        <v>392</v>
      </c>
      <c r="GW667" s="5">
        <v>499.23658026051567</v>
      </c>
      <c r="GX667" s="5">
        <v>376.10664223131414</v>
      </c>
      <c r="GY667" s="5">
        <v>309.91347913050362</v>
      </c>
      <c r="GZ667" s="5">
        <v>276.51178903140271</v>
      </c>
      <c r="HA667" s="5">
        <v>254.29573314828914</v>
      </c>
      <c r="HB667" s="39">
        <v>296.45755150415067</v>
      </c>
      <c r="HC667" s="5">
        <v>366.86483570160732</v>
      </c>
      <c r="HD667" s="5">
        <v>293.48776275539944</v>
      </c>
      <c r="HE667" s="5">
        <v>290.53812703897881</v>
      </c>
      <c r="HF667" s="5">
        <v>261.97061428438337</v>
      </c>
      <c r="HG667" s="5">
        <v>244.26506461313522</v>
      </c>
      <c r="HH667" s="39">
        <v>291.23420335150286</v>
      </c>
      <c r="HI667" s="16"/>
      <c r="HJ667" s="19" t="str">
        <f t="shared" ref="HJ667:HK667" si="2123">HJ666</f>
        <v>On</v>
      </c>
      <c r="HK667" s="1" t="str">
        <f t="shared" si="2123"/>
        <v>On</v>
      </c>
      <c r="HL667" s="16"/>
      <c r="HM667" s="639">
        <f t="shared" si="2105"/>
        <v>4.9686942767030826E-2</v>
      </c>
      <c r="HN667" s="639">
        <f t="shared" si="2105"/>
        <v>2.6112822013589915E-3</v>
      </c>
      <c r="HO667" s="639">
        <f t="shared" si="2105"/>
        <v>3.166115353075552E-2</v>
      </c>
      <c r="HP667" s="644">
        <f t="shared" si="2089"/>
        <v>570.74642371814082</v>
      </c>
      <c r="HQ667" s="644">
        <f t="shared" si="2089"/>
        <v>-80.180560971944288</v>
      </c>
      <c r="HR667" s="644">
        <f t="shared" si="2089"/>
        <v>-151.14078384306171</v>
      </c>
      <c r="HS667" s="644">
        <f t="shared" si="2089"/>
        <v>-104.15976731491705</v>
      </c>
      <c r="HT667" s="644">
        <f t="shared" si="2089"/>
        <v>-34.644496888402394</v>
      </c>
      <c r="HU667" s="644">
        <f t="shared" si="2089"/>
        <v>2.1662909957694314</v>
      </c>
      <c r="HV667" s="644">
        <f t="shared" si="2089"/>
        <v>0</v>
      </c>
      <c r="HW667" s="644">
        <f t="shared" si="2089"/>
        <v>0</v>
      </c>
      <c r="HX667" s="644">
        <f t="shared" si="2089"/>
        <v>0</v>
      </c>
      <c r="HY667" s="644">
        <f t="shared" si="2089"/>
        <v>2388</v>
      </c>
      <c r="HZ667" s="644">
        <f t="shared" si="2089"/>
        <v>2518</v>
      </c>
      <c r="IA667" s="644">
        <f t="shared" si="2089"/>
        <v>2200</v>
      </c>
      <c r="IB667" s="644">
        <f t="shared" si="2089"/>
        <v>2854.586656403224</v>
      </c>
      <c r="IC667" s="644">
        <f t="shared" si="2089"/>
        <v>2403.1749421396535</v>
      </c>
      <c r="ID667" s="644">
        <f t="shared" si="2089"/>
        <v>2051.0255071527076</v>
      </c>
      <c r="IE667" s="20">
        <f t="shared" si="2106"/>
        <v>0.39056913481290273</v>
      </c>
      <c r="IF667" s="20">
        <f t="shared" si="2090"/>
        <v>0.32880625846481554</v>
      </c>
      <c r="IG667" s="20">
        <f t="shared" si="2091"/>
        <v>0.28062460672228179</v>
      </c>
      <c r="IH667" s="21"/>
      <c r="II667" s="19"/>
      <c r="IJ667" s="19"/>
      <c r="IK667" s="19"/>
      <c r="IL667" s="19">
        <f t="shared" si="2107"/>
        <v>649.99999999999955</v>
      </c>
      <c r="IM667" s="19">
        <f t="shared" si="2107"/>
        <v>-21.358852572479009</v>
      </c>
      <c r="IN667" s="19">
        <f t="shared" si="2107"/>
        <v>-72.034990547326743</v>
      </c>
      <c r="IO667" s="39"/>
      <c r="IP667" s="39"/>
      <c r="IQ667" s="39"/>
      <c r="IR667" s="39"/>
      <c r="IS667" s="39"/>
      <c r="IT667" s="39"/>
      <c r="IU667" s="39"/>
      <c r="IV667" s="39"/>
      <c r="IW667" s="39"/>
      <c r="IX667" s="19">
        <f t="shared" si="2108"/>
        <v>1600</v>
      </c>
      <c r="IY667" s="19">
        <f t="shared" si="2108"/>
        <v>2503.549291639752</v>
      </c>
      <c r="IZ667" s="19">
        <f t="shared" si="2108"/>
        <v>5888.3563810918577</v>
      </c>
      <c r="JA667" s="19">
        <f t="shared" si="2109"/>
        <v>2249.9999999999995</v>
      </c>
      <c r="JB667" s="19">
        <f t="shared" si="2109"/>
        <v>2482.190439067273</v>
      </c>
      <c r="JC667" s="19">
        <f t="shared" si="2109"/>
        <v>5816.3213905445309</v>
      </c>
      <c r="JD667" s="19">
        <f t="shared" si="2110"/>
        <v>3327.1432071878326</v>
      </c>
      <c r="JE667" s="21"/>
      <c r="JF667" s="1">
        <f t="shared" si="2111"/>
        <v>6.8844376252282569E-2</v>
      </c>
      <c r="JG667" s="15">
        <f t="shared" si="2112"/>
        <v>7106</v>
      </c>
      <c r="JH667" s="1">
        <f t="shared" si="2113"/>
        <v>4.7765983521409344E-2</v>
      </c>
      <c r="JI667" s="1">
        <f t="shared" si="2114"/>
        <v>-1.9228535492196736E-2</v>
      </c>
      <c r="JJ667" s="1">
        <f t="shared" si="2092"/>
        <v>0</v>
      </c>
      <c r="JK667" s="1">
        <f t="shared" si="2093"/>
        <v>2.8537448029212615E-2</v>
      </c>
      <c r="JL667" s="15">
        <f t="shared" si="2115"/>
        <v>202.78710569558484</v>
      </c>
      <c r="JM667" s="15">
        <f t="shared" si="2115"/>
        <v>7308.7871056955846</v>
      </c>
      <c r="JN667" s="21"/>
      <c r="JO667" s="19">
        <f>INDEX([1]Input!$1:$1048576,JO$93,$C667*2+6)</f>
        <v>5995.5</v>
      </c>
      <c r="JP667" s="19">
        <f>INDEX([1]Input!$1:$1048576,JP$93,$C667*2+6)</f>
        <v>1716.3055838443925</v>
      </c>
      <c r="JQ667" s="39">
        <f t="shared" ref="JQ667:JQ701" si="2124">JO667-JD667</f>
        <v>2668.3567928121674</v>
      </c>
      <c r="JR667" s="39">
        <f t="shared" ref="JR667:JR701" si="2125">JD667-JP667</f>
        <v>1610.8376233434401</v>
      </c>
      <c r="JS667" s="39">
        <f t="shared" ref="JS667:JS701" si="2126">JM667*JD667/1000000</f>
        <v>24.317381371497085</v>
      </c>
      <c r="JT667" s="39">
        <f t="shared" si="2116"/>
        <v>12.121313892698829</v>
      </c>
      <c r="JU667" s="385">
        <f>(JQ667*JM667-INDEX([1]Input!$1:$1048576,[1]Input!A$18,$C667*2+6)*JL667*INDEX([1]Input!$1:$1048576,[1]Input!A$19,$C667*2+6))/1000000</f>
        <v>19.502451720700794</v>
      </c>
      <c r="JV667" s="39">
        <f t="shared" si="2094"/>
        <v>-10.905503800500956</v>
      </c>
      <c r="JW667" s="1">
        <f t="shared" si="2000"/>
        <v>-0.35863982347965367</v>
      </c>
      <c r="JX667" s="19">
        <f t="shared" si="2001"/>
        <v>59773.592857993724</v>
      </c>
      <c r="JZ667" s="341"/>
      <c r="KA667" s="60"/>
      <c r="KB667" s="469">
        <f t="shared" si="2117"/>
        <v>0</v>
      </c>
      <c r="KI667" s="472"/>
      <c r="KJ667" s="472"/>
      <c r="KK667" s="472"/>
      <c r="KN667" s="26">
        <f t="shared" si="2118"/>
        <v>6002</v>
      </c>
      <c r="KO667" s="789">
        <f t="shared" si="2095"/>
        <v>-4.3619430499016842E-2</v>
      </c>
      <c r="KP667" s="790">
        <f t="shared" si="2096"/>
        <v>-133.50959813543878</v>
      </c>
      <c r="KQ667" s="790">
        <f t="shared" si="2097"/>
        <v>-270.30528310209411</v>
      </c>
      <c r="KR667" s="26">
        <f t="shared" si="2098"/>
        <v>5.2592925084669195</v>
      </c>
      <c r="KS667" s="26">
        <f t="shared" si="2099"/>
        <v>2.5976777857387812</v>
      </c>
      <c r="KT667" s="791">
        <f t="shared" ref="KT667:KT701" si="2127">KT666</f>
        <v>2521.945896759994</v>
      </c>
      <c r="KU667" s="792">
        <f t="shared" si="2119"/>
        <v>11.235705216532432</v>
      </c>
      <c r="KV667" s="117"/>
    </row>
    <row r="668" spans="1:308" s="26" customFormat="1" ht="15" outlineLevel="1">
      <c r="A668" s="561">
        <f t="shared" si="2100"/>
        <v>6068</v>
      </c>
      <c r="B668" s="561">
        <f t="shared" si="2120"/>
        <v>68</v>
      </c>
      <c r="C668" s="561">
        <f t="shared" si="2121"/>
        <v>6</v>
      </c>
      <c r="D668" s="561" t="str">
        <f t="shared" si="2028"/>
        <v xml:space="preserve">500 CC, 0.9/1.9/2.9/3.9, -360 Lease, </v>
      </c>
      <c r="E668" s="475">
        <f>INDEX(Input!$1:$1048576,E$93,$C668*2+MIN($B668,2)+5)
+INDEX(Scenarios!E$121:E$200,MATCH($B668,Scenarios!$B$121:$B$200,0))</f>
        <v>1750.0000000000002</v>
      </c>
      <c r="F668" s="475">
        <f>INDEX(Input!$1:$1048576,F$93,$C668*2+MIN($B668,2)+5)
+INDEX(Scenarios!F$121:F$200,MATCH($B668,Scenarios!$B$121:$B$200,0))</f>
        <v>0</v>
      </c>
      <c r="G668" s="475">
        <f>INDEX(Input!$1:$1048576,G$93,$C668*2+MIN($B668,2)+5)
+INDEX(Scenarios!G$121:G$200,MATCH($B668,Scenarios!$B$121:$B$200,0))</f>
        <v>0</v>
      </c>
      <c r="H668" s="475">
        <f>INDEX(Input!$1:$1048576,H$93,$C668*2+MIN($B668,2)+5)
+INDEX(Scenarios!H$121:H$200,MATCH($B668,Scenarios!$B$121:$B$200,0))</f>
        <v>0</v>
      </c>
      <c r="I668" s="476">
        <f>INDEX(Input!$1:$1048576,I$93,$C668*2+MIN($B668,2)+5)</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+INDEX(Scenarios!Q$121:Q$200,MATCH($B668,Scenarios!$B$121:$B$200,0))</f>
        <v>0</v>
      </c>
      <c r="R668" s="478">
        <f>IFERROR(MAX(0,INDEX(Input!$1:$1048576,R$93,$C668*2+MIN($B668,2)+5)
+INDEX(Scenarios!R$121:R$200,MATCH($B668,Scenarios!$B$121:$B$200,0)),),"Market")</f>
        <v>9.0000000000000011E-3</v>
      </c>
      <c r="S668" s="478">
        <f>IFERROR(MAX(0,INDEX(Input!$1:$1048576,S$93,$C668*2+MIN($B668,2)+5)
+INDEX(Scenarios!S$121:S$200,MATCH($B668,Scenarios!$B$121:$B$200,0)),),"Market")</f>
        <v>9.0000000000000011E-3</v>
      </c>
      <c r="T668" s="478">
        <f>IFERROR(MAX(0,INDEX(Input!$1:$1048576,T$93,$C668*2+MIN($B668,2)+5)
+INDEX(Scenarios!T$121:T$200,MATCH($B668,Scenarios!$B$121:$B$200,0)),),"Market")</f>
        <v>9.0000000000000011E-3</v>
      </c>
      <c r="U668" s="478">
        <f>IFERROR(MAX(0,INDEX(Input!$1:$1048576,U$93,$C668*2+MIN($B668,2)+5)
+INDEX(Scenarios!U$121:U$200,MATCH($B668,Scenarios!$B$121:$B$200,0)),),"Market")</f>
        <v>9.0000000000000011E-3</v>
      </c>
      <c r="V668" s="478">
        <f>IFERROR(MAX(0,INDEX(Input!$1:$1048576,V$93,$C668*2+MIN($B668,2)+5)
+INDEX(Scenarios!V$121:V$200,MATCH($B668,Scenarios!$B$121:$B$200,0)),),"Market")</f>
        <v>2.8999999999999998E-2</v>
      </c>
      <c r="W668" s="863">
        <f>IFERROR(MAX(0,INDEX(Input!$1:$1048576,W$93,$C668*2+MIN($B668,2)+5)-0%,),"Market")</f>
        <v>3.9E-2</v>
      </c>
      <c r="X668" s="476" t="str">
        <f>INDEX(Input!$1:$1048576,X$93,$C668*2+MIN($B668,2)+5)</f>
        <v>Y</v>
      </c>
      <c r="Y668" s="475">
        <f>INDEX(Input!$1:$1048576,Y$93,$C668*2+MIN($B668,2)+5)
++INDEX(Scenarios!Y$121:Y$200,MATCH($B668,Scenarios!$B$121:$B$200,0))</f>
        <v>1979.3275155115825</v>
      </c>
      <c r="Z668" s="477">
        <f>INDEX(Input!$1:$1048576,Z$93,$C668*2+MIN($B668,2)+5)
+INDEX(Scenarios!Z$121:Z$200,MATCH($B668,Scenarios!$B$121:$B$200,0))</f>
        <v>0</v>
      </c>
      <c r="AA668" s="475">
        <f>INDEX(Input!$1:$1048576,AA$93,$C668*2+MIN($B668,2)+5)</f>
        <v>0</v>
      </c>
      <c r="AB668" s="476">
        <f>INDEX(Input!$1:$1048576,AB$93,$C668*2+MIN($B668,2)+5)</f>
        <v>1</v>
      </c>
      <c r="AC668" s="475">
        <f>INDEX(Input!$1:$1048576,AC$93,$C668*2+MIN($B668,2)+5)
+INDEX(Scenarios!AC$121:AC$200,MATCH($B668,Scenarios!$B$121:$B$200,0))</f>
        <v>0</v>
      </c>
      <c r="AD668" s="476">
        <f>INDEX(Input!$1:$1048576,AD$93,$C668*2+MIN($B668,2)+5)</f>
        <v>0.35</v>
      </c>
      <c r="AE668" s="475">
        <f>INDEX(Input!$1:$1048576,AE$93,$C668*2+MIN($B668,2)+5)
+INDEX(Scenarios!AE$121:AE$200,MATCH($B668,Scenarios!$B$121:$B$200,0))</f>
        <v>0</v>
      </c>
      <c r="AF668" s="476">
        <f>INDEX(Input!$1:$1048576,AF$93,$C668*2+MIN($B668,2)+5)</f>
        <v>1</v>
      </c>
      <c r="AG668" s="475">
        <f>INDEX(Input!$1:$1048576,AG$93,$C668*2+MIN($B668,2)+5)</f>
        <v>0</v>
      </c>
      <c r="AH668" s="476">
        <f>INDEX(Input!$1:$1048576,AH$93,$C668*2+MIN($B668,2)+5)</f>
        <v>1</v>
      </c>
      <c r="AI668" s="475">
        <f>INDEX(Input!$1:$1048576,AI$93,$C668*2+MIN($B668,2)+5)</f>
        <v>0</v>
      </c>
      <c r="AJ668" s="476">
        <f>INDEX(Input!$1:$1048576,AJ$93,$C668*2+MIN($B668,2)+5)</f>
        <v>0.35</v>
      </c>
      <c r="AK668" s="150">
        <f>ROUND(INDEX(Input!$1:$1048576,AK$93,$C667*2+MIN($B668,1)+5)+(Y668-VLOOKUP($C668*1000+1,$A:$HH,Y$92,FALSE)),0)</f>
        <v>4733</v>
      </c>
      <c r="AL668" s="150">
        <f>ROUND(INDEX(Input!$1:$1048576,AL$93,$C667*2+MIN($B668,1)+5)-(Y668-VLOOKUP($C668*1000+1,$A:$HH,Y$92,FALSE))/36,0)</f>
        <v>5227</v>
      </c>
      <c r="AM668" s="32" t="str">
        <f t="shared" si="2101"/>
        <v>std/std/std/std</v>
      </c>
      <c r="AN668" s="32" t="str">
        <f t="shared" si="2102"/>
        <v>$0 + 0.9/0.9/0.9/2.9/3.9</v>
      </c>
      <c r="AO668" s="32" t="str">
        <f t="shared" si="2103"/>
        <v>0.9/0.9/0.9/2.9/3.9</v>
      </c>
      <c r="AP668" s="32" t="str">
        <f t="shared" si="2074"/>
        <v>0.9/1.9/2.9/3.9</v>
      </c>
      <c r="AQ668" s="536">
        <f t="shared" si="2075"/>
        <v>0.40779151019690485</v>
      </c>
      <c r="AR668" s="32"/>
      <c r="AS668" s="302"/>
      <c r="AT668" s="3">
        <f t="shared" si="2122"/>
        <v>68</v>
      </c>
      <c r="AU668" s="41" t="s">
        <v>121</v>
      </c>
      <c r="AV668" s="41" t="s">
        <v>116</v>
      </c>
      <c r="AW668" s="41" t="str">
        <f>INDEX(Input!$1:$1048576,AW$93,$C668*2+6)</f>
        <v>Kia</v>
      </c>
      <c r="AX668" s="41" t="str">
        <f>INDEX(Input!$1:$1048576,AX$93,$C668*2+6)</f>
        <v>National</v>
      </c>
      <c r="AY668" s="41" t="str">
        <f>IF(LEN(D668)=0,"",INDEX(Input!$1:$1048576,AY$93,$C668*2+6))</f>
        <v>Compact Conventional/Sporty Car (43)</v>
      </c>
      <c r="AZ668" s="41" t="str">
        <f>INDEX(Input!$1:$1048576,AZ$93,$C668*2+6)</f>
        <v>Kia Forte</v>
      </c>
      <c r="BA668" s="3">
        <f>INDEX(Input!$1:$1048576,BA$93,$C668*2+6)</f>
        <v>2020</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19695</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2076"/>
        <v>1965.0000000000002</v>
      </c>
      <c r="CJ668" s="16" t="str">
        <f>INDEX(Input!$1:$1048576,CJ$93,$C668*2+6)</f>
        <v>N</v>
      </c>
      <c r="CK668" s="1" t="str">
        <f t="shared" si="2077"/>
        <v>Market</v>
      </c>
      <c r="CL668" s="1" t="str">
        <f t="shared" si="2078"/>
        <v>Market</v>
      </c>
      <c r="CM668" s="1" t="str">
        <f t="shared" si="2079"/>
        <v>Market</v>
      </c>
      <c r="CN668" s="1" t="str">
        <f t="shared" si="2080"/>
        <v>Market</v>
      </c>
      <c r="CO668" s="1" t="str">
        <f t="shared" si="2081"/>
        <v>Market</v>
      </c>
      <c r="CP668" s="304">
        <f t="shared" si="2082"/>
        <v>0</v>
      </c>
      <c r="CQ668" s="1">
        <f t="shared" si="2083"/>
        <v>9.0000000000000011E-3</v>
      </c>
      <c r="CR668" s="1">
        <f t="shared" si="2084"/>
        <v>9.0000000000000011E-3</v>
      </c>
      <c r="CS668" s="1">
        <f t="shared" si="2085"/>
        <v>9.0000000000000011E-3</v>
      </c>
      <c r="CT668" s="1">
        <f t="shared" si="2086"/>
        <v>2.8999999999999998E-2</v>
      </c>
      <c r="CU668" s="1">
        <f t="shared" si="2087"/>
        <v>3.9E-2</v>
      </c>
      <c r="CV668" s="304">
        <f t="shared" si="2013"/>
        <v>1979.3275155115825</v>
      </c>
      <c r="CW668" s="20" t="s">
        <v>122</v>
      </c>
      <c r="CX668" s="20" t="s">
        <v>122</v>
      </c>
      <c r="CY668" s="20" t="s">
        <v>122</v>
      </c>
      <c r="CZ668" s="20" t="s">
        <v>122</v>
      </c>
      <c r="DA668" s="20" t="s">
        <v>122</v>
      </c>
      <c r="DB668" s="503">
        <f t="shared" si="2014"/>
        <v>0</v>
      </c>
      <c r="DC668" s="127">
        <v>0</v>
      </c>
      <c r="DD668" s="127">
        <v>0</v>
      </c>
      <c r="DE668" s="127">
        <v>0</v>
      </c>
      <c r="DF668" s="127">
        <v>0</v>
      </c>
      <c r="DG668" s="127">
        <v>0</v>
      </c>
      <c r="DH668" s="127">
        <v>0</v>
      </c>
      <c r="DI668" s="127">
        <v>0</v>
      </c>
      <c r="DJ668" s="127">
        <v>0</v>
      </c>
      <c r="DK668" s="127">
        <v>0</v>
      </c>
      <c r="DL668" s="127">
        <v>0</v>
      </c>
      <c r="DM668" s="304">
        <f>INDEX(Input!$1:$1048576,DM$93,$C668*2+6)</f>
        <v>20731.578947368424</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v>5.2249794454172153E-2</v>
      </c>
      <c r="DZ668" s="7">
        <v>0</v>
      </c>
      <c r="EA668" s="7">
        <v>0.81972768514985539</v>
      </c>
      <c r="EB668" s="7">
        <v>0</v>
      </c>
      <c r="EC668" s="7">
        <v>0</v>
      </c>
      <c r="ED668" s="7">
        <v>0</v>
      </c>
      <c r="EE668" s="7">
        <v>0</v>
      </c>
      <c r="EF668" s="7">
        <v>0</v>
      </c>
      <c r="EG668" s="7">
        <v>0</v>
      </c>
      <c r="EH668" s="7">
        <v>3.5606746785772123E-2</v>
      </c>
      <c r="EI668" s="7">
        <v>2.3154617426674844E-2</v>
      </c>
      <c r="EJ668" s="7">
        <v>0.29099343605672007</v>
      </c>
      <c r="EK668" s="7">
        <v>0.65024519973083295</v>
      </c>
      <c r="EL668" s="7">
        <v>0</v>
      </c>
      <c r="EM668" s="7">
        <v>1.6318344843372048E-2</v>
      </c>
      <c r="EN668" s="7">
        <v>3.7172673237525135E-2</v>
      </c>
      <c r="EO668" s="7">
        <v>0.37956611829844861</v>
      </c>
      <c r="EP668" s="7">
        <v>0.48399697631367672</v>
      </c>
      <c r="EQ668" s="7">
        <v>7.5209165039615777E-2</v>
      </c>
      <c r="ER668" s="7">
        <v>2.4055067110734112E-2</v>
      </c>
      <c r="ES668" s="7">
        <v>0.11170417555260052</v>
      </c>
      <c r="ET668" s="7">
        <v>0.12802252039597256</v>
      </c>
      <c r="EU668" s="6">
        <v>1250</v>
      </c>
      <c r="EV668" s="6">
        <v>0</v>
      </c>
      <c r="EW668" s="6">
        <v>1250</v>
      </c>
      <c r="EX668" s="6">
        <v>0</v>
      </c>
      <c r="EY668" s="6">
        <v>945.82790529694125</v>
      </c>
      <c r="EZ668" s="6">
        <v>-1914.2676731795959</v>
      </c>
      <c r="FA668" s="6">
        <v>0</v>
      </c>
      <c r="FB668" s="6">
        <v>0</v>
      </c>
      <c r="FC668" s="6">
        <v>0</v>
      </c>
      <c r="FD668" s="6">
        <v>0</v>
      </c>
      <c r="FE668" s="6">
        <v>0</v>
      </c>
      <c r="FF668" s="6">
        <v>0</v>
      </c>
      <c r="FG668" s="6">
        <v>0</v>
      </c>
      <c r="FH668" s="6">
        <v>930.23656729035577</v>
      </c>
      <c r="FI668" s="6">
        <v>1232.1164465304225</v>
      </c>
      <c r="FJ668" s="6">
        <v>1302.9658415685929</v>
      </c>
      <c r="FK668" s="6">
        <v>776.6631962166166</v>
      </c>
      <c r="FL668" s="6">
        <v>0</v>
      </c>
      <c r="FM668" s="6">
        <v>945.82790529694125</v>
      </c>
      <c r="FN668" s="6">
        <v>0</v>
      </c>
      <c r="FO668" s="6">
        <v>0</v>
      </c>
      <c r="FP668" s="6">
        <v>0</v>
      </c>
      <c r="FQ668" s="6">
        <v>0</v>
      </c>
      <c r="FR668" s="6">
        <v>0</v>
      </c>
      <c r="FS668" s="6">
        <v>0</v>
      </c>
      <c r="FT668" s="7">
        <v>0.87197747960402749</v>
      </c>
      <c r="FU668" s="7">
        <v>1.6318344843372048E-2</v>
      </c>
      <c r="FV668" s="7">
        <v>0.11170417555260052</v>
      </c>
      <c r="FW668" s="6">
        <v>1250.0000000000002</v>
      </c>
      <c r="FX668" s="6">
        <v>945.82790529694125</v>
      </c>
      <c r="FY668" s="6">
        <v>-1914.2676731795959</v>
      </c>
      <c r="FZ668" s="6">
        <v>1676.0854837363124</v>
      </c>
      <c r="GA668" s="6">
        <v>891.57450320663247</v>
      </c>
      <c r="GB668" s="6">
        <v>18803.425496793367</v>
      </c>
      <c r="GC668" s="7">
        <v>6.4493561548621597E-2</v>
      </c>
      <c r="GD668" s="7">
        <v>5.7559645634544951E-2</v>
      </c>
      <c r="GE668" s="7"/>
      <c r="GF668" s="7"/>
      <c r="GG668" s="7">
        <v>-0.10751330439162021</v>
      </c>
      <c r="GH668" s="42">
        <v>2.6991012013156275</v>
      </c>
      <c r="GI668" s="6">
        <v>8188.4479922036489</v>
      </c>
      <c r="GJ668" s="14">
        <v>0.51596255589662332</v>
      </c>
      <c r="GK668" s="14">
        <v>0.51419567426615964</v>
      </c>
      <c r="GL668" s="14">
        <v>0.48403744410337679</v>
      </c>
      <c r="GM668" s="14">
        <v>0.48580432573384025</v>
      </c>
      <c r="GO668" s="5">
        <v>338.16872463277008</v>
      </c>
      <c r="GP668" s="5">
        <v>314.32110928815564</v>
      </c>
      <c r="GQ668" s="5">
        <v>527.27910984145694</v>
      </c>
      <c r="GR668" s="5">
        <v>404.20319246551543</v>
      </c>
      <c r="GS668" s="5">
        <v>334.50205195691484</v>
      </c>
      <c r="GT668" s="5">
        <v>289.18266033348181</v>
      </c>
      <c r="GU668" s="5">
        <v>254.29573314828914</v>
      </c>
      <c r="GV668" s="39" t="s">
        <v>392</v>
      </c>
      <c r="GW668" s="5">
        <v>499.23658026051567</v>
      </c>
      <c r="GX668" s="5">
        <v>376.10664223131414</v>
      </c>
      <c r="GY668" s="5">
        <v>309.91347913050362</v>
      </c>
      <c r="GZ668" s="5">
        <v>276.51178903140271</v>
      </c>
      <c r="HA668" s="5">
        <v>254.29573314828914</v>
      </c>
      <c r="HB668" s="39">
        <v>296.46804757116058</v>
      </c>
      <c r="HC668" s="5">
        <v>366.86483570160732</v>
      </c>
      <c r="HD668" s="5">
        <v>293.48776275539944</v>
      </c>
      <c r="HE668" s="5">
        <v>290.53812703897881</v>
      </c>
      <c r="HF668" s="5">
        <v>261.97061428438337</v>
      </c>
      <c r="HG668" s="5">
        <v>244.26506461313522</v>
      </c>
      <c r="HH668" s="39">
        <v>291.23333621506231</v>
      </c>
      <c r="HI668" s="16"/>
      <c r="HJ668" s="19" t="str">
        <f t="shared" ref="HJ668:HK668" si="2128">HJ667</f>
        <v>On</v>
      </c>
      <c r="HK668" s="1" t="str">
        <f t="shared" si="2128"/>
        <v>On</v>
      </c>
      <c r="HL668" s="16"/>
      <c r="HM668" s="639">
        <f t="shared" si="2105"/>
        <v>4.9686942767030826E-2</v>
      </c>
      <c r="HN668" s="639">
        <f t="shared" si="2105"/>
        <v>2.6112822013589915E-3</v>
      </c>
      <c r="HO668" s="639">
        <f t="shared" si="2105"/>
        <v>3.166115353075552E-2</v>
      </c>
      <c r="HP668" s="644">
        <f t="shared" si="2089"/>
        <v>786.78178791964706</v>
      </c>
      <c r="HQ668" s="644">
        <f t="shared" si="2089"/>
        <v>-85.874515163861133</v>
      </c>
      <c r="HR668" s="644">
        <f t="shared" si="2089"/>
        <v>-198.64049974194845</v>
      </c>
      <c r="HS668" s="644">
        <f t="shared" si="2089"/>
        <v>-144.23894371514976</v>
      </c>
      <c r="HT668" s="644">
        <f t="shared" si="2089"/>
        <v>-43.962048723131865</v>
      </c>
      <c r="HU668" s="644">
        <f t="shared" si="2089"/>
        <v>11.532887923401338</v>
      </c>
      <c r="HV668" s="644">
        <f t="shared" si="2089"/>
        <v>0</v>
      </c>
      <c r="HW668" s="644">
        <f t="shared" si="2089"/>
        <v>0</v>
      </c>
      <c r="HX668" s="644">
        <f t="shared" si="2089"/>
        <v>0</v>
      </c>
      <c r="HY668" s="644">
        <f t="shared" si="2089"/>
        <v>2388</v>
      </c>
      <c r="HZ668" s="644">
        <f t="shared" si="2089"/>
        <v>2518</v>
      </c>
      <c r="IA668" s="644">
        <f t="shared" si="2089"/>
        <v>2200</v>
      </c>
      <c r="IB668" s="644">
        <f t="shared" si="2089"/>
        <v>3030.5428442044977</v>
      </c>
      <c r="IC668" s="644">
        <f t="shared" si="2089"/>
        <v>2388.1634361130068</v>
      </c>
      <c r="ID668" s="644">
        <f t="shared" si="2089"/>
        <v>2012.892388181453</v>
      </c>
      <c r="IE668" s="20">
        <f t="shared" si="2106"/>
        <v>0.40779151019690485</v>
      </c>
      <c r="IF668" s="20">
        <f t="shared" si="2090"/>
        <v>0.3213525840995623</v>
      </c>
      <c r="IG668" s="20">
        <f t="shared" si="2091"/>
        <v>0.27085590570353268</v>
      </c>
      <c r="IH668" s="21"/>
      <c r="II668" s="19"/>
      <c r="IJ668" s="19"/>
      <c r="IK668" s="19"/>
      <c r="IL668" s="19">
        <f t="shared" si="2107"/>
        <v>899.99999999999955</v>
      </c>
      <c r="IM668" s="19">
        <f t="shared" si="2107"/>
        <v>-21.269864813066306</v>
      </c>
      <c r="IN668" s="19">
        <f t="shared" si="2107"/>
        <v>-70.290164096297303</v>
      </c>
      <c r="IO668" s="39"/>
      <c r="IP668" s="39"/>
      <c r="IQ668" s="39"/>
      <c r="IR668" s="39"/>
      <c r="IS668" s="39"/>
      <c r="IT668" s="39"/>
      <c r="IU668" s="39"/>
      <c r="IV668" s="39"/>
      <c r="IW668" s="39"/>
      <c r="IX668" s="19">
        <f t="shared" si="2108"/>
        <v>1600</v>
      </c>
      <c r="IY668" s="19">
        <f t="shared" si="2108"/>
        <v>2503.549291639752</v>
      </c>
      <c r="IZ668" s="19">
        <f t="shared" si="2108"/>
        <v>5888.3563810918577</v>
      </c>
      <c r="JA668" s="19">
        <f t="shared" si="2109"/>
        <v>2499.9999999999995</v>
      </c>
      <c r="JB668" s="19">
        <f t="shared" si="2109"/>
        <v>2482.2794268266857</v>
      </c>
      <c r="JC668" s="19">
        <f t="shared" si="2109"/>
        <v>5818.0662169955604</v>
      </c>
      <c r="JD668" s="19">
        <f t="shared" si="2110"/>
        <v>3393.0232784076561</v>
      </c>
      <c r="JE668" s="21"/>
      <c r="JF668" s="1">
        <f t="shared" si="2111"/>
        <v>6.8844376252282569E-2</v>
      </c>
      <c r="JG668" s="15">
        <f t="shared" si="2112"/>
        <v>7106</v>
      </c>
      <c r="JH668" s="1">
        <f t="shared" si="2113"/>
        <v>7.0682067691223954E-2</v>
      </c>
      <c r="JI668" s="1">
        <f t="shared" si="2114"/>
        <v>-2.4861821631702825E-2</v>
      </c>
      <c r="JJ668" s="1">
        <f t="shared" si="2092"/>
        <v>0</v>
      </c>
      <c r="JK668" s="1">
        <f t="shared" si="2093"/>
        <v>4.582024605952114E-2</v>
      </c>
      <c r="JL668" s="15">
        <f t="shared" si="2115"/>
        <v>325.59866849895724</v>
      </c>
      <c r="JM668" s="15">
        <f t="shared" si="2115"/>
        <v>7431.5986684989575</v>
      </c>
      <c r="JN668" s="21"/>
      <c r="JO668" s="19">
        <f>INDEX([1]Input!$1:$1048576,JO$93,$C668*2+6)</f>
        <v>5995.5</v>
      </c>
      <c r="JP668" s="19">
        <f>INDEX([1]Input!$1:$1048576,JP$93,$C668*2+6)</f>
        <v>1716.3055838443925</v>
      </c>
      <c r="JQ668" s="39">
        <f t="shared" si="2124"/>
        <v>2602.4767215923439</v>
      </c>
      <c r="JR668" s="39">
        <f t="shared" si="2125"/>
        <v>1676.7176945632636</v>
      </c>
      <c r="JS668" s="39">
        <f t="shared" si="2126"/>
        <v>25.215587278000307</v>
      </c>
      <c r="JT668" s="39">
        <f t="shared" si="2116"/>
        <v>13.019519799202053</v>
      </c>
      <c r="JU668" s="385">
        <f>(JQ668*JM668-INDEX([1]Input!$1:$1048576,[1]Input!A$18,$C668*2+6)*JL668*INDEX([1]Input!$1:$1048576,[1]Input!A$19,$C668*2+6))/1000000</f>
        <v>19.340562538985196</v>
      </c>
      <c r="JV668" s="39">
        <f t="shared" si="2094"/>
        <v>-11.067392982216553</v>
      </c>
      <c r="JW668" s="1">
        <f t="shared" ref="JW668:JW701" si="2129">JV668/(JU668-JV668)</f>
        <v>-0.36396373227065154</v>
      </c>
      <c r="JX668" s="19">
        <f t="shared" ref="JX668:JX701" si="2130">IF(JL668=0,0,JT668/JL668)*1000000</f>
        <v>39986.403689005718</v>
      </c>
      <c r="JZ668" s="341"/>
      <c r="KA668" s="60"/>
      <c r="KB668" s="469">
        <f t="shared" si="2117"/>
        <v>0</v>
      </c>
      <c r="KI668" s="472"/>
      <c r="KJ668" s="472"/>
      <c r="KK668" s="472"/>
      <c r="KN668" s="26">
        <f t="shared" si="2118"/>
        <v>6002</v>
      </c>
      <c r="KO668" s="789">
        <f t="shared" si="2095"/>
        <v>-2.7549104372857625E-2</v>
      </c>
      <c r="KP668" s="790">
        <f t="shared" si="2096"/>
        <v>-20.390860104167871</v>
      </c>
      <c r="KQ668" s="790">
        <f t="shared" si="2097"/>
        <v>-204.42521188227056</v>
      </c>
      <c r="KR668" s="26">
        <f t="shared" si="2098"/>
        <v>21.748622884122927</v>
      </c>
      <c r="KS668" s="26">
        <f t="shared" si="2099"/>
        <v>2.1693661100072767</v>
      </c>
      <c r="KT668" s="791">
        <f t="shared" si="2127"/>
        <v>2521.945896759994</v>
      </c>
      <c r="KU668" s="792">
        <f t="shared" si="2119"/>
        <v>11.300216710456224</v>
      </c>
      <c r="KV668" s="117"/>
    </row>
    <row r="669" spans="1:308" s="26" customFormat="1" ht="15" outlineLevel="1">
      <c r="A669" s="561">
        <f t="shared" si="2100"/>
        <v>6069</v>
      </c>
      <c r="B669" s="561">
        <f t="shared" si="2120"/>
        <v>69</v>
      </c>
      <c r="C669" s="561">
        <f t="shared" si="2121"/>
        <v>6</v>
      </c>
      <c r="D669" s="561" t="str">
        <f t="shared" si="2028"/>
        <v xml:space="preserve">500 CC, 180 Lease, </v>
      </c>
      <c r="E669" s="475">
        <f>INDEX(Input!$1:$1048576,E$93,$C669*2+MIN($B669,2)+5)
+INDEX(Scenarios!E$121:E$199,MATCH($B669,Scenarios!$B$121:$B$199,0))</f>
        <v>1750.0000000000002</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1.8999999999999996E-2</v>
      </c>
      <c r="W669" s="863">
        <f>IFERROR(MAX(0,INDEX(Input!$1:$1048576,W$93,$C669*2+MIN($B669,2)+5)-0%),"Market")</f>
        <v>3.9E-2</v>
      </c>
      <c r="X669" s="476" t="str">
        <f>INDEX(Input!$1:$1048576,X$93,$C669*2+MIN($B669,2)+5)</f>
        <v>Y</v>
      </c>
      <c r="Y669" s="475">
        <f>INDEX(Input!$1:$1048576,Y$93,$C669*2+MIN($B669,2)+5)
++INDEX(Scenarios!Y$121:Y$199,MATCH($B669,Scenarios!$B$121:$B$199,0))</f>
        <v>2519.3275155115825</v>
      </c>
      <c r="Z669" s="477">
        <f>INDEX(Input!$1:$1048576,Z$93,$C669*2+MIN($B669,2)+5)
+INDEX(Scenarios!Z$121:Z$199,MATCH($B669,Scenarios!$B$121:$B$199,0))</f>
        <v>0</v>
      </c>
      <c r="AA669" s="475">
        <f>INDEX(Input!$1:$1048576,AA$93,$C669*2+MIN($B669,2)+5)</f>
        <v>0</v>
      </c>
      <c r="AB669" s="476">
        <f>INDEX(Input!$1:$1048576,AB$93,$C669*2+MIN($B669,2)+5)</f>
        <v>1</v>
      </c>
      <c r="AC669" s="475">
        <f>INDEX(Input!$1:$1048576,AC$93,$C669*2+MIN($B669,2)+5)
+INDEX(Scenarios!AC$121:AC$199,MATCH($B669,Scenarios!$B$121:$B$199,0))</f>
        <v>0</v>
      </c>
      <c r="AD669" s="476">
        <f>INDEX(Input!$1:$1048576,AD$93,$C669*2+MIN($B669,2)+5)</f>
        <v>0.35</v>
      </c>
      <c r="AE669" s="475">
        <f>INDEX(Input!$1:$1048576,AE$93,$C669*2+MIN($B669,2)+5)
+INDEX(Scenarios!AE$121:AE$199,MATCH($B669,Scenarios!$B$121:$B$199,0))</f>
        <v>0</v>
      </c>
      <c r="AF669" s="476">
        <f>INDEX(Input!$1:$1048576,AF$93,$C669*2+MIN($B669,2)+5)</f>
        <v>1</v>
      </c>
      <c r="AG669" s="475">
        <f>INDEX(Input!$1:$1048576,AG$93,$C669*2+MIN($B669,2)+5)</f>
        <v>0</v>
      </c>
      <c r="AH669" s="476">
        <f>INDEX(Input!$1:$1048576,AH$93,$C669*2+MIN($B669,2)+5)</f>
        <v>1</v>
      </c>
      <c r="AI669" s="475">
        <f>INDEX(Input!$1:$1048576,AI$93,$C669*2+MIN($B669,2)+5)</f>
        <v>0</v>
      </c>
      <c r="AJ669" s="476">
        <f>INDEX(Input!$1:$1048576,AJ$93,$C669*2+MIN($B669,2)+5)</f>
        <v>0.35</v>
      </c>
      <c r="AK669" s="150">
        <f>ROUND(INDEX(Input!$1:$1048576,AK$93,$C668*2+MIN($B669,1)+5)+(Y669-VLOOKUP($C669*1000+1,$A:$HH,Y$92,FALSE)),0)</f>
        <v>5273</v>
      </c>
      <c r="AL669" s="150">
        <f>ROUND(INDEX(Input!$1:$1048576,AL$93,$C668*2+MIN($B669,1)+5)-(Y669-VLOOKUP($C669*1000+1,$A:$HH,Y$92,FALSE))/36,0)</f>
        <v>5212</v>
      </c>
      <c r="AM669" s="32" t="str">
        <f t="shared" si="2101"/>
        <v>std/std/std/std</v>
      </c>
      <c r="AN669" s="32" t="str">
        <f t="shared" si="2102"/>
        <v>$0 + 0/0/0/1.9/3.9</v>
      </c>
      <c r="AO669" s="32" t="str">
        <f t="shared" si="2103"/>
        <v>0/0/0/1.9/3.9</v>
      </c>
      <c r="AP669" s="32" t="str">
        <f t="shared" si="2074"/>
        <v>0/0.9/1.9/3.9</v>
      </c>
      <c r="AQ669" s="536">
        <f t="shared" si="2075"/>
        <v>0.36152725480502301</v>
      </c>
      <c r="AR669" s="32"/>
      <c r="AS669" s="302"/>
      <c r="AT669" s="3">
        <f t="shared" si="2122"/>
        <v>69</v>
      </c>
      <c r="AU669" s="41" t="s">
        <v>121</v>
      </c>
      <c r="AV669" s="41" t="s">
        <v>116</v>
      </c>
      <c r="AW669" s="41" t="str">
        <f>INDEX(Input!$1:$1048576,AW$93,$C669*2+6)</f>
        <v>Kia</v>
      </c>
      <c r="AX669" s="41" t="str">
        <f>INDEX(Input!$1:$1048576,AX$93,$C669*2+6)</f>
        <v>National</v>
      </c>
      <c r="AY669" s="41" t="str">
        <f>IF(LEN(D669)=0,"",INDEX(Input!$1:$1048576,AY$93,$C669*2+6))</f>
        <v>Compact Conventional/Sporty Car (43)</v>
      </c>
      <c r="AZ669" s="41" t="str">
        <f>INDEX(Input!$1:$1048576,AZ$93,$C669*2+6)</f>
        <v>Kia Forte</v>
      </c>
      <c r="BA669" s="3">
        <f>INDEX(Input!$1:$1048576,BA$93,$C669*2+6)</f>
        <v>2020</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19695</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2076"/>
        <v>1965.0000000000002</v>
      </c>
      <c r="CJ669" s="16" t="str">
        <f>INDEX(Input!$1:$1048576,CJ$93,$C669*2+6)</f>
        <v>N</v>
      </c>
      <c r="CK669" s="1" t="str">
        <f t="shared" si="2077"/>
        <v>Market</v>
      </c>
      <c r="CL669" s="1" t="str">
        <f t="shared" si="2078"/>
        <v>Market</v>
      </c>
      <c r="CM669" s="1" t="str">
        <f t="shared" si="2079"/>
        <v>Market</v>
      </c>
      <c r="CN669" s="1" t="str">
        <f t="shared" si="2080"/>
        <v>Market</v>
      </c>
      <c r="CO669" s="1" t="str">
        <f t="shared" si="2081"/>
        <v>Market</v>
      </c>
      <c r="CP669" s="304">
        <f t="shared" si="2082"/>
        <v>0</v>
      </c>
      <c r="CQ669" s="1">
        <f t="shared" si="2083"/>
        <v>0</v>
      </c>
      <c r="CR669" s="1">
        <f t="shared" si="2084"/>
        <v>0</v>
      </c>
      <c r="CS669" s="1">
        <f t="shared" si="2085"/>
        <v>0</v>
      </c>
      <c r="CT669" s="1">
        <f t="shared" si="2086"/>
        <v>1.8999999999999996E-2</v>
      </c>
      <c r="CU669" s="1">
        <f t="shared" si="2087"/>
        <v>3.9E-2</v>
      </c>
      <c r="CV669" s="304">
        <f t="shared" si="2013"/>
        <v>2519.3275155115825</v>
      </c>
      <c r="CW669" s="20" t="s">
        <v>122</v>
      </c>
      <c r="CX669" s="20" t="s">
        <v>122</v>
      </c>
      <c r="CY669" s="20" t="s">
        <v>122</v>
      </c>
      <c r="CZ669" s="20" t="s">
        <v>122</v>
      </c>
      <c r="DA669" s="20" t="s">
        <v>122</v>
      </c>
      <c r="DB669" s="503">
        <f t="shared" si="2014"/>
        <v>0</v>
      </c>
      <c r="DC669" s="127">
        <v>0</v>
      </c>
      <c r="DD669" s="127">
        <v>0</v>
      </c>
      <c r="DE669" s="127">
        <v>0</v>
      </c>
      <c r="DF669" s="127">
        <v>0</v>
      </c>
      <c r="DG669" s="127">
        <v>0</v>
      </c>
      <c r="DH669" s="127">
        <v>0</v>
      </c>
      <c r="DI669" s="127">
        <v>0</v>
      </c>
      <c r="DJ669" s="127">
        <v>0</v>
      </c>
      <c r="DK669" s="127">
        <v>0</v>
      </c>
      <c r="DL669" s="127">
        <v>0</v>
      </c>
      <c r="DM669" s="304">
        <f>INDEX(Input!$1:$1048576,DM$93,$C669*2+6)</f>
        <v>20731.578947368424</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t="str">
        <f t="shared" ref="HJ669:HK669" si="2131">HJ668</f>
        <v>On</v>
      </c>
      <c r="HK669" s="1" t="str">
        <f t="shared" si="2131"/>
        <v>On</v>
      </c>
      <c r="HL669" s="16"/>
      <c r="HM669" s="639">
        <f t="shared" si="2105"/>
        <v>4.9686942767030826E-2</v>
      </c>
      <c r="HN669" s="639">
        <f t="shared" si="2105"/>
        <v>2.6112822013589915E-3</v>
      </c>
      <c r="HO669" s="639">
        <f t="shared" si="2105"/>
        <v>3.166115353075552E-2</v>
      </c>
      <c r="HP669" s="644">
        <f t="shared" si="2089"/>
        <v>641.73689046198854</v>
      </c>
      <c r="HQ669" s="644">
        <f t="shared" si="2089"/>
        <v>-2.8962157604694458</v>
      </c>
      <c r="HR669" s="644">
        <f t="shared" si="2089"/>
        <v>68.474188017948592</v>
      </c>
      <c r="HS669" s="644">
        <f t="shared" si="2089"/>
        <v>-145.27445998479709</v>
      </c>
      <c r="HT669" s="644">
        <f t="shared" si="2089"/>
        <v>159.77550834717954</v>
      </c>
      <c r="HU669" s="644">
        <f t="shared" si="2089"/>
        <v>150.73174235253572</v>
      </c>
      <c r="HV669" s="644">
        <f t="shared" si="2089"/>
        <v>0</v>
      </c>
      <c r="HW669" s="644">
        <f t="shared" si="2089"/>
        <v>0</v>
      </c>
      <c r="HX669" s="644">
        <f t="shared" si="2089"/>
        <v>0</v>
      </c>
      <c r="HY669" s="644">
        <f t="shared" si="2089"/>
        <v>2388</v>
      </c>
      <c r="HZ669" s="644">
        <f t="shared" si="2089"/>
        <v>2518</v>
      </c>
      <c r="IA669" s="644">
        <f t="shared" si="2089"/>
        <v>2200</v>
      </c>
      <c r="IB669" s="644">
        <f t="shared" si="2089"/>
        <v>2884.4624304771919</v>
      </c>
      <c r="IC669" s="644">
        <f t="shared" si="2089"/>
        <v>2674.8792925867101</v>
      </c>
      <c r="ID669" s="644">
        <f t="shared" si="2089"/>
        <v>2419.2059303704841</v>
      </c>
      <c r="IE669" s="20">
        <f t="shared" si="2106"/>
        <v>0.36152725480502301</v>
      </c>
      <c r="IF669" s="20">
        <f t="shared" si="2090"/>
        <v>0.33525892289874348</v>
      </c>
      <c r="IG669" s="20">
        <f t="shared" si="2091"/>
        <v>0.30321382229623339</v>
      </c>
      <c r="IH669" s="21"/>
      <c r="II669" s="19"/>
      <c r="IJ669" s="19"/>
      <c r="IK669" s="19"/>
      <c r="IL669" s="19">
        <f t="shared" si="2107"/>
        <v>899.99999999999955</v>
      </c>
      <c r="IM669" s="19">
        <f t="shared" si="2107"/>
        <v>400.20400735985368</v>
      </c>
      <c r="IN669" s="19">
        <f t="shared" si="2107"/>
        <v>465.61792870240242</v>
      </c>
      <c r="IO669" s="39"/>
      <c r="IP669" s="39"/>
      <c r="IQ669" s="39"/>
      <c r="IR669" s="39"/>
      <c r="IS669" s="39"/>
      <c r="IT669" s="39"/>
      <c r="IU669" s="39"/>
      <c r="IV669" s="39"/>
      <c r="IW669" s="39"/>
      <c r="IX669" s="19">
        <f t="shared" si="2108"/>
        <v>1600</v>
      </c>
      <c r="IY669" s="19">
        <f t="shared" si="2108"/>
        <v>2503.549291639752</v>
      </c>
      <c r="IZ669" s="19">
        <f t="shared" si="2108"/>
        <v>5888.3563810918577</v>
      </c>
      <c r="JA669" s="19">
        <f t="shared" si="2109"/>
        <v>2499.9999999999995</v>
      </c>
      <c r="JB669" s="19">
        <f t="shared" si="2109"/>
        <v>2903.7532989996057</v>
      </c>
      <c r="JC669" s="19">
        <f t="shared" si="2109"/>
        <v>6353.9743097942601</v>
      </c>
      <c r="JD669" s="19">
        <f t="shared" si="2110"/>
        <v>3803.9401776436271</v>
      </c>
      <c r="JE669" s="21"/>
      <c r="JF669" s="1">
        <f t="shared" si="2111"/>
        <v>6.8844376252282569E-2</v>
      </c>
      <c r="JG669" s="15">
        <f t="shared" si="2112"/>
        <v>7106</v>
      </c>
      <c r="JH669" s="1">
        <f t="shared" si="2113"/>
        <v>9.9537695288413691E-2</v>
      </c>
      <c r="JI669" s="1">
        <f t="shared" si="2114"/>
        <v>2.325257398183481E-2</v>
      </c>
      <c r="JJ669" s="1">
        <f t="shared" si="2092"/>
        <v>0</v>
      </c>
      <c r="JK669" s="1">
        <f t="shared" si="2093"/>
        <v>0.1227902692702485</v>
      </c>
      <c r="JL669" s="15">
        <f t="shared" si="2115"/>
        <v>872.54765343438578</v>
      </c>
      <c r="JM669" s="15">
        <f t="shared" si="2115"/>
        <v>7978.5476534343861</v>
      </c>
      <c r="JN669" s="21"/>
      <c r="JO669" s="19">
        <f>INDEX([1]Input!$1:$1048576,JO$93,$C669*2+6)</f>
        <v>5995.5</v>
      </c>
      <c r="JP669" s="19">
        <f>INDEX([1]Input!$1:$1048576,JP$93,$C669*2+6)</f>
        <v>1716.3055838443925</v>
      </c>
      <c r="JQ669" s="39">
        <f t="shared" si="2124"/>
        <v>2191.5598223563729</v>
      </c>
      <c r="JR669" s="39">
        <f t="shared" si="2125"/>
        <v>2087.6345937992346</v>
      </c>
      <c r="JS669" s="39">
        <f t="shared" si="2126"/>
        <v>30.349917978143342</v>
      </c>
      <c r="JT669" s="39">
        <f t="shared" si="2116"/>
        <v>18.153850499345086</v>
      </c>
      <c r="JU669" s="385">
        <f>(JQ669*JM669-INDEX([1]Input!$1:$1048576,[1]Input!A$18,$C669*2+6)*JL669*INDEX([1]Input!$1:$1048576,[1]Input!A$19,$C669*2+6))/1000000</f>
        <v>17.485464478022518</v>
      </c>
      <c r="JV669" s="39">
        <f t="shared" si="2094"/>
        <v>-12.922491043179232</v>
      </c>
      <c r="JW669" s="1">
        <f t="shared" si="2129"/>
        <v>-0.42497072958979792</v>
      </c>
      <c r="JX669" s="19">
        <f t="shared" si="2130"/>
        <v>20805.569103178186</v>
      </c>
      <c r="JZ669" s="341"/>
      <c r="KA669" s="60"/>
      <c r="KB669" s="469">
        <f t="shared" si="2117"/>
        <v>0</v>
      </c>
      <c r="KI669" s="472"/>
      <c r="KJ669" s="472"/>
      <c r="KK669" s="472"/>
      <c r="KN669" s="26">
        <f t="shared" si="2118"/>
        <v>6002</v>
      </c>
      <c r="KO669" s="789">
        <f t="shared" si="2095"/>
        <v>4.4021099292384624E-2</v>
      </c>
      <c r="KP669" s="790">
        <f t="shared" si="2096"/>
        <v>243.7963060908298</v>
      </c>
      <c r="KQ669" s="790">
        <f t="shared" si="2097"/>
        <v>206.4916873537004</v>
      </c>
      <c r="KR669" s="26">
        <f t="shared" si="2098"/>
        <v>2.9066556615882941</v>
      </c>
      <c r="KS669" s="26">
        <f t="shared" si="2099"/>
        <v>3.431769687461582</v>
      </c>
      <c r="KT669" s="791">
        <f t="shared" si="2127"/>
        <v>2521.945896759994</v>
      </c>
      <c r="KU669" s="792">
        <f t="shared" si="2119"/>
        <v>11.202410291530976</v>
      </c>
    </row>
    <row r="670" spans="1:308" s="26" customFormat="1" ht="15" outlineLevel="1">
      <c r="A670" s="561">
        <f t="shared" si="2100"/>
        <v>6070</v>
      </c>
      <c r="B670" s="561">
        <f t="shared" si="2120"/>
        <v>70</v>
      </c>
      <c r="C670" s="561">
        <f t="shared" si="2121"/>
        <v>6</v>
      </c>
      <c r="D670" s="561" t="str">
        <f t="shared" si="2028"/>
        <v xml:space="preserve">1000 CC, 180 Lease, </v>
      </c>
      <c r="E670" s="475">
        <f>INDEX(Input!$1:$1048576,E$93,$C670*2+MIN($B670,2)+5)
+INDEX(Scenarios!E$121:E$199,MATCH($B670,Scenarios!$B$121:$B$199,0))</f>
        <v>2250</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1.8999999999999996E-2</v>
      </c>
      <c r="W670" s="863">
        <f>IFERROR(MAX(0,INDEX(Input!$1:$1048576,W$93,$C670*2+MIN($B670,2)+5)-0%),"Market")</f>
        <v>3.9E-2</v>
      </c>
      <c r="X670" s="476" t="str">
        <f>INDEX(Input!$1:$1048576,X$93,$C670*2+MIN($B670,2)+5)</f>
        <v>Y</v>
      </c>
      <c r="Y670" s="475">
        <f>INDEX(Input!$1:$1048576,Y$93,$C670*2+MIN($B670,2)+5)
++INDEX(Scenarios!Y$121:Y$199,MATCH($B670,Scenarios!$B$121:$B$199,0))</f>
        <v>2519.3275155115825</v>
      </c>
      <c r="Z670" s="477">
        <f>INDEX(Input!$1:$1048576,Z$93,$C670*2+MIN($B670,2)+5)
+INDEX(Scenarios!Z$121:Z$199,MATCH($B670,Scenarios!$B$121:$B$199,0))</f>
        <v>0</v>
      </c>
      <c r="AA670" s="475">
        <f>INDEX(Input!$1:$1048576,AA$93,$C670*2+MIN($B670,2)+5)</f>
        <v>0</v>
      </c>
      <c r="AB670" s="476">
        <f>INDEX(Input!$1:$1048576,AB$93,$C670*2+MIN($B670,2)+5)</f>
        <v>1</v>
      </c>
      <c r="AC670" s="475">
        <f>INDEX(Input!$1:$1048576,AC$93,$C670*2+MIN($B670,2)+5)
+INDEX(Scenarios!AC$121:AC$199,MATCH($B670,Scenarios!$B$121:$B$199,0))</f>
        <v>0</v>
      </c>
      <c r="AD670" s="476">
        <f>INDEX(Input!$1:$1048576,AD$93,$C670*2+MIN($B670,2)+5)</f>
        <v>0.35</v>
      </c>
      <c r="AE670" s="475">
        <f>INDEX(Input!$1:$1048576,AE$93,$C670*2+MIN($B670,2)+5)
+INDEX(Scenarios!AE$121:AE$199,MATCH($B670,Scenarios!$B$121:$B$199,0))</f>
        <v>0</v>
      </c>
      <c r="AF670" s="476">
        <f>INDEX(Input!$1:$1048576,AF$93,$C670*2+MIN($B670,2)+5)</f>
        <v>1</v>
      </c>
      <c r="AG670" s="475">
        <f>INDEX(Input!$1:$1048576,AG$93,$C670*2+MIN($B670,2)+5)</f>
        <v>0</v>
      </c>
      <c r="AH670" s="476">
        <f>INDEX(Input!$1:$1048576,AH$93,$C670*2+MIN($B670,2)+5)</f>
        <v>1</v>
      </c>
      <c r="AI670" s="475">
        <f>INDEX(Input!$1:$1048576,AI$93,$C670*2+MIN($B670,2)+5)</f>
        <v>0</v>
      </c>
      <c r="AJ670" s="476">
        <f>INDEX(Input!$1:$1048576,AJ$93,$C670*2+MIN($B670,2)+5)</f>
        <v>0.35</v>
      </c>
      <c r="AK670" s="150">
        <f>ROUND(INDEX(Input!$1:$1048576,AK$93,$C669*2+MIN($B670,1)+5)+(Y670-VLOOKUP($C670*1000+1,$A:$HH,Y$92,FALSE)),0)</f>
        <v>5273</v>
      </c>
      <c r="AL670" s="150">
        <f>ROUND(INDEX(Input!$1:$1048576,AL$93,$C669*2+MIN($B670,1)+5)-(Y670-VLOOKUP($C670*1000+1,$A:$HH,Y$92,FALSE))/36,0)</f>
        <v>5212</v>
      </c>
      <c r="AM670" s="32" t="str">
        <f t="shared" si="2101"/>
        <v>std/std/std/std</v>
      </c>
      <c r="AN670" s="32" t="str">
        <f t="shared" si="2102"/>
        <v>$0 + 0/0/0/1.9/3.9</v>
      </c>
      <c r="AO670" s="32" t="str">
        <f t="shared" si="2103"/>
        <v>0/0/0/1.9/3.9</v>
      </c>
      <c r="AP670" s="32" t="str">
        <f t="shared" si="2074"/>
        <v>0/0.9/1.9/3.9</v>
      </c>
      <c r="AQ670" s="536">
        <f t="shared" si="2075"/>
        <v>0.39536028007107782</v>
      </c>
      <c r="AR670" s="32"/>
      <c r="AS670" s="302"/>
      <c r="AT670" s="3">
        <f t="shared" si="2122"/>
        <v>70</v>
      </c>
      <c r="AU670" s="41" t="s">
        <v>121</v>
      </c>
      <c r="AV670" s="41" t="s">
        <v>116</v>
      </c>
      <c r="AW670" s="41" t="str">
        <f>INDEX(Input!$1:$1048576,AW$93,$C670*2+6)</f>
        <v>Kia</v>
      </c>
      <c r="AX670" s="41" t="str">
        <f>INDEX(Input!$1:$1048576,AX$93,$C670*2+6)</f>
        <v>National</v>
      </c>
      <c r="AY670" s="41" t="str">
        <f>IF(LEN(D670)=0,"",INDEX(Input!$1:$1048576,AY$93,$C670*2+6))</f>
        <v>Compact Conventional/Sporty Car (43)</v>
      </c>
      <c r="AZ670" s="41" t="str">
        <f>INDEX(Input!$1:$1048576,AZ$93,$C670*2+6)</f>
        <v>Kia Forte</v>
      </c>
      <c r="BA670" s="3">
        <f>INDEX(Input!$1:$1048576,BA$93,$C670*2+6)</f>
        <v>2020</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19695</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2076"/>
        <v>2465</v>
      </c>
      <c r="CJ670" s="16" t="str">
        <f>INDEX(Input!$1:$1048576,CJ$93,$C670*2+6)</f>
        <v>N</v>
      </c>
      <c r="CK670" s="1" t="str">
        <f t="shared" si="2077"/>
        <v>Market</v>
      </c>
      <c r="CL670" s="1" t="str">
        <f t="shared" si="2078"/>
        <v>Market</v>
      </c>
      <c r="CM670" s="1" t="str">
        <f t="shared" si="2079"/>
        <v>Market</v>
      </c>
      <c r="CN670" s="1" t="str">
        <f t="shared" si="2080"/>
        <v>Market</v>
      </c>
      <c r="CO670" s="1" t="str">
        <f t="shared" si="2081"/>
        <v>Market</v>
      </c>
      <c r="CP670" s="304">
        <f t="shared" si="2082"/>
        <v>0</v>
      </c>
      <c r="CQ670" s="1">
        <f t="shared" si="2083"/>
        <v>0</v>
      </c>
      <c r="CR670" s="1">
        <f t="shared" si="2084"/>
        <v>0</v>
      </c>
      <c r="CS670" s="1">
        <f t="shared" si="2085"/>
        <v>0</v>
      </c>
      <c r="CT670" s="1">
        <f t="shared" si="2086"/>
        <v>1.8999999999999996E-2</v>
      </c>
      <c r="CU670" s="1">
        <f t="shared" si="2087"/>
        <v>3.9E-2</v>
      </c>
      <c r="CV670" s="304">
        <f t="shared" si="2013"/>
        <v>2519.3275155115825</v>
      </c>
      <c r="CW670" s="20" t="s">
        <v>122</v>
      </c>
      <c r="CX670" s="20" t="s">
        <v>122</v>
      </c>
      <c r="CY670" s="20" t="s">
        <v>122</v>
      </c>
      <c r="CZ670" s="20" t="s">
        <v>122</v>
      </c>
      <c r="DA670" s="20" t="s">
        <v>122</v>
      </c>
      <c r="DB670" s="503">
        <f t="shared" si="2014"/>
        <v>0</v>
      </c>
      <c r="DC670" s="127">
        <v>0</v>
      </c>
      <c r="DD670" s="127">
        <v>0</v>
      </c>
      <c r="DE670" s="127">
        <v>0</v>
      </c>
      <c r="DF670" s="127">
        <v>0</v>
      </c>
      <c r="DG670" s="127">
        <v>0</v>
      </c>
      <c r="DH670" s="127">
        <v>0</v>
      </c>
      <c r="DI670" s="127">
        <v>0</v>
      </c>
      <c r="DJ670" s="127">
        <v>0</v>
      </c>
      <c r="DK670" s="127">
        <v>0</v>
      </c>
      <c r="DL670" s="127">
        <v>0</v>
      </c>
      <c r="DM670" s="304">
        <f>INDEX(Input!$1:$1048576,DM$93,$C670*2+6)</f>
        <v>20731.578947368424</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t="str">
        <f t="shared" ref="HJ670:HK670" si="2132">HJ669</f>
        <v>On</v>
      </c>
      <c r="HK670" s="1" t="str">
        <f t="shared" si="2132"/>
        <v>On</v>
      </c>
      <c r="HL670" s="16"/>
      <c r="HM670" s="639">
        <f t="shared" si="2105"/>
        <v>4.9686942767030826E-2</v>
      </c>
      <c r="HN670" s="639">
        <f t="shared" si="2105"/>
        <v>2.6112822013589915E-3</v>
      </c>
      <c r="HO670" s="639">
        <f t="shared" si="2105"/>
        <v>3.166115353075552E-2</v>
      </c>
      <c r="HP670" s="644">
        <f t="shared" si="2089"/>
        <v>1092.6684013475865</v>
      </c>
      <c r="HQ670" s="644">
        <f t="shared" si="2089"/>
        <v>-18.453551786849445</v>
      </c>
      <c r="HR670" s="644">
        <f t="shared" si="2089"/>
        <v>-31.776455499372595</v>
      </c>
      <c r="HS670" s="644">
        <f t="shared" si="2089"/>
        <v>-225.43274192422609</v>
      </c>
      <c r="HT670" s="644">
        <f t="shared" si="2089"/>
        <v>141.12254562839394</v>
      </c>
      <c r="HU670" s="644">
        <f t="shared" si="2089"/>
        <v>169.46486534676319</v>
      </c>
      <c r="HV670" s="644">
        <f t="shared" si="2089"/>
        <v>0</v>
      </c>
      <c r="HW670" s="644">
        <f t="shared" si="2089"/>
        <v>0</v>
      </c>
      <c r="HX670" s="644">
        <f t="shared" si="2089"/>
        <v>0</v>
      </c>
      <c r="HY670" s="644">
        <f t="shared" si="2089"/>
        <v>2388</v>
      </c>
      <c r="HZ670" s="644">
        <f t="shared" si="2089"/>
        <v>2518</v>
      </c>
      <c r="IA670" s="644">
        <f t="shared" si="2089"/>
        <v>2200</v>
      </c>
      <c r="IB670" s="644">
        <f t="shared" si="2089"/>
        <v>3255.2356594233606</v>
      </c>
      <c r="IC670" s="644">
        <f t="shared" si="2089"/>
        <v>2640.6689938415443</v>
      </c>
      <c r="ID670" s="644">
        <f t="shared" si="2089"/>
        <v>2337.6884098473906</v>
      </c>
      <c r="IE670" s="20">
        <f t="shared" si="2106"/>
        <v>0.39536028007107782</v>
      </c>
      <c r="IF670" s="20">
        <f t="shared" si="2090"/>
        <v>0.32071891015261961</v>
      </c>
      <c r="IG670" s="20">
        <f t="shared" si="2091"/>
        <v>0.28392080977630257</v>
      </c>
      <c r="IH670" s="21"/>
      <c r="II670" s="19"/>
      <c r="IJ670" s="19"/>
      <c r="IK670" s="19"/>
      <c r="IL670" s="19">
        <f t="shared" si="2107"/>
        <v>1400</v>
      </c>
      <c r="IM670" s="19">
        <f t="shared" si="2107"/>
        <v>400.36916041510403</v>
      </c>
      <c r="IN670" s="19">
        <f t="shared" si="2107"/>
        <v>468.82163529919762</v>
      </c>
      <c r="IO670" s="39"/>
      <c r="IP670" s="39"/>
      <c r="IQ670" s="39"/>
      <c r="IR670" s="39"/>
      <c r="IS670" s="39"/>
      <c r="IT670" s="39"/>
      <c r="IU670" s="39"/>
      <c r="IV670" s="39"/>
      <c r="IW670" s="39"/>
      <c r="IX670" s="19">
        <f t="shared" si="2108"/>
        <v>1600</v>
      </c>
      <c r="IY670" s="19">
        <f t="shared" si="2108"/>
        <v>2503.549291639752</v>
      </c>
      <c r="IZ670" s="19">
        <f t="shared" si="2108"/>
        <v>5888.3563810918577</v>
      </c>
      <c r="JA670" s="19">
        <f t="shared" si="2109"/>
        <v>3000</v>
      </c>
      <c r="JB670" s="19">
        <f t="shared" si="2109"/>
        <v>2903.9184520548561</v>
      </c>
      <c r="JC670" s="19">
        <f t="shared" si="2109"/>
        <v>6357.1780163910553</v>
      </c>
      <c r="JD670" s="19">
        <f t="shared" si="2110"/>
        <v>3922.3575316342067</v>
      </c>
      <c r="JE670" s="21"/>
      <c r="JF670" s="1">
        <f t="shared" si="2111"/>
        <v>6.8844376252282569E-2</v>
      </c>
      <c r="JG670" s="15">
        <f t="shared" si="2112"/>
        <v>7106</v>
      </c>
      <c r="JH670" s="1">
        <f t="shared" si="2113"/>
        <v>0.14669833859574508</v>
      </c>
      <c r="JI670" s="1">
        <f t="shared" si="2114"/>
        <v>1.1983488467623281E-2</v>
      </c>
      <c r="JJ670" s="1">
        <f t="shared" si="2092"/>
        <v>0</v>
      </c>
      <c r="JK670" s="1">
        <f t="shared" si="2093"/>
        <v>0.15868182706336836</v>
      </c>
      <c r="JL670" s="15">
        <f t="shared" si="2115"/>
        <v>1127.5930631122956</v>
      </c>
      <c r="JM670" s="15">
        <f t="shared" si="2115"/>
        <v>8233.5930631122956</v>
      </c>
      <c r="JN670" s="21"/>
      <c r="JO670" s="19">
        <f>INDEX([1]Input!$1:$1048576,JO$93,$C670*2+6)</f>
        <v>5995.5</v>
      </c>
      <c r="JP670" s="19">
        <f>INDEX([1]Input!$1:$1048576,JP$93,$C670*2+6)</f>
        <v>1716.3055838443925</v>
      </c>
      <c r="JQ670" s="39">
        <f t="shared" si="2124"/>
        <v>2073.1424683657933</v>
      </c>
      <c r="JR670" s="39">
        <f t="shared" si="2125"/>
        <v>2206.0519477898142</v>
      </c>
      <c r="JS670" s="39">
        <f t="shared" si="2126"/>
        <v>32.295095763509671</v>
      </c>
      <c r="JT670" s="39">
        <f t="shared" si="2116"/>
        <v>20.099028284711419</v>
      </c>
      <c r="JU670" s="385">
        <f>(JQ670*JM670-INDEX([1]Input!$1:$1048576,[1]Input!A$18,$C670*2+6)*JL670*INDEX([1]Input!$1:$1048576,[1]Input!A$19,$C670*2+6))/1000000</f>
        <v>17.069411446380098</v>
      </c>
      <c r="JV670" s="39">
        <f t="shared" si="2094"/>
        <v>-13.338544074821652</v>
      </c>
      <c r="JW670" s="1">
        <f t="shared" si="2129"/>
        <v>-0.4386531039721312</v>
      </c>
      <c r="JX670" s="19">
        <f t="shared" si="2130"/>
        <v>17824.717925486013</v>
      </c>
      <c r="JZ670" s="341"/>
      <c r="KA670" s="60"/>
      <c r="KB670" s="469">
        <f t="shared" si="2117"/>
        <v>0</v>
      </c>
      <c r="KI670" s="472"/>
      <c r="KJ670" s="472"/>
      <c r="KK670" s="472"/>
      <c r="KN670" s="26">
        <f t="shared" si="2118"/>
        <v>6002</v>
      </c>
      <c r="KO670" s="789">
        <f t="shared" si="2095"/>
        <v>7.7394690646042985E-2</v>
      </c>
      <c r="KP670" s="790">
        <f t="shared" si="2096"/>
        <v>455.34576406058</v>
      </c>
      <c r="KQ670" s="790">
        <f t="shared" si="2097"/>
        <v>324.90904134428001</v>
      </c>
      <c r="KR670" s="26">
        <f t="shared" si="2098"/>
        <v>2.7360856684877413</v>
      </c>
      <c r="KS670" s="26">
        <f t="shared" si="2099"/>
        <v>3.834504001791105</v>
      </c>
      <c r="KT670" s="791">
        <f t="shared" si="2127"/>
        <v>2521.945896759994</v>
      </c>
      <c r="KU670" s="792">
        <f t="shared" si="2119"/>
        <v>11.372006160157536</v>
      </c>
    </row>
    <row r="671" spans="1:308" s="26" customFormat="1" ht="15" outlineLevel="1">
      <c r="A671" s="561">
        <f t="shared" si="2100"/>
        <v>6071</v>
      </c>
      <c r="B671" s="561">
        <f t="shared" si="2120"/>
        <v>71</v>
      </c>
      <c r="C671" s="561">
        <f t="shared" si="2121"/>
        <v>6</v>
      </c>
      <c r="D671" s="561" t="str">
        <f t="shared" si="2028"/>
        <v xml:space="preserve">500 CC, 0/0/0.9/3.9, 180 Lease, </v>
      </c>
      <c r="E671" s="475">
        <f>INDEX(Input!$1:$1048576,E$93,$C671*2+MIN($B671,2)+5)
+INDEX(Scenarios!E$121:E$199,MATCH($B671,Scenarios!$B$121:$B$199,0))</f>
        <v>1750.0000000000002</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8.9999999999999959E-3</v>
      </c>
      <c r="W671" s="863">
        <f>IFERROR(MAX(0,INDEX(Input!$1:$1048576,W$93,$C671*2+MIN($B671,2)+5)-0%),"Market")</f>
        <v>3.9E-2</v>
      </c>
      <c r="X671" s="476" t="str">
        <f>INDEX(Input!$1:$1048576,X$93,$C671*2+MIN($B671,2)+5)</f>
        <v>Y</v>
      </c>
      <c r="Y671" s="475">
        <f>INDEX(Input!$1:$1048576,Y$93,$C671*2+MIN($B671,2)+5)
++INDEX(Scenarios!Y$121:Y$199,MATCH($B671,Scenarios!$B$121:$B$199,0))</f>
        <v>2519.3275155115825</v>
      </c>
      <c r="Z671" s="477">
        <f>INDEX(Input!$1:$1048576,Z$93,$C671*2+MIN($B671,2)+5)
+INDEX(Scenarios!Z$121:Z$199,MATCH($B671,Scenarios!$B$121:$B$199,0))</f>
        <v>0</v>
      </c>
      <c r="AA671" s="475">
        <f>INDEX(Input!$1:$1048576,AA$93,$C671*2+MIN($B671,2)+5)</f>
        <v>0</v>
      </c>
      <c r="AB671" s="476">
        <f>INDEX(Input!$1:$1048576,AB$93,$C671*2+MIN($B671,2)+5)</f>
        <v>1</v>
      </c>
      <c r="AC671" s="475">
        <f>INDEX(Input!$1:$1048576,AC$93,$C671*2+MIN($B671,2)+5)
+INDEX(Scenarios!AC$121:AC$199,MATCH($B671,Scenarios!$B$121:$B$199,0))</f>
        <v>0</v>
      </c>
      <c r="AD671" s="476">
        <f>INDEX(Input!$1:$1048576,AD$93,$C671*2+MIN($B671,2)+5)</f>
        <v>0.35</v>
      </c>
      <c r="AE671" s="475">
        <f>INDEX(Input!$1:$1048576,AE$93,$C671*2+MIN($B671,2)+5)
+INDEX(Scenarios!AE$121:AE$199,MATCH($B671,Scenarios!$B$121:$B$199,0))</f>
        <v>0</v>
      </c>
      <c r="AF671" s="476">
        <f>INDEX(Input!$1:$1048576,AF$93,$C671*2+MIN($B671,2)+5)</f>
        <v>1</v>
      </c>
      <c r="AG671" s="475">
        <f>INDEX(Input!$1:$1048576,AG$93,$C671*2+MIN($B671,2)+5)</f>
        <v>0</v>
      </c>
      <c r="AH671" s="476">
        <f>INDEX(Input!$1:$1048576,AH$93,$C671*2+MIN($B671,2)+5)</f>
        <v>1</v>
      </c>
      <c r="AI671" s="475">
        <f>INDEX(Input!$1:$1048576,AI$93,$C671*2+MIN($B671,2)+5)</f>
        <v>0</v>
      </c>
      <c r="AJ671" s="476">
        <f>INDEX(Input!$1:$1048576,AJ$93,$C671*2+MIN($B671,2)+5)</f>
        <v>0.35</v>
      </c>
      <c r="AK671" s="150">
        <f>ROUND(INDEX(Input!$1:$1048576,AK$93,$C670*2+MIN($B671,1)+5)+(Y671-VLOOKUP($C671*1000+1,$A:$HH,Y$92,FALSE)),0)</f>
        <v>5273</v>
      </c>
      <c r="AL671" s="150">
        <f>ROUND(INDEX(Input!$1:$1048576,AL$93,$C670*2+MIN($B671,1)+5)-(Y671-VLOOKUP($C671*1000+1,$A:$HH,Y$92,FALSE))/36,0)</f>
        <v>5212</v>
      </c>
      <c r="AM671" s="32" t="str">
        <f t="shared" si="2101"/>
        <v>std/std/std/std</v>
      </c>
      <c r="AN671" s="32" t="str">
        <f t="shared" si="2102"/>
        <v>$0 + 0/0/0/0.9/3.9</v>
      </c>
      <c r="AO671" s="32" t="str">
        <f t="shared" si="2103"/>
        <v>0/0/0/0.9/3.9</v>
      </c>
      <c r="AP671" s="32" t="str">
        <f t="shared" si="2074"/>
        <v>0/0/0.9/3.9</v>
      </c>
      <c r="AQ671" s="536">
        <f t="shared" si="2075"/>
        <v>0.3464687370849357</v>
      </c>
      <c r="AR671" s="32"/>
      <c r="AS671" s="302"/>
      <c r="AT671" s="3">
        <f t="shared" si="2122"/>
        <v>71</v>
      </c>
      <c r="AU671" s="41" t="s">
        <v>121</v>
      </c>
      <c r="AV671" s="41" t="s">
        <v>116</v>
      </c>
      <c r="AW671" s="41" t="str">
        <f>INDEX(Input!$1:$1048576,AW$93,$C671*2+6)</f>
        <v>Kia</v>
      </c>
      <c r="AX671" s="41" t="str">
        <f>INDEX(Input!$1:$1048576,AX$93,$C671*2+6)</f>
        <v>National</v>
      </c>
      <c r="AY671" s="41" t="str">
        <f>IF(LEN(D671)=0,"",INDEX(Input!$1:$1048576,AY$93,$C671*2+6))</f>
        <v>Compact Conventional/Sporty Car (43)</v>
      </c>
      <c r="AZ671" s="41" t="str">
        <f>INDEX(Input!$1:$1048576,AZ$93,$C671*2+6)</f>
        <v>Kia Forte</v>
      </c>
      <c r="BA671" s="3">
        <f>INDEX(Input!$1:$1048576,BA$93,$C671*2+6)</f>
        <v>2020</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19695</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2076"/>
        <v>1965.0000000000002</v>
      </c>
      <c r="CJ671" s="16" t="str">
        <f>INDEX(Input!$1:$1048576,CJ$93,$C671*2+6)</f>
        <v>N</v>
      </c>
      <c r="CK671" s="1" t="str">
        <f t="shared" si="2077"/>
        <v>Market</v>
      </c>
      <c r="CL671" s="1" t="str">
        <f t="shared" si="2078"/>
        <v>Market</v>
      </c>
      <c r="CM671" s="1" t="str">
        <f t="shared" si="2079"/>
        <v>Market</v>
      </c>
      <c r="CN671" s="1" t="str">
        <f t="shared" si="2080"/>
        <v>Market</v>
      </c>
      <c r="CO671" s="1" t="str">
        <f t="shared" si="2081"/>
        <v>Market</v>
      </c>
      <c r="CP671" s="304">
        <f t="shared" si="2082"/>
        <v>0</v>
      </c>
      <c r="CQ671" s="1">
        <f t="shared" si="2083"/>
        <v>0</v>
      </c>
      <c r="CR671" s="1">
        <f t="shared" si="2084"/>
        <v>0</v>
      </c>
      <c r="CS671" s="1">
        <f t="shared" si="2085"/>
        <v>0</v>
      </c>
      <c r="CT671" s="1">
        <f t="shared" si="2086"/>
        <v>8.9999999999999959E-3</v>
      </c>
      <c r="CU671" s="1">
        <f t="shared" si="2087"/>
        <v>3.9E-2</v>
      </c>
      <c r="CV671" s="304">
        <f t="shared" si="2013"/>
        <v>2519.3275155115825</v>
      </c>
      <c r="CW671" s="20" t="s">
        <v>122</v>
      </c>
      <c r="CX671" s="20" t="s">
        <v>122</v>
      </c>
      <c r="CY671" s="20" t="s">
        <v>122</v>
      </c>
      <c r="CZ671" s="20" t="s">
        <v>122</v>
      </c>
      <c r="DA671" s="20" t="s">
        <v>122</v>
      </c>
      <c r="DB671" s="503">
        <f t="shared" si="2014"/>
        <v>0</v>
      </c>
      <c r="DC671" s="127">
        <v>0</v>
      </c>
      <c r="DD671" s="127">
        <v>0</v>
      </c>
      <c r="DE671" s="127">
        <v>0</v>
      </c>
      <c r="DF671" s="127">
        <v>0</v>
      </c>
      <c r="DG671" s="127">
        <v>0</v>
      </c>
      <c r="DH671" s="127">
        <v>0</v>
      </c>
      <c r="DI671" s="127">
        <v>0</v>
      </c>
      <c r="DJ671" s="127">
        <v>0</v>
      </c>
      <c r="DK671" s="127">
        <v>0</v>
      </c>
      <c r="DL671" s="127">
        <v>0</v>
      </c>
      <c r="DM671" s="304">
        <f>INDEX(Input!$1:$1048576,DM$93,$C671*2+6)</f>
        <v>20731.578947368424</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t="str">
        <f t="shared" ref="HJ671:HK671" si="2133">HJ670</f>
        <v>On</v>
      </c>
      <c r="HK671" s="1" t="str">
        <f t="shared" si="2133"/>
        <v>On</v>
      </c>
      <c r="HL671" s="16"/>
      <c r="HM671" s="639">
        <f t="shared" si="2105"/>
        <v>4.9686942767030826E-2</v>
      </c>
      <c r="HN671" s="639">
        <f t="shared" si="2105"/>
        <v>2.6112822013589915E-3</v>
      </c>
      <c r="HO671" s="639">
        <f t="shared" si="2105"/>
        <v>3.166115353075552E-2</v>
      </c>
      <c r="HP671" s="644">
        <f t="shared" si="2089"/>
        <v>598.11595941253859</v>
      </c>
      <c r="HQ671" s="644">
        <f t="shared" si="2089"/>
        <v>101.75749944525134</v>
      </c>
      <c r="HR671" s="644">
        <f t="shared" si="2089"/>
        <v>52.916189713891626</v>
      </c>
      <c r="HS671" s="644">
        <f t="shared" si="2089"/>
        <v>-146.13327754922273</v>
      </c>
      <c r="HT671" s="644">
        <f t="shared" si="2089"/>
        <v>332.69085270569656</v>
      </c>
      <c r="HU671" s="644">
        <f t="shared" si="2089"/>
        <v>151.59055991696138</v>
      </c>
      <c r="HV671" s="644">
        <f t="shared" si="2089"/>
        <v>0</v>
      </c>
      <c r="HW671" s="644">
        <f t="shared" si="2089"/>
        <v>0</v>
      </c>
      <c r="HX671" s="644">
        <f t="shared" si="2089"/>
        <v>0</v>
      </c>
      <c r="HY671" s="644">
        <f t="shared" si="2089"/>
        <v>2388</v>
      </c>
      <c r="HZ671" s="644">
        <f t="shared" si="2089"/>
        <v>2518</v>
      </c>
      <c r="IA671" s="644">
        <f t="shared" si="2089"/>
        <v>2200</v>
      </c>
      <c r="IB671" s="644">
        <f t="shared" si="2089"/>
        <v>2839.9826818633155</v>
      </c>
      <c r="IC671" s="644">
        <f t="shared" si="2089"/>
        <v>2952.4483521509483</v>
      </c>
      <c r="ID671" s="644">
        <f t="shared" si="2089"/>
        <v>2404.5067496308529</v>
      </c>
      <c r="IE671" s="20">
        <f t="shared" si="2106"/>
        <v>0.3464687370849357</v>
      </c>
      <c r="IF671" s="20">
        <f t="shared" si="2090"/>
        <v>0.36018918650838128</v>
      </c>
      <c r="IG671" s="20">
        <f t="shared" si="2091"/>
        <v>0.29334207640668303</v>
      </c>
      <c r="IH671" s="21"/>
      <c r="II671" s="19"/>
      <c r="IJ671" s="19"/>
      <c r="IK671" s="19"/>
      <c r="IL671" s="19">
        <f t="shared" si="2107"/>
        <v>900</v>
      </c>
      <c r="IM671" s="19">
        <f t="shared" si="2107"/>
        <v>757.89500103531009</v>
      </c>
      <c r="IN671" s="19">
        <f t="shared" si="2107"/>
        <v>466.37397272362978</v>
      </c>
      <c r="IO671" s="39"/>
      <c r="IP671" s="39"/>
      <c r="IQ671" s="39"/>
      <c r="IR671" s="39"/>
      <c r="IS671" s="39"/>
      <c r="IT671" s="39"/>
      <c r="IU671" s="39"/>
      <c r="IV671" s="39"/>
      <c r="IW671" s="39"/>
      <c r="IX671" s="19">
        <f t="shared" si="2108"/>
        <v>1600</v>
      </c>
      <c r="IY671" s="19">
        <f t="shared" si="2108"/>
        <v>2503.549291639752</v>
      </c>
      <c r="IZ671" s="19">
        <f t="shared" si="2108"/>
        <v>5888.3563810918577</v>
      </c>
      <c r="JA671" s="19">
        <f t="shared" si="2109"/>
        <v>2500</v>
      </c>
      <c r="JB671" s="19">
        <f t="shared" si="2109"/>
        <v>3261.4442926750621</v>
      </c>
      <c r="JC671" s="19">
        <f t="shared" si="2109"/>
        <v>6354.7303538154874</v>
      </c>
      <c r="JD671" s="19">
        <f t="shared" si="2110"/>
        <v>3905.0186063261835</v>
      </c>
      <c r="JE671" s="21"/>
      <c r="JF671" s="1">
        <f t="shared" si="2111"/>
        <v>6.8844376252282569E-2</v>
      </c>
      <c r="JG671" s="15">
        <f t="shared" si="2112"/>
        <v>7106</v>
      </c>
      <c r="JH671" s="1">
        <f t="shared" si="2113"/>
        <v>0.10593718668332136</v>
      </c>
      <c r="JI671" s="1">
        <f t="shared" si="2114"/>
        <v>4.7586284136424885E-2</v>
      </c>
      <c r="JJ671" s="1">
        <f t="shared" si="2092"/>
        <v>0</v>
      </c>
      <c r="JK671" s="1">
        <f t="shared" si="2093"/>
        <v>0.15352347081974624</v>
      </c>
      <c r="JL671" s="15">
        <f t="shared" si="2115"/>
        <v>1090.9377836451167</v>
      </c>
      <c r="JM671" s="15">
        <f t="shared" si="2115"/>
        <v>8196.9377836451149</v>
      </c>
      <c r="JN671" s="21"/>
      <c r="JO671" s="19">
        <f>INDEX([1]Input!$1:$1048576,JO$93,$C671*2+6)</f>
        <v>5995.5</v>
      </c>
      <c r="JP671" s="19">
        <f>INDEX([1]Input!$1:$1048576,JP$93,$C671*2+6)</f>
        <v>1716.3055838443925</v>
      </c>
      <c r="JQ671" s="39">
        <f t="shared" si="2124"/>
        <v>2090.4813936738165</v>
      </c>
      <c r="JR671" s="39">
        <f t="shared" si="2125"/>
        <v>2188.7130224817911</v>
      </c>
      <c r="JS671" s="39">
        <f t="shared" si="2126"/>
        <v>32.009194560032284</v>
      </c>
      <c r="JT671" s="39">
        <f t="shared" si="2116"/>
        <v>19.813127081234029</v>
      </c>
      <c r="JU671" s="385">
        <f>(JQ671*JM671-INDEX([1]Input!$1:$1048576,[1]Input!A$18,$C671*2+6)*JL671*INDEX([1]Input!$1:$1048576,[1]Input!A$19,$C671*2+6))/1000000</f>
        <v>17.135545921812007</v>
      </c>
      <c r="JV671" s="39">
        <f t="shared" si="2094"/>
        <v>-13.272409599389743</v>
      </c>
      <c r="JW671" s="1">
        <f t="shared" si="2129"/>
        <v>-0.43647819696840984</v>
      </c>
      <c r="JX671" s="19">
        <f t="shared" si="2130"/>
        <v>18161.555478473794</v>
      </c>
      <c r="JZ671" s="341"/>
      <c r="KA671" s="60"/>
      <c r="KB671" s="469">
        <f t="shared" si="2117"/>
        <v>0</v>
      </c>
      <c r="KI671" s="472"/>
      <c r="KJ671" s="472"/>
      <c r="KK671" s="472"/>
      <c r="KN671" s="26">
        <f t="shared" si="2118"/>
        <v>6002</v>
      </c>
      <c r="KO671" s="789">
        <f t="shared" si="2095"/>
        <v>7.2598218051469487E-2</v>
      </c>
      <c r="KP671" s="790">
        <f t="shared" si="2096"/>
        <v>363.27788680642715</v>
      </c>
      <c r="KQ671" s="790">
        <f t="shared" si="2097"/>
        <v>307.57011603625688</v>
      </c>
      <c r="KR671" s="26">
        <f t="shared" si="2098"/>
        <v>3.2169685990807677</v>
      </c>
      <c r="KS671" s="26">
        <f t="shared" si="2099"/>
        <v>3.7996329736369145</v>
      </c>
      <c r="KT671" s="791">
        <f t="shared" si="2127"/>
        <v>2521.945896759994</v>
      </c>
      <c r="KU671" s="792">
        <f t="shared" si="2119"/>
        <v>11.349195420033288</v>
      </c>
    </row>
    <row r="672" spans="1:308" s="26" customFormat="1" ht="15" outlineLevel="1">
      <c r="A672" s="561">
        <f t="shared" si="2100"/>
        <v>6072</v>
      </c>
      <c r="B672" s="561">
        <f t="shared" si="2120"/>
        <v>72</v>
      </c>
      <c r="C672" s="561">
        <f t="shared" si="2121"/>
        <v>6</v>
      </c>
      <c r="D672" s="561" t="str">
        <f t="shared" si="2028"/>
        <v xml:space="preserve">1000 CC, 0/0/0.9/3.9, 180 Lease, </v>
      </c>
      <c r="E672" s="475">
        <f>INDEX(Input!$1:$1048576,E$93,$C672*2+MIN($B672,2)+5)
+INDEX(Scenarios!E$121:E$199,MATCH($B672,Scenarios!$B$121:$B$199,0))</f>
        <v>2250</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8.9999999999999959E-3</v>
      </c>
      <c r="W672" s="863">
        <f>IFERROR(MAX(0,INDEX(Input!$1:$1048576,W$93,$C672*2+MIN($B672,2)+5)-0%),"Market")</f>
        <v>3.9E-2</v>
      </c>
      <c r="X672" s="476" t="str">
        <f>INDEX(Input!$1:$1048576,X$93,$C672*2+MIN($B672,2)+5)</f>
        <v>Y</v>
      </c>
      <c r="Y672" s="475">
        <f>INDEX(Input!$1:$1048576,Y$93,$C672*2+MIN($B672,2)+5)
++INDEX(Scenarios!Y$121:Y$199,MATCH($B672,Scenarios!$B$121:$B$199,0))</f>
        <v>2519.3275155115825</v>
      </c>
      <c r="Z672" s="477">
        <f>INDEX(Input!$1:$1048576,Z$93,$C672*2+MIN($B672,2)+5)
+INDEX(Scenarios!Z$121:Z$199,MATCH($B672,Scenarios!$B$121:$B$199,0))</f>
        <v>0</v>
      </c>
      <c r="AA672" s="475">
        <f>INDEX(Input!$1:$1048576,AA$93,$C672*2+MIN($B672,2)+5)</f>
        <v>0</v>
      </c>
      <c r="AB672" s="476">
        <f>INDEX(Input!$1:$1048576,AB$93,$C672*2+MIN($B672,2)+5)</f>
        <v>1</v>
      </c>
      <c r="AC672" s="475">
        <f>INDEX(Input!$1:$1048576,AC$93,$C672*2+MIN($B672,2)+5)
+INDEX(Scenarios!AC$121:AC$199,MATCH($B672,Scenarios!$B$121:$B$199,0))</f>
        <v>0</v>
      </c>
      <c r="AD672" s="476">
        <f>INDEX(Input!$1:$1048576,AD$93,$C672*2+MIN($B672,2)+5)</f>
        <v>0.35</v>
      </c>
      <c r="AE672" s="475">
        <f>INDEX(Input!$1:$1048576,AE$93,$C672*2+MIN($B672,2)+5)
+INDEX(Scenarios!AE$121:AE$199,MATCH($B672,Scenarios!$B$121:$B$199,0))</f>
        <v>0</v>
      </c>
      <c r="AF672" s="476">
        <f>INDEX(Input!$1:$1048576,AF$93,$C672*2+MIN($B672,2)+5)</f>
        <v>1</v>
      </c>
      <c r="AG672" s="475">
        <f>INDEX(Input!$1:$1048576,AG$93,$C672*2+MIN($B672,2)+5)</f>
        <v>0</v>
      </c>
      <c r="AH672" s="476">
        <f>INDEX(Input!$1:$1048576,AH$93,$C672*2+MIN($B672,2)+5)</f>
        <v>1</v>
      </c>
      <c r="AI672" s="475">
        <f>INDEX(Input!$1:$1048576,AI$93,$C672*2+MIN($B672,2)+5)</f>
        <v>0</v>
      </c>
      <c r="AJ672" s="476">
        <f>INDEX(Input!$1:$1048576,AJ$93,$C672*2+MIN($B672,2)+5)</f>
        <v>0.35</v>
      </c>
      <c r="AK672" s="150">
        <f>ROUND(INDEX(Input!$1:$1048576,AK$93,$C671*2+MIN($B672,1)+5)+(Y672-VLOOKUP($C672*1000+1,$A:$HH,Y$92,FALSE)),0)</f>
        <v>5273</v>
      </c>
      <c r="AL672" s="150">
        <f>ROUND(INDEX(Input!$1:$1048576,AL$93,$C671*2+MIN($B672,1)+5)-(Y672-VLOOKUP($C672*1000+1,$A:$HH,Y$92,FALSE))/36,0)</f>
        <v>5212</v>
      </c>
      <c r="AM672" s="32" t="str">
        <f t="shared" si="2101"/>
        <v>std/std/std/std</v>
      </c>
      <c r="AN672" s="32" t="str">
        <f t="shared" si="2102"/>
        <v>$0 + 0/0/0/0.9/3.9</v>
      </c>
      <c r="AO672" s="32" t="str">
        <f t="shared" si="2103"/>
        <v>0/0/0/0.9/3.9</v>
      </c>
      <c r="AP672" s="32" t="str">
        <f t="shared" si="2074"/>
        <v>0/0/0.9/3.9</v>
      </c>
      <c r="AQ672" s="536">
        <f t="shared" si="2075"/>
        <v>0.38014389486113254</v>
      </c>
      <c r="AR672" s="32"/>
      <c r="AS672" s="302"/>
      <c r="AT672" s="3">
        <f t="shared" si="2122"/>
        <v>72</v>
      </c>
      <c r="AU672" s="41" t="s">
        <v>121</v>
      </c>
      <c r="AV672" s="41" t="s">
        <v>116</v>
      </c>
      <c r="AW672" s="41" t="str">
        <f>INDEX(Input!$1:$1048576,AW$93,$C672*2+6)</f>
        <v>Kia</v>
      </c>
      <c r="AX672" s="41" t="str">
        <f>INDEX(Input!$1:$1048576,AX$93,$C672*2+6)</f>
        <v>National</v>
      </c>
      <c r="AY672" s="41" t="str">
        <f>IF(LEN(D672)=0,"",INDEX(Input!$1:$1048576,AY$93,$C672*2+6))</f>
        <v>Compact Conventional/Sporty Car (43)</v>
      </c>
      <c r="AZ672" s="41" t="str">
        <f>INDEX(Input!$1:$1048576,AZ$93,$C672*2+6)</f>
        <v>Kia Forte</v>
      </c>
      <c r="BA672" s="3">
        <f>INDEX(Input!$1:$1048576,BA$93,$C672*2+6)</f>
        <v>2020</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19695</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2076"/>
        <v>2465</v>
      </c>
      <c r="CJ672" s="16" t="str">
        <f>INDEX(Input!$1:$1048576,CJ$93,$C672*2+6)</f>
        <v>N</v>
      </c>
      <c r="CK672" s="1" t="str">
        <f t="shared" si="2077"/>
        <v>Market</v>
      </c>
      <c r="CL672" s="1" t="str">
        <f t="shared" si="2078"/>
        <v>Market</v>
      </c>
      <c r="CM672" s="1" t="str">
        <f t="shared" si="2079"/>
        <v>Market</v>
      </c>
      <c r="CN672" s="1" t="str">
        <f t="shared" si="2080"/>
        <v>Market</v>
      </c>
      <c r="CO672" s="1" t="str">
        <f t="shared" si="2081"/>
        <v>Market</v>
      </c>
      <c r="CP672" s="304">
        <f t="shared" si="2082"/>
        <v>0</v>
      </c>
      <c r="CQ672" s="1">
        <f t="shared" si="2083"/>
        <v>0</v>
      </c>
      <c r="CR672" s="1">
        <f t="shared" si="2084"/>
        <v>0</v>
      </c>
      <c r="CS672" s="1">
        <f t="shared" si="2085"/>
        <v>0</v>
      </c>
      <c r="CT672" s="1">
        <f t="shared" si="2086"/>
        <v>8.9999999999999959E-3</v>
      </c>
      <c r="CU672" s="1">
        <f t="shared" si="2087"/>
        <v>3.9E-2</v>
      </c>
      <c r="CV672" s="304">
        <f t="shared" si="2013"/>
        <v>2519.3275155115825</v>
      </c>
      <c r="CW672" s="20" t="s">
        <v>122</v>
      </c>
      <c r="CX672" s="20" t="s">
        <v>122</v>
      </c>
      <c r="CY672" s="20" t="s">
        <v>122</v>
      </c>
      <c r="CZ672" s="20" t="s">
        <v>122</v>
      </c>
      <c r="DA672" s="20" t="s">
        <v>122</v>
      </c>
      <c r="DB672" s="503">
        <f t="shared" si="2014"/>
        <v>0</v>
      </c>
      <c r="DC672" s="127">
        <v>0</v>
      </c>
      <c r="DD672" s="127">
        <v>0</v>
      </c>
      <c r="DE672" s="127">
        <v>0</v>
      </c>
      <c r="DF672" s="127">
        <v>0</v>
      </c>
      <c r="DG672" s="127">
        <v>0</v>
      </c>
      <c r="DH672" s="127">
        <v>0</v>
      </c>
      <c r="DI672" s="127">
        <v>0</v>
      </c>
      <c r="DJ672" s="127">
        <v>0</v>
      </c>
      <c r="DK672" s="127">
        <v>0</v>
      </c>
      <c r="DL672" s="127">
        <v>0</v>
      </c>
      <c r="DM672" s="304">
        <f>INDEX(Input!$1:$1048576,DM$93,$C672*2+6)</f>
        <v>20731.578947368424</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t="str">
        <f t="shared" ref="HJ672:HK672" si="2134">HJ671</f>
        <v>On</v>
      </c>
      <c r="HK672" s="1" t="str">
        <f t="shared" si="2134"/>
        <v>On</v>
      </c>
      <c r="HL672" s="16"/>
      <c r="HM672" s="639">
        <f t="shared" si="2105"/>
        <v>4.9686942767030826E-2</v>
      </c>
      <c r="HN672" s="639">
        <f t="shared" si="2105"/>
        <v>2.6112822013589915E-3</v>
      </c>
      <c r="HO672" s="639">
        <f t="shared" si="2105"/>
        <v>3.166115353075552E-2</v>
      </c>
      <c r="HP672" s="644">
        <f t="shared" si="2089"/>
        <v>1050.1575969041703</v>
      </c>
      <c r="HQ672" s="644">
        <f t="shared" si="2089"/>
        <v>80.309524297680269</v>
      </c>
      <c r="HR672" s="644">
        <f t="shared" si="2089"/>
        <v>-45.370448303519929</v>
      </c>
      <c r="HS672" s="644">
        <f t="shared" si="2089"/>
        <v>-226.29118940846445</v>
      </c>
      <c r="HT672" s="644">
        <f t="shared" si="2089"/>
        <v>313.95180424752516</v>
      </c>
      <c r="HU672" s="644">
        <f t="shared" si="2089"/>
        <v>170.3233128310016</v>
      </c>
      <c r="HV672" s="644">
        <f t="shared" si="2089"/>
        <v>0</v>
      </c>
      <c r="HW672" s="644">
        <f t="shared" si="2089"/>
        <v>0</v>
      </c>
      <c r="HX672" s="644">
        <f t="shared" si="2089"/>
        <v>0</v>
      </c>
      <c r="HY672" s="644">
        <f t="shared" si="2089"/>
        <v>2388</v>
      </c>
      <c r="HZ672" s="644">
        <f t="shared" si="2089"/>
        <v>2518</v>
      </c>
      <c r="IA672" s="644">
        <f t="shared" si="2089"/>
        <v>2200</v>
      </c>
      <c r="IB672" s="644">
        <f t="shared" si="2089"/>
        <v>3211.866407495706</v>
      </c>
      <c r="IC672" s="644">
        <f t="shared" si="2089"/>
        <v>2912.2613285452053</v>
      </c>
      <c r="ID672" s="644">
        <f t="shared" si="2089"/>
        <v>2324.9528645274818</v>
      </c>
      <c r="IE672" s="20">
        <f t="shared" si="2106"/>
        <v>0.38014389486113254</v>
      </c>
      <c r="IF672" s="20">
        <f t="shared" si="2090"/>
        <v>0.34468381427788597</v>
      </c>
      <c r="IG672" s="20">
        <f t="shared" si="2091"/>
        <v>0.27517229086098144</v>
      </c>
      <c r="IH672" s="21"/>
      <c r="II672" s="19"/>
      <c r="IJ672" s="19"/>
      <c r="IK672" s="19"/>
      <c r="IL672" s="19">
        <f t="shared" si="2107"/>
        <v>1400</v>
      </c>
      <c r="IM672" s="19">
        <f t="shared" si="2107"/>
        <v>757.95668991739831</v>
      </c>
      <c r="IN672" s="19">
        <f t="shared" si="2107"/>
        <v>469.46941869696639</v>
      </c>
      <c r="IO672" s="39"/>
      <c r="IP672" s="39"/>
      <c r="IQ672" s="39"/>
      <c r="IR672" s="39"/>
      <c r="IS672" s="39"/>
      <c r="IT672" s="39"/>
      <c r="IU672" s="39"/>
      <c r="IV672" s="39"/>
      <c r="IW672" s="39"/>
      <c r="IX672" s="19">
        <f t="shared" si="2108"/>
        <v>1600</v>
      </c>
      <c r="IY672" s="19">
        <f t="shared" si="2108"/>
        <v>2503.549291639752</v>
      </c>
      <c r="IZ672" s="19">
        <f t="shared" si="2108"/>
        <v>5888.3563810918577</v>
      </c>
      <c r="JA672" s="19">
        <f t="shared" si="2109"/>
        <v>3000</v>
      </c>
      <c r="JB672" s="19">
        <f t="shared" si="2109"/>
        <v>3261.5059815571503</v>
      </c>
      <c r="JC672" s="19">
        <f t="shared" si="2109"/>
        <v>6357.825799788824</v>
      </c>
      <c r="JD672" s="19">
        <f t="shared" si="2110"/>
        <v>4014.1174968195992</v>
      </c>
      <c r="JE672" s="21"/>
      <c r="JF672" s="1">
        <f t="shared" si="2111"/>
        <v>6.8844376252282569E-2</v>
      </c>
      <c r="JG672" s="15">
        <f t="shared" si="2112"/>
        <v>7106</v>
      </c>
      <c r="JH672" s="1">
        <f t="shared" si="2113"/>
        <v>0.15270147381062915</v>
      </c>
      <c r="JI672" s="1">
        <f t="shared" si="2114"/>
        <v>3.6305084107804995E-2</v>
      </c>
      <c r="JJ672" s="1">
        <f t="shared" si="2092"/>
        <v>0</v>
      </c>
      <c r="JK672" s="1">
        <f t="shared" si="2093"/>
        <v>0.18900655791843413</v>
      </c>
      <c r="JL672" s="15">
        <f t="shared" si="2115"/>
        <v>1343.0806005683928</v>
      </c>
      <c r="JM672" s="15">
        <f t="shared" si="2115"/>
        <v>8449.0806005683917</v>
      </c>
      <c r="JN672" s="21"/>
      <c r="JO672" s="19">
        <f>INDEX([1]Input!$1:$1048576,JO$93,$C672*2+6)</f>
        <v>5995.5</v>
      </c>
      <c r="JP672" s="19">
        <f>INDEX([1]Input!$1:$1048576,JP$93,$C672*2+6)</f>
        <v>1716.3055838443925</v>
      </c>
      <c r="JQ672" s="39">
        <f t="shared" si="2124"/>
        <v>1981.3825031804008</v>
      </c>
      <c r="JR672" s="39">
        <f t="shared" si="2125"/>
        <v>2297.8119129752067</v>
      </c>
      <c r="JS672" s="39">
        <f t="shared" si="2126"/>
        <v>33.915602270780631</v>
      </c>
      <c r="JT672" s="39">
        <f t="shared" si="2116"/>
        <v>21.719534791982376</v>
      </c>
      <c r="JU672" s="385">
        <f>(JQ672*JM672-INDEX([1]Input!$1:$1048576,[1]Input!A$18,$C672*2+6)*JL672*INDEX([1]Input!$1:$1048576,[1]Input!A$19,$C672*2+6))/1000000</f>
        <v>16.740860469927163</v>
      </c>
      <c r="JV672" s="39">
        <f t="shared" si="2094"/>
        <v>-13.667095051274586</v>
      </c>
      <c r="JW672" s="1">
        <f t="shared" si="2129"/>
        <v>-0.44945787432980466</v>
      </c>
      <c r="JX672" s="19">
        <f t="shared" si="2130"/>
        <v>16171.430651883922</v>
      </c>
      <c r="JZ672" s="341"/>
      <c r="KA672" s="60"/>
      <c r="KB672" s="469">
        <f t="shared" si="2117"/>
        <v>0</v>
      </c>
      <c r="KI672" s="472"/>
      <c r="KJ672" s="472"/>
      <c r="KK672" s="472"/>
      <c r="KN672" s="26">
        <f t="shared" si="2118"/>
        <v>6002</v>
      </c>
      <c r="KO672" s="789">
        <f t="shared" si="2095"/>
        <v>0.10559199490628401</v>
      </c>
      <c r="KP672" s="790">
        <f t="shared" si="2096"/>
        <v>561.72403036998844</v>
      </c>
      <c r="KQ672" s="790">
        <f t="shared" si="2097"/>
        <v>416.66900652967252</v>
      </c>
      <c r="KR672" s="26">
        <f t="shared" si="2098"/>
        <v>3.025992275775292</v>
      </c>
      <c r="KS672" s="26">
        <f t="shared" si="2099"/>
        <v>4.0794312760958942</v>
      </c>
      <c r="KT672" s="791">
        <f t="shared" si="2127"/>
        <v>2521.945896759994</v>
      </c>
      <c r="KU672" s="792">
        <f t="shared" si="2119"/>
        <v>11.53128346700467</v>
      </c>
    </row>
    <row r="673" spans="1:307" s="26" customFormat="1" ht="15" outlineLevel="1">
      <c r="A673" s="561">
        <f t="shared" si="2100"/>
        <v>6073</v>
      </c>
      <c r="B673" s="561">
        <f t="shared" si="2120"/>
        <v>73</v>
      </c>
      <c r="C673" s="561">
        <f t="shared" si="2121"/>
        <v>6</v>
      </c>
      <c r="D673" s="561" t="str">
        <f t="shared" si="2028"/>
        <v xml:space="preserve">500 CC, 0.9/1.9/2.9/3.9, 1000 Combo, </v>
      </c>
      <c r="E673" s="475">
        <f>INDEX(Input!$1:$1048576,E$93,$C673*2+MIN($B673,2)+5)
+INDEX(Scenarios!E$121:E$199,MATCH($B673,Scenarios!$B$121:$B$199,0))</f>
        <v>1750.0000000000002</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1000</v>
      </c>
      <c r="R673" s="478">
        <f>IFERROR(MAX(0,INDEX(Input!$1:$1048576,R$93,$C673*2+MIN($B673,2)+5)
+INDEX(Scenarios!R$121:R$199,MATCH($B673,Scenarios!$B$121:$B$199,0)),),"Market")</f>
        <v>9.0000000000000011E-3</v>
      </c>
      <c r="S673" s="478">
        <f>IFERROR(MAX(0,INDEX(Input!$1:$1048576,S$93,$C673*2+MIN($B673,2)+5)
+INDEX(Scenarios!S$121:S$199,MATCH($B673,Scenarios!$B$121:$B$199,0)),),"Market")</f>
        <v>9.0000000000000011E-3</v>
      </c>
      <c r="T673" s="478">
        <f>IFERROR(MAX(0,INDEX(Input!$1:$1048576,T$93,$C673*2+MIN($B673,2)+5)
+INDEX(Scenarios!T$121:T$199,MATCH($B673,Scenarios!$B$121:$B$199,0)),),"Market")</f>
        <v>9.0000000000000011E-3</v>
      </c>
      <c r="U673" s="478">
        <f>IFERROR(MAX(0,INDEX(Input!$1:$1048576,U$93,$C673*2+MIN($B673,2)+5)
+INDEX(Scenarios!U$121:U$199,MATCH($B673,Scenarios!$B$121:$B$199,0)),),"Market")</f>
        <v>9.0000000000000011E-3</v>
      </c>
      <c r="V673" s="478">
        <f>IFERROR(MAX(0,INDEX(Input!$1:$1048576,V$93,$C673*2+MIN($B673,2)+5)
+INDEX(Scenarios!V$121:V$199,MATCH($B673,Scenarios!$B$121:$B$199,0)),),"Market")</f>
        <v>2.8999999999999998E-2</v>
      </c>
      <c r="W673" s="863">
        <f>IFERROR(MAX(0,INDEX(Input!$1:$1048576,W$93,$C673*2+MIN($B673,2)+5)-0%),"Market")</f>
        <v>3.9E-2</v>
      </c>
      <c r="X673" s="476" t="str">
        <f>INDEX(Input!$1:$1048576,X$93,$C673*2+MIN($B673,2)+5)</f>
        <v>Y</v>
      </c>
      <c r="Y673" s="475">
        <f>INDEX(Input!$1:$1048576,Y$93,$C673*2+MIN($B673,2)+5)
++INDEX(Scenarios!Y$121:Y$199,MATCH($B673,Scenarios!$B$121:$B$199,0))</f>
        <v>2339.3275155115825</v>
      </c>
      <c r="Z673" s="477">
        <f>INDEX(Input!$1:$1048576,Z$93,$C673*2+MIN($B673,2)+5)
+INDEX(Scenarios!Z$121:Z$199,MATCH($B673,Scenarios!$B$121:$B$199,0))</f>
        <v>0</v>
      </c>
      <c r="AA673" s="475">
        <f>INDEX(Input!$1:$1048576,AA$93,$C673*2+MIN($B673,2)+5)</f>
        <v>0</v>
      </c>
      <c r="AB673" s="476">
        <f>INDEX(Input!$1:$1048576,AB$93,$C673*2+MIN($B673,2)+5)</f>
        <v>1</v>
      </c>
      <c r="AC673" s="475">
        <f>INDEX(Input!$1:$1048576,AC$93,$C673*2+MIN($B673,2)+5)
+INDEX(Scenarios!AC$121:AC$199,MATCH($B673,Scenarios!$B$121:$B$199,0))</f>
        <v>0</v>
      </c>
      <c r="AD673" s="476">
        <f>INDEX(Input!$1:$1048576,AD$93,$C673*2+MIN($B673,2)+5)</f>
        <v>0.35</v>
      </c>
      <c r="AE673" s="475">
        <f>INDEX(Input!$1:$1048576,AE$93,$C673*2+MIN($B673,2)+5)
+INDEX(Scenarios!AE$121:AE$199,MATCH($B673,Scenarios!$B$121:$B$199,0))</f>
        <v>0</v>
      </c>
      <c r="AF673" s="476">
        <f>INDEX(Input!$1:$1048576,AF$93,$C673*2+MIN($B673,2)+5)</f>
        <v>1</v>
      </c>
      <c r="AG673" s="475">
        <f>INDEX(Input!$1:$1048576,AG$93,$C673*2+MIN($B673,2)+5)</f>
        <v>0</v>
      </c>
      <c r="AH673" s="476">
        <f>INDEX(Input!$1:$1048576,AH$93,$C673*2+MIN($B673,2)+5)</f>
        <v>1</v>
      </c>
      <c r="AI673" s="475">
        <f>INDEX(Input!$1:$1048576,AI$93,$C673*2+MIN($B673,2)+5)</f>
        <v>0</v>
      </c>
      <c r="AJ673" s="476">
        <f>INDEX(Input!$1:$1048576,AJ$93,$C673*2+MIN($B673,2)+5)</f>
        <v>0.35</v>
      </c>
      <c r="AK673" s="150">
        <f>ROUND(INDEX(Input!$1:$1048576,AK$93,$C672*2+MIN($B673,1)+5)+(Y673-VLOOKUP($C673*1000+1,$A:$HH,Y$92,FALSE)),0)</f>
        <v>5093</v>
      </c>
      <c r="AL673" s="150">
        <f>ROUND(INDEX(Input!$1:$1048576,AL$93,$C672*2+MIN($B673,1)+5)-(Y673-VLOOKUP($C673*1000+1,$A:$HH,Y$92,FALSE))/36,0)</f>
        <v>5217</v>
      </c>
      <c r="AM673" s="32" t="str">
        <f t="shared" si="2101"/>
        <v>std/std/std/std</v>
      </c>
      <c r="AN673" s="32" t="str">
        <f t="shared" si="2102"/>
        <v>$1000 + 0.9/0.9/0.9/2.9/3.9</v>
      </c>
      <c r="AO673" s="32" t="str">
        <f t="shared" si="2103"/>
        <v>0.9/0.9/0.9/2.9/3.9</v>
      </c>
      <c r="AP673" s="32" t="str">
        <f t="shared" si="2074"/>
        <v>0.9/1.9/2.9/3.9</v>
      </c>
      <c r="AQ673" s="536">
        <f t="shared" si="2075"/>
        <v>0.3594515250937837</v>
      </c>
      <c r="AR673" s="32"/>
      <c r="AS673" s="302"/>
      <c r="AT673" s="3">
        <f t="shared" si="2122"/>
        <v>73</v>
      </c>
      <c r="AU673" s="41" t="s">
        <v>121</v>
      </c>
      <c r="AV673" s="41" t="s">
        <v>116</v>
      </c>
      <c r="AW673" s="41" t="str">
        <f>INDEX(Input!$1:$1048576,AW$93,$C673*2+6)</f>
        <v>Kia</v>
      </c>
      <c r="AX673" s="41" t="str">
        <f>INDEX(Input!$1:$1048576,AX$93,$C673*2+6)</f>
        <v>National</v>
      </c>
      <c r="AY673" s="41" t="str">
        <f>IF(LEN(D673)=0,"",INDEX(Input!$1:$1048576,AY$93,$C673*2+6))</f>
        <v>Compact Conventional/Sporty Car (43)</v>
      </c>
      <c r="AZ673" s="41" t="str">
        <f>INDEX(Input!$1:$1048576,AZ$93,$C673*2+6)</f>
        <v>Kia Forte</v>
      </c>
      <c r="BA673" s="3">
        <f>INDEX(Input!$1:$1048576,BA$93,$C673*2+6)</f>
        <v>2020</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19695</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2076"/>
        <v>1965.0000000000002</v>
      </c>
      <c r="CJ673" s="16" t="str">
        <f>INDEX(Input!$1:$1048576,CJ$93,$C673*2+6)</f>
        <v>N</v>
      </c>
      <c r="CK673" s="1" t="str">
        <f t="shared" si="2077"/>
        <v>Market</v>
      </c>
      <c r="CL673" s="1" t="str">
        <f t="shared" si="2078"/>
        <v>Market</v>
      </c>
      <c r="CM673" s="1" t="str">
        <f t="shared" si="2079"/>
        <v>Market</v>
      </c>
      <c r="CN673" s="1" t="str">
        <f t="shared" si="2080"/>
        <v>Market</v>
      </c>
      <c r="CO673" s="1" t="str">
        <f t="shared" si="2081"/>
        <v>Market</v>
      </c>
      <c r="CP673" s="304">
        <f t="shared" si="2082"/>
        <v>1000</v>
      </c>
      <c r="CQ673" s="1">
        <f t="shared" si="2083"/>
        <v>9.0000000000000011E-3</v>
      </c>
      <c r="CR673" s="1">
        <f t="shared" si="2084"/>
        <v>9.0000000000000011E-3</v>
      </c>
      <c r="CS673" s="1">
        <f t="shared" si="2085"/>
        <v>9.0000000000000011E-3</v>
      </c>
      <c r="CT673" s="1">
        <f t="shared" si="2086"/>
        <v>2.8999999999999998E-2</v>
      </c>
      <c r="CU673" s="1">
        <f t="shared" si="2087"/>
        <v>3.9E-2</v>
      </c>
      <c r="CV673" s="304">
        <f t="shared" si="2013"/>
        <v>2339.3275155115825</v>
      </c>
      <c r="CW673" s="20" t="s">
        <v>122</v>
      </c>
      <c r="CX673" s="20" t="s">
        <v>122</v>
      </c>
      <c r="CY673" s="20" t="s">
        <v>122</v>
      </c>
      <c r="CZ673" s="20" t="s">
        <v>122</v>
      </c>
      <c r="DA673" s="20" t="s">
        <v>122</v>
      </c>
      <c r="DB673" s="503">
        <f t="shared" si="2014"/>
        <v>0</v>
      </c>
      <c r="DC673" s="127">
        <v>0</v>
      </c>
      <c r="DD673" s="127">
        <v>0</v>
      </c>
      <c r="DE673" s="127">
        <v>0</v>
      </c>
      <c r="DF673" s="127">
        <v>0</v>
      </c>
      <c r="DG673" s="127">
        <v>0</v>
      </c>
      <c r="DH673" s="127">
        <v>0</v>
      </c>
      <c r="DI673" s="127">
        <v>0</v>
      </c>
      <c r="DJ673" s="127">
        <v>0</v>
      </c>
      <c r="DK673" s="127">
        <v>0</v>
      </c>
      <c r="DL673" s="127">
        <v>0</v>
      </c>
      <c r="DM673" s="304">
        <f>INDEX(Input!$1:$1048576,DM$93,$C673*2+6)</f>
        <v>20731.578947368424</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t="str">
        <f t="shared" ref="HJ673:HK673" si="2135">HJ672</f>
        <v>On</v>
      </c>
      <c r="HK673" s="1" t="str">
        <f t="shared" si="2135"/>
        <v>On</v>
      </c>
      <c r="HL673" s="16"/>
      <c r="HM673" s="639">
        <f t="shared" si="2105"/>
        <v>4.9686942767030826E-2</v>
      </c>
      <c r="HN673" s="639">
        <f t="shared" si="2105"/>
        <v>2.6112822013589915E-3</v>
      </c>
      <c r="HO673" s="639">
        <f t="shared" si="2105"/>
        <v>3.166115353075552E-2</v>
      </c>
      <c r="HP673" s="644">
        <f t="shared" si="2089"/>
        <v>683.36062282175794</v>
      </c>
      <c r="HQ673" s="644">
        <f t="shared" si="2089"/>
        <v>-27.995161557462005</v>
      </c>
      <c r="HR673" s="644">
        <f t="shared" si="2089"/>
        <v>-23.817257139301354</v>
      </c>
      <c r="HS673" s="644">
        <f t="shared" si="2089"/>
        <v>-146.71303315206487</v>
      </c>
      <c r="HT673" s="644">
        <f t="shared" si="2089"/>
        <v>439.46621055589992</v>
      </c>
      <c r="HU673" s="644">
        <f t="shared" si="2089"/>
        <v>106.11586946664117</v>
      </c>
      <c r="HV673" s="644">
        <f t="shared" si="2089"/>
        <v>0</v>
      </c>
      <c r="HW673" s="644">
        <f t="shared" si="2089"/>
        <v>0</v>
      </c>
      <c r="HX673" s="644">
        <f t="shared" si="2089"/>
        <v>0</v>
      </c>
      <c r="HY673" s="644">
        <f t="shared" si="2089"/>
        <v>2388</v>
      </c>
      <c r="HZ673" s="644">
        <f t="shared" si="2089"/>
        <v>2518</v>
      </c>
      <c r="IA673" s="644">
        <f t="shared" si="2089"/>
        <v>2200</v>
      </c>
      <c r="IB673" s="644">
        <f t="shared" si="2089"/>
        <v>2924.6475896696929</v>
      </c>
      <c r="IC673" s="644">
        <f t="shared" si="2089"/>
        <v>2929.4710489984377</v>
      </c>
      <c r="ID673" s="644">
        <f t="shared" si="2089"/>
        <v>2282.2986123273395</v>
      </c>
      <c r="IE673" s="20">
        <f t="shared" si="2106"/>
        <v>0.3594515250937837</v>
      </c>
      <c r="IF673" s="20">
        <f t="shared" si="2090"/>
        <v>0.36004434859090151</v>
      </c>
      <c r="IG673" s="20">
        <f t="shared" si="2091"/>
        <v>0.28050412631531474</v>
      </c>
      <c r="IH673" s="21"/>
      <c r="II673" s="19"/>
      <c r="IJ673" s="19"/>
      <c r="IK673" s="19"/>
      <c r="IL673" s="19">
        <f t="shared" si="2107"/>
        <v>900</v>
      </c>
      <c r="IM673" s="19">
        <f t="shared" si="2107"/>
        <v>978.64467761601281</v>
      </c>
      <c r="IN673" s="19">
        <f t="shared" si="2107"/>
        <v>286.63290801270523</v>
      </c>
      <c r="IO673" s="39"/>
      <c r="IP673" s="39"/>
      <c r="IQ673" s="39"/>
      <c r="IR673" s="39"/>
      <c r="IS673" s="39"/>
      <c r="IT673" s="39"/>
      <c r="IU673" s="39"/>
      <c r="IV673" s="39"/>
      <c r="IW673" s="39"/>
      <c r="IX673" s="19">
        <f t="shared" si="2108"/>
        <v>1600</v>
      </c>
      <c r="IY673" s="19">
        <f t="shared" si="2108"/>
        <v>2503.549291639752</v>
      </c>
      <c r="IZ673" s="19">
        <f t="shared" si="2108"/>
        <v>5888.3563810918577</v>
      </c>
      <c r="JA673" s="19">
        <f t="shared" si="2109"/>
        <v>2500</v>
      </c>
      <c r="JB673" s="19">
        <f t="shared" si="2109"/>
        <v>3482.1939692557648</v>
      </c>
      <c r="JC673" s="19">
        <f t="shared" si="2109"/>
        <v>6174.9892891045629</v>
      </c>
      <c r="JD673" s="19">
        <f t="shared" si="2110"/>
        <v>3884.4830476090192</v>
      </c>
      <c r="JE673" s="21"/>
      <c r="JF673" s="1">
        <f t="shared" si="2111"/>
        <v>6.8844376252282569E-2</v>
      </c>
      <c r="JG673" s="15">
        <f t="shared" si="2112"/>
        <v>7106</v>
      </c>
      <c r="JH673" s="1">
        <f t="shared" si="2113"/>
        <v>8.8875345359554547E-2</v>
      </c>
      <c r="JI673" s="1">
        <f t="shared" si="2114"/>
        <v>5.6131304090976109E-2</v>
      </c>
      <c r="JJ673" s="1">
        <f t="shared" si="2092"/>
        <v>0</v>
      </c>
      <c r="JK673" s="1">
        <f t="shared" si="2093"/>
        <v>0.14500664945053066</v>
      </c>
      <c r="JL673" s="15">
        <f t="shared" si="2115"/>
        <v>1030.4172509954708</v>
      </c>
      <c r="JM673" s="15">
        <f t="shared" si="2115"/>
        <v>8136.4172509954715</v>
      </c>
      <c r="JN673" s="21"/>
      <c r="JO673" s="19">
        <f>INDEX([1]Input!$1:$1048576,JO$93,$C673*2+6)</f>
        <v>5995.5</v>
      </c>
      <c r="JP673" s="19">
        <f>INDEX([1]Input!$1:$1048576,JP$93,$C673*2+6)</f>
        <v>1716.3055838443925</v>
      </c>
      <c r="JQ673" s="39">
        <f t="shared" si="2124"/>
        <v>2111.0169523909808</v>
      </c>
      <c r="JR673" s="39">
        <f t="shared" si="2125"/>
        <v>2168.1774637646267</v>
      </c>
      <c r="JS673" s="39">
        <f t="shared" si="2126"/>
        <v>31.605774879765487</v>
      </c>
      <c r="JT673" s="39">
        <f t="shared" si="2116"/>
        <v>19.409707400967232</v>
      </c>
      <c r="JU673" s="385">
        <f>(JQ673*JM673-INDEX([1]Input!$1:$1048576,[1]Input!A$18,$C673*2+6)*JL673*INDEX([1]Input!$1:$1048576,[1]Input!A$19,$C673*2+6))/1000000</f>
        <v>17.176114748577863</v>
      </c>
      <c r="JV673" s="39">
        <f t="shared" si="2094"/>
        <v>-13.231840772623887</v>
      </c>
      <c r="JW673" s="1">
        <f t="shared" si="2129"/>
        <v>-0.43514404522849526</v>
      </c>
      <c r="JX673" s="19">
        <f t="shared" si="2130"/>
        <v>18836.745388546049</v>
      </c>
      <c r="JZ673" s="341"/>
      <c r="KA673" s="60"/>
      <c r="KB673" s="469">
        <f t="shared" si="2117"/>
        <v>0</v>
      </c>
      <c r="KI673" s="472"/>
      <c r="KJ673" s="472"/>
      <c r="KK673" s="472"/>
      <c r="KN673" s="26">
        <f t="shared" si="2118"/>
        <v>6002</v>
      </c>
      <c r="KO673" s="789">
        <f t="shared" si="2095"/>
        <v>6.467889290970108E-2</v>
      </c>
      <c r="KP673" s="790">
        <f t="shared" si="2096"/>
        <v>396.10243008913721</v>
      </c>
      <c r="KQ673" s="790">
        <f t="shared" si="2097"/>
        <v>287.03455731909253</v>
      </c>
      <c r="KR673" s="26">
        <f t="shared" si="2098"/>
        <v>2.6285418394697397</v>
      </c>
      <c r="KS673" s="26">
        <f t="shared" si="2099"/>
        <v>3.6273395786538614</v>
      </c>
      <c r="KT673" s="791">
        <f t="shared" si="2127"/>
        <v>2521.945896759994</v>
      </c>
      <c r="KU673" s="792">
        <f t="shared" si="2119"/>
        <v>11.287523521429257</v>
      </c>
    </row>
    <row r="674" spans="1:307" s="26" customFormat="1" ht="15" outlineLevel="1">
      <c r="A674" s="561">
        <f t="shared" si="2100"/>
        <v>6074</v>
      </c>
      <c r="B674" s="561">
        <f t="shared" si="2120"/>
        <v>74</v>
      </c>
      <c r="C674" s="561">
        <f t="shared" si="2121"/>
        <v>6</v>
      </c>
      <c r="D674" s="561" t="str">
        <f t="shared" si="2028"/>
        <v xml:space="preserve">750 CC, 0.9/1.9/2.9/3.9, 1500 Combo, </v>
      </c>
      <c r="E674" s="475">
        <f>INDEX(Input!$1:$1048576,E$93,$C674*2+MIN($B674,2)+5)
+INDEX(Scenarios!E$121:E$199,MATCH($B674,Scenarios!$B$121:$B$199,0))</f>
        <v>2000.0000000000002</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1500</v>
      </c>
      <c r="R674" s="478">
        <f>IFERROR(MAX(0,INDEX(Input!$1:$1048576,R$93,$C674*2+MIN($B674,2)+5)
+INDEX(Scenarios!R$121:R$199,MATCH($B674,Scenarios!$B$121:$B$199,0)),),"Market")</f>
        <v>9.0000000000000011E-3</v>
      </c>
      <c r="S674" s="478">
        <f>IFERROR(MAX(0,INDEX(Input!$1:$1048576,S$93,$C674*2+MIN($B674,2)+5)
+INDEX(Scenarios!S$121:S$199,MATCH($B674,Scenarios!$B$121:$B$199,0)),),"Market")</f>
        <v>9.0000000000000011E-3</v>
      </c>
      <c r="T674" s="478">
        <f>IFERROR(MAX(0,INDEX(Input!$1:$1048576,T$93,$C674*2+MIN($B674,2)+5)
+INDEX(Scenarios!T$121:T$199,MATCH($B674,Scenarios!$B$121:$B$199,0)),),"Market")</f>
        <v>9.0000000000000011E-3</v>
      </c>
      <c r="U674" s="478">
        <f>IFERROR(MAX(0,INDEX(Input!$1:$1048576,U$93,$C674*2+MIN($B674,2)+5)
+INDEX(Scenarios!U$121:U$199,MATCH($B674,Scenarios!$B$121:$B$199,0)),),"Market")</f>
        <v>9.0000000000000011E-3</v>
      </c>
      <c r="V674" s="478">
        <f>IFERROR(MAX(0,INDEX(Input!$1:$1048576,V$93,$C674*2+MIN($B674,2)+5)
+INDEX(Scenarios!V$121:V$199,MATCH($B674,Scenarios!$B$121:$B$199,0)),),"Market")</f>
        <v>2.8999999999999998E-2</v>
      </c>
      <c r="W674" s="863">
        <f>IFERROR(MAX(0,INDEX(Input!$1:$1048576,W$93,$C674*2+MIN($B674,2)+5)-0%),"Market")</f>
        <v>3.9E-2</v>
      </c>
      <c r="X674" s="476" t="str">
        <f>INDEX(Input!$1:$1048576,X$93,$C674*2+MIN($B674,2)+5)</f>
        <v>Y</v>
      </c>
      <c r="Y674" s="475">
        <f>INDEX(Input!$1:$1048576,Y$93,$C674*2+MIN($B674,2)+5)
++INDEX(Scenarios!Y$121:Y$199,MATCH($B674,Scenarios!$B$121:$B$199,0))</f>
        <v>2339.3275155115825</v>
      </c>
      <c r="Z674" s="477">
        <f>INDEX(Input!$1:$1048576,Z$93,$C674*2+MIN($B674,2)+5)
+INDEX(Scenarios!Z$121:Z$199,MATCH($B674,Scenarios!$B$121:$B$199,0))</f>
        <v>0</v>
      </c>
      <c r="AA674" s="475">
        <f>INDEX(Input!$1:$1048576,AA$93,$C674*2+MIN($B674,2)+5)</f>
        <v>0</v>
      </c>
      <c r="AB674" s="476">
        <f>INDEX(Input!$1:$1048576,AB$93,$C674*2+MIN($B674,2)+5)</f>
        <v>1</v>
      </c>
      <c r="AC674" s="475">
        <f>INDEX(Input!$1:$1048576,AC$93,$C674*2+MIN($B674,2)+5)
+INDEX(Scenarios!AC$121:AC$199,MATCH($B674,Scenarios!$B$121:$B$199,0))</f>
        <v>0</v>
      </c>
      <c r="AD674" s="476">
        <f>INDEX(Input!$1:$1048576,AD$93,$C674*2+MIN($B674,2)+5)</f>
        <v>0.35</v>
      </c>
      <c r="AE674" s="475">
        <f>INDEX(Input!$1:$1048576,AE$93,$C674*2+MIN($B674,2)+5)
+INDEX(Scenarios!AE$121:AE$199,MATCH($B674,Scenarios!$B$121:$B$199,0))</f>
        <v>0</v>
      </c>
      <c r="AF674" s="476">
        <f>INDEX(Input!$1:$1048576,AF$93,$C674*2+MIN($B674,2)+5)</f>
        <v>1</v>
      </c>
      <c r="AG674" s="475">
        <f>INDEX(Input!$1:$1048576,AG$93,$C674*2+MIN($B674,2)+5)</f>
        <v>0</v>
      </c>
      <c r="AH674" s="476">
        <f>INDEX(Input!$1:$1048576,AH$93,$C674*2+MIN($B674,2)+5)</f>
        <v>1</v>
      </c>
      <c r="AI674" s="475">
        <f>INDEX(Input!$1:$1048576,AI$93,$C674*2+MIN($B674,2)+5)</f>
        <v>0</v>
      </c>
      <c r="AJ674" s="476">
        <f>INDEX(Input!$1:$1048576,AJ$93,$C674*2+MIN($B674,2)+5)</f>
        <v>0.35</v>
      </c>
      <c r="AK674" s="150">
        <f>ROUND(INDEX(Input!$1:$1048576,AK$93,$C673*2+MIN($B674,1)+5)+(Y674-VLOOKUP($C674*1000+1,$A:$HH,Y$92,FALSE)),0)</f>
        <v>5093</v>
      </c>
      <c r="AL674" s="150">
        <f>ROUND(INDEX(Input!$1:$1048576,AL$93,$C673*2+MIN($B674,1)+5)-(Y674-VLOOKUP($C674*1000+1,$A:$HH,Y$92,FALSE))/36,0)</f>
        <v>5217</v>
      </c>
      <c r="AM674" s="32" t="str">
        <f t="shared" si="2101"/>
        <v>std/std/std/std</v>
      </c>
      <c r="AN674" s="32" t="str">
        <f t="shared" si="2102"/>
        <v>$1500 + 0.9/0.9/0.9/2.9/3.9</v>
      </c>
      <c r="AO674" s="32" t="str">
        <f t="shared" si="2103"/>
        <v>0.9/0.9/0.9/2.9/3.9</v>
      </c>
      <c r="AP674" s="32" t="str">
        <f t="shared" si="2074"/>
        <v>0.9/1.9/2.9/3.9</v>
      </c>
      <c r="AQ674" s="536">
        <f t="shared" si="2075"/>
        <v>0.36243648559848984</v>
      </c>
      <c r="AR674" s="32"/>
      <c r="AS674" s="302"/>
      <c r="AT674" s="3">
        <f t="shared" si="2122"/>
        <v>74</v>
      </c>
      <c r="AU674" s="41" t="s">
        <v>121</v>
      </c>
      <c r="AV674" s="41" t="s">
        <v>116</v>
      </c>
      <c r="AW674" s="41" t="str">
        <f>INDEX(Input!$1:$1048576,AW$93,$C674*2+6)</f>
        <v>Kia</v>
      </c>
      <c r="AX674" s="41" t="str">
        <f>INDEX(Input!$1:$1048576,AX$93,$C674*2+6)</f>
        <v>National</v>
      </c>
      <c r="AY674" s="41" t="str">
        <f>IF(LEN(D674)=0,"",INDEX(Input!$1:$1048576,AY$93,$C674*2+6))</f>
        <v>Compact Conventional/Sporty Car (43)</v>
      </c>
      <c r="AZ674" s="41" t="str">
        <f>INDEX(Input!$1:$1048576,AZ$93,$C674*2+6)</f>
        <v>Kia Forte</v>
      </c>
      <c r="BA674" s="3">
        <f>INDEX(Input!$1:$1048576,BA$93,$C674*2+6)</f>
        <v>2020</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19695</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2076"/>
        <v>2215</v>
      </c>
      <c r="CJ674" s="16" t="str">
        <f>INDEX(Input!$1:$1048576,CJ$93,$C674*2+6)</f>
        <v>N</v>
      </c>
      <c r="CK674" s="1" t="str">
        <f t="shared" si="2077"/>
        <v>Market</v>
      </c>
      <c r="CL674" s="1" t="str">
        <f t="shared" si="2078"/>
        <v>Market</v>
      </c>
      <c r="CM674" s="1" t="str">
        <f t="shared" si="2079"/>
        <v>Market</v>
      </c>
      <c r="CN674" s="1" t="str">
        <f t="shared" si="2080"/>
        <v>Market</v>
      </c>
      <c r="CO674" s="1" t="str">
        <f t="shared" si="2081"/>
        <v>Market</v>
      </c>
      <c r="CP674" s="304">
        <f t="shared" si="2082"/>
        <v>1500</v>
      </c>
      <c r="CQ674" s="1">
        <f t="shared" si="2083"/>
        <v>9.0000000000000011E-3</v>
      </c>
      <c r="CR674" s="1">
        <f t="shared" si="2084"/>
        <v>9.0000000000000011E-3</v>
      </c>
      <c r="CS674" s="1">
        <f t="shared" si="2085"/>
        <v>9.0000000000000011E-3</v>
      </c>
      <c r="CT674" s="1">
        <f t="shared" si="2086"/>
        <v>2.8999999999999998E-2</v>
      </c>
      <c r="CU674" s="1">
        <f t="shared" si="2087"/>
        <v>3.9E-2</v>
      </c>
      <c r="CV674" s="304">
        <f t="shared" si="2013"/>
        <v>2339.3275155115825</v>
      </c>
      <c r="CW674" s="20" t="s">
        <v>122</v>
      </c>
      <c r="CX674" s="20" t="s">
        <v>122</v>
      </c>
      <c r="CY674" s="20" t="s">
        <v>122</v>
      </c>
      <c r="CZ674" s="20" t="s">
        <v>122</v>
      </c>
      <c r="DA674" s="20" t="s">
        <v>122</v>
      </c>
      <c r="DB674" s="503">
        <f t="shared" si="2014"/>
        <v>0</v>
      </c>
      <c r="DC674" s="127">
        <v>0</v>
      </c>
      <c r="DD674" s="127">
        <v>0</v>
      </c>
      <c r="DE674" s="127">
        <v>0</v>
      </c>
      <c r="DF674" s="127">
        <v>0</v>
      </c>
      <c r="DG674" s="127">
        <v>0</v>
      </c>
      <c r="DH674" s="127">
        <v>0</v>
      </c>
      <c r="DI674" s="127">
        <v>0</v>
      </c>
      <c r="DJ674" s="127">
        <v>0</v>
      </c>
      <c r="DK674" s="127">
        <v>0</v>
      </c>
      <c r="DL674" s="127">
        <v>0</v>
      </c>
      <c r="DM674" s="304">
        <f>INDEX(Input!$1:$1048576,DM$93,$C674*2+6)</f>
        <v>20731.578947368424</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t="str">
        <f t="shared" ref="HJ674:HK674" si="2136">HJ673</f>
        <v>On</v>
      </c>
      <c r="HK674" s="1" t="str">
        <f t="shared" si="2136"/>
        <v>On</v>
      </c>
      <c r="HL674" s="16"/>
      <c r="HM674" s="639">
        <f t="shared" si="2105"/>
        <v>4.9686942767030826E-2</v>
      </c>
      <c r="HN674" s="639">
        <f t="shared" si="2105"/>
        <v>2.6112822013589915E-3</v>
      </c>
      <c r="HO674" s="639">
        <f t="shared" si="2105"/>
        <v>3.166115353075552E-2</v>
      </c>
      <c r="HP674" s="644">
        <f t="shared" si="2089"/>
        <v>887.01467921102221</v>
      </c>
      <c r="HQ674" s="644">
        <f t="shared" si="2089"/>
        <v>1.2946362675131906</v>
      </c>
      <c r="HR674" s="644">
        <f t="shared" si="2089"/>
        <v>-77.570260153350446</v>
      </c>
      <c r="HS674" s="644">
        <f t="shared" si="2089"/>
        <v>-188.02936034889748</v>
      </c>
      <c r="HT674" s="644">
        <f t="shared" si="2089"/>
        <v>671.88459392206551</v>
      </c>
      <c r="HU674" s="644">
        <f t="shared" si="2089"/>
        <v>116.71961719087301</v>
      </c>
      <c r="HV674" s="644">
        <f t="shared" si="2089"/>
        <v>0</v>
      </c>
      <c r="HW674" s="644">
        <f t="shared" si="2089"/>
        <v>0</v>
      </c>
      <c r="HX674" s="644">
        <f t="shared" si="2089"/>
        <v>0</v>
      </c>
      <c r="HY674" s="644">
        <f t="shared" si="2089"/>
        <v>2388</v>
      </c>
      <c r="HZ674" s="644">
        <f t="shared" si="2089"/>
        <v>2518</v>
      </c>
      <c r="IA674" s="644">
        <f t="shared" si="2089"/>
        <v>2200</v>
      </c>
      <c r="IB674" s="644">
        <f t="shared" si="2089"/>
        <v>3086.985318862125</v>
      </c>
      <c r="IC674" s="644">
        <f t="shared" si="2089"/>
        <v>3191.1792301895789</v>
      </c>
      <c r="ID674" s="644">
        <f t="shared" si="2089"/>
        <v>2239.1493570375223</v>
      </c>
      <c r="IE674" s="20">
        <f t="shared" si="2106"/>
        <v>0.36243648559848984</v>
      </c>
      <c r="IF674" s="20">
        <f t="shared" si="2090"/>
        <v>0.37466967466211742</v>
      </c>
      <c r="IG674" s="20">
        <f t="shared" si="2091"/>
        <v>0.26289383973939273</v>
      </c>
      <c r="IH674" s="21"/>
      <c r="II674" s="19"/>
      <c r="IJ674" s="19"/>
      <c r="IK674" s="19"/>
      <c r="IL674" s="19">
        <f t="shared" si="2107"/>
        <v>1149.9999999999995</v>
      </c>
      <c r="IM674" s="19">
        <f t="shared" si="2107"/>
        <v>1478.7377173476739</v>
      </c>
      <c r="IN674" s="19">
        <f t="shared" si="2107"/>
        <v>288.42754536651591</v>
      </c>
      <c r="IO674" s="39"/>
      <c r="IP674" s="39"/>
      <c r="IQ674" s="39"/>
      <c r="IR674" s="39"/>
      <c r="IS674" s="39"/>
      <c r="IT674" s="39"/>
      <c r="IU674" s="39"/>
      <c r="IV674" s="39"/>
      <c r="IW674" s="39"/>
      <c r="IX674" s="19">
        <f t="shared" si="2108"/>
        <v>1600</v>
      </c>
      <c r="IY674" s="19">
        <f t="shared" si="2108"/>
        <v>2503.549291639752</v>
      </c>
      <c r="IZ674" s="19">
        <f t="shared" si="2108"/>
        <v>5888.3563810918577</v>
      </c>
      <c r="JA674" s="19">
        <f t="shared" si="2109"/>
        <v>2749.9999999999995</v>
      </c>
      <c r="JB674" s="19">
        <f t="shared" si="2109"/>
        <v>3982.2870089874259</v>
      </c>
      <c r="JC674" s="19">
        <f t="shared" si="2109"/>
        <v>6176.7839264583736</v>
      </c>
      <c r="JD674" s="19">
        <f t="shared" si="2110"/>
        <v>4112.5809571315476</v>
      </c>
      <c r="JE674" s="21"/>
      <c r="JF674" s="1">
        <f t="shared" si="2111"/>
        <v>6.8844376252282569E-2</v>
      </c>
      <c r="JG674" s="15">
        <f t="shared" si="2112"/>
        <v>7106</v>
      </c>
      <c r="JH674" s="1">
        <f t="shared" si="2113"/>
        <v>0.11409218341193146</v>
      </c>
      <c r="JI674" s="1">
        <f t="shared" si="2114"/>
        <v>8.4516584683934845E-2</v>
      </c>
      <c r="JJ674" s="1">
        <f t="shared" si="2092"/>
        <v>0</v>
      </c>
      <c r="JK674" s="1">
        <f t="shared" si="2093"/>
        <v>0.19860876809586628</v>
      </c>
      <c r="JL674" s="15">
        <f t="shared" si="2115"/>
        <v>1411.3139060892258</v>
      </c>
      <c r="JM674" s="15">
        <f t="shared" si="2115"/>
        <v>8517.3139060892245</v>
      </c>
      <c r="JN674" s="21"/>
      <c r="JO674" s="19">
        <f>INDEX([1]Input!$1:$1048576,JO$93,$C674*2+6)</f>
        <v>5995.5</v>
      </c>
      <c r="JP674" s="19">
        <f>INDEX([1]Input!$1:$1048576,JP$93,$C674*2+6)</f>
        <v>1716.3055838443925</v>
      </c>
      <c r="JQ674" s="39">
        <f t="shared" si="2124"/>
        <v>1882.9190428684524</v>
      </c>
      <c r="JR674" s="39">
        <f t="shared" si="2125"/>
        <v>2396.2753732871552</v>
      </c>
      <c r="JS674" s="39">
        <f t="shared" si="2126"/>
        <v>35.028142976094259</v>
      </c>
      <c r="JT674" s="39">
        <f t="shared" si="2116"/>
        <v>22.832075497296007</v>
      </c>
      <c r="JU674" s="385">
        <f>(JQ674*JM674-INDEX([1]Input!$1:$1048576,[1]Input!A$18,$C674*2+6)*JL674*INDEX([1]Input!$1:$1048576,[1]Input!A$19,$C674*2+6))/1000000</f>
        <v>16.037412547863681</v>
      </c>
      <c r="JV674" s="39">
        <f t="shared" si="2094"/>
        <v>-14.370542973338068</v>
      </c>
      <c r="JW674" s="1">
        <f t="shared" si="2129"/>
        <v>-0.47259155464491193</v>
      </c>
      <c r="JX674" s="19">
        <f t="shared" si="2130"/>
        <v>16177.886010181865</v>
      </c>
      <c r="JZ674" s="341"/>
      <c r="KA674" s="60"/>
      <c r="KB674" s="469">
        <f t="shared" si="2117"/>
        <v>0</v>
      </c>
      <c r="KI674" s="472"/>
      <c r="KJ674" s="472"/>
      <c r="KK674" s="472"/>
      <c r="KN674" s="26">
        <f t="shared" si="2118"/>
        <v>6002</v>
      </c>
      <c r="KO674" s="789">
        <f t="shared" si="2095"/>
        <v>0.11452056357975038</v>
      </c>
      <c r="KP674" s="790">
        <f t="shared" si="2096"/>
        <v>684.00108376093942</v>
      </c>
      <c r="KQ674" s="790">
        <f t="shared" si="2097"/>
        <v>515.13246684162095</v>
      </c>
      <c r="KR674" s="26">
        <f t="shared" si="2098"/>
        <v>2.6951721494499394</v>
      </c>
      <c r="KS674" s="26">
        <f t="shared" si="2099"/>
        <v>3.5786924525431805</v>
      </c>
      <c r="KT674" s="791">
        <f t="shared" si="2127"/>
        <v>2521.945896759994</v>
      </c>
      <c r="KU674" s="792">
        <f t="shared" si="2119"/>
        <v>11.384774387455378</v>
      </c>
    </row>
    <row r="675" spans="1:307" s="26" customFormat="1" ht="15" outlineLevel="1">
      <c r="A675" s="561">
        <f t="shared" si="2100"/>
        <v>6075</v>
      </c>
      <c r="B675" s="561">
        <f t="shared" si="2120"/>
        <v>75</v>
      </c>
      <c r="C675" s="561">
        <f t="shared" si="2121"/>
        <v>6</v>
      </c>
      <c r="D675" s="561" t="str">
        <f t="shared" si="2028"/>
        <v xml:space="preserve">500 CC, 0/1.8/2.8/3.9, 1000 Combo, </v>
      </c>
      <c r="E675" s="475">
        <f>INDEX(Input!$1:$1048576,E$93,$C675*2+MIN($B675,2)+5)
+INDEX(Scenarios!E$121:E$199,MATCH($B675,Scenarios!$B$121:$B$199,0))</f>
        <v>1750.0000000000002</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1000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2.7999999999999997E-2</v>
      </c>
      <c r="W675" s="863">
        <f>IFERROR(MAX(0,INDEX(Input!$1:$1048576,W$93,$C675*2+MIN($B675,2)+5)-0%),"Market")</f>
        <v>3.9E-2</v>
      </c>
      <c r="X675" s="476" t="str">
        <f>INDEX(Input!$1:$1048576,X$93,$C675*2+MIN($B675,2)+5)</f>
        <v>Y</v>
      </c>
      <c r="Y675" s="475">
        <f>INDEX(Input!$1:$1048576,Y$93,$C675*2+MIN($B675,2)+5)
++INDEX(Scenarios!Y$121:Y$199,MATCH($B675,Scenarios!$B$121:$B$199,0))</f>
        <v>2339.3275155115825</v>
      </c>
      <c r="Z675" s="477">
        <f>INDEX(Input!$1:$1048576,Z$93,$C675*2+MIN($B675,2)+5)
+INDEX(Scenarios!Z$121:Z$199,MATCH($B675,Scenarios!$B$121:$B$199,0))</f>
        <v>0</v>
      </c>
      <c r="AA675" s="475">
        <f>INDEX(Input!$1:$1048576,AA$93,$C675*2+MIN($B675,2)+5)</f>
        <v>0</v>
      </c>
      <c r="AB675" s="476">
        <f>INDEX(Input!$1:$1048576,AB$93,$C675*2+MIN($B675,2)+5)</f>
        <v>1</v>
      </c>
      <c r="AC675" s="475">
        <f>INDEX(Input!$1:$1048576,AC$93,$C675*2+MIN($B675,2)+5)
+INDEX(Scenarios!AC$121:AC$199,MATCH($B675,Scenarios!$B$121:$B$199,0))</f>
        <v>0</v>
      </c>
      <c r="AD675" s="476">
        <f>INDEX(Input!$1:$1048576,AD$93,$C675*2+MIN($B675,2)+5)</f>
        <v>0.35</v>
      </c>
      <c r="AE675" s="475">
        <f>INDEX(Input!$1:$1048576,AE$93,$C675*2+MIN($B675,2)+5)
+INDEX(Scenarios!AE$121:AE$199,MATCH($B675,Scenarios!$B$121:$B$199,0))</f>
        <v>0</v>
      </c>
      <c r="AF675" s="476">
        <f>INDEX(Input!$1:$1048576,AF$93,$C675*2+MIN($B675,2)+5)</f>
        <v>1</v>
      </c>
      <c r="AG675" s="475">
        <f>INDEX(Input!$1:$1048576,AG$93,$C675*2+MIN($B675,2)+5)</f>
        <v>0</v>
      </c>
      <c r="AH675" s="476">
        <f>INDEX(Input!$1:$1048576,AH$93,$C675*2+MIN($B675,2)+5)</f>
        <v>1</v>
      </c>
      <c r="AI675" s="475">
        <f>INDEX(Input!$1:$1048576,AI$93,$C675*2+MIN($B675,2)+5)</f>
        <v>0</v>
      </c>
      <c r="AJ675" s="476">
        <f>INDEX(Input!$1:$1048576,AJ$93,$C675*2+MIN($B675,2)+5)</f>
        <v>0.35</v>
      </c>
      <c r="AK675" s="150">
        <f>ROUND(INDEX(Input!$1:$1048576,AK$93,$C674*2+MIN($B675,1)+5)+(Y675-VLOOKUP($C675*1000+1,$A:$HH,Y$92,FALSE)),0)</f>
        <v>5093</v>
      </c>
      <c r="AL675" s="150">
        <f>ROUND(INDEX(Input!$1:$1048576,AL$93,$C674*2+MIN($B675,1)+5)-(Y675-VLOOKUP($C675*1000+1,$A:$HH,Y$92,FALSE))/36,0)</f>
        <v>5217</v>
      </c>
      <c r="AM675" s="32" t="str">
        <f t="shared" si="2101"/>
        <v>std/std/std/std</v>
      </c>
      <c r="AN675" s="32" t="str">
        <f t="shared" si="2102"/>
        <v>$1000 + 0/0/0/2.8/3.9</v>
      </c>
      <c r="AO675" s="32" t="str">
        <f t="shared" si="2103"/>
        <v>0/0/0/2.8/3.9</v>
      </c>
      <c r="AP675" s="32" t="str">
        <f t="shared" si="2074"/>
        <v>0/1.8/2.8/3.9</v>
      </c>
      <c r="AQ675" s="536">
        <f t="shared" si="2075"/>
        <v>0.35335349110070879</v>
      </c>
      <c r="AR675" s="32"/>
      <c r="AS675" s="302"/>
      <c r="AT675" s="3">
        <f t="shared" si="2122"/>
        <v>75</v>
      </c>
      <c r="AU675" s="41" t="s">
        <v>121</v>
      </c>
      <c r="AV675" s="41" t="s">
        <v>116</v>
      </c>
      <c r="AW675" s="41" t="str">
        <f>INDEX(Input!$1:$1048576,AW$93,$C675*2+6)</f>
        <v>Kia</v>
      </c>
      <c r="AX675" s="41" t="str">
        <f>INDEX(Input!$1:$1048576,AX$93,$C675*2+6)</f>
        <v>National</v>
      </c>
      <c r="AY675" s="41" t="str">
        <f>IF(LEN(D675)=0,"",INDEX(Input!$1:$1048576,AY$93,$C675*2+6))</f>
        <v>Compact Conventional/Sporty Car (43)</v>
      </c>
      <c r="AZ675" s="41" t="str">
        <f>INDEX(Input!$1:$1048576,AZ$93,$C675*2+6)</f>
        <v>Kia Forte</v>
      </c>
      <c r="BA675" s="3">
        <f>INDEX(Input!$1:$1048576,BA$93,$C675*2+6)</f>
        <v>2020</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19695</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2076"/>
        <v>1965.0000000000002</v>
      </c>
      <c r="CJ675" s="16" t="str">
        <f>INDEX(Input!$1:$1048576,CJ$93,$C675*2+6)</f>
        <v>N</v>
      </c>
      <c r="CK675" s="1" t="str">
        <f t="shared" si="2077"/>
        <v>Market</v>
      </c>
      <c r="CL675" s="1" t="str">
        <f t="shared" si="2078"/>
        <v>Market</v>
      </c>
      <c r="CM675" s="1" t="str">
        <f t="shared" si="2079"/>
        <v>Market</v>
      </c>
      <c r="CN675" s="1" t="str">
        <f t="shared" si="2080"/>
        <v>Market</v>
      </c>
      <c r="CO675" s="1" t="str">
        <f t="shared" si="2081"/>
        <v>Market</v>
      </c>
      <c r="CP675" s="304">
        <f t="shared" si="2082"/>
        <v>1000</v>
      </c>
      <c r="CQ675" s="1">
        <f t="shared" si="2083"/>
        <v>0</v>
      </c>
      <c r="CR675" s="1">
        <f t="shared" si="2084"/>
        <v>0</v>
      </c>
      <c r="CS675" s="1">
        <f t="shared" si="2085"/>
        <v>0</v>
      </c>
      <c r="CT675" s="1">
        <f t="shared" si="2086"/>
        <v>2.7999999999999997E-2</v>
      </c>
      <c r="CU675" s="1">
        <f t="shared" si="2087"/>
        <v>3.9E-2</v>
      </c>
      <c r="CV675" s="304">
        <f t="shared" si="2013"/>
        <v>2339.3275155115825</v>
      </c>
      <c r="CW675" s="20" t="s">
        <v>122</v>
      </c>
      <c r="CX675" s="20" t="s">
        <v>122</v>
      </c>
      <c r="CY675" s="20" t="s">
        <v>122</v>
      </c>
      <c r="CZ675" s="20" t="s">
        <v>122</v>
      </c>
      <c r="DA675" s="20" t="s">
        <v>122</v>
      </c>
      <c r="DB675" s="503">
        <f t="shared" si="2014"/>
        <v>0</v>
      </c>
      <c r="DC675" s="127">
        <v>0</v>
      </c>
      <c r="DD675" s="127">
        <v>0</v>
      </c>
      <c r="DE675" s="127">
        <v>0</v>
      </c>
      <c r="DF675" s="127">
        <v>0</v>
      </c>
      <c r="DG675" s="127">
        <v>0</v>
      </c>
      <c r="DH675" s="127">
        <v>0</v>
      </c>
      <c r="DI675" s="127">
        <v>0</v>
      </c>
      <c r="DJ675" s="127">
        <v>0</v>
      </c>
      <c r="DK675" s="127">
        <v>0</v>
      </c>
      <c r="DL675" s="127">
        <v>0</v>
      </c>
      <c r="DM675" s="304">
        <f>INDEX(Input!$1:$1048576,DM$93,$C675*2+6)</f>
        <v>20731.578947368424</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t="str">
        <f t="shared" ref="HJ675:HK675" si="2137">HJ674</f>
        <v>On</v>
      </c>
      <c r="HK675" s="1" t="str">
        <f t="shared" si="2137"/>
        <v>On</v>
      </c>
      <c r="HL675" s="16"/>
      <c r="HM675" s="639">
        <f t="shared" si="2105"/>
        <v>4.9686942767030826E-2</v>
      </c>
      <c r="HN675" s="639">
        <f t="shared" si="2105"/>
        <v>2.6112822013589915E-3</v>
      </c>
      <c r="HO675" s="639">
        <f t="shared" si="2105"/>
        <v>3.166115353075552E-2</v>
      </c>
      <c r="HP675" s="644">
        <f t="shared" si="2089"/>
        <v>670.24661675726884</v>
      </c>
      <c r="HQ675" s="644">
        <f t="shared" si="2089"/>
        <v>6.0179390400713126</v>
      </c>
      <c r="HR675" s="644">
        <f t="shared" si="2089"/>
        <v>-29.429845512480203</v>
      </c>
      <c r="HS675" s="644">
        <f t="shared" si="2089"/>
        <v>-147.18057644131943</v>
      </c>
      <c r="HT675" s="644">
        <f t="shared" si="2089"/>
        <v>526.15860238970879</v>
      </c>
      <c r="HU675" s="644">
        <f t="shared" si="2089"/>
        <v>106.58341275589572</v>
      </c>
      <c r="HV675" s="644">
        <f t="shared" si="2089"/>
        <v>0</v>
      </c>
      <c r="HW675" s="644">
        <f t="shared" si="2089"/>
        <v>0</v>
      </c>
      <c r="HX675" s="644">
        <f t="shared" si="2089"/>
        <v>0</v>
      </c>
      <c r="HY675" s="644">
        <f t="shared" si="2089"/>
        <v>2388</v>
      </c>
      <c r="HZ675" s="644">
        <f t="shared" si="2089"/>
        <v>2518</v>
      </c>
      <c r="IA675" s="644">
        <f t="shared" si="2089"/>
        <v>2200</v>
      </c>
      <c r="IB675" s="644">
        <f t="shared" si="2089"/>
        <v>2911.0660403159491</v>
      </c>
      <c r="IC675" s="644">
        <f t="shared" si="2089"/>
        <v>3050.1765414297806</v>
      </c>
      <c r="ID675" s="644">
        <f t="shared" si="2089"/>
        <v>2277.1535672434156</v>
      </c>
      <c r="IE675" s="20">
        <f t="shared" si="2106"/>
        <v>0.35335349110070879</v>
      </c>
      <c r="IF675" s="20">
        <f t="shared" si="2090"/>
        <v>0.37023912012340399</v>
      </c>
      <c r="IG675" s="20">
        <f t="shared" si="2091"/>
        <v>0.27640738877588733</v>
      </c>
      <c r="IH675" s="21"/>
      <c r="II675" s="19"/>
      <c r="IJ675" s="19"/>
      <c r="IK675" s="19"/>
      <c r="IL675" s="19">
        <f t="shared" si="2107"/>
        <v>900</v>
      </c>
      <c r="IM675" s="19">
        <f t="shared" si="2107"/>
        <v>1157.9736350352587</v>
      </c>
      <c r="IN675" s="19">
        <f t="shared" si="2107"/>
        <v>286.8776135465323</v>
      </c>
      <c r="IO675" s="39"/>
      <c r="IP675" s="39"/>
      <c r="IQ675" s="39"/>
      <c r="IR675" s="39"/>
      <c r="IS675" s="39"/>
      <c r="IT675" s="39"/>
      <c r="IU675" s="39"/>
      <c r="IV675" s="39"/>
      <c r="IW675" s="39"/>
      <c r="IX675" s="19">
        <f t="shared" si="2108"/>
        <v>1600</v>
      </c>
      <c r="IY675" s="19">
        <f t="shared" si="2108"/>
        <v>2503.549291639752</v>
      </c>
      <c r="IZ675" s="19">
        <f t="shared" si="2108"/>
        <v>5888.3563810918577</v>
      </c>
      <c r="JA675" s="19">
        <f t="shared" si="2109"/>
        <v>2500</v>
      </c>
      <c r="JB675" s="19">
        <f t="shared" si="2109"/>
        <v>3661.5229266750107</v>
      </c>
      <c r="JC675" s="19">
        <f t="shared" si="2109"/>
        <v>6175.23399463839</v>
      </c>
      <c r="JD675" s="19">
        <f t="shared" si="2110"/>
        <v>3945.9030579736882</v>
      </c>
      <c r="JE675" s="21"/>
      <c r="JF675" s="1">
        <f t="shared" si="2111"/>
        <v>6.8844376252282569E-2</v>
      </c>
      <c r="JG675" s="15">
        <f t="shared" si="2112"/>
        <v>7106</v>
      </c>
      <c r="JH675" s="1">
        <f t="shared" si="2113"/>
        <v>9.1026556471272141E-2</v>
      </c>
      <c r="JI675" s="1">
        <f t="shared" si="2114"/>
        <v>6.8331190360861965E-2</v>
      </c>
      <c r="JJ675" s="1">
        <f t="shared" si="2092"/>
        <v>0</v>
      </c>
      <c r="JK675" s="1">
        <f t="shared" si="2093"/>
        <v>0.15935774683213413</v>
      </c>
      <c r="JL675" s="15">
        <f t="shared" si="2115"/>
        <v>1132.3961489891451</v>
      </c>
      <c r="JM675" s="15">
        <f t="shared" si="2115"/>
        <v>8238.3961489891444</v>
      </c>
      <c r="JN675" s="21"/>
      <c r="JO675" s="19">
        <f>INDEX([1]Input!$1:$1048576,JO$93,$C675*2+6)</f>
        <v>5995.5</v>
      </c>
      <c r="JP675" s="19">
        <f>INDEX([1]Input!$1:$1048576,JP$93,$C675*2+6)</f>
        <v>1716.3055838443925</v>
      </c>
      <c r="JQ675" s="39">
        <f t="shared" si="2124"/>
        <v>2049.5969420263118</v>
      </c>
      <c r="JR675" s="39">
        <f t="shared" si="2125"/>
        <v>2229.5974741292957</v>
      </c>
      <c r="JS675" s="39">
        <f t="shared" si="2126"/>
        <v>32.507912557094919</v>
      </c>
      <c r="JT675" s="39">
        <f t="shared" si="2116"/>
        <v>20.31184507829667</v>
      </c>
      <c r="JU675" s="385">
        <f>(JQ675*JM675-INDEX([1]Input!$1:$1048576,[1]Input!A$18,$C675*2+6)*JL675*INDEX([1]Input!$1:$1048576,[1]Input!A$19,$C675*2+6))/1000000</f>
        <v>16.885391554169495</v>
      </c>
      <c r="JV675" s="39">
        <f t="shared" si="2094"/>
        <v>-13.522563967032255</v>
      </c>
      <c r="JW675" s="1">
        <f t="shared" si="2129"/>
        <v>-0.44470480620125002</v>
      </c>
      <c r="JX675" s="19">
        <f t="shared" si="2130"/>
        <v>17937.048882079322</v>
      </c>
      <c r="JZ675" s="341"/>
      <c r="KA675" s="60"/>
      <c r="KB675" s="469">
        <f t="shared" si="2117"/>
        <v>0</v>
      </c>
      <c r="KI675" s="472"/>
      <c r="KJ675" s="472"/>
      <c r="KK675" s="472"/>
      <c r="KN675" s="26">
        <f t="shared" si="2118"/>
        <v>6002</v>
      </c>
      <c r="KO675" s="789">
        <f t="shared" si="2095"/>
        <v>7.8023191372611267E-2</v>
      </c>
      <c r="KP675" s="790">
        <f t="shared" si="2096"/>
        <v>465.29630180906872</v>
      </c>
      <c r="KQ675" s="790">
        <f t="shared" si="2097"/>
        <v>348.45456768376152</v>
      </c>
      <c r="KR675" s="26">
        <f t="shared" si="2098"/>
        <v>2.6993172677051716</v>
      </c>
      <c r="KS675" s="26">
        <f t="shared" si="2099"/>
        <v>3.6044364418044821</v>
      </c>
      <c r="KT675" s="791">
        <f t="shared" si="2127"/>
        <v>2521.945896759994</v>
      </c>
      <c r="KU675" s="792">
        <f t="shared" si="2119"/>
        <v>11.313659806923173</v>
      </c>
    </row>
    <row r="676" spans="1:307" s="26" customFormat="1" ht="15" outlineLevel="1">
      <c r="A676" s="561">
        <f t="shared" si="2100"/>
        <v>6076</v>
      </c>
      <c r="B676" s="561">
        <f t="shared" si="2120"/>
        <v>76</v>
      </c>
      <c r="C676" s="561">
        <f t="shared" si="2121"/>
        <v>6</v>
      </c>
      <c r="D676" s="561" t="str">
        <f t="shared" si="2028"/>
        <v xml:space="preserve">750 CC, 0/1.8/2.8/3.9, 1500 Combo, </v>
      </c>
      <c r="E676" s="475">
        <f>INDEX(Input!$1:$1048576,E$93,$C676*2+MIN($B676,2)+5)
+INDEX(Scenarios!E$121:E$199,MATCH($B676,Scenarios!$B$121:$B$199,0))</f>
        <v>2000.0000000000002</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1500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2.7999999999999997E-2</v>
      </c>
      <c r="W676" s="863">
        <f>IFERROR(MAX(0,INDEX(Input!$1:$1048576,W$93,$C676*2+MIN($B676,2)+5)-0%),"Market")</f>
        <v>3.9E-2</v>
      </c>
      <c r="X676" s="476" t="str">
        <f>INDEX(Input!$1:$1048576,X$93,$C676*2+MIN($B676,2)+5)</f>
        <v>Y</v>
      </c>
      <c r="Y676" s="475">
        <f>INDEX(Input!$1:$1048576,Y$93,$C676*2+MIN($B676,2)+5)
++INDEX(Scenarios!Y$121:Y$199,MATCH($B676,Scenarios!$B$121:$B$199,0))</f>
        <v>2339.3275155115825</v>
      </c>
      <c r="Z676" s="477">
        <f>INDEX(Input!$1:$1048576,Z$93,$C676*2+MIN($B676,2)+5)
+INDEX(Scenarios!Z$121:Z$199,MATCH($B676,Scenarios!$B$121:$B$199,0))</f>
        <v>0</v>
      </c>
      <c r="AA676" s="475">
        <f>INDEX(Input!$1:$1048576,AA$93,$C676*2+MIN($B676,2)+5)</f>
        <v>0</v>
      </c>
      <c r="AB676" s="476">
        <f>INDEX(Input!$1:$1048576,AB$93,$C676*2+MIN($B676,2)+5)</f>
        <v>1</v>
      </c>
      <c r="AC676" s="475">
        <f>INDEX(Input!$1:$1048576,AC$93,$C676*2+MIN($B676,2)+5)
+INDEX(Scenarios!AC$121:AC$199,MATCH($B676,Scenarios!$B$121:$B$199,0))</f>
        <v>0</v>
      </c>
      <c r="AD676" s="476">
        <f>INDEX(Input!$1:$1048576,AD$93,$C676*2+MIN($B676,2)+5)</f>
        <v>0.35</v>
      </c>
      <c r="AE676" s="475">
        <f>INDEX(Input!$1:$1048576,AE$93,$C676*2+MIN($B676,2)+5)
+INDEX(Scenarios!AE$121:AE$199,MATCH($B676,Scenarios!$B$121:$B$199,0))</f>
        <v>0</v>
      </c>
      <c r="AF676" s="476">
        <f>INDEX(Input!$1:$1048576,AF$93,$C676*2+MIN($B676,2)+5)</f>
        <v>1</v>
      </c>
      <c r="AG676" s="475">
        <f>INDEX(Input!$1:$1048576,AG$93,$C676*2+MIN($B676,2)+5)</f>
        <v>0</v>
      </c>
      <c r="AH676" s="476">
        <f>INDEX(Input!$1:$1048576,AH$93,$C676*2+MIN($B676,2)+5)</f>
        <v>1</v>
      </c>
      <c r="AI676" s="475">
        <f>INDEX(Input!$1:$1048576,AI$93,$C676*2+MIN($B676,2)+5)</f>
        <v>0</v>
      </c>
      <c r="AJ676" s="476">
        <f>INDEX(Input!$1:$1048576,AJ$93,$C676*2+MIN($B676,2)+5)</f>
        <v>0.35</v>
      </c>
      <c r="AK676" s="150">
        <f>ROUND(INDEX(Input!$1:$1048576,AK$93,$C675*2+MIN($B676,1)+5)+(Y676-VLOOKUP($C676*1000+1,$A:$HH,Y$92,FALSE)),0)</f>
        <v>5093</v>
      </c>
      <c r="AL676" s="150">
        <f>ROUND(INDEX(Input!$1:$1048576,AL$93,$C675*2+MIN($B676,1)+5)-(Y676-VLOOKUP($C676*1000+1,$A:$HH,Y$92,FALSE))/36,0)</f>
        <v>5217</v>
      </c>
      <c r="AM676" s="32" t="str">
        <f t="shared" si="2101"/>
        <v>std/std/std/std</v>
      </c>
      <c r="AN676" s="32" t="str">
        <f t="shared" si="2102"/>
        <v>$1500 + 0/0/0/2.8/3.9</v>
      </c>
      <c r="AO676" s="32" t="str">
        <f t="shared" si="2103"/>
        <v>0/0/0/2.8/3.9</v>
      </c>
      <c r="AP676" s="32" t="str">
        <f t="shared" si="2074"/>
        <v>0/1.8/2.8/3.9</v>
      </c>
      <c r="AQ676" s="536">
        <f t="shared" si="2075"/>
        <v>0.35628834943632903</v>
      </c>
      <c r="AR676" s="32"/>
      <c r="AS676" s="302"/>
      <c r="AT676" s="3">
        <f t="shared" si="2122"/>
        <v>76</v>
      </c>
      <c r="AU676" s="41" t="s">
        <v>121</v>
      </c>
      <c r="AV676" s="41" t="s">
        <v>116</v>
      </c>
      <c r="AW676" s="41" t="str">
        <f>INDEX(Input!$1:$1048576,AW$93,$C676*2+6)</f>
        <v>Kia</v>
      </c>
      <c r="AX676" s="41" t="str">
        <f>INDEX(Input!$1:$1048576,AX$93,$C676*2+6)</f>
        <v>National</v>
      </c>
      <c r="AY676" s="41" t="str">
        <f>IF(LEN(D676)=0,"",INDEX(Input!$1:$1048576,AY$93,$C676*2+6))</f>
        <v>Compact Conventional/Sporty Car (43)</v>
      </c>
      <c r="AZ676" s="41" t="str">
        <f>INDEX(Input!$1:$1048576,AZ$93,$C676*2+6)</f>
        <v>Kia Forte</v>
      </c>
      <c r="BA676" s="3">
        <f>INDEX(Input!$1:$1048576,BA$93,$C676*2+6)</f>
        <v>2020</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19695</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2076"/>
        <v>2215</v>
      </c>
      <c r="CJ676" s="16" t="str">
        <f>INDEX(Input!$1:$1048576,CJ$93,$C676*2+6)</f>
        <v>N</v>
      </c>
      <c r="CK676" s="1" t="str">
        <f t="shared" si="2077"/>
        <v>Market</v>
      </c>
      <c r="CL676" s="1" t="str">
        <f t="shared" si="2078"/>
        <v>Market</v>
      </c>
      <c r="CM676" s="1" t="str">
        <f t="shared" si="2079"/>
        <v>Market</v>
      </c>
      <c r="CN676" s="1" t="str">
        <f t="shared" si="2080"/>
        <v>Market</v>
      </c>
      <c r="CO676" s="1" t="str">
        <f t="shared" si="2081"/>
        <v>Market</v>
      </c>
      <c r="CP676" s="304">
        <f t="shared" si="2082"/>
        <v>1500</v>
      </c>
      <c r="CQ676" s="1">
        <f t="shared" si="2083"/>
        <v>0</v>
      </c>
      <c r="CR676" s="1">
        <f t="shared" si="2084"/>
        <v>0</v>
      </c>
      <c r="CS676" s="1">
        <f t="shared" si="2085"/>
        <v>0</v>
      </c>
      <c r="CT676" s="1">
        <f t="shared" si="2086"/>
        <v>2.7999999999999997E-2</v>
      </c>
      <c r="CU676" s="1">
        <f t="shared" si="2087"/>
        <v>3.9E-2</v>
      </c>
      <c r="CV676" s="304">
        <f t="shared" si="2013"/>
        <v>2339.3275155115825</v>
      </c>
      <c r="CW676" s="20" t="s">
        <v>122</v>
      </c>
      <c r="CX676" s="20" t="s">
        <v>122</v>
      </c>
      <c r="CY676" s="20" t="s">
        <v>122</v>
      </c>
      <c r="CZ676" s="20" t="s">
        <v>122</v>
      </c>
      <c r="DA676" s="20" t="s">
        <v>122</v>
      </c>
      <c r="DB676" s="503">
        <f t="shared" si="2014"/>
        <v>0</v>
      </c>
      <c r="DC676" s="127">
        <v>0</v>
      </c>
      <c r="DD676" s="127">
        <v>0</v>
      </c>
      <c r="DE676" s="127">
        <v>0</v>
      </c>
      <c r="DF676" s="127">
        <v>0</v>
      </c>
      <c r="DG676" s="127">
        <v>0</v>
      </c>
      <c r="DH676" s="127">
        <v>0</v>
      </c>
      <c r="DI676" s="127">
        <v>0</v>
      </c>
      <c r="DJ676" s="127">
        <v>0</v>
      </c>
      <c r="DK676" s="127">
        <v>0</v>
      </c>
      <c r="DL676" s="127">
        <v>0</v>
      </c>
      <c r="DM676" s="304">
        <f>INDEX(Input!$1:$1048576,DM$93,$C676*2+6)</f>
        <v>20731.578947368424</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t="str">
        <f t="shared" ref="HJ676:HK676" si="2138">HJ675</f>
        <v>On</v>
      </c>
      <c r="HK676" s="1" t="str">
        <f t="shared" si="2138"/>
        <v>On</v>
      </c>
      <c r="HL676" s="16"/>
      <c r="HM676" s="639">
        <f t="shared" si="2105"/>
        <v>4.9686942767030826E-2</v>
      </c>
      <c r="HN676" s="639">
        <f t="shared" si="2105"/>
        <v>2.6112822013589915E-3</v>
      </c>
      <c r="HO676" s="639">
        <f t="shared" si="2105"/>
        <v>3.166115353075552E-2</v>
      </c>
      <c r="HP676" s="644">
        <f t="shared" si="2089"/>
        <v>872.11264067042566</v>
      </c>
      <c r="HQ676" s="644">
        <f t="shared" si="2089"/>
        <v>39.34685719166292</v>
      </c>
      <c r="HR676" s="644">
        <f t="shared" si="2089"/>
        <v>-83.609820124724877</v>
      </c>
      <c r="HS676" s="644">
        <f t="shared" si="2089"/>
        <v>-188.49701900206625</v>
      </c>
      <c r="HT676" s="644">
        <f t="shared" si="2089"/>
        <v>758.61095774664443</v>
      </c>
      <c r="HU676" s="644">
        <f t="shared" si="2089"/>
        <v>117.18727584404179</v>
      </c>
      <c r="HV676" s="644">
        <f t="shared" si="2089"/>
        <v>0</v>
      </c>
      <c r="HW676" s="644">
        <f t="shared" si="2089"/>
        <v>0</v>
      </c>
      <c r="HX676" s="644">
        <f t="shared" si="2089"/>
        <v>0</v>
      </c>
      <c r="HY676" s="644">
        <f t="shared" si="2089"/>
        <v>2388</v>
      </c>
      <c r="HZ676" s="644">
        <f t="shared" si="2089"/>
        <v>2518</v>
      </c>
      <c r="IA676" s="644">
        <f t="shared" si="2089"/>
        <v>2200</v>
      </c>
      <c r="IB676" s="644">
        <f t="shared" si="2089"/>
        <v>3071.6156216683594</v>
      </c>
      <c r="IC676" s="644">
        <f t="shared" si="2089"/>
        <v>3315.9578149383074</v>
      </c>
      <c r="ID676" s="644">
        <f t="shared" si="2089"/>
        <v>2233.5774557193167</v>
      </c>
      <c r="IE676" s="20">
        <f t="shared" si="2106"/>
        <v>0.35628834943632903</v>
      </c>
      <c r="IF676" s="20">
        <f t="shared" si="2090"/>
        <v>0.38463052744964349</v>
      </c>
      <c r="IG676" s="20">
        <f t="shared" si="2091"/>
        <v>0.25908112311402759</v>
      </c>
      <c r="IH676" s="21"/>
      <c r="II676" s="19"/>
      <c r="IJ676" s="19"/>
      <c r="IK676" s="19"/>
      <c r="IL676" s="19">
        <f t="shared" si="2107"/>
        <v>1149.9999999999995</v>
      </c>
      <c r="IM676" s="19">
        <f t="shared" si="2107"/>
        <v>1658.1647444196346</v>
      </c>
      <c r="IN676" s="19">
        <f t="shared" si="2107"/>
        <v>288.68787088883255</v>
      </c>
      <c r="IO676" s="39"/>
      <c r="IP676" s="39"/>
      <c r="IQ676" s="39"/>
      <c r="IR676" s="39"/>
      <c r="IS676" s="39"/>
      <c r="IT676" s="39"/>
      <c r="IU676" s="39"/>
      <c r="IV676" s="39"/>
      <c r="IW676" s="39"/>
      <c r="IX676" s="19">
        <f t="shared" si="2108"/>
        <v>1600</v>
      </c>
      <c r="IY676" s="19">
        <f t="shared" si="2108"/>
        <v>2503.549291639752</v>
      </c>
      <c r="IZ676" s="19">
        <f t="shared" si="2108"/>
        <v>5888.3563810918577</v>
      </c>
      <c r="JA676" s="19">
        <f t="shared" si="2109"/>
        <v>2749.9999999999995</v>
      </c>
      <c r="JB676" s="19">
        <f t="shared" si="2109"/>
        <v>4161.7140360593867</v>
      </c>
      <c r="JC676" s="19">
        <f t="shared" si="2109"/>
        <v>6177.0442519806902</v>
      </c>
      <c r="JD676" s="19">
        <f t="shared" si="2110"/>
        <v>4180.8707880622169</v>
      </c>
      <c r="JE676" s="21"/>
      <c r="JF676" s="1">
        <f t="shared" si="2111"/>
        <v>6.8844376252282569E-2</v>
      </c>
      <c r="JG676" s="15">
        <f t="shared" si="2112"/>
        <v>7106</v>
      </c>
      <c r="JH676" s="1">
        <f t="shared" si="2113"/>
        <v>0.1165000953753678</v>
      </c>
      <c r="JI676" s="1">
        <f t="shared" si="2114"/>
        <v>9.672125170118491E-2</v>
      </c>
      <c r="JJ676" s="1">
        <f t="shared" si="2092"/>
        <v>0</v>
      </c>
      <c r="JK676" s="1">
        <f t="shared" si="2093"/>
        <v>0.21322134707655274</v>
      </c>
      <c r="JL676" s="15">
        <f t="shared" si="2115"/>
        <v>1515.1508923259837</v>
      </c>
      <c r="JM676" s="15">
        <f t="shared" si="2115"/>
        <v>8621.1508923259826</v>
      </c>
      <c r="JN676" s="21"/>
      <c r="JO676" s="19">
        <f>INDEX([1]Input!$1:$1048576,JO$93,$C676*2+6)</f>
        <v>5995.5</v>
      </c>
      <c r="JP676" s="19">
        <f>INDEX([1]Input!$1:$1048576,JP$93,$C676*2+6)</f>
        <v>1716.3055838443925</v>
      </c>
      <c r="JQ676" s="39">
        <f t="shared" si="2124"/>
        <v>1814.6292119377831</v>
      </c>
      <c r="JR676" s="39">
        <f t="shared" si="2125"/>
        <v>2464.5652042178244</v>
      </c>
      <c r="JS676" s="39">
        <f t="shared" si="2126"/>
        <v>36.043917925202216</v>
      </c>
      <c r="JT676" s="39">
        <f t="shared" si="2116"/>
        <v>23.847850446403957</v>
      </c>
      <c r="JU676" s="385">
        <f>(JQ676*JM676-INDEX([1]Input!$1:$1048576,[1]Input!A$18,$C676*2+6)*JL676*INDEX([1]Input!$1:$1048576,[1]Input!A$19,$C676*2+6))/1000000</f>
        <v>15.644192249738213</v>
      </c>
      <c r="JV676" s="39">
        <f t="shared" si="2094"/>
        <v>-14.763763271463537</v>
      </c>
      <c r="JW676" s="1">
        <f t="shared" si="2129"/>
        <v>-0.48552304876826063</v>
      </c>
      <c r="JX676" s="19">
        <f t="shared" si="2130"/>
        <v>15739.587764617907</v>
      </c>
      <c r="JZ676" s="341"/>
      <c r="KA676" s="60"/>
      <c r="KB676" s="469">
        <f t="shared" si="2117"/>
        <v>0</v>
      </c>
      <c r="KI676" s="472"/>
      <c r="KJ676" s="472"/>
      <c r="KK676" s="472"/>
      <c r="KN676" s="26">
        <f t="shared" si="2118"/>
        <v>6002</v>
      </c>
      <c r="KO676" s="789">
        <f t="shared" si="2095"/>
        <v>0.12810799944239704</v>
      </c>
      <c r="KP676" s="790">
        <f t="shared" si="2096"/>
        <v>759.09853072136445</v>
      </c>
      <c r="KQ676" s="790">
        <f t="shared" si="2097"/>
        <v>583.42229777229022</v>
      </c>
      <c r="KR676" s="26">
        <f t="shared" si="2098"/>
        <v>2.7166764739620581</v>
      </c>
      <c r="KS676" s="26">
        <f t="shared" si="2099"/>
        <v>3.5347039832111151</v>
      </c>
      <c r="KT676" s="791">
        <f t="shared" si="2127"/>
        <v>2521.945896759994</v>
      </c>
      <c r="KU676" s="792">
        <f t="shared" si="2119"/>
        <v>11.392777127417228</v>
      </c>
    </row>
    <row r="677" spans="1:307" s="26" customFormat="1" ht="15" outlineLevel="1">
      <c r="A677" s="561">
        <f t="shared" si="2100"/>
        <v>6077</v>
      </c>
      <c r="B677" s="561">
        <f t="shared" si="2120"/>
        <v>77</v>
      </c>
      <c r="C677" s="561">
        <f t="shared" si="2121"/>
        <v>6</v>
      </c>
      <c r="D677" s="561" t="str">
        <f t="shared" si="2028"/>
        <v xml:space="preserve">1000 CC, 0/1.8/2.8/3.9, 2000 Combo, </v>
      </c>
      <c r="E677" s="475">
        <f>INDEX(Input!$1:$1048576,E$93,$C677*2+MIN($B677,2)+5)
+INDEX(Scenarios!E$121:E$199,MATCH($B677,Scenarios!$B$121:$B$199,0))</f>
        <v>2250</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2000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2.7999999999999997E-2</v>
      </c>
      <c r="W677" s="863">
        <f>IFERROR(MAX(0,INDEX(Input!$1:$1048576,W$93,$C677*2+MIN($B677,2)+5)-0%),"Market")</f>
        <v>3.9E-2</v>
      </c>
      <c r="X677" s="476" t="str">
        <f>INDEX(Input!$1:$1048576,X$93,$C677*2+MIN($B677,2)+5)</f>
        <v>Y</v>
      </c>
      <c r="Y677" s="475">
        <f>INDEX(Input!$1:$1048576,Y$93,$C677*2+MIN($B677,2)+5)
++INDEX(Scenarios!Y$121:Y$199,MATCH($B677,Scenarios!$B$121:$B$199,0))</f>
        <v>2339.3275155115825</v>
      </c>
      <c r="Z677" s="477">
        <f>INDEX(Input!$1:$1048576,Z$93,$C677*2+MIN($B677,2)+5)
+INDEX(Scenarios!Z$121:Z$199,MATCH($B677,Scenarios!$B$121:$B$199,0))</f>
        <v>0</v>
      </c>
      <c r="AA677" s="475">
        <f>INDEX(Input!$1:$1048576,AA$93,$C677*2+MIN($B677,2)+5)</f>
        <v>0</v>
      </c>
      <c r="AB677" s="476">
        <f>INDEX(Input!$1:$1048576,AB$93,$C677*2+MIN($B677,2)+5)</f>
        <v>1</v>
      </c>
      <c r="AC677" s="475">
        <f>INDEX(Input!$1:$1048576,AC$93,$C677*2+MIN($B677,2)+5)
+INDEX(Scenarios!AC$121:AC$199,MATCH($B677,Scenarios!$B$121:$B$199,0))</f>
        <v>0</v>
      </c>
      <c r="AD677" s="476">
        <f>INDEX(Input!$1:$1048576,AD$93,$C677*2+MIN($B677,2)+5)</f>
        <v>0.35</v>
      </c>
      <c r="AE677" s="475">
        <f>INDEX(Input!$1:$1048576,AE$93,$C677*2+MIN($B677,2)+5)
+INDEX(Scenarios!AE$121:AE$199,MATCH($B677,Scenarios!$B$121:$B$199,0))</f>
        <v>0</v>
      </c>
      <c r="AF677" s="476">
        <f>INDEX(Input!$1:$1048576,AF$93,$C677*2+MIN($B677,2)+5)</f>
        <v>1</v>
      </c>
      <c r="AG677" s="475">
        <f>INDEX(Input!$1:$1048576,AG$93,$C677*2+MIN($B677,2)+5)</f>
        <v>0</v>
      </c>
      <c r="AH677" s="476">
        <f>INDEX(Input!$1:$1048576,AH$93,$C677*2+MIN($B677,2)+5)</f>
        <v>1</v>
      </c>
      <c r="AI677" s="475">
        <f>INDEX(Input!$1:$1048576,AI$93,$C677*2+MIN($B677,2)+5)</f>
        <v>0</v>
      </c>
      <c r="AJ677" s="476">
        <f>INDEX(Input!$1:$1048576,AJ$93,$C677*2+MIN($B677,2)+5)</f>
        <v>0.35</v>
      </c>
      <c r="AK677" s="150">
        <f>ROUND(INDEX(Input!$1:$1048576,AK$93,$C676*2+MIN($B677,1)+5)+(Y677-VLOOKUP($C677*1000+1,$A:$HH,Y$92,FALSE)),0)</f>
        <v>5093</v>
      </c>
      <c r="AL677" s="150">
        <f>ROUND(INDEX(Input!$1:$1048576,AL$93,$C676*2+MIN($B677,1)+5)-(Y677-VLOOKUP($C677*1000+1,$A:$HH,Y$92,FALSE))/36,0)</f>
        <v>5217</v>
      </c>
      <c r="AM677" s="32" t="str">
        <f t="shared" si="2101"/>
        <v>std/std/std/std</v>
      </c>
      <c r="AN677" s="32" t="str">
        <f t="shared" si="2102"/>
        <v>$2000 + 0/0/0/2.8/3.9</v>
      </c>
      <c r="AO677" s="32" t="str">
        <f t="shared" si="2103"/>
        <v>0/0/0/2.8/3.9</v>
      </c>
      <c r="AP677" s="32" t="str">
        <f t="shared" si="2074"/>
        <v>0/1.8/2.8/3.9</v>
      </c>
      <c r="AQ677" s="536">
        <f t="shared" si="2075"/>
        <v>0.32623121746884859</v>
      </c>
      <c r="AR677" s="32"/>
      <c r="AS677" s="302"/>
      <c r="AT677" s="3">
        <f t="shared" si="2122"/>
        <v>77</v>
      </c>
      <c r="AU677" s="41" t="s">
        <v>121</v>
      </c>
      <c r="AV677" s="41" t="s">
        <v>116</v>
      </c>
      <c r="AW677" s="41" t="str">
        <f>INDEX(Input!$1:$1048576,AW$93,$C677*2+6)</f>
        <v>Kia</v>
      </c>
      <c r="AX677" s="41" t="str">
        <f>INDEX(Input!$1:$1048576,AX$93,$C677*2+6)</f>
        <v>National</v>
      </c>
      <c r="AY677" s="41" t="str">
        <f>IF(LEN(D677)=0,"",INDEX(Input!$1:$1048576,AY$93,$C677*2+6))</f>
        <v>Compact Conventional/Sporty Car (43)</v>
      </c>
      <c r="AZ677" s="41" t="str">
        <f>INDEX(Input!$1:$1048576,AZ$93,$C677*2+6)</f>
        <v>Kia Forte</v>
      </c>
      <c r="BA677" s="3">
        <f>INDEX(Input!$1:$1048576,BA$93,$C677*2+6)</f>
        <v>2020</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19695</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2076"/>
        <v>2465</v>
      </c>
      <c r="CJ677" s="16" t="str">
        <f>INDEX(Input!$1:$1048576,CJ$93,$C677*2+6)</f>
        <v>N</v>
      </c>
      <c r="CK677" s="1" t="str">
        <f t="shared" si="2077"/>
        <v>Market</v>
      </c>
      <c r="CL677" s="1" t="str">
        <f t="shared" si="2078"/>
        <v>Market</v>
      </c>
      <c r="CM677" s="1" t="str">
        <f t="shared" si="2079"/>
        <v>Market</v>
      </c>
      <c r="CN677" s="1" t="str">
        <f t="shared" si="2080"/>
        <v>Market</v>
      </c>
      <c r="CO677" s="1" t="str">
        <f t="shared" si="2081"/>
        <v>Market</v>
      </c>
      <c r="CP677" s="304">
        <f t="shared" si="2082"/>
        <v>2000</v>
      </c>
      <c r="CQ677" s="1">
        <f t="shared" si="2083"/>
        <v>0</v>
      </c>
      <c r="CR677" s="1">
        <f t="shared" si="2084"/>
        <v>0</v>
      </c>
      <c r="CS677" s="1">
        <f t="shared" si="2085"/>
        <v>0</v>
      </c>
      <c r="CT677" s="1">
        <f t="shared" si="2086"/>
        <v>2.7999999999999997E-2</v>
      </c>
      <c r="CU677" s="1">
        <f t="shared" si="2087"/>
        <v>3.9E-2</v>
      </c>
      <c r="CV677" s="304">
        <f t="shared" si="2013"/>
        <v>2339.3275155115825</v>
      </c>
      <c r="CW677" s="20" t="s">
        <v>122</v>
      </c>
      <c r="CX677" s="20" t="s">
        <v>122</v>
      </c>
      <c r="CY677" s="20" t="s">
        <v>122</v>
      </c>
      <c r="CZ677" s="20" t="s">
        <v>122</v>
      </c>
      <c r="DA677" s="20" t="s">
        <v>122</v>
      </c>
      <c r="DB677" s="503">
        <f t="shared" si="2014"/>
        <v>0</v>
      </c>
      <c r="DC677" s="127">
        <v>0</v>
      </c>
      <c r="DD677" s="127">
        <v>0</v>
      </c>
      <c r="DE677" s="127">
        <v>0</v>
      </c>
      <c r="DF677" s="127">
        <v>0</v>
      </c>
      <c r="DG677" s="127">
        <v>0</v>
      </c>
      <c r="DH677" s="127">
        <v>0</v>
      </c>
      <c r="DI677" s="127">
        <v>0</v>
      </c>
      <c r="DJ677" s="127">
        <v>0</v>
      </c>
      <c r="DK677" s="127">
        <v>0</v>
      </c>
      <c r="DL677" s="127">
        <v>0</v>
      </c>
      <c r="DM677" s="304">
        <f>INDEX(Input!$1:$1048576,DM$93,$C677*2+6)</f>
        <v>20731.578947368424</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t="str">
        <f t="shared" ref="HJ677:HK677" si="2139">HJ676</f>
        <v>On</v>
      </c>
      <c r="HK677" s="1" t="str">
        <f t="shared" si="2139"/>
        <v>On</v>
      </c>
      <c r="HL677" s="16"/>
      <c r="HM677" s="639">
        <f t="shared" si="2105"/>
        <v>4.9686942767030826E-2</v>
      </c>
      <c r="HN677" s="639">
        <f t="shared" si="2105"/>
        <v>2.6112822013589915E-3</v>
      </c>
      <c r="HO677" s="639">
        <f t="shared" si="2105"/>
        <v>3.166115353075552E-2</v>
      </c>
      <c r="HP677" s="644">
        <f t="shared" si="2089"/>
        <v>788.22636254358429</v>
      </c>
      <c r="HQ677" s="644">
        <f t="shared" si="2089"/>
        <v>475.65393782061841</v>
      </c>
      <c r="HR677" s="644">
        <f t="shared" si="2089"/>
        <v>-161.56025127391266</v>
      </c>
      <c r="HS677" s="644">
        <f t="shared" si="2089"/>
        <v>-229.49704178381717</v>
      </c>
      <c r="HT677" s="644">
        <f t="shared" si="2089"/>
        <v>926.34281488014994</v>
      </c>
      <c r="HU677" s="644">
        <f t="shared" si="2089"/>
        <v>127.47471915319191</v>
      </c>
      <c r="HV677" s="644">
        <f t="shared" si="2089"/>
        <v>0</v>
      </c>
      <c r="HW677" s="644">
        <f t="shared" si="2089"/>
        <v>0</v>
      </c>
      <c r="HX677" s="644">
        <f t="shared" si="2089"/>
        <v>0</v>
      </c>
      <c r="HY677" s="644">
        <f t="shared" si="2089"/>
        <v>2388</v>
      </c>
      <c r="HZ677" s="644">
        <f t="shared" si="2089"/>
        <v>2518</v>
      </c>
      <c r="IA677" s="644">
        <f t="shared" si="2089"/>
        <v>2200</v>
      </c>
      <c r="IB677" s="644">
        <f t="shared" si="2089"/>
        <v>2946.7293207597668</v>
      </c>
      <c r="IC677" s="644">
        <f t="shared" si="2089"/>
        <v>3919.9967527007689</v>
      </c>
      <c r="ID677" s="644">
        <f t="shared" si="2089"/>
        <v>2165.9144678792791</v>
      </c>
      <c r="IE677" s="20">
        <f t="shared" si="2106"/>
        <v>0.32623121746884859</v>
      </c>
      <c r="IF677" s="20">
        <f t="shared" si="2090"/>
        <v>0.43398126325962649</v>
      </c>
      <c r="IG677" s="20">
        <f t="shared" si="2091"/>
        <v>0.23978751927152506</v>
      </c>
      <c r="IH677" s="21"/>
      <c r="II677" s="19"/>
      <c r="IJ677" s="19"/>
      <c r="IK677" s="19"/>
      <c r="IL677" s="19">
        <f t="shared" si="2107"/>
        <v>1400.0000000000005</v>
      </c>
      <c r="IM677" s="19">
        <f t="shared" si="2107"/>
        <v>2024.7353795099029</v>
      </c>
      <c r="IN677" s="19">
        <f t="shared" si="2107"/>
        <v>291.39616184237002</v>
      </c>
      <c r="IO677" s="39"/>
      <c r="IP677" s="39"/>
      <c r="IQ677" s="39"/>
      <c r="IR677" s="39"/>
      <c r="IS677" s="39"/>
      <c r="IT677" s="39"/>
      <c r="IU677" s="39"/>
      <c r="IV677" s="39"/>
      <c r="IW677" s="39"/>
      <c r="IX677" s="19">
        <f t="shared" si="2108"/>
        <v>1600</v>
      </c>
      <c r="IY677" s="19">
        <f t="shared" si="2108"/>
        <v>2503.549291639752</v>
      </c>
      <c r="IZ677" s="19">
        <f t="shared" si="2108"/>
        <v>5888.3563810918577</v>
      </c>
      <c r="JA677" s="19">
        <f t="shared" si="2109"/>
        <v>3000.0000000000005</v>
      </c>
      <c r="JB677" s="19">
        <f t="shared" si="2109"/>
        <v>4528.284671149655</v>
      </c>
      <c r="JC677" s="19">
        <f t="shared" si="2109"/>
        <v>6179.7525429342277</v>
      </c>
      <c r="JD677" s="19">
        <f t="shared" si="2110"/>
        <v>4425.7118863733722</v>
      </c>
      <c r="JE677" s="21"/>
      <c r="JF677" s="1">
        <f t="shared" si="2111"/>
        <v>6.8844376252282569E-2</v>
      </c>
      <c r="JG677" s="15">
        <f t="shared" si="2112"/>
        <v>7106</v>
      </c>
      <c r="JH677" s="1">
        <f t="shared" si="2113"/>
        <v>0.15512525317904446</v>
      </c>
      <c r="JI677" s="1">
        <f t="shared" si="2114"/>
        <v>0.11600344669990496</v>
      </c>
      <c r="JJ677" s="1">
        <f t="shared" si="2092"/>
        <v>0</v>
      </c>
      <c r="JK677" s="1">
        <f t="shared" si="2093"/>
        <v>0.2711286998789495</v>
      </c>
      <c r="JL677" s="15">
        <f t="shared" si="2115"/>
        <v>1926.6405413398149</v>
      </c>
      <c r="JM677" s="15">
        <f t="shared" si="2115"/>
        <v>9032.6405413398152</v>
      </c>
      <c r="JN677" s="21"/>
      <c r="JO677" s="19">
        <f>INDEX([1]Input!$1:$1048576,JO$93,$C677*2+6)</f>
        <v>5995.5</v>
      </c>
      <c r="JP677" s="19">
        <f>INDEX([1]Input!$1:$1048576,JP$93,$C677*2+6)</f>
        <v>1716.3055838443925</v>
      </c>
      <c r="JQ677" s="39">
        <f t="shared" si="2124"/>
        <v>1569.7881136266278</v>
      </c>
      <c r="JR677" s="39">
        <f t="shared" si="2125"/>
        <v>2709.4063025289797</v>
      </c>
      <c r="JS677" s="39">
        <f t="shared" si="2126"/>
        <v>39.975864609145631</v>
      </c>
      <c r="JT677" s="39">
        <f t="shared" si="2116"/>
        <v>27.779797130347379</v>
      </c>
      <c r="JU677" s="385">
        <f>(JQ677*JM677-INDEX([1]Input!$1:$1048576,[1]Input!A$18,$C677*2+6)*JL677*INDEX([1]Input!$1:$1048576,[1]Input!A$19,$C677*2+6))/1000000</f>
        <v>14.179331756457231</v>
      </c>
      <c r="JV677" s="39">
        <f t="shared" si="2094"/>
        <v>-16.228623764744519</v>
      </c>
      <c r="JW677" s="1">
        <f t="shared" si="2129"/>
        <v>-0.53369664242731529</v>
      </c>
      <c r="JX677" s="19">
        <f t="shared" si="2130"/>
        <v>14418.775341989269</v>
      </c>
      <c r="JZ677" s="341"/>
      <c r="KA677" s="60"/>
      <c r="KB677" s="469">
        <f t="shared" si="2117"/>
        <v>0</v>
      </c>
      <c r="KI677" s="472"/>
      <c r="KJ677" s="472"/>
      <c r="KK677" s="472"/>
      <c r="KN677" s="26">
        <f t="shared" si="2118"/>
        <v>6002</v>
      </c>
      <c r="KO677" s="789">
        <f t="shared" si="2095"/>
        <v>0.18195287126263793</v>
      </c>
      <c r="KP677" s="790">
        <f t="shared" si="2096"/>
        <v>1039.3412472388882</v>
      </c>
      <c r="KQ677" s="790">
        <f t="shared" si="2097"/>
        <v>828.26339608344551</v>
      </c>
      <c r="KR677" s="26">
        <f t="shared" si="2098"/>
        <v>2.8181270831607268</v>
      </c>
      <c r="KS677" s="26">
        <f t="shared" si="2099"/>
        <v>3.5363095017117843</v>
      </c>
      <c r="KT677" s="791">
        <f t="shared" si="2127"/>
        <v>2521.945896759994</v>
      </c>
      <c r="KU677" s="792">
        <f t="shared" si="2119"/>
        <v>11.488605578324808</v>
      </c>
    </row>
    <row r="678" spans="1:307" s="26" customFormat="1" ht="15" outlineLevel="1">
      <c r="A678" s="561">
        <f t="shared" si="2100"/>
        <v>6078</v>
      </c>
      <c r="B678" s="561">
        <f t="shared" si="2120"/>
        <v>78</v>
      </c>
      <c r="C678" s="561">
        <f t="shared" si="2121"/>
        <v>6</v>
      </c>
      <c r="D678" s="561" t="str">
        <f t="shared" si="2028"/>
        <v xml:space="preserve">500 CC, 0/2.8/3.8/3.9, 1000 Combo, </v>
      </c>
      <c r="E678" s="475">
        <f>INDEX(Input!$1:$1048576,E$93,$C678*2+MIN($B678,2)+5)
+INDEX(Scenarios!E$121:E$199,MATCH($B678,Scenarios!$B$121:$B$199,0))</f>
        <v>1750.0000000000002</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1000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3.7999999999999992E-2</v>
      </c>
      <c r="W678" s="863">
        <f>IFERROR(MAX(0,INDEX(Input!$1:$1048576,W$93,$C678*2+MIN($B678,2)+5)-0%),"Market")</f>
        <v>3.9E-2</v>
      </c>
      <c r="X678" s="476" t="str">
        <f>INDEX(Input!$1:$1048576,X$93,$C678*2+MIN($B678,2)+5)</f>
        <v>Y</v>
      </c>
      <c r="Y678" s="475">
        <f>INDEX(Input!$1:$1048576,Y$93,$C678*2+MIN($B678,2)+5)
++INDEX(Scenarios!Y$121:Y$199,MATCH($B678,Scenarios!$B$121:$B$199,0))</f>
        <v>2339.3275155115825</v>
      </c>
      <c r="Z678" s="477">
        <f>INDEX(Input!$1:$1048576,Z$93,$C678*2+MIN($B678,2)+5)
+INDEX(Scenarios!Z$121:Z$199,MATCH($B678,Scenarios!$B$121:$B$199,0))</f>
        <v>0</v>
      </c>
      <c r="AA678" s="475">
        <f>INDEX(Input!$1:$1048576,AA$93,$C678*2+MIN($B678,2)+5)</f>
        <v>0</v>
      </c>
      <c r="AB678" s="476">
        <f>INDEX(Input!$1:$1048576,AB$93,$C678*2+MIN($B678,2)+5)</f>
        <v>1</v>
      </c>
      <c r="AC678" s="475">
        <f>INDEX(Input!$1:$1048576,AC$93,$C678*2+MIN($B678,2)+5)
+INDEX(Scenarios!AC$121:AC$199,MATCH($B678,Scenarios!$B$121:$B$199,0))</f>
        <v>0</v>
      </c>
      <c r="AD678" s="476">
        <f>INDEX(Input!$1:$1048576,AD$93,$C678*2+MIN($B678,2)+5)</f>
        <v>0.35</v>
      </c>
      <c r="AE678" s="475">
        <f>INDEX(Input!$1:$1048576,AE$93,$C678*2+MIN($B678,2)+5)
+INDEX(Scenarios!AE$121:AE$199,MATCH($B678,Scenarios!$B$121:$B$199,0))</f>
        <v>0</v>
      </c>
      <c r="AF678" s="476">
        <f>INDEX(Input!$1:$1048576,AF$93,$C678*2+MIN($B678,2)+5)</f>
        <v>1</v>
      </c>
      <c r="AG678" s="475">
        <f>INDEX(Input!$1:$1048576,AG$93,$C678*2+MIN($B678,2)+5)</f>
        <v>0</v>
      </c>
      <c r="AH678" s="476">
        <f>INDEX(Input!$1:$1048576,AH$93,$C678*2+MIN($B678,2)+5)</f>
        <v>1</v>
      </c>
      <c r="AI678" s="475">
        <f>INDEX(Input!$1:$1048576,AI$93,$C678*2+MIN($B678,2)+5)</f>
        <v>0</v>
      </c>
      <c r="AJ678" s="476">
        <f>INDEX(Input!$1:$1048576,AJ$93,$C678*2+MIN($B678,2)+5)</f>
        <v>0.35</v>
      </c>
      <c r="AK678" s="150">
        <f>ROUND(INDEX(Input!$1:$1048576,AK$93,$C677*2+MIN($B678,1)+5)+(Y678-VLOOKUP($C678*1000+1,$A:$HH,Y$92,FALSE)),0)</f>
        <v>5093</v>
      </c>
      <c r="AL678" s="150">
        <f>ROUND(INDEX(Input!$1:$1048576,AL$93,$C677*2+MIN($B678,1)+5)-(Y678-VLOOKUP($C678*1000+1,$A:$HH,Y$92,FALSE))/36,0)</f>
        <v>5217</v>
      </c>
      <c r="AM678" s="32" t="str">
        <f t="shared" si="2101"/>
        <v>std/std/std/std</v>
      </c>
      <c r="AN678" s="32" t="str">
        <f t="shared" si="2102"/>
        <v>$1000 + 0/0/0/3.8/3.9</v>
      </c>
      <c r="AO678" s="32" t="str">
        <f t="shared" si="2103"/>
        <v>0/0/0/3.8/3.9</v>
      </c>
      <c r="AP678" s="32" t="str">
        <f t="shared" si="2074"/>
        <v>0/2.8/3.8/3.9</v>
      </c>
      <c r="AQ678" s="536">
        <f t="shared" si="2075"/>
        <v>0.36079338655581583</v>
      </c>
      <c r="AR678" s="32"/>
      <c r="AS678" s="302"/>
      <c r="AT678" s="3">
        <f t="shared" si="2122"/>
        <v>78</v>
      </c>
      <c r="AU678" s="41" t="s">
        <v>121</v>
      </c>
      <c r="AV678" s="41" t="s">
        <v>116</v>
      </c>
      <c r="AW678" s="41" t="str">
        <f>INDEX(Input!$1:$1048576,AW$93,$C678*2+6)</f>
        <v>Kia</v>
      </c>
      <c r="AX678" s="41" t="str">
        <f>INDEX(Input!$1:$1048576,AX$93,$C678*2+6)</f>
        <v>National</v>
      </c>
      <c r="AY678" s="41" t="str">
        <f>IF(LEN(D678)=0,"",INDEX(Input!$1:$1048576,AY$93,$C678*2+6))</f>
        <v>Compact Conventional/Sporty Car (43)</v>
      </c>
      <c r="AZ678" s="41" t="str">
        <f>INDEX(Input!$1:$1048576,AZ$93,$C678*2+6)</f>
        <v>Kia Forte</v>
      </c>
      <c r="BA678" s="3">
        <f>INDEX(Input!$1:$1048576,BA$93,$C678*2+6)</f>
        <v>2020</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19695</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2076"/>
        <v>1965.0000000000002</v>
      </c>
      <c r="CJ678" s="16" t="str">
        <f>INDEX(Input!$1:$1048576,CJ$93,$C678*2+6)</f>
        <v>N</v>
      </c>
      <c r="CK678" s="1" t="str">
        <f t="shared" si="2077"/>
        <v>Market</v>
      </c>
      <c r="CL678" s="1" t="str">
        <f t="shared" si="2078"/>
        <v>Market</v>
      </c>
      <c r="CM678" s="1" t="str">
        <f t="shared" si="2079"/>
        <v>Market</v>
      </c>
      <c r="CN678" s="1" t="str">
        <f t="shared" si="2080"/>
        <v>Market</v>
      </c>
      <c r="CO678" s="1" t="str">
        <f t="shared" si="2081"/>
        <v>Market</v>
      </c>
      <c r="CP678" s="304">
        <f t="shared" si="2082"/>
        <v>1000</v>
      </c>
      <c r="CQ678" s="1">
        <f t="shared" si="2083"/>
        <v>0</v>
      </c>
      <c r="CR678" s="1">
        <f t="shared" si="2084"/>
        <v>0</v>
      </c>
      <c r="CS678" s="1">
        <f t="shared" si="2085"/>
        <v>0</v>
      </c>
      <c r="CT678" s="1">
        <f t="shared" si="2086"/>
        <v>3.7999999999999992E-2</v>
      </c>
      <c r="CU678" s="1">
        <f t="shared" si="2087"/>
        <v>3.9E-2</v>
      </c>
      <c r="CV678" s="304">
        <f t="shared" ref="CV678:CV700" si="2140">Y678+H678*I678+AE678*AF678+AI678*AJ678</f>
        <v>2339.3275155115825</v>
      </c>
      <c r="CW678" s="20" t="s">
        <v>122</v>
      </c>
      <c r="CX678" s="20" t="s">
        <v>122</v>
      </c>
      <c r="CY678" s="20" t="s">
        <v>122</v>
      </c>
      <c r="CZ678" s="20" t="s">
        <v>122</v>
      </c>
      <c r="DA678" s="20" t="s">
        <v>122</v>
      </c>
      <c r="DB678" s="503">
        <f t="shared" ref="DB678:DB700" si="2141">Z678+AG678*AH678</f>
        <v>0</v>
      </c>
      <c r="DC678" s="127">
        <v>0</v>
      </c>
      <c r="DD678" s="127">
        <v>0</v>
      </c>
      <c r="DE678" s="127">
        <v>0</v>
      </c>
      <c r="DF678" s="127">
        <v>0</v>
      </c>
      <c r="DG678" s="127">
        <v>0</v>
      </c>
      <c r="DH678" s="127">
        <v>0</v>
      </c>
      <c r="DI678" s="127">
        <v>0</v>
      </c>
      <c r="DJ678" s="127">
        <v>0</v>
      </c>
      <c r="DK678" s="127">
        <v>0</v>
      </c>
      <c r="DL678" s="127">
        <v>0</v>
      </c>
      <c r="DM678" s="304">
        <f>INDEX(Input!$1:$1048576,DM$93,$C678*2+6)</f>
        <v>20731.578947368424</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t="str">
        <f t="shared" ref="HJ678:HK678" si="2142">HJ677</f>
        <v>On</v>
      </c>
      <c r="HK678" s="1" t="str">
        <f t="shared" si="2142"/>
        <v>On</v>
      </c>
      <c r="HL678" s="16"/>
      <c r="HM678" s="639">
        <f t="shared" si="2105"/>
        <v>4.9686942767030826E-2</v>
      </c>
      <c r="HN678" s="639">
        <f t="shared" si="2105"/>
        <v>2.6112822013589915E-3</v>
      </c>
      <c r="HO678" s="639">
        <f t="shared" si="2105"/>
        <v>3.166115353075552E-2</v>
      </c>
      <c r="HP678" s="644">
        <f t="shared" si="2089"/>
        <v>694.66239581541163</v>
      </c>
      <c r="HQ678" s="644">
        <f t="shared" si="2089"/>
        <v>-58.421928805592451</v>
      </c>
      <c r="HR678" s="644">
        <f t="shared" si="2089"/>
        <v>-19.321228202624319</v>
      </c>
      <c r="HS678" s="644">
        <f t="shared" si="2089"/>
        <v>-146.85073787616</v>
      </c>
      <c r="HT678" s="644">
        <f t="shared" si="2089"/>
        <v>454.77734891402093</v>
      </c>
      <c r="HU678" s="644">
        <f t="shared" si="2089"/>
        <v>106.25357419073626</v>
      </c>
      <c r="HV678" s="644">
        <f t="shared" si="2089"/>
        <v>0</v>
      </c>
      <c r="HW678" s="644">
        <f t="shared" si="2089"/>
        <v>0</v>
      </c>
      <c r="HX678" s="644">
        <f t="shared" si="2089"/>
        <v>0</v>
      </c>
      <c r="HY678" s="644">
        <f t="shared" si="2089"/>
        <v>2388</v>
      </c>
      <c r="HZ678" s="644">
        <f t="shared" si="2089"/>
        <v>2518</v>
      </c>
      <c r="IA678" s="644">
        <f t="shared" si="2089"/>
        <v>2200</v>
      </c>
      <c r="IB678" s="644">
        <f t="shared" si="2089"/>
        <v>2935.8116579392517</v>
      </c>
      <c r="IC678" s="644">
        <f t="shared" si="2089"/>
        <v>2914.3554201084285</v>
      </c>
      <c r="ID678" s="644">
        <f t="shared" si="2089"/>
        <v>2286.932345988112</v>
      </c>
      <c r="IE678" s="20">
        <f t="shared" si="2106"/>
        <v>0.36079338655581583</v>
      </c>
      <c r="IF678" s="20">
        <f t="shared" si="2090"/>
        <v>0.35815654550070414</v>
      </c>
      <c r="IG678" s="20">
        <f t="shared" si="2091"/>
        <v>0.28105006794348009</v>
      </c>
      <c r="IH678" s="21"/>
      <c r="II678" s="19"/>
      <c r="IJ678" s="19"/>
      <c r="IK678" s="19"/>
      <c r="IL678" s="19">
        <f t="shared" si="2107"/>
        <v>900.00000000000045</v>
      </c>
      <c r="IM678" s="19">
        <f t="shared" si="2107"/>
        <v>1010.2896617532497</v>
      </c>
      <c r="IN678" s="19">
        <f t="shared" si="2107"/>
        <v>286.35254048085608</v>
      </c>
      <c r="IO678" s="39"/>
      <c r="IP678" s="39"/>
      <c r="IQ678" s="39"/>
      <c r="IR678" s="39"/>
      <c r="IS678" s="39"/>
      <c r="IT678" s="39"/>
      <c r="IU678" s="39"/>
      <c r="IV678" s="39"/>
      <c r="IW678" s="39"/>
      <c r="IX678" s="19">
        <f t="shared" si="2108"/>
        <v>1600</v>
      </c>
      <c r="IY678" s="19">
        <f t="shared" si="2108"/>
        <v>2503.549291639752</v>
      </c>
      <c r="IZ678" s="19">
        <f t="shared" si="2108"/>
        <v>5888.3563810918577</v>
      </c>
      <c r="JA678" s="19">
        <f t="shared" si="2109"/>
        <v>2500.0000000000005</v>
      </c>
      <c r="JB678" s="19">
        <f t="shared" si="2109"/>
        <v>3513.8389533930017</v>
      </c>
      <c r="JC678" s="19">
        <f t="shared" si="2109"/>
        <v>6174.7089215727137</v>
      </c>
      <c r="JD678" s="19">
        <f t="shared" si="2110"/>
        <v>3895.8902493218106</v>
      </c>
      <c r="JE678" s="21"/>
      <c r="JF678" s="1">
        <f t="shared" si="2111"/>
        <v>6.8844376252282569E-2</v>
      </c>
      <c r="JG678" s="15">
        <f t="shared" si="2112"/>
        <v>7106</v>
      </c>
      <c r="JH678" s="1">
        <f t="shared" si="2113"/>
        <v>8.6816667436982117E-2</v>
      </c>
      <c r="JI678" s="1">
        <f t="shared" si="2114"/>
        <v>5.8285981597044359E-2</v>
      </c>
      <c r="JJ678" s="1">
        <f t="shared" si="2092"/>
        <v>0</v>
      </c>
      <c r="JK678" s="1">
        <f t="shared" si="2093"/>
        <v>0.14510264903402645</v>
      </c>
      <c r="JL678" s="15">
        <f t="shared" si="2115"/>
        <v>1031.099424035792</v>
      </c>
      <c r="JM678" s="15">
        <f t="shared" si="2115"/>
        <v>8137.0994240357923</v>
      </c>
      <c r="JN678" s="21"/>
      <c r="JO678" s="19">
        <f>INDEX([1]Input!$1:$1048576,JO$93,$C678*2+6)</f>
        <v>5995.5</v>
      </c>
      <c r="JP678" s="19">
        <f>INDEX([1]Input!$1:$1048576,JP$93,$C678*2+6)</f>
        <v>1716.3055838443925</v>
      </c>
      <c r="JQ678" s="39">
        <f t="shared" si="2124"/>
        <v>2099.6097506781894</v>
      </c>
      <c r="JR678" s="39">
        <f t="shared" si="2125"/>
        <v>2179.5846654774182</v>
      </c>
      <c r="JS678" s="39">
        <f t="shared" si="2126"/>
        <v>31.701246303863165</v>
      </c>
      <c r="JT678" s="39">
        <f t="shared" si="2116"/>
        <v>19.505178825064913</v>
      </c>
      <c r="JU678" s="385">
        <f>(JQ678*JM678-INDEX([1]Input!$1:$1048576,[1]Input!A$18,$C678*2+6)*JL678*INDEX([1]Input!$1:$1048576,[1]Input!A$19,$C678*2+6))/1000000</f>
        <v>17.084733292943429</v>
      </c>
      <c r="JV678" s="39">
        <f t="shared" si="2094"/>
        <v>-13.32322222825832</v>
      </c>
      <c r="JW678" s="1">
        <f t="shared" si="2129"/>
        <v>-0.43814922772327752</v>
      </c>
      <c r="JX678" s="19">
        <f t="shared" si="2130"/>
        <v>18916.874910782451</v>
      </c>
      <c r="JZ678" s="341"/>
      <c r="KA678" s="60"/>
      <c r="KB678" s="469">
        <f t="shared" si="2117"/>
        <v>0</v>
      </c>
      <c r="KI678" s="472"/>
      <c r="KJ678" s="472"/>
      <c r="KK678" s="472"/>
      <c r="KN678" s="26">
        <f t="shared" si="2118"/>
        <v>6002</v>
      </c>
      <c r="KO678" s="789">
        <f t="shared" si="2095"/>
        <v>6.476815765792332E-2</v>
      </c>
      <c r="KP678" s="790">
        <f t="shared" si="2096"/>
        <v>406.95188274269793</v>
      </c>
      <c r="KQ678" s="790">
        <f t="shared" si="2097"/>
        <v>298.44175903188398</v>
      </c>
      <c r="KR678" s="26">
        <f t="shared" si="2098"/>
        <v>2.5619951603630993</v>
      </c>
      <c r="KS678" s="26">
        <f t="shared" si="2099"/>
        <v>3.4935082726678899</v>
      </c>
      <c r="KT678" s="791">
        <f t="shared" si="2127"/>
        <v>2521.945896759994</v>
      </c>
      <c r="KU678" s="792">
        <f t="shared" si="2119"/>
        <v>11.255846204017592</v>
      </c>
    </row>
    <row r="679" spans="1:307" s="26" customFormat="1" ht="15" outlineLevel="1">
      <c r="A679" s="561">
        <f t="shared" si="2100"/>
        <v>6079</v>
      </c>
      <c r="B679" s="561">
        <f t="shared" si="2120"/>
        <v>79</v>
      </c>
      <c r="C679" s="561">
        <f t="shared" si="2121"/>
        <v>6</v>
      </c>
      <c r="D679" s="561" t="str">
        <f t="shared" si="2028"/>
        <v xml:space="preserve">750 CC, 0/2.8/3.8/3.9, 1500 Combo, </v>
      </c>
      <c r="E679" s="475">
        <f>INDEX(Input!$1:$1048576,E$93,$C679*2+MIN($B679,2)+5)
+INDEX(Scenarios!E$121:E$199,MATCH($B679,Scenarios!$B$121:$B$199,0))</f>
        <v>2000.0000000000002</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1500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0</v>
      </c>
      <c r="V679" s="478">
        <f>IFERROR(MAX(0,INDEX(Input!$1:$1048576,V$93,$C679*2+MIN($B679,2)+5)
+INDEX(Scenarios!V$121:V$199,MATCH($B679,Scenarios!$B$121:$B$199,0)),),"Market")</f>
        <v>3.7999999999999992E-2</v>
      </c>
      <c r="W679" s="863">
        <f>IFERROR(MAX(0,INDEX(Input!$1:$1048576,W$93,$C679*2+MIN($B679,2)+5)-0%),"Market")</f>
        <v>3.9E-2</v>
      </c>
      <c r="X679" s="476" t="str">
        <f>INDEX(Input!$1:$1048576,X$93,$C679*2+MIN($B679,2)+5)</f>
        <v>Y</v>
      </c>
      <c r="Y679" s="475">
        <f>INDEX(Input!$1:$1048576,Y$93,$C679*2+MIN($B679,2)+5)
++INDEX(Scenarios!Y$121:Y$199,MATCH($B679,Scenarios!$B$121:$B$199,0))</f>
        <v>2339.3275155115825</v>
      </c>
      <c r="Z679" s="477">
        <f>INDEX(Input!$1:$1048576,Z$93,$C679*2+MIN($B679,2)+5)
+INDEX(Scenarios!Z$121:Z$199,MATCH($B679,Scenarios!$B$121:$B$199,0))</f>
        <v>0</v>
      </c>
      <c r="AA679" s="475">
        <f>INDEX(Input!$1:$1048576,AA$93,$C679*2+MIN($B679,2)+5)</f>
        <v>0</v>
      </c>
      <c r="AB679" s="476">
        <f>INDEX(Input!$1:$1048576,AB$93,$C679*2+MIN($B679,2)+5)</f>
        <v>1</v>
      </c>
      <c r="AC679" s="475">
        <f>INDEX(Input!$1:$1048576,AC$93,$C679*2+MIN($B679,2)+5)
+INDEX(Scenarios!AC$121:AC$199,MATCH($B679,Scenarios!$B$121:$B$199,0))</f>
        <v>0</v>
      </c>
      <c r="AD679" s="476">
        <f>INDEX(Input!$1:$1048576,AD$93,$C679*2+MIN($B679,2)+5)</f>
        <v>0.35</v>
      </c>
      <c r="AE679" s="475">
        <f>INDEX(Input!$1:$1048576,AE$93,$C679*2+MIN($B679,2)+5)
+INDEX(Scenarios!AE$121:AE$199,MATCH($B679,Scenarios!$B$121:$B$199,0))</f>
        <v>0</v>
      </c>
      <c r="AF679" s="476">
        <f>INDEX(Input!$1:$1048576,AF$93,$C679*2+MIN($B679,2)+5)</f>
        <v>1</v>
      </c>
      <c r="AG679" s="475">
        <f>INDEX(Input!$1:$1048576,AG$93,$C679*2+MIN($B679,2)+5)</f>
        <v>0</v>
      </c>
      <c r="AH679" s="476">
        <f>INDEX(Input!$1:$1048576,AH$93,$C679*2+MIN($B679,2)+5)</f>
        <v>1</v>
      </c>
      <c r="AI679" s="475">
        <f>INDEX(Input!$1:$1048576,AI$93,$C679*2+MIN($B679,2)+5)</f>
        <v>0</v>
      </c>
      <c r="AJ679" s="476">
        <f>INDEX(Input!$1:$1048576,AJ$93,$C679*2+MIN($B679,2)+5)</f>
        <v>0.35</v>
      </c>
      <c r="AK679" s="150">
        <f>ROUND(INDEX(Input!$1:$1048576,AK$93,$C678*2+MIN($B679,1)+5)+(Y679-VLOOKUP($C679*1000+1,$A:$HH,Y$92,FALSE)),0)</f>
        <v>5093</v>
      </c>
      <c r="AL679" s="150">
        <f>ROUND(INDEX(Input!$1:$1048576,AL$93,$C678*2+MIN($B679,1)+5)-(Y679-VLOOKUP($C679*1000+1,$A:$HH,Y$92,FALSE))/36,0)</f>
        <v>5217</v>
      </c>
      <c r="AM679" s="32" t="str">
        <f t="shared" si="2101"/>
        <v>std/std/std/std</v>
      </c>
      <c r="AN679" s="32" t="str">
        <f t="shared" si="2102"/>
        <v>$1500 + 0/0/0/3.8/3.9</v>
      </c>
      <c r="AO679" s="32" t="str">
        <f t="shared" si="2103"/>
        <v>0/0/0/3.8/3.9</v>
      </c>
      <c r="AP679" s="32" t="str">
        <f t="shared" si="2074"/>
        <v>0/2.8/3.8/3.9</v>
      </c>
      <c r="AQ679" s="536">
        <f t="shared" si="2075"/>
        <v>0.36396473203264518</v>
      </c>
      <c r="AR679" s="32"/>
      <c r="AS679" s="302"/>
      <c r="AT679" s="3">
        <f t="shared" si="2122"/>
        <v>79</v>
      </c>
      <c r="AU679" s="41" t="s">
        <v>121</v>
      </c>
      <c r="AV679" s="41" t="s">
        <v>116</v>
      </c>
      <c r="AW679" s="41" t="str">
        <f>INDEX(Input!$1:$1048576,AW$93,$C679*2+6)</f>
        <v>Kia</v>
      </c>
      <c r="AX679" s="41" t="str">
        <f>INDEX(Input!$1:$1048576,AX$93,$C679*2+6)</f>
        <v>National</v>
      </c>
      <c r="AY679" s="41" t="str">
        <f>IF(LEN(D679)=0,"",INDEX(Input!$1:$1048576,AY$93,$C679*2+6))</f>
        <v>Compact Conventional/Sporty Car (43)</v>
      </c>
      <c r="AZ679" s="41" t="str">
        <f>INDEX(Input!$1:$1048576,AZ$93,$C679*2+6)</f>
        <v>Kia Forte</v>
      </c>
      <c r="BA679" s="3">
        <f>INDEX(Input!$1:$1048576,BA$93,$C679*2+6)</f>
        <v>2020</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19695</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2076"/>
        <v>2215</v>
      </c>
      <c r="CJ679" s="16" t="str">
        <f>INDEX(Input!$1:$1048576,CJ$93,$C679*2+6)</f>
        <v>N</v>
      </c>
      <c r="CK679" s="1" t="str">
        <f t="shared" si="2077"/>
        <v>Market</v>
      </c>
      <c r="CL679" s="1" t="str">
        <f t="shared" si="2078"/>
        <v>Market</v>
      </c>
      <c r="CM679" s="1" t="str">
        <f t="shared" si="2079"/>
        <v>Market</v>
      </c>
      <c r="CN679" s="1" t="str">
        <f t="shared" si="2080"/>
        <v>Market</v>
      </c>
      <c r="CO679" s="1" t="str">
        <f t="shared" si="2081"/>
        <v>Market</v>
      </c>
      <c r="CP679" s="304">
        <f t="shared" si="2082"/>
        <v>1500</v>
      </c>
      <c r="CQ679" s="1">
        <f t="shared" si="2083"/>
        <v>0</v>
      </c>
      <c r="CR679" s="1">
        <f t="shared" si="2084"/>
        <v>0</v>
      </c>
      <c r="CS679" s="1">
        <f t="shared" si="2085"/>
        <v>0</v>
      </c>
      <c r="CT679" s="1">
        <f t="shared" si="2086"/>
        <v>3.7999999999999992E-2</v>
      </c>
      <c r="CU679" s="1">
        <f t="shared" si="2087"/>
        <v>3.9E-2</v>
      </c>
      <c r="CV679" s="304">
        <f t="shared" si="2140"/>
        <v>2339.3275155115825</v>
      </c>
      <c r="CW679" s="20" t="s">
        <v>122</v>
      </c>
      <c r="CX679" s="20" t="s">
        <v>122</v>
      </c>
      <c r="CY679" s="20" t="s">
        <v>122</v>
      </c>
      <c r="CZ679" s="20" t="s">
        <v>122</v>
      </c>
      <c r="DA679" s="20" t="s">
        <v>122</v>
      </c>
      <c r="DB679" s="503">
        <f t="shared" si="2141"/>
        <v>0</v>
      </c>
      <c r="DC679" s="127">
        <v>0</v>
      </c>
      <c r="DD679" s="127">
        <v>0</v>
      </c>
      <c r="DE679" s="127">
        <v>0</v>
      </c>
      <c r="DF679" s="127">
        <v>0</v>
      </c>
      <c r="DG679" s="127">
        <v>0</v>
      </c>
      <c r="DH679" s="127">
        <v>0</v>
      </c>
      <c r="DI679" s="127">
        <v>0</v>
      </c>
      <c r="DJ679" s="127">
        <v>0</v>
      </c>
      <c r="DK679" s="127">
        <v>0</v>
      </c>
      <c r="DL679" s="127">
        <v>0</v>
      </c>
      <c r="DM679" s="304">
        <f>INDEX(Input!$1:$1048576,DM$93,$C679*2+6)</f>
        <v>20731.578947368424</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t="str">
        <f t="shared" ref="HJ679:HK679" si="2143">HJ678</f>
        <v>On</v>
      </c>
      <c r="HK679" s="1" t="str">
        <f t="shared" si="2143"/>
        <v>On</v>
      </c>
      <c r="HL679" s="16"/>
      <c r="HM679" s="639">
        <f t="shared" si="2105"/>
        <v>4.9686942767030826E-2</v>
      </c>
      <c r="HN679" s="639">
        <f t="shared" si="2105"/>
        <v>2.6112822013589915E-3</v>
      </c>
      <c r="HO679" s="639">
        <f t="shared" si="2105"/>
        <v>3.166115353075552E-2</v>
      </c>
      <c r="HP679" s="644">
        <f t="shared" si="2089"/>
        <v>899.82865867736894</v>
      </c>
      <c r="HQ679" s="644">
        <f t="shared" si="2089"/>
        <v>-32.676850056659504</v>
      </c>
      <c r="HR679" s="644">
        <f t="shared" si="2089"/>
        <v>-72.749694353902683</v>
      </c>
      <c r="HS679" s="644">
        <f t="shared" si="2089"/>
        <v>-188.16736383044233</v>
      </c>
      <c r="HT679" s="644">
        <f t="shared" si="2089"/>
        <v>687.28578876443044</v>
      </c>
      <c r="HU679" s="644">
        <f t="shared" si="2089"/>
        <v>116.85762067241787</v>
      </c>
      <c r="HV679" s="644">
        <f t="shared" si="2089"/>
        <v>0</v>
      </c>
      <c r="HW679" s="644">
        <f t="shared" si="2089"/>
        <v>0</v>
      </c>
      <c r="HX679" s="644">
        <f t="shared" si="2089"/>
        <v>0</v>
      </c>
      <c r="HY679" s="644">
        <f t="shared" si="2089"/>
        <v>2388</v>
      </c>
      <c r="HZ679" s="644">
        <f t="shared" si="2089"/>
        <v>2518</v>
      </c>
      <c r="IA679" s="644">
        <f t="shared" si="2089"/>
        <v>2200</v>
      </c>
      <c r="IB679" s="644">
        <f t="shared" si="2089"/>
        <v>3099.661294846926</v>
      </c>
      <c r="IC679" s="644">
        <f t="shared" si="2089"/>
        <v>3172.6089387077714</v>
      </c>
      <c r="ID679" s="644">
        <f t="shared" si="2089"/>
        <v>2244.1079263185152</v>
      </c>
      <c r="IE679" s="20">
        <f t="shared" si="2106"/>
        <v>0.36396473203264518</v>
      </c>
      <c r="IF679" s="20">
        <f t="shared" si="2090"/>
        <v>0.37253030327565956</v>
      </c>
      <c r="IG679" s="20">
        <f t="shared" si="2091"/>
        <v>0.26350496469169521</v>
      </c>
      <c r="IH679" s="21"/>
      <c r="II679" s="19"/>
      <c r="IJ679" s="19"/>
      <c r="IK679" s="19"/>
      <c r="IL679" s="19">
        <f t="shared" si="2107"/>
        <v>1150</v>
      </c>
      <c r="IM679" s="19">
        <f t="shared" si="2107"/>
        <v>1510.6164553297012</v>
      </c>
      <c r="IN679" s="19">
        <f t="shared" si="2107"/>
        <v>288.12788800588169</v>
      </c>
      <c r="IO679" s="39"/>
      <c r="IP679" s="39"/>
      <c r="IQ679" s="39"/>
      <c r="IR679" s="39"/>
      <c r="IS679" s="39"/>
      <c r="IT679" s="39"/>
      <c r="IU679" s="39"/>
      <c r="IV679" s="39"/>
      <c r="IW679" s="39"/>
      <c r="IX679" s="19">
        <f t="shared" si="2108"/>
        <v>1600</v>
      </c>
      <c r="IY679" s="19">
        <f t="shared" si="2108"/>
        <v>2503.549291639752</v>
      </c>
      <c r="IZ679" s="19">
        <f t="shared" si="2108"/>
        <v>5888.3563810918577</v>
      </c>
      <c r="JA679" s="19">
        <f t="shared" si="2109"/>
        <v>2750</v>
      </c>
      <c r="JB679" s="19">
        <f t="shared" si="2109"/>
        <v>4014.1657469694533</v>
      </c>
      <c r="JC679" s="19">
        <f t="shared" si="2109"/>
        <v>6176.4842690977393</v>
      </c>
      <c r="JD679" s="19">
        <f t="shared" si="2110"/>
        <v>4123.8356654544796</v>
      </c>
      <c r="JE679" s="21"/>
      <c r="JF679" s="1">
        <f t="shared" si="2111"/>
        <v>6.8844376252282569E-2</v>
      </c>
      <c r="JG679" s="15">
        <f t="shared" si="2112"/>
        <v>7106</v>
      </c>
      <c r="JH679" s="1">
        <f t="shared" si="2113"/>
        <v>0.11179314864435783</v>
      </c>
      <c r="JI679" s="1">
        <f t="shared" si="2114"/>
        <v>8.6683935492035735E-2</v>
      </c>
      <c r="JJ679" s="1">
        <f t="shared" si="2092"/>
        <v>0</v>
      </c>
      <c r="JK679" s="1">
        <f t="shared" si="2093"/>
        <v>0.19847708413639362</v>
      </c>
      <c r="JL679" s="15">
        <f t="shared" si="2115"/>
        <v>1410.378159873213</v>
      </c>
      <c r="JM679" s="15">
        <f t="shared" si="2115"/>
        <v>8516.378159873213</v>
      </c>
      <c r="JN679" s="21"/>
      <c r="JO679" s="19">
        <f>INDEX([1]Input!$1:$1048576,JO$93,$C679*2+6)</f>
        <v>5995.5</v>
      </c>
      <c r="JP679" s="19">
        <f>INDEX([1]Input!$1:$1048576,JP$93,$C679*2+6)</f>
        <v>1716.3055838443925</v>
      </c>
      <c r="JQ679" s="39">
        <f t="shared" si="2124"/>
        <v>1871.6643345455204</v>
      </c>
      <c r="JR679" s="39">
        <f t="shared" si="2125"/>
        <v>2407.5300816100871</v>
      </c>
      <c r="JS679" s="39">
        <f t="shared" si="2126"/>
        <v>35.120143996182748</v>
      </c>
      <c r="JT679" s="39">
        <f t="shared" si="2116"/>
        <v>22.924076517384492</v>
      </c>
      <c r="JU679" s="385">
        <f>(JQ679*JM679-INDEX([1]Input!$1:$1048576,[1]Input!A$18,$C679*2+6)*JL679*INDEX([1]Input!$1:$1048576,[1]Input!A$19,$C679*2+6))/1000000</f>
        <v>15.939801261337102</v>
      </c>
      <c r="JV679" s="39">
        <f t="shared" si="2094"/>
        <v>-14.468154259864647</v>
      </c>
      <c r="JW679" s="1">
        <f t="shared" si="2129"/>
        <v>-0.4758016121727362</v>
      </c>
      <c r="JX679" s="19">
        <f t="shared" si="2130"/>
        <v>16253.851037685716</v>
      </c>
      <c r="JZ679" s="341"/>
      <c r="KA679" s="60"/>
      <c r="KB679" s="469">
        <f t="shared" si="2117"/>
        <v>0</v>
      </c>
      <c r="KI679" s="472"/>
      <c r="KJ679" s="472"/>
      <c r="KK679" s="472"/>
      <c r="KN679" s="26">
        <f t="shared" si="2118"/>
        <v>6002</v>
      </c>
      <c r="KO679" s="789">
        <f t="shared" si="2095"/>
        <v>0.11439811788718401</v>
      </c>
      <c r="KP679" s="790">
        <f t="shared" si="2096"/>
        <v>694.65509937402715</v>
      </c>
      <c r="KQ679" s="790">
        <f t="shared" si="2097"/>
        <v>526.3871751645529</v>
      </c>
      <c r="KR679" s="26">
        <f t="shared" si="2098"/>
        <v>2.6509984551503085</v>
      </c>
      <c r="KS679" s="26">
        <f t="shared" si="2099"/>
        <v>3.498431728940115</v>
      </c>
      <c r="KT679" s="791">
        <f t="shared" si="2127"/>
        <v>2521.945896759994</v>
      </c>
      <c r="KU679" s="792">
        <f t="shared" si="2119"/>
        <v>11.351936385787463</v>
      </c>
    </row>
    <row r="680" spans="1:307" s="26" customFormat="1" ht="15" outlineLevel="1">
      <c r="A680" s="561">
        <f t="shared" si="2100"/>
        <v>6080</v>
      </c>
      <c r="B680" s="561">
        <f t="shared" si="2120"/>
        <v>80</v>
      </c>
      <c r="C680" s="561">
        <f t="shared" si="2121"/>
        <v>6</v>
      </c>
      <c r="D680" s="561" t="str">
        <f t="shared" si="2028"/>
        <v xml:space="preserve">1000 CC, 0/2.8/3.8/3.9, 2000 Combo, </v>
      </c>
      <c r="E680" s="475">
        <f>INDEX(Input!$1:$1048576,E$93,$C680*2+MIN($B680,2)+5)
+INDEX(Scenarios!E$121:E$199,MATCH($B680,Scenarios!$B$121:$B$199,0))</f>
        <v>2250</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2000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0</v>
      </c>
      <c r="V680" s="478">
        <f>IFERROR(MAX(0,INDEX(Input!$1:$1048576,V$93,$C680*2+MIN($B680,2)+5)
+INDEX(Scenarios!V$121:V$199,MATCH($B680,Scenarios!$B$121:$B$199,0)),),"Market")</f>
        <v>3.7999999999999992E-2</v>
      </c>
      <c r="W680" s="863">
        <f>IFERROR(MAX(0,INDEX(Input!$1:$1048576,W$93,$C680*2+MIN($B680,2)+5)-0%),"Market")</f>
        <v>3.9E-2</v>
      </c>
      <c r="X680" s="476" t="str">
        <f>INDEX(Input!$1:$1048576,X$93,$C680*2+MIN($B680,2)+5)</f>
        <v>Y</v>
      </c>
      <c r="Y680" s="475">
        <f>INDEX(Input!$1:$1048576,Y$93,$C680*2+MIN($B680,2)+5)
++INDEX(Scenarios!Y$121:Y$199,MATCH($B680,Scenarios!$B$121:$B$199,0))</f>
        <v>2339.3275155115825</v>
      </c>
      <c r="Z680" s="477">
        <f>INDEX(Input!$1:$1048576,Z$93,$C680*2+MIN($B680,2)+5)
+INDEX(Scenarios!Z$121:Z$199,MATCH($B680,Scenarios!$B$121:$B$199,0))</f>
        <v>0</v>
      </c>
      <c r="AA680" s="475">
        <f>INDEX(Input!$1:$1048576,AA$93,$C680*2+MIN($B680,2)+5)</f>
        <v>0</v>
      </c>
      <c r="AB680" s="476">
        <f>INDEX(Input!$1:$1048576,AB$93,$C680*2+MIN($B680,2)+5)</f>
        <v>1</v>
      </c>
      <c r="AC680" s="475">
        <f>INDEX(Input!$1:$1048576,AC$93,$C680*2+MIN($B680,2)+5)
+INDEX(Scenarios!AC$121:AC$199,MATCH($B680,Scenarios!$B$121:$B$199,0))</f>
        <v>0</v>
      </c>
      <c r="AD680" s="476">
        <f>INDEX(Input!$1:$1048576,AD$93,$C680*2+MIN($B680,2)+5)</f>
        <v>0.35</v>
      </c>
      <c r="AE680" s="475">
        <f>INDEX(Input!$1:$1048576,AE$93,$C680*2+MIN($B680,2)+5)
+INDEX(Scenarios!AE$121:AE$199,MATCH($B680,Scenarios!$B$121:$B$199,0))</f>
        <v>0</v>
      </c>
      <c r="AF680" s="476">
        <f>INDEX(Input!$1:$1048576,AF$93,$C680*2+MIN($B680,2)+5)</f>
        <v>1</v>
      </c>
      <c r="AG680" s="475">
        <f>INDEX(Input!$1:$1048576,AG$93,$C680*2+MIN($B680,2)+5)</f>
        <v>0</v>
      </c>
      <c r="AH680" s="476">
        <f>INDEX(Input!$1:$1048576,AH$93,$C680*2+MIN($B680,2)+5)</f>
        <v>1</v>
      </c>
      <c r="AI680" s="475">
        <f>INDEX(Input!$1:$1048576,AI$93,$C680*2+MIN($B680,2)+5)</f>
        <v>0</v>
      </c>
      <c r="AJ680" s="476">
        <f>INDEX(Input!$1:$1048576,AJ$93,$C680*2+MIN($B680,2)+5)</f>
        <v>0.35</v>
      </c>
      <c r="AK680" s="150">
        <f>ROUND(INDEX(Input!$1:$1048576,AK$93,$C679*2+MIN($B680,1)+5)+(Y680-VLOOKUP($C680*1000+1,$A:$HH,Y$92,FALSE)),0)</f>
        <v>5093</v>
      </c>
      <c r="AL680" s="150">
        <f>ROUND(INDEX(Input!$1:$1048576,AL$93,$C679*2+MIN($B680,1)+5)-(Y680-VLOOKUP($C680*1000+1,$A:$HH,Y$92,FALSE))/36,0)</f>
        <v>5217</v>
      </c>
      <c r="AM680" s="32" t="str">
        <f t="shared" si="2101"/>
        <v>std/std/std/std</v>
      </c>
      <c r="AN680" s="32" t="str">
        <f t="shared" si="2102"/>
        <v>$2000 + 0/0/0/3.8/3.9</v>
      </c>
      <c r="AO680" s="32" t="str">
        <f t="shared" si="2103"/>
        <v>0/0/0/3.8/3.9</v>
      </c>
      <c r="AP680" s="32" t="str">
        <f t="shared" si="2074"/>
        <v>0/2.8/3.8/3.9</v>
      </c>
      <c r="AQ680" s="536">
        <f t="shared" si="2075"/>
        <v>0.33474865851278229</v>
      </c>
      <c r="AR680" s="32"/>
      <c r="AS680" s="302"/>
      <c r="AT680" s="3">
        <f t="shared" si="2122"/>
        <v>80</v>
      </c>
      <c r="AU680" s="41" t="s">
        <v>121</v>
      </c>
      <c r="AV680" s="41" t="s">
        <v>116</v>
      </c>
      <c r="AW680" s="41" t="str">
        <f>INDEX(Input!$1:$1048576,AW$93,$C680*2+6)</f>
        <v>Kia</v>
      </c>
      <c r="AX680" s="41" t="str">
        <f>INDEX(Input!$1:$1048576,AX$93,$C680*2+6)</f>
        <v>National</v>
      </c>
      <c r="AY680" s="41" t="str">
        <f>IF(LEN(D680)=0,"",INDEX(Input!$1:$1048576,AY$93,$C680*2+6))</f>
        <v>Compact Conventional/Sporty Car (43)</v>
      </c>
      <c r="AZ680" s="41" t="str">
        <f>INDEX(Input!$1:$1048576,AZ$93,$C680*2+6)</f>
        <v>Kia Forte</v>
      </c>
      <c r="BA680" s="3">
        <f>INDEX(Input!$1:$1048576,BA$93,$C680*2+6)</f>
        <v>2020</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19695</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2076"/>
        <v>2465</v>
      </c>
      <c r="CJ680" s="16" t="str">
        <f>INDEX(Input!$1:$1048576,CJ$93,$C680*2+6)</f>
        <v>N</v>
      </c>
      <c r="CK680" s="1" t="str">
        <f t="shared" si="2077"/>
        <v>Market</v>
      </c>
      <c r="CL680" s="1" t="str">
        <f t="shared" si="2078"/>
        <v>Market</v>
      </c>
      <c r="CM680" s="1" t="str">
        <f t="shared" si="2079"/>
        <v>Market</v>
      </c>
      <c r="CN680" s="1" t="str">
        <f t="shared" si="2080"/>
        <v>Market</v>
      </c>
      <c r="CO680" s="1" t="str">
        <f t="shared" si="2081"/>
        <v>Market</v>
      </c>
      <c r="CP680" s="304">
        <f t="shared" si="2082"/>
        <v>2000</v>
      </c>
      <c r="CQ680" s="1">
        <f t="shared" si="2083"/>
        <v>0</v>
      </c>
      <c r="CR680" s="1">
        <f t="shared" si="2084"/>
        <v>0</v>
      </c>
      <c r="CS680" s="1">
        <f t="shared" si="2085"/>
        <v>0</v>
      </c>
      <c r="CT680" s="1">
        <f t="shared" si="2086"/>
        <v>3.7999999999999992E-2</v>
      </c>
      <c r="CU680" s="1">
        <f t="shared" si="2087"/>
        <v>3.9E-2</v>
      </c>
      <c r="CV680" s="304">
        <f t="shared" si="2140"/>
        <v>2339.3275155115825</v>
      </c>
      <c r="CW680" s="20" t="s">
        <v>122</v>
      </c>
      <c r="CX680" s="20" t="s">
        <v>122</v>
      </c>
      <c r="CY680" s="20" t="s">
        <v>122</v>
      </c>
      <c r="CZ680" s="20" t="s">
        <v>122</v>
      </c>
      <c r="DA680" s="20" t="s">
        <v>122</v>
      </c>
      <c r="DB680" s="503">
        <f t="shared" si="2141"/>
        <v>0</v>
      </c>
      <c r="DC680" s="127">
        <v>0</v>
      </c>
      <c r="DD680" s="127">
        <v>0</v>
      </c>
      <c r="DE680" s="127">
        <v>0</v>
      </c>
      <c r="DF680" s="127">
        <v>0</v>
      </c>
      <c r="DG680" s="127">
        <v>0</v>
      </c>
      <c r="DH680" s="127">
        <v>0</v>
      </c>
      <c r="DI680" s="127">
        <v>0</v>
      </c>
      <c r="DJ680" s="127">
        <v>0</v>
      </c>
      <c r="DK680" s="127">
        <v>0</v>
      </c>
      <c r="DL680" s="127">
        <v>0</v>
      </c>
      <c r="DM680" s="304">
        <f>INDEX(Input!$1:$1048576,DM$93,$C680*2+6)</f>
        <v>20731.578947368424</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t="str">
        <f t="shared" ref="HJ680:HK680" si="2144">HJ679</f>
        <v>On</v>
      </c>
      <c r="HK680" s="1" t="str">
        <f t="shared" si="2144"/>
        <v>On</v>
      </c>
      <c r="HL680" s="16"/>
      <c r="HM680" s="639">
        <f t="shared" si="2105"/>
        <v>4.9686942767030826E-2</v>
      </c>
      <c r="HN680" s="639">
        <f t="shared" si="2105"/>
        <v>2.6112822013589915E-3</v>
      </c>
      <c r="HO680" s="639">
        <f t="shared" si="2105"/>
        <v>3.166115353075552E-2</v>
      </c>
      <c r="HP680" s="644">
        <f t="shared" si="2089"/>
        <v>817.2052871244515</v>
      </c>
      <c r="HQ680" s="644">
        <f t="shared" si="2089"/>
        <v>398.51964141708959</v>
      </c>
      <c r="HR680" s="644">
        <f t="shared" si="2089"/>
        <v>-150.27234544499026</v>
      </c>
      <c r="HS680" s="644">
        <f t="shared" si="2089"/>
        <v>-228.98588152960835</v>
      </c>
      <c r="HT680" s="644">
        <f t="shared" si="2089"/>
        <v>821.47737996363821</v>
      </c>
      <c r="HU680" s="644">
        <f t="shared" si="2089"/>
        <v>126.96355889898308</v>
      </c>
      <c r="HV680" s="644">
        <f t="shared" si="2089"/>
        <v>0</v>
      </c>
      <c r="HW680" s="644">
        <f t="shared" si="2089"/>
        <v>0</v>
      </c>
      <c r="HX680" s="644">
        <f t="shared" si="2089"/>
        <v>0</v>
      </c>
      <c r="HY680" s="644">
        <f t="shared" si="2089"/>
        <v>2388</v>
      </c>
      <c r="HZ680" s="644">
        <f t="shared" si="2089"/>
        <v>2518</v>
      </c>
      <c r="IA680" s="644">
        <f t="shared" si="2089"/>
        <v>2200</v>
      </c>
      <c r="IB680" s="644">
        <f t="shared" si="2089"/>
        <v>2976.2194055948426</v>
      </c>
      <c r="IC680" s="644">
        <f t="shared" si="2089"/>
        <v>3737.9970213807278</v>
      </c>
      <c r="ID680" s="644">
        <f t="shared" si="2089"/>
        <v>2176.6912134539925</v>
      </c>
      <c r="IE680" s="20">
        <f t="shared" si="2106"/>
        <v>0.33474865851278229</v>
      </c>
      <c r="IF680" s="20">
        <f t="shared" si="2090"/>
        <v>0.42042918142383573</v>
      </c>
      <c r="IG680" s="20">
        <f t="shared" si="2091"/>
        <v>0.244822160063382</v>
      </c>
      <c r="IH680" s="21"/>
      <c r="II680" s="19"/>
      <c r="IJ680" s="19"/>
      <c r="IK680" s="19"/>
      <c r="IL680" s="19">
        <f t="shared" si="2107"/>
        <v>1400.0000000000005</v>
      </c>
      <c r="IM680" s="19">
        <f t="shared" si="2107"/>
        <v>1807.8069682987384</v>
      </c>
      <c r="IN680" s="19">
        <f t="shared" si="2107"/>
        <v>290.82868255860194</v>
      </c>
      <c r="IO680" s="39"/>
      <c r="IP680" s="39"/>
      <c r="IQ680" s="39"/>
      <c r="IR680" s="39"/>
      <c r="IS680" s="39"/>
      <c r="IT680" s="39"/>
      <c r="IU680" s="39"/>
      <c r="IV680" s="39"/>
      <c r="IW680" s="39"/>
      <c r="IX680" s="19">
        <f t="shared" si="2108"/>
        <v>1600</v>
      </c>
      <c r="IY680" s="19">
        <f t="shared" si="2108"/>
        <v>2503.549291639752</v>
      </c>
      <c r="IZ680" s="19">
        <f t="shared" si="2108"/>
        <v>5888.3563810918577</v>
      </c>
      <c r="JA680" s="19">
        <f t="shared" si="2109"/>
        <v>3000.0000000000005</v>
      </c>
      <c r="JB680" s="19">
        <f t="shared" si="2109"/>
        <v>4311.3562599384904</v>
      </c>
      <c r="JC680" s="19">
        <f t="shared" si="2109"/>
        <v>6179.1850636504596</v>
      </c>
      <c r="JD680" s="19">
        <f t="shared" si="2110"/>
        <v>4329.6673934451082</v>
      </c>
      <c r="JE680" s="21"/>
      <c r="JF680" s="1">
        <f t="shared" si="2111"/>
        <v>6.8844376252282569E-2</v>
      </c>
      <c r="JG680" s="15">
        <f t="shared" si="2112"/>
        <v>7106</v>
      </c>
      <c r="JH680" s="1">
        <f t="shared" si="2113"/>
        <v>0.14993703674311157</v>
      </c>
      <c r="JI680" s="1">
        <f t="shared" si="2114"/>
        <v>0.10124613809921376</v>
      </c>
      <c r="JJ680" s="1">
        <f t="shared" si="2092"/>
        <v>0</v>
      </c>
      <c r="JK680" s="1">
        <f t="shared" si="2093"/>
        <v>0.25118317484232533</v>
      </c>
      <c r="JL680" s="15">
        <f t="shared" si="2115"/>
        <v>1784.9076404295638</v>
      </c>
      <c r="JM680" s="15">
        <f t="shared" si="2115"/>
        <v>8890.9076404295647</v>
      </c>
      <c r="JN680" s="21"/>
      <c r="JO680" s="19">
        <f>INDEX([1]Input!$1:$1048576,JO$93,$C680*2+6)</f>
        <v>5995.5</v>
      </c>
      <c r="JP680" s="19">
        <f>INDEX([1]Input!$1:$1048576,JP$93,$C680*2+6)</f>
        <v>1716.3055838443925</v>
      </c>
      <c r="JQ680" s="39">
        <f t="shared" si="2124"/>
        <v>1665.8326065548918</v>
      </c>
      <c r="JR680" s="39">
        <f t="shared" si="2125"/>
        <v>2613.3618096007158</v>
      </c>
      <c r="JS680" s="39">
        <f t="shared" si="2126"/>
        <v>38.494672908899872</v>
      </c>
      <c r="JT680" s="39">
        <f t="shared" si="2116"/>
        <v>26.298605430101617</v>
      </c>
      <c r="JU680" s="385">
        <f>(JQ680*JM680-INDEX([1]Input!$1:$1048576,[1]Input!A$18,$C680*2+6)*JL680*INDEX([1]Input!$1:$1048576,[1]Input!A$19,$C680*2+6))/1000000</f>
        <v>14.810763849295585</v>
      </c>
      <c r="JV680" s="39">
        <f t="shared" si="2094"/>
        <v>-15.597191671906165</v>
      </c>
      <c r="JW680" s="1">
        <f t="shared" si="2129"/>
        <v>-0.51293128408554545</v>
      </c>
      <c r="JX680" s="19">
        <f t="shared" si="2130"/>
        <v>14733.874646742213</v>
      </c>
      <c r="JZ680" s="341"/>
      <c r="KA680" s="60"/>
      <c r="KB680" s="469">
        <f t="shared" si="2117"/>
        <v>0</v>
      </c>
      <c r="KI680" s="472"/>
      <c r="KJ680" s="472"/>
      <c r="KK680" s="472"/>
      <c r="KN680" s="26">
        <f t="shared" si="2118"/>
        <v>6002</v>
      </c>
      <c r="KO680" s="789">
        <f t="shared" si="2095"/>
        <v>0.16340662131318462</v>
      </c>
      <c r="KP680" s="790">
        <f t="shared" si="2096"/>
        <v>934.66785252018758</v>
      </c>
      <c r="KQ680" s="790">
        <f t="shared" si="2097"/>
        <v>732.21890315518158</v>
      </c>
      <c r="KR680" s="26">
        <f t="shared" si="2098"/>
        <v>2.8143115188182457</v>
      </c>
      <c r="KS680" s="26">
        <f t="shared" si="2099"/>
        <v>3.5924318428299276</v>
      </c>
      <c r="KT680" s="791">
        <f t="shared" si="2127"/>
        <v>2521.945896759994</v>
      </c>
      <c r="KU680" s="792">
        <f t="shared" si="2119"/>
        <v>11.487812785633306</v>
      </c>
    </row>
    <row r="681" spans="1:307" s="26" customFormat="1" ht="15" outlineLevel="1">
      <c r="A681" s="561">
        <f t="shared" si="2100"/>
        <v>6081</v>
      </c>
      <c r="B681" s="561">
        <f t="shared" si="2120"/>
        <v>81</v>
      </c>
      <c r="C681" s="561">
        <f t="shared" si="2121"/>
        <v>6</v>
      </c>
      <c r="D681" s="561" t="str">
        <f t="shared" si="2028"/>
        <v xml:space="preserve">-500 Trim BC, </v>
      </c>
      <c r="E681" s="475">
        <f>INDEX(Input!$1:$1048576,E$93,$C681*2+MIN($B681,2)+5)
+INDEX(Scenarios!E$121:E$199,MATCH($B681,Scenarios!$B$121:$B$199,0))</f>
        <v>1250.0000000000002</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0</v>
      </c>
      <c r="V681" s="478">
        <f>IFERROR(MAX(0,INDEX(Input!$1:$1048576,V$93,$C681*2+MIN($B681,2)+5)
+INDEX(Scenarios!V$121:V$199,MATCH($B681,Scenarios!$B$121:$B$199,0)),),"Market")</f>
        <v>1.8999999999999996E-2</v>
      </c>
      <c r="W681" s="863">
        <f>IFERROR(MAX(0,INDEX(Input!$1:$1048576,W$93,$C681*2+MIN($B681,2)+5)-0%),"Market")</f>
        <v>3.9E-2</v>
      </c>
      <c r="X681" s="476" t="str">
        <f>INDEX(Input!$1:$1048576,X$93,$C681*2+MIN($B681,2)+5)</f>
        <v>Y</v>
      </c>
      <c r="Y681" s="475">
        <f>INDEX(Input!$1:$1048576,Y$93,$C681*2+MIN($B681,2)+5)
++INDEX(Scenarios!Y$121:Y$199,MATCH($B681,Scenarios!$B$121:$B$199,0))</f>
        <v>2339.3275155115825</v>
      </c>
      <c r="Z681" s="477">
        <f>INDEX(Input!$1:$1048576,Z$93,$C681*2+MIN($B681,2)+5)
+INDEX(Scenarios!Z$121:Z$199,MATCH($B681,Scenarios!$B$121:$B$199,0))</f>
        <v>0</v>
      </c>
      <c r="AA681" s="475">
        <f>INDEX(Input!$1:$1048576,AA$93,$C681*2+MIN($B681,2)+5)</f>
        <v>0</v>
      </c>
      <c r="AB681" s="476">
        <f>INDEX(Input!$1:$1048576,AB$93,$C681*2+MIN($B681,2)+5)</f>
        <v>1</v>
      </c>
      <c r="AC681" s="475">
        <f>INDEX(Input!$1:$1048576,AC$93,$C681*2+MIN($B681,2)+5)
+INDEX(Scenarios!AC$121:AC$199,MATCH($B681,Scenarios!$B$121:$B$199,0))</f>
        <v>0</v>
      </c>
      <c r="AD681" s="476">
        <f>INDEX(Input!$1:$1048576,AD$93,$C681*2+MIN($B681,2)+5)</f>
        <v>0.35</v>
      </c>
      <c r="AE681" s="475">
        <f>INDEX(Input!$1:$1048576,AE$93,$C681*2+MIN($B681,2)+5)
+INDEX(Scenarios!AE$121:AE$199,MATCH($B681,Scenarios!$B$121:$B$199,0))</f>
        <v>0</v>
      </c>
      <c r="AF681" s="476">
        <f>INDEX(Input!$1:$1048576,AF$93,$C681*2+MIN($B681,2)+5)</f>
        <v>1</v>
      </c>
      <c r="AG681" s="475">
        <f>INDEX(Input!$1:$1048576,AG$93,$C681*2+MIN($B681,2)+5)
+INDEX(Scenarios!AG$121:AG$199,MATCH($B681,Scenarios!$B$121:$B$199,0))</f>
        <v>-500</v>
      </c>
      <c r="AH681" s="476">
        <f>INDEX(Input!$1:$1048576,AH$93,$C681*2+MIN($B681,2)+5)</f>
        <v>1</v>
      </c>
      <c r="AI681" s="475">
        <f>INDEX(Input!$1:$1048576,AI$93,$C681*2+MIN($B681,2)+5)
+INDEX(Scenarios!AI$121:AI$199,MATCH($B681,Scenarios!$B$121:$B$199,0))</f>
        <v>0</v>
      </c>
      <c r="AJ681" s="476">
        <f>INDEX(Input!$1:$1048576,AJ$93,$C681*2+MIN($B681,2)+5)</f>
        <v>0.35</v>
      </c>
      <c r="AK681" s="150">
        <f>ROUND(INDEX(Input!$1:$1048576,AK$93,$C680*2+MIN($B681,1)+5)+(Y681-VLOOKUP($C681*1000+1,$A:$HH,Y$92,FALSE)),0)</f>
        <v>5093</v>
      </c>
      <c r="AL681" s="150">
        <f>ROUND(INDEX(Input!$1:$1048576,AL$93,$C680*2+MIN($B681,1)+5)-(Y681-VLOOKUP($C681*1000+1,$A:$HH,Y$92,FALSE))/36,0)</f>
        <v>5217</v>
      </c>
      <c r="AM681" s="32" t="str">
        <f t="shared" si="2101"/>
        <v>std/std/std/std</v>
      </c>
      <c r="AN681" s="32" t="str">
        <f t="shared" si="2102"/>
        <v>$0 + 0/0/0/1.9/3.9</v>
      </c>
      <c r="AO681" s="32" t="str">
        <f t="shared" si="2103"/>
        <v>0/0/0/1.9/3.9</v>
      </c>
      <c r="AP681" s="32" t="str">
        <f t="shared" si="2074"/>
        <v>0/0.9/1.9/3.9</v>
      </c>
      <c r="AQ681" s="536">
        <f t="shared" si="2075"/>
        <v>0.34403359089866553</v>
      </c>
      <c r="AR681" s="32"/>
      <c r="AS681" s="302"/>
      <c r="AT681" s="3">
        <f t="shared" si="2122"/>
        <v>81</v>
      </c>
      <c r="AU681" s="41" t="s">
        <v>121</v>
      </c>
      <c r="AV681" s="41" t="s">
        <v>116</v>
      </c>
      <c r="AW681" s="41" t="str">
        <f>INDEX(Input!$1:$1048576,AW$93,$C681*2+6)</f>
        <v>Kia</v>
      </c>
      <c r="AX681" s="41" t="str">
        <f>INDEX(Input!$1:$1048576,AX$93,$C681*2+6)</f>
        <v>National</v>
      </c>
      <c r="AY681" s="41" t="str">
        <f>IF(LEN(D681)=0,"",INDEX(Input!$1:$1048576,AY$93,$C681*2+6))</f>
        <v>Compact Conventional/Sporty Car (43)</v>
      </c>
      <c r="AZ681" s="41" t="str">
        <f>INDEX(Input!$1:$1048576,AZ$93,$C681*2+6)</f>
        <v>Kia Forte</v>
      </c>
      <c r="BA681" s="3">
        <f>INDEX(Input!$1:$1048576,BA$93,$C681*2+6)</f>
        <v>2020</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19695</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2076"/>
        <v>1465.0000000000002</v>
      </c>
      <c r="CJ681" s="16" t="str">
        <f>INDEX(Input!$1:$1048576,CJ$93,$C681*2+6)</f>
        <v>N</v>
      </c>
      <c r="CK681" s="1" t="str">
        <f t="shared" si="2077"/>
        <v>Market</v>
      </c>
      <c r="CL681" s="1" t="str">
        <f t="shared" si="2078"/>
        <v>Market</v>
      </c>
      <c r="CM681" s="1" t="str">
        <f t="shared" si="2079"/>
        <v>Market</v>
      </c>
      <c r="CN681" s="1" t="str">
        <f t="shared" si="2080"/>
        <v>Market</v>
      </c>
      <c r="CO681" s="1" t="str">
        <f t="shared" si="2081"/>
        <v>Market</v>
      </c>
      <c r="CP681" s="304">
        <f t="shared" si="2082"/>
        <v>0</v>
      </c>
      <c r="CQ681" s="1">
        <f t="shared" si="2083"/>
        <v>0</v>
      </c>
      <c r="CR681" s="1">
        <f t="shared" si="2084"/>
        <v>0</v>
      </c>
      <c r="CS681" s="1">
        <f t="shared" si="2085"/>
        <v>0</v>
      </c>
      <c r="CT681" s="1">
        <f t="shared" si="2086"/>
        <v>1.8999999999999996E-2</v>
      </c>
      <c r="CU681" s="1">
        <f t="shared" si="2087"/>
        <v>3.9E-2</v>
      </c>
      <c r="CV681" s="304">
        <f t="shared" si="2140"/>
        <v>2339.3275155115825</v>
      </c>
      <c r="CW681" s="20" t="s">
        <v>122</v>
      </c>
      <c r="CX681" s="20" t="s">
        <v>122</v>
      </c>
      <c r="CY681" s="20" t="s">
        <v>122</v>
      </c>
      <c r="CZ681" s="20" t="s">
        <v>122</v>
      </c>
      <c r="DA681" s="20" t="s">
        <v>122</v>
      </c>
      <c r="DB681" s="503">
        <f t="shared" si="2141"/>
        <v>-500</v>
      </c>
      <c r="DC681" s="127">
        <v>0</v>
      </c>
      <c r="DD681" s="127">
        <v>0</v>
      </c>
      <c r="DE681" s="127">
        <v>0</v>
      </c>
      <c r="DF681" s="127">
        <v>0</v>
      </c>
      <c r="DG681" s="127">
        <v>0</v>
      </c>
      <c r="DH681" s="127">
        <v>0</v>
      </c>
      <c r="DI681" s="127">
        <v>0</v>
      </c>
      <c r="DJ681" s="127">
        <v>0</v>
      </c>
      <c r="DK681" s="127">
        <v>0</v>
      </c>
      <c r="DL681" s="127">
        <v>0</v>
      </c>
      <c r="DM681" s="304">
        <f>INDEX(Input!$1:$1048576,DM$93,$C681*2+6)</f>
        <v>20731.578947368424</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t="str">
        <f t="shared" ref="HJ681:HK681" si="2145">HJ680</f>
        <v>On</v>
      </c>
      <c r="HK681" s="1" t="str">
        <f t="shared" si="2145"/>
        <v>On</v>
      </c>
      <c r="HL681" s="16"/>
      <c r="HM681" s="639">
        <f t="shared" si="2105"/>
        <v>4.9686942767030826E-2</v>
      </c>
      <c r="HN681" s="639">
        <f t="shared" si="2105"/>
        <v>2.6112822013589915E-3</v>
      </c>
      <c r="HO681" s="639">
        <f t="shared" si="2105"/>
        <v>3.166115353075552E-2</v>
      </c>
      <c r="HP681" s="644">
        <f t="shared" ref="HP681:ID696" si="2146">HP181+HP281+HP381+HP481+HP581</f>
        <v>-33.685440021988988</v>
      </c>
      <c r="HQ681" s="644">
        <f t="shared" si="2146"/>
        <v>-1.5789664135746335</v>
      </c>
      <c r="HR681" s="644">
        <f t="shared" si="2146"/>
        <v>-89.880923690614821</v>
      </c>
      <c r="HS681" s="644">
        <f t="shared" si="2146"/>
        <v>16.278944219327276</v>
      </c>
      <c r="HT681" s="644">
        <f t="shared" si="2146"/>
        <v>-44.591472449261396</v>
      </c>
      <c r="HU681" s="644">
        <f t="shared" si="2146"/>
        <v>-61.954806828687765</v>
      </c>
      <c r="HV681" s="644">
        <f t="shared" si="2146"/>
        <v>0</v>
      </c>
      <c r="HW681" s="644">
        <f t="shared" si="2146"/>
        <v>0</v>
      </c>
      <c r="HX681" s="644">
        <f t="shared" si="2146"/>
        <v>0</v>
      </c>
      <c r="HY681" s="644">
        <f t="shared" si="2146"/>
        <v>2388</v>
      </c>
      <c r="HZ681" s="644">
        <f t="shared" si="2146"/>
        <v>2518</v>
      </c>
      <c r="IA681" s="644">
        <f t="shared" si="2146"/>
        <v>2200</v>
      </c>
      <c r="IB681" s="644">
        <f t="shared" si="2146"/>
        <v>2370.5935041973385</v>
      </c>
      <c r="IC681" s="644">
        <f t="shared" si="2146"/>
        <v>2471.8295611371636</v>
      </c>
      <c r="ID681" s="644">
        <f t="shared" si="2146"/>
        <v>2048.1642694806974</v>
      </c>
      <c r="IE681" s="20">
        <f t="shared" si="2106"/>
        <v>0.34403359089866553</v>
      </c>
      <c r="IF681" s="20">
        <f t="shared" si="2090"/>
        <v>0.35872552527533652</v>
      </c>
      <c r="IG681" s="20">
        <f t="shared" si="2091"/>
        <v>0.29724088382599789</v>
      </c>
      <c r="IH681" s="21"/>
      <c r="II681" s="19"/>
      <c r="IJ681" s="19"/>
      <c r="IK681" s="19"/>
      <c r="IL681" s="19">
        <f t="shared" si="2107"/>
        <v>-100</v>
      </c>
      <c r="IM681" s="19">
        <f t="shared" si="2107"/>
        <v>-99.978226167523644</v>
      </c>
      <c r="IN681" s="19">
        <f t="shared" si="2107"/>
        <v>-215.45145603725814</v>
      </c>
      <c r="IO681" s="39"/>
      <c r="IP681" s="39"/>
      <c r="IQ681" s="39"/>
      <c r="IR681" s="39"/>
      <c r="IS681" s="39"/>
      <c r="IT681" s="39"/>
      <c r="IU681" s="39"/>
      <c r="IV681" s="39"/>
      <c r="IW681" s="39"/>
      <c r="IX681" s="19">
        <f t="shared" si="2108"/>
        <v>1600</v>
      </c>
      <c r="IY681" s="19">
        <f t="shared" si="2108"/>
        <v>2503.549291639752</v>
      </c>
      <c r="IZ681" s="19">
        <f t="shared" si="2108"/>
        <v>5888.3563810918577</v>
      </c>
      <c r="JA681" s="19">
        <f t="shared" si="2109"/>
        <v>1500</v>
      </c>
      <c r="JB681" s="19">
        <f t="shared" si="2109"/>
        <v>2403.5710654722284</v>
      </c>
      <c r="JC681" s="19">
        <f t="shared" si="2109"/>
        <v>5672.9049250545995</v>
      </c>
      <c r="JD681" s="19">
        <f t="shared" si="2110"/>
        <v>3064.4919531302094</v>
      </c>
      <c r="JE681" s="21"/>
      <c r="JF681" s="1">
        <f t="shared" si="2111"/>
        <v>6.8844376252282569E-2</v>
      </c>
      <c r="JG681" s="15">
        <f t="shared" si="2112"/>
        <v>7106</v>
      </c>
      <c r="JH681" s="1">
        <f t="shared" si="2113"/>
        <v>-1.7611220113450385E-2</v>
      </c>
      <c r="JI681" s="1">
        <f t="shared" si="2114"/>
        <v>-1.2702974255364746E-2</v>
      </c>
      <c r="JJ681" s="1">
        <f t="shared" si="2092"/>
        <v>0</v>
      </c>
      <c r="JK681" s="1">
        <f t="shared" si="2093"/>
        <v>-3.0314194368815134E-2</v>
      </c>
      <c r="JL681" s="15">
        <f t="shared" si="2115"/>
        <v>-215.41266518480035</v>
      </c>
      <c r="JM681" s="15">
        <f t="shared" si="2115"/>
        <v>6890.5873348151999</v>
      </c>
      <c r="JN681" s="21"/>
      <c r="JO681" s="19">
        <f>INDEX([1]Input!$1:$1048576,JO$93,$C681*2+6)</f>
        <v>5995.5</v>
      </c>
      <c r="JP681" s="19">
        <f>INDEX([1]Input!$1:$1048576,JP$93,$C681*2+6)</f>
        <v>1716.3055838443925</v>
      </c>
      <c r="JQ681" s="39">
        <f t="shared" si="2124"/>
        <v>2931.0080468697906</v>
      </c>
      <c r="JR681" s="39">
        <f t="shared" si="2125"/>
        <v>1348.1863692858169</v>
      </c>
      <c r="JS681" s="39">
        <f t="shared" si="2126"/>
        <v>21.116149439882115</v>
      </c>
      <c r="JT681" s="39">
        <f t="shared" si="2116"/>
        <v>8.9200819610838611</v>
      </c>
      <c r="JU681" s="385">
        <f>(JQ681*JM681-INDEX([1]Input!$1:$1048576,[1]Input!A$18,$C681*2+6)*JL681*INDEX([1]Input!$1:$1048576,[1]Input!A$19,$C681*2+6))/1000000</f>
        <v>20.196366926002415</v>
      </c>
      <c r="JV681" s="39">
        <f t="shared" si="2094"/>
        <v>-10.211588595199334</v>
      </c>
      <c r="JW681" s="1">
        <f t="shared" si="2129"/>
        <v>-0.33581963733403158</v>
      </c>
      <c r="JX681" s="19">
        <f t="shared" si="2130"/>
        <v>-41409.273467887382</v>
      </c>
      <c r="JZ681" s="341"/>
      <c r="KA681" s="60"/>
      <c r="KB681" s="469">
        <f t="shared" si="2117"/>
        <v>0</v>
      </c>
      <c r="KI681" s="472"/>
      <c r="KJ681" s="472"/>
      <c r="KK681" s="472"/>
      <c r="KN681" s="26">
        <f t="shared" si="2118"/>
        <v>6002</v>
      </c>
      <c r="KO681" s="789">
        <f t="shared" si="2095"/>
        <v>-9.8342345430836864E-2</v>
      </c>
      <c r="KP681" s="790">
        <f t="shared" si="2096"/>
        <v>-492.09156500549807</v>
      </c>
      <c r="KQ681" s="790">
        <f t="shared" si="2097"/>
        <v>-532.9565371597173</v>
      </c>
      <c r="KR681" s="26">
        <f t="shared" si="2098"/>
        <v>3.2170252118442835</v>
      </c>
      <c r="KS681" s="26">
        <f t="shared" si="2099"/>
        <v>2.9703566065541662</v>
      </c>
      <c r="KT681" s="791">
        <f t="shared" si="2127"/>
        <v>2521.945896759994</v>
      </c>
      <c r="KU681" s="792">
        <f t="shared" si="2119"/>
        <v>11.132976570776069</v>
      </c>
    </row>
    <row r="682" spans="1:307" s="26" customFormat="1" ht="15" outlineLevel="1">
      <c r="A682" s="561">
        <f t="shared" si="2100"/>
        <v>6082</v>
      </c>
      <c r="B682" s="561">
        <f t="shared" si="2120"/>
        <v>82</v>
      </c>
      <c r="C682" s="561">
        <f t="shared" si="2121"/>
        <v>6</v>
      </c>
      <c r="D682" s="561" t="str">
        <f t="shared" si="2028"/>
        <v xml:space="preserve">-500 BC, </v>
      </c>
      <c r="E682" s="475">
        <f>INDEX(Input!$1:$1048576,E$93,$C682*2+MIN($B682,2)+5)
+INDEX(Scenarios!E$121:E$199,MATCH($B682,Scenarios!$B$121:$B$199,0))</f>
        <v>1250.0000000000002</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0</v>
      </c>
      <c r="V682" s="478">
        <f>IFERROR(MAX(0,INDEX(Input!$1:$1048576,V$93,$C682*2+MIN($B682,2)+5)
+INDEX(Scenarios!V$121:V$199,MATCH($B682,Scenarios!$B$121:$B$199,0)),),"Market")</f>
        <v>1.8999999999999996E-2</v>
      </c>
      <c r="W682" s="863">
        <f>IFERROR(MAX(0,INDEX(Input!$1:$1048576,W$93,$C682*2+MIN($B682,2)+5)-0%),"Market")</f>
        <v>3.9E-2</v>
      </c>
      <c r="X682" s="476" t="str">
        <f>INDEX(Input!$1:$1048576,X$93,$C682*2+MIN($B682,2)+5)</f>
        <v>Y</v>
      </c>
      <c r="Y682" s="475">
        <f>INDEX(Input!$1:$1048576,Y$93,$C682*2+MIN($B682,2)+5)
++INDEX(Scenarios!Y$121:Y$199,MATCH($B682,Scenarios!$B$121:$B$199,0))</f>
        <v>2339.3275155115825</v>
      </c>
      <c r="Z682" s="477">
        <f>INDEX(Input!$1:$1048576,Z$93,$C682*2+MIN($B682,2)+5)
+INDEX(Scenarios!Z$121:Z$199,MATCH($B682,Scenarios!$B$121:$B$199,0))</f>
        <v>-500</v>
      </c>
      <c r="AA682" s="475">
        <f>INDEX(Input!$1:$1048576,AA$93,$C682*2+MIN($B682,2)+5)</f>
        <v>0</v>
      </c>
      <c r="AB682" s="476">
        <f>INDEX(Input!$1:$1048576,AB$93,$C682*2+MIN($B682,2)+5)</f>
        <v>1</v>
      </c>
      <c r="AC682" s="475">
        <f>INDEX(Input!$1:$1048576,AC$93,$C682*2+MIN($B682,2)+5)
+INDEX(Scenarios!AC$121:AC$199,MATCH($B682,Scenarios!$B$121:$B$199,0))</f>
        <v>0</v>
      </c>
      <c r="AD682" s="476">
        <f>INDEX(Input!$1:$1048576,AD$93,$C682*2+MIN($B682,2)+5)</f>
        <v>0.35</v>
      </c>
      <c r="AE682" s="475">
        <f>INDEX(Input!$1:$1048576,AE$93,$C682*2+MIN($B682,2)+5)
+INDEX(Scenarios!AE$121:AE$199,MATCH($B682,Scenarios!$B$121:$B$199,0))</f>
        <v>0</v>
      </c>
      <c r="AF682" s="476">
        <f>INDEX(Input!$1:$1048576,AF$93,$C682*2+MIN($B682,2)+5)</f>
        <v>1</v>
      </c>
      <c r="AG682" s="475">
        <f>INDEX(Input!$1:$1048576,AG$93,$C682*2+MIN($B682,2)+5)</f>
        <v>0</v>
      </c>
      <c r="AH682" s="476">
        <f>INDEX(Input!$1:$1048576,AH$93,$C682*2+MIN($B682,2)+5)</f>
        <v>1</v>
      </c>
      <c r="AI682" s="475">
        <f>INDEX(Input!$1:$1048576,AI$93,$C682*2+MIN($B682,2)+5)</f>
        <v>0</v>
      </c>
      <c r="AJ682" s="476">
        <f>INDEX(Input!$1:$1048576,AJ$93,$C682*2+MIN($B682,2)+5)</f>
        <v>0.35</v>
      </c>
      <c r="AK682" s="150">
        <f>ROUND(INDEX(Input!$1:$1048576,AK$93,$C681*2+MIN($B682,1)+5)+(Y682-VLOOKUP($C682*1000+1,$A:$HH,Y$92,FALSE)),0)</f>
        <v>5093</v>
      </c>
      <c r="AL682" s="150">
        <f>ROUND(INDEX(Input!$1:$1048576,AL$93,$C681*2+MIN($B682,1)+5)-(Y682-VLOOKUP($C682*1000+1,$A:$HH,Y$92,FALSE))/36,0)</f>
        <v>5217</v>
      </c>
      <c r="AM682" s="32" t="str">
        <f t="shared" si="2101"/>
        <v>std/std/std/std</v>
      </c>
      <c r="AN682" s="32" t="str">
        <f t="shared" si="2102"/>
        <v>$0 + 0/0/0/1.9/3.9</v>
      </c>
      <c r="AO682" s="32" t="str">
        <f t="shared" si="2103"/>
        <v>0/0/0/1.9/3.9</v>
      </c>
      <c r="AP682" s="32" t="str">
        <f t="shared" si="2074"/>
        <v>0/0.9/1.9/3.9</v>
      </c>
      <c r="AQ682" s="536">
        <f t="shared" si="2075"/>
        <v>0.34403359089866553</v>
      </c>
      <c r="AR682" s="32"/>
      <c r="AS682" s="302"/>
      <c r="AT682" s="3">
        <f t="shared" si="2122"/>
        <v>82</v>
      </c>
      <c r="AU682" s="41" t="s">
        <v>121</v>
      </c>
      <c r="AV682" s="41" t="s">
        <v>116</v>
      </c>
      <c r="AW682" s="41" t="str">
        <f>INDEX(Input!$1:$1048576,AW$93,$C682*2+6)</f>
        <v>Kia</v>
      </c>
      <c r="AX682" s="41" t="str">
        <f>INDEX(Input!$1:$1048576,AX$93,$C682*2+6)</f>
        <v>National</v>
      </c>
      <c r="AY682" s="41" t="str">
        <f>IF(LEN(D682)=0,"",INDEX(Input!$1:$1048576,AY$93,$C682*2+6))</f>
        <v>Compact Conventional/Sporty Car (43)</v>
      </c>
      <c r="AZ682" s="41" t="str">
        <f>INDEX(Input!$1:$1048576,AZ$93,$C682*2+6)</f>
        <v>Kia Forte</v>
      </c>
      <c r="BA682" s="3">
        <f>INDEX(Input!$1:$1048576,BA$93,$C682*2+6)</f>
        <v>2020</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19695</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2076"/>
        <v>1465.0000000000002</v>
      </c>
      <c r="CJ682" s="16" t="str">
        <f>INDEX(Input!$1:$1048576,CJ$93,$C682*2+6)</f>
        <v>N</v>
      </c>
      <c r="CK682" s="1" t="str">
        <f t="shared" si="2077"/>
        <v>Market</v>
      </c>
      <c r="CL682" s="1" t="str">
        <f t="shared" si="2078"/>
        <v>Market</v>
      </c>
      <c r="CM682" s="1" t="str">
        <f t="shared" si="2079"/>
        <v>Market</v>
      </c>
      <c r="CN682" s="1" t="str">
        <f t="shared" si="2080"/>
        <v>Market</v>
      </c>
      <c r="CO682" s="1" t="str">
        <f t="shared" si="2081"/>
        <v>Market</v>
      </c>
      <c r="CP682" s="304">
        <f t="shared" si="2082"/>
        <v>0</v>
      </c>
      <c r="CQ682" s="1">
        <f t="shared" si="2083"/>
        <v>0</v>
      </c>
      <c r="CR682" s="1">
        <f t="shared" si="2084"/>
        <v>0</v>
      </c>
      <c r="CS682" s="1">
        <f t="shared" si="2085"/>
        <v>0</v>
      </c>
      <c r="CT682" s="1">
        <f t="shared" si="2086"/>
        <v>1.8999999999999996E-2</v>
      </c>
      <c r="CU682" s="1">
        <f t="shared" si="2087"/>
        <v>3.9E-2</v>
      </c>
      <c r="CV682" s="304">
        <f t="shared" si="2140"/>
        <v>2339.3275155115825</v>
      </c>
      <c r="CW682" s="20" t="s">
        <v>122</v>
      </c>
      <c r="CX682" s="20" t="s">
        <v>122</v>
      </c>
      <c r="CY682" s="20" t="s">
        <v>122</v>
      </c>
      <c r="CZ682" s="20" t="s">
        <v>122</v>
      </c>
      <c r="DA682" s="20" t="s">
        <v>122</v>
      </c>
      <c r="DB682" s="503">
        <f t="shared" si="2141"/>
        <v>-500</v>
      </c>
      <c r="DC682" s="127">
        <v>0</v>
      </c>
      <c r="DD682" s="127">
        <v>0</v>
      </c>
      <c r="DE682" s="127">
        <v>0</v>
      </c>
      <c r="DF682" s="127">
        <v>0</v>
      </c>
      <c r="DG682" s="127">
        <v>0</v>
      </c>
      <c r="DH682" s="127">
        <v>0</v>
      </c>
      <c r="DI682" s="127">
        <v>0</v>
      </c>
      <c r="DJ682" s="127">
        <v>0</v>
      </c>
      <c r="DK682" s="127">
        <v>0</v>
      </c>
      <c r="DL682" s="127">
        <v>0</v>
      </c>
      <c r="DM682" s="304">
        <f>INDEX(Input!$1:$1048576,DM$93,$C682*2+6)</f>
        <v>20731.578947368424</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ref="HM682:HO697" si="2147">(HM182*HY182+HM282*HY282+HM382*HY382+HM482*HY482+HM582*HY582)/HY682</f>
        <v>4.9686942767030826E-2</v>
      </c>
      <c r="HN682" s="639">
        <f t="shared" si="2147"/>
        <v>2.6112822013589915E-3</v>
      </c>
      <c r="HO682" s="639">
        <f t="shared" si="2147"/>
        <v>3.166115353075552E-2</v>
      </c>
      <c r="HP682" s="644">
        <f t="shared" si="2146"/>
        <v>-33.685440021988988</v>
      </c>
      <c r="HQ682" s="644">
        <f t="shared" si="2146"/>
        <v>-1.5789664135746335</v>
      </c>
      <c r="HR682" s="644">
        <f t="shared" si="2146"/>
        <v>-89.880923690614821</v>
      </c>
      <c r="HS682" s="644">
        <f t="shared" si="2146"/>
        <v>16.278944219327276</v>
      </c>
      <c r="HT682" s="644">
        <f t="shared" si="2146"/>
        <v>-44.591472449261396</v>
      </c>
      <c r="HU682" s="644">
        <f t="shared" si="2146"/>
        <v>-61.954806828687765</v>
      </c>
      <c r="HV682" s="644">
        <f t="shared" si="2146"/>
        <v>0</v>
      </c>
      <c r="HW682" s="644">
        <f t="shared" si="2146"/>
        <v>0</v>
      </c>
      <c r="HX682" s="644">
        <f t="shared" si="2146"/>
        <v>0</v>
      </c>
      <c r="HY682" s="644">
        <f t="shared" si="2146"/>
        <v>2388</v>
      </c>
      <c r="HZ682" s="644">
        <f t="shared" si="2146"/>
        <v>2518</v>
      </c>
      <c r="IA682" s="644">
        <f t="shared" si="2146"/>
        <v>2200</v>
      </c>
      <c r="IB682" s="644">
        <f t="shared" si="2146"/>
        <v>2370.5935041973385</v>
      </c>
      <c r="IC682" s="644">
        <f t="shared" si="2146"/>
        <v>2471.8295611371636</v>
      </c>
      <c r="ID682" s="644">
        <f t="shared" si="2146"/>
        <v>2048.1642694806974</v>
      </c>
      <c r="IE682" s="20">
        <f t="shared" si="2106"/>
        <v>0.34403359089866553</v>
      </c>
      <c r="IF682" s="20">
        <f t="shared" si="2090"/>
        <v>0.35872552527533652</v>
      </c>
      <c r="IG682" s="20">
        <f t="shared" si="2091"/>
        <v>0.29724088382599789</v>
      </c>
      <c r="IH682" s="21"/>
      <c r="II682" s="19"/>
      <c r="IJ682" s="19"/>
      <c r="IK682" s="19"/>
      <c r="IL682" s="19">
        <f t="shared" si="2107"/>
        <v>-100</v>
      </c>
      <c r="IM682" s="19">
        <f t="shared" si="2107"/>
        <v>-99.978226167523644</v>
      </c>
      <c r="IN682" s="19">
        <f t="shared" si="2107"/>
        <v>-215.45145603725814</v>
      </c>
      <c r="IO682" s="39"/>
      <c r="IP682" s="39"/>
      <c r="IQ682" s="39"/>
      <c r="IR682" s="39"/>
      <c r="IS682" s="39"/>
      <c r="IT682" s="39"/>
      <c r="IU682" s="39"/>
      <c r="IV682" s="39"/>
      <c r="IW682" s="39"/>
      <c r="IX682" s="19">
        <f t="shared" ref="IX682:IZ697" si="2148">(IX182*HY182+IX282*HY282+IX382*HY382+IX482*HY482+IX582*HY582)/HY682</f>
        <v>1600</v>
      </c>
      <c r="IY682" s="19">
        <f t="shared" si="2148"/>
        <v>2503.549291639752</v>
      </c>
      <c r="IZ682" s="19">
        <f t="shared" si="2148"/>
        <v>5888.3563810918577</v>
      </c>
      <c r="JA682" s="19">
        <f t="shared" ref="JA682:JC697" si="2149">IFERROR((JA182*IB182+JA282*IB282+JA382*IB382+JA482*IB482+JA582*IB582)/IB682,0)</f>
        <v>1500</v>
      </c>
      <c r="JB682" s="19">
        <f t="shared" si="2149"/>
        <v>2403.5710654722284</v>
      </c>
      <c r="JC682" s="19">
        <f t="shared" si="2149"/>
        <v>5672.9049250545995</v>
      </c>
      <c r="JD682" s="19">
        <f t="shared" si="2110"/>
        <v>3064.4919531302094</v>
      </c>
      <c r="JE682" s="21"/>
      <c r="JF682" s="1">
        <f t="shared" si="2111"/>
        <v>6.8844376252282569E-2</v>
      </c>
      <c r="JG682" s="15">
        <f t="shared" si="2112"/>
        <v>7106</v>
      </c>
      <c r="JH682" s="1">
        <f t="shared" si="2113"/>
        <v>-1.7611220113450385E-2</v>
      </c>
      <c r="JI682" s="1">
        <f t="shared" si="2114"/>
        <v>-1.2702974255364746E-2</v>
      </c>
      <c r="JJ682" s="1">
        <f t="shared" si="2092"/>
        <v>0</v>
      </c>
      <c r="JK682" s="1">
        <f t="shared" si="2093"/>
        <v>-3.0314194368815134E-2</v>
      </c>
      <c r="JL682" s="15">
        <f t="shared" ref="JL682:JM697" si="2150">JL182+JL282+JL382+JL482+JL582</f>
        <v>-215.41266518480035</v>
      </c>
      <c r="JM682" s="15">
        <f t="shared" si="2150"/>
        <v>6890.5873348151999</v>
      </c>
      <c r="JN682" s="21"/>
      <c r="JO682" s="19">
        <f>INDEX([1]Input!$1:$1048576,JO$93,$C682*2+6)</f>
        <v>5995.5</v>
      </c>
      <c r="JP682" s="19">
        <f>INDEX([1]Input!$1:$1048576,JP$93,$C682*2+6)</f>
        <v>1716.3055838443925</v>
      </c>
      <c r="JQ682" s="39">
        <f t="shared" si="2124"/>
        <v>2931.0080468697906</v>
      </c>
      <c r="JR682" s="39">
        <f t="shared" si="2125"/>
        <v>1348.1863692858169</v>
      </c>
      <c r="JS682" s="39">
        <f t="shared" si="2126"/>
        <v>21.116149439882115</v>
      </c>
      <c r="JT682" s="39">
        <f t="shared" si="2116"/>
        <v>8.9200819610838611</v>
      </c>
      <c r="JU682" s="385">
        <f>(JQ682*JM682-INDEX([1]Input!$1:$1048576,[1]Input!A$18,$C682*2+6)*JL682*INDEX([1]Input!$1:$1048576,[1]Input!A$19,$C682*2+6))/1000000</f>
        <v>20.196366926002415</v>
      </c>
      <c r="JV682" s="39">
        <f t="shared" si="2094"/>
        <v>-10.211588595199334</v>
      </c>
      <c r="JW682" s="1">
        <f t="shared" si="2129"/>
        <v>-0.33581963733403158</v>
      </c>
      <c r="JX682" s="19">
        <f t="shared" si="2130"/>
        <v>-41409.273467887382</v>
      </c>
      <c r="JZ682" s="341"/>
      <c r="KA682" s="60"/>
      <c r="KB682" s="469">
        <f t="shared" si="2117"/>
        <v>0</v>
      </c>
      <c r="KI682" s="472"/>
      <c r="KJ682" s="472"/>
      <c r="KK682" s="472"/>
      <c r="KN682" s="26">
        <f t="shared" si="2118"/>
        <v>6002</v>
      </c>
      <c r="KO682" s="789">
        <f t="shared" si="2095"/>
        <v>-9.8342345430836864E-2</v>
      </c>
      <c r="KP682" s="790">
        <f t="shared" si="2096"/>
        <v>-492.09156500549807</v>
      </c>
      <c r="KQ682" s="790">
        <f t="shared" si="2097"/>
        <v>-532.9565371597173</v>
      </c>
      <c r="KR682" s="26">
        <f t="shared" si="2098"/>
        <v>3.2170252118442835</v>
      </c>
      <c r="KS682" s="26">
        <f t="shared" si="2099"/>
        <v>2.9703566065541662</v>
      </c>
      <c r="KT682" s="791">
        <f t="shared" si="2127"/>
        <v>2521.945896759994</v>
      </c>
      <c r="KU682" s="792">
        <f t="shared" si="2119"/>
        <v>11.13297757077607</v>
      </c>
    </row>
    <row r="683" spans="1:307" s="26" customFormat="1" ht="15" outlineLevel="1">
      <c r="A683" s="561">
        <f t="shared" si="2100"/>
        <v>6083</v>
      </c>
      <c r="B683" s="561">
        <f t="shared" si="2120"/>
        <v>83</v>
      </c>
      <c r="C683" s="561">
        <f t="shared" si="2121"/>
        <v>6</v>
      </c>
      <c r="D683" s="561" t="str">
        <f t="shared" si="2028"/>
        <v xml:space="preserve">-1000 Event (RBC), </v>
      </c>
      <c r="E683" s="475">
        <f>INDEX(Input!$1:$1048576,E$93,$C683*2+MIN($B683,2)+5)
+INDEX(Scenarios!E$121:E$199,MATCH($B683,Scenarios!$B$121:$B$199,0))</f>
        <v>1250.0000000000002</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0</v>
      </c>
      <c r="V683" s="478">
        <f>IFERROR(MAX(0,INDEX(Input!$1:$1048576,V$93,$C683*2+MIN($B683,2)+5)
+INDEX(Scenarios!V$121:V$199,MATCH($B683,Scenarios!$B$121:$B$199,0)),),"Market")</f>
        <v>1.8999999999999996E-2</v>
      </c>
      <c r="W683" s="863">
        <f>IFERROR(MAX(0,INDEX(Input!$1:$1048576,W$93,$C683*2+MIN($B683,2)+5)-0%),"Market")</f>
        <v>3.9E-2</v>
      </c>
      <c r="X683" s="476" t="str">
        <f>INDEX(Input!$1:$1048576,X$93,$C683*2+MIN($B683,2)+5)</f>
        <v>Y</v>
      </c>
      <c r="Y683" s="475">
        <f>INDEX(Input!$1:$1048576,Y$93,$C683*2+MIN($B683,2)+5)
++INDEX(Scenarios!Y$121:Y$199,MATCH($B683,Scenarios!$B$121:$B$199,0))</f>
        <v>2339.3275155115825</v>
      </c>
      <c r="Z683" s="477">
        <f>INDEX(Input!$1:$1048576,Z$93,$C683*2+MIN($B683,2)+5)
+INDEX(Scenarios!Z$121:Z$199,MATCH($B683,Scenarios!$B$121:$B$199,0))</f>
        <v>0</v>
      </c>
      <c r="AA683" s="475">
        <f>INDEX(Input!$1:$1048576,AA$93,$C683*2+MIN($B683,2)+5)</f>
        <v>0</v>
      </c>
      <c r="AB683" s="476">
        <f>INDEX(Input!$1:$1048576,AB$93,$C683*2+MIN($B683,2)+5)</f>
        <v>1</v>
      </c>
      <c r="AC683" s="475">
        <f>INDEX(Input!$1:$1048576,AC$93,$C683*2+MIN($B683,2)+5)
+INDEX(Scenarios!AC$121:AC$199,MATCH($B683,Scenarios!$B$121:$B$199,0))</f>
        <v>-1000</v>
      </c>
      <c r="AD683" s="476">
        <f>INDEX(Input!$1:$1048576,AD$93,$C683*2+MIN($B683,2)+5)</f>
        <v>0.35</v>
      </c>
      <c r="AE683" s="475">
        <f>INDEX(Input!$1:$1048576,AE$93,$C683*2+MIN($B683,2)+5)
+INDEX(Scenarios!AE$121:AE$199,MATCH($B683,Scenarios!$B$121:$B$199,0))</f>
        <v>0</v>
      </c>
      <c r="AF683" s="476">
        <f>INDEX(Input!$1:$1048576,AF$93,$C683*2+MIN($B683,2)+5)</f>
        <v>1</v>
      </c>
      <c r="AG683" s="475">
        <f>INDEX(Input!$1:$1048576,AG$93,$C683*2+MIN($B683,2)+5)</f>
        <v>0</v>
      </c>
      <c r="AH683" s="476">
        <f>INDEX(Input!$1:$1048576,AH$93,$C683*2+MIN($B683,2)+5)</f>
        <v>1</v>
      </c>
      <c r="AI683" s="475">
        <f>INDEX(Input!$1:$1048576,AI$93,$C683*2+MIN($B683,2)+5)</f>
        <v>0</v>
      </c>
      <c r="AJ683" s="476">
        <f>INDEX(Input!$1:$1048576,AJ$93,$C683*2+MIN($B683,2)+5)</f>
        <v>0.35</v>
      </c>
      <c r="AK683" s="150">
        <f>ROUND(INDEX(Input!$1:$1048576,AK$93,$C682*2+MIN($B683,1)+5)+(Y683-VLOOKUP($C683*1000+1,$A:$HH,Y$92,FALSE)),0)</f>
        <v>5093</v>
      </c>
      <c r="AL683" s="150">
        <f>ROUND(INDEX(Input!$1:$1048576,AL$93,$C682*2+MIN($B683,1)+5)-(Y683-VLOOKUP($C683*1000+1,$A:$HH,Y$92,FALSE))/36,0)</f>
        <v>5217</v>
      </c>
      <c r="AM683" s="32" t="str">
        <f t="shared" si="2101"/>
        <v>std/std/std/std</v>
      </c>
      <c r="AN683" s="32" t="str">
        <f t="shared" si="2102"/>
        <v>$0 + 0/0/0/1.9/3.9</v>
      </c>
      <c r="AO683" s="32" t="str">
        <f t="shared" si="2103"/>
        <v>0/0/0/1.9/3.9</v>
      </c>
      <c r="AP683" s="32" t="str">
        <f t="shared" si="2074"/>
        <v>0/0.9/1.9/3.9</v>
      </c>
      <c r="AQ683" s="536">
        <f t="shared" si="2075"/>
        <v>-349.66744044275686</v>
      </c>
      <c r="AR683" s="32"/>
      <c r="AS683" s="302"/>
      <c r="AT683" s="3">
        <f t="shared" si="2122"/>
        <v>83</v>
      </c>
      <c r="AU683" s="41" t="s">
        <v>121</v>
      </c>
      <c r="AV683" s="41" t="s">
        <v>116</v>
      </c>
      <c r="AW683" s="41" t="str">
        <f>INDEX(Input!$1:$1048576,AW$93,$C683*2+6)</f>
        <v>Kia</v>
      </c>
      <c r="AX683" s="41" t="str">
        <f>INDEX(Input!$1:$1048576,AX$93,$C683*2+6)</f>
        <v>National</v>
      </c>
      <c r="AY683" s="41" t="str">
        <f>IF(LEN(D683)=0,"",INDEX(Input!$1:$1048576,AY$93,$C683*2+6))</f>
        <v>Compact Conventional/Sporty Car (43)</v>
      </c>
      <c r="AZ683" s="41" t="str">
        <f>INDEX(Input!$1:$1048576,AZ$93,$C683*2+6)</f>
        <v>Kia Forte</v>
      </c>
      <c r="BA683" s="3">
        <f>INDEX(Input!$1:$1048576,BA$93,$C683*2+6)</f>
        <v>2020</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19695</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2076"/>
        <v>1115.0000000000002</v>
      </c>
      <c r="CJ683" s="16" t="str">
        <f>INDEX(Input!$1:$1048576,CJ$93,$C683*2+6)</f>
        <v>N</v>
      </c>
      <c r="CK683" s="1" t="str">
        <f t="shared" si="2077"/>
        <v>Market</v>
      </c>
      <c r="CL683" s="1" t="str">
        <f t="shared" si="2078"/>
        <v>Market</v>
      </c>
      <c r="CM683" s="1" t="str">
        <f t="shared" si="2079"/>
        <v>Market</v>
      </c>
      <c r="CN683" s="1" t="str">
        <f t="shared" si="2080"/>
        <v>Market</v>
      </c>
      <c r="CO683" s="1" t="str">
        <f t="shared" si="2081"/>
        <v>Market</v>
      </c>
      <c r="CP683" s="304">
        <f t="shared" si="2082"/>
        <v>-350</v>
      </c>
      <c r="CQ683" s="1">
        <f t="shared" si="2083"/>
        <v>0</v>
      </c>
      <c r="CR683" s="1">
        <f t="shared" si="2084"/>
        <v>0</v>
      </c>
      <c r="CS683" s="1">
        <f t="shared" si="2085"/>
        <v>0</v>
      </c>
      <c r="CT683" s="1">
        <f t="shared" si="2086"/>
        <v>1.8999999999999996E-2</v>
      </c>
      <c r="CU683" s="1">
        <f t="shared" si="2087"/>
        <v>3.9E-2</v>
      </c>
      <c r="CV683" s="304">
        <f t="shared" si="2140"/>
        <v>2339.3275155115825</v>
      </c>
      <c r="CW683" s="20" t="s">
        <v>122</v>
      </c>
      <c r="CX683" s="20" t="s">
        <v>122</v>
      </c>
      <c r="CY683" s="20" t="s">
        <v>122</v>
      </c>
      <c r="CZ683" s="20" t="s">
        <v>122</v>
      </c>
      <c r="DA683" s="20" t="s">
        <v>122</v>
      </c>
      <c r="DB683" s="503">
        <f t="shared" si="2141"/>
        <v>0</v>
      </c>
      <c r="DC683" s="127">
        <v>0</v>
      </c>
      <c r="DD683" s="127">
        <v>0</v>
      </c>
      <c r="DE683" s="127">
        <v>0</v>
      </c>
      <c r="DF683" s="127">
        <v>0</v>
      </c>
      <c r="DG683" s="127">
        <v>0</v>
      </c>
      <c r="DH683" s="127">
        <v>0</v>
      </c>
      <c r="DI683" s="127">
        <v>0</v>
      </c>
      <c r="DJ683" s="127">
        <v>0</v>
      </c>
      <c r="DK683" s="127">
        <v>0</v>
      </c>
      <c r="DL683" s="127">
        <v>0</v>
      </c>
      <c r="DM683" s="304">
        <f>INDEX(Input!$1:$1048576,DM$93,$C683*2+6)</f>
        <v>20731.578947368424</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2147"/>
        <v>4.9686942767030826E-2</v>
      </c>
      <c r="HN683" s="639">
        <f t="shared" si="2147"/>
        <v>2.6112822013589915E-3</v>
      </c>
      <c r="HO683" s="639">
        <f t="shared" si="2147"/>
        <v>3.166115353075552E-2</v>
      </c>
      <c r="HP683" s="644">
        <f t="shared" si="2146"/>
        <v>18.423136250914801</v>
      </c>
      <c r="HQ683" s="644">
        <f t="shared" si="2146"/>
        <v>1.1756074352537005</v>
      </c>
      <c r="HR683" s="644">
        <f t="shared" si="2146"/>
        <v>44.640229868089868</v>
      </c>
      <c r="HS683" s="644">
        <f t="shared" si="2146"/>
        <v>-8.1395286579583388</v>
      </c>
      <c r="HT683" s="644">
        <f t="shared" si="2146"/>
        <v>22.301869333860914</v>
      </c>
      <c r="HU683" s="644">
        <f t="shared" si="2146"/>
        <v>27.189979294358317</v>
      </c>
      <c r="HV683" s="644">
        <f t="shared" si="2146"/>
        <v>0</v>
      </c>
      <c r="HW683" s="644">
        <f t="shared" si="2146"/>
        <v>0</v>
      </c>
      <c r="HX683" s="644">
        <f t="shared" si="2146"/>
        <v>0</v>
      </c>
      <c r="HY683" s="644">
        <f t="shared" si="2146"/>
        <v>2388</v>
      </c>
      <c r="HZ683" s="644">
        <f t="shared" si="2146"/>
        <v>2518</v>
      </c>
      <c r="IA683" s="644">
        <f t="shared" si="2146"/>
        <v>2200</v>
      </c>
      <c r="IB683" s="644">
        <f t="shared" si="2146"/>
        <v>2398.2836075929563</v>
      </c>
      <c r="IC683" s="644">
        <f t="shared" si="2146"/>
        <v>2541.4774767691147</v>
      </c>
      <c r="ID683" s="644">
        <f t="shared" si="2146"/>
        <v>2271.8302091624482</v>
      </c>
      <c r="IE683" s="20">
        <f t="shared" si="2106"/>
        <v>0.3325595572431343</v>
      </c>
      <c r="IF683" s="20">
        <f t="shared" si="2090"/>
        <v>0.35241562830261541</v>
      </c>
      <c r="IG683" s="20">
        <f t="shared" si="2091"/>
        <v>0.31502481445425023</v>
      </c>
      <c r="IH683" s="21"/>
      <c r="II683" s="19"/>
      <c r="IJ683" s="19"/>
      <c r="IK683" s="19"/>
      <c r="IL683" s="19">
        <f t="shared" si="2107"/>
        <v>50</v>
      </c>
      <c r="IM683" s="19">
        <f t="shared" si="2107"/>
        <v>50.001259283940726</v>
      </c>
      <c r="IN683" s="19">
        <f t="shared" si="2107"/>
        <v>107.48186702796374</v>
      </c>
      <c r="IO683" s="39"/>
      <c r="IP683" s="39"/>
      <c r="IQ683" s="39"/>
      <c r="IR683" s="39"/>
      <c r="IS683" s="39"/>
      <c r="IT683" s="39"/>
      <c r="IU683" s="39"/>
      <c r="IV683" s="39"/>
      <c r="IW683" s="39"/>
      <c r="IX683" s="19">
        <f t="shared" si="2148"/>
        <v>1600</v>
      </c>
      <c r="IY683" s="19">
        <f t="shared" si="2148"/>
        <v>2503.549291639752</v>
      </c>
      <c r="IZ683" s="19">
        <f t="shared" si="2148"/>
        <v>5888.3563810918577</v>
      </c>
      <c r="JA683" s="19">
        <f t="shared" si="2149"/>
        <v>1650</v>
      </c>
      <c r="JB683" s="19">
        <f t="shared" si="2149"/>
        <v>2553.5505509236928</v>
      </c>
      <c r="JC683" s="19">
        <f t="shared" si="2149"/>
        <v>5995.8382481198214</v>
      </c>
      <c r="JD683" s="19">
        <f t="shared" si="2110"/>
        <v>3337.472222869078</v>
      </c>
      <c r="JE683" s="21"/>
      <c r="JF683" s="1">
        <f t="shared" si="2111"/>
        <v>6.8844376252282569E-2</v>
      </c>
      <c r="JG683" s="15">
        <f t="shared" si="2112"/>
        <v>7106</v>
      </c>
      <c r="JH683" s="1">
        <f t="shared" si="2113"/>
        <v>9.0401032302643344E-3</v>
      </c>
      <c r="JI683" s="1">
        <f t="shared" si="2114"/>
        <v>5.8193526555391072E-3</v>
      </c>
      <c r="JJ683" s="1">
        <f t="shared" si="2092"/>
        <v>0</v>
      </c>
      <c r="JK683" s="1">
        <f t="shared" si="2093"/>
        <v>1.4859455885803443E-2</v>
      </c>
      <c r="JL683" s="15">
        <f t="shared" si="2150"/>
        <v>105.59129352451927</v>
      </c>
      <c r="JM683" s="15">
        <f t="shared" si="2150"/>
        <v>7211.5912935245196</v>
      </c>
      <c r="JN683" s="21"/>
      <c r="JO683" s="19">
        <f>INDEX([1]Input!$1:$1048576,JO$93,$C683*2+6)</f>
        <v>5995.5</v>
      </c>
      <c r="JP683" s="19">
        <f>INDEX([1]Input!$1:$1048576,JP$93,$C683*2+6)</f>
        <v>1716.3055838443925</v>
      </c>
      <c r="JQ683" s="39">
        <f t="shared" si="2124"/>
        <v>2658.027777130922</v>
      </c>
      <c r="JR683" s="39">
        <f t="shared" si="2125"/>
        <v>1621.1666390246855</v>
      </c>
      <c r="JS683" s="39">
        <f t="shared" si="2126"/>
        <v>24.068485624822568</v>
      </c>
      <c r="JT683" s="39">
        <f t="shared" si="2116"/>
        <v>11.872418146024314</v>
      </c>
      <c r="JU683" s="385">
        <f>(JQ683*JM683-INDEX([1]Input!$1:$1048576,[1]Input!A$18,$C683*2+6)*JL683*INDEX([1]Input!$1:$1048576,[1]Input!A$19,$C683*2+6))/1000000</f>
        <v>19.168609975503692</v>
      </c>
      <c r="JV683" s="39">
        <f t="shared" si="2094"/>
        <v>-11.239345545698058</v>
      </c>
      <c r="JW683" s="1">
        <f t="shared" si="2129"/>
        <v>-0.36961858674982268</v>
      </c>
      <c r="JX683" s="19">
        <f t="shared" si="2130"/>
        <v>112437.4723496254</v>
      </c>
      <c r="JZ683" s="341"/>
      <c r="KA683" s="60"/>
      <c r="KB683" s="469">
        <f t="shared" si="2117"/>
        <v>0</v>
      </c>
      <c r="KI683" s="472"/>
      <c r="KJ683" s="472"/>
      <c r="KK683" s="472"/>
      <c r="KN683" s="26">
        <f t="shared" si="2118"/>
        <v>6002</v>
      </c>
      <c r="KO683" s="789">
        <f t="shared" si="2095"/>
        <v>-5.6337845312992574E-2</v>
      </c>
      <c r="KP683" s="790">
        <f t="shared" si="2096"/>
        <v>-287.14599470214858</v>
      </c>
      <c r="KQ683" s="790">
        <f t="shared" si="2097"/>
        <v>-259.97626742084867</v>
      </c>
      <c r="KR683" s="26">
        <f t="shared" si="2098"/>
        <v>3.1583284587085698</v>
      </c>
      <c r="KS683" s="26">
        <f t="shared" si="2099"/>
        <v>3.4884005985203541</v>
      </c>
      <c r="KT683" s="791">
        <f t="shared" si="2127"/>
        <v>2521.945896759994</v>
      </c>
      <c r="KU683" s="792">
        <f t="shared" si="2119"/>
        <v>10.973517230979535</v>
      </c>
    </row>
    <row r="684" spans="1:307" s="26" customFormat="1" ht="15" outlineLevel="1">
      <c r="A684" s="561">
        <f t="shared" si="2100"/>
        <v>6084</v>
      </c>
      <c r="B684" s="561">
        <f t="shared" si="2120"/>
        <v>84</v>
      </c>
      <c r="C684" s="561">
        <f t="shared" si="2121"/>
        <v>6</v>
      </c>
      <c r="D684" s="561" t="str">
        <f t="shared" si="2028"/>
        <v xml:space="preserve">-250 CC, 0.9/1.9/2.9/3.9, </v>
      </c>
      <c r="E684" s="475">
        <f>INDEX(Input!$1:$1048576,E$93,$C684*2+MIN($B684,2)+5)
+INDEX(Scenarios!E$121:E$199,MATCH($B684,Scenarios!$B$121:$B$199,0))</f>
        <v>1000.0000000000002</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0</v>
      </c>
      <c r="R684" s="478">
        <f>IFERROR(MAX(0,INDEX(Input!$1:$1048576,R$93,$C684*2+MIN($B684,2)+5)
+INDEX(Scenarios!R$121:R$199,MATCH($B684,Scenarios!$B$121:$B$199,0)),),"Market")</f>
        <v>0</v>
      </c>
      <c r="S684" s="478">
        <f>IFERROR(MAX(0,INDEX(Input!$1:$1048576,S$93,$C684*2+MIN($B684,2)+5)
+INDEX(Scenarios!S$121:S$199,MATCH($B684,Scenarios!$B$121:$B$199,0)),),"Market")</f>
        <v>0</v>
      </c>
      <c r="T684" s="478">
        <f>IFERROR(MAX(0,INDEX(Input!$1:$1048576,T$93,$C684*2+MIN($B684,2)+5)
+INDEX(Scenarios!T$121:T$199,MATCH($B684,Scenarios!$B$121:$B$199,0)),),"Market")</f>
        <v>0</v>
      </c>
      <c r="U684" s="478">
        <f>IFERROR(MAX(0,INDEX(Input!$1:$1048576,U$93,$C684*2+MIN($B684,2)+5)
+INDEX(Scenarios!U$121:U$199,MATCH($B684,Scenarios!$B$121:$B$199,0)),),"Market")</f>
        <v>9.0000000000000011E-3</v>
      </c>
      <c r="V684" s="478">
        <f>IFERROR(MAX(0,INDEX(Input!$1:$1048576,V$93,$C684*2+MIN($B684,2)+5)
+INDEX(Scenarios!V$121:V$199,MATCH($B684,Scenarios!$B$121:$B$199,0)),),"Market")</f>
        <v>2.8999999999999998E-2</v>
      </c>
      <c r="W684" s="863">
        <f>IFERROR(MAX(0,INDEX(Input!$1:$1048576,W$93,$C684*2+MIN($B684,2)+5)-0%),"Market")</f>
        <v>3.9E-2</v>
      </c>
      <c r="X684" s="476" t="str">
        <f>INDEX(Input!$1:$1048576,X$93,$C684*2+MIN($B684,2)+5)</f>
        <v>Y</v>
      </c>
      <c r="Y684" s="475">
        <f>INDEX(Input!$1:$1048576,Y$93,$C684*2+MIN($B684,2)+5)
++INDEX(Scenarios!Y$121:Y$199,MATCH($B684,Scenarios!$B$121:$B$199,0))</f>
        <v>2339.3275155115825</v>
      </c>
      <c r="Z684" s="477">
        <f>INDEX(Input!$1:$1048576,Z$93,$C684*2+MIN($B684,2)+5)
+INDEX(Scenarios!Z$121:Z$199,MATCH($B684,Scenarios!$B$121:$B$199,0))</f>
        <v>0</v>
      </c>
      <c r="AA684" s="475">
        <f>INDEX(Input!$1:$1048576,AA$93,$C684*2+MIN($B684,2)+5)</f>
        <v>0</v>
      </c>
      <c r="AB684" s="476">
        <f>INDEX(Input!$1:$1048576,AB$93,$C684*2+MIN($B684,2)+5)</f>
        <v>1</v>
      </c>
      <c r="AC684" s="475">
        <f>INDEX(Input!$1:$1048576,AC$93,$C684*2+MIN($B684,2)+5)
+INDEX(Scenarios!AC$121:AC$199,MATCH($B684,Scenarios!$B$121:$B$199,0))</f>
        <v>0</v>
      </c>
      <c r="AD684" s="476">
        <f>INDEX(Input!$1:$1048576,AD$93,$C684*2+MIN($B684,2)+5)</f>
        <v>0.35</v>
      </c>
      <c r="AE684" s="475">
        <f>INDEX(Input!$1:$1048576,AE$93,$C684*2+MIN($B684,2)+5)
+INDEX(Scenarios!AE$121:AE$199,MATCH($B684,Scenarios!$B$121:$B$199,0))</f>
        <v>0</v>
      </c>
      <c r="AF684" s="476">
        <f>INDEX(Input!$1:$1048576,AF$93,$C684*2+MIN($B684,2)+5)</f>
        <v>1</v>
      </c>
      <c r="AG684" s="475">
        <f>INDEX(Input!$1:$1048576,AG$93,$C684*2+MIN($B684,2)+5)</f>
        <v>0</v>
      </c>
      <c r="AH684" s="476">
        <f>INDEX(Input!$1:$1048576,AH$93,$C684*2+MIN($B684,2)+5)</f>
        <v>1</v>
      </c>
      <c r="AI684" s="475">
        <f>INDEX(Input!$1:$1048576,AI$93,$C684*2+MIN($B684,2)+5)</f>
        <v>0</v>
      </c>
      <c r="AJ684" s="476">
        <f>INDEX(Input!$1:$1048576,AJ$93,$C684*2+MIN($B684,2)+5)</f>
        <v>0.35</v>
      </c>
      <c r="AK684" s="150">
        <f>ROUND(INDEX(Input!$1:$1048576,AK$93,$C683*2+MIN($B684,1)+5)+(Y684-VLOOKUP($C684*1000+1,$A:$HH,Y$92,FALSE)),0)</f>
        <v>5093</v>
      </c>
      <c r="AL684" s="150">
        <f>ROUND(INDEX(Input!$1:$1048576,AL$93,$C683*2+MIN($B684,1)+5)-(Y684-VLOOKUP($C684*1000+1,$A:$HH,Y$92,FALSE))/36,0)</f>
        <v>5217</v>
      </c>
      <c r="AM684" s="32" t="str">
        <f t="shared" si="2101"/>
        <v>std/std/std/std</v>
      </c>
      <c r="AN684" s="32" t="str">
        <f t="shared" si="2102"/>
        <v>$0 + 0/0/0.9/2.9/3.9</v>
      </c>
      <c r="AO684" s="32" t="str">
        <f t="shared" si="2103"/>
        <v>0/0/0.9/2.9/3.9</v>
      </c>
      <c r="AP684" s="32" t="str">
        <f t="shared" si="2074"/>
        <v>0.9/1.9/2.9/3.9</v>
      </c>
      <c r="AQ684" s="536">
        <f t="shared" si="2075"/>
        <v>0.33593115954580682</v>
      </c>
      <c r="AR684" s="32"/>
      <c r="AS684" s="302"/>
      <c r="AT684" s="3">
        <f t="shared" si="2122"/>
        <v>84</v>
      </c>
      <c r="AU684" s="41" t="s">
        <v>121</v>
      </c>
      <c r="AV684" s="41" t="s">
        <v>116</v>
      </c>
      <c r="AW684" s="41" t="str">
        <f>INDEX(Input!$1:$1048576,AW$93,$C684*2+6)</f>
        <v>Kia</v>
      </c>
      <c r="AX684" s="41" t="str">
        <f>INDEX(Input!$1:$1048576,AX$93,$C684*2+6)</f>
        <v>National</v>
      </c>
      <c r="AY684" s="41" t="str">
        <f>IF(LEN(D684)=0,"",INDEX(Input!$1:$1048576,AY$93,$C684*2+6))</f>
        <v>Compact Conventional/Sporty Car (43)</v>
      </c>
      <c r="AZ684" s="41" t="str">
        <f>INDEX(Input!$1:$1048576,AZ$93,$C684*2+6)</f>
        <v>Kia Forte</v>
      </c>
      <c r="BA684" s="3">
        <f>INDEX(Input!$1:$1048576,BA$93,$C684*2+6)</f>
        <v>2020</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19695</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t="e">
        <f t="shared" si="2076"/>
        <v>#VALUE!</v>
      </c>
      <c r="CJ684" s="16" t="str">
        <f>INDEX(Input!$1:$1048576,CJ$93,$C684*2+6)</f>
        <v>N</v>
      </c>
      <c r="CK684" s="1" t="str">
        <f t="shared" si="2077"/>
        <v>Market</v>
      </c>
      <c r="CL684" s="1" t="str">
        <f t="shared" si="2078"/>
        <v>Market</v>
      </c>
      <c r="CM684" s="1" t="str">
        <f t="shared" si="2079"/>
        <v>Market</v>
      </c>
      <c r="CN684" s="1" t="str">
        <f t="shared" si="2080"/>
        <v>Market</v>
      </c>
      <c r="CO684" s="1" t="str">
        <f t="shared" si="2081"/>
        <v>Market</v>
      </c>
      <c r="CP684" s="304">
        <f t="shared" si="2082"/>
        <v>0</v>
      </c>
      <c r="CQ684" s="1">
        <f t="shared" si="2083"/>
        <v>0</v>
      </c>
      <c r="CR684" s="1">
        <f t="shared" si="2084"/>
        <v>0</v>
      </c>
      <c r="CS684" s="1">
        <f t="shared" si="2085"/>
        <v>9.0000000000000011E-3</v>
      </c>
      <c r="CT684" s="1">
        <f t="shared" si="2086"/>
        <v>2.8999999999999998E-2</v>
      </c>
      <c r="CU684" s="1">
        <f t="shared" si="2087"/>
        <v>3.9E-2</v>
      </c>
      <c r="CV684" s="304">
        <f t="shared" si="2140"/>
        <v>2339.3275155115825</v>
      </c>
      <c r="CW684" s="20" t="s">
        <v>122</v>
      </c>
      <c r="CX684" s="20" t="s">
        <v>122</v>
      </c>
      <c r="CY684" s="20" t="s">
        <v>122</v>
      </c>
      <c r="CZ684" s="20" t="s">
        <v>122</v>
      </c>
      <c r="DA684" s="20" t="s">
        <v>122</v>
      </c>
      <c r="DB684" s="503">
        <f t="shared" si="2141"/>
        <v>0</v>
      </c>
      <c r="DC684" s="127">
        <v>0</v>
      </c>
      <c r="DD684" s="127">
        <v>0</v>
      </c>
      <c r="DE684" s="127">
        <v>0</v>
      </c>
      <c r="DF684" s="127">
        <v>0</v>
      </c>
      <c r="DG684" s="127">
        <v>0</v>
      </c>
      <c r="DH684" s="127">
        <v>0</v>
      </c>
      <c r="DI684" s="127">
        <v>0</v>
      </c>
      <c r="DJ684" s="127">
        <v>0</v>
      </c>
      <c r="DK684" s="127">
        <v>0</v>
      </c>
      <c r="DL684" s="127">
        <v>0</v>
      </c>
      <c r="DM684" s="304">
        <f>INDEX(Input!$1:$1048576,DM$93,$C684*2+6)</f>
        <v>20731.578947368424</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2147"/>
        <v>4.9686942767030826E-2</v>
      </c>
      <c r="HN684" s="639">
        <f t="shared" si="2147"/>
        <v>2.6112822013589915E-3</v>
      </c>
      <c r="HO684" s="639">
        <f t="shared" si="2147"/>
        <v>3.166115353075552E-2</v>
      </c>
      <c r="HP684" s="644">
        <f t="shared" si="2146"/>
        <v>86.732732237302699</v>
      </c>
      <c r="HQ684" s="644">
        <f t="shared" si="2146"/>
        <v>-70.046589745948936</v>
      </c>
      <c r="HR684" s="644">
        <f t="shared" si="2146"/>
        <v>131.35254286970823</v>
      </c>
      <c r="HS684" s="644">
        <f t="shared" si="2146"/>
        <v>-24.032423774742217</v>
      </c>
      <c r="HT684" s="644">
        <f t="shared" si="2146"/>
        <v>-10.33367532538519</v>
      </c>
      <c r="HU684" s="644">
        <f t="shared" si="2146"/>
        <v>75.572998507120815</v>
      </c>
      <c r="HV684" s="644">
        <f t="shared" si="2146"/>
        <v>0</v>
      </c>
      <c r="HW684" s="644">
        <f t="shared" si="2146"/>
        <v>0</v>
      </c>
      <c r="HX684" s="644">
        <f t="shared" si="2146"/>
        <v>0</v>
      </c>
      <c r="HY684" s="644">
        <f t="shared" si="2146"/>
        <v>2388</v>
      </c>
      <c r="HZ684" s="644">
        <f t="shared" si="2146"/>
        <v>2518</v>
      </c>
      <c r="IA684" s="644">
        <f t="shared" si="2146"/>
        <v>2200</v>
      </c>
      <c r="IB684" s="644">
        <f t="shared" si="2146"/>
        <v>2450.7003084625603</v>
      </c>
      <c r="IC684" s="644">
        <f t="shared" si="2146"/>
        <v>2437.6197349286658</v>
      </c>
      <c r="ID684" s="644">
        <f t="shared" si="2146"/>
        <v>2406.9255413768287</v>
      </c>
      <c r="IE684" s="20">
        <f t="shared" si="2106"/>
        <v>0.33593115954580682</v>
      </c>
      <c r="IF684" s="20">
        <f t="shared" si="2090"/>
        <v>0.33413813237737183</v>
      </c>
      <c r="IG684" s="20">
        <f t="shared" si="2091"/>
        <v>0.32993070807682134</v>
      </c>
      <c r="IH684" s="21"/>
      <c r="II684" s="19"/>
      <c r="IJ684" s="19"/>
      <c r="IK684" s="19"/>
      <c r="IL684" s="19">
        <f t="shared" si="2107"/>
        <v>150</v>
      </c>
      <c r="IM684" s="19">
        <f t="shared" si="2107"/>
        <v>-9.8016309488143634</v>
      </c>
      <c r="IN684" s="19">
        <f t="shared" si="2107"/>
        <v>281.06408678861499</v>
      </c>
      <c r="IO684" s="39"/>
      <c r="IP684" s="39"/>
      <c r="IQ684" s="39"/>
      <c r="IR684" s="39"/>
      <c r="IS684" s="39"/>
      <c r="IT684" s="39"/>
      <c r="IU684" s="39"/>
      <c r="IV684" s="39"/>
      <c r="IW684" s="39"/>
      <c r="IX684" s="19">
        <f t="shared" si="2148"/>
        <v>1600</v>
      </c>
      <c r="IY684" s="19">
        <f t="shared" si="2148"/>
        <v>2503.549291639752</v>
      </c>
      <c r="IZ684" s="19">
        <f t="shared" si="2148"/>
        <v>5888.3563810918577</v>
      </c>
      <c r="JA684" s="19">
        <f t="shared" si="2149"/>
        <v>1750</v>
      </c>
      <c r="JB684" s="19">
        <f t="shared" si="2149"/>
        <v>2493.7476606909377</v>
      </c>
      <c r="JC684" s="19">
        <f t="shared" si="2149"/>
        <v>6169.4204678804726</v>
      </c>
      <c r="JD684" s="19">
        <f t="shared" si="2110"/>
        <v>3456.6169785603106</v>
      </c>
      <c r="JE684" s="21"/>
      <c r="JF684" s="1">
        <f t="shared" si="2111"/>
        <v>6.8844376252282569E-2</v>
      </c>
      <c r="JG684" s="15">
        <f t="shared" si="2112"/>
        <v>7106</v>
      </c>
      <c r="JH684" s="1">
        <f t="shared" si="2113"/>
        <v>2.0832913785682802E-2</v>
      </c>
      <c r="JI684" s="1">
        <f t="shared" si="2114"/>
        <v>5.798888179987814E-3</v>
      </c>
      <c r="JJ684" s="1">
        <f t="shared" si="2092"/>
        <v>0</v>
      </c>
      <c r="JK684" s="1">
        <f t="shared" si="2093"/>
        <v>2.6631801965670616E-2</v>
      </c>
      <c r="JL684" s="15">
        <f t="shared" si="2150"/>
        <v>189.24558476805541</v>
      </c>
      <c r="JM684" s="15">
        <f t="shared" si="2150"/>
        <v>7295.2455847680549</v>
      </c>
      <c r="JN684" s="21"/>
      <c r="JO684" s="19">
        <f>INDEX([1]Input!$1:$1048576,JO$93,$C684*2+6)</f>
        <v>5995.5</v>
      </c>
      <c r="JP684" s="19">
        <f>INDEX([1]Input!$1:$1048576,JP$93,$C684*2+6)</f>
        <v>1716.3055838443925</v>
      </c>
      <c r="JQ684" s="39">
        <f t="shared" si="2124"/>
        <v>2538.8830214396894</v>
      </c>
      <c r="JR684" s="39">
        <f t="shared" si="2125"/>
        <v>1740.3113947159181</v>
      </c>
      <c r="JS684" s="39">
        <f t="shared" si="2126"/>
        <v>25.216869751076402</v>
      </c>
      <c r="JT684" s="39">
        <f t="shared" si="2116"/>
        <v>13.020802272278146</v>
      </c>
      <c r="JU684" s="385">
        <f>(JQ684*JM684-INDEX([1]Input!$1:$1048576,[1]Input!A$18,$C684*2+6)*JL684*INDEX([1]Input!$1:$1048576,[1]Input!A$19,$C684*2+6))/1000000</f>
        <v>18.521775152400473</v>
      </c>
      <c r="JV684" s="39">
        <f t="shared" si="2094"/>
        <v>-11.886180368801277</v>
      </c>
      <c r="JW684" s="1">
        <f t="shared" si="2129"/>
        <v>-0.39089048129242743</v>
      </c>
      <c r="JX684" s="19">
        <f t="shared" si="2130"/>
        <v>68803.730814839349</v>
      </c>
      <c r="JZ684" s="341"/>
      <c r="KA684" s="60"/>
      <c r="KB684" s="469">
        <f t="shared" si="2117"/>
        <v>0</v>
      </c>
      <c r="KI684" s="472"/>
      <c r="KJ684" s="472"/>
      <c r="KK684" s="472"/>
      <c r="KN684" s="26">
        <f t="shared" si="2118"/>
        <v>6002</v>
      </c>
      <c r="KO684" s="789">
        <f t="shared" si="2095"/>
        <v>-4.5391386270787537E-2</v>
      </c>
      <c r="KP684" s="790">
        <f t="shared" si="2096"/>
        <v>-213.28874808014234</v>
      </c>
      <c r="KQ684" s="790">
        <f t="shared" si="2097"/>
        <v>-140.83151172961607</v>
      </c>
      <c r="KR684" s="26">
        <f t="shared" si="2098"/>
        <v>3.4258261871207347</v>
      </c>
      <c r="KS684" s="26">
        <f t="shared" si="2099"/>
        <v>5.1883997382205838</v>
      </c>
      <c r="KT684" s="791">
        <f t="shared" si="2127"/>
        <v>2521.945896759994</v>
      </c>
      <c r="KU684" s="792">
        <f t="shared" si="2119"/>
        <v>10.784277281150855</v>
      </c>
    </row>
    <row r="685" spans="1:307" s="26" customFormat="1" ht="15" outlineLevel="1">
      <c r="A685" s="561">
        <f t="shared" si="2100"/>
        <v>6085</v>
      </c>
      <c r="B685" s="561">
        <f t="shared" si="2120"/>
        <v>85</v>
      </c>
      <c r="C685" s="561">
        <f t="shared" si="2121"/>
        <v>6</v>
      </c>
      <c r="D685" s="561" t="str">
        <f t="shared" ref="D685:D699" si="2151">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-180 Lease, </v>
      </c>
      <c r="E685" s="475">
        <f>INDEX(Input!$1:$1048576,E$93,$C685*2+MIN($B685,2)+5)
+INDEX(Scenarios!E$121:E$199,MATCH($B685,Scenarios!$B$121:$B$199,0))</f>
        <v>1250.0000000000002</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0</v>
      </c>
      <c r="S685" s="478">
        <f>IFERROR(MAX(0,INDEX(Input!$1:$1048576,S$93,$C685*2+MIN($B685,2)+5)
+INDEX(Scenarios!S$121:S$199,MATCH($B685,Scenarios!$B$121:$B$199,0)),),"Market")</f>
        <v>0</v>
      </c>
      <c r="T685" s="478">
        <f>IFERROR(MAX(0,INDEX(Input!$1:$1048576,T$93,$C685*2+MIN($B685,2)+5)
+INDEX(Scenarios!T$121:T$199,MATCH($B685,Scenarios!$B$121:$B$199,0)),),"Market")</f>
        <v>0</v>
      </c>
      <c r="U685" s="478">
        <f>IFERROR(MAX(0,INDEX(Input!$1:$1048576,U$93,$C685*2+MIN($B685,2)+5)
+INDEX(Scenarios!U$121:U$199,MATCH($B685,Scenarios!$B$121:$B$199,0)),),"Market")</f>
        <v>0</v>
      </c>
      <c r="V685" s="478">
        <f>IFERROR(MAX(0,INDEX(Input!$1:$1048576,V$93,$C685*2+MIN($B685,2)+5)
+INDEX(Scenarios!V$121:V$199,MATCH($B685,Scenarios!$B$121:$B$199,0)),),"Market")</f>
        <v>1.8999999999999996E-2</v>
      </c>
      <c r="W685" s="863">
        <f>IFERROR(MAX(0,INDEX(Input!$1:$1048576,W$93,$C685*2+MIN($B685,2)+5)-0%),"Market")</f>
        <v>3.9E-2</v>
      </c>
      <c r="X685" s="476" t="str">
        <f>INDEX(Input!$1:$1048576,X$93,$C685*2+MIN($B685,2)+5)</f>
        <v>Y</v>
      </c>
      <c r="Y685" s="475">
        <f>INDEX(Input!$1:$1048576,Y$93,$C685*2+MIN($B685,2)+5)
++INDEX(Scenarios!Y$121:Y$199,MATCH($B685,Scenarios!$B$121:$B$199,0))</f>
        <v>2159.3275155115825</v>
      </c>
      <c r="Z685" s="477">
        <f>INDEX(Input!$1:$1048576,Z$93,$C685*2+MIN($B685,2)+5)
+INDEX(Scenarios!Z$121:Z$199,MATCH($B685,Scenarios!$B$121:$B$199,0))</f>
        <v>0</v>
      </c>
      <c r="AA685" s="475">
        <f>INDEX(Input!$1:$1048576,AA$93,$C685*2+MIN($B685,2)+5)</f>
        <v>0</v>
      </c>
      <c r="AB685" s="476">
        <f>INDEX(Input!$1:$1048576,AB$93,$C685*2+MIN($B685,2)+5)</f>
        <v>1</v>
      </c>
      <c r="AC685" s="475">
        <f>INDEX(Input!$1:$1048576,AC$93,$C685*2+MIN($B685,2)+5)
+INDEX(Scenarios!AC$121:AC$199,MATCH($B685,Scenarios!$B$121:$B$199,0))</f>
        <v>0</v>
      </c>
      <c r="AD685" s="476">
        <f>INDEX(Input!$1:$1048576,AD$93,$C685*2+MIN($B685,2)+5)</f>
        <v>0.35</v>
      </c>
      <c r="AE685" s="475">
        <f>INDEX(Input!$1:$1048576,AE$93,$C685*2+MIN($B685,2)+5)
+INDEX(Scenarios!AE$121:AE$199,MATCH($B685,Scenarios!$B$121:$B$199,0))</f>
        <v>0</v>
      </c>
      <c r="AF685" s="476">
        <f>INDEX(Input!$1:$1048576,AF$93,$C685*2+MIN($B685,2)+5)</f>
        <v>1</v>
      </c>
      <c r="AG685" s="475">
        <f>INDEX(Input!$1:$1048576,AG$93,$C685*2+MIN($B685,2)+5)</f>
        <v>0</v>
      </c>
      <c r="AH685" s="476">
        <f>INDEX(Input!$1:$1048576,AH$93,$C685*2+MIN($B685,2)+5)</f>
        <v>1</v>
      </c>
      <c r="AI685" s="475">
        <f>INDEX(Input!$1:$1048576,AI$93,$C685*2+MIN($B685,2)+5)</f>
        <v>0</v>
      </c>
      <c r="AJ685" s="476">
        <f>INDEX(Input!$1:$1048576,AJ$93,$C685*2+MIN($B685,2)+5)</f>
        <v>0.35</v>
      </c>
      <c r="AK685" s="150">
        <f>ROUND(INDEX(Input!$1:$1048576,AK$93,$C684*2+MIN($B685,1)+5)+(Y685-VLOOKUP($C685*1000+1,$A:$HH,Y$92,FALSE)),0)</f>
        <v>4913</v>
      </c>
      <c r="AL685" s="150">
        <f>ROUND(INDEX(Input!$1:$1048576,AL$93,$C684*2+MIN($B685,1)+5)-(Y685-VLOOKUP($C685*1000+1,$A:$HH,Y$92,FALSE))/36,0)</f>
        <v>5222</v>
      </c>
      <c r="AM685" s="32" t="str">
        <f t="shared" si="2101"/>
        <v>std/std/std/std</v>
      </c>
      <c r="AN685" s="32" t="str">
        <f t="shared" si="2102"/>
        <v>$0 + 0/0/0/1.9/3.9</v>
      </c>
      <c r="AO685" s="32" t="str">
        <f t="shared" si="2103"/>
        <v>0/0/0/1.9/3.9</v>
      </c>
      <c r="AP685" s="32" t="str">
        <f t="shared" si="2074"/>
        <v>0/0.9/1.9/3.9</v>
      </c>
      <c r="AQ685" s="536">
        <f t="shared" si="2075"/>
        <v>0.34650328169361477</v>
      </c>
      <c r="AR685" s="32"/>
      <c r="AS685" s="302"/>
      <c r="AT685" s="3">
        <f t="shared" si="2122"/>
        <v>85</v>
      </c>
      <c r="AU685" s="41" t="s">
        <v>121</v>
      </c>
      <c r="AV685" s="41" t="s">
        <v>116</v>
      </c>
      <c r="AW685" s="41" t="str">
        <f>INDEX(Input!$1:$1048576,AW$93,$C685*2+6)</f>
        <v>Kia</v>
      </c>
      <c r="AX685" s="41" t="str">
        <f>INDEX(Input!$1:$1048576,AX$93,$C685*2+6)</f>
        <v>National</v>
      </c>
      <c r="AY685" s="41" t="str">
        <f>IF(LEN(D685)=0,"",INDEX(Input!$1:$1048576,AY$93,$C685*2+6))</f>
        <v>Compact Conventional/Sporty Car (43)</v>
      </c>
      <c r="AZ685" s="41" t="str">
        <f>INDEX(Input!$1:$1048576,AZ$93,$C685*2+6)</f>
        <v>Kia Forte</v>
      </c>
      <c r="BA685" s="3">
        <f>INDEX(Input!$1:$1048576,BA$93,$C685*2+6)</f>
        <v>2020</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19695</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2076"/>
        <v>1250.0000000000002</v>
      </c>
      <c r="CJ685" s="16" t="str">
        <f>INDEX(Input!$1:$1048576,CJ$93,$C685*2+6)</f>
        <v>N</v>
      </c>
      <c r="CK685" s="1" t="str">
        <f t="shared" si="2077"/>
        <v>Market</v>
      </c>
      <c r="CL685" s="1" t="str">
        <f t="shared" si="2078"/>
        <v>Market</v>
      </c>
      <c r="CM685" s="1" t="str">
        <f t="shared" si="2079"/>
        <v>Market</v>
      </c>
      <c r="CN685" s="1" t="str">
        <f t="shared" si="2080"/>
        <v>Market</v>
      </c>
      <c r="CO685" s="1" t="str">
        <f t="shared" si="2081"/>
        <v>Market</v>
      </c>
      <c r="CP685" s="304">
        <f t="shared" si="2082"/>
        <v>0</v>
      </c>
      <c r="CQ685" s="1">
        <f t="shared" si="2083"/>
        <v>0</v>
      </c>
      <c r="CR685" s="1">
        <f t="shared" si="2084"/>
        <v>0</v>
      </c>
      <c r="CS685" s="1">
        <f t="shared" si="2085"/>
        <v>0</v>
      </c>
      <c r="CT685" s="1">
        <f t="shared" si="2086"/>
        <v>1.8999999999999996E-2</v>
      </c>
      <c r="CU685" s="1">
        <f t="shared" si="2087"/>
        <v>3.9E-2</v>
      </c>
      <c r="CV685" s="304">
        <f t="shared" si="2140"/>
        <v>2159.3275155115825</v>
      </c>
      <c r="CW685" s="20" t="s">
        <v>122</v>
      </c>
      <c r="CX685" s="20" t="s">
        <v>122</v>
      </c>
      <c r="CY685" s="20" t="s">
        <v>122</v>
      </c>
      <c r="CZ685" s="20" t="s">
        <v>122</v>
      </c>
      <c r="DA685" s="20" t="s">
        <v>122</v>
      </c>
      <c r="DB685" s="503">
        <f t="shared" si="2141"/>
        <v>0</v>
      </c>
      <c r="DC685" s="127">
        <v>0</v>
      </c>
      <c r="DD685" s="127">
        <v>0</v>
      </c>
      <c r="DE685" s="127">
        <v>0</v>
      </c>
      <c r="DF685" s="127">
        <v>0</v>
      </c>
      <c r="DG685" s="127">
        <v>0</v>
      </c>
      <c r="DH685" s="127">
        <v>0</v>
      </c>
      <c r="DI685" s="127">
        <v>0</v>
      </c>
      <c r="DJ685" s="127">
        <v>0</v>
      </c>
      <c r="DK685" s="127">
        <v>0</v>
      </c>
      <c r="DL685" s="127">
        <v>0</v>
      </c>
      <c r="DM685" s="304">
        <f>INDEX(Input!$1:$1048576,DM$93,$C685*2+6)</f>
        <v>20731.578947368424</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2147"/>
        <v>4.9686942767030826E-2</v>
      </c>
      <c r="HN685" s="639">
        <f t="shared" si="2147"/>
        <v>2.6112822013589915E-3</v>
      </c>
      <c r="HO685" s="639">
        <f t="shared" si="2147"/>
        <v>3.166115353075552E-2</v>
      </c>
      <c r="HP685" s="644">
        <f t="shared" si="2146"/>
        <v>289.29454585818257</v>
      </c>
      <c r="HQ685" s="644">
        <f t="shared" si="2146"/>
        <v>18.12315933858396</v>
      </c>
      <c r="HR685" s="644">
        <f t="shared" si="2146"/>
        <v>-27.970166120603636</v>
      </c>
      <c r="HS685" s="644">
        <f t="shared" si="2146"/>
        <v>-65.116344868324973</v>
      </c>
      <c r="HT685" s="644">
        <f t="shared" si="2146"/>
        <v>178.46133983805652</v>
      </c>
      <c r="HU685" s="644">
        <f t="shared" si="2146"/>
        <v>39.889894074940436</v>
      </c>
      <c r="HV685" s="644">
        <f t="shared" si="2146"/>
        <v>0</v>
      </c>
      <c r="HW685" s="644">
        <f t="shared" si="2146"/>
        <v>0</v>
      </c>
      <c r="HX685" s="644">
        <f t="shared" si="2146"/>
        <v>0</v>
      </c>
      <c r="HY685" s="644">
        <f t="shared" si="2146"/>
        <v>2388</v>
      </c>
      <c r="HZ685" s="644">
        <f t="shared" si="2146"/>
        <v>2518</v>
      </c>
      <c r="IA685" s="644">
        <f t="shared" si="2146"/>
        <v>2200</v>
      </c>
      <c r="IB685" s="644">
        <f t="shared" si="2146"/>
        <v>2612.1782009898575</v>
      </c>
      <c r="IC685" s="644">
        <f t="shared" si="2146"/>
        <v>2714.5844991766407</v>
      </c>
      <c r="ID685" s="644">
        <f t="shared" si="2146"/>
        <v>2211.9197279543364</v>
      </c>
      <c r="IE685" s="20">
        <f t="shared" si="2106"/>
        <v>0.34650328169361477</v>
      </c>
      <c r="IF685" s="20">
        <f t="shared" si="2090"/>
        <v>0.36008739259935957</v>
      </c>
      <c r="IG685" s="20">
        <f t="shared" si="2091"/>
        <v>0.29340932570702555</v>
      </c>
      <c r="IH685" s="21"/>
      <c r="II685" s="19"/>
      <c r="IJ685" s="19"/>
      <c r="IK685" s="19"/>
      <c r="IL685" s="19">
        <f t="shared" si="2107"/>
        <v>399.99999999999977</v>
      </c>
      <c r="IM685" s="19">
        <f t="shared" si="2107"/>
        <v>400.106673234146</v>
      </c>
      <c r="IN685" s="19">
        <f t="shared" si="2107"/>
        <v>105.20697454235597</v>
      </c>
      <c r="IO685" s="39"/>
      <c r="IP685" s="39"/>
      <c r="IQ685" s="39"/>
      <c r="IR685" s="39"/>
      <c r="IS685" s="39"/>
      <c r="IT685" s="39"/>
      <c r="IU685" s="39"/>
      <c r="IV685" s="39"/>
      <c r="IW685" s="39"/>
      <c r="IX685" s="19">
        <f t="shared" si="2148"/>
        <v>1600</v>
      </c>
      <c r="IY685" s="19">
        <f t="shared" si="2148"/>
        <v>2503.549291639752</v>
      </c>
      <c r="IZ685" s="19">
        <f t="shared" si="2148"/>
        <v>5888.3563810918577</v>
      </c>
      <c r="JA685" s="19">
        <f t="shared" si="2149"/>
        <v>1999.9999999999998</v>
      </c>
      <c r="JB685" s="19">
        <f t="shared" si="2149"/>
        <v>2903.655964873898</v>
      </c>
      <c r="JC685" s="19">
        <f t="shared" si="2149"/>
        <v>5993.5633556342136</v>
      </c>
      <c r="JD685" s="19">
        <f t="shared" si="2110"/>
        <v>3497.143851543221</v>
      </c>
      <c r="JE685" s="21"/>
      <c r="JF685" s="1">
        <f t="shared" si="2111"/>
        <v>6.8844376252282569E-2</v>
      </c>
      <c r="JG685" s="15">
        <f t="shared" si="2112"/>
        <v>7106</v>
      </c>
      <c r="JH685" s="1">
        <f t="shared" si="2113"/>
        <v>3.9325575439932862E-2</v>
      </c>
      <c r="JI685" s="1">
        <f t="shared" si="2114"/>
        <v>2.1564155508678857E-2</v>
      </c>
      <c r="JJ685" s="1">
        <f t="shared" si="2092"/>
        <v>0</v>
      </c>
      <c r="JK685" s="1">
        <f t="shared" si="2093"/>
        <v>6.0889730948611706E-2</v>
      </c>
      <c r="JL685" s="15">
        <f t="shared" si="2150"/>
        <v>432.6824281208348</v>
      </c>
      <c r="JM685" s="15">
        <f t="shared" si="2150"/>
        <v>7538.6824281208355</v>
      </c>
      <c r="JN685" s="21"/>
      <c r="JO685" s="19">
        <f>INDEX([1]Input!$1:$1048576,JO$93,$C685*2+6)</f>
        <v>5995.5</v>
      </c>
      <c r="JP685" s="19">
        <f>INDEX([1]Input!$1:$1048576,JP$93,$C685*2+6)</f>
        <v>1716.3055838443925</v>
      </c>
      <c r="JQ685" s="39">
        <f t="shared" si="2124"/>
        <v>2498.356148456779</v>
      </c>
      <c r="JR685" s="39">
        <f t="shared" si="2125"/>
        <v>1780.8382676988285</v>
      </c>
      <c r="JS685" s="39">
        <f t="shared" si="2126"/>
        <v>26.3638569022397</v>
      </c>
      <c r="JT685" s="39">
        <f t="shared" si="2116"/>
        <v>14.167789423441446</v>
      </c>
      <c r="JU685" s="385">
        <f>(JQ685*JM685-INDEX([1]Input!$1:$1048576,[1]Input!A$18,$C685*2+6)*JL685*INDEX([1]Input!$1:$1048576,[1]Input!A$19,$C685*2+6))/1000000</f>
        <v>18.834313595558768</v>
      </c>
      <c r="JV685" s="39">
        <f t="shared" si="2094"/>
        <v>-11.573641925642981</v>
      </c>
      <c r="JW685" s="1">
        <f t="shared" si="2129"/>
        <v>-0.38061230119773537</v>
      </c>
      <c r="JX685" s="19">
        <f t="shared" si="2130"/>
        <v>32744.08319508834</v>
      </c>
      <c r="JZ685" s="341"/>
      <c r="KA685" s="60"/>
      <c r="KB685" s="469">
        <f t="shared" si="2117"/>
        <v>0</v>
      </c>
      <c r="KI685" s="472"/>
      <c r="KJ685" s="472"/>
      <c r="KK685" s="472"/>
      <c r="KN685" s="26">
        <f t="shared" si="2118"/>
        <v>6002</v>
      </c>
      <c r="KO685" s="789">
        <f t="shared" si="2095"/>
        <v>-1.3536816762007575E-2</v>
      </c>
      <c r="KP685" s="790">
        <f t="shared" si="2096"/>
        <v>-44.783716743896022</v>
      </c>
      <c r="KQ685" s="790">
        <f t="shared" si="2097"/>
        <v>-100.30463874670568</v>
      </c>
      <c r="KR685" s="26">
        <f t="shared" si="2098"/>
        <v>4.8658222440553587</v>
      </c>
      <c r="KS685" s="26">
        <f t="shared" si="2099"/>
        <v>2.1724778417696111</v>
      </c>
      <c r="KT685" s="791">
        <f t="shared" si="2127"/>
        <v>2521.945896759994</v>
      </c>
      <c r="KU685" s="792">
        <f t="shared" si="2119"/>
        <v>11.202921975793116</v>
      </c>
    </row>
    <row r="686" spans="1:307" s="26" customFormat="1" ht="15" outlineLevel="1">
      <c r="A686" s="561">
        <f t="shared" si="2100"/>
        <v>6086</v>
      </c>
      <c r="B686" s="561">
        <f t="shared" si="2120"/>
        <v>86</v>
      </c>
      <c r="C686" s="561">
        <f t="shared" si="2121"/>
        <v>6</v>
      </c>
      <c r="D686" s="561" t="str">
        <f t="shared" si="2151"/>
        <v xml:space="preserve">-250 CC, 0.9/1.9/2.9/3.9, -180 Lease, </v>
      </c>
      <c r="E686" s="475">
        <f>INDEX(Input!$1:$1048576,E$93,$C686*2+MIN($B686,2)+5)
+INDEX(Scenarios!E$121:E$199,MATCH($B686,Scenarios!$B$121:$B$199,0))</f>
        <v>1000.0000000000002</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9.0000000000000011E-3</v>
      </c>
      <c r="V686" s="478">
        <f>IFERROR(MAX(0,INDEX(Input!$1:$1048576,V$93,$C686*2+MIN($B686,2)+5)
+INDEX(Scenarios!V$121:V$199,MATCH($B686,Scenarios!$B$121:$B$199,0)),),"Market")</f>
        <v>2.8999999999999998E-2</v>
      </c>
      <c r="W686" s="863">
        <f>IFERROR(MAX(0,INDEX(Input!$1:$1048576,W$93,$C686*2+MIN($B686,2)+5)-0%),"Market")</f>
        <v>3.9E-2</v>
      </c>
      <c r="X686" s="476" t="str">
        <f>INDEX(Input!$1:$1048576,X$93,$C686*2+MIN($B686,2)+5)</f>
        <v>Y</v>
      </c>
      <c r="Y686" s="475">
        <f>INDEX(Input!$1:$1048576,Y$93,$C686*2+MIN($B686,2)+5)
++INDEX(Scenarios!Y$121:Y$199,MATCH($B686,Scenarios!$B$121:$B$199,0))</f>
        <v>2159.3275155115825</v>
      </c>
      <c r="Z686" s="477">
        <f>INDEX(Input!$1:$1048576,Z$93,$C686*2+MIN($B686,2)+5)
+INDEX(Scenarios!Z$121:Z$199,MATCH($B686,Scenarios!$B$121:$B$199,0))</f>
        <v>0</v>
      </c>
      <c r="AA686" s="475">
        <f>INDEX(Input!$1:$1048576,AA$93,$C686*2+MIN($B686,2)+5)</f>
        <v>0</v>
      </c>
      <c r="AB686" s="476">
        <f>INDEX(Input!$1:$1048576,AB$93,$C686*2+MIN($B686,2)+5)</f>
        <v>1</v>
      </c>
      <c r="AC686" s="475">
        <f>INDEX(Input!$1:$1048576,AC$93,$C686*2+MIN($B686,2)+5)
+INDEX(Scenarios!AC$121:AC$199,MATCH($B686,Scenarios!$B$121:$B$199,0))</f>
        <v>0</v>
      </c>
      <c r="AD686" s="476">
        <f>INDEX(Input!$1:$1048576,AD$93,$C686*2+MIN($B686,2)+5)</f>
        <v>0.35</v>
      </c>
      <c r="AE686" s="475">
        <f>INDEX(Input!$1:$1048576,AE$93,$C686*2+MIN($B686,2)+5)
+INDEX(Scenarios!AE$121:AE$199,MATCH($B686,Scenarios!$B$121:$B$199,0))</f>
        <v>0</v>
      </c>
      <c r="AF686" s="476">
        <f>INDEX(Input!$1:$1048576,AF$93,$C686*2+MIN($B686,2)+5)</f>
        <v>1</v>
      </c>
      <c r="AG686" s="475">
        <f>INDEX(Input!$1:$1048576,AG$93,$C686*2+MIN($B686,2)+5)</f>
        <v>0</v>
      </c>
      <c r="AH686" s="476">
        <f>INDEX(Input!$1:$1048576,AH$93,$C686*2+MIN($B686,2)+5)</f>
        <v>1</v>
      </c>
      <c r="AI686" s="475">
        <f>INDEX(Input!$1:$1048576,AI$93,$C686*2+MIN($B686,2)+5)</f>
        <v>0</v>
      </c>
      <c r="AJ686" s="476">
        <f>INDEX(Input!$1:$1048576,AJ$93,$C686*2+MIN($B686,2)+5)</f>
        <v>0.35</v>
      </c>
      <c r="AK686" s="150">
        <f>ROUND(INDEX(Input!$1:$1048576,AK$93,$C685*2+MIN($B686,1)+5)+(Y686-VLOOKUP($C686*1000+1,$A:$HH,Y$92,FALSE)),0)</f>
        <v>4913</v>
      </c>
      <c r="AL686" s="150">
        <f>ROUND(INDEX(Input!$1:$1048576,AL$93,$C685*2+MIN($B686,1)+5)-(Y686-VLOOKUP($C686*1000+1,$A:$HH,Y$92,FALSE))/36,0)</f>
        <v>5222</v>
      </c>
      <c r="AM686" s="32" t="str">
        <f t="shared" si="2101"/>
        <v>std/std/std/std</v>
      </c>
      <c r="AN686" s="32" t="str">
        <f t="shared" si="2102"/>
        <v>$0 + 0/0/0.9/2.9/3.9</v>
      </c>
      <c r="AO686" s="32" t="str">
        <f t="shared" si="2103"/>
        <v>0/0/0.9/2.9/3.9</v>
      </c>
      <c r="AP686" s="32" t="str">
        <f t="shared" si="2074"/>
        <v>0.9/1.9/2.9/3.9</v>
      </c>
      <c r="AQ686" s="536">
        <f t="shared" si="2075"/>
        <v>0.34580119735397591</v>
      </c>
      <c r="AR686" s="32"/>
      <c r="AS686" s="302"/>
      <c r="AT686" s="3">
        <f t="shared" si="2122"/>
        <v>86</v>
      </c>
      <c r="AU686" s="41" t="s">
        <v>121</v>
      </c>
      <c r="AV686" s="41" t="s">
        <v>116</v>
      </c>
      <c r="AW686" s="41" t="str">
        <f>INDEX(Input!$1:$1048576,AW$93,$C686*2+6)</f>
        <v>Kia</v>
      </c>
      <c r="AX686" s="41" t="str">
        <f>INDEX(Input!$1:$1048576,AX$93,$C686*2+6)</f>
        <v>National</v>
      </c>
      <c r="AY686" s="41" t="str">
        <f>IF(LEN(D686)=0,"",INDEX(Input!$1:$1048576,AY$93,$C686*2+6))</f>
        <v>Compact Conventional/Sporty Car (43)</v>
      </c>
      <c r="AZ686" s="41" t="str">
        <f>INDEX(Input!$1:$1048576,AZ$93,$C686*2+6)</f>
        <v>Kia Forte</v>
      </c>
      <c r="BA686" s="3">
        <f>INDEX(Input!$1:$1048576,BA$93,$C686*2+6)</f>
        <v>2020</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19695</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2076"/>
        <v>1000.0000000000002</v>
      </c>
      <c r="CJ686" s="16" t="str">
        <f>INDEX(Input!$1:$1048576,CJ$93,$C686*2+6)</f>
        <v>N</v>
      </c>
      <c r="CK686" s="1" t="str">
        <f t="shared" si="2077"/>
        <v>Market</v>
      </c>
      <c r="CL686" s="1" t="str">
        <f t="shared" si="2078"/>
        <v>Market</v>
      </c>
      <c r="CM686" s="1" t="str">
        <f t="shared" si="2079"/>
        <v>Market</v>
      </c>
      <c r="CN686" s="1" t="str">
        <f t="shared" si="2080"/>
        <v>Market</v>
      </c>
      <c r="CO686" s="1" t="str">
        <f t="shared" si="2081"/>
        <v>Market</v>
      </c>
      <c r="CP686" s="304">
        <f t="shared" si="2082"/>
        <v>0</v>
      </c>
      <c r="CQ686" s="1">
        <f t="shared" si="2083"/>
        <v>0</v>
      </c>
      <c r="CR686" s="1">
        <f t="shared" si="2084"/>
        <v>0</v>
      </c>
      <c r="CS686" s="1">
        <f t="shared" si="2085"/>
        <v>9.0000000000000011E-3</v>
      </c>
      <c r="CT686" s="1">
        <f t="shared" si="2086"/>
        <v>2.8999999999999998E-2</v>
      </c>
      <c r="CU686" s="1">
        <f t="shared" si="2087"/>
        <v>3.9E-2</v>
      </c>
      <c r="CV686" s="304">
        <f t="shared" si="2140"/>
        <v>2159.3275155115825</v>
      </c>
      <c r="CW686" s="20" t="s">
        <v>122</v>
      </c>
      <c r="CX686" s="20" t="s">
        <v>122</v>
      </c>
      <c r="CY686" s="20" t="s">
        <v>122</v>
      </c>
      <c r="CZ686" s="20" t="s">
        <v>122</v>
      </c>
      <c r="DA686" s="20" t="s">
        <v>122</v>
      </c>
      <c r="DB686" s="503">
        <f t="shared" si="2141"/>
        <v>0</v>
      </c>
      <c r="DC686" s="127">
        <v>0</v>
      </c>
      <c r="DD686" s="127">
        <v>0</v>
      </c>
      <c r="DE686" s="127">
        <v>0</v>
      </c>
      <c r="DF686" s="127">
        <v>0</v>
      </c>
      <c r="DG686" s="127">
        <v>0</v>
      </c>
      <c r="DH686" s="127">
        <v>0</v>
      </c>
      <c r="DI686" s="127">
        <v>0</v>
      </c>
      <c r="DJ686" s="127">
        <v>0</v>
      </c>
      <c r="DK686" s="127">
        <v>0</v>
      </c>
      <c r="DL686" s="127">
        <v>0</v>
      </c>
      <c r="DM686" s="304">
        <f>INDEX(Input!$1:$1048576,DM$93,$C686*2+6)</f>
        <v>20731.578947368424</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2147"/>
        <v>4.9686942767030826E-2</v>
      </c>
      <c r="HN686" s="639">
        <f t="shared" si="2147"/>
        <v>2.6112822013589915E-3</v>
      </c>
      <c r="HO686" s="639">
        <f t="shared" si="2147"/>
        <v>3.166115353075552E-2</v>
      </c>
      <c r="HP686" s="644">
        <f t="shared" si="2146"/>
        <v>122.41243486933607</v>
      </c>
      <c r="HQ686" s="644">
        <f t="shared" si="2146"/>
        <v>-68.192376154140575</v>
      </c>
      <c r="HR686" s="644">
        <f t="shared" si="2146"/>
        <v>34.801553985071578</v>
      </c>
      <c r="HS686" s="644">
        <f t="shared" si="2146"/>
        <v>-24.032549761501333</v>
      </c>
      <c r="HT686" s="644">
        <f t="shared" si="2146"/>
        <v>-10.307406235251539</v>
      </c>
      <c r="HU686" s="644">
        <f t="shared" si="2146"/>
        <v>29.518678440717565</v>
      </c>
      <c r="HV686" s="644">
        <f t="shared" si="2146"/>
        <v>0</v>
      </c>
      <c r="HW686" s="644">
        <f t="shared" si="2146"/>
        <v>0</v>
      </c>
      <c r="HX686" s="644">
        <f t="shared" si="2146"/>
        <v>0</v>
      </c>
      <c r="HY686" s="644">
        <f t="shared" si="2146"/>
        <v>2388</v>
      </c>
      <c r="HZ686" s="644">
        <f t="shared" si="2146"/>
        <v>2518</v>
      </c>
      <c r="IA686" s="644">
        <f t="shared" si="2146"/>
        <v>2200</v>
      </c>
      <c r="IB686" s="644">
        <f t="shared" si="2146"/>
        <v>2486.3798851078341</v>
      </c>
      <c r="IC686" s="644">
        <f t="shared" si="2146"/>
        <v>2439.5002176106077</v>
      </c>
      <c r="ID686" s="644">
        <f t="shared" si="2146"/>
        <v>2264.3202324257891</v>
      </c>
      <c r="IE686" s="20">
        <f t="shared" si="2106"/>
        <v>0.34580119735397591</v>
      </c>
      <c r="IF686" s="20">
        <f t="shared" si="2090"/>
        <v>0.33928125836589407</v>
      </c>
      <c r="IG686" s="20">
        <f t="shared" si="2091"/>
        <v>0.31491754428013002</v>
      </c>
      <c r="IH686" s="21"/>
      <c r="II686" s="19"/>
      <c r="IJ686" s="19"/>
      <c r="IK686" s="19"/>
      <c r="IL686" s="19">
        <f t="shared" si="2107"/>
        <v>150.00000000000023</v>
      </c>
      <c r="IM686" s="19">
        <f t="shared" si="2107"/>
        <v>-9.7445844657595444</v>
      </c>
      <c r="IN686" s="19">
        <f t="shared" si="2107"/>
        <v>102.60497129398846</v>
      </c>
      <c r="IO686" s="39"/>
      <c r="IP686" s="39"/>
      <c r="IQ686" s="39"/>
      <c r="IR686" s="39"/>
      <c r="IS686" s="39"/>
      <c r="IT686" s="39"/>
      <c r="IU686" s="39"/>
      <c r="IV686" s="39"/>
      <c r="IW686" s="39"/>
      <c r="IX686" s="19">
        <f t="shared" si="2148"/>
        <v>1600</v>
      </c>
      <c r="IY686" s="19">
        <f t="shared" si="2148"/>
        <v>2503.549291639752</v>
      </c>
      <c r="IZ686" s="19">
        <f t="shared" si="2148"/>
        <v>5888.3563810918577</v>
      </c>
      <c r="JA686" s="19">
        <f t="shared" si="2149"/>
        <v>1750.0000000000002</v>
      </c>
      <c r="JB686" s="19">
        <f t="shared" si="2149"/>
        <v>2493.8047071739925</v>
      </c>
      <c r="JC686" s="19">
        <f t="shared" si="2149"/>
        <v>5990.9613523858461</v>
      </c>
      <c r="JD686" s="19">
        <f t="shared" si="2110"/>
        <v>3337.9121315087573</v>
      </c>
      <c r="JE686" s="21"/>
      <c r="JF686" s="1">
        <f t="shared" si="2111"/>
        <v>6.8844376252282569E-2</v>
      </c>
      <c r="JG686" s="15">
        <f t="shared" si="2112"/>
        <v>7106</v>
      </c>
      <c r="JH686" s="1">
        <f t="shared" si="2113"/>
        <v>1.2527668547743748E-2</v>
      </c>
      <c r="JI686" s="1">
        <f t="shared" si="2114"/>
        <v>-6.7847981368354985E-4</v>
      </c>
      <c r="JJ686" s="1">
        <f t="shared" si="2092"/>
        <v>0</v>
      </c>
      <c r="JK686" s="1">
        <f t="shared" si="2093"/>
        <v>1.1849188734060196E-2</v>
      </c>
      <c r="JL686" s="15">
        <f t="shared" si="2150"/>
        <v>84.200335144231758</v>
      </c>
      <c r="JM686" s="15">
        <f t="shared" si="2150"/>
        <v>7190.2003351442318</v>
      </c>
      <c r="JN686" s="21"/>
      <c r="JO686" s="19">
        <f>INDEX([1]Input!$1:$1048576,JO$93,$C686*2+6)</f>
        <v>5995.5</v>
      </c>
      <c r="JP686" s="19">
        <f>INDEX([1]Input!$1:$1048576,JP$93,$C686*2+6)</f>
        <v>1716.3055838443925</v>
      </c>
      <c r="JQ686" s="39">
        <f t="shared" si="2124"/>
        <v>2657.5878684912427</v>
      </c>
      <c r="JR686" s="39">
        <f t="shared" si="2125"/>
        <v>1621.6065476643648</v>
      </c>
      <c r="JS686" s="39">
        <f t="shared" si="2126"/>
        <v>24.000256926656263</v>
      </c>
      <c r="JT686" s="39">
        <f t="shared" si="2116"/>
        <v>11.804189447858011</v>
      </c>
      <c r="JU686" s="385">
        <f>(JQ686*JM686-INDEX([1]Input!$1:$1048576,[1]Input!A$18,$C686*2+6)*JL686*INDEX([1]Input!$1:$1048576,[1]Input!A$19,$C686*2+6))/1000000</f>
        <v>19.108589182700978</v>
      </c>
      <c r="JV686" s="39">
        <f t="shared" si="2094"/>
        <v>-11.299366338500771</v>
      </c>
      <c r="JW686" s="1">
        <f t="shared" si="2129"/>
        <v>-0.37159243838745953</v>
      </c>
      <c r="JX686" s="19">
        <f t="shared" si="2130"/>
        <v>140191.71571749583</v>
      </c>
      <c r="JZ686" s="341"/>
      <c r="KA686" s="60"/>
      <c r="KB686" s="469">
        <f t="shared" si="2117"/>
        <v>0</v>
      </c>
      <c r="KI686" s="472"/>
      <c r="KJ686" s="472"/>
      <c r="KK686" s="472"/>
      <c r="KN686" s="26">
        <f t="shared" si="2118"/>
        <v>6002</v>
      </c>
      <c r="KO686" s="789">
        <f t="shared" si="2095"/>
        <v>-5.9136927658949734E-2</v>
      </c>
      <c r="KP686" s="790">
        <f t="shared" si="2096"/>
        <v>-274.39284305130889</v>
      </c>
      <c r="KQ686" s="790">
        <f t="shared" si="2097"/>
        <v>-259.53635878116938</v>
      </c>
      <c r="KR686" s="26">
        <f t="shared" si="2098"/>
        <v>3.4693315194738301</v>
      </c>
      <c r="KS686" s="26">
        <f t="shared" si="2099"/>
        <v>3.6679243848011129</v>
      </c>
      <c r="KT686" s="791">
        <f t="shared" si="2127"/>
        <v>2521.945896759994</v>
      </c>
      <c r="KU686" s="792">
        <f t="shared" si="2119"/>
        <v>10.922027311572236</v>
      </c>
    </row>
    <row r="687" spans="1:307" s="26" customFormat="1" ht="15" outlineLevel="1">
      <c r="A687" s="561">
        <f t="shared" si="2100"/>
        <v>6087</v>
      </c>
      <c r="B687" s="561">
        <f t="shared" si="2120"/>
        <v>87</v>
      </c>
      <c r="C687" s="561">
        <f t="shared" si="2121"/>
        <v>6</v>
      </c>
      <c r="D687" s="561" t="str">
        <f t="shared" si="2151"/>
        <v xml:space="preserve">250 CC, -180 Lease, </v>
      </c>
      <c r="E687" s="475">
        <f>INDEX(Input!$1:$1048576,E$93,$C687*2+MIN($B687,2)+5)
+INDEX(Scenarios!E$121:E$199,MATCH($B687,Scenarios!$B$121:$B$199,0))</f>
        <v>1500.0000000000002</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0</v>
      </c>
      <c r="V687" s="478">
        <f>IFERROR(MAX(0,INDEX(Input!$1:$1048576,V$93,$C687*2+MIN($B687,2)+5)
+INDEX(Scenarios!V$121:V$199,MATCH($B687,Scenarios!$B$121:$B$199,0)),),"Market")</f>
        <v>1.8999999999999996E-2</v>
      </c>
      <c r="W687" s="863">
        <f>IFERROR(MAX(0,INDEX(Input!$1:$1048576,W$93,$C687*2+MIN($B687,2)+5)-0%),"Market")</f>
        <v>3.9E-2</v>
      </c>
      <c r="X687" s="476" t="str">
        <f>INDEX(Input!$1:$1048576,X$93,$C687*2+MIN($B687,2)+5)</f>
        <v>Y</v>
      </c>
      <c r="Y687" s="475">
        <f>INDEX(Input!$1:$1048576,Y$93,$C687*2+MIN($B687,2)+5)
++INDEX(Scenarios!Y$121:Y$199,MATCH($B687,Scenarios!$B$121:$B$199,0))</f>
        <v>2159.3275155115825</v>
      </c>
      <c r="Z687" s="477">
        <f>INDEX(Input!$1:$1048576,Z$93,$C687*2+MIN($B687,2)+5)
+INDEX(Scenarios!Z$121:Z$199,MATCH($B687,Scenarios!$B$121:$B$199,0))</f>
        <v>0</v>
      </c>
      <c r="AA687" s="475">
        <f>INDEX(Input!$1:$1048576,AA$93,$C687*2+MIN($B687,2)+5)</f>
        <v>0</v>
      </c>
      <c r="AB687" s="476">
        <f>INDEX(Input!$1:$1048576,AB$93,$C687*2+MIN($B687,2)+5)</f>
        <v>1</v>
      </c>
      <c r="AC687" s="475">
        <f>INDEX(Input!$1:$1048576,AC$93,$C687*2+MIN($B687,2)+5)
+INDEX(Scenarios!AC$121:AC$199,MATCH($B687,Scenarios!$B$121:$B$199,0))</f>
        <v>0</v>
      </c>
      <c r="AD687" s="476">
        <f>INDEX(Input!$1:$1048576,AD$93,$C687*2+MIN($B687,2)+5)</f>
        <v>0.35</v>
      </c>
      <c r="AE687" s="475">
        <f>INDEX(Input!$1:$1048576,AE$93,$C687*2+MIN($B687,2)+5)
+INDEX(Scenarios!AE$121:AE$199,MATCH($B687,Scenarios!$B$121:$B$199,0))</f>
        <v>0</v>
      </c>
      <c r="AF687" s="476">
        <f>INDEX(Input!$1:$1048576,AF$93,$C687*2+MIN($B687,2)+5)</f>
        <v>1</v>
      </c>
      <c r="AG687" s="475">
        <f>INDEX(Input!$1:$1048576,AG$93,$C687*2+MIN($B687,2)+5)</f>
        <v>0</v>
      </c>
      <c r="AH687" s="476">
        <f>INDEX(Input!$1:$1048576,AH$93,$C687*2+MIN($B687,2)+5)</f>
        <v>1</v>
      </c>
      <c r="AI687" s="475">
        <f>INDEX(Input!$1:$1048576,AI$93,$C687*2+MIN($B687,2)+5)</f>
        <v>0</v>
      </c>
      <c r="AJ687" s="476">
        <f>INDEX(Input!$1:$1048576,AJ$93,$C687*2+MIN($B687,2)+5)</f>
        <v>0.35</v>
      </c>
      <c r="AK687" s="150">
        <f>ROUND(INDEX(Input!$1:$1048576,AK$93,$C686*2+MIN($B687,1)+5)+(Y687-VLOOKUP($C687*1000+1,$A:$HH,Y$92,FALSE)),0)</f>
        <v>4913</v>
      </c>
      <c r="AL687" s="150">
        <f>ROUND(INDEX(Input!$1:$1048576,AL$93,$C686*2+MIN($B687,1)+5)-(Y687-VLOOKUP($C687*1000+1,$A:$HH,Y$92,FALSE))/36,0)</f>
        <v>5222</v>
      </c>
      <c r="AM687" s="32" t="str">
        <f t="shared" si="2101"/>
        <v>std/std/std/std</v>
      </c>
      <c r="AN687" s="32" t="str">
        <f t="shared" si="2102"/>
        <v>$0 + 0/0/0/1.9/3.9</v>
      </c>
      <c r="AO687" s="32" t="str">
        <f t="shared" si="2103"/>
        <v>0/0/0/1.9/3.9</v>
      </c>
      <c r="AP687" s="32" t="str">
        <f t="shared" si="2074"/>
        <v>0/0.9/1.9/3.9</v>
      </c>
      <c r="AQ687" s="536">
        <f t="shared" si="2075"/>
        <v>0.36351036454459718</v>
      </c>
      <c r="AR687" s="32"/>
      <c r="AS687" s="302"/>
      <c r="AT687" s="3">
        <f t="shared" si="2122"/>
        <v>87</v>
      </c>
      <c r="AU687" s="41" t="s">
        <v>121</v>
      </c>
      <c r="AV687" s="41" t="s">
        <v>116</v>
      </c>
      <c r="AW687" s="41" t="str">
        <f>INDEX(Input!$1:$1048576,AW$93,$C687*2+6)</f>
        <v>Kia</v>
      </c>
      <c r="AX687" s="41" t="str">
        <f>INDEX(Input!$1:$1048576,AX$93,$C687*2+6)</f>
        <v>National</v>
      </c>
      <c r="AY687" s="41" t="str">
        <f>IF(LEN(D687)=0,"",INDEX(Input!$1:$1048576,AY$93,$C687*2+6))</f>
        <v>Compact Conventional/Sporty Car (43)</v>
      </c>
      <c r="AZ687" s="41" t="str">
        <f>INDEX(Input!$1:$1048576,AZ$93,$C687*2+6)</f>
        <v>Kia Forte</v>
      </c>
      <c r="BA687" s="3">
        <f>INDEX(Input!$1:$1048576,BA$93,$C687*2+6)</f>
        <v>2020</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19695</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2076"/>
        <v>1500.0000000000002</v>
      </c>
      <c r="CJ687" s="16" t="str">
        <f>INDEX(Input!$1:$1048576,CJ$93,$C687*2+6)</f>
        <v>N</v>
      </c>
      <c r="CK687" s="1" t="str">
        <f t="shared" si="2077"/>
        <v>Market</v>
      </c>
      <c r="CL687" s="1" t="str">
        <f t="shared" si="2078"/>
        <v>Market</v>
      </c>
      <c r="CM687" s="1" t="str">
        <f t="shared" si="2079"/>
        <v>Market</v>
      </c>
      <c r="CN687" s="1" t="str">
        <f t="shared" si="2080"/>
        <v>Market</v>
      </c>
      <c r="CO687" s="1" t="str">
        <f t="shared" si="2081"/>
        <v>Market</v>
      </c>
      <c r="CP687" s="304">
        <f t="shared" si="2082"/>
        <v>0</v>
      </c>
      <c r="CQ687" s="1">
        <f t="shared" si="2083"/>
        <v>0</v>
      </c>
      <c r="CR687" s="1">
        <f t="shared" si="2084"/>
        <v>0</v>
      </c>
      <c r="CS687" s="1">
        <f t="shared" si="2085"/>
        <v>0</v>
      </c>
      <c r="CT687" s="1">
        <f t="shared" si="2086"/>
        <v>1.8999999999999996E-2</v>
      </c>
      <c r="CU687" s="1">
        <f t="shared" si="2087"/>
        <v>3.9E-2</v>
      </c>
      <c r="CV687" s="304">
        <f t="shared" si="2140"/>
        <v>2159.3275155115825</v>
      </c>
      <c r="CW687" s="20" t="s">
        <v>122</v>
      </c>
      <c r="CX687" s="20" t="s">
        <v>122</v>
      </c>
      <c r="CY687" s="20" t="s">
        <v>122</v>
      </c>
      <c r="CZ687" s="20" t="s">
        <v>122</v>
      </c>
      <c r="DA687" s="20" t="s">
        <v>122</v>
      </c>
      <c r="DB687" s="503">
        <f t="shared" si="2141"/>
        <v>0</v>
      </c>
      <c r="DC687" s="127">
        <v>0</v>
      </c>
      <c r="DD687" s="127">
        <v>0</v>
      </c>
      <c r="DE687" s="127">
        <v>0</v>
      </c>
      <c r="DF687" s="127">
        <v>0</v>
      </c>
      <c r="DG687" s="127">
        <v>0</v>
      </c>
      <c r="DH687" s="127">
        <v>0</v>
      </c>
      <c r="DI687" s="127">
        <v>0</v>
      </c>
      <c r="DJ687" s="127">
        <v>0</v>
      </c>
      <c r="DK687" s="127">
        <v>0</v>
      </c>
      <c r="DL687" s="127">
        <v>0</v>
      </c>
      <c r="DM687" s="304">
        <f>INDEX(Input!$1:$1048576,DM$93,$C687*2+6)</f>
        <v>20731.578947368424</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2147"/>
        <v>4.9686942767030826E-2</v>
      </c>
      <c r="HN687" s="639">
        <f t="shared" si="2147"/>
        <v>2.6112822013589915E-3</v>
      </c>
      <c r="HO687" s="639">
        <f t="shared" si="2147"/>
        <v>3.166115353075552E-2</v>
      </c>
      <c r="HP687" s="644">
        <f t="shared" si="2146"/>
        <v>499.05563374728848</v>
      </c>
      <c r="HQ687" s="644">
        <f t="shared" si="2146"/>
        <v>9.8210780976597238</v>
      </c>
      <c r="HR687" s="644">
        <f t="shared" si="2146"/>
        <v>-75.306457592487035</v>
      </c>
      <c r="HS687" s="644">
        <f t="shared" si="2146"/>
        <v>-105.19549093123644</v>
      </c>
      <c r="HT687" s="644">
        <f t="shared" si="2146"/>
        <v>169.13583342918602</v>
      </c>
      <c r="HU687" s="644">
        <f t="shared" si="2146"/>
        <v>49.256460665251154</v>
      </c>
      <c r="HV687" s="644">
        <f t="shared" si="2146"/>
        <v>0</v>
      </c>
      <c r="HW687" s="644">
        <f t="shared" si="2146"/>
        <v>0</v>
      </c>
      <c r="HX687" s="644">
        <f t="shared" si="2146"/>
        <v>0</v>
      </c>
      <c r="HY687" s="644">
        <f t="shared" si="2146"/>
        <v>2388</v>
      </c>
      <c r="HZ687" s="644">
        <f t="shared" si="2146"/>
        <v>2518</v>
      </c>
      <c r="IA687" s="644">
        <f t="shared" si="2146"/>
        <v>2200</v>
      </c>
      <c r="IB687" s="644">
        <f t="shared" si="2146"/>
        <v>2781.8601428160514</v>
      </c>
      <c r="IC687" s="644">
        <f t="shared" si="2146"/>
        <v>2696.9569115268459</v>
      </c>
      <c r="ID687" s="644">
        <f t="shared" si="2146"/>
        <v>2173.9500030727645</v>
      </c>
      <c r="IE687" s="20">
        <f t="shared" si="2106"/>
        <v>0.36351036454459718</v>
      </c>
      <c r="IF687" s="20">
        <f t="shared" si="2090"/>
        <v>0.35241591587626447</v>
      </c>
      <c r="IG687" s="20">
        <f t="shared" si="2091"/>
        <v>0.28407371957913835</v>
      </c>
      <c r="IH687" s="21"/>
      <c r="II687" s="19"/>
      <c r="IJ687" s="19"/>
      <c r="IK687" s="19"/>
      <c r="IL687" s="19">
        <f t="shared" si="2107"/>
        <v>650</v>
      </c>
      <c r="IM687" s="19">
        <f t="shared" si="2107"/>
        <v>400.19086541219576</v>
      </c>
      <c r="IN687" s="19">
        <f t="shared" si="2107"/>
        <v>106.93793473088954</v>
      </c>
      <c r="IO687" s="39"/>
      <c r="IP687" s="39"/>
      <c r="IQ687" s="39"/>
      <c r="IR687" s="39"/>
      <c r="IS687" s="39"/>
      <c r="IT687" s="39"/>
      <c r="IU687" s="39"/>
      <c r="IV687" s="39"/>
      <c r="IW687" s="39"/>
      <c r="IX687" s="19">
        <f t="shared" si="2148"/>
        <v>1600</v>
      </c>
      <c r="IY687" s="19">
        <f t="shared" si="2148"/>
        <v>2503.549291639752</v>
      </c>
      <c r="IZ687" s="19">
        <f t="shared" si="2148"/>
        <v>5888.3563810918577</v>
      </c>
      <c r="JA687" s="19">
        <f t="shared" si="2149"/>
        <v>2250</v>
      </c>
      <c r="JB687" s="19">
        <f t="shared" si="2149"/>
        <v>2903.7401570519478</v>
      </c>
      <c r="JC687" s="19">
        <f t="shared" si="2149"/>
        <v>5995.2943158227472</v>
      </c>
      <c r="JD687" s="19">
        <f t="shared" si="2110"/>
        <v>3544.3281234069273</v>
      </c>
      <c r="JE687" s="21"/>
      <c r="JF687" s="1">
        <f t="shared" si="2111"/>
        <v>6.8844376252282569E-2</v>
      </c>
      <c r="JG687" s="15">
        <f t="shared" si="2112"/>
        <v>7106</v>
      </c>
      <c r="JH687" s="1">
        <f t="shared" si="2113"/>
        <v>6.1014671299248688E-2</v>
      </c>
      <c r="JI687" s="1">
        <f t="shared" si="2114"/>
        <v>1.5929749952603538E-2</v>
      </c>
      <c r="JJ687" s="1">
        <f t="shared" si="2092"/>
        <v>0</v>
      </c>
      <c r="JK687" s="1">
        <f t="shared" si="2093"/>
        <v>7.6944421251852232E-2</v>
      </c>
      <c r="JL687" s="15">
        <f t="shared" si="2150"/>
        <v>546.76705741566195</v>
      </c>
      <c r="JM687" s="15">
        <f t="shared" si="2150"/>
        <v>7652.7670574156618</v>
      </c>
      <c r="JN687" s="21"/>
      <c r="JO687" s="19">
        <f>INDEX([1]Input!$1:$1048576,JO$93,$C687*2+6)</f>
        <v>5995.5</v>
      </c>
      <c r="JP687" s="19">
        <f>INDEX([1]Input!$1:$1048576,JP$93,$C687*2+6)</f>
        <v>1716.3055838443925</v>
      </c>
      <c r="JQ687" s="39">
        <f t="shared" si="2124"/>
        <v>2451.1718765930727</v>
      </c>
      <c r="JR687" s="39">
        <f t="shared" si="2125"/>
        <v>1828.0225395625348</v>
      </c>
      <c r="JS687" s="39">
        <f t="shared" si="2126"/>
        <v>27.123917503480406</v>
      </c>
      <c r="JT687" s="39">
        <f t="shared" si="2116"/>
        <v>14.927850024682151</v>
      </c>
      <c r="JU687" s="385">
        <f>(JQ687*JM687-INDEX([1]Input!$1:$1048576,[1]Input!A$18,$C687*2+6)*JL687*INDEX([1]Input!$1:$1048576,[1]Input!A$19,$C687*2+6))/1000000</f>
        <v>18.758247389255196</v>
      </c>
      <c r="JV687" s="39">
        <f t="shared" si="2094"/>
        <v>-11.649708131946554</v>
      </c>
      <c r="JW687" s="1">
        <f t="shared" si="2129"/>
        <v>-0.38311382440111341</v>
      </c>
      <c r="JX687" s="19">
        <f t="shared" si="2130"/>
        <v>27302.028939416767</v>
      </c>
      <c r="JZ687" s="341"/>
      <c r="KA687" s="60"/>
      <c r="KB687" s="469">
        <f t="shared" si="2117"/>
        <v>0</v>
      </c>
      <c r="KI687" s="472"/>
      <c r="KJ687" s="472"/>
      <c r="KK687" s="472"/>
      <c r="KN687" s="26">
        <f t="shared" si="2118"/>
        <v>6002</v>
      </c>
      <c r="KO687" s="789">
        <f t="shared" si="2095"/>
        <v>1.3915593363014178E-3</v>
      </c>
      <c r="KP687" s="790">
        <f t="shared" si="2096"/>
        <v>48.040317019156603</v>
      </c>
      <c r="KQ687" s="790">
        <f t="shared" si="2097"/>
        <v>-53.120366882999406</v>
      </c>
      <c r="KR687" s="26">
        <f t="shared" si="2098"/>
        <v>0.466289556040971</v>
      </c>
      <c r="KS687" s="26">
        <f t="shared" si="2099"/>
        <v>-0.42169697630795416</v>
      </c>
      <c r="KT687" s="791">
        <f t="shared" si="2127"/>
        <v>2521.945896759994</v>
      </c>
      <c r="KU687" s="792">
        <f t="shared" si="2119"/>
        <v>11.305154926316391</v>
      </c>
    </row>
    <row r="688" spans="1:307" s="26" customFormat="1" ht="15" outlineLevel="1">
      <c r="A688" s="561">
        <f t="shared" si="2100"/>
        <v>6088</v>
      </c>
      <c r="B688" s="561">
        <f t="shared" si="2120"/>
        <v>88</v>
      </c>
      <c r="C688" s="561">
        <f t="shared" si="2121"/>
        <v>6</v>
      </c>
      <c r="D688" s="561" t="str">
        <f t="shared" si="2151"/>
        <v/>
      </c>
      <c r="E688" s="475">
        <f>INDEX(Input!$1:$1048576,E$93,$C688*2+MIN($B688,2)+5)
+INDEX(Scenarios!E$121:E$199,MATCH($B688,Scenarios!$B$121:$B$199,0))</f>
        <v>1250.0000000000002</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0</v>
      </c>
      <c r="V688" s="478">
        <f>IFERROR(MAX(0,INDEX(Input!$1:$1048576,V$93,$C688*2+MIN($B688,2)+5)
+INDEX(Scenarios!V$121:V$199,MATCH($B688,Scenarios!$B$121:$B$199,0)),),"Market")</f>
        <v>1.8999999999999996E-2</v>
      </c>
      <c r="W688" s="863">
        <f>IFERROR(MAX(0,INDEX(Input!$1:$1048576,W$93,$C688*2+MIN($B688,2)+5)-0%),"Market")</f>
        <v>3.9E-2</v>
      </c>
      <c r="X688" s="476" t="str">
        <f>INDEX(Input!$1:$1048576,X$93,$C688*2+MIN($B688,2)+5)</f>
        <v>Y</v>
      </c>
      <c r="Y688" s="475">
        <f>INDEX(Input!$1:$1048576,Y$93,$C688*2+MIN($B688,2)+5)
++INDEX(Scenarios!Y$121:Y$199,MATCH($B688,Scenarios!$B$121:$B$199,0))</f>
        <v>2339.3275155115825</v>
      </c>
      <c r="Z688" s="477">
        <f>INDEX(Input!$1:$1048576,Z$93,$C688*2+MIN($B688,2)+5)
+INDEX(Scenarios!Z$121:Z$199,MATCH($B688,Scenarios!$B$121:$B$199,0))</f>
        <v>0</v>
      </c>
      <c r="AA688" s="475">
        <f>INDEX(Input!$1:$1048576,AA$93,$C688*2+MIN($B688,2)+5)</f>
        <v>0</v>
      </c>
      <c r="AB688" s="476">
        <f>INDEX(Input!$1:$1048576,AB$93,$C688*2+MIN($B688,2)+5)</f>
        <v>1</v>
      </c>
      <c r="AC688" s="475">
        <f>INDEX(Input!$1:$1048576,AC$93,$C688*2+MIN($B688,2)+5)
+INDEX(Scenarios!AC$121:AC$199,MATCH($B688,Scenarios!$B$121:$B$199,0))</f>
        <v>0</v>
      </c>
      <c r="AD688" s="476">
        <f>INDEX(Input!$1:$1048576,AD$93,$C688*2+MIN($B688,2)+5)</f>
        <v>0.35</v>
      </c>
      <c r="AE688" s="475">
        <f>INDEX(Input!$1:$1048576,AE$93,$C688*2+MIN($B688,2)+5)
+INDEX(Scenarios!AE$121:AE$199,MATCH($B688,Scenarios!$B$121:$B$199,0))</f>
        <v>0</v>
      </c>
      <c r="AF688" s="476">
        <f>INDEX(Input!$1:$1048576,AF$93,$C688*2+MIN($B688,2)+5)</f>
        <v>1</v>
      </c>
      <c r="AG688" s="475">
        <f>INDEX(Input!$1:$1048576,AG$93,$C688*2+MIN($B688,2)+5)</f>
        <v>0</v>
      </c>
      <c r="AH688" s="476">
        <f>INDEX(Input!$1:$1048576,AH$93,$C688*2+MIN($B688,2)+5)</f>
        <v>1</v>
      </c>
      <c r="AI688" s="475">
        <f>INDEX(Input!$1:$1048576,AI$93,$C688*2+MIN($B688,2)+5)</f>
        <v>0</v>
      </c>
      <c r="AJ688" s="476">
        <f>INDEX(Input!$1:$1048576,AJ$93,$C688*2+MIN($B688,2)+5)</f>
        <v>0.35</v>
      </c>
      <c r="AK688" s="150">
        <f>ROUND(INDEX(Input!$1:$1048576,AK$93,$C687*2+MIN($B688,1)+5)+(Y688-VLOOKUP($C688*1000+1,$A:$HH,Y$92,FALSE)),0)</f>
        <v>5093</v>
      </c>
      <c r="AL688" s="150">
        <f>ROUND(INDEX(Input!$1:$1048576,AL$93,$C687*2+MIN($B688,1)+5)-(Y688-VLOOKUP($C688*1000+1,$A:$HH,Y$92,FALSE))/36,0)</f>
        <v>5217</v>
      </c>
      <c r="AM688" s="32" t="str">
        <f t="shared" si="2101"/>
        <v>std/std/std/std</v>
      </c>
      <c r="AN688" s="32" t="str">
        <f t="shared" si="2102"/>
        <v>$0 + 0/0/0/1.9/3.9</v>
      </c>
      <c r="AO688" s="32" t="str">
        <f t="shared" si="2103"/>
        <v>0/0/0/1.9/3.9</v>
      </c>
      <c r="AP688" s="32" t="str">
        <f t="shared" si="2074"/>
        <v>0/0.9/1.9/3.9</v>
      </c>
      <c r="AQ688" s="536" t="e">
        <f t="shared" si="2075"/>
        <v>#DIV/0!</v>
      </c>
      <c r="AR688" s="32"/>
      <c r="AS688" s="302"/>
      <c r="AT688" s="3">
        <f t="shared" si="2122"/>
        <v>88</v>
      </c>
      <c r="AU688" s="41" t="s">
        <v>121</v>
      </c>
      <c r="AV688" s="41" t="s">
        <v>116</v>
      </c>
      <c r="AW688" s="41" t="str">
        <f>INDEX(Input!$1:$1048576,AW$93,$C688*2+6)</f>
        <v>Kia</v>
      </c>
      <c r="AX688" s="41" t="str">
        <f>INDEX(Input!$1:$1048576,AX$93,$C688*2+6)</f>
        <v>National</v>
      </c>
      <c r="AY688" s="41" t="str">
        <f>IF(LEN(D688)=0,"",INDEX(Input!$1:$1048576,AY$93,$C688*2+6))</f>
        <v/>
      </c>
      <c r="AZ688" s="41" t="str">
        <f>INDEX(Input!$1:$1048576,AZ$93,$C688*2+6)</f>
        <v>Kia Forte</v>
      </c>
      <c r="BA688" s="3">
        <f>INDEX(Input!$1:$1048576,BA$93,$C688*2+6)</f>
        <v>2020</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19695</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2076"/>
        <v>1250.0000000000002</v>
      </c>
      <c r="CJ688" s="16" t="str">
        <f>INDEX(Input!$1:$1048576,CJ$93,$C688*2+6)</f>
        <v>N</v>
      </c>
      <c r="CK688" s="1" t="str">
        <f t="shared" si="2077"/>
        <v>Market</v>
      </c>
      <c r="CL688" s="1" t="str">
        <f t="shared" si="2078"/>
        <v>Market</v>
      </c>
      <c r="CM688" s="1" t="str">
        <f t="shared" si="2079"/>
        <v>Market</v>
      </c>
      <c r="CN688" s="1" t="str">
        <f t="shared" si="2080"/>
        <v>Market</v>
      </c>
      <c r="CO688" s="1" t="str">
        <f t="shared" si="2081"/>
        <v>Market</v>
      </c>
      <c r="CP688" s="304">
        <f t="shared" si="2082"/>
        <v>0</v>
      </c>
      <c r="CQ688" s="1">
        <f t="shared" si="2083"/>
        <v>0</v>
      </c>
      <c r="CR688" s="1">
        <f t="shared" si="2084"/>
        <v>0</v>
      </c>
      <c r="CS688" s="1">
        <f t="shared" si="2085"/>
        <v>0</v>
      </c>
      <c r="CT688" s="1">
        <f t="shared" si="2086"/>
        <v>1.8999999999999996E-2</v>
      </c>
      <c r="CU688" s="1">
        <f t="shared" si="2087"/>
        <v>3.9E-2</v>
      </c>
      <c r="CV688" s="304">
        <f t="shared" si="2140"/>
        <v>2339.3275155115825</v>
      </c>
      <c r="CW688" s="20" t="s">
        <v>122</v>
      </c>
      <c r="CX688" s="20" t="s">
        <v>122</v>
      </c>
      <c r="CY688" s="20" t="s">
        <v>122</v>
      </c>
      <c r="CZ688" s="20" t="s">
        <v>122</v>
      </c>
      <c r="DA688" s="20" t="s">
        <v>122</v>
      </c>
      <c r="DB688" s="503">
        <f t="shared" si="2141"/>
        <v>0</v>
      </c>
      <c r="DC688" s="127">
        <v>0</v>
      </c>
      <c r="DD688" s="127">
        <v>0</v>
      </c>
      <c r="DE688" s="127">
        <v>0</v>
      </c>
      <c r="DF688" s="127">
        <v>0</v>
      </c>
      <c r="DG688" s="127">
        <v>0</v>
      </c>
      <c r="DH688" s="127">
        <v>0</v>
      </c>
      <c r="DI688" s="127">
        <v>0</v>
      </c>
      <c r="DJ688" s="127">
        <v>0</v>
      </c>
      <c r="DK688" s="127">
        <v>0</v>
      </c>
      <c r="DL688" s="127">
        <v>0</v>
      </c>
      <c r="DM688" s="304">
        <f>INDEX(Input!$1:$1048576,DM$93,$C688*2+6)</f>
        <v>20731.578947368424</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t="e">
        <f t="shared" si="2147"/>
        <v>#DIV/0!</v>
      </c>
      <c r="HN688" s="639" t="e">
        <f t="shared" si="2147"/>
        <v>#DIV/0!</v>
      </c>
      <c r="HO688" s="639" t="e">
        <f t="shared" si="2147"/>
        <v>#DIV/0!</v>
      </c>
      <c r="HP688" s="644">
        <f t="shared" si="2146"/>
        <v>0</v>
      </c>
      <c r="HQ688" s="644">
        <f t="shared" si="2146"/>
        <v>0</v>
      </c>
      <c r="HR688" s="644">
        <f t="shared" si="2146"/>
        <v>0</v>
      </c>
      <c r="HS688" s="644">
        <f t="shared" si="2146"/>
        <v>0</v>
      </c>
      <c r="HT688" s="644">
        <f t="shared" si="2146"/>
        <v>0</v>
      </c>
      <c r="HU688" s="644">
        <f t="shared" si="2146"/>
        <v>0</v>
      </c>
      <c r="HV688" s="644">
        <f t="shared" si="2146"/>
        <v>0</v>
      </c>
      <c r="HW688" s="644">
        <f t="shared" si="2146"/>
        <v>0</v>
      </c>
      <c r="HX688" s="644">
        <f t="shared" si="2146"/>
        <v>0</v>
      </c>
      <c r="HY688" s="644">
        <f t="shared" si="2146"/>
        <v>0</v>
      </c>
      <c r="HZ688" s="644">
        <f t="shared" si="2146"/>
        <v>0</v>
      </c>
      <c r="IA688" s="644">
        <f t="shared" si="2146"/>
        <v>0</v>
      </c>
      <c r="IB688" s="644">
        <f t="shared" si="2146"/>
        <v>0</v>
      </c>
      <c r="IC688" s="644">
        <f t="shared" si="2146"/>
        <v>0</v>
      </c>
      <c r="ID688" s="644">
        <f t="shared" si="2146"/>
        <v>0</v>
      </c>
      <c r="IE688" s="20" t="e">
        <f t="shared" si="2106"/>
        <v>#DIV/0!</v>
      </c>
      <c r="IF688" s="20" t="e">
        <f t="shared" si="2090"/>
        <v>#DIV/0!</v>
      </c>
      <c r="IG688" s="20" t="e">
        <f t="shared" si="2091"/>
        <v>#DIV/0!</v>
      </c>
      <c r="IH688" s="21"/>
      <c r="II688" s="19"/>
      <c r="IJ688" s="19"/>
      <c r="IK688" s="19"/>
      <c r="IL688" s="19" t="e">
        <f t="shared" si="2107"/>
        <v>#DIV/0!</v>
      </c>
      <c r="IM688" s="19" t="e">
        <f t="shared" si="2107"/>
        <v>#DIV/0!</v>
      </c>
      <c r="IN688" s="19" t="e">
        <f t="shared" si="2107"/>
        <v>#DIV/0!</v>
      </c>
      <c r="IO688" s="39"/>
      <c r="IP688" s="39"/>
      <c r="IQ688" s="39"/>
      <c r="IR688" s="39"/>
      <c r="IS688" s="39"/>
      <c r="IT688" s="39"/>
      <c r="IU688" s="39"/>
      <c r="IV688" s="39"/>
      <c r="IW688" s="39"/>
      <c r="IX688" s="19" t="e">
        <f t="shared" si="2148"/>
        <v>#DIV/0!</v>
      </c>
      <c r="IY688" s="19" t="e">
        <f t="shared" si="2148"/>
        <v>#DIV/0!</v>
      </c>
      <c r="IZ688" s="19" t="e">
        <f t="shared" si="2148"/>
        <v>#DIV/0!</v>
      </c>
      <c r="JA688" s="19">
        <f t="shared" si="2149"/>
        <v>0</v>
      </c>
      <c r="JB688" s="19">
        <f t="shared" si="2149"/>
        <v>0</v>
      </c>
      <c r="JC688" s="19">
        <f t="shared" si="2149"/>
        <v>0</v>
      </c>
      <c r="JD688" s="19" t="e">
        <f t="shared" si="2110"/>
        <v>#DIV/0!</v>
      </c>
      <c r="JE688" s="21"/>
      <c r="JF688" s="1" t="e">
        <f t="shared" si="2111"/>
        <v>#DIV/0!</v>
      </c>
      <c r="JG688" s="15">
        <f t="shared" si="2112"/>
        <v>0</v>
      </c>
      <c r="JH688" s="1" t="e">
        <f t="shared" si="2113"/>
        <v>#DIV/0!</v>
      </c>
      <c r="JI688" s="1" t="e">
        <f t="shared" si="2114"/>
        <v>#DIV/0!</v>
      </c>
      <c r="JJ688" s="1" t="e">
        <f t="shared" si="2092"/>
        <v>#DIV/0!</v>
      </c>
      <c r="JK688" s="1" t="e">
        <f t="shared" si="2093"/>
        <v>#DIV/0!</v>
      </c>
      <c r="JL688" s="15">
        <f t="shared" si="2150"/>
        <v>0</v>
      </c>
      <c r="JM688" s="15">
        <f t="shared" si="2150"/>
        <v>0</v>
      </c>
      <c r="JN688" s="21"/>
      <c r="JO688" s="19">
        <f>INDEX([1]Input!$1:$1048576,JO$93,$C688*2+6)</f>
        <v>5995.5</v>
      </c>
      <c r="JP688" s="19">
        <f>INDEX([1]Input!$1:$1048576,JP$93,$C688*2+6)</f>
        <v>1716.3055838443925</v>
      </c>
      <c r="JQ688" s="39" t="e">
        <f t="shared" si="2124"/>
        <v>#DIV/0!</v>
      </c>
      <c r="JR688" s="39" t="e">
        <f t="shared" si="2125"/>
        <v>#DIV/0!</v>
      </c>
      <c r="JS688" s="39" t="e">
        <f t="shared" si="2126"/>
        <v>#DIV/0!</v>
      </c>
      <c r="JT688" s="39" t="e">
        <f t="shared" si="2116"/>
        <v>#DIV/0!</v>
      </c>
      <c r="JU688" s="385" t="e">
        <f>(JQ688*JM688-INDEX([1]Input!$1:$1048576,[1]Input!A$18,$C688*2+6)*JL688*INDEX([1]Input!$1:$1048576,[1]Input!A$19,$C688*2+6))/1000000</f>
        <v>#DIV/0!</v>
      </c>
      <c r="JV688" s="39" t="e">
        <f t="shared" si="2094"/>
        <v>#DIV/0!</v>
      </c>
      <c r="JW688" s="1" t="e">
        <f t="shared" si="2129"/>
        <v>#DIV/0!</v>
      </c>
      <c r="JX688" s="19">
        <f t="shared" si="2130"/>
        <v>0</v>
      </c>
      <c r="JZ688" s="341"/>
      <c r="KA688" s="60"/>
      <c r="KB688" s="469">
        <f t="shared" si="2117"/>
        <v>0</v>
      </c>
      <c r="KI688" s="472"/>
      <c r="KJ688" s="472"/>
      <c r="KK688" s="472"/>
      <c r="KN688" s="26">
        <f t="shared" si="2118"/>
        <v>6002</v>
      </c>
      <c r="KO688" s="789">
        <f t="shared" si="2095"/>
        <v>-1</v>
      </c>
      <c r="KP688" s="790" t="e">
        <f t="shared" si="2096"/>
        <v>#DIV/0!</v>
      </c>
      <c r="KQ688" s="790" t="e">
        <f t="shared" si="2097"/>
        <v>#DIV/0!</v>
      </c>
      <c r="KR688" s="26" t="e">
        <f t="shared" si="2098"/>
        <v>#DIV/0!</v>
      </c>
      <c r="KS688" s="26" t="e">
        <f t="shared" si="2099"/>
        <v>#DIV/0!</v>
      </c>
      <c r="KT688" s="791">
        <f t="shared" si="2127"/>
        <v>2521.945896759994</v>
      </c>
      <c r="KU688" s="792">
        <f t="shared" si="2119"/>
        <v>0</v>
      </c>
    </row>
    <row r="689" spans="1:307" s="26" customFormat="1" ht="15" outlineLevel="1">
      <c r="A689" s="561">
        <f t="shared" si="2100"/>
        <v>6089</v>
      </c>
      <c r="B689" s="561">
        <f t="shared" si="2120"/>
        <v>89</v>
      </c>
      <c r="C689" s="561">
        <f t="shared" si="2121"/>
        <v>6</v>
      </c>
      <c r="D689" s="561" t="str">
        <f t="shared" si="2151"/>
        <v/>
      </c>
      <c r="E689" s="475">
        <f>INDEX(Input!$1:$1048576,E$93,$C689*2+MIN($B689,2)+5)
+INDEX(Scenarios!E$121:E$199,MATCH($B689,Scenarios!$B$121:$B$199,0))</f>
        <v>1250.0000000000002</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0</v>
      </c>
      <c r="V689" s="478">
        <f>IFERROR(MAX(0,INDEX(Input!$1:$1048576,V$93,$C689*2+MIN($B689,2)+5)
+INDEX(Scenarios!V$121:V$199,MATCH($B689,Scenarios!$B$121:$B$199,0)),),"Market")</f>
        <v>1.8999999999999996E-2</v>
      </c>
      <c r="W689" s="863">
        <f>IFERROR(MAX(0,INDEX(Input!$1:$1048576,W$93,$C689*2+MIN($B689,2)+5)-0%),"Market")</f>
        <v>3.9E-2</v>
      </c>
      <c r="X689" s="476" t="str">
        <f>INDEX(Input!$1:$1048576,X$93,$C689*2+MIN($B689,2)+5)</f>
        <v>Y</v>
      </c>
      <c r="Y689" s="475">
        <f>INDEX(Input!$1:$1048576,Y$93,$C689*2+MIN($B689,2)+5)
++INDEX(Scenarios!Y$121:Y$199,MATCH($B689,Scenarios!$B$121:$B$199,0))</f>
        <v>2339.3275155115825</v>
      </c>
      <c r="Z689" s="477">
        <f>INDEX(Input!$1:$1048576,Z$93,$C689*2+MIN($B689,2)+5)
+INDEX(Scenarios!Z$121:Z$199,MATCH($B689,Scenarios!$B$121:$B$199,0))</f>
        <v>0</v>
      </c>
      <c r="AA689" s="475">
        <f>INDEX(Input!$1:$1048576,AA$93,$C689*2+MIN($B689,2)+5)</f>
        <v>0</v>
      </c>
      <c r="AB689" s="476">
        <f>INDEX(Input!$1:$1048576,AB$93,$C689*2+MIN($B689,2)+5)</f>
        <v>1</v>
      </c>
      <c r="AC689" s="475">
        <f>INDEX(Input!$1:$1048576,AC$93,$C689*2+MIN($B689,2)+5)
+INDEX(Scenarios!AC$121:AC$199,MATCH($B689,Scenarios!$B$121:$B$199,0))</f>
        <v>0</v>
      </c>
      <c r="AD689" s="476">
        <f>INDEX(Input!$1:$1048576,AD$93,$C689*2+MIN($B689,2)+5)</f>
        <v>0.35</v>
      </c>
      <c r="AE689" s="475">
        <f>INDEX(Input!$1:$1048576,AE$93,$C689*2+MIN($B689,2)+5)
+INDEX(Scenarios!AE$121:AE$199,MATCH($B689,Scenarios!$B$121:$B$199,0))</f>
        <v>0</v>
      </c>
      <c r="AF689" s="476">
        <f>INDEX(Input!$1:$1048576,AF$93,$C689*2+MIN($B689,2)+5)</f>
        <v>1</v>
      </c>
      <c r="AG689" s="475">
        <f>INDEX(Input!$1:$1048576,AG$93,$C689*2+MIN($B689,2)+5)</f>
        <v>0</v>
      </c>
      <c r="AH689" s="476">
        <f>INDEX(Input!$1:$1048576,AH$93,$C689*2+MIN($B689,2)+5)</f>
        <v>1</v>
      </c>
      <c r="AI689" s="475">
        <f>INDEX(Input!$1:$1048576,AI$93,$C689*2+MIN($B689,2)+5)</f>
        <v>0</v>
      </c>
      <c r="AJ689" s="476">
        <f>INDEX(Input!$1:$1048576,AJ$93,$C689*2+MIN($B689,2)+5)</f>
        <v>0.35</v>
      </c>
      <c r="AK689" s="150">
        <f>ROUND(INDEX(Input!$1:$1048576,AK$93,$C688*2+MIN($B689,1)+5)+(Y689-VLOOKUP($C689*1000+1,$A:$HH,Y$92,FALSE)),0)</f>
        <v>5093</v>
      </c>
      <c r="AL689" s="150">
        <f>ROUND(INDEX(Input!$1:$1048576,AL$93,$C688*2+MIN($B689,1)+5)-(Y689-VLOOKUP($C689*1000+1,$A:$HH,Y$92,FALSE))/36,0)</f>
        <v>5217</v>
      </c>
      <c r="AM689" s="32" t="str">
        <f t="shared" si="2101"/>
        <v>std/std/std/std</v>
      </c>
      <c r="AN689" s="32" t="str">
        <f t="shared" si="2102"/>
        <v>$0 + 0/0/0/1.9/3.9</v>
      </c>
      <c r="AO689" s="32" t="str">
        <f t="shared" si="2103"/>
        <v>0/0/0/1.9/3.9</v>
      </c>
      <c r="AP689" s="32" t="str">
        <f t="shared" si="2074"/>
        <v>0/0.9/1.9/3.9</v>
      </c>
      <c r="AQ689" s="536" t="e">
        <f t="shared" si="2075"/>
        <v>#DIV/0!</v>
      </c>
      <c r="AR689" s="32"/>
      <c r="AS689" s="302"/>
      <c r="AT689" s="3">
        <f t="shared" si="2122"/>
        <v>89</v>
      </c>
      <c r="AU689" s="41" t="s">
        <v>121</v>
      </c>
      <c r="AV689" s="41" t="s">
        <v>116</v>
      </c>
      <c r="AW689" s="41" t="str">
        <f>INDEX(Input!$1:$1048576,AW$93,$C689*2+6)</f>
        <v>Kia</v>
      </c>
      <c r="AX689" s="41" t="str">
        <f>INDEX(Input!$1:$1048576,AX$93,$C689*2+6)</f>
        <v>National</v>
      </c>
      <c r="AY689" s="41" t="str">
        <f>IF(LEN(D689)=0,"",INDEX(Input!$1:$1048576,AY$93,$C689*2+6))</f>
        <v/>
      </c>
      <c r="AZ689" s="41" t="str">
        <f>INDEX(Input!$1:$1048576,AZ$93,$C689*2+6)</f>
        <v>Kia Forte</v>
      </c>
      <c r="BA689" s="3">
        <f>INDEX(Input!$1:$1048576,BA$93,$C689*2+6)</f>
        <v>2020</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19695</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2076"/>
        <v>1250.0000000000002</v>
      </c>
      <c r="CJ689" s="16" t="str">
        <f>INDEX(Input!$1:$1048576,CJ$93,$C689*2+6)</f>
        <v>N</v>
      </c>
      <c r="CK689" s="1" t="str">
        <f t="shared" si="2077"/>
        <v>Market</v>
      </c>
      <c r="CL689" s="1" t="str">
        <f t="shared" si="2078"/>
        <v>Market</v>
      </c>
      <c r="CM689" s="1" t="str">
        <f t="shared" si="2079"/>
        <v>Market</v>
      </c>
      <c r="CN689" s="1" t="str">
        <f t="shared" si="2080"/>
        <v>Market</v>
      </c>
      <c r="CO689" s="1" t="str">
        <f t="shared" si="2081"/>
        <v>Market</v>
      </c>
      <c r="CP689" s="304">
        <f t="shared" si="2082"/>
        <v>0</v>
      </c>
      <c r="CQ689" s="1">
        <f t="shared" si="2083"/>
        <v>0</v>
      </c>
      <c r="CR689" s="1">
        <f t="shared" si="2084"/>
        <v>0</v>
      </c>
      <c r="CS689" s="1">
        <f t="shared" si="2085"/>
        <v>0</v>
      </c>
      <c r="CT689" s="1">
        <f t="shared" si="2086"/>
        <v>1.8999999999999996E-2</v>
      </c>
      <c r="CU689" s="1">
        <f t="shared" si="2087"/>
        <v>3.9E-2</v>
      </c>
      <c r="CV689" s="304">
        <f t="shared" si="2140"/>
        <v>2339.3275155115825</v>
      </c>
      <c r="CW689" s="20" t="s">
        <v>122</v>
      </c>
      <c r="CX689" s="20" t="s">
        <v>122</v>
      </c>
      <c r="CY689" s="20" t="s">
        <v>122</v>
      </c>
      <c r="CZ689" s="20" t="s">
        <v>122</v>
      </c>
      <c r="DA689" s="20" t="s">
        <v>122</v>
      </c>
      <c r="DB689" s="503">
        <f t="shared" si="2141"/>
        <v>0</v>
      </c>
      <c r="DC689" s="127">
        <v>0</v>
      </c>
      <c r="DD689" s="127">
        <v>0</v>
      </c>
      <c r="DE689" s="127">
        <v>0</v>
      </c>
      <c r="DF689" s="127">
        <v>0</v>
      </c>
      <c r="DG689" s="127">
        <v>0</v>
      </c>
      <c r="DH689" s="127">
        <v>0</v>
      </c>
      <c r="DI689" s="127">
        <v>0</v>
      </c>
      <c r="DJ689" s="127">
        <v>0</v>
      </c>
      <c r="DK689" s="127">
        <v>0</v>
      </c>
      <c r="DL689" s="127">
        <v>0</v>
      </c>
      <c r="DM689" s="304">
        <f>INDEX(Input!$1:$1048576,DM$93,$C689*2+6)</f>
        <v>20731.578947368424</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t="e">
        <f t="shared" si="2147"/>
        <v>#DIV/0!</v>
      </c>
      <c r="HN689" s="639" t="e">
        <f t="shared" si="2147"/>
        <v>#DIV/0!</v>
      </c>
      <c r="HO689" s="639" t="e">
        <f t="shared" si="2147"/>
        <v>#DIV/0!</v>
      </c>
      <c r="HP689" s="644">
        <f t="shared" si="2146"/>
        <v>0</v>
      </c>
      <c r="HQ689" s="644">
        <f t="shared" si="2146"/>
        <v>0</v>
      </c>
      <c r="HR689" s="644">
        <f t="shared" si="2146"/>
        <v>0</v>
      </c>
      <c r="HS689" s="644">
        <f t="shared" si="2146"/>
        <v>0</v>
      </c>
      <c r="HT689" s="644">
        <f t="shared" si="2146"/>
        <v>0</v>
      </c>
      <c r="HU689" s="644">
        <f t="shared" si="2146"/>
        <v>0</v>
      </c>
      <c r="HV689" s="644">
        <f t="shared" si="2146"/>
        <v>0</v>
      </c>
      <c r="HW689" s="644">
        <f t="shared" si="2146"/>
        <v>0</v>
      </c>
      <c r="HX689" s="644">
        <f t="shared" si="2146"/>
        <v>0</v>
      </c>
      <c r="HY689" s="644">
        <f t="shared" si="2146"/>
        <v>0</v>
      </c>
      <c r="HZ689" s="644">
        <f t="shared" si="2146"/>
        <v>0</v>
      </c>
      <c r="IA689" s="644">
        <f t="shared" si="2146"/>
        <v>0</v>
      </c>
      <c r="IB689" s="644">
        <f t="shared" si="2146"/>
        <v>0</v>
      </c>
      <c r="IC689" s="644">
        <f t="shared" si="2146"/>
        <v>0</v>
      </c>
      <c r="ID689" s="644">
        <f t="shared" si="2146"/>
        <v>0</v>
      </c>
      <c r="IE689" s="20" t="e">
        <f t="shared" si="2106"/>
        <v>#DIV/0!</v>
      </c>
      <c r="IF689" s="20" t="e">
        <f t="shared" si="2090"/>
        <v>#DIV/0!</v>
      </c>
      <c r="IG689" s="20" t="e">
        <f t="shared" si="2091"/>
        <v>#DIV/0!</v>
      </c>
      <c r="IH689" s="21"/>
      <c r="II689" s="19"/>
      <c r="IJ689" s="19"/>
      <c r="IK689" s="19"/>
      <c r="IL689" s="19" t="e">
        <f t="shared" si="2107"/>
        <v>#DIV/0!</v>
      </c>
      <c r="IM689" s="19" t="e">
        <f t="shared" si="2107"/>
        <v>#DIV/0!</v>
      </c>
      <c r="IN689" s="19" t="e">
        <f t="shared" si="2107"/>
        <v>#DIV/0!</v>
      </c>
      <c r="IO689" s="39"/>
      <c r="IP689" s="39"/>
      <c r="IQ689" s="39"/>
      <c r="IR689" s="39"/>
      <c r="IS689" s="39"/>
      <c r="IT689" s="39"/>
      <c r="IU689" s="39"/>
      <c r="IV689" s="39"/>
      <c r="IW689" s="39"/>
      <c r="IX689" s="19" t="e">
        <f t="shared" si="2148"/>
        <v>#DIV/0!</v>
      </c>
      <c r="IY689" s="19" t="e">
        <f t="shared" si="2148"/>
        <v>#DIV/0!</v>
      </c>
      <c r="IZ689" s="19" t="e">
        <f t="shared" si="2148"/>
        <v>#DIV/0!</v>
      </c>
      <c r="JA689" s="19">
        <f t="shared" si="2149"/>
        <v>0</v>
      </c>
      <c r="JB689" s="19">
        <f t="shared" si="2149"/>
        <v>0</v>
      </c>
      <c r="JC689" s="19">
        <f t="shared" si="2149"/>
        <v>0</v>
      </c>
      <c r="JD689" s="19" t="e">
        <f t="shared" si="2110"/>
        <v>#DIV/0!</v>
      </c>
      <c r="JE689" s="21"/>
      <c r="JF689" s="1" t="e">
        <f t="shared" si="2111"/>
        <v>#DIV/0!</v>
      </c>
      <c r="JG689" s="15">
        <f t="shared" si="2112"/>
        <v>0</v>
      </c>
      <c r="JH689" s="1" t="e">
        <f t="shared" si="2113"/>
        <v>#DIV/0!</v>
      </c>
      <c r="JI689" s="1" t="e">
        <f t="shared" si="2114"/>
        <v>#DIV/0!</v>
      </c>
      <c r="JJ689" s="1" t="e">
        <f t="shared" si="2092"/>
        <v>#DIV/0!</v>
      </c>
      <c r="JK689" s="1" t="e">
        <f t="shared" si="2093"/>
        <v>#DIV/0!</v>
      </c>
      <c r="JL689" s="15">
        <f t="shared" si="2150"/>
        <v>0</v>
      </c>
      <c r="JM689" s="15">
        <f t="shared" si="2150"/>
        <v>0</v>
      </c>
      <c r="JN689" s="21"/>
      <c r="JO689" s="19">
        <f>INDEX([1]Input!$1:$1048576,JO$93,$C689*2+6)</f>
        <v>5995.5</v>
      </c>
      <c r="JP689" s="19">
        <f>INDEX([1]Input!$1:$1048576,JP$93,$C689*2+6)</f>
        <v>1716.3055838443925</v>
      </c>
      <c r="JQ689" s="39" t="e">
        <f t="shared" si="2124"/>
        <v>#DIV/0!</v>
      </c>
      <c r="JR689" s="39" t="e">
        <f t="shared" si="2125"/>
        <v>#DIV/0!</v>
      </c>
      <c r="JS689" s="39" t="e">
        <f t="shared" si="2126"/>
        <v>#DIV/0!</v>
      </c>
      <c r="JT689" s="39" t="e">
        <f t="shared" si="2116"/>
        <v>#DIV/0!</v>
      </c>
      <c r="JU689" s="385" t="e">
        <f>(JQ689*JM689-INDEX([1]Input!$1:$1048576,[1]Input!A$18,$C689*2+6)*JL689*INDEX([1]Input!$1:$1048576,[1]Input!A$19,$C689*2+6))/1000000</f>
        <v>#DIV/0!</v>
      </c>
      <c r="JV689" s="39" t="e">
        <f t="shared" si="2094"/>
        <v>#DIV/0!</v>
      </c>
      <c r="JW689" s="1" t="e">
        <f t="shared" si="2129"/>
        <v>#DIV/0!</v>
      </c>
      <c r="JX689" s="19">
        <f t="shared" si="2130"/>
        <v>0</v>
      </c>
      <c r="JZ689" s="341"/>
      <c r="KA689" s="60"/>
      <c r="KB689" s="469">
        <f t="shared" si="2117"/>
        <v>0</v>
      </c>
      <c r="KI689" s="472"/>
      <c r="KJ689" s="472"/>
      <c r="KK689" s="472"/>
      <c r="KN689" s="26">
        <f t="shared" si="2118"/>
        <v>6002</v>
      </c>
      <c r="KO689" s="789">
        <f t="shared" si="2095"/>
        <v>-1</v>
      </c>
      <c r="KP689" s="790" t="e">
        <f t="shared" si="2096"/>
        <v>#DIV/0!</v>
      </c>
      <c r="KQ689" s="790" t="e">
        <f t="shared" si="2097"/>
        <v>#DIV/0!</v>
      </c>
      <c r="KR689" s="26" t="e">
        <f t="shared" si="2098"/>
        <v>#DIV/0!</v>
      </c>
      <c r="KS689" s="26" t="e">
        <f t="shared" si="2099"/>
        <v>#DIV/0!</v>
      </c>
      <c r="KT689" s="791">
        <f t="shared" si="2127"/>
        <v>2521.945896759994</v>
      </c>
      <c r="KU689" s="792">
        <f t="shared" si="2119"/>
        <v>0</v>
      </c>
    </row>
    <row r="690" spans="1:307" s="26" customFormat="1" ht="15" outlineLevel="1">
      <c r="A690" s="561">
        <f t="shared" si="2100"/>
        <v>6090</v>
      </c>
      <c r="B690" s="561">
        <f t="shared" si="2120"/>
        <v>90</v>
      </c>
      <c r="C690" s="561">
        <f t="shared" si="2121"/>
        <v>6</v>
      </c>
      <c r="D690" s="561" t="str">
        <f t="shared" si="2151"/>
        <v/>
      </c>
      <c r="E690" s="475">
        <f>INDEX(Input!$1:$1048576,E$93,$C690*2+MIN($B690,2)+5)
+INDEX(Scenarios!E$121:E$199,MATCH($B690,Scenarios!$B$121:$B$199,0))</f>
        <v>1250.0000000000002</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0</v>
      </c>
      <c r="V690" s="478">
        <f>IFERROR(MAX(0,INDEX(Input!$1:$1048576,V$93,$C690*2+MIN($B690,2)+5)
+INDEX(Scenarios!V$121:V$199,MATCH($B690,Scenarios!$B$121:$B$199,0)),),"Market")</f>
        <v>1.8999999999999996E-2</v>
      </c>
      <c r="W690" s="863">
        <f>IFERROR(MAX(0,INDEX(Input!$1:$1048576,W$93,$C690*2+MIN($B690,2)+5)-0%),"Market")</f>
        <v>3.9E-2</v>
      </c>
      <c r="X690" s="476" t="str">
        <f>INDEX(Input!$1:$1048576,X$93,$C690*2+MIN($B690,2)+5)</f>
        <v>Y</v>
      </c>
      <c r="Y690" s="475">
        <f>INDEX(Input!$1:$1048576,Y$93,$C690*2+MIN($B690,2)+5)
++INDEX(Scenarios!Y$121:Y$199,MATCH($B690,Scenarios!$B$121:$B$199,0))</f>
        <v>2339.3275155115825</v>
      </c>
      <c r="Z690" s="477">
        <f>INDEX(Input!$1:$1048576,Z$93,$C690*2+MIN($B690,2)+5)
+INDEX(Scenarios!Z$121:Z$199,MATCH($B690,Scenarios!$B$121:$B$199,0))</f>
        <v>0</v>
      </c>
      <c r="AA690" s="475">
        <f>INDEX(Input!$1:$1048576,AA$93,$C690*2+MIN($B690,2)+5)</f>
        <v>0</v>
      </c>
      <c r="AB690" s="476">
        <f>INDEX(Input!$1:$1048576,AB$93,$C690*2+MIN($B690,2)+5)</f>
        <v>1</v>
      </c>
      <c r="AC690" s="475">
        <f>INDEX(Input!$1:$1048576,AC$93,$C690*2+MIN($B690,2)+5)
+INDEX(Scenarios!AC$121:AC$199,MATCH($B690,Scenarios!$B$121:$B$199,0))</f>
        <v>0</v>
      </c>
      <c r="AD690" s="476">
        <f>INDEX(Input!$1:$1048576,AD$93,$C690*2+MIN($B690,2)+5)</f>
        <v>0.35</v>
      </c>
      <c r="AE690" s="475">
        <f>INDEX(Input!$1:$1048576,AE$93,$C690*2+MIN($B690,2)+5)
+INDEX(Scenarios!AE$121:AE$199,MATCH($B690,Scenarios!$B$121:$B$199,0))</f>
        <v>0</v>
      </c>
      <c r="AF690" s="476">
        <f>INDEX(Input!$1:$1048576,AF$93,$C690*2+MIN($B690,2)+5)</f>
        <v>1</v>
      </c>
      <c r="AG690" s="475">
        <f>INDEX(Input!$1:$1048576,AG$93,$C690*2+MIN($B690,2)+5)</f>
        <v>0</v>
      </c>
      <c r="AH690" s="476">
        <f>INDEX(Input!$1:$1048576,AH$93,$C690*2+MIN($B690,2)+5)</f>
        <v>1</v>
      </c>
      <c r="AI690" s="475">
        <f>INDEX(Input!$1:$1048576,AI$93,$C690*2+MIN($B690,2)+5)</f>
        <v>0</v>
      </c>
      <c r="AJ690" s="476">
        <f>INDEX(Input!$1:$1048576,AJ$93,$C690*2+MIN($B690,2)+5)</f>
        <v>0.35</v>
      </c>
      <c r="AK690" s="150">
        <f>ROUND(INDEX(Input!$1:$1048576,AK$93,$C689*2+MIN($B690,1)+5)+(Y690-VLOOKUP($C690*1000+1,$A:$HH,Y$92,FALSE)),0)</f>
        <v>5093</v>
      </c>
      <c r="AL690" s="150">
        <f>ROUND(INDEX(Input!$1:$1048576,AL$93,$C689*2+MIN($B690,1)+5)-(Y690-VLOOKUP($C690*1000+1,$A:$HH,Y$92,FALSE))/36,0)</f>
        <v>5217</v>
      </c>
      <c r="AM690" s="32" t="str">
        <f t="shared" si="2101"/>
        <v>std/std/std/std</v>
      </c>
      <c r="AN690" s="32" t="str">
        <f t="shared" si="2102"/>
        <v>$0 + 0/0/0/1.9/3.9</v>
      </c>
      <c r="AO690" s="32" t="str">
        <f t="shared" si="2103"/>
        <v>0/0/0/1.9/3.9</v>
      </c>
      <c r="AP690" s="32" t="str">
        <f t="shared" si="2074"/>
        <v>0/0.9/1.9/3.9</v>
      </c>
      <c r="AQ690" s="536" t="e">
        <f t="shared" si="2075"/>
        <v>#DIV/0!</v>
      </c>
      <c r="AR690" s="32"/>
      <c r="AS690" s="302"/>
      <c r="AT690" s="3">
        <f t="shared" si="2122"/>
        <v>90</v>
      </c>
      <c r="AU690" s="41" t="s">
        <v>121</v>
      </c>
      <c r="AV690" s="41" t="s">
        <v>116</v>
      </c>
      <c r="AW690" s="41" t="str">
        <f>INDEX(Input!$1:$1048576,AW$93,$C690*2+6)</f>
        <v>Kia</v>
      </c>
      <c r="AX690" s="41" t="str">
        <f>INDEX(Input!$1:$1048576,AX$93,$C690*2+6)</f>
        <v>National</v>
      </c>
      <c r="AY690" s="41" t="str">
        <f>IF(LEN(D690)=0,"",INDEX(Input!$1:$1048576,AY$93,$C690*2+6))</f>
        <v/>
      </c>
      <c r="AZ690" s="41" t="str">
        <f>INDEX(Input!$1:$1048576,AZ$93,$C690*2+6)</f>
        <v>Kia Forte</v>
      </c>
      <c r="BA690" s="3">
        <f>INDEX(Input!$1:$1048576,BA$93,$C690*2+6)</f>
        <v>2020</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19695</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2076"/>
        <v>1250.0000000000002</v>
      </c>
      <c r="CJ690" s="16" t="str">
        <f>INDEX(Input!$1:$1048576,CJ$93,$C690*2+6)</f>
        <v>N</v>
      </c>
      <c r="CK690" s="1" t="str">
        <f t="shared" si="2077"/>
        <v>Market</v>
      </c>
      <c r="CL690" s="1" t="str">
        <f t="shared" si="2078"/>
        <v>Market</v>
      </c>
      <c r="CM690" s="1" t="str">
        <f t="shared" si="2079"/>
        <v>Market</v>
      </c>
      <c r="CN690" s="1" t="str">
        <f t="shared" si="2080"/>
        <v>Market</v>
      </c>
      <c r="CO690" s="1" t="str">
        <f t="shared" si="2081"/>
        <v>Market</v>
      </c>
      <c r="CP690" s="304">
        <f t="shared" si="2082"/>
        <v>0</v>
      </c>
      <c r="CQ690" s="1">
        <f t="shared" si="2083"/>
        <v>0</v>
      </c>
      <c r="CR690" s="1">
        <f t="shared" si="2084"/>
        <v>0</v>
      </c>
      <c r="CS690" s="1">
        <f t="shared" si="2085"/>
        <v>0</v>
      </c>
      <c r="CT690" s="1">
        <f t="shared" si="2086"/>
        <v>1.8999999999999996E-2</v>
      </c>
      <c r="CU690" s="1">
        <f t="shared" si="2087"/>
        <v>3.9E-2</v>
      </c>
      <c r="CV690" s="304">
        <f t="shared" si="2140"/>
        <v>2339.3275155115825</v>
      </c>
      <c r="CW690" s="20" t="s">
        <v>122</v>
      </c>
      <c r="CX690" s="20" t="s">
        <v>122</v>
      </c>
      <c r="CY690" s="20" t="s">
        <v>122</v>
      </c>
      <c r="CZ690" s="20" t="s">
        <v>122</v>
      </c>
      <c r="DA690" s="20" t="s">
        <v>122</v>
      </c>
      <c r="DB690" s="503">
        <f t="shared" si="2141"/>
        <v>0</v>
      </c>
      <c r="DC690" s="127">
        <v>0</v>
      </c>
      <c r="DD690" s="127">
        <v>0</v>
      </c>
      <c r="DE690" s="127">
        <v>0</v>
      </c>
      <c r="DF690" s="127">
        <v>0</v>
      </c>
      <c r="DG690" s="127">
        <v>0</v>
      </c>
      <c r="DH690" s="127">
        <v>0</v>
      </c>
      <c r="DI690" s="127">
        <v>0</v>
      </c>
      <c r="DJ690" s="127">
        <v>0</v>
      </c>
      <c r="DK690" s="127">
        <v>0</v>
      </c>
      <c r="DL690" s="127">
        <v>0</v>
      </c>
      <c r="DM690" s="304">
        <f>INDEX(Input!$1:$1048576,DM$93,$C690*2+6)</f>
        <v>20731.578947368424</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t="e">
        <f t="shared" si="2147"/>
        <v>#DIV/0!</v>
      </c>
      <c r="HN690" s="639" t="e">
        <f t="shared" si="2147"/>
        <v>#DIV/0!</v>
      </c>
      <c r="HO690" s="639" t="e">
        <f t="shared" si="2147"/>
        <v>#DIV/0!</v>
      </c>
      <c r="HP690" s="644">
        <f t="shared" si="2146"/>
        <v>0</v>
      </c>
      <c r="HQ690" s="644">
        <f t="shared" si="2146"/>
        <v>0</v>
      </c>
      <c r="HR690" s="644">
        <f t="shared" si="2146"/>
        <v>0</v>
      </c>
      <c r="HS690" s="644">
        <f t="shared" si="2146"/>
        <v>0</v>
      </c>
      <c r="HT690" s="644">
        <f t="shared" si="2146"/>
        <v>0</v>
      </c>
      <c r="HU690" s="644">
        <f t="shared" si="2146"/>
        <v>0</v>
      </c>
      <c r="HV690" s="644">
        <f t="shared" si="2146"/>
        <v>0</v>
      </c>
      <c r="HW690" s="644">
        <f t="shared" si="2146"/>
        <v>0</v>
      </c>
      <c r="HX690" s="644">
        <f t="shared" si="2146"/>
        <v>0</v>
      </c>
      <c r="HY690" s="644">
        <f t="shared" si="2146"/>
        <v>0</v>
      </c>
      <c r="HZ690" s="644">
        <f t="shared" si="2146"/>
        <v>0</v>
      </c>
      <c r="IA690" s="644">
        <f t="shared" si="2146"/>
        <v>0</v>
      </c>
      <c r="IB690" s="644">
        <f t="shared" si="2146"/>
        <v>0</v>
      </c>
      <c r="IC690" s="644">
        <f t="shared" si="2146"/>
        <v>0</v>
      </c>
      <c r="ID690" s="644">
        <f t="shared" si="2146"/>
        <v>0</v>
      </c>
      <c r="IE690" s="20" t="e">
        <f t="shared" si="2106"/>
        <v>#DIV/0!</v>
      </c>
      <c r="IF690" s="20" t="e">
        <f t="shared" si="2090"/>
        <v>#DIV/0!</v>
      </c>
      <c r="IG690" s="20" t="e">
        <f t="shared" si="2091"/>
        <v>#DIV/0!</v>
      </c>
      <c r="IH690" s="21"/>
      <c r="II690" s="19"/>
      <c r="IJ690" s="19"/>
      <c r="IK690" s="19"/>
      <c r="IL690" s="19" t="e">
        <f t="shared" si="2107"/>
        <v>#DIV/0!</v>
      </c>
      <c r="IM690" s="19" t="e">
        <f t="shared" si="2107"/>
        <v>#DIV/0!</v>
      </c>
      <c r="IN690" s="19" t="e">
        <f t="shared" si="2107"/>
        <v>#DIV/0!</v>
      </c>
      <c r="IO690" s="39"/>
      <c r="IP690" s="39"/>
      <c r="IQ690" s="39"/>
      <c r="IR690" s="39"/>
      <c r="IS690" s="39"/>
      <c r="IT690" s="39"/>
      <c r="IU690" s="39"/>
      <c r="IV690" s="39"/>
      <c r="IW690" s="39"/>
      <c r="IX690" s="19" t="e">
        <f t="shared" si="2148"/>
        <v>#DIV/0!</v>
      </c>
      <c r="IY690" s="19" t="e">
        <f t="shared" si="2148"/>
        <v>#DIV/0!</v>
      </c>
      <c r="IZ690" s="19" t="e">
        <f t="shared" si="2148"/>
        <v>#DIV/0!</v>
      </c>
      <c r="JA690" s="19">
        <f t="shared" si="2149"/>
        <v>0</v>
      </c>
      <c r="JB690" s="19">
        <f t="shared" si="2149"/>
        <v>0</v>
      </c>
      <c r="JC690" s="19">
        <f t="shared" si="2149"/>
        <v>0</v>
      </c>
      <c r="JD690" s="19" t="e">
        <f t="shared" si="2110"/>
        <v>#DIV/0!</v>
      </c>
      <c r="JE690" s="21"/>
      <c r="JF690" s="1" t="e">
        <f t="shared" si="2111"/>
        <v>#DIV/0!</v>
      </c>
      <c r="JG690" s="15">
        <f t="shared" si="2112"/>
        <v>0</v>
      </c>
      <c r="JH690" s="1" t="e">
        <f t="shared" si="2113"/>
        <v>#DIV/0!</v>
      </c>
      <c r="JI690" s="1" t="e">
        <f t="shared" si="2114"/>
        <v>#DIV/0!</v>
      </c>
      <c r="JJ690" s="1" t="e">
        <f t="shared" si="2092"/>
        <v>#DIV/0!</v>
      </c>
      <c r="JK690" s="1" t="e">
        <f t="shared" si="2093"/>
        <v>#DIV/0!</v>
      </c>
      <c r="JL690" s="15">
        <f t="shared" si="2150"/>
        <v>0</v>
      </c>
      <c r="JM690" s="15">
        <f t="shared" si="2150"/>
        <v>0</v>
      </c>
      <c r="JN690" s="21"/>
      <c r="JO690" s="19">
        <f>INDEX([1]Input!$1:$1048576,JO$93,$C690*2+6)</f>
        <v>5995.5</v>
      </c>
      <c r="JP690" s="19">
        <f>INDEX([1]Input!$1:$1048576,JP$93,$C690*2+6)</f>
        <v>1716.3055838443925</v>
      </c>
      <c r="JQ690" s="39" t="e">
        <f t="shared" si="2124"/>
        <v>#DIV/0!</v>
      </c>
      <c r="JR690" s="39" t="e">
        <f t="shared" si="2125"/>
        <v>#DIV/0!</v>
      </c>
      <c r="JS690" s="39" t="e">
        <f t="shared" si="2126"/>
        <v>#DIV/0!</v>
      </c>
      <c r="JT690" s="39" t="e">
        <f t="shared" si="2116"/>
        <v>#DIV/0!</v>
      </c>
      <c r="JU690" s="385" t="e">
        <f>(JQ690*JM690-INDEX([1]Input!$1:$1048576,[1]Input!A$18,$C690*2+6)*JL690*INDEX([1]Input!$1:$1048576,[1]Input!A$19,$C690*2+6))/1000000</f>
        <v>#DIV/0!</v>
      </c>
      <c r="JV690" s="39" t="e">
        <f t="shared" si="2094"/>
        <v>#DIV/0!</v>
      </c>
      <c r="JW690" s="1" t="e">
        <f t="shared" si="2129"/>
        <v>#DIV/0!</v>
      </c>
      <c r="JX690" s="19">
        <f t="shared" si="2130"/>
        <v>0</v>
      </c>
      <c r="JZ690" s="341"/>
      <c r="KA690" s="60"/>
      <c r="KB690" s="469">
        <f t="shared" si="2117"/>
        <v>0</v>
      </c>
      <c r="KI690" s="472"/>
      <c r="KJ690" s="472"/>
      <c r="KK690" s="472"/>
      <c r="KN690" s="26">
        <f t="shared" si="2118"/>
        <v>6002</v>
      </c>
      <c r="KO690" s="789">
        <f t="shared" si="2095"/>
        <v>-1</v>
      </c>
      <c r="KP690" s="790" t="e">
        <f t="shared" si="2096"/>
        <v>#DIV/0!</v>
      </c>
      <c r="KQ690" s="790" t="e">
        <f t="shared" si="2097"/>
        <v>#DIV/0!</v>
      </c>
      <c r="KR690" s="26" t="e">
        <f t="shared" si="2098"/>
        <v>#DIV/0!</v>
      </c>
      <c r="KS690" s="26" t="e">
        <f t="shared" si="2099"/>
        <v>#DIV/0!</v>
      </c>
      <c r="KT690" s="791">
        <f t="shared" si="2127"/>
        <v>2521.945896759994</v>
      </c>
      <c r="KU690" s="792">
        <f t="shared" si="2119"/>
        <v>0</v>
      </c>
    </row>
    <row r="691" spans="1:307" s="26" customFormat="1" ht="15" outlineLevel="1">
      <c r="A691" s="561">
        <f t="shared" si="2100"/>
        <v>6091</v>
      </c>
      <c r="B691" s="561">
        <f t="shared" si="2120"/>
        <v>91</v>
      </c>
      <c r="C691" s="561">
        <f t="shared" si="2121"/>
        <v>6</v>
      </c>
      <c r="D691" s="561" t="str">
        <f t="shared" si="2151"/>
        <v/>
      </c>
      <c r="E691" s="475">
        <f>INDEX(Input!$1:$1048576,E$93,$C691*2+MIN($B691,2)+5)
+INDEX(Scenarios!E$121:E$199,MATCH($B691,Scenarios!$B$121:$B$199,0))</f>
        <v>1250.0000000000002</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0</v>
      </c>
      <c r="V691" s="478">
        <f>IFERROR(MAX(0,INDEX(Input!$1:$1048576,V$93,$C691*2+MIN($B691,2)+5)
+INDEX(Scenarios!V$121:V$199,MATCH($B691,Scenarios!$B$121:$B$199,0)),),"Market")</f>
        <v>1.8999999999999996E-2</v>
      </c>
      <c r="W691" s="863">
        <f>IFERROR(MAX(0,INDEX(Input!$1:$1048576,W$93,$C691*2+MIN($B691,2)+5)-0%),"Market")</f>
        <v>3.9E-2</v>
      </c>
      <c r="X691" s="476" t="str">
        <f>INDEX(Input!$1:$1048576,X$93,$C691*2+MIN($B691,2)+5)</f>
        <v>Y</v>
      </c>
      <c r="Y691" s="475">
        <f>INDEX(Input!$1:$1048576,Y$93,$C691*2+MIN($B691,2)+5)
++INDEX(Scenarios!Y$121:Y$199,MATCH($B691,Scenarios!$B$121:$B$199,0))</f>
        <v>2339.3275155115825</v>
      </c>
      <c r="Z691" s="477">
        <f>INDEX(Input!$1:$1048576,Z$93,$C691*2+MIN($B691,2)+5)
+INDEX(Scenarios!Z$121:Z$199,MATCH($B691,Scenarios!$B$121:$B$199,0))</f>
        <v>0</v>
      </c>
      <c r="AA691" s="475">
        <f>INDEX(Input!$1:$1048576,AA$93,$C691*2+MIN($B691,2)+5)</f>
        <v>0</v>
      </c>
      <c r="AB691" s="476">
        <f>INDEX(Input!$1:$1048576,AB$93,$C691*2+MIN($B691,2)+5)</f>
        <v>1</v>
      </c>
      <c r="AC691" s="475">
        <f>INDEX(Input!$1:$1048576,AC$93,$C691*2+MIN($B691,2)+5)
+INDEX(Scenarios!AC$121:AC$199,MATCH($B691,Scenarios!$B$121:$B$199,0))</f>
        <v>0</v>
      </c>
      <c r="AD691" s="476">
        <f>INDEX(Input!$1:$1048576,AD$93,$C691*2+MIN($B691,2)+5)</f>
        <v>0.35</v>
      </c>
      <c r="AE691" s="475">
        <f>INDEX(Input!$1:$1048576,AE$93,$C691*2+MIN($B691,2)+5)
+INDEX(Scenarios!AE$121:AE$199,MATCH($B691,Scenarios!$B$121:$B$199,0))</f>
        <v>0</v>
      </c>
      <c r="AF691" s="476">
        <f>INDEX(Input!$1:$1048576,AF$93,$C691*2+MIN($B691,2)+5)</f>
        <v>1</v>
      </c>
      <c r="AG691" s="475">
        <f>INDEX(Input!$1:$1048576,AG$93,$C691*2+MIN($B691,2)+5)</f>
        <v>0</v>
      </c>
      <c r="AH691" s="476">
        <f>INDEX(Input!$1:$1048576,AH$93,$C691*2+MIN($B691,2)+5)</f>
        <v>1</v>
      </c>
      <c r="AI691" s="475">
        <f>INDEX(Input!$1:$1048576,AI$93,$C691*2+MIN($B691,2)+5)</f>
        <v>0</v>
      </c>
      <c r="AJ691" s="476">
        <f>INDEX(Input!$1:$1048576,AJ$93,$C691*2+MIN($B691,2)+5)</f>
        <v>0.35</v>
      </c>
      <c r="AK691" s="150">
        <f>ROUND(INDEX(Input!$1:$1048576,AK$93,$C690*2+MIN($B691,1)+5)+(Y691-VLOOKUP($C691*1000+1,$A:$HH,Y$92,FALSE)),0)</f>
        <v>5093</v>
      </c>
      <c r="AL691" s="150">
        <f>ROUND(INDEX(Input!$1:$1048576,AL$93,$C690*2+MIN($B691,1)+5)-(Y691-VLOOKUP($C691*1000+1,$A:$HH,Y$92,FALSE))/36,0)</f>
        <v>5217</v>
      </c>
      <c r="AM691" s="32" t="str">
        <f t="shared" si="2101"/>
        <v>std/std/std/std</v>
      </c>
      <c r="AN691" s="32" t="str">
        <f t="shared" si="2102"/>
        <v>$0 + 0/0/0/1.9/3.9</v>
      </c>
      <c r="AO691" s="32" t="str">
        <f t="shared" si="2103"/>
        <v>0/0/0/1.9/3.9</v>
      </c>
      <c r="AP691" s="32" t="str">
        <f t="shared" si="2074"/>
        <v>0/0.9/1.9/3.9</v>
      </c>
      <c r="AQ691" s="536" t="e">
        <f t="shared" si="2075"/>
        <v>#DIV/0!</v>
      </c>
      <c r="AR691" s="32"/>
      <c r="AS691" s="302"/>
      <c r="AT691" s="3">
        <f t="shared" si="2122"/>
        <v>91</v>
      </c>
      <c r="AU691" s="41" t="s">
        <v>121</v>
      </c>
      <c r="AV691" s="41" t="s">
        <v>116</v>
      </c>
      <c r="AW691" s="41" t="str">
        <f>INDEX(Input!$1:$1048576,AW$93,$C691*2+6)</f>
        <v>Kia</v>
      </c>
      <c r="AX691" s="41" t="str">
        <f>INDEX(Input!$1:$1048576,AX$93,$C691*2+6)</f>
        <v>National</v>
      </c>
      <c r="AY691" s="41" t="str">
        <f>IF(LEN(D691)=0,"",INDEX(Input!$1:$1048576,AY$93,$C691*2+6))</f>
        <v/>
      </c>
      <c r="AZ691" s="41" t="str">
        <f>INDEX(Input!$1:$1048576,AZ$93,$C691*2+6)</f>
        <v>Kia Forte</v>
      </c>
      <c r="BA691" s="3">
        <f>INDEX(Input!$1:$1048576,BA$93,$C691*2+6)</f>
        <v>2020</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19695</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2076"/>
        <v>1250.0000000000002</v>
      </c>
      <c r="CJ691" s="16" t="str">
        <f>INDEX(Input!$1:$1048576,CJ$93,$C691*2+6)</f>
        <v>N</v>
      </c>
      <c r="CK691" s="1" t="str">
        <f t="shared" si="2077"/>
        <v>Market</v>
      </c>
      <c r="CL691" s="1" t="str">
        <f t="shared" si="2078"/>
        <v>Market</v>
      </c>
      <c r="CM691" s="1" t="str">
        <f t="shared" si="2079"/>
        <v>Market</v>
      </c>
      <c r="CN691" s="1" t="str">
        <f t="shared" si="2080"/>
        <v>Market</v>
      </c>
      <c r="CO691" s="1" t="str">
        <f t="shared" si="2081"/>
        <v>Market</v>
      </c>
      <c r="CP691" s="304">
        <f t="shared" si="2082"/>
        <v>0</v>
      </c>
      <c r="CQ691" s="1">
        <f t="shared" si="2083"/>
        <v>0</v>
      </c>
      <c r="CR691" s="1">
        <f t="shared" si="2084"/>
        <v>0</v>
      </c>
      <c r="CS691" s="1">
        <f t="shared" si="2085"/>
        <v>0</v>
      </c>
      <c r="CT691" s="1">
        <f t="shared" si="2086"/>
        <v>1.8999999999999996E-2</v>
      </c>
      <c r="CU691" s="1">
        <f t="shared" si="2087"/>
        <v>3.9E-2</v>
      </c>
      <c r="CV691" s="304">
        <f t="shared" si="2140"/>
        <v>2339.3275155115825</v>
      </c>
      <c r="CW691" s="20" t="s">
        <v>122</v>
      </c>
      <c r="CX691" s="20" t="s">
        <v>122</v>
      </c>
      <c r="CY691" s="20" t="s">
        <v>122</v>
      </c>
      <c r="CZ691" s="20" t="s">
        <v>122</v>
      </c>
      <c r="DA691" s="20" t="s">
        <v>122</v>
      </c>
      <c r="DB691" s="503">
        <f t="shared" si="2141"/>
        <v>0</v>
      </c>
      <c r="DC691" s="127">
        <v>0</v>
      </c>
      <c r="DD691" s="127">
        <v>0</v>
      </c>
      <c r="DE691" s="127">
        <v>0</v>
      </c>
      <c r="DF691" s="127">
        <v>0</v>
      </c>
      <c r="DG691" s="127">
        <v>0</v>
      </c>
      <c r="DH691" s="127">
        <v>0</v>
      </c>
      <c r="DI691" s="127">
        <v>0</v>
      </c>
      <c r="DJ691" s="127">
        <v>0</v>
      </c>
      <c r="DK691" s="127">
        <v>0</v>
      </c>
      <c r="DL691" s="127">
        <v>0</v>
      </c>
      <c r="DM691" s="304">
        <f>INDEX(Input!$1:$1048576,DM$93,$C691*2+6)</f>
        <v>20731.578947368424</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t="e">
        <f t="shared" si="2147"/>
        <v>#DIV/0!</v>
      </c>
      <c r="HN691" s="639" t="e">
        <f t="shared" si="2147"/>
        <v>#DIV/0!</v>
      </c>
      <c r="HO691" s="639" t="e">
        <f t="shared" si="2147"/>
        <v>#DIV/0!</v>
      </c>
      <c r="HP691" s="644">
        <f t="shared" si="2146"/>
        <v>0</v>
      </c>
      <c r="HQ691" s="644">
        <f t="shared" si="2146"/>
        <v>0</v>
      </c>
      <c r="HR691" s="644">
        <f t="shared" si="2146"/>
        <v>0</v>
      </c>
      <c r="HS691" s="644">
        <f t="shared" si="2146"/>
        <v>0</v>
      </c>
      <c r="HT691" s="644">
        <f t="shared" si="2146"/>
        <v>0</v>
      </c>
      <c r="HU691" s="644">
        <f t="shared" si="2146"/>
        <v>0</v>
      </c>
      <c r="HV691" s="644">
        <f t="shared" si="2146"/>
        <v>0</v>
      </c>
      <c r="HW691" s="644">
        <f t="shared" si="2146"/>
        <v>0</v>
      </c>
      <c r="HX691" s="644">
        <f t="shared" si="2146"/>
        <v>0</v>
      </c>
      <c r="HY691" s="644">
        <f t="shared" si="2146"/>
        <v>0</v>
      </c>
      <c r="HZ691" s="644">
        <f t="shared" si="2146"/>
        <v>0</v>
      </c>
      <c r="IA691" s="644">
        <f t="shared" si="2146"/>
        <v>0</v>
      </c>
      <c r="IB691" s="644">
        <f t="shared" si="2146"/>
        <v>0</v>
      </c>
      <c r="IC691" s="644">
        <f t="shared" si="2146"/>
        <v>0</v>
      </c>
      <c r="ID691" s="644">
        <f t="shared" si="2146"/>
        <v>0</v>
      </c>
      <c r="IE691" s="20" t="e">
        <f t="shared" si="2106"/>
        <v>#DIV/0!</v>
      </c>
      <c r="IF691" s="20" t="e">
        <f t="shared" si="2090"/>
        <v>#DIV/0!</v>
      </c>
      <c r="IG691" s="20" t="e">
        <f t="shared" si="2091"/>
        <v>#DIV/0!</v>
      </c>
      <c r="IH691" s="21"/>
      <c r="II691" s="19"/>
      <c r="IJ691" s="19"/>
      <c r="IK691" s="19"/>
      <c r="IL691" s="19" t="e">
        <f t="shared" si="2107"/>
        <v>#DIV/0!</v>
      </c>
      <c r="IM691" s="19" t="e">
        <f t="shared" si="2107"/>
        <v>#DIV/0!</v>
      </c>
      <c r="IN691" s="19" t="e">
        <f t="shared" si="2107"/>
        <v>#DIV/0!</v>
      </c>
      <c r="IO691" s="39"/>
      <c r="IP691" s="39"/>
      <c r="IQ691" s="39"/>
      <c r="IR691" s="39"/>
      <c r="IS691" s="39"/>
      <c r="IT691" s="39"/>
      <c r="IU691" s="39"/>
      <c r="IV691" s="39"/>
      <c r="IW691" s="39"/>
      <c r="IX691" s="19" t="e">
        <f t="shared" si="2148"/>
        <v>#DIV/0!</v>
      </c>
      <c r="IY691" s="19" t="e">
        <f t="shared" si="2148"/>
        <v>#DIV/0!</v>
      </c>
      <c r="IZ691" s="19" t="e">
        <f t="shared" si="2148"/>
        <v>#DIV/0!</v>
      </c>
      <c r="JA691" s="19">
        <f t="shared" si="2149"/>
        <v>0</v>
      </c>
      <c r="JB691" s="19">
        <f t="shared" si="2149"/>
        <v>0</v>
      </c>
      <c r="JC691" s="19">
        <f t="shared" si="2149"/>
        <v>0</v>
      </c>
      <c r="JD691" s="19" t="e">
        <f t="shared" si="2110"/>
        <v>#DIV/0!</v>
      </c>
      <c r="JE691" s="21"/>
      <c r="JF691" s="1" t="e">
        <f t="shared" si="2111"/>
        <v>#DIV/0!</v>
      </c>
      <c r="JG691" s="15">
        <f t="shared" si="2112"/>
        <v>0</v>
      </c>
      <c r="JH691" s="1" t="e">
        <f t="shared" si="2113"/>
        <v>#DIV/0!</v>
      </c>
      <c r="JI691" s="1" t="e">
        <f t="shared" si="2114"/>
        <v>#DIV/0!</v>
      </c>
      <c r="JJ691" s="1" t="e">
        <f t="shared" si="2092"/>
        <v>#DIV/0!</v>
      </c>
      <c r="JK691" s="1" t="e">
        <f t="shared" si="2093"/>
        <v>#DIV/0!</v>
      </c>
      <c r="JL691" s="15">
        <f t="shared" si="2150"/>
        <v>0</v>
      </c>
      <c r="JM691" s="15">
        <f t="shared" si="2150"/>
        <v>0</v>
      </c>
      <c r="JN691" s="21"/>
      <c r="JO691" s="19">
        <f>INDEX([1]Input!$1:$1048576,JO$93,$C691*2+6)</f>
        <v>5995.5</v>
      </c>
      <c r="JP691" s="19">
        <f>INDEX([1]Input!$1:$1048576,JP$93,$C691*2+6)</f>
        <v>1716.3055838443925</v>
      </c>
      <c r="JQ691" s="39" t="e">
        <f t="shared" si="2124"/>
        <v>#DIV/0!</v>
      </c>
      <c r="JR691" s="39" t="e">
        <f t="shared" si="2125"/>
        <v>#DIV/0!</v>
      </c>
      <c r="JS691" s="39" t="e">
        <f t="shared" si="2126"/>
        <v>#DIV/0!</v>
      </c>
      <c r="JT691" s="39" t="e">
        <f t="shared" si="2116"/>
        <v>#DIV/0!</v>
      </c>
      <c r="JU691" s="385" t="e">
        <f>(JQ691*JM691-INDEX([1]Input!$1:$1048576,[1]Input!A$18,$C691*2+6)*JL691*INDEX([1]Input!$1:$1048576,[1]Input!A$19,$C691*2+6))/1000000</f>
        <v>#DIV/0!</v>
      </c>
      <c r="JV691" s="39" t="e">
        <f t="shared" si="2094"/>
        <v>#DIV/0!</v>
      </c>
      <c r="JW691" s="1" t="e">
        <f t="shared" si="2129"/>
        <v>#DIV/0!</v>
      </c>
      <c r="JX691" s="19">
        <f t="shared" si="2130"/>
        <v>0</v>
      </c>
      <c r="JZ691" s="341"/>
      <c r="KA691" s="60"/>
      <c r="KB691" s="469">
        <f t="shared" si="2117"/>
        <v>0</v>
      </c>
      <c r="KI691" s="472"/>
      <c r="KJ691" s="472"/>
      <c r="KK691" s="472"/>
      <c r="KN691" s="26">
        <f t="shared" si="2118"/>
        <v>6002</v>
      </c>
      <c r="KO691" s="789">
        <f t="shared" si="2095"/>
        <v>-1</v>
      </c>
      <c r="KP691" s="790" t="e">
        <f t="shared" si="2096"/>
        <v>#DIV/0!</v>
      </c>
      <c r="KQ691" s="790" t="e">
        <f t="shared" si="2097"/>
        <v>#DIV/0!</v>
      </c>
      <c r="KR691" s="26" t="e">
        <f t="shared" si="2098"/>
        <v>#DIV/0!</v>
      </c>
      <c r="KS691" s="26" t="e">
        <f t="shared" si="2099"/>
        <v>#DIV/0!</v>
      </c>
      <c r="KT691" s="791">
        <f t="shared" si="2127"/>
        <v>2521.945896759994</v>
      </c>
      <c r="KU691" s="792">
        <f t="shared" si="2119"/>
        <v>0</v>
      </c>
    </row>
    <row r="692" spans="1:307" s="26" customFormat="1" ht="15" outlineLevel="1">
      <c r="A692" s="561">
        <f t="shared" si="2100"/>
        <v>6092</v>
      </c>
      <c r="B692" s="561">
        <f t="shared" si="2120"/>
        <v>92</v>
      </c>
      <c r="C692" s="561">
        <f t="shared" si="2121"/>
        <v>6</v>
      </c>
      <c r="D692" s="561" t="str">
        <f t="shared" si="2151"/>
        <v/>
      </c>
      <c r="E692" s="475">
        <f>INDEX(Input!$1:$1048576,E$93,$C692*2+MIN($B692,2)+5)
+INDEX(Scenarios!E$121:E$199,MATCH($B692,Scenarios!$B$121:$B$199,0))</f>
        <v>1250.0000000000002</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0</v>
      </c>
      <c r="V692" s="478">
        <f>IFERROR(MAX(0,INDEX(Input!$1:$1048576,V$93,$C692*2+MIN($B692,2)+5)
+INDEX(Scenarios!V$121:V$199,MATCH($B692,Scenarios!$B$121:$B$199,0)),),"Market")</f>
        <v>1.8999999999999996E-2</v>
      </c>
      <c r="W692" s="863">
        <f>IFERROR(MAX(0,INDEX(Input!$1:$1048576,W$93,$C692*2+MIN($B692,2)+5)-0%),"Market")</f>
        <v>3.9E-2</v>
      </c>
      <c r="X692" s="476" t="str">
        <f>INDEX(Input!$1:$1048576,X$93,$C692*2+MIN($B692,2)+5)</f>
        <v>Y</v>
      </c>
      <c r="Y692" s="475">
        <f>INDEX(Input!$1:$1048576,Y$93,$C692*2+MIN($B692,2)+5)
++INDEX(Scenarios!Y$121:Y$199,MATCH($B692,Scenarios!$B$121:$B$199,0))</f>
        <v>2339.3275155115825</v>
      </c>
      <c r="Z692" s="477">
        <f>INDEX(Input!$1:$1048576,Z$93,$C692*2+MIN($B692,2)+5)
+INDEX(Scenarios!Z$121:Z$199,MATCH($B692,Scenarios!$B$121:$B$199,0))</f>
        <v>0</v>
      </c>
      <c r="AA692" s="475">
        <f>INDEX(Input!$1:$1048576,AA$93,$C692*2+MIN($B692,2)+5)</f>
        <v>0</v>
      </c>
      <c r="AB692" s="476">
        <f>INDEX(Input!$1:$1048576,AB$93,$C692*2+MIN($B692,2)+5)</f>
        <v>1</v>
      </c>
      <c r="AC692" s="475">
        <f>INDEX(Input!$1:$1048576,AC$93,$C692*2+MIN($B692,2)+5)
+INDEX(Scenarios!AC$121:AC$199,MATCH($B692,Scenarios!$B$121:$B$199,0))</f>
        <v>0</v>
      </c>
      <c r="AD692" s="476">
        <f>INDEX(Input!$1:$1048576,AD$93,$C692*2+MIN($B692,2)+5)</f>
        <v>0.35</v>
      </c>
      <c r="AE692" s="475">
        <f>INDEX(Input!$1:$1048576,AE$93,$C692*2+MIN($B692,2)+5)
+INDEX(Scenarios!AE$121:AE$199,MATCH($B692,Scenarios!$B$121:$B$199,0))</f>
        <v>0</v>
      </c>
      <c r="AF692" s="476">
        <f>INDEX(Input!$1:$1048576,AF$93,$C692*2+MIN($B692,2)+5)</f>
        <v>1</v>
      </c>
      <c r="AG692" s="475">
        <f>INDEX(Input!$1:$1048576,AG$93,$C692*2+MIN($B692,2)+5)</f>
        <v>0</v>
      </c>
      <c r="AH692" s="476">
        <f>INDEX(Input!$1:$1048576,AH$93,$C692*2+MIN($B692,2)+5)</f>
        <v>1</v>
      </c>
      <c r="AI692" s="475">
        <f>INDEX(Input!$1:$1048576,AI$93,$C692*2+MIN($B692,2)+5)</f>
        <v>0</v>
      </c>
      <c r="AJ692" s="476">
        <f>INDEX(Input!$1:$1048576,AJ$93,$C692*2+MIN($B692,2)+5)</f>
        <v>0.35</v>
      </c>
      <c r="AK692" s="150">
        <f>ROUND(INDEX(Input!$1:$1048576,AK$93,$C691*2+MIN($B692,1)+5)+(Y692-VLOOKUP($C692*1000+1,$A:$HH,Y$92,FALSE)),0)</f>
        <v>5093</v>
      </c>
      <c r="AL692" s="150">
        <f>ROUND(INDEX(Input!$1:$1048576,AL$93,$C691*2+MIN($B692,1)+5)-(Y692-VLOOKUP($C692*1000+1,$A:$HH,Y$92,FALSE))/36,0)</f>
        <v>5217</v>
      </c>
      <c r="AM692" s="32" t="str">
        <f t="shared" si="2101"/>
        <v>std/std/std/std</v>
      </c>
      <c r="AN692" s="32" t="str">
        <f t="shared" si="2102"/>
        <v>$0 + 0/0/0/1.9/3.9</v>
      </c>
      <c r="AO692" s="32" t="str">
        <f t="shared" si="2103"/>
        <v>0/0/0/1.9/3.9</v>
      </c>
      <c r="AP692" s="32" t="str">
        <f t="shared" si="2074"/>
        <v>0/0.9/1.9/3.9</v>
      </c>
      <c r="AQ692" s="536" t="e">
        <f t="shared" si="2075"/>
        <v>#DIV/0!</v>
      </c>
      <c r="AR692" s="32"/>
      <c r="AS692" s="302"/>
      <c r="AT692" s="3">
        <f t="shared" si="2122"/>
        <v>92</v>
      </c>
      <c r="AU692" s="41" t="s">
        <v>121</v>
      </c>
      <c r="AV692" s="41" t="s">
        <v>116</v>
      </c>
      <c r="AW692" s="41" t="str">
        <f>INDEX(Input!$1:$1048576,AW$93,$C692*2+6)</f>
        <v>Kia</v>
      </c>
      <c r="AX692" s="41" t="str">
        <f>INDEX(Input!$1:$1048576,AX$93,$C692*2+6)</f>
        <v>National</v>
      </c>
      <c r="AY692" s="41" t="str">
        <f>IF(LEN(D692)=0,"",INDEX(Input!$1:$1048576,AY$93,$C692*2+6))</f>
        <v/>
      </c>
      <c r="AZ692" s="41" t="str">
        <f>INDEX(Input!$1:$1048576,AZ$93,$C692*2+6)</f>
        <v>Kia Forte</v>
      </c>
      <c r="BA692" s="3">
        <f>INDEX(Input!$1:$1048576,BA$93,$C692*2+6)</f>
        <v>2020</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19695</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2076"/>
        <v>1250.0000000000002</v>
      </c>
      <c r="CJ692" s="16" t="str">
        <f>INDEX(Input!$1:$1048576,CJ$93,$C692*2+6)</f>
        <v>N</v>
      </c>
      <c r="CK692" s="1" t="str">
        <f t="shared" si="2077"/>
        <v>Market</v>
      </c>
      <c r="CL692" s="1" t="str">
        <f t="shared" si="2078"/>
        <v>Market</v>
      </c>
      <c r="CM692" s="1" t="str">
        <f t="shared" si="2079"/>
        <v>Market</v>
      </c>
      <c r="CN692" s="1" t="str">
        <f t="shared" si="2080"/>
        <v>Market</v>
      </c>
      <c r="CO692" s="1" t="str">
        <f t="shared" si="2081"/>
        <v>Market</v>
      </c>
      <c r="CP692" s="304">
        <f t="shared" si="2082"/>
        <v>0</v>
      </c>
      <c r="CQ692" s="1">
        <f t="shared" si="2083"/>
        <v>0</v>
      </c>
      <c r="CR692" s="1">
        <f t="shared" si="2084"/>
        <v>0</v>
      </c>
      <c r="CS692" s="1">
        <f t="shared" si="2085"/>
        <v>0</v>
      </c>
      <c r="CT692" s="1">
        <f t="shared" si="2086"/>
        <v>1.8999999999999996E-2</v>
      </c>
      <c r="CU692" s="1">
        <f t="shared" si="2087"/>
        <v>3.9E-2</v>
      </c>
      <c r="CV692" s="304">
        <f t="shared" si="2140"/>
        <v>2339.3275155115825</v>
      </c>
      <c r="CW692" s="20" t="s">
        <v>122</v>
      </c>
      <c r="CX692" s="20" t="s">
        <v>122</v>
      </c>
      <c r="CY692" s="20" t="s">
        <v>122</v>
      </c>
      <c r="CZ692" s="20" t="s">
        <v>122</v>
      </c>
      <c r="DA692" s="20" t="s">
        <v>122</v>
      </c>
      <c r="DB692" s="503">
        <f t="shared" si="2141"/>
        <v>0</v>
      </c>
      <c r="DC692" s="127">
        <v>0</v>
      </c>
      <c r="DD692" s="127">
        <v>0</v>
      </c>
      <c r="DE692" s="127">
        <v>0</v>
      </c>
      <c r="DF692" s="127">
        <v>0</v>
      </c>
      <c r="DG692" s="127">
        <v>0</v>
      </c>
      <c r="DH692" s="127">
        <v>0</v>
      </c>
      <c r="DI692" s="127">
        <v>0</v>
      </c>
      <c r="DJ692" s="127">
        <v>0</v>
      </c>
      <c r="DK692" s="127">
        <v>0</v>
      </c>
      <c r="DL692" s="127">
        <v>0</v>
      </c>
      <c r="DM692" s="304">
        <f>INDEX(Input!$1:$1048576,DM$93,$C692*2+6)</f>
        <v>20731.578947368424</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t="e">
        <f t="shared" si="2147"/>
        <v>#DIV/0!</v>
      </c>
      <c r="HN692" s="639" t="e">
        <f t="shared" si="2147"/>
        <v>#DIV/0!</v>
      </c>
      <c r="HO692" s="639" t="e">
        <f t="shared" si="2147"/>
        <v>#DIV/0!</v>
      </c>
      <c r="HP692" s="644">
        <f t="shared" si="2146"/>
        <v>0</v>
      </c>
      <c r="HQ692" s="644">
        <f t="shared" si="2146"/>
        <v>0</v>
      </c>
      <c r="HR692" s="644">
        <f t="shared" si="2146"/>
        <v>0</v>
      </c>
      <c r="HS692" s="644">
        <f t="shared" si="2146"/>
        <v>0</v>
      </c>
      <c r="HT692" s="644">
        <f t="shared" si="2146"/>
        <v>0</v>
      </c>
      <c r="HU692" s="644">
        <f t="shared" si="2146"/>
        <v>0</v>
      </c>
      <c r="HV692" s="644">
        <f t="shared" si="2146"/>
        <v>0</v>
      </c>
      <c r="HW692" s="644">
        <f t="shared" si="2146"/>
        <v>0</v>
      </c>
      <c r="HX692" s="644">
        <f t="shared" si="2146"/>
        <v>0</v>
      </c>
      <c r="HY692" s="644">
        <f t="shared" si="2146"/>
        <v>0</v>
      </c>
      <c r="HZ692" s="644">
        <f t="shared" si="2146"/>
        <v>0</v>
      </c>
      <c r="IA692" s="644">
        <f t="shared" si="2146"/>
        <v>0</v>
      </c>
      <c r="IB692" s="644">
        <f t="shared" si="2146"/>
        <v>0</v>
      </c>
      <c r="IC692" s="644">
        <f t="shared" si="2146"/>
        <v>0</v>
      </c>
      <c r="ID692" s="644">
        <f t="shared" si="2146"/>
        <v>0</v>
      </c>
      <c r="IE692" s="20" t="e">
        <f t="shared" si="2106"/>
        <v>#DIV/0!</v>
      </c>
      <c r="IF692" s="20" t="e">
        <f t="shared" si="2090"/>
        <v>#DIV/0!</v>
      </c>
      <c r="IG692" s="20" t="e">
        <f t="shared" si="2091"/>
        <v>#DIV/0!</v>
      </c>
      <c r="IH692" s="21"/>
      <c r="II692" s="19"/>
      <c r="IJ692" s="19"/>
      <c r="IK692" s="19"/>
      <c r="IL692" s="19" t="e">
        <f t="shared" si="2107"/>
        <v>#DIV/0!</v>
      </c>
      <c r="IM692" s="19" t="e">
        <f t="shared" si="2107"/>
        <v>#DIV/0!</v>
      </c>
      <c r="IN692" s="19" t="e">
        <f t="shared" si="2107"/>
        <v>#DIV/0!</v>
      </c>
      <c r="IO692" s="39"/>
      <c r="IP692" s="39"/>
      <c r="IQ692" s="39"/>
      <c r="IR692" s="39"/>
      <c r="IS692" s="39"/>
      <c r="IT692" s="39"/>
      <c r="IU692" s="39"/>
      <c r="IV692" s="39"/>
      <c r="IW692" s="39"/>
      <c r="IX692" s="19" t="e">
        <f t="shared" si="2148"/>
        <v>#DIV/0!</v>
      </c>
      <c r="IY692" s="19" t="e">
        <f t="shared" si="2148"/>
        <v>#DIV/0!</v>
      </c>
      <c r="IZ692" s="19" t="e">
        <f t="shared" si="2148"/>
        <v>#DIV/0!</v>
      </c>
      <c r="JA692" s="19">
        <f t="shared" si="2149"/>
        <v>0</v>
      </c>
      <c r="JB692" s="19">
        <f t="shared" si="2149"/>
        <v>0</v>
      </c>
      <c r="JC692" s="19">
        <f t="shared" si="2149"/>
        <v>0</v>
      </c>
      <c r="JD692" s="19" t="e">
        <f t="shared" si="2110"/>
        <v>#DIV/0!</v>
      </c>
      <c r="JE692" s="21"/>
      <c r="JF692" s="1" t="e">
        <f t="shared" si="2111"/>
        <v>#DIV/0!</v>
      </c>
      <c r="JG692" s="15">
        <f t="shared" si="2112"/>
        <v>0</v>
      </c>
      <c r="JH692" s="1" t="e">
        <f t="shared" si="2113"/>
        <v>#DIV/0!</v>
      </c>
      <c r="JI692" s="1" t="e">
        <f t="shared" si="2114"/>
        <v>#DIV/0!</v>
      </c>
      <c r="JJ692" s="1" t="e">
        <f t="shared" si="2092"/>
        <v>#DIV/0!</v>
      </c>
      <c r="JK692" s="1" t="e">
        <f t="shared" si="2093"/>
        <v>#DIV/0!</v>
      </c>
      <c r="JL692" s="15">
        <f t="shared" si="2150"/>
        <v>0</v>
      </c>
      <c r="JM692" s="15">
        <f t="shared" si="2150"/>
        <v>0</v>
      </c>
      <c r="JN692" s="21"/>
      <c r="JO692" s="19">
        <f>INDEX([1]Input!$1:$1048576,JO$93,$C692*2+6)</f>
        <v>5995.5</v>
      </c>
      <c r="JP692" s="19">
        <f>INDEX([1]Input!$1:$1048576,JP$93,$C692*2+6)</f>
        <v>1716.3055838443925</v>
      </c>
      <c r="JQ692" s="39" t="e">
        <f t="shared" si="2124"/>
        <v>#DIV/0!</v>
      </c>
      <c r="JR692" s="39" t="e">
        <f t="shared" si="2125"/>
        <v>#DIV/0!</v>
      </c>
      <c r="JS692" s="39" t="e">
        <f t="shared" si="2126"/>
        <v>#DIV/0!</v>
      </c>
      <c r="JT692" s="39" t="e">
        <f t="shared" si="2116"/>
        <v>#DIV/0!</v>
      </c>
      <c r="JU692" s="385" t="e">
        <f>(JQ692*JM692-INDEX([1]Input!$1:$1048576,[1]Input!A$18,$C692*2+6)*JL692*INDEX([1]Input!$1:$1048576,[1]Input!A$19,$C692*2+6))/1000000</f>
        <v>#DIV/0!</v>
      </c>
      <c r="JV692" s="39" t="e">
        <f t="shared" si="2094"/>
        <v>#DIV/0!</v>
      </c>
      <c r="JW692" s="1" t="e">
        <f t="shared" si="2129"/>
        <v>#DIV/0!</v>
      </c>
      <c r="JX692" s="19">
        <f t="shared" si="2130"/>
        <v>0</v>
      </c>
      <c r="JZ692" s="341"/>
      <c r="KA692" s="60"/>
      <c r="KB692" s="469">
        <f t="shared" si="2117"/>
        <v>0</v>
      </c>
      <c r="KI692" s="472"/>
      <c r="KJ692" s="472"/>
      <c r="KK692" s="472"/>
      <c r="KN692" s="26">
        <f t="shared" si="2118"/>
        <v>6002</v>
      </c>
      <c r="KO692" s="789">
        <f t="shared" si="2095"/>
        <v>-1</v>
      </c>
      <c r="KP692" s="790" t="e">
        <f t="shared" si="2096"/>
        <v>#DIV/0!</v>
      </c>
      <c r="KQ692" s="790" t="e">
        <f t="shared" si="2097"/>
        <v>#DIV/0!</v>
      </c>
      <c r="KR692" s="26" t="e">
        <f t="shared" si="2098"/>
        <v>#DIV/0!</v>
      </c>
      <c r="KS692" s="26" t="e">
        <f t="shared" si="2099"/>
        <v>#DIV/0!</v>
      </c>
      <c r="KT692" s="791">
        <f t="shared" si="2127"/>
        <v>2521.945896759994</v>
      </c>
      <c r="KU692" s="792">
        <f t="shared" si="2119"/>
        <v>0</v>
      </c>
    </row>
    <row r="693" spans="1:307" s="26" customFormat="1" ht="15" outlineLevel="1">
      <c r="A693" s="561">
        <f t="shared" si="2100"/>
        <v>6093</v>
      </c>
      <c r="B693" s="561">
        <f t="shared" si="2120"/>
        <v>93</v>
      </c>
      <c r="C693" s="561">
        <f t="shared" si="2121"/>
        <v>6</v>
      </c>
      <c r="D693" s="561" t="str">
        <f t="shared" si="2151"/>
        <v/>
      </c>
      <c r="E693" s="475">
        <f>INDEX(Input!$1:$1048576,E$93,$C693*2+MIN($B693,2)+5)
+INDEX(Scenarios!E$121:E$199,MATCH($B693,Scenarios!$B$121:$B$199,0))</f>
        <v>1250.0000000000002</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1.8999999999999996E-2</v>
      </c>
      <c r="W693" s="863">
        <f>IFERROR(MAX(0,INDEX(Input!$1:$1048576,W$93,$C693*2+MIN($B693,2)+5)-0%),"Market")</f>
        <v>3.9E-2</v>
      </c>
      <c r="X693" s="476" t="str">
        <f>INDEX(Input!$1:$1048576,X$93,$C693*2+MIN($B693,2)+5)</f>
        <v>Y</v>
      </c>
      <c r="Y693" s="475">
        <f>INDEX(Input!$1:$1048576,Y$93,$C693*2+MIN($B693,2)+5)
++INDEX(Scenarios!Y$121:Y$199,MATCH($B693,Scenarios!$B$121:$B$199,0))</f>
        <v>2339.3275155115825</v>
      </c>
      <c r="Z693" s="477">
        <f>INDEX(Input!$1:$1048576,Z$93,$C693*2+MIN($B693,2)+5)
+INDEX(Scenarios!Z$121:Z$199,MATCH($B693,Scenarios!$B$121:$B$199,0))</f>
        <v>0</v>
      </c>
      <c r="AA693" s="475">
        <f>INDEX(Input!$1:$1048576,AA$93,$C693*2+MIN($B693,2)+5)</f>
        <v>0</v>
      </c>
      <c r="AB693" s="476">
        <f>INDEX(Input!$1:$1048576,AB$93,$C693*2+MIN($B693,2)+5)</f>
        <v>1</v>
      </c>
      <c r="AC693" s="475">
        <f>INDEX(Input!$1:$1048576,AC$93,$C693*2+MIN($B693,2)+5)
+INDEX(Scenarios!AC$121:AC$199,MATCH($B693,Scenarios!$B$121:$B$199,0))</f>
        <v>0</v>
      </c>
      <c r="AD693" s="476">
        <f>INDEX(Input!$1:$1048576,AD$93,$C693*2+MIN($B693,2)+5)</f>
        <v>0.35</v>
      </c>
      <c r="AE693" s="475">
        <f>INDEX(Input!$1:$1048576,AE$93,$C693*2+MIN($B693,2)+5)
+INDEX(Scenarios!AE$121:AE$199,MATCH($B693,Scenarios!$B$121:$B$199,0))</f>
        <v>0</v>
      </c>
      <c r="AF693" s="476">
        <f>INDEX(Input!$1:$1048576,AF$93,$C693*2+MIN($B693,2)+5)</f>
        <v>1</v>
      </c>
      <c r="AG693" s="475">
        <f>INDEX(Input!$1:$1048576,AG$93,$C693*2+MIN($B693,2)+5)</f>
        <v>0</v>
      </c>
      <c r="AH693" s="476">
        <f>INDEX(Input!$1:$1048576,AH$93,$C693*2+MIN($B693,2)+5)</f>
        <v>1</v>
      </c>
      <c r="AI693" s="475">
        <f>INDEX(Input!$1:$1048576,AI$93,$C693*2+MIN($B693,2)+5)</f>
        <v>0</v>
      </c>
      <c r="AJ693" s="476">
        <f>INDEX(Input!$1:$1048576,AJ$93,$C693*2+MIN($B693,2)+5)</f>
        <v>0.35</v>
      </c>
      <c r="AK693" s="150">
        <f>ROUND(INDEX(Input!$1:$1048576,AK$93,$C692*2+MIN($B693,1)+5)+(Y693-VLOOKUP($C693*1000+1,$A:$HH,Y$92,FALSE)),0)</f>
        <v>5093</v>
      </c>
      <c r="AL693" s="150">
        <f>ROUND(INDEX(Input!$1:$1048576,AL$93,$C692*2+MIN($B693,1)+5)-(Y693-VLOOKUP($C693*1000+1,$A:$HH,Y$92,FALSE))/36,0)</f>
        <v>5217</v>
      </c>
      <c r="AM693" s="32" t="str">
        <f t="shared" si="2101"/>
        <v>std/std/std/std</v>
      </c>
      <c r="AN693" s="32" t="str">
        <f t="shared" si="2102"/>
        <v>$0 + 0/0/0/1.9/3.9</v>
      </c>
      <c r="AO693" s="32" t="str">
        <f t="shared" si="2103"/>
        <v>0/0/0/1.9/3.9</v>
      </c>
      <c r="AP693" s="32" t="str">
        <f t="shared" si="2074"/>
        <v>0/0.9/1.9/3.9</v>
      </c>
      <c r="AQ693" s="536" t="e">
        <f t="shared" si="2075"/>
        <v>#DIV/0!</v>
      </c>
      <c r="AR693" s="32"/>
      <c r="AS693" s="302"/>
      <c r="AT693" s="3">
        <f t="shared" si="2122"/>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Forte</v>
      </c>
      <c r="BA693" s="3">
        <f>INDEX(Input!$1:$1048576,BA$93,$C693*2+6)</f>
        <v>2020</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19695</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2076"/>
        <v>1250.0000000000002</v>
      </c>
      <c r="CJ693" s="16" t="str">
        <f>INDEX(Input!$1:$1048576,CJ$93,$C693*2+6)</f>
        <v>N</v>
      </c>
      <c r="CK693" s="1" t="str">
        <f t="shared" si="2077"/>
        <v>Market</v>
      </c>
      <c r="CL693" s="1" t="str">
        <f t="shared" si="2078"/>
        <v>Market</v>
      </c>
      <c r="CM693" s="1" t="str">
        <f t="shared" si="2079"/>
        <v>Market</v>
      </c>
      <c r="CN693" s="1" t="str">
        <f t="shared" si="2080"/>
        <v>Market</v>
      </c>
      <c r="CO693" s="1" t="str">
        <f t="shared" si="2081"/>
        <v>Market</v>
      </c>
      <c r="CP693" s="304">
        <f t="shared" si="2082"/>
        <v>0</v>
      </c>
      <c r="CQ693" s="1">
        <f t="shared" si="2083"/>
        <v>0</v>
      </c>
      <c r="CR693" s="1">
        <f t="shared" si="2084"/>
        <v>0</v>
      </c>
      <c r="CS693" s="1">
        <f t="shared" si="2085"/>
        <v>0</v>
      </c>
      <c r="CT693" s="1">
        <f t="shared" si="2086"/>
        <v>1.8999999999999996E-2</v>
      </c>
      <c r="CU693" s="1">
        <f t="shared" si="2087"/>
        <v>3.9E-2</v>
      </c>
      <c r="CV693" s="304">
        <f t="shared" si="2140"/>
        <v>2339.3275155115825</v>
      </c>
      <c r="CW693" s="20" t="s">
        <v>122</v>
      </c>
      <c r="CX693" s="20" t="s">
        <v>122</v>
      </c>
      <c r="CY693" s="20" t="s">
        <v>122</v>
      </c>
      <c r="CZ693" s="20" t="s">
        <v>122</v>
      </c>
      <c r="DA693" s="20" t="s">
        <v>122</v>
      </c>
      <c r="DB693" s="503">
        <f t="shared" si="2141"/>
        <v>0</v>
      </c>
      <c r="DC693" s="127">
        <v>0</v>
      </c>
      <c r="DD693" s="127">
        <v>0</v>
      </c>
      <c r="DE693" s="127">
        <v>0</v>
      </c>
      <c r="DF693" s="127">
        <v>0</v>
      </c>
      <c r="DG693" s="127">
        <v>0</v>
      </c>
      <c r="DH693" s="127">
        <v>0</v>
      </c>
      <c r="DI693" s="127">
        <v>0</v>
      </c>
      <c r="DJ693" s="127">
        <v>0</v>
      </c>
      <c r="DK693" s="127">
        <v>0</v>
      </c>
      <c r="DL693" s="127">
        <v>0</v>
      </c>
      <c r="DM693" s="304">
        <f>INDEX(Input!$1:$1048576,DM$93,$C693*2+6)</f>
        <v>20731.578947368424</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2147"/>
        <v>#DIV/0!</v>
      </c>
      <c r="HN693" s="639" t="e">
        <f t="shared" si="2147"/>
        <v>#DIV/0!</v>
      </c>
      <c r="HO693" s="639" t="e">
        <f t="shared" si="2147"/>
        <v>#DIV/0!</v>
      </c>
      <c r="HP693" s="644">
        <f t="shared" si="2146"/>
        <v>0</v>
      </c>
      <c r="HQ693" s="644">
        <f t="shared" si="2146"/>
        <v>0</v>
      </c>
      <c r="HR693" s="644">
        <f t="shared" si="2146"/>
        <v>0</v>
      </c>
      <c r="HS693" s="644">
        <f t="shared" si="2146"/>
        <v>0</v>
      </c>
      <c r="HT693" s="644">
        <f t="shared" si="2146"/>
        <v>0</v>
      </c>
      <c r="HU693" s="644">
        <f t="shared" si="2146"/>
        <v>0</v>
      </c>
      <c r="HV693" s="644">
        <f t="shared" si="2146"/>
        <v>0</v>
      </c>
      <c r="HW693" s="644">
        <f t="shared" si="2146"/>
        <v>0</v>
      </c>
      <c r="HX693" s="644">
        <f t="shared" si="2146"/>
        <v>0</v>
      </c>
      <c r="HY693" s="644">
        <f t="shared" si="2146"/>
        <v>0</v>
      </c>
      <c r="HZ693" s="644">
        <f t="shared" si="2146"/>
        <v>0</v>
      </c>
      <c r="IA693" s="644">
        <f t="shared" si="2146"/>
        <v>0</v>
      </c>
      <c r="IB693" s="644">
        <f t="shared" si="2146"/>
        <v>0</v>
      </c>
      <c r="IC693" s="644">
        <f t="shared" si="2146"/>
        <v>0</v>
      </c>
      <c r="ID693" s="644">
        <f t="shared" si="2146"/>
        <v>0</v>
      </c>
      <c r="IE693" s="20" t="e">
        <f t="shared" si="2106"/>
        <v>#DIV/0!</v>
      </c>
      <c r="IF693" s="20" t="e">
        <f t="shared" si="2090"/>
        <v>#DIV/0!</v>
      </c>
      <c r="IG693" s="20" t="e">
        <f t="shared" si="2091"/>
        <v>#DIV/0!</v>
      </c>
      <c r="IH693" s="21"/>
      <c r="II693" s="19"/>
      <c r="IJ693" s="19"/>
      <c r="IK693" s="19"/>
      <c r="IL693" s="19" t="e">
        <f t="shared" si="2107"/>
        <v>#DIV/0!</v>
      </c>
      <c r="IM693" s="19" t="e">
        <f t="shared" si="2107"/>
        <v>#DIV/0!</v>
      </c>
      <c r="IN693" s="19" t="e">
        <f t="shared" si="2107"/>
        <v>#DIV/0!</v>
      </c>
      <c r="IO693" s="39"/>
      <c r="IP693" s="39"/>
      <c r="IQ693" s="39"/>
      <c r="IR693" s="39"/>
      <c r="IS693" s="39"/>
      <c r="IT693" s="39"/>
      <c r="IU693" s="39"/>
      <c r="IV693" s="39"/>
      <c r="IW693" s="39"/>
      <c r="IX693" s="19" t="e">
        <f t="shared" si="2148"/>
        <v>#DIV/0!</v>
      </c>
      <c r="IY693" s="19" t="e">
        <f t="shared" si="2148"/>
        <v>#DIV/0!</v>
      </c>
      <c r="IZ693" s="19" t="e">
        <f t="shared" si="2148"/>
        <v>#DIV/0!</v>
      </c>
      <c r="JA693" s="19">
        <f t="shared" si="2149"/>
        <v>0</v>
      </c>
      <c r="JB693" s="19">
        <f t="shared" si="2149"/>
        <v>0</v>
      </c>
      <c r="JC693" s="19">
        <f t="shared" si="2149"/>
        <v>0</v>
      </c>
      <c r="JD693" s="19" t="e">
        <f t="shared" si="2110"/>
        <v>#DIV/0!</v>
      </c>
      <c r="JE693" s="21"/>
      <c r="JF693" s="1" t="e">
        <f t="shared" si="2111"/>
        <v>#DIV/0!</v>
      </c>
      <c r="JG693" s="15">
        <f t="shared" si="2112"/>
        <v>0</v>
      </c>
      <c r="JH693" s="1" t="e">
        <f t="shared" si="2113"/>
        <v>#DIV/0!</v>
      </c>
      <c r="JI693" s="1" t="e">
        <f t="shared" si="2114"/>
        <v>#DIV/0!</v>
      </c>
      <c r="JJ693" s="1" t="e">
        <f t="shared" si="2092"/>
        <v>#DIV/0!</v>
      </c>
      <c r="JK693" s="1" t="e">
        <f t="shared" si="2093"/>
        <v>#DIV/0!</v>
      </c>
      <c r="JL693" s="15">
        <f t="shared" si="2150"/>
        <v>0</v>
      </c>
      <c r="JM693" s="15">
        <f t="shared" si="2150"/>
        <v>0</v>
      </c>
      <c r="JN693" s="21"/>
      <c r="JO693" s="19">
        <f>INDEX([1]Input!$1:$1048576,JO$93,$C693*2+6)</f>
        <v>5995.5</v>
      </c>
      <c r="JP693" s="19">
        <f>INDEX([1]Input!$1:$1048576,JP$93,$C693*2+6)</f>
        <v>1716.3055838443925</v>
      </c>
      <c r="JQ693" s="39" t="e">
        <f t="shared" si="2124"/>
        <v>#DIV/0!</v>
      </c>
      <c r="JR693" s="39" t="e">
        <f t="shared" si="2125"/>
        <v>#DIV/0!</v>
      </c>
      <c r="JS693" s="39" t="e">
        <f t="shared" si="2126"/>
        <v>#DIV/0!</v>
      </c>
      <c r="JT693" s="39" t="e">
        <f t="shared" si="2116"/>
        <v>#DIV/0!</v>
      </c>
      <c r="JU693" s="385" t="e">
        <f>(JQ693*JM693-INDEX([1]Input!$1:$1048576,[1]Input!A$18,$C693*2+6)*JL693*INDEX([1]Input!$1:$1048576,[1]Input!A$19,$C693*2+6))/1000000</f>
        <v>#DIV/0!</v>
      </c>
      <c r="JV693" s="39" t="e">
        <f t="shared" si="2094"/>
        <v>#DIV/0!</v>
      </c>
      <c r="JW693" s="1" t="e">
        <f t="shared" si="2129"/>
        <v>#DIV/0!</v>
      </c>
      <c r="JX693" s="19">
        <f t="shared" si="2130"/>
        <v>0</v>
      </c>
      <c r="JZ693" s="341"/>
      <c r="KA693" s="60"/>
      <c r="KB693" s="469">
        <f t="shared" si="2117"/>
        <v>0</v>
      </c>
      <c r="KI693" s="472"/>
      <c r="KJ693" s="472"/>
      <c r="KK693" s="472"/>
      <c r="KN693" s="26">
        <f t="shared" si="2118"/>
        <v>6002</v>
      </c>
      <c r="KO693" s="789">
        <f t="shared" si="2095"/>
        <v>-1</v>
      </c>
      <c r="KP693" s="790" t="e">
        <f t="shared" si="2096"/>
        <v>#DIV/0!</v>
      </c>
      <c r="KQ693" s="790" t="e">
        <f t="shared" si="2097"/>
        <v>#DIV/0!</v>
      </c>
      <c r="KR693" s="26" t="e">
        <f t="shared" si="2098"/>
        <v>#DIV/0!</v>
      </c>
      <c r="KS693" s="26" t="e">
        <f t="shared" si="2099"/>
        <v>#DIV/0!</v>
      </c>
      <c r="KT693" s="791">
        <f t="shared" si="2127"/>
        <v>2521.945896759994</v>
      </c>
      <c r="KU693" s="792">
        <f t="shared" si="2119"/>
        <v>0</v>
      </c>
    </row>
    <row r="694" spans="1:307" s="26" customFormat="1" ht="15" outlineLevel="1">
      <c r="A694" s="561">
        <f t="shared" si="2100"/>
        <v>6094</v>
      </c>
      <c r="B694" s="561">
        <f t="shared" si="2120"/>
        <v>94</v>
      </c>
      <c r="C694" s="561">
        <f t="shared" si="2121"/>
        <v>6</v>
      </c>
      <c r="D694" s="561" t="str">
        <f t="shared" si="2151"/>
        <v/>
      </c>
      <c r="E694" s="475">
        <f>INDEX(Input!$1:$1048576,E$93,$C694*2+MIN($B694,2)+5)
+INDEX(Scenarios!E$121:E$199,MATCH($B694,Scenarios!$B$121:$B$199,0))</f>
        <v>1250.0000000000002</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1.8999999999999996E-2</v>
      </c>
      <c r="W694" s="863">
        <f>IFERROR(MAX(0,INDEX(Input!$1:$1048576,W$93,$C694*2+MIN($B694,2)+5)-0%),"Market")</f>
        <v>3.9E-2</v>
      </c>
      <c r="X694" s="476" t="str">
        <f>INDEX(Input!$1:$1048576,X$93,$C694*2+MIN($B694,2)+5)</f>
        <v>Y</v>
      </c>
      <c r="Y694" s="475">
        <f>INDEX(Input!$1:$1048576,Y$93,$C694*2+MIN($B694,2)+5)
++INDEX(Scenarios!Y$121:Y$199,MATCH($B694,Scenarios!$B$121:$B$199,0))</f>
        <v>2339.3275155115825</v>
      </c>
      <c r="Z694" s="477">
        <f>INDEX(Input!$1:$1048576,Z$93,$C694*2+MIN($B694,2)+5)
+INDEX(Scenarios!Z$121:Z$199,MATCH($B694,Scenarios!$B$121:$B$199,0))</f>
        <v>0</v>
      </c>
      <c r="AA694" s="475">
        <f>INDEX(Input!$1:$1048576,AA$93,$C694*2+MIN($B694,2)+5)</f>
        <v>0</v>
      </c>
      <c r="AB694" s="476">
        <f>INDEX(Input!$1:$1048576,AB$93,$C694*2+MIN($B694,2)+5)</f>
        <v>1</v>
      </c>
      <c r="AC694" s="475">
        <f>INDEX(Input!$1:$1048576,AC$93,$C694*2+MIN($B694,2)+5)
+INDEX(Scenarios!AC$121:AC$199,MATCH($B694,Scenarios!$B$121:$B$199,0))</f>
        <v>0</v>
      </c>
      <c r="AD694" s="476">
        <f>INDEX(Input!$1:$1048576,AD$93,$C694*2+MIN($B694,2)+5)</f>
        <v>0.35</v>
      </c>
      <c r="AE694" s="475">
        <f>INDEX(Input!$1:$1048576,AE$93,$C694*2+MIN($B694,2)+5)
+INDEX(Scenarios!AE$121:AE$199,MATCH($B694,Scenarios!$B$121:$B$199,0))</f>
        <v>0</v>
      </c>
      <c r="AF694" s="476">
        <f>INDEX(Input!$1:$1048576,AF$93,$C694*2+MIN($B694,2)+5)</f>
        <v>1</v>
      </c>
      <c r="AG694" s="475">
        <f>INDEX(Input!$1:$1048576,AG$93,$C694*2+MIN($B694,2)+5)</f>
        <v>0</v>
      </c>
      <c r="AH694" s="476">
        <f>INDEX(Input!$1:$1048576,AH$93,$C694*2+MIN($B694,2)+5)</f>
        <v>1</v>
      </c>
      <c r="AI694" s="475">
        <f>INDEX(Input!$1:$1048576,AI$93,$C694*2+MIN($B694,2)+5)</f>
        <v>0</v>
      </c>
      <c r="AJ694" s="476">
        <f>INDEX(Input!$1:$1048576,AJ$93,$C694*2+MIN($B694,2)+5)</f>
        <v>0.35</v>
      </c>
      <c r="AK694" s="150">
        <f>ROUND(INDEX(Input!$1:$1048576,AK$93,$C693*2+MIN($B694,1)+5)+(Y694-VLOOKUP($C694*1000+1,$A:$HH,Y$92,FALSE)),0)</f>
        <v>5093</v>
      </c>
      <c r="AL694" s="150">
        <f>ROUND(INDEX(Input!$1:$1048576,AL$93,$C693*2+MIN($B694,1)+5)-(Y694-VLOOKUP($C694*1000+1,$A:$HH,Y$92,FALSE))/36,0)</f>
        <v>5217</v>
      </c>
      <c r="AM694" s="32" t="str">
        <f t="shared" si="2101"/>
        <v>std/std/std/std</v>
      </c>
      <c r="AN694" s="32" t="str">
        <f t="shared" si="2102"/>
        <v>$0 + 0/0/0/1.9/3.9</v>
      </c>
      <c r="AO694" s="32" t="str">
        <f t="shared" si="2103"/>
        <v>0/0/0/1.9/3.9</v>
      </c>
      <c r="AP694" s="32" t="str">
        <f t="shared" si="2074"/>
        <v>0/0.9/1.9/3.9</v>
      </c>
      <c r="AQ694" s="536" t="e">
        <f t="shared" si="2075"/>
        <v>#DIV/0!</v>
      </c>
      <c r="AR694" s="32"/>
      <c r="AS694" s="302"/>
      <c r="AT694" s="3">
        <f t="shared" si="2122"/>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Forte</v>
      </c>
      <c r="BA694" s="3">
        <f>INDEX(Input!$1:$1048576,BA$93,$C694*2+6)</f>
        <v>2020</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19695</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2076"/>
        <v>1250.0000000000002</v>
      </c>
      <c r="CJ694" s="16" t="str">
        <f>INDEX(Input!$1:$1048576,CJ$93,$C694*2+6)</f>
        <v>N</v>
      </c>
      <c r="CK694" s="1" t="str">
        <f t="shared" si="2077"/>
        <v>Market</v>
      </c>
      <c r="CL694" s="1" t="str">
        <f t="shared" si="2078"/>
        <v>Market</v>
      </c>
      <c r="CM694" s="1" t="str">
        <f t="shared" si="2079"/>
        <v>Market</v>
      </c>
      <c r="CN694" s="1" t="str">
        <f t="shared" si="2080"/>
        <v>Market</v>
      </c>
      <c r="CO694" s="1" t="str">
        <f t="shared" si="2081"/>
        <v>Market</v>
      </c>
      <c r="CP694" s="304">
        <f t="shared" si="2082"/>
        <v>0</v>
      </c>
      <c r="CQ694" s="1">
        <f t="shared" si="2083"/>
        <v>0</v>
      </c>
      <c r="CR694" s="1">
        <f t="shared" si="2084"/>
        <v>0</v>
      </c>
      <c r="CS694" s="1">
        <f t="shared" si="2085"/>
        <v>0</v>
      </c>
      <c r="CT694" s="1">
        <f t="shared" si="2086"/>
        <v>1.8999999999999996E-2</v>
      </c>
      <c r="CU694" s="1">
        <f t="shared" si="2087"/>
        <v>3.9E-2</v>
      </c>
      <c r="CV694" s="304">
        <f t="shared" si="2140"/>
        <v>2339.3275155115825</v>
      </c>
      <c r="CW694" s="20" t="s">
        <v>122</v>
      </c>
      <c r="CX694" s="20" t="s">
        <v>122</v>
      </c>
      <c r="CY694" s="20" t="s">
        <v>122</v>
      </c>
      <c r="CZ694" s="20" t="s">
        <v>122</v>
      </c>
      <c r="DA694" s="20" t="s">
        <v>122</v>
      </c>
      <c r="DB694" s="503">
        <f t="shared" si="2141"/>
        <v>0</v>
      </c>
      <c r="DC694" s="127">
        <v>0</v>
      </c>
      <c r="DD694" s="127">
        <v>0</v>
      </c>
      <c r="DE694" s="127">
        <v>0</v>
      </c>
      <c r="DF694" s="127">
        <v>0</v>
      </c>
      <c r="DG694" s="127">
        <v>0</v>
      </c>
      <c r="DH694" s="127">
        <v>0</v>
      </c>
      <c r="DI694" s="127">
        <v>0</v>
      </c>
      <c r="DJ694" s="127">
        <v>0</v>
      </c>
      <c r="DK694" s="127">
        <v>0</v>
      </c>
      <c r="DL694" s="127">
        <v>0</v>
      </c>
      <c r="DM694" s="304">
        <f>INDEX(Input!$1:$1048576,DM$93,$C694*2+6)</f>
        <v>20731.578947368424</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2147"/>
        <v>#DIV/0!</v>
      </c>
      <c r="HN694" s="639" t="e">
        <f t="shared" si="2147"/>
        <v>#DIV/0!</v>
      </c>
      <c r="HO694" s="639" t="e">
        <f t="shared" si="2147"/>
        <v>#DIV/0!</v>
      </c>
      <c r="HP694" s="644">
        <f t="shared" si="2146"/>
        <v>0</v>
      </c>
      <c r="HQ694" s="644">
        <f t="shared" si="2146"/>
        <v>0</v>
      </c>
      <c r="HR694" s="644">
        <f t="shared" si="2146"/>
        <v>0</v>
      </c>
      <c r="HS694" s="644">
        <f t="shared" si="2146"/>
        <v>0</v>
      </c>
      <c r="HT694" s="644">
        <f t="shared" si="2146"/>
        <v>0</v>
      </c>
      <c r="HU694" s="644">
        <f t="shared" si="2146"/>
        <v>0</v>
      </c>
      <c r="HV694" s="644">
        <f t="shared" si="2146"/>
        <v>0</v>
      </c>
      <c r="HW694" s="644">
        <f t="shared" si="2146"/>
        <v>0</v>
      </c>
      <c r="HX694" s="644">
        <f t="shared" si="2146"/>
        <v>0</v>
      </c>
      <c r="HY694" s="644">
        <f t="shared" si="2146"/>
        <v>0</v>
      </c>
      <c r="HZ694" s="644">
        <f t="shared" si="2146"/>
        <v>0</v>
      </c>
      <c r="IA694" s="644">
        <f t="shared" si="2146"/>
        <v>0</v>
      </c>
      <c r="IB694" s="644">
        <f t="shared" si="2146"/>
        <v>0</v>
      </c>
      <c r="IC694" s="644">
        <f t="shared" si="2146"/>
        <v>0</v>
      </c>
      <c r="ID694" s="644">
        <f t="shared" si="2146"/>
        <v>0</v>
      </c>
      <c r="IE694" s="20" t="e">
        <f t="shared" si="2106"/>
        <v>#DIV/0!</v>
      </c>
      <c r="IF694" s="20" t="e">
        <f t="shared" si="2090"/>
        <v>#DIV/0!</v>
      </c>
      <c r="IG694" s="20" t="e">
        <f t="shared" si="2091"/>
        <v>#DIV/0!</v>
      </c>
      <c r="IH694" s="21"/>
      <c r="II694" s="19"/>
      <c r="IJ694" s="19"/>
      <c r="IK694" s="19"/>
      <c r="IL694" s="19" t="e">
        <f t="shared" si="2107"/>
        <v>#DIV/0!</v>
      </c>
      <c r="IM694" s="19" t="e">
        <f t="shared" si="2107"/>
        <v>#DIV/0!</v>
      </c>
      <c r="IN694" s="19" t="e">
        <f t="shared" si="2107"/>
        <v>#DIV/0!</v>
      </c>
      <c r="IO694" s="39"/>
      <c r="IP694" s="39"/>
      <c r="IQ694" s="39"/>
      <c r="IR694" s="39"/>
      <c r="IS694" s="39"/>
      <c r="IT694" s="39"/>
      <c r="IU694" s="39"/>
      <c r="IV694" s="39"/>
      <c r="IW694" s="39"/>
      <c r="IX694" s="19" t="e">
        <f t="shared" si="2148"/>
        <v>#DIV/0!</v>
      </c>
      <c r="IY694" s="19" t="e">
        <f t="shared" si="2148"/>
        <v>#DIV/0!</v>
      </c>
      <c r="IZ694" s="19" t="e">
        <f t="shared" si="2148"/>
        <v>#DIV/0!</v>
      </c>
      <c r="JA694" s="19">
        <f t="shared" si="2149"/>
        <v>0</v>
      </c>
      <c r="JB694" s="19">
        <f t="shared" si="2149"/>
        <v>0</v>
      </c>
      <c r="JC694" s="19">
        <f t="shared" si="2149"/>
        <v>0</v>
      </c>
      <c r="JD694" s="19" t="e">
        <f t="shared" si="2110"/>
        <v>#DIV/0!</v>
      </c>
      <c r="JE694" s="21"/>
      <c r="JF694" s="1" t="e">
        <f t="shared" si="2111"/>
        <v>#DIV/0!</v>
      </c>
      <c r="JG694" s="15">
        <f t="shared" si="2112"/>
        <v>0</v>
      </c>
      <c r="JH694" s="1" t="e">
        <f t="shared" si="2113"/>
        <v>#DIV/0!</v>
      </c>
      <c r="JI694" s="1" t="e">
        <f t="shared" si="2114"/>
        <v>#DIV/0!</v>
      </c>
      <c r="JJ694" s="1" t="e">
        <f t="shared" si="2092"/>
        <v>#DIV/0!</v>
      </c>
      <c r="JK694" s="1" t="e">
        <f t="shared" si="2093"/>
        <v>#DIV/0!</v>
      </c>
      <c r="JL694" s="15">
        <f t="shared" si="2150"/>
        <v>0</v>
      </c>
      <c r="JM694" s="15">
        <f t="shared" si="2150"/>
        <v>0</v>
      </c>
      <c r="JN694" s="21"/>
      <c r="JO694" s="19">
        <f>INDEX([1]Input!$1:$1048576,JO$93,$C694*2+6)</f>
        <v>5995.5</v>
      </c>
      <c r="JP694" s="19">
        <f>INDEX([1]Input!$1:$1048576,JP$93,$C694*2+6)</f>
        <v>1716.3055838443925</v>
      </c>
      <c r="JQ694" s="39" t="e">
        <f t="shared" si="2124"/>
        <v>#DIV/0!</v>
      </c>
      <c r="JR694" s="39" t="e">
        <f t="shared" si="2125"/>
        <v>#DIV/0!</v>
      </c>
      <c r="JS694" s="39" t="e">
        <f t="shared" si="2126"/>
        <v>#DIV/0!</v>
      </c>
      <c r="JT694" s="39" t="e">
        <f t="shared" si="2116"/>
        <v>#DIV/0!</v>
      </c>
      <c r="JU694" s="385" t="e">
        <f>(JQ694*JM694-INDEX([1]Input!$1:$1048576,[1]Input!A$18,$C694*2+6)*JL694*INDEX([1]Input!$1:$1048576,[1]Input!A$19,$C694*2+6))/1000000</f>
        <v>#DIV/0!</v>
      </c>
      <c r="JV694" s="39" t="e">
        <f t="shared" si="2094"/>
        <v>#DIV/0!</v>
      </c>
      <c r="JW694" s="1" t="e">
        <f t="shared" si="2129"/>
        <v>#DIV/0!</v>
      </c>
      <c r="JX694" s="19">
        <f t="shared" si="2130"/>
        <v>0</v>
      </c>
      <c r="JZ694" s="341"/>
      <c r="KA694" s="60"/>
      <c r="KB694" s="469">
        <f t="shared" si="2117"/>
        <v>0</v>
      </c>
      <c r="KI694" s="472"/>
      <c r="KJ694" s="472"/>
      <c r="KK694" s="472"/>
      <c r="KN694" s="26">
        <f t="shared" si="2118"/>
        <v>6002</v>
      </c>
      <c r="KO694" s="789">
        <f t="shared" si="2095"/>
        <v>-1</v>
      </c>
      <c r="KP694" s="790" t="e">
        <f t="shared" si="2096"/>
        <v>#DIV/0!</v>
      </c>
      <c r="KQ694" s="790" t="e">
        <f t="shared" si="2097"/>
        <v>#DIV/0!</v>
      </c>
      <c r="KR694" s="26" t="e">
        <f t="shared" si="2098"/>
        <v>#DIV/0!</v>
      </c>
      <c r="KS694" s="26" t="e">
        <f t="shared" si="2099"/>
        <v>#DIV/0!</v>
      </c>
      <c r="KT694" s="791">
        <f t="shared" si="2127"/>
        <v>2521.945896759994</v>
      </c>
      <c r="KU694" s="792">
        <f t="shared" si="2119"/>
        <v>0</v>
      </c>
    </row>
    <row r="695" spans="1:307" s="26" customFormat="1" ht="15" outlineLevel="1">
      <c r="A695" s="561">
        <f t="shared" si="2100"/>
        <v>6095</v>
      </c>
      <c r="B695" s="561">
        <f t="shared" si="2120"/>
        <v>95</v>
      </c>
      <c r="C695" s="561">
        <f t="shared" si="2121"/>
        <v>6</v>
      </c>
      <c r="D695" s="561" t="str">
        <f t="shared" si="2151"/>
        <v/>
      </c>
      <c r="E695" s="475">
        <f>INDEX(Input!$1:$1048576,E$93,$C695*2+MIN($B695,2)+5)
+INDEX(Scenarios!E$121:E$199,MATCH($B695,Scenarios!$B$121:$B$199,0))</f>
        <v>1250.0000000000002</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1.8999999999999996E-2</v>
      </c>
      <c r="W695" s="863">
        <f>IFERROR(MAX(0,INDEX(Input!$1:$1048576,W$93,$C695*2+MIN($B695,2)+5)-0%),"Market")</f>
        <v>3.9E-2</v>
      </c>
      <c r="X695" s="476" t="str">
        <f>INDEX(Input!$1:$1048576,X$93,$C695*2+MIN($B695,2)+5)</f>
        <v>Y</v>
      </c>
      <c r="Y695" s="475">
        <f>INDEX(Input!$1:$1048576,Y$93,$C695*2+MIN($B695,2)+5)
++INDEX(Scenarios!Y$121:Y$199,MATCH($B695,Scenarios!$B$121:$B$199,0))</f>
        <v>2339.3275155115825</v>
      </c>
      <c r="Z695" s="477">
        <f>INDEX(Input!$1:$1048576,Z$93,$C695*2+MIN($B695,2)+5)
+INDEX(Scenarios!Z$121:Z$199,MATCH($B695,Scenarios!$B$121:$B$199,0))</f>
        <v>0</v>
      </c>
      <c r="AA695" s="475">
        <f>INDEX(Input!$1:$1048576,AA$93,$C695*2+MIN($B695,2)+5)</f>
        <v>0</v>
      </c>
      <c r="AB695" s="476">
        <f>INDEX(Input!$1:$1048576,AB$93,$C695*2+MIN($B695,2)+5)</f>
        <v>1</v>
      </c>
      <c r="AC695" s="475">
        <f>INDEX(Input!$1:$1048576,AC$93,$C695*2+MIN($B695,2)+5)
+INDEX(Scenarios!AC$121:AC$199,MATCH($B695,Scenarios!$B$121:$B$199,0))</f>
        <v>0</v>
      </c>
      <c r="AD695" s="476">
        <f>INDEX(Input!$1:$1048576,AD$93,$C695*2+MIN($B695,2)+5)</f>
        <v>0.35</v>
      </c>
      <c r="AE695" s="475">
        <f>INDEX(Input!$1:$1048576,AE$93,$C695*2+MIN($B695,2)+5)
+INDEX(Scenarios!AE$121:AE$199,MATCH($B695,Scenarios!$B$121:$B$199,0))</f>
        <v>0</v>
      </c>
      <c r="AF695" s="476">
        <f>INDEX(Input!$1:$1048576,AF$93,$C695*2+MIN($B695,2)+5)</f>
        <v>1</v>
      </c>
      <c r="AG695" s="475">
        <f>INDEX(Input!$1:$1048576,AG$93,$C695*2+MIN($B695,2)+5)</f>
        <v>0</v>
      </c>
      <c r="AH695" s="476">
        <f>INDEX(Input!$1:$1048576,AH$93,$C695*2+MIN($B695,2)+5)</f>
        <v>1</v>
      </c>
      <c r="AI695" s="475">
        <f>INDEX(Input!$1:$1048576,AI$93,$C695*2+MIN($B695,2)+5)</f>
        <v>0</v>
      </c>
      <c r="AJ695" s="476">
        <f>INDEX(Input!$1:$1048576,AJ$93,$C695*2+MIN($B695,2)+5)</f>
        <v>0.35</v>
      </c>
      <c r="AK695" s="150">
        <f>ROUND(INDEX(Input!$1:$1048576,AK$93,$C694*2+MIN($B695,1)+5)+(Y695-VLOOKUP($C695*1000+1,$A:$HH,Y$92,FALSE)),0)</f>
        <v>5093</v>
      </c>
      <c r="AL695" s="150">
        <f>ROUND(INDEX(Input!$1:$1048576,AL$93,$C694*2+MIN($B695,1)+5)-(Y695-VLOOKUP($C695*1000+1,$A:$HH,Y$92,FALSE))/36,0)</f>
        <v>5217</v>
      </c>
      <c r="AM695" s="32" t="str">
        <f t="shared" si="2101"/>
        <v>std/std/std/std</v>
      </c>
      <c r="AN695" s="32" t="str">
        <f t="shared" si="2102"/>
        <v>$0 + 0/0/0/1.9/3.9</v>
      </c>
      <c r="AO695" s="32" t="str">
        <f t="shared" si="2103"/>
        <v>0/0/0/1.9/3.9</v>
      </c>
      <c r="AP695" s="32" t="str">
        <f t="shared" si="2074"/>
        <v>0/0.9/1.9/3.9</v>
      </c>
      <c r="AQ695" s="536" t="e">
        <f t="shared" si="2075"/>
        <v>#DIV/0!</v>
      </c>
      <c r="AR695" s="32"/>
      <c r="AS695" s="302"/>
      <c r="AT695" s="3">
        <f t="shared" si="2122"/>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Forte</v>
      </c>
      <c r="BA695" s="3">
        <f>INDEX(Input!$1:$1048576,BA$93,$C695*2+6)</f>
        <v>2020</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19695</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2076"/>
        <v>1250.0000000000002</v>
      </c>
      <c r="CJ695" s="16" t="str">
        <f>INDEX(Input!$1:$1048576,CJ$93,$C695*2+6)</f>
        <v>N</v>
      </c>
      <c r="CK695" s="1" t="str">
        <f t="shared" si="2077"/>
        <v>Market</v>
      </c>
      <c r="CL695" s="1" t="str">
        <f t="shared" si="2078"/>
        <v>Market</v>
      </c>
      <c r="CM695" s="1" t="str">
        <f t="shared" si="2079"/>
        <v>Market</v>
      </c>
      <c r="CN695" s="1" t="str">
        <f t="shared" si="2080"/>
        <v>Market</v>
      </c>
      <c r="CO695" s="1" t="str">
        <f t="shared" si="2081"/>
        <v>Market</v>
      </c>
      <c r="CP695" s="304">
        <f t="shared" si="2082"/>
        <v>0</v>
      </c>
      <c r="CQ695" s="1">
        <f t="shared" si="2083"/>
        <v>0</v>
      </c>
      <c r="CR695" s="1">
        <f t="shared" si="2084"/>
        <v>0</v>
      </c>
      <c r="CS695" s="1">
        <f t="shared" si="2085"/>
        <v>0</v>
      </c>
      <c r="CT695" s="1">
        <f t="shared" si="2086"/>
        <v>1.8999999999999996E-2</v>
      </c>
      <c r="CU695" s="1">
        <f t="shared" si="2087"/>
        <v>3.9E-2</v>
      </c>
      <c r="CV695" s="304">
        <f t="shared" si="2140"/>
        <v>2339.3275155115825</v>
      </c>
      <c r="CW695" s="20" t="s">
        <v>122</v>
      </c>
      <c r="CX695" s="20" t="s">
        <v>122</v>
      </c>
      <c r="CY695" s="20" t="s">
        <v>122</v>
      </c>
      <c r="CZ695" s="20" t="s">
        <v>122</v>
      </c>
      <c r="DA695" s="20" t="s">
        <v>122</v>
      </c>
      <c r="DB695" s="503">
        <f t="shared" si="2141"/>
        <v>0</v>
      </c>
      <c r="DC695" s="127">
        <v>0</v>
      </c>
      <c r="DD695" s="127">
        <v>0</v>
      </c>
      <c r="DE695" s="127">
        <v>0</v>
      </c>
      <c r="DF695" s="127">
        <v>0</v>
      </c>
      <c r="DG695" s="127">
        <v>0</v>
      </c>
      <c r="DH695" s="127">
        <v>0</v>
      </c>
      <c r="DI695" s="127">
        <v>0</v>
      </c>
      <c r="DJ695" s="127">
        <v>0</v>
      </c>
      <c r="DK695" s="127">
        <v>0</v>
      </c>
      <c r="DL695" s="127">
        <v>0</v>
      </c>
      <c r="DM695" s="304">
        <f>INDEX(Input!$1:$1048576,DM$93,$C695*2+6)</f>
        <v>20731.578947368424</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2147"/>
        <v>#DIV/0!</v>
      </c>
      <c r="HN695" s="639" t="e">
        <f t="shared" si="2147"/>
        <v>#DIV/0!</v>
      </c>
      <c r="HO695" s="639" t="e">
        <f t="shared" si="2147"/>
        <v>#DIV/0!</v>
      </c>
      <c r="HP695" s="644">
        <f t="shared" si="2146"/>
        <v>0</v>
      </c>
      <c r="HQ695" s="644">
        <f t="shared" si="2146"/>
        <v>0</v>
      </c>
      <c r="HR695" s="644">
        <f t="shared" si="2146"/>
        <v>0</v>
      </c>
      <c r="HS695" s="644">
        <f t="shared" si="2146"/>
        <v>0</v>
      </c>
      <c r="HT695" s="644">
        <f t="shared" si="2146"/>
        <v>0</v>
      </c>
      <c r="HU695" s="644">
        <f t="shared" si="2146"/>
        <v>0</v>
      </c>
      <c r="HV695" s="644">
        <f t="shared" si="2146"/>
        <v>0</v>
      </c>
      <c r="HW695" s="644">
        <f t="shared" si="2146"/>
        <v>0</v>
      </c>
      <c r="HX695" s="644">
        <f t="shared" si="2146"/>
        <v>0</v>
      </c>
      <c r="HY695" s="644">
        <f t="shared" si="2146"/>
        <v>0</v>
      </c>
      <c r="HZ695" s="644">
        <f t="shared" si="2146"/>
        <v>0</v>
      </c>
      <c r="IA695" s="644">
        <f t="shared" si="2146"/>
        <v>0</v>
      </c>
      <c r="IB695" s="644">
        <f t="shared" si="2146"/>
        <v>0</v>
      </c>
      <c r="IC695" s="644">
        <f t="shared" si="2146"/>
        <v>0</v>
      </c>
      <c r="ID695" s="644">
        <f t="shared" si="2146"/>
        <v>0</v>
      </c>
      <c r="IE695" s="20" t="e">
        <f t="shared" si="2106"/>
        <v>#DIV/0!</v>
      </c>
      <c r="IF695" s="20" t="e">
        <f t="shared" si="2090"/>
        <v>#DIV/0!</v>
      </c>
      <c r="IG695" s="20" t="e">
        <f t="shared" si="2091"/>
        <v>#DIV/0!</v>
      </c>
      <c r="IH695" s="21"/>
      <c r="II695" s="19"/>
      <c r="IJ695" s="19"/>
      <c r="IK695" s="19"/>
      <c r="IL695" s="19" t="e">
        <f t="shared" si="2107"/>
        <v>#DIV/0!</v>
      </c>
      <c r="IM695" s="19" t="e">
        <f t="shared" si="2107"/>
        <v>#DIV/0!</v>
      </c>
      <c r="IN695" s="19" t="e">
        <f t="shared" si="2107"/>
        <v>#DIV/0!</v>
      </c>
      <c r="IO695" s="39"/>
      <c r="IP695" s="39"/>
      <c r="IQ695" s="39"/>
      <c r="IR695" s="39"/>
      <c r="IS695" s="39"/>
      <c r="IT695" s="39"/>
      <c r="IU695" s="39"/>
      <c r="IV695" s="39"/>
      <c r="IW695" s="39"/>
      <c r="IX695" s="19" t="e">
        <f t="shared" si="2148"/>
        <v>#DIV/0!</v>
      </c>
      <c r="IY695" s="19" t="e">
        <f t="shared" si="2148"/>
        <v>#DIV/0!</v>
      </c>
      <c r="IZ695" s="19" t="e">
        <f t="shared" si="2148"/>
        <v>#DIV/0!</v>
      </c>
      <c r="JA695" s="19">
        <f t="shared" si="2149"/>
        <v>0</v>
      </c>
      <c r="JB695" s="19">
        <f t="shared" si="2149"/>
        <v>0</v>
      </c>
      <c r="JC695" s="19">
        <f t="shared" si="2149"/>
        <v>0</v>
      </c>
      <c r="JD695" s="19" t="e">
        <f t="shared" si="2110"/>
        <v>#DIV/0!</v>
      </c>
      <c r="JE695" s="21"/>
      <c r="JF695" s="1" t="e">
        <f t="shared" si="2111"/>
        <v>#DIV/0!</v>
      </c>
      <c r="JG695" s="15">
        <f t="shared" si="2112"/>
        <v>0</v>
      </c>
      <c r="JH695" s="1" t="e">
        <f t="shared" si="2113"/>
        <v>#DIV/0!</v>
      </c>
      <c r="JI695" s="1" t="e">
        <f t="shared" si="2114"/>
        <v>#DIV/0!</v>
      </c>
      <c r="JJ695" s="1" t="e">
        <f t="shared" si="2092"/>
        <v>#DIV/0!</v>
      </c>
      <c r="JK695" s="1" t="e">
        <f t="shared" si="2093"/>
        <v>#DIV/0!</v>
      </c>
      <c r="JL695" s="15">
        <f t="shared" si="2150"/>
        <v>0</v>
      </c>
      <c r="JM695" s="15">
        <f t="shared" si="2150"/>
        <v>0</v>
      </c>
      <c r="JN695" s="21"/>
      <c r="JO695" s="19">
        <f>INDEX([1]Input!$1:$1048576,JO$93,$C695*2+6)</f>
        <v>5995.5</v>
      </c>
      <c r="JP695" s="19">
        <f>INDEX([1]Input!$1:$1048576,JP$93,$C695*2+6)</f>
        <v>1716.3055838443925</v>
      </c>
      <c r="JQ695" s="39" t="e">
        <f t="shared" si="2124"/>
        <v>#DIV/0!</v>
      </c>
      <c r="JR695" s="39" t="e">
        <f t="shared" si="2125"/>
        <v>#DIV/0!</v>
      </c>
      <c r="JS695" s="39" t="e">
        <f t="shared" si="2126"/>
        <v>#DIV/0!</v>
      </c>
      <c r="JT695" s="39" t="e">
        <f t="shared" si="2116"/>
        <v>#DIV/0!</v>
      </c>
      <c r="JU695" s="385" t="e">
        <f>(JQ695*JM695-INDEX([1]Input!$1:$1048576,[1]Input!A$18,$C695*2+6)*JL695*INDEX([1]Input!$1:$1048576,[1]Input!A$19,$C695*2+6))/1000000</f>
        <v>#DIV/0!</v>
      </c>
      <c r="JV695" s="39" t="e">
        <f t="shared" si="2094"/>
        <v>#DIV/0!</v>
      </c>
      <c r="JW695" s="1" t="e">
        <f t="shared" si="2129"/>
        <v>#DIV/0!</v>
      </c>
      <c r="JX695" s="19">
        <f t="shared" si="2130"/>
        <v>0</v>
      </c>
      <c r="JZ695" s="341"/>
      <c r="KA695" s="60"/>
      <c r="KB695" s="469">
        <f t="shared" si="2117"/>
        <v>0</v>
      </c>
      <c r="KI695" s="472"/>
      <c r="KJ695" s="472"/>
      <c r="KK695" s="472"/>
      <c r="KN695" s="26">
        <f t="shared" si="2118"/>
        <v>6002</v>
      </c>
      <c r="KO695" s="789">
        <f t="shared" si="2095"/>
        <v>-1</v>
      </c>
      <c r="KP695" s="790" t="e">
        <f t="shared" si="2096"/>
        <v>#DIV/0!</v>
      </c>
      <c r="KQ695" s="790" t="e">
        <f t="shared" si="2097"/>
        <v>#DIV/0!</v>
      </c>
      <c r="KR695" s="26" t="e">
        <f t="shared" si="2098"/>
        <v>#DIV/0!</v>
      </c>
      <c r="KS695" s="26" t="e">
        <f t="shared" si="2099"/>
        <v>#DIV/0!</v>
      </c>
      <c r="KT695" s="791">
        <f t="shared" si="2127"/>
        <v>2521.945896759994</v>
      </c>
      <c r="KU695" s="792">
        <f t="shared" si="2119"/>
        <v>0</v>
      </c>
    </row>
    <row r="696" spans="1:307" s="26" customFormat="1" ht="15" outlineLevel="1">
      <c r="A696" s="561">
        <f t="shared" si="2100"/>
        <v>6096</v>
      </c>
      <c r="B696" s="561">
        <f t="shared" si="2120"/>
        <v>96</v>
      </c>
      <c r="C696" s="561">
        <f t="shared" si="2121"/>
        <v>6</v>
      </c>
      <c r="D696" s="561" t="str">
        <f t="shared" si="2151"/>
        <v/>
      </c>
      <c r="E696" s="475">
        <f>INDEX(Input!$1:$1048576,E$93,$C696*2+MIN($B696,2)+5)
+INDEX(Scenarios!E$121:E$199,MATCH($B696,Scenarios!$B$121:$B$199,0))</f>
        <v>1250.0000000000002</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1.8999999999999996E-2</v>
      </c>
      <c r="W696" s="863">
        <f>IFERROR(MAX(0,INDEX(Input!$1:$1048576,W$93,$C696*2+MIN($B696,2)+5)-0%),"Market")</f>
        <v>3.9E-2</v>
      </c>
      <c r="X696" s="476" t="str">
        <f>INDEX(Input!$1:$1048576,X$93,$C696*2+MIN($B696,2)+5)</f>
        <v>Y</v>
      </c>
      <c r="Y696" s="475">
        <f>INDEX(Input!$1:$1048576,Y$93,$C696*2+MIN($B696,2)+5)
++INDEX(Scenarios!Y$121:Y$199,MATCH($B696,Scenarios!$B$121:$B$199,0))</f>
        <v>2339.3275155115825</v>
      </c>
      <c r="Z696" s="477">
        <f>INDEX(Input!$1:$1048576,Z$93,$C696*2+MIN($B696,2)+5)
+INDEX(Scenarios!Z$121:Z$199,MATCH($B696,Scenarios!$B$121:$B$199,0))</f>
        <v>0</v>
      </c>
      <c r="AA696" s="475">
        <f>INDEX(Input!$1:$1048576,AA$93,$C696*2+MIN($B696,2)+5)</f>
        <v>0</v>
      </c>
      <c r="AB696" s="476">
        <f>INDEX(Input!$1:$1048576,AB$93,$C696*2+MIN($B696,2)+5)</f>
        <v>1</v>
      </c>
      <c r="AC696" s="475">
        <f>INDEX(Input!$1:$1048576,AC$93,$C696*2+MIN($B696,2)+5)
+INDEX(Scenarios!AC$121:AC$199,MATCH($B696,Scenarios!$B$121:$B$199,0))</f>
        <v>0</v>
      </c>
      <c r="AD696" s="476">
        <f>INDEX(Input!$1:$1048576,AD$93,$C696*2+MIN($B696,2)+5)</f>
        <v>0.35</v>
      </c>
      <c r="AE696" s="475">
        <f>INDEX(Input!$1:$1048576,AE$93,$C696*2+MIN($B696,2)+5)
+INDEX(Scenarios!AE$121:AE$199,MATCH($B696,Scenarios!$B$121:$B$199,0))</f>
        <v>0</v>
      </c>
      <c r="AF696" s="476">
        <f>INDEX(Input!$1:$1048576,AF$93,$C696*2+MIN($B696,2)+5)</f>
        <v>1</v>
      </c>
      <c r="AG696" s="475">
        <f>INDEX(Input!$1:$1048576,AG$93,$C696*2+MIN($B696,2)+5)</f>
        <v>0</v>
      </c>
      <c r="AH696" s="476">
        <f>INDEX(Input!$1:$1048576,AH$93,$C696*2+MIN($B696,2)+5)</f>
        <v>1</v>
      </c>
      <c r="AI696" s="475">
        <f>INDEX(Input!$1:$1048576,AI$93,$C696*2+MIN($B696,2)+5)</f>
        <v>0</v>
      </c>
      <c r="AJ696" s="476">
        <f>INDEX(Input!$1:$1048576,AJ$93,$C696*2+MIN($B696,2)+5)</f>
        <v>0.35</v>
      </c>
      <c r="AK696" s="150">
        <f>ROUND(INDEX(Input!$1:$1048576,AK$93,$C695*2+MIN($B696,1)+5)+(Y696-VLOOKUP($C696*1000+1,$A:$HH,Y$92,FALSE)),0)</f>
        <v>5093</v>
      </c>
      <c r="AL696" s="150">
        <f>ROUND(INDEX(Input!$1:$1048576,AL$93,$C695*2+MIN($B696,1)+5)-(Y696-VLOOKUP($C696*1000+1,$A:$HH,Y$92,FALSE))/36,0)</f>
        <v>5217</v>
      </c>
      <c r="AM696" s="32" t="str">
        <f t="shared" si="2101"/>
        <v>std/std/std/std</v>
      </c>
      <c r="AN696" s="32" t="str">
        <f t="shared" si="2102"/>
        <v>$0 + 0/0/0/1.9/3.9</v>
      </c>
      <c r="AO696" s="32" t="str">
        <f t="shared" si="2103"/>
        <v>0/0/0/1.9/3.9</v>
      </c>
      <c r="AP696" s="32" t="str">
        <f t="shared" si="2074"/>
        <v>0/0.9/1.9/3.9</v>
      </c>
      <c r="AQ696" s="536" t="e">
        <f t="shared" si="2075"/>
        <v>#DIV/0!</v>
      </c>
      <c r="AR696" s="32"/>
      <c r="AS696" s="302"/>
      <c r="AT696" s="3">
        <f t="shared" si="2122"/>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Forte</v>
      </c>
      <c r="BA696" s="3">
        <f>INDEX(Input!$1:$1048576,BA$93,$C696*2+6)</f>
        <v>2020</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19695</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2076"/>
        <v>1250.0000000000002</v>
      </c>
      <c r="CJ696" s="16" t="str">
        <f>INDEX(Input!$1:$1048576,CJ$93,$C696*2+6)</f>
        <v>N</v>
      </c>
      <c r="CK696" s="1" t="str">
        <f t="shared" si="2077"/>
        <v>Market</v>
      </c>
      <c r="CL696" s="1" t="str">
        <f t="shared" si="2078"/>
        <v>Market</v>
      </c>
      <c r="CM696" s="1" t="str">
        <f t="shared" si="2079"/>
        <v>Market</v>
      </c>
      <c r="CN696" s="1" t="str">
        <f t="shared" si="2080"/>
        <v>Market</v>
      </c>
      <c r="CO696" s="1" t="str">
        <f t="shared" si="2081"/>
        <v>Market</v>
      </c>
      <c r="CP696" s="304">
        <f t="shared" si="2082"/>
        <v>0</v>
      </c>
      <c r="CQ696" s="1">
        <f t="shared" si="2083"/>
        <v>0</v>
      </c>
      <c r="CR696" s="1">
        <f t="shared" si="2084"/>
        <v>0</v>
      </c>
      <c r="CS696" s="1">
        <f t="shared" si="2085"/>
        <v>0</v>
      </c>
      <c r="CT696" s="1">
        <f t="shared" si="2086"/>
        <v>1.8999999999999996E-2</v>
      </c>
      <c r="CU696" s="1">
        <f t="shared" si="2087"/>
        <v>3.9E-2</v>
      </c>
      <c r="CV696" s="304">
        <f t="shared" si="2140"/>
        <v>2339.3275155115825</v>
      </c>
      <c r="CW696" s="20" t="s">
        <v>122</v>
      </c>
      <c r="CX696" s="20" t="s">
        <v>122</v>
      </c>
      <c r="CY696" s="20" t="s">
        <v>122</v>
      </c>
      <c r="CZ696" s="20" t="s">
        <v>122</v>
      </c>
      <c r="DA696" s="20" t="s">
        <v>122</v>
      </c>
      <c r="DB696" s="503">
        <f t="shared" si="2141"/>
        <v>0</v>
      </c>
      <c r="DC696" s="127">
        <v>0</v>
      </c>
      <c r="DD696" s="127">
        <v>0</v>
      </c>
      <c r="DE696" s="127">
        <v>0</v>
      </c>
      <c r="DF696" s="127">
        <v>0</v>
      </c>
      <c r="DG696" s="127">
        <v>0</v>
      </c>
      <c r="DH696" s="127">
        <v>0</v>
      </c>
      <c r="DI696" s="127">
        <v>0</v>
      </c>
      <c r="DJ696" s="127">
        <v>0</v>
      </c>
      <c r="DK696" s="127">
        <v>0</v>
      </c>
      <c r="DL696" s="127">
        <v>0</v>
      </c>
      <c r="DM696" s="304">
        <f>INDEX(Input!$1:$1048576,DM$93,$C696*2+6)</f>
        <v>20731.578947368424</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2147"/>
        <v>#DIV/0!</v>
      </c>
      <c r="HN696" s="639" t="e">
        <f t="shared" si="2147"/>
        <v>#DIV/0!</v>
      </c>
      <c r="HO696" s="639" t="e">
        <f t="shared" si="2147"/>
        <v>#DIV/0!</v>
      </c>
      <c r="HP696" s="644">
        <f t="shared" si="2146"/>
        <v>0</v>
      </c>
      <c r="HQ696" s="644">
        <f t="shared" si="2146"/>
        <v>0</v>
      </c>
      <c r="HR696" s="644">
        <f t="shared" si="2146"/>
        <v>0</v>
      </c>
      <c r="HS696" s="644">
        <f t="shared" si="2146"/>
        <v>0</v>
      </c>
      <c r="HT696" s="644">
        <f t="shared" si="2146"/>
        <v>0</v>
      </c>
      <c r="HU696" s="644">
        <f t="shared" si="2146"/>
        <v>0</v>
      </c>
      <c r="HV696" s="644">
        <f t="shared" si="2146"/>
        <v>0</v>
      </c>
      <c r="HW696" s="644">
        <f t="shared" si="2146"/>
        <v>0</v>
      </c>
      <c r="HX696" s="644">
        <f t="shared" si="2146"/>
        <v>0</v>
      </c>
      <c r="HY696" s="644">
        <f t="shared" si="2146"/>
        <v>0</v>
      </c>
      <c r="HZ696" s="644">
        <f t="shared" si="2146"/>
        <v>0</v>
      </c>
      <c r="IA696" s="644">
        <f t="shared" si="2146"/>
        <v>0</v>
      </c>
      <c r="IB696" s="644">
        <f t="shared" si="2146"/>
        <v>0</v>
      </c>
      <c r="IC696" s="644">
        <f t="shared" si="2146"/>
        <v>0</v>
      </c>
      <c r="ID696" s="644">
        <f t="shared" si="2146"/>
        <v>0</v>
      </c>
      <c r="IE696" s="20" t="e">
        <f t="shared" si="2106"/>
        <v>#DIV/0!</v>
      </c>
      <c r="IF696" s="20" t="e">
        <f t="shared" si="2090"/>
        <v>#DIV/0!</v>
      </c>
      <c r="IG696" s="20" t="e">
        <f t="shared" si="2091"/>
        <v>#DIV/0!</v>
      </c>
      <c r="IH696" s="21"/>
      <c r="II696" s="19"/>
      <c r="IJ696" s="19"/>
      <c r="IK696" s="19"/>
      <c r="IL696" s="19" t="e">
        <f t="shared" si="2107"/>
        <v>#DIV/0!</v>
      </c>
      <c r="IM696" s="19" t="e">
        <f t="shared" si="2107"/>
        <v>#DIV/0!</v>
      </c>
      <c r="IN696" s="19" t="e">
        <f t="shared" si="2107"/>
        <v>#DIV/0!</v>
      </c>
      <c r="IO696" s="39"/>
      <c r="IP696" s="39"/>
      <c r="IQ696" s="39"/>
      <c r="IR696" s="39"/>
      <c r="IS696" s="39"/>
      <c r="IT696" s="39"/>
      <c r="IU696" s="39"/>
      <c r="IV696" s="39"/>
      <c r="IW696" s="39"/>
      <c r="IX696" s="19" t="e">
        <f t="shared" si="2148"/>
        <v>#DIV/0!</v>
      </c>
      <c r="IY696" s="19" t="e">
        <f t="shared" si="2148"/>
        <v>#DIV/0!</v>
      </c>
      <c r="IZ696" s="19" t="e">
        <f t="shared" si="2148"/>
        <v>#DIV/0!</v>
      </c>
      <c r="JA696" s="19">
        <f t="shared" si="2149"/>
        <v>0</v>
      </c>
      <c r="JB696" s="19">
        <f t="shared" si="2149"/>
        <v>0</v>
      </c>
      <c r="JC696" s="19">
        <f t="shared" si="2149"/>
        <v>0</v>
      </c>
      <c r="JD696" s="19" t="e">
        <f t="shared" si="2110"/>
        <v>#DIV/0!</v>
      </c>
      <c r="JE696" s="21"/>
      <c r="JF696" s="1" t="e">
        <f t="shared" si="2111"/>
        <v>#DIV/0!</v>
      </c>
      <c r="JG696" s="15">
        <f t="shared" si="2112"/>
        <v>0</v>
      </c>
      <c r="JH696" s="1" t="e">
        <f t="shared" si="2113"/>
        <v>#DIV/0!</v>
      </c>
      <c r="JI696" s="1" t="e">
        <f t="shared" si="2114"/>
        <v>#DIV/0!</v>
      </c>
      <c r="JJ696" s="1" t="e">
        <f t="shared" si="2092"/>
        <v>#DIV/0!</v>
      </c>
      <c r="JK696" s="1" t="e">
        <f t="shared" si="2093"/>
        <v>#DIV/0!</v>
      </c>
      <c r="JL696" s="15">
        <f t="shared" si="2150"/>
        <v>0</v>
      </c>
      <c r="JM696" s="15">
        <f t="shared" si="2150"/>
        <v>0</v>
      </c>
      <c r="JN696" s="21"/>
      <c r="JO696" s="19">
        <f>INDEX([1]Input!$1:$1048576,JO$93,$C696*2+6)</f>
        <v>5995.5</v>
      </c>
      <c r="JP696" s="19">
        <f>INDEX([1]Input!$1:$1048576,JP$93,$C696*2+6)</f>
        <v>1716.3055838443925</v>
      </c>
      <c r="JQ696" s="39" t="e">
        <f t="shared" si="2124"/>
        <v>#DIV/0!</v>
      </c>
      <c r="JR696" s="39" t="e">
        <f t="shared" si="2125"/>
        <v>#DIV/0!</v>
      </c>
      <c r="JS696" s="39" t="e">
        <f t="shared" si="2126"/>
        <v>#DIV/0!</v>
      </c>
      <c r="JT696" s="39" t="e">
        <f t="shared" si="2116"/>
        <v>#DIV/0!</v>
      </c>
      <c r="JU696" s="385" t="e">
        <f>(JQ696*JM696-INDEX([1]Input!$1:$1048576,[1]Input!A$18,$C696*2+6)*JL696*INDEX([1]Input!$1:$1048576,[1]Input!A$19,$C696*2+6))/1000000</f>
        <v>#DIV/0!</v>
      </c>
      <c r="JV696" s="39" t="e">
        <f t="shared" si="2094"/>
        <v>#DIV/0!</v>
      </c>
      <c r="JW696" s="1" t="e">
        <f t="shared" si="2129"/>
        <v>#DIV/0!</v>
      </c>
      <c r="JX696" s="19">
        <f t="shared" si="2130"/>
        <v>0</v>
      </c>
      <c r="JZ696" s="341"/>
      <c r="KA696" s="60"/>
      <c r="KB696" s="469">
        <f t="shared" si="2117"/>
        <v>0</v>
      </c>
      <c r="KI696" s="472"/>
      <c r="KJ696" s="472"/>
      <c r="KK696" s="472"/>
      <c r="KN696" s="26">
        <f t="shared" si="2118"/>
        <v>6002</v>
      </c>
      <c r="KO696" s="789">
        <f t="shared" si="2095"/>
        <v>-1</v>
      </c>
      <c r="KP696" s="790" t="e">
        <f t="shared" si="2096"/>
        <v>#DIV/0!</v>
      </c>
      <c r="KQ696" s="790" t="e">
        <f t="shared" si="2097"/>
        <v>#DIV/0!</v>
      </c>
      <c r="KR696" s="26" t="e">
        <f t="shared" si="2098"/>
        <v>#DIV/0!</v>
      </c>
      <c r="KS696" s="26" t="e">
        <f t="shared" si="2099"/>
        <v>#DIV/0!</v>
      </c>
      <c r="KT696" s="791">
        <f t="shared" si="2127"/>
        <v>2521.945896759994</v>
      </c>
      <c r="KU696" s="792">
        <f t="shared" si="2119"/>
        <v>0</v>
      </c>
    </row>
    <row r="697" spans="1:307" s="26" customFormat="1" ht="15" outlineLevel="1">
      <c r="A697" s="561">
        <f t="shared" si="2100"/>
        <v>6097</v>
      </c>
      <c r="B697" s="561">
        <f t="shared" si="2120"/>
        <v>97</v>
      </c>
      <c r="C697" s="561">
        <f t="shared" si="2121"/>
        <v>6</v>
      </c>
      <c r="D697" s="561" t="str">
        <f t="shared" si="2151"/>
        <v/>
      </c>
      <c r="E697" s="475">
        <f>INDEX(Input!$1:$1048576,E$93,$C697*2+MIN($B697,2)+5)
+INDEX(Scenarios!E$121:E$199,MATCH($B697,Scenarios!$B$121:$B$199,0))</f>
        <v>1250.0000000000002</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1.8999999999999996E-2</v>
      </c>
      <c r="W697" s="863">
        <f>IFERROR(MAX(0,INDEX(Input!$1:$1048576,W$93,$C697*2+MIN($B697,2)+5)-0%),"Market")</f>
        <v>3.9E-2</v>
      </c>
      <c r="X697" s="476" t="str">
        <f>INDEX(Input!$1:$1048576,X$93,$C697*2+MIN($B697,2)+5)</f>
        <v>Y</v>
      </c>
      <c r="Y697" s="475">
        <f>INDEX(Input!$1:$1048576,Y$93,$C697*2+MIN($B697,2)+5)
++INDEX(Scenarios!Y$121:Y$199,MATCH($B697,Scenarios!$B$121:$B$199,0))</f>
        <v>2339.3275155115825</v>
      </c>
      <c r="Z697" s="477">
        <f>INDEX(Input!$1:$1048576,Z$93,$C697*2+MIN($B697,2)+5)
+INDEX(Scenarios!Z$121:Z$199,MATCH($B697,Scenarios!$B$121:$B$199,0))</f>
        <v>0</v>
      </c>
      <c r="AA697" s="475">
        <f>INDEX(Input!$1:$1048576,AA$93,$C697*2+MIN($B697,2)+5)</f>
        <v>0</v>
      </c>
      <c r="AB697" s="476">
        <f>INDEX(Input!$1:$1048576,AB$93,$C697*2+MIN($B697,2)+5)</f>
        <v>1</v>
      </c>
      <c r="AC697" s="475">
        <f>INDEX(Input!$1:$1048576,AC$93,$C697*2+MIN($B697,2)+5)
+INDEX(Scenarios!AC$121:AC$199,MATCH($B697,Scenarios!$B$121:$B$199,0))</f>
        <v>0</v>
      </c>
      <c r="AD697" s="476">
        <f>INDEX(Input!$1:$1048576,AD$93,$C697*2+MIN($B697,2)+5)</f>
        <v>0.35</v>
      </c>
      <c r="AE697" s="475">
        <f>INDEX(Input!$1:$1048576,AE$93,$C697*2+MIN($B697,2)+5)
+INDEX(Scenarios!AE$121:AE$199,MATCH($B697,Scenarios!$B$121:$B$199,0))</f>
        <v>0</v>
      </c>
      <c r="AF697" s="476">
        <f>INDEX(Input!$1:$1048576,AF$93,$C697*2+MIN($B697,2)+5)</f>
        <v>1</v>
      </c>
      <c r="AG697" s="475">
        <f>INDEX(Input!$1:$1048576,AG$93,$C697*2+MIN($B697,2)+5)</f>
        <v>0</v>
      </c>
      <c r="AH697" s="476">
        <f>INDEX(Input!$1:$1048576,AH$93,$C697*2+MIN($B697,2)+5)</f>
        <v>1</v>
      </c>
      <c r="AI697" s="475">
        <f>INDEX(Input!$1:$1048576,AI$93,$C697*2+MIN($B697,2)+5)</f>
        <v>0</v>
      </c>
      <c r="AJ697" s="476">
        <f>INDEX(Input!$1:$1048576,AJ$93,$C697*2+MIN($B697,2)+5)</f>
        <v>0.35</v>
      </c>
      <c r="AK697" s="150">
        <f>ROUND(INDEX(Input!$1:$1048576,AK$93,$C696*2+MIN($B697,1)+5)+(Y697-VLOOKUP($C697*1000+1,$A:$HH,Y$92,FALSE)),0)</f>
        <v>5093</v>
      </c>
      <c r="AL697" s="150">
        <f>ROUND(INDEX(Input!$1:$1048576,AL$93,$C696*2+MIN($B697,1)+5)-(Y697-VLOOKUP($C697*1000+1,$A:$HH,Y$92,FALSE))/36,0)</f>
        <v>5217</v>
      </c>
      <c r="AM697" s="32" t="str">
        <f t="shared" si="2101"/>
        <v>std/std/std/std</v>
      </c>
      <c r="AN697" s="32" t="str">
        <f t="shared" si="2102"/>
        <v>$0 + 0/0/0/1.9/3.9</v>
      </c>
      <c r="AO697" s="32" t="str">
        <f t="shared" si="2103"/>
        <v>0/0/0/1.9/3.9</v>
      </c>
      <c r="AP697" s="32" t="str">
        <f t="shared" si="2074"/>
        <v>0/0.9/1.9/3.9</v>
      </c>
      <c r="AQ697" s="536" t="e">
        <f t="shared" si="2075"/>
        <v>#DIV/0!</v>
      </c>
      <c r="AR697" s="32"/>
      <c r="AS697" s="302"/>
      <c r="AT697" s="3">
        <f t="shared" si="2122"/>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Forte</v>
      </c>
      <c r="BA697" s="3">
        <f>INDEX(Input!$1:$1048576,BA$93,$C697*2+6)</f>
        <v>2020</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19695</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2076"/>
        <v>1250.0000000000002</v>
      </c>
      <c r="CJ697" s="16" t="str">
        <f>INDEX(Input!$1:$1048576,CJ$93,$C697*2+6)</f>
        <v>N</v>
      </c>
      <c r="CK697" s="1" t="str">
        <f t="shared" si="2077"/>
        <v>Market</v>
      </c>
      <c r="CL697" s="1" t="str">
        <f t="shared" si="2078"/>
        <v>Market</v>
      </c>
      <c r="CM697" s="1" t="str">
        <f t="shared" si="2079"/>
        <v>Market</v>
      </c>
      <c r="CN697" s="1" t="str">
        <f t="shared" si="2080"/>
        <v>Market</v>
      </c>
      <c r="CO697" s="1" t="str">
        <f t="shared" si="2081"/>
        <v>Market</v>
      </c>
      <c r="CP697" s="304">
        <f t="shared" si="2082"/>
        <v>0</v>
      </c>
      <c r="CQ697" s="1">
        <f t="shared" si="2083"/>
        <v>0</v>
      </c>
      <c r="CR697" s="1">
        <f t="shared" si="2084"/>
        <v>0</v>
      </c>
      <c r="CS697" s="1">
        <f t="shared" si="2085"/>
        <v>0</v>
      </c>
      <c r="CT697" s="1">
        <f t="shared" si="2086"/>
        <v>1.8999999999999996E-2</v>
      </c>
      <c r="CU697" s="1">
        <f t="shared" si="2087"/>
        <v>3.9E-2</v>
      </c>
      <c r="CV697" s="304">
        <f t="shared" si="2140"/>
        <v>2339.3275155115825</v>
      </c>
      <c r="CW697" s="20" t="s">
        <v>122</v>
      </c>
      <c r="CX697" s="20" t="s">
        <v>122</v>
      </c>
      <c r="CY697" s="20" t="s">
        <v>122</v>
      </c>
      <c r="CZ697" s="20" t="s">
        <v>122</v>
      </c>
      <c r="DA697" s="20" t="s">
        <v>122</v>
      </c>
      <c r="DB697" s="503">
        <f t="shared" si="2141"/>
        <v>0</v>
      </c>
      <c r="DC697" s="127">
        <v>0</v>
      </c>
      <c r="DD697" s="127">
        <v>0</v>
      </c>
      <c r="DE697" s="127">
        <v>0</v>
      </c>
      <c r="DF697" s="127">
        <v>0</v>
      </c>
      <c r="DG697" s="127">
        <v>0</v>
      </c>
      <c r="DH697" s="127">
        <v>0</v>
      </c>
      <c r="DI697" s="127">
        <v>0</v>
      </c>
      <c r="DJ697" s="127">
        <v>0</v>
      </c>
      <c r="DK697" s="127">
        <v>0</v>
      </c>
      <c r="DL697" s="127">
        <v>0</v>
      </c>
      <c r="DM697" s="304">
        <f>INDEX(Input!$1:$1048576,DM$93,$C697*2+6)</f>
        <v>20731.578947368424</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2147"/>
        <v>#DIV/0!</v>
      </c>
      <c r="HN697" s="639" t="e">
        <f t="shared" si="2147"/>
        <v>#DIV/0!</v>
      </c>
      <c r="HO697" s="639" t="e">
        <f t="shared" si="2147"/>
        <v>#DIV/0!</v>
      </c>
      <c r="HP697" s="644">
        <f t="shared" ref="HP697:ID701" si="2152">HP197+HP297+HP397+HP497+HP597</f>
        <v>0</v>
      </c>
      <c r="HQ697" s="644">
        <f t="shared" si="2152"/>
        <v>0</v>
      </c>
      <c r="HR697" s="644">
        <f t="shared" si="2152"/>
        <v>0</v>
      </c>
      <c r="HS697" s="644">
        <f t="shared" si="2152"/>
        <v>0</v>
      </c>
      <c r="HT697" s="644">
        <f t="shared" si="2152"/>
        <v>0</v>
      </c>
      <c r="HU697" s="644">
        <f t="shared" si="2152"/>
        <v>0</v>
      </c>
      <c r="HV697" s="644">
        <f t="shared" si="2152"/>
        <v>0</v>
      </c>
      <c r="HW697" s="644">
        <f t="shared" si="2152"/>
        <v>0</v>
      </c>
      <c r="HX697" s="644">
        <f t="shared" si="2152"/>
        <v>0</v>
      </c>
      <c r="HY697" s="644">
        <f t="shared" si="2152"/>
        <v>0</v>
      </c>
      <c r="HZ697" s="644">
        <f t="shared" si="2152"/>
        <v>0</v>
      </c>
      <c r="IA697" s="644">
        <f t="shared" si="2152"/>
        <v>0</v>
      </c>
      <c r="IB697" s="644">
        <f t="shared" si="2152"/>
        <v>0</v>
      </c>
      <c r="IC697" s="644">
        <f t="shared" si="2152"/>
        <v>0</v>
      </c>
      <c r="ID697" s="644">
        <f t="shared" si="2152"/>
        <v>0</v>
      </c>
      <c r="IE697" s="20" t="e">
        <f t="shared" si="2106"/>
        <v>#DIV/0!</v>
      </c>
      <c r="IF697" s="20" t="e">
        <f t="shared" si="2090"/>
        <v>#DIV/0!</v>
      </c>
      <c r="IG697" s="20" t="e">
        <f t="shared" si="2091"/>
        <v>#DIV/0!</v>
      </c>
      <c r="IH697" s="21"/>
      <c r="II697" s="19"/>
      <c r="IJ697" s="19"/>
      <c r="IK697" s="19"/>
      <c r="IL697" s="19" t="e">
        <f t="shared" si="2107"/>
        <v>#DIV/0!</v>
      </c>
      <c r="IM697" s="19" t="e">
        <f t="shared" si="2107"/>
        <v>#DIV/0!</v>
      </c>
      <c r="IN697" s="19" t="e">
        <f t="shared" si="2107"/>
        <v>#DIV/0!</v>
      </c>
      <c r="IO697" s="39"/>
      <c r="IP697" s="39"/>
      <c r="IQ697" s="39"/>
      <c r="IR697" s="39"/>
      <c r="IS697" s="39"/>
      <c r="IT697" s="39"/>
      <c r="IU697" s="39"/>
      <c r="IV697" s="39"/>
      <c r="IW697" s="39"/>
      <c r="IX697" s="19" t="e">
        <f t="shared" si="2148"/>
        <v>#DIV/0!</v>
      </c>
      <c r="IY697" s="19" t="e">
        <f t="shared" si="2148"/>
        <v>#DIV/0!</v>
      </c>
      <c r="IZ697" s="19" t="e">
        <f t="shared" si="2148"/>
        <v>#DIV/0!</v>
      </c>
      <c r="JA697" s="19">
        <f t="shared" si="2149"/>
        <v>0</v>
      </c>
      <c r="JB697" s="19">
        <f t="shared" si="2149"/>
        <v>0</v>
      </c>
      <c r="JC697" s="19">
        <f t="shared" si="2149"/>
        <v>0</v>
      </c>
      <c r="JD697" s="19" t="e">
        <f t="shared" si="2110"/>
        <v>#DIV/0!</v>
      </c>
      <c r="JE697" s="21"/>
      <c r="JF697" s="1" t="e">
        <f t="shared" si="2111"/>
        <v>#DIV/0!</v>
      </c>
      <c r="JG697" s="15">
        <f t="shared" si="2112"/>
        <v>0</v>
      </c>
      <c r="JH697" s="1" t="e">
        <f t="shared" si="2113"/>
        <v>#DIV/0!</v>
      </c>
      <c r="JI697" s="1" t="e">
        <f t="shared" si="2114"/>
        <v>#DIV/0!</v>
      </c>
      <c r="JJ697" s="1" t="e">
        <f t="shared" si="2092"/>
        <v>#DIV/0!</v>
      </c>
      <c r="JK697" s="1" t="e">
        <f t="shared" si="2093"/>
        <v>#DIV/0!</v>
      </c>
      <c r="JL697" s="15">
        <f t="shared" si="2150"/>
        <v>0</v>
      </c>
      <c r="JM697" s="15">
        <f t="shared" si="2150"/>
        <v>0</v>
      </c>
      <c r="JN697" s="21"/>
      <c r="JO697" s="19">
        <f>INDEX([1]Input!$1:$1048576,JO$93,$C697*2+6)</f>
        <v>5995.5</v>
      </c>
      <c r="JP697" s="19">
        <f>INDEX([1]Input!$1:$1048576,JP$93,$C697*2+6)</f>
        <v>1716.3055838443925</v>
      </c>
      <c r="JQ697" s="39" t="e">
        <f t="shared" si="2124"/>
        <v>#DIV/0!</v>
      </c>
      <c r="JR697" s="39" t="e">
        <f t="shared" si="2125"/>
        <v>#DIV/0!</v>
      </c>
      <c r="JS697" s="39" t="e">
        <f t="shared" si="2126"/>
        <v>#DIV/0!</v>
      </c>
      <c r="JT697" s="39" t="e">
        <f t="shared" si="2116"/>
        <v>#DIV/0!</v>
      </c>
      <c r="JU697" s="385" t="e">
        <f>(JQ697*JM697-INDEX([1]Input!$1:$1048576,[1]Input!A$18,$C697*2+6)*JL697*INDEX([1]Input!$1:$1048576,[1]Input!A$19,$C697*2+6))/1000000</f>
        <v>#DIV/0!</v>
      </c>
      <c r="JV697" s="39" t="e">
        <f t="shared" si="2094"/>
        <v>#DIV/0!</v>
      </c>
      <c r="JW697" s="1" t="e">
        <f t="shared" si="2129"/>
        <v>#DIV/0!</v>
      </c>
      <c r="JX697" s="19">
        <f t="shared" si="2130"/>
        <v>0</v>
      </c>
      <c r="JZ697" s="341"/>
      <c r="KA697" s="60"/>
      <c r="KB697" s="469">
        <f t="shared" si="2117"/>
        <v>0</v>
      </c>
      <c r="KI697" s="472"/>
      <c r="KJ697" s="472"/>
      <c r="KK697" s="472"/>
      <c r="KN697" s="26">
        <f t="shared" si="2118"/>
        <v>6002</v>
      </c>
      <c r="KO697" s="789">
        <f t="shared" si="2095"/>
        <v>-1</v>
      </c>
      <c r="KP697" s="790" t="e">
        <f t="shared" si="2096"/>
        <v>#DIV/0!</v>
      </c>
      <c r="KQ697" s="790" t="e">
        <f t="shared" si="2097"/>
        <v>#DIV/0!</v>
      </c>
      <c r="KR697" s="26" t="e">
        <f t="shared" si="2098"/>
        <v>#DIV/0!</v>
      </c>
      <c r="KS697" s="26" t="e">
        <f t="shared" si="2099"/>
        <v>#DIV/0!</v>
      </c>
      <c r="KT697" s="791">
        <f t="shared" si="2127"/>
        <v>2521.945896759994</v>
      </c>
      <c r="KU697" s="792">
        <f t="shared" si="2119"/>
        <v>0</v>
      </c>
    </row>
    <row r="698" spans="1:307" s="26" customFormat="1" ht="15" outlineLevel="1">
      <c r="A698" s="561">
        <f t="shared" si="2100"/>
        <v>6098</v>
      </c>
      <c r="B698" s="561">
        <f t="shared" si="2120"/>
        <v>98</v>
      </c>
      <c r="C698" s="561">
        <f t="shared" si="2121"/>
        <v>6</v>
      </c>
      <c r="D698" s="561" t="str">
        <f t="shared" si="2151"/>
        <v/>
      </c>
      <c r="E698" s="475">
        <f>INDEX(Input!$1:$1048576,E$93,$C698*2+MIN($B698,2)+5)
+INDEX(Scenarios!E$121:E$199,MATCH($B698,Scenarios!$B$121:$B$199,0))</f>
        <v>1250.0000000000002</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1.8999999999999996E-2</v>
      </c>
      <c r="W698" s="863">
        <f>IFERROR(MAX(0,INDEX(Input!$1:$1048576,W$93,$C698*2+MIN($B698,2)+5)-0%),"Market")</f>
        <v>3.9E-2</v>
      </c>
      <c r="X698" s="476" t="str">
        <f>INDEX(Input!$1:$1048576,X$93,$C698*2+MIN($B698,2)+5)</f>
        <v>Y</v>
      </c>
      <c r="Y698" s="475">
        <f>INDEX(Input!$1:$1048576,Y$93,$C698*2+MIN($B698,2)+5)
++INDEX(Scenarios!Y$121:Y$199,MATCH($B698,Scenarios!$B$121:$B$199,0))</f>
        <v>2339.3275155115825</v>
      </c>
      <c r="Z698" s="477">
        <f>INDEX(Input!$1:$1048576,Z$93,$C698*2+MIN($B698,2)+5)
+INDEX(Scenarios!Z$121:Z$199,MATCH($B698,Scenarios!$B$121:$B$199,0))</f>
        <v>0</v>
      </c>
      <c r="AA698" s="475">
        <f>INDEX(Input!$1:$1048576,AA$93,$C698*2+MIN($B698,2)+5)</f>
        <v>0</v>
      </c>
      <c r="AB698" s="476">
        <f>INDEX(Input!$1:$1048576,AB$93,$C698*2+MIN($B698,2)+5)</f>
        <v>1</v>
      </c>
      <c r="AC698" s="475">
        <f>INDEX(Input!$1:$1048576,AC$93,$C698*2+MIN($B698,2)+5)
+INDEX(Scenarios!AC$121:AC$199,MATCH($B698,Scenarios!$B$121:$B$199,0))</f>
        <v>0</v>
      </c>
      <c r="AD698" s="476">
        <f>INDEX(Input!$1:$1048576,AD$93,$C698*2+MIN($B698,2)+5)</f>
        <v>0.35</v>
      </c>
      <c r="AE698" s="475">
        <f>INDEX(Input!$1:$1048576,AE$93,$C698*2+MIN($B698,2)+5)
+INDEX(Scenarios!AE$121:AE$199,MATCH($B698,Scenarios!$B$121:$B$199,0))</f>
        <v>0</v>
      </c>
      <c r="AF698" s="476">
        <f>INDEX(Input!$1:$1048576,AF$93,$C698*2+MIN($B698,2)+5)</f>
        <v>1</v>
      </c>
      <c r="AG698" s="475">
        <f>INDEX(Input!$1:$1048576,AG$93,$C698*2+MIN($B698,2)+5)</f>
        <v>0</v>
      </c>
      <c r="AH698" s="476">
        <f>INDEX(Input!$1:$1048576,AH$93,$C698*2+MIN($B698,2)+5)</f>
        <v>1</v>
      </c>
      <c r="AI698" s="475">
        <f>INDEX(Input!$1:$1048576,AI$93,$C698*2+MIN($B698,2)+5)</f>
        <v>0</v>
      </c>
      <c r="AJ698" s="476">
        <f>INDEX(Input!$1:$1048576,AJ$93,$C698*2+MIN($B698,2)+5)</f>
        <v>0.35</v>
      </c>
      <c r="AK698" s="150">
        <f>ROUND(INDEX(Input!$1:$1048576,AK$93,$C697*2+MIN($B698,1)+5)+(Y698-VLOOKUP($C698*1000+1,$A:$HH,Y$92,FALSE)),0)</f>
        <v>5093</v>
      </c>
      <c r="AL698" s="150">
        <f>ROUND(INDEX(Input!$1:$1048576,AL$93,$C697*2+MIN($B698,1)+5)-(Y698-VLOOKUP($C698*1000+1,$A:$HH,Y$92,FALSE))/36,0)</f>
        <v>5217</v>
      </c>
      <c r="AM698" s="32" t="str">
        <f t="shared" si="2101"/>
        <v>std/std/std/std</v>
      </c>
      <c r="AN698" s="32" t="str">
        <f t="shared" si="2102"/>
        <v>$0 + 0/0/0/1.9/3.9</v>
      </c>
      <c r="AO698" s="32" t="str">
        <f t="shared" si="2103"/>
        <v>0/0/0/1.9/3.9</v>
      </c>
      <c r="AP698" s="32" t="str">
        <f t="shared" si="2074"/>
        <v>0/0.9/1.9/3.9</v>
      </c>
      <c r="AQ698" s="536" t="e">
        <f t="shared" si="2075"/>
        <v>#DIV/0!</v>
      </c>
      <c r="AR698" s="32"/>
      <c r="AS698" s="302"/>
      <c r="AT698" s="3">
        <f t="shared" si="2122"/>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Forte</v>
      </c>
      <c r="BA698" s="3">
        <f>INDEX(Input!$1:$1048576,BA$93,$C698*2+6)</f>
        <v>2020</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19695</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2076"/>
        <v>1250.0000000000002</v>
      </c>
      <c r="CJ698" s="16" t="str">
        <f>INDEX(Input!$1:$1048576,CJ$93,$C698*2+6)</f>
        <v>N</v>
      </c>
      <c r="CK698" s="1" t="str">
        <f t="shared" si="2077"/>
        <v>Market</v>
      </c>
      <c r="CL698" s="1" t="str">
        <f t="shared" si="2078"/>
        <v>Market</v>
      </c>
      <c r="CM698" s="1" t="str">
        <f t="shared" si="2079"/>
        <v>Market</v>
      </c>
      <c r="CN698" s="1" t="str">
        <f t="shared" si="2080"/>
        <v>Market</v>
      </c>
      <c r="CO698" s="1" t="str">
        <f t="shared" si="2081"/>
        <v>Market</v>
      </c>
      <c r="CP698" s="304">
        <f t="shared" si="2082"/>
        <v>0</v>
      </c>
      <c r="CQ698" s="1">
        <f t="shared" si="2083"/>
        <v>0</v>
      </c>
      <c r="CR698" s="1">
        <f t="shared" si="2084"/>
        <v>0</v>
      </c>
      <c r="CS698" s="1">
        <f t="shared" si="2085"/>
        <v>0</v>
      </c>
      <c r="CT698" s="1">
        <f t="shared" si="2086"/>
        <v>1.8999999999999996E-2</v>
      </c>
      <c r="CU698" s="1">
        <f t="shared" si="2087"/>
        <v>3.9E-2</v>
      </c>
      <c r="CV698" s="304">
        <f t="shared" si="2140"/>
        <v>2339.3275155115825</v>
      </c>
      <c r="CW698" s="20" t="s">
        <v>122</v>
      </c>
      <c r="CX698" s="20" t="s">
        <v>122</v>
      </c>
      <c r="CY698" s="20" t="s">
        <v>122</v>
      </c>
      <c r="CZ698" s="20" t="s">
        <v>122</v>
      </c>
      <c r="DA698" s="20" t="s">
        <v>122</v>
      </c>
      <c r="DB698" s="503">
        <f t="shared" si="2141"/>
        <v>0</v>
      </c>
      <c r="DC698" s="127">
        <v>0</v>
      </c>
      <c r="DD698" s="127">
        <v>0</v>
      </c>
      <c r="DE698" s="127">
        <v>0</v>
      </c>
      <c r="DF698" s="127">
        <v>0</v>
      </c>
      <c r="DG698" s="127">
        <v>0</v>
      </c>
      <c r="DH698" s="127">
        <v>0</v>
      </c>
      <c r="DI698" s="127">
        <v>0</v>
      </c>
      <c r="DJ698" s="127">
        <v>0</v>
      </c>
      <c r="DK698" s="127">
        <v>0</v>
      </c>
      <c r="DL698" s="127">
        <v>0</v>
      </c>
      <c r="DM698" s="304">
        <f>INDEX(Input!$1:$1048576,DM$93,$C698*2+6)</f>
        <v>20731.578947368424</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ref="HM698:HO701" si="2153">(HM198*HY198+HM298*HY298+HM398*HY398+HM498*HY498+HM598*HY598)/HY698</f>
        <v>#DIV/0!</v>
      </c>
      <c r="HN698" s="639" t="e">
        <f t="shared" si="2153"/>
        <v>#DIV/0!</v>
      </c>
      <c r="HO698" s="639" t="e">
        <f t="shared" si="2153"/>
        <v>#DIV/0!</v>
      </c>
      <c r="HP698" s="644">
        <f t="shared" si="2152"/>
        <v>0</v>
      </c>
      <c r="HQ698" s="644">
        <f t="shared" si="2152"/>
        <v>0</v>
      </c>
      <c r="HR698" s="644">
        <f t="shared" si="2152"/>
        <v>0</v>
      </c>
      <c r="HS698" s="644">
        <f t="shared" si="2152"/>
        <v>0</v>
      </c>
      <c r="HT698" s="644">
        <f t="shared" si="2152"/>
        <v>0</v>
      </c>
      <c r="HU698" s="644">
        <f t="shared" si="2152"/>
        <v>0</v>
      </c>
      <c r="HV698" s="644">
        <f t="shared" si="2152"/>
        <v>0</v>
      </c>
      <c r="HW698" s="644">
        <f t="shared" si="2152"/>
        <v>0</v>
      </c>
      <c r="HX698" s="644">
        <f t="shared" si="2152"/>
        <v>0</v>
      </c>
      <c r="HY698" s="644">
        <f t="shared" si="2152"/>
        <v>0</v>
      </c>
      <c r="HZ698" s="644">
        <f t="shared" si="2152"/>
        <v>0</v>
      </c>
      <c r="IA698" s="644">
        <f t="shared" si="2152"/>
        <v>0</v>
      </c>
      <c r="IB698" s="644">
        <f t="shared" si="2152"/>
        <v>0</v>
      </c>
      <c r="IC698" s="644">
        <f t="shared" si="2152"/>
        <v>0</v>
      </c>
      <c r="ID698" s="644">
        <f t="shared" si="2152"/>
        <v>0</v>
      </c>
      <c r="IE698" s="20" t="e">
        <f t="shared" si="2106"/>
        <v>#DIV/0!</v>
      </c>
      <c r="IF698" s="20" t="e">
        <f t="shared" si="2090"/>
        <v>#DIV/0!</v>
      </c>
      <c r="IG698" s="20" t="e">
        <f t="shared" si="2091"/>
        <v>#DIV/0!</v>
      </c>
      <c r="IH698" s="21"/>
      <c r="II698" s="19"/>
      <c r="IJ698" s="19"/>
      <c r="IK698" s="19"/>
      <c r="IL698" s="19" t="e">
        <f t="shared" si="2107"/>
        <v>#DIV/0!</v>
      </c>
      <c r="IM698" s="19" t="e">
        <f t="shared" si="2107"/>
        <v>#DIV/0!</v>
      </c>
      <c r="IN698" s="19" t="e">
        <f t="shared" si="2107"/>
        <v>#DIV/0!</v>
      </c>
      <c r="IO698" s="39"/>
      <c r="IP698" s="39"/>
      <c r="IQ698" s="39"/>
      <c r="IR698" s="39"/>
      <c r="IS698" s="39"/>
      <c r="IT698" s="39"/>
      <c r="IU698" s="39"/>
      <c r="IV698" s="39"/>
      <c r="IW698" s="39"/>
      <c r="IX698" s="19" t="e">
        <f t="shared" ref="IX698:IZ701" si="2154">(IX198*HY198+IX298*HY298+IX398*HY398+IX498*HY498+IX598*HY598)/HY698</f>
        <v>#DIV/0!</v>
      </c>
      <c r="IY698" s="19" t="e">
        <f t="shared" si="2154"/>
        <v>#DIV/0!</v>
      </c>
      <c r="IZ698" s="19" t="e">
        <f t="shared" si="2154"/>
        <v>#DIV/0!</v>
      </c>
      <c r="JA698" s="19">
        <f t="shared" ref="JA698:JC701" si="2155">IFERROR((JA198*IB198+JA298*IB298+JA398*IB398+JA498*IB498+JA598*IB598)/IB698,0)</f>
        <v>0</v>
      </c>
      <c r="JB698" s="19">
        <f t="shared" si="2155"/>
        <v>0</v>
      </c>
      <c r="JC698" s="19">
        <f t="shared" si="2155"/>
        <v>0</v>
      </c>
      <c r="JD698" s="19" t="e">
        <f t="shared" si="2110"/>
        <v>#DIV/0!</v>
      </c>
      <c r="JE698" s="21"/>
      <c r="JF698" s="1" t="e">
        <f t="shared" si="2111"/>
        <v>#DIV/0!</v>
      </c>
      <c r="JG698" s="15">
        <f t="shared" si="2112"/>
        <v>0</v>
      </c>
      <c r="JH698" s="1" t="e">
        <f t="shared" si="2113"/>
        <v>#DIV/0!</v>
      </c>
      <c r="JI698" s="1" t="e">
        <f t="shared" si="2114"/>
        <v>#DIV/0!</v>
      </c>
      <c r="JJ698" s="1" t="e">
        <f t="shared" si="2092"/>
        <v>#DIV/0!</v>
      </c>
      <c r="JK698" s="1" t="e">
        <f t="shared" si="2093"/>
        <v>#DIV/0!</v>
      </c>
      <c r="JL698" s="15">
        <f t="shared" ref="JL698:JM701" si="2156">JL198+JL298+JL398+JL498+JL598</f>
        <v>0</v>
      </c>
      <c r="JM698" s="15">
        <f t="shared" si="2156"/>
        <v>0</v>
      </c>
      <c r="JN698" s="21"/>
      <c r="JO698" s="19">
        <f>INDEX([1]Input!$1:$1048576,JO$93,$C698*2+6)</f>
        <v>5995.5</v>
      </c>
      <c r="JP698" s="19">
        <f>INDEX([1]Input!$1:$1048576,JP$93,$C698*2+6)</f>
        <v>1716.3055838443925</v>
      </c>
      <c r="JQ698" s="39" t="e">
        <f t="shared" si="2124"/>
        <v>#DIV/0!</v>
      </c>
      <c r="JR698" s="39" t="e">
        <f t="shared" si="2125"/>
        <v>#DIV/0!</v>
      </c>
      <c r="JS698" s="39" t="e">
        <f t="shared" si="2126"/>
        <v>#DIV/0!</v>
      </c>
      <c r="JT698" s="39" t="e">
        <f t="shared" si="2116"/>
        <v>#DIV/0!</v>
      </c>
      <c r="JU698" s="385" t="e">
        <f>(JQ698*JM698-INDEX([1]Input!$1:$1048576,[1]Input!A$18,$C698*2+6)*JL698*INDEX([1]Input!$1:$1048576,[1]Input!A$19,$C698*2+6))/1000000</f>
        <v>#DIV/0!</v>
      </c>
      <c r="JV698" s="39" t="e">
        <f t="shared" si="2094"/>
        <v>#DIV/0!</v>
      </c>
      <c r="JW698" s="1" t="e">
        <f t="shared" si="2129"/>
        <v>#DIV/0!</v>
      </c>
      <c r="JX698" s="19">
        <f t="shared" si="2130"/>
        <v>0</v>
      </c>
      <c r="JZ698" s="341"/>
      <c r="KA698" s="60"/>
      <c r="KB698" s="469">
        <f t="shared" si="2117"/>
        <v>0</v>
      </c>
      <c r="KI698" s="472"/>
      <c r="KJ698" s="472"/>
      <c r="KK698" s="472"/>
      <c r="KN698" s="26">
        <f t="shared" si="2118"/>
        <v>6002</v>
      </c>
      <c r="KO698" s="789">
        <f t="shared" si="2095"/>
        <v>-1</v>
      </c>
      <c r="KP698" s="790" t="e">
        <f t="shared" si="2096"/>
        <v>#DIV/0!</v>
      </c>
      <c r="KQ698" s="790" t="e">
        <f t="shared" si="2097"/>
        <v>#DIV/0!</v>
      </c>
      <c r="KR698" s="26" t="e">
        <f t="shared" si="2098"/>
        <v>#DIV/0!</v>
      </c>
      <c r="KS698" s="26" t="e">
        <f t="shared" si="2099"/>
        <v>#DIV/0!</v>
      </c>
      <c r="KT698" s="791">
        <f t="shared" si="2127"/>
        <v>2521.945896759994</v>
      </c>
      <c r="KU698" s="792">
        <f t="shared" si="2119"/>
        <v>0</v>
      </c>
    </row>
    <row r="699" spans="1:307" s="26" customFormat="1" ht="15" outlineLevel="1">
      <c r="A699" s="561">
        <f t="shared" si="2100"/>
        <v>6099</v>
      </c>
      <c r="B699" s="561">
        <f t="shared" si="2120"/>
        <v>99</v>
      </c>
      <c r="C699" s="561">
        <f t="shared" si="2121"/>
        <v>6</v>
      </c>
      <c r="D699" s="561" t="str">
        <f t="shared" si="2151"/>
        <v/>
      </c>
      <c r="E699" s="475">
        <f>INDEX(Input!$1:$1048576,E$93,$C699*2+MIN($B699,2)+5)
+INDEX(Scenarios!E$121:E$199,MATCH($B699,Scenarios!$B$121:$B$199,0))</f>
        <v>1250.0000000000002</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1.8999999999999996E-2</v>
      </c>
      <c r="W699" s="863">
        <f>IFERROR(MAX(0,INDEX(Input!$1:$1048576,W$93,$C699*2+MIN($B699,2)+5)-0%),"Market")</f>
        <v>3.9E-2</v>
      </c>
      <c r="X699" s="476" t="str">
        <f>INDEX(Input!$1:$1048576,X$93,$C699*2+MIN($B699,2)+5)</f>
        <v>Y</v>
      </c>
      <c r="Y699" s="475">
        <f>INDEX(Input!$1:$1048576,Y$93,$C699*2+MIN($B699,2)+5)
++INDEX(Scenarios!Y$121:Y$199,MATCH($B699,Scenarios!$B$121:$B$199,0))</f>
        <v>2339.3275155115825</v>
      </c>
      <c r="Z699" s="477">
        <f>INDEX(Input!$1:$1048576,Z$93,$C699*2+MIN($B699,2)+5)
+INDEX(Scenarios!Z$121:Z$199,MATCH($B699,Scenarios!$B$121:$B$199,0))</f>
        <v>0</v>
      </c>
      <c r="AA699" s="475">
        <f>INDEX(Input!$1:$1048576,AA$93,$C699*2+MIN($B699,2)+5)</f>
        <v>0</v>
      </c>
      <c r="AB699" s="476">
        <f>INDEX(Input!$1:$1048576,AB$93,$C699*2+MIN($B699,2)+5)</f>
        <v>1</v>
      </c>
      <c r="AC699" s="475">
        <f>INDEX(Input!$1:$1048576,AC$93,$C699*2+MIN($B699,2)+5)
+INDEX(Scenarios!AC$121:AC$199,MATCH($B699,Scenarios!$B$121:$B$199,0))</f>
        <v>0</v>
      </c>
      <c r="AD699" s="476">
        <f>INDEX(Input!$1:$1048576,AD$93,$C699*2+MIN($B699,2)+5)</f>
        <v>0.35</v>
      </c>
      <c r="AE699" s="475">
        <f>INDEX(Input!$1:$1048576,AE$93,$C699*2+MIN($B699,2)+5)
+INDEX(Scenarios!AE$121:AE$199,MATCH($B699,Scenarios!$B$121:$B$199,0))</f>
        <v>0</v>
      </c>
      <c r="AF699" s="476">
        <f>INDEX(Input!$1:$1048576,AF$93,$C699*2+MIN($B699,2)+5)</f>
        <v>1</v>
      </c>
      <c r="AG699" s="475">
        <f>INDEX(Input!$1:$1048576,AG$93,$C699*2+MIN($B699,2)+5)</f>
        <v>0</v>
      </c>
      <c r="AH699" s="476">
        <f>INDEX(Input!$1:$1048576,AH$93,$C699*2+MIN($B699,2)+5)</f>
        <v>1</v>
      </c>
      <c r="AI699" s="475">
        <f>INDEX(Input!$1:$1048576,AI$93,$C699*2+MIN($B699,2)+5)</f>
        <v>0</v>
      </c>
      <c r="AJ699" s="476">
        <f>INDEX(Input!$1:$1048576,AJ$93,$C699*2+MIN($B699,2)+5)</f>
        <v>0.35</v>
      </c>
      <c r="AK699" s="150">
        <f>ROUND(INDEX(Input!$1:$1048576,AK$93,$C698*2+MIN($B699,1)+5)+(Y699-VLOOKUP($C699*1000+1,$A:$HH,Y$92,FALSE)),0)</f>
        <v>5093</v>
      </c>
      <c r="AL699" s="150">
        <f>ROUND(INDEX(Input!$1:$1048576,AL$93,$C698*2+MIN($B699,1)+5)-(Y699-VLOOKUP($C699*1000+1,$A:$HH,Y$92,FALSE))/36,0)</f>
        <v>5217</v>
      </c>
      <c r="AM699" s="32" t="str">
        <f t="shared" si="2101"/>
        <v>std/std/std/std</v>
      </c>
      <c r="AN699" s="32" t="str">
        <f t="shared" si="2102"/>
        <v>$0 + 0/0/0/1.9/3.9</v>
      </c>
      <c r="AO699" s="32" t="str">
        <f t="shared" si="2103"/>
        <v>0/0/0/1.9/3.9</v>
      </c>
      <c r="AP699" s="32" t="str">
        <f t="shared" si="2074"/>
        <v>0/0.9/1.9/3.9</v>
      </c>
      <c r="AQ699" s="536" t="e">
        <f t="shared" si="2075"/>
        <v>#DIV/0!</v>
      </c>
      <c r="AR699" s="32"/>
      <c r="AS699" s="302"/>
      <c r="AT699" s="3">
        <f t="shared" si="2122"/>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Forte</v>
      </c>
      <c r="BA699" s="3">
        <f>INDEX(Input!$1:$1048576,BA$93,$C699*2+6)</f>
        <v>2020</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19695</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2076"/>
        <v>1250.0000000000002</v>
      </c>
      <c r="CJ699" s="16" t="str">
        <f>INDEX(Input!$1:$1048576,CJ$93,$C699*2+6)</f>
        <v>N</v>
      </c>
      <c r="CK699" s="1" t="str">
        <f t="shared" si="2077"/>
        <v>Market</v>
      </c>
      <c r="CL699" s="1" t="str">
        <f t="shared" si="2078"/>
        <v>Market</v>
      </c>
      <c r="CM699" s="1" t="str">
        <f t="shared" si="2079"/>
        <v>Market</v>
      </c>
      <c r="CN699" s="1" t="str">
        <f t="shared" si="2080"/>
        <v>Market</v>
      </c>
      <c r="CO699" s="1" t="str">
        <f t="shared" si="2081"/>
        <v>Market</v>
      </c>
      <c r="CP699" s="304">
        <f t="shared" si="2082"/>
        <v>0</v>
      </c>
      <c r="CQ699" s="1">
        <f t="shared" si="2083"/>
        <v>0</v>
      </c>
      <c r="CR699" s="1">
        <f t="shared" si="2084"/>
        <v>0</v>
      </c>
      <c r="CS699" s="1">
        <f t="shared" si="2085"/>
        <v>0</v>
      </c>
      <c r="CT699" s="1">
        <f t="shared" si="2086"/>
        <v>1.8999999999999996E-2</v>
      </c>
      <c r="CU699" s="1">
        <f t="shared" si="2087"/>
        <v>3.9E-2</v>
      </c>
      <c r="CV699" s="304">
        <f t="shared" si="2140"/>
        <v>2339.3275155115825</v>
      </c>
      <c r="CW699" s="20" t="s">
        <v>122</v>
      </c>
      <c r="CX699" s="20" t="s">
        <v>122</v>
      </c>
      <c r="CY699" s="20" t="s">
        <v>122</v>
      </c>
      <c r="CZ699" s="20" t="s">
        <v>122</v>
      </c>
      <c r="DA699" s="20" t="s">
        <v>122</v>
      </c>
      <c r="DB699" s="503">
        <f t="shared" si="2141"/>
        <v>0</v>
      </c>
      <c r="DC699" s="127">
        <v>0</v>
      </c>
      <c r="DD699" s="127">
        <v>0</v>
      </c>
      <c r="DE699" s="127">
        <v>0</v>
      </c>
      <c r="DF699" s="127">
        <v>0</v>
      </c>
      <c r="DG699" s="127">
        <v>0</v>
      </c>
      <c r="DH699" s="127">
        <v>0</v>
      </c>
      <c r="DI699" s="127">
        <v>0</v>
      </c>
      <c r="DJ699" s="127">
        <v>0</v>
      </c>
      <c r="DK699" s="127">
        <v>0</v>
      </c>
      <c r="DL699" s="127">
        <v>0</v>
      </c>
      <c r="DM699" s="304">
        <f>INDEX(Input!$1:$1048576,DM$93,$C699*2+6)</f>
        <v>20731.578947368424</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2153"/>
        <v>#DIV/0!</v>
      </c>
      <c r="HN699" s="639" t="e">
        <f t="shared" si="2153"/>
        <v>#DIV/0!</v>
      </c>
      <c r="HO699" s="639" t="e">
        <f t="shared" si="2153"/>
        <v>#DIV/0!</v>
      </c>
      <c r="HP699" s="644">
        <f t="shared" si="2152"/>
        <v>0</v>
      </c>
      <c r="HQ699" s="644">
        <f t="shared" si="2152"/>
        <v>0</v>
      </c>
      <c r="HR699" s="644">
        <f t="shared" si="2152"/>
        <v>0</v>
      </c>
      <c r="HS699" s="644">
        <f t="shared" si="2152"/>
        <v>0</v>
      </c>
      <c r="HT699" s="644">
        <f t="shared" si="2152"/>
        <v>0</v>
      </c>
      <c r="HU699" s="644">
        <f t="shared" si="2152"/>
        <v>0</v>
      </c>
      <c r="HV699" s="644">
        <f t="shared" si="2152"/>
        <v>0</v>
      </c>
      <c r="HW699" s="644">
        <f t="shared" si="2152"/>
        <v>0</v>
      </c>
      <c r="HX699" s="644">
        <f t="shared" si="2152"/>
        <v>0</v>
      </c>
      <c r="HY699" s="644">
        <f t="shared" si="2152"/>
        <v>0</v>
      </c>
      <c r="HZ699" s="644">
        <f t="shared" si="2152"/>
        <v>0</v>
      </c>
      <c r="IA699" s="644">
        <f t="shared" si="2152"/>
        <v>0</v>
      </c>
      <c r="IB699" s="644">
        <f t="shared" si="2152"/>
        <v>0</v>
      </c>
      <c r="IC699" s="644">
        <f t="shared" si="2152"/>
        <v>0</v>
      </c>
      <c r="ID699" s="644">
        <f t="shared" si="2152"/>
        <v>0</v>
      </c>
      <c r="IE699" s="20" t="e">
        <f t="shared" si="2106"/>
        <v>#DIV/0!</v>
      </c>
      <c r="IF699" s="20" t="e">
        <f t="shared" si="2090"/>
        <v>#DIV/0!</v>
      </c>
      <c r="IG699" s="20" t="e">
        <f t="shared" si="2091"/>
        <v>#DIV/0!</v>
      </c>
      <c r="IH699" s="21"/>
      <c r="II699" s="19"/>
      <c r="IJ699" s="19"/>
      <c r="IK699" s="19"/>
      <c r="IL699" s="19" t="e">
        <f t="shared" si="2107"/>
        <v>#DIV/0!</v>
      </c>
      <c r="IM699" s="19" t="e">
        <f t="shared" si="2107"/>
        <v>#DIV/0!</v>
      </c>
      <c r="IN699" s="19" t="e">
        <f t="shared" si="2107"/>
        <v>#DIV/0!</v>
      </c>
      <c r="IO699" s="39"/>
      <c r="IP699" s="39"/>
      <c r="IQ699" s="39"/>
      <c r="IR699" s="39"/>
      <c r="IS699" s="39"/>
      <c r="IT699" s="39"/>
      <c r="IU699" s="39"/>
      <c r="IV699" s="39"/>
      <c r="IW699" s="39"/>
      <c r="IX699" s="19" t="e">
        <f t="shared" si="2154"/>
        <v>#DIV/0!</v>
      </c>
      <c r="IY699" s="19" t="e">
        <f t="shared" si="2154"/>
        <v>#DIV/0!</v>
      </c>
      <c r="IZ699" s="19" t="e">
        <f t="shared" si="2154"/>
        <v>#DIV/0!</v>
      </c>
      <c r="JA699" s="19">
        <f t="shared" si="2155"/>
        <v>0</v>
      </c>
      <c r="JB699" s="19">
        <f t="shared" si="2155"/>
        <v>0</v>
      </c>
      <c r="JC699" s="19">
        <f t="shared" si="2155"/>
        <v>0</v>
      </c>
      <c r="JD699" s="19" t="e">
        <f t="shared" si="2110"/>
        <v>#DIV/0!</v>
      </c>
      <c r="JE699" s="21"/>
      <c r="JF699" s="1" t="e">
        <f t="shared" si="2111"/>
        <v>#DIV/0!</v>
      </c>
      <c r="JG699" s="15">
        <f t="shared" si="2112"/>
        <v>0</v>
      </c>
      <c r="JH699" s="1" t="e">
        <f t="shared" si="2113"/>
        <v>#DIV/0!</v>
      </c>
      <c r="JI699" s="1" t="e">
        <f t="shared" si="2114"/>
        <v>#DIV/0!</v>
      </c>
      <c r="JJ699" s="1" t="e">
        <f t="shared" si="2092"/>
        <v>#DIV/0!</v>
      </c>
      <c r="JK699" s="1" t="e">
        <f t="shared" si="2093"/>
        <v>#DIV/0!</v>
      </c>
      <c r="JL699" s="15">
        <f t="shared" si="2156"/>
        <v>0</v>
      </c>
      <c r="JM699" s="15">
        <f t="shared" si="2156"/>
        <v>0</v>
      </c>
      <c r="JN699" s="21"/>
      <c r="JO699" s="19">
        <f>INDEX([1]Input!$1:$1048576,JO$93,$C699*2+6)</f>
        <v>5995.5</v>
      </c>
      <c r="JP699" s="19">
        <f>INDEX([1]Input!$1:$1048576,JP$93,$C699*2+6)</f>
        <v>1716.3055838443925</v>
      </c>
      <c r="JQ699" s="39" t="e">
        <f t="shared" si="2124"/>
        <v>#DIV/0!</v>
      </c>
      <c r="JR699" s="39" t="e">
        <f t="shared" si="2125"/>
        <v>#DIV/0!</v>
      </c>
      <c r="JS699" s="39" t="e">
        <f t="shared" si="2126"/>
        <v>#DIV/0!</v>
      </c>
      <c r="JT699" s="39" t="e">
        <f t="shared" si="2116"/>
        <v>#DIV/0!</v>
      </c>
      <c r="JU699" s="385" t="e">
        <f>(JQ699*JM699-INDEX([1]Input!$1:$1048576,[1]Input!A$18,$C699*2+6)*JL699*INDEX([1]Input!$1:$1048576,[1]Input!A$19,$C699*2+6))/1000000</f>
        <v>#DIV/0!</v>
      </c>
      <c r="JV699" s="39" t="e">
        <f t="shared" si="2094"/>
        <v>#DIV/0!</v>
      </c>
      <c r="JW699" s="1" t="e">
        <f t="shared" si="2129"/>
        <v>#DIV/0!</v>
      </c>
      <c r="JX699" s="19">
        <f t="shared" si="2130"/>
        <v>0</v>
      </c>
      <c r="JZ699" s="341"/>
      <c r="KA699" s="60"/>
      <c r="KB699" s="469">
        <f t="shared" si="2117"/>
        <v>0</v>
      </c>
      <c r="KI699" s="472"/>
      <c r="KJ699" s="472"/>
      <c r="KK699" s="472"/>
      <c r="KN699" s="26">
        <f t="shared" si="2118"/>
        <v>6002</v>
      </c>
      <c r="KO699" s="789">
        <f t="shared" si="2095"/>
        <v>-1</v>
      </c>
      <c r="KP699" s="790" t="e">
        <f t="shared" si="2096"/>
        <v>#DIV/0!</v>
      </c>
      <c r="KQ699" s="790" t="e">
        <f t="shared" si="2097"/>
        <v>#DIV/0!</v>
      </c>
      <c r="KR699" s="26" t="e">
        <f t="shared" si="2098"/>
        <v>#DIV/0!</v>
      </c>
      <c r="KS699" s="26" t="e">
        <f t="shared" si="2099"/>
        <v>#DIV/0!</v>
      </c>
      <c r="KT699" s="791">
        <f t="shared" si="2127"/>
        <v>2521.945896759994</v>
      </c>
      <c r="KU699" s="792">
        <f t="shared" si="2119"/>
        <v>0</v>
      </c>
    </row>
    <row r="700" spans="1:307" s="26" customFormat="1" ht="15" outlineLevel="1">
      <c r="A700" s="561">
        <f t="shared" ref="A700" si="2157">C700*1000+B700</f>
        <v>6100</v>
      </c>
      <c r="B700" s="561">
        <f t="shared" ref="B700" si="2158">B699+1</f>
        <v>100</v>
      </c>
      <c r="C700" s="561">
        <f t="shared" ref="C700" si="2159">C699</f>
        <v>6</v>
      </c>
      <c r="D700" s="561" t="str">
        <f t="shared" ref="D700" si="2160">IF(E700=INDEX(E:E,MATCH(C700*1000+2,A:A,0)),"",E700-INDEX(E:E,MATCH(C700*1000+2,A:A,0))&amp;E$100&amp;", ")
&amp;IF(F700=INDEX(F:F,MATCH(C700*1000+2,A:A,0)),"",F700-INDEX(F:F,MATCH(C700*1000+2,A:A,0))&amp;F$100&amp;", ")
&amp;IF(AM700=INDEX(AM:AM,MATCH(C700*1000+2,A:A,0)),"",AM700&amp;AM$100&amp;", ")
&amp;IF(AP700=INDEX(AP:AP,MATCH(C700*1000+2,A:A,0)),"",AP700&amp;AP$100&amp;", ")
&amp;IF(Q700=INDEX(Q:Q,MATCH(C700*1000+2,A:A,0)),"",Q700-INDEX(Q:Q,MATCH(C700*1000+2,A:A,0))&amp;Q$100&amp;", ")
&amp;IF(Y700=INDEX(Y:Y,MATCH(C700*1000+2,A:A,0)),"",Y700-INDEX(Y:Y,MATCH(C700*1000+2,A:A,0))&amp;Y$100&amp;", ")
&amp;IF(Z700=INDEX(Z:Z,MATCH(C700*1000+2,A:A,0)),"",Z700-INDEX(Z:Z,MATCH(C700*1000+2,A:A,0))&amp;Z$100&amp;", ")
&amp;IF(AA700=INDEX(AA:AA,MATCH(C700*1000+2,A:A,0)),"",AA700-INDEX(AA:AA,MATCH(C700*1000+2,A:A,0))&amp;AA$100&amp;", ")
&amp;IF(AC700=INDEX(AC:AC,MATCH(C700*1000+2,A:A,0)),"",AC700-INDEX(AC:AC,MATCH(C700*1000+2,A:A,0))&amp;AC$100&amp;", ")
&amp;IF(AE700=INDEX(AE:AE,MATCH(C700*1000+2,A:A,0)),"",AE700-INDEX(AE:AE,MATCH(C700*1000+2,A:A,0))&amp;AE$100&amp;", ")
&amp;IF(AG700=INDEX(AG:AG,MATCH(C700*1000+2,A:A,0)),"",AG700-INDEX(AG:AG,MATCH(C700*1000+2,A:A,0))&amp;AG$100&amp;", ")
&amp;IF(AI700=INDEX(AI:AI,MATCH(C700*1000+2,A:A,0)),"",AI700-INDEX(AI:AI,MATCH(C700*1000+2,A:A,0))&amp;AI$100&amp;", ")</f>
        <v/>
      </c>
      <c r="E700" s="475">
        <f>INDEX(Input!$1:$1048576,E$93,$C700*2+MIN($B700,2)+5)</f>
        <v>1250.0000000000002</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1.8999999999999996E-2</v>
      </c>
      <c r="W700" s="863">
        <f>IFERROR(MAX(0,INDEX(Input!$1:$1048576,W$93,$C700*2+MIN($B700,2)+5)-0%),"Market")</f>
        <v>3.9E-2</v>
      </c>
      <c r="X700" s="476" t="str">
        <f>INDEX(Input!$1:$1048576,X$93,$C700*2+MIN($B700,2)+5)</f>
        <v>Y</v>
      </c>
      <c r="Y700" s="475">
        <f>INDEX(Input!$1:$1048576,Y$93,$C700*2+MIN($B700,2)+5)</f>
        <v>2339.3275155115825</v>
      </c>
      <c r="Z700" s="477">
        <f>INDEX(Input!$1:$1048576,Z$93,$C700*2+MIN($B700,2)+5)</f>
        <v>0</v>
      </c>
      <c r="AA700" s="475">
        <f>INDEX(Input!$1:$1048576,AA$93,$C700*2+MIN($B700,2)+5)</f>
        <v>0</v>
      </c>
      <c r="AB700" s="476">
        <f>INDEX(Input!$1:$1048576,AB$93,$C700*2+MIN($B700,2)+5)</f>
        <v>1</v>
      </c>
      <c r="AC700" s="475">
        <f>INDEX(Input!$1:$1048576,AC$93,$C700*2+MIN($B700,2)+5)</f>
        <v>0</v>
      </c>
      <c r="AD700" s="476">
        <f>INDEX(Input!$1:$1048576,AD$93,$C700*2+MIN($B700,2)+5)</f>
        <v>0.35</v>
      </c>
      <c r="AE700" s="475">
        <f>INDEX(Input!$1:$1048576,AE$93,$C700*2+MIN($B700,2)+5)</f>
        <v>0</v>
      </c>
      <c r="AF700" s="476">
        <f>INDEX(Input!$1:$1048576,AF$93,$C700*2+MIN($B700,2)+5)</f>
        <v>1</v>
      </c>
      <c r="AG700" s="475">
        <f>INDEX(Input!$1:$1048576,AG$93,$C700*2+MIN($B700,2)+5)</f>
        <v>0</v>
      </c>
      <c r="AH700" s="476">
        <f>INDEX(Input!$1:$1048576,AH$93,$C700*2+MIN($B700,2)+5)</f>
        <v>1</v>
      </c>
      <c r="AI700" s="475">
        <f>INDEX(Input!$1:$1048576,AI$93,$C700*2+MIN($B700,2)+5)</f>
        <v>0</v>
      </c>
      <c r="AJ700" s="476">
        <f>INDEX(Input!$1:$1048576,AJ$93,$C700*2+MIN($B700,2)+5)</f>
        <v>0.35</v>
      </c>
      <c r="AK700" s="150">
        <f>ROUND(INDEX(Input!$1:$1048576,AK$93,$C699*2+MIN($B700,1)+5)+(Y700-VLOOKUP($C700*1000+1,$A:$HH,Y$92,FALSE)),0)</f>
        <v>5093</v>
      </c>
      <c r="AL700" s="150">
        <f>ROUND(INDEX(Input!$1:$1048576,AL$93,$C699*2+MIN($B700,1)+5)-(Y700-VLOOKUP($C700*1000+1,$A:$HH,Y$92,FALSE))/36,0)</f>
        <v>5217</v>
      </c>
      <c r="AM700" s="32" t="str">
        <f t="shared" ref="AM700" si="2161">IF(K700="market","std",ROUND(K700*1000,0)/10)&amp;"/"&amp;IF(L700="market","std",ROUND(L700*1000,0)/10)&amp;"/"&amp;IF(M700="market","std",ROUND(M700*1000,0)/10)&amp;"/"&amp;IF(N700="market","std",ROUND(N700*1000,0)/10)&amp;IF(P700="N","","/"&amp;IF(O700="market","std",ROUND(O700*1000,0)/10))</f>
        <v>std/std/std/std</v>
      </c>
      <c r="AN700" s="32" t="str">
        <f t="shared" ref="AN700" si="2162">"$"&amp;ROUND(Q700,0)&amp;" + "&amp;IF(S700="market","std",ROUND(S700*1000,0)/10)&amp;"/"&amp;IF(T700="market","std",ROUND(T700*1000,0)/10)&amp;"/"&amp;IF(U700="market","std",ROUND(U700*1000,0)/10)&amp;"/"&amp;IF(V700="market","std",ROUND(V700*1000,0)/10)&amp;IF(X700="N","","/"&amp;IF(W700="market","std",ROUND(W700*1000,0)/10))</f>
        <v>$0 + 0/0/0/1.9/3.9</v>
      </c>
      <c r="AO700" s="32" t="str">
        <f t="shared" ref="AO700" si="2163">IF(S700="market","std",ROUND(S700*1000,0)/10)&amp;"/"&amp;IF(T700="market","std",ROUND(T700*1000,0)/10)&amp;"/"&amp;IF(U700="market","std",ROUND(U700*1000,0)/10)&amp;"/"&amp;IF(V700="market","std",ROUND(V700*1000,0)/10)&amp;IF(X700="N","","/"&amp;IF(W700="market","std",ROUND(W700*1000,0)/10))</f>
        <v>0/0/0/1.9/3.9</v>
      </c>
      <c r="AP700" s="32" t="str">
        <f t="shared" si="2074"/>
        <v>0/0.9/1.9/3.9</v>
      </c>
      <c r="AQ700" s="536" t="e">
        <f t="shared" ref="AQ700" si="2164">SUM(IE700,G700*IF700,H700*IG700,AC700*AD700,AE700*AF700,AI700)</f>
        <v>#DIV/0!</v>
      </c>
      <c r="AR700" s="32"/>
      <c r="AS700" s="302"/>
      <c r="AT700" s="3">
        <f t="shared" ref="AT700" si="2165">AT699+1</f>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Forte</v>
      </c>
      <c r="BA700" s="3">
        <f>INDEX(Input!$1:$1048576,BA$93,$C700*2+6)</f>
        <v>2020</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19695</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2076"/>
        <v>1250.0000000000002</v>
      </c>
      <c r="CJ700" s="16" t="str">
        <f>INDEX(Input!$1:$1048576,CJ$93,$C700*2+6)</f>
        <v>N</v>
      </c>
      <c r="CK700" s="1" t="str">
        <f t="shared" si="2077"/>
        <v>Market</v>
      </c>
      <c r="CL700" s="1" t="str">
        <f t="shared" si="2078"/>
        <v>Market</v>
      </c>
      <c r="CM700" s="1" t="str">
        <f t="shared" si="2079"/>
        <v>Market</v>
      </c>
      <c r="CN700" s="1" t="str">
        <f t="shared" si="2080"/>
        <v>Market</v>
      </c>
      <c r="CO700" s="1" t="str">
        <f t="shared" si="2081"/>
        <v>Market</v>
      </c>
      <c r="CP700" s="304">
        <f t="shared" si="2082"/>
        <v>0</v>
      </c>
      <c r="CQ700" s="1">
        <f t="shared" ref="CQ700" si="2166">S700</f>
        <v>0</v>
      </c>
      <c r="CR700" s="1">
        <f t="shared" ref="CR700" si="2167">T700</f>
        <v>0</v>
      </c>
      <c r="CS700" s="1">
        <f t="shared" ref="CS700" si="2168">U700</f>
        <v>0</v>
      </c>
      <c r="CT700" s="1">
        <f t="shared" ref="CT700" si="2169">V700</f>
        <v>1.8999999999999996E-2</v>
      </c>
      <c r="CU700" s="1">
        <f t="shared" ref="CU700" si="2170">W700</f>
        <v>3.9E-2</v>
      </c>
      <c r="CV700" s="304">
        <f t="shared" si="2140"/>
        <v>2339.3275155115825</v>
      </c>
      <c r="CW700" s="20" t="s">
        <v>122</v>
      </c>
      <c r="CX700" s="20" t="s">
        <v>122</v>
      </c>
      <c r="CY700" s="20" t="s">
        <v>122</v>
      </c>
      <c r="CZ700" s="20" t="s">
        <v>122</v>
      </c>
      <c r="DA700" s="20" t="s">
        <v>122</v>
      </c>
      <c r="DB700" s="503">
        <f t="shared" si="2141"/>
        <v>0</v>
      </c>
      <c r="DC700" s="127">
        <v>0</v>
      </c>
      <c r="DD700" s="127">
        <v>0</v>
      </c>
      <c r="DE700" s="127">
        <v>0</v>
      </c>
      <c r="DF700" s="127">
        <v>0</v>
      </c>
      <c r="DG700" s="127">
        <v>0</v>
      </c>
      <c r="DH700" s="127">
        <v>0</v>
      </c>
      <c r="DI700" s="127">
        <v>0</v>
      </c>
      <c r="DJ700" s="127">
        <v>0</v>
      </c>
      <c r="DK700" s="127">
        <v>0</v>
      </c>
      <c r="DL700" s="127">
        <v>0</v>
      </c>
      <c r="DM700" s="304">
        <f>INDEX(Input!$1:$1048576,DM$93,$C700*2+6)</f>
        <v>20731.578947368424</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2153"/>
        <v>#DIV/0!</v>
      </c>
      <c r="HN700" s="639" t="e">
        <f t="shared" si="2153"/>
        <v>#DIV/0!</v>
      </c>
      <c r="HO700" s="639" t="e">
        <f t="shared" si="2153"/>
        <v>#DIV/0!</v>
      </c>
      <c r="HP700" s="644">
        <f t="shared" si="2152"/>
        <v>0</v>
      </c>
      <c r="HQ700" s="644">
        <f t="shared" si="2152"/>
        <v>0</v>
      </c>
      <c r="HR700" s="644">
        <f t="shared" si="2152"/>
        <v>0</v>
      </c>
      <c r="HS700" s="644">
        <f t="shared" si="2152"/>
        <v>0</v>
      </c>
      <c r="HT700" s="644">
        <f t="shared" si="2152"/>
        <v>0</v>
      </c>
      <c r="HU700" s="644">
        <f t="shared" si="2152"/>
        <v>0</v>
      </c>
      <c r="HV700" s="644">
        <f t="shared" si="2152"/>
        <v>0</v>
      </c>
      <c r="HW700" s="644">
        <f t="shared" si="2152"/>
        <v>0</v>
      </c>
      <c r="HX700" s="644">
        <f t="shared" si="2152"/>
        <v>0</v>
      </c>
      <c r="HY700" s="644">
        <f t="shared" si="2152"/>
        <v>0</v>
      </c>
      <c r="HZ700" s="644">
        <f t="shared" si="2152"/>
        <v>0</v>
      </c>
      <c r="IA700" s="644">
        <f t="shared" si="2152"/>
        <v>0</v>
      </c>
      <c r="IB700" s="644">
        <f t="shared" si="2152"/>
        <v>0</v>
      </c>
      <c r="IC700" s="644">
        <f t="shared" si="2152"/>
        <v>0</v>
      </c>
      <c r="ID700" s="644">
        <f t="shared" si="2152"/>
        <v>0</v>
      </c>
      <c r="IE700" s="20" t="e">
        <f t="shared" si="2106"/>
        <v>#DIV/0!</v>
      </c>
      <c r="IF700" s="20" t="e">
        <f t="shared" si="2090"/>
        <v>#DIV/0!</v>
      </c>
      <c r="IG700" s="20" t="e">
        <f t="shared" si="2091"/>
        <v>#DIV/0!</v>
      </c>
      <c r="IH700" s="21"/>
      <c r="II700" s="19"/>
      <c r="IJ700" s="19"/>
      <c r="IK700" s="19"/>
      <c r="IL700" s="19" t="e">
        <f t="shared" si="2107"/>
        <v>#DIV/0!</v>
      </c>
      <c r="IM700" s="19" t="e">
        <f t="shared" si="2107"/>
        <v>#DIV/0!</v>
      </c>
      <c r="IN700" s="19" t="e">
        <f t="shared" si="2107"/>
        <v>#DIV/0!</v>
      </c>
      <c r="IO700" s="39"/>
      <c r="IP700" s="39"/>
      <c r="IQ700" s="39"/>
      <c r="IR700" s="39"/>
      <c r="IS700" s="39"/>
      <c r="IT700" s="39"/>
      <c r="IU700" s="39"/>
      <c r="IV700" s="39"/>
      <c r="IW700" s="39"/>
      <c r="IX700" s="19" t="e">
        <f t="shared" si="2154"/>
        <v>#DIV/0!</v>
      </c>
      <c r="IY700" s="19" t="e">
        <f t="shared" si="2154"/>
        <v>#DIV/0!</v>
      </c>
      <c r="IZ700" s="19" t="e">
        <f t="shared" si="2154"/>
        <v>#DIV/0!</v>
      </c>
      <c r="JA700" s="19">
        <f t="shared" si="2155"/>
        <v>0</v>
      </c>
      <c r="JB700" s="19">
        <f t="shared" si="2155"/>
        <v>0</v>
      </c>
      <c r="JC700" s="19">
        <f t="shared" si="2155"/>
        <v>0</v>
      </c>
      <c r="JD700" s="19" t="e">
        <f t="shared" si="2110"/>
        <v>#DIV/0!</v>
      </c>
      <c r="JE700" s="21"/>
      <c r="JF700" s="1" t="e">
        <f t="shared" si="2111"/>
        <v>#DIV/0!</v>
      </c>
      <c r="JG700" s="15">
        <f t="shared" si="2112"/>
        <v>0</v>
      </c>
      <c r="JH700" s="1" t="e">
        <f t="shared" si="2113"/>
        <v>#DIV/0!</v>
      </c>
      <c r="JI700" s="1" t="e">
        <f t="shared" si="2114"/>
        <v>#DIV/0!</v>
      </c>
      <c r="JJ700" s="1" t="e">
        <f t="shared" si="2092"/>
        <v>#DIV/0!</v>
      </c>
      <c r="JK700" s="1" t="e">
        <f t="shared" si="2093"/>
        <v>#DIV/0!</v>
      </c>
      <c r="JL700" s="15">
        <f t="shared" si="2156"/>
        <v>0</v>
      </c>
      <c r="JM700" s="15">
        <f t="shared" si="2156"/>
        <v>0</v>
      </c>
      <c r="JN700" s="21"/>
      <c r="JO700" s="19">
        <f>INDEX([1]Input!$1:$1048576,JO$93,$C700*2+6)</f>
        <v>5995.5</v>
      </c>
      <c r="JP700" s="19">
        <f>INDEX([1]Input!$1:$1048576,JP$93,$C700*2+6)</f>
        <v>1716.3055838443925</v>
      </c>
      <c r="JQ700" s="39" t="e">
        <f t="shared" si="2124"/>
        <v>#DIV/0!</v>
      </c>
      <c r="JR700" s="39" t="e">
        <f t="shared" si="2125"/>
        <v>#DIV/0!</v>
      </c>
      <c r="JS700" s="39" t="e">
        <f t="shared" si="2126"/>
        <v>#DIV/0!</v>
      </c>
      <c r="JT700" s="39" t="e">
        <f t="shared" si="2116"/>
        <v>#DIV/0!</v>
      </c>
      <c r="JU700" s="385" t="e">
        <f>(JQ700*JM700-INDEX([1]Input!$1:$1048576,[1]Input!A$18,$C700*2+6)*JL700*INDEX([1]Input!$1:$1048576,[1]Input!A$19,$C700*2+6))/1000000</f>
        <v>#DIV/0!</v>
      </c>
      <c r="JV700" s="39" t="e">
        <f t="shared" si="2094"/>
        <v>#DIV/0!</v>
      </c>
      <c r="JW700" s="1" t="e">
        <f t="shared" si="2129"/>
        <v>#DIV/0!</v>
      </c>
      <c r="JX700" s="19">
        <f t="shared" si="2130"/>
        <v>0</v>
      </c>
      <c r="JZ700" s="341"/>
      <c r="KA700" s="60"/>
      <c r="KB700" s="469">
        <f t="shared" si="2117"/>
        <v>0</v>
      </c>
      <c r="KI700" s="472"/>
      <c r="KJ700" s="472"/>
      <c r="KK700" s="472"/>
      <c r="KN700" s="26">
        <f t="shared" si="2118"/>
        <v>6002</v>
      </c>
      <c r="KO700" s="789">
        <f t="shared" si="2095"/>
        <v>-1</v>
      </c>
      <c r="KP700" s="790" t="e">
        <f t="shared" si="2096"/>
        <v>#DIV/0!</v>
      </c>
      <c r="KQ700" s="790" t="e">
        <f t="shared" si="2097"/>
        <v>#DIV/0!</v>
      </c>
      <c r="KR700" s="26" t="e">
        <f t="shared" si="2098"/>
        <v>#DIV/0!</v>
      </c>
      <c r="KS700" s="26" t="e">
        <f t="shared" si="2099"/>
        <v>#DIV/0!</v>
      </c>
      <c r="KT700" s="791">
        <f t="shared" si="2127"/>
        <v>2521.945896759994</v>
      </c>
      <c r="KU700" s="792">
        <f t="shared" si="2119"/>
        <v>0</v>
      </c>
    </row>
    <row r="701" spans="1:307">
      <c r="HM701" s="793">
        <f t="shared" si="2153"/>
        <v>5.0759899025717453E-2</v>
      </c>
      <c r="HN701" s="793">
        <f t="shared" si="2153"/>
        <v>2.6558983142148762E-3</v>
      </c>
      <c r="HO701" s="793">
        <f t="shared" si="2153"/>
        <v>2.6931822888847455E-2</v>
      </c>
      <c r="HP701" s="66">
        <f t="shared" si="2152"/>
        <v>0</v>
      </c>
      <c r="HQ701" s="66">
        <f t="shared" si="2152"/>
        <v>0</v>
      </c>
      <c r="HR701" s="66">
        <f t="shared" si="2152"/>
        <v>0</v>
      </c>
      <c r="HS701" s="794">
        <f t="shared" si="2152"/>
        <v>0</v>
      </c>
      <c r="HT701" s="794">
        <f t="shared" si="2152"/>
        <v>0</v>
      </c>
      <c r="HU701" s="794">
        <f t="shared" si="2152"/>
        <v>0</v>
      </c>
      <c r="HV701" s="66">
        <f t="shared" si="2152"/>
        <v>0</v>
      </c>
      <c r="HW701" s="66">
        <f t="shared" si="2152"/>
        <v>0</v>
      </c>
      <c r="HX701" s="66">
        <f t="shared" si="2152"/>
        <v>0</v>
      </c>
      <c r="HY701" s="794">
        <f t="shared" si="2152"/>
        <v>4621</v>
      </c>
      <c r="HZ701" s="794">
        <f t="shared" si="2152"/>
        <v>4896</v>
      </c>
      <c r="IA701" s="794">
        <f t="shared" si="2152"/>
        <v>3717</v>
      </c>
      <c r="IB701" s="66">
        <f t="shared" si="2152"/>
        <v>4621</v>
      </c>
      <c r="IC701" s="66">
        <f t="shared" si="2152"/>
        <v>4896</v>
      </c>
      <c r="ID701" s="66">
        <f t="shared" si="2152"/>
        <v>3717</v>
      </c>
      <c r="IE701" s="795">
        <f t="shared" si="2106"/>
        <v>0.34917636391113799</v>
      </c>
      <c r="IF701" s="795">
        <f t="shared" si="2090"/>
        <v>0.36995617349251925</v>
      </c>
      <c r="IG701" s="795">
        <f t="shared" si="2091"/>
        <v>0.28086746259634277</v>
      </c>
      <c r="IH701" s="796"/>
      <c r="II701" s="797"/>
      <c r="IJ701" s="797"/>
      <c r="IK701" s="797"/>
      <c r="IL701" s="798">
        <f t="shared" si="2107"/>
        <v>0</v>
      </c>
      <c r="IM701" s="798">
        <f t="shared" si="2107"/>
        <v>0</v>
      </c>
      <c r="IN701" s="798">
        <f t="shared" si="2107"/>
        <v>0</v>
      </c>
      <c r="IO701" s="799"/>
      <c r="IP701" s="799"/>
      <c r="IQ701" s="799"/>
      <c r="IR701" s="274"/>
      <c r="IS701" s="274"/>
      <c r="IT701" s="274"/>
      <c r="IU701" s="274"/>
      <c r="IV701" s="274"/>
      <c r="IW701" s="274"/>
      <c r="IX701" s="797">
        <f t="shared" si="2154"/>
        <v>1600</v>
      </c>
      <c r="IY701" s="797">
        <f t="shared" si="2154"/>
        <v>2503.5492916397525</v>
      </c>
      <c r="IZ701" s="797">
        <f t="shared" si="2154"/>
        <v>5817.5473537726602</v>
      </c>
      <c r="JA701" s="798">
        <f t="shared" si="2155"/>
        <v>1600</v>
      </c>
      <c r="JB701" s="798">
        <f t="shared" si="2155"/>
        <v>2503.5492916397525</v>
      </c>
      <c r="JC701" s="798">
        <f t="shared" si="2155"/>
        <v>5817.5473537726602</v>
      </c>
      <c r="JD701" s="798">
        <f t="shared" si="2110"/>
        <v>3118.8454621309661</v>
      </c>
      <c r="JE701" s="796"/>
      <c r="JF701" s="800">
        <f t="shared" si="2111"/>
        <v>6.8304563804369861E-2</v>
      </c>
      <c r="JG701" s="801">
        <f t="shared" si="2112"/>
        <v>13234</v>
      </c>
      <c r="JH701" s="800">
        <f t="shared" si="2113"/>
        <v>0</v>
      </c>
      <c r="JI701" s="800">
        <f t="shared" si="2114"/>
        <v>0</v>
      </c>
      <c r="JJ701" s="332">
        <f t="shared" si="2092"/>
        <v>0</v>
      </c>
      <c r="JK701" s="800">
        <f t="shared" si="2093"/>
        <v>0</v>
      </c>
      <c r="JL701" s="801">
        <f t="shared" si="2156"/>
        <v>0</v>
      </c>
      <c r="JM701" s="802">
        <f t="shared" si="2156"/>
        <v>13234</v>
      </c>
      <c r="JN701" s="796"/>
      <c r="JO701" s="19">
        <f>INDEX([1]Input!$1:$1048576,JO$93,$C701*2+6)</f>
        <v>0</v>
      </c>
      <c r="JP701" s="19">
        <f>INDEX([1]Input!$1:$1048576,JP$93,$C701*2+6)</f>
        <v>0</v>
      </c>
      <c r="JQ701" s="39">
        <f t="shared" si="2124"/>
        <v>-3118.8454621309661</v>
      </c>
      <c r="JR701" s="39">
        <f t="shared" si="2125"/>
        <v>3118.8454621309661</v>
      </c>
      <c r="JS701" s="39">
        <f t="shared" si="2126"/>
        <v>41.274800845841206</v>
      </c>
      <c r="JT701" s="39">
        <f t="shared" si="2116"/>
        <v>41.274800845841206</v>
      </c>
      <c r="JU701" s="385">
        <f>(JQ701*JM701-INDEX([1]Input!$1:$1048576,[1]Input!A$18,$C701*2+6)*JL701*INDEX([1]Input!$1:$1048576,[1]Input!A$19,$C701*2+6))/1000000</f>
        <v>-41.274800845841206</v>
      </c>
      <c r="JV701" s="39">
        <f t="shared" si="2094"/>
        <v>-41.274800845841206</v>
      </c>
      <c r="JW701" s="1" t="e">
        <f t="shared" si="2129"/>
        <v>#DIV/0!</v>
      </c>
      <c r="JX701" s="19">
        <f t="shared" si="2130"/>
        <v>0</v>
      </c>
      <c r="JZ701" s="803"/>
      <c r="KB701" s="804">
        <f t="shared" si="2117"/>
        <v>0</v>
      </c>
      <c r="KN701" s="58">
        <f t="shared" si="2118"/>
        <v>2</v>
      </c>
      <c r="KO701" s="805" t="e">
        <f t="shared" si="2095"/>
        <v>#DIV/0!</v>
      </c>
      <c r="KP701" s="803">
        <f t="shared" si="2096"/>
        <v>0</v>
      </c>
      <c r="KQ701" s="803">
        <f t="shared" si="2097"/>
        <v>3118.8454621309661</v>
      </c>
      <c r="KR701" s="58" t="e">
        <f t="shared" si="2098"/>
        <v>#DIV/0!</v>
      </c>
      <c r="KS701" s="58" t="e">
        <f t="shared" si="2099"/>
        <v>#DIV/0!</v>
      </c>
      <c r="KT701" s="806">
        <f t="shared" si="2127"/>
        <v>2521.945896759994</v>
      </c>
      <c r="KU701" s="804">
        <f t="shared" si="2119"/>
        <v>0</v>
      </c>
    </row>
  </sheetData>
  <autoFilter ref="A98:D700" xr:uid="{85BBED3E-4C32-422B-8311-D26D9F5B8EA4}"/>
  <mergeCells count="196">
    <mergeCell ref="J98:J99"/>
    <mergeCell ref="K98:K99"/>
    <mergeCell ref="L98:L99"/>
    <mergeCell ref="M98:M99"/>
    <mergeCell ref="N98:N99"/>
    <mergeCell ref="O98:O99"/>
    <mergeCell ref="P98:P99"/>
    <mergeCell ref="Q98:Q99"/>
    <mergeCell ref="R98:R99"/>
    <mergeCell ref="A98:A99"/>
    <mergeCell ref="B98:B99"/>
    <mergeCell ref="C98:C99"/>
    <mergeCell ref="D98:D99"/>
    <mergeCell ref="E98:E99"/>
    <mergeCell ref="F98:F99"/>
    <mergeCell ref="G98:G99"/>
    <mergeCell ref="H98:H99"/>
    <mergeCell ref="I98:I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I98:AI99"/>
    <mergeCell ref="AJ98:AJ99"/>
    <mergeCell ref="AK98:AK99"/>
    <mergeCell ref="AL98:AL99"/>
    <mergeCell ref="AM98:AM99"/>
    <mergeCell ref="AN98:AN99"/>
    <mergeCell ref="AT98:AT100"/>
    <mergeCell ref="AO98:AO99"/>
    <mergeCell ref="AP98:AP99"/>
    <mergeCell ref="AQ98:AQ99"/>
    <mergeCell ref="AR98:AR99"/>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DK99:DL99"/>
    <mergeCell ref="DM99:DM100"/>
    <mergeCell ref="DN99:DR99"/>
    <mergeCell ref="DY99:DY100"/>
    <mergeCell ref="CW99:DA99"/>
    <mergeCell ref="DB99:DB100"/>
    <mergeCell ref="DC99:DE99"/>
    <mergeCell ref="DF99:DF100"/>
    <mergeCell ref="DG99:DG100"/>
    <mergeCell ref="DH99:DH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JU99:JU100"/>
    <mergeCell ref="JV99:JV100"/>
    <mergeCell ref="JW99:JW100"/>
    <mergeCell ref="JX99:JX100"/>
    <mergeCell ref="JO99:JO100"/>
    <mergeCell ref="JP99:JP100"/>
    <mergeCell ref="JQ99:JQ100"/>
    <mergeCell ref="JR99:JR100"/>
    <mergeCell ref="JS99:JS100"/>
    <mergeCell ref="JT99:JT100"/>
  </mergeCells>
  <dataValidations disablePrompts="1"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FF99"/>
    <pageSetUpPr fitToPage="1"/>
  </sheetPr>
  <dimension ref="A1:BM73"/>
  <sheetViews>
    <sheetView showGridLines="0" topLeftCell="A8" zoomScale="70" zoomScaleNormal="70" zoomScaleSheetLayoutView="55" workbookViewId="0">
      <selection activeCell="C47" sqref="C47"/>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2" width="15.7109375" style="293" customWidth="1"/>
    <col min="13" max="13" width="11.710937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2" t="s">
        <v>1079</v>
      </c>
      <c r="AK7" s="873">
        <v>9.5</v>
      </c>
    </row>
    <row r="8" spans="1:64" ht="15.6" customHeight="1">
      <c r="AJ8" s="235" t="s">
        <v>1080</v>
      </c>
      <c r="AK8" s="873" t="s">
        <v>1084</v>
      </c>
    </row>
    <row r="9" spans="1:64" ht="15.6" customHeight="1">
      <c r="M9" s="873">
        <v>10.5</v>
      </c>
      <c r="AJ9" s="872" t="s">
        <v>1082</v>
      </c>
      <c r="AK9" s="874" t="str">
        <f>"MY"&amp;RIGHT(Input!$H$9,2)&amp;" "&amp;Input!$H$3&amp;": "&amp;$G$10</f>
        <v>MY20 Forte: Region L1 (Eastern) Incentive Scenarios</v>
      </c>
    </row>
    <row r="10" spans="1:64" ht="15.6" customHeight="1" thickBot="1">
      <c r="G10" s="581" t="s">
        <v>1083</v>
      </c>
      <c r="M10" s="873" t="s">
        <v>1081</v>
      </c>
      <c r="AJ10" s="872" t="s">
        <v>1086</v>
      </c>
      <c r="AK10" s="874" t="s">
        <v>1087</v>
      </c>
    </row>
    <row r="11" spans="1:64" ht="15.6" customHeight="1">
      <c r="A11" s="281" t="s">
        <v>570</v>
      </c>
      <c r="B11" s="275"/>
      <c r="C11" s="231"/>
      <c r="D11" s="628" t="s">
        <v>824</v>
      </c>
      <c r="F11" s="245">
        <v>1</v>
      </c>
      <c r="G11" s="565" t="str">
        <f>INDEX(Input!$1:$1048576,2,$F$11*2+6)&amp;" ("&amp;INDEX(Input!$1:$1048576,11,$F$11*2+6)&amp;")"</f>
        <v>MY20 Kia Forte (Kia-LR - L1)</v>
      </c>
      <c r="H11" s="232"/>
      <c r="I11" s="231"/>
      <c r="M11" s="874" t="str">
        <f>D13&amp;" Incentive Scenarios"</f>
        <v>SCENARIO OPTIONS: MY20 KIA FORTE - L1 (CT, MA, NH, NJ, NY, RI) Incentive Scenarios</v>
      </c>
      <c r="N11" s="231"/>
      <c r="O11" s="231"/>
      <c r="Q11" s="231"/>
      <c r="R11" s="231"/>
      <c r="S11" s="231"/>
      <c r="U11" s="296"/>
      <c r="V11" s="231"/>
      <c r="Y11" s="231"/>
      <c r="Z11" s="231"/>
      <c r="AA11" s="231"/>
      <c r="AC11" s="231"/>
      <c r="AD11" s="231"/>
      <c r="AE11" s="231"/>
      <c r="AF11" s="231"/>
      <c r="AG11" s="231"/>
      <c r="AH11" s="231"/>
      <c r="AI11" s="231"/>
      <c r="AJ11" s="872" t="s">
        <v>1088</v>
      </c>
      <c r="AK11" s="874" t="s">
        <v>1089</v>
      </c>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customHeight="1" thickBot="1">
      <c r="A12" s="389" t="str">
        <f>ROUND(INDEX(Lookup!E:E,MATCH(INDEX(DSS_Calc!AZ:AZ,MATCH(C33+$F$11*1000,DSS_Calc!A:A,0)),Lookup!B:B,0)),2)&amp;" (Nat)"</f>
        <v>4.1 (Nat)</v>
      </c>
      <c r="B12" s="276"/>
      <c r="C12" s="573"/>
      <c r="D12" s="231"/>
      <c r="F12" s="231"/>
      <c r="G12" s="232"/>
      <c r="H12" s="232"/>
      <c r="I12" s="231"/>
      <c r="J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771</v>
      </c>
      <c r="BA12" s="389"/>
      <c r="BC12" s="666"/>
      <c r="BD12" s="666"/>
      <c r="BE12" s="666"/>
      <c r="BF12" s="666"/>
      <c r="BG12" s="666"/>
      <c r="BH12" s="666"/>
      <c r="BI12" s="666"/>
      <c r="BJ12" s="666"/>
      <c r="BK12" s="666"/>
      <c r="BL12" s="666"/>
    </row>
    <row r="13" spans="1:64" ht="15.75" customHeight="1" thickBot="1">
      <c r="A13" s="389" t="str">
        <f>ROUND(INDEX(DSS_Calc!KA:KA,MATCH($F$11*1000+6,DSS_Calc!A:A,0)),2)&amp;" (Scen 6)"</f>
        <v>3.27 (Scen 6)</v>
      </c>
      <c r="B13" s="275"/>
      <c r="D13" s="1137" t="str">
        <f>UPPER("SCENARIO OPTIONS: MY"&amp;RIGHT(Input!$H9,2)&amp;" "&amp;Input!H$7&amp;" "&amp;Input!H$3&amp;" - L1 (CT, MA, NH, NJ, NY, RI)")</f>
        <v>SCENARIO OPTIONS: MY20 KIA FORTE - L1 (CT, MA, NH, NJ, NY, RI)</v>
      </c>
      <c r="E13" s="1137"/>
      <c r="F13" s="1137"/>
      <c r="G13" s="1137"/>
      <c r="H13" s="1137"/>
      <c r="I13" s="1137"/>
      <c r="J13" s="1137"/>
      <c r="K13" s="1137"/>
      <c r="L13" s="1137"/>
      <c r="M13" s="1137"/>
      <c r="N13" s="1137"/>
      <c r="O13" s="1137"/>
      <c r="P13" s="1137"/>
      <c r="Q13" s="1137"/>
      <c r="R13" s="1137"/>
      <c r="S13" s="1137"/>
      <c r="T13" s="1137"/>
      <c r="U13" s="1137"/>
      <c r="V13" s="1137"/>
      <c r="W13" s="1137"/>
      <c r="X13" s="1137"/>
      <c r="Y13" s="1137"/>
      <c r="Z13" s="1137"/>
      <c r="AA13" s="1137"/>
      <c r="AB13" s="1137"/>
      <c r="AC13" s="1137"/>
      <c r="AD13" s="1137"/>
      <c r="AE13" s="1137"/>
      <c r="AF13" s="1137"/>
      <c r="AG13" s="1137"/>
      <c r="AH13" s="1137"/>
      <c r="AI13" s="1137"/>
      <c r="AJ13" s="563"/>
      <c r="AK13" s="563"/>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43" t="str">
        <f>"Scen. # to check price sensitivity order vs #"&amp;INDEX(DSS_Calc!KN:KN,MATCH(F11*1000+1,DSS_Calc!A:A,0))</f>
        <v>Scen. # to check price sensitivity order vs #1002</v>
      </c>
      <c r="AO14" s="1144"/>
      <c r="AP14" s="1144"/>
      <c r="AQ14" s="1144"/>
      <c r="AR14" s="1144"/>
      <c r="AS14" s="716">
        <v>9</v>
      </c>
      <c r="AT14" s="716">
        <v>13</v>
      </c>
      <c r="AU14" s="716">
        <v>17</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45" t="s">
        <v>779</v>
      </c>
      <c r="AO15" s="1146"/>
      <c r="AP15" s="1146"/>
      <c r="AQ15" s="1146"/>
      <c r="AR15" s="1146"/>
      <c r="AS15" s="734" t="str">
        <f>INDEX(DSS_Calc!$D:$D,MATCH($F11*1000+AS14,DSS_Calc!$A:$A))</f>
        <v xml:space="preserve">250 CC, </v>
      </c>
      <c r="AT15" s="734" t="str">
        <f>INDEX(DSS_Calc!$D:$D,MATCH($F11*1000+AT14,DSS_Calc!$A:$A))</f>
        <v xml:space="preserve">0/0/0.9/3.9,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41" t="str">
        <f>"Implied Elast w/o Take Rate Shifts vs #"&amp;INDEX(DSS_Calc!KN:KN,MATCH(F11*1000+1,DSS_Calc!A:A,0))</f>
        <v>Implied Elast w/o Take Rate Shifts vs #1002</v>
      </c>
      <c r="AO16" s="1142"/>
      <c r="AP16" s="1142"/>
      <c r="AQ16" s="1142"/>
      <c r="AR16" s="1142"/>
      <c r="AS16" s="722">
        <f>INDEX(DSS_Calc!$KR:$KR,MATCH($F$11*1000+AS14,DSS_Calc!$A:$A,0))</f>
        <v>2.5410855646128772</v>
      </c>
      <c r="AT16" s="722">
        <f>INDEX(DSS_Calc!$KR:$KR,MATCH($F$11*1000+AT14,DSS_Calc!$A:$A,0))</f>
        <v>3.0536025311903061</v>
      </c>
      <c r="AU16" s="722">
        <f>INDEX(DSS_Calc!$KR:$KR,MATCH($F$11*1000+AU14,DSS_Calc!$A:$A,0))</f>
        <v>3.4437299328764768</v>
      </c>
      <c r="AV16" s="720" t="str">
        <f>IF(AND(AS16&lt;AT16,AT16&lt;AU16,AS16&lt;AW16),"ok","error in order")</f>
        <v>ok</v>
      </c>
      <c r="AW16" s="723">
        <f>ROUND(INDEX(DSS_Calc!KA:KA,MATCH($F$11*1000+6,DSS_Calc!A:A,0)),2)</f>
        <v>3.27</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43" t="s">
        <v>875</v>
      </c>
      <c r="AO17" s="1144"/>
      <c r="AP17" s="1144"/>
      <c r="AQ17" s="1144"/>
      <c r="AR17" s="1144"/>
      <c r="AS17" s="725">
        <f>INDEX(DSS_Calc!IE:IE,MATCH($F$11*1000+2,DSS_Calc!$A:$A,0))-INDEX(DSS_Calc!IE:IE,MATCH($F$11*1000+1,DSS_Calc!$A:$A,0))</f>
        <v>-1.2476042494072581E-3</v>
      </c>
      <c r="AT17" s="725">
        <f>INDEX(DSS_Calc!IF:IF,MATCH($F$11*1000+2,DSS_Calc!$A:$A,0))-INDEX(DSS_Calc!IF:IF,MATCH($F$11*1000+1,DSS_Calc!$A:$A,0))</f>
        <v>-2.1108411329092414E-3</v>
      </c>
      <c r="AU17" s="725">
        <f>INDEX(DSS_Calc!IG:IG,MATCH($F$11*1000+2,DSS_Calc!$A:$A,0))-INDEX(DSS_Calc!IG:IG,MATCH($F$11*1000+1,DSS_Calc!$A:$A,0))</f>
        <v>3.358445382316444E-3</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41" t="s">
        <v>769</v>
      </c>
      <c r="AO18" s="1142"/>
      <c r="AP18" s="1142"/>
      <c r="AQ18" s="1142"/>
      <c r="AR18" s="1142"/>
      <c r="AS18" s="726">
        <f>INDEX(DSS_Calc!JA:JA,MATCH($F$11*1000+2,DSS_Calc!$A:$A,0))-INDEX(DSS_Calc!JA:JA,MATCH($F$11*1000+1,DSS_Calc!$A:$A,0))</f>
        <v>399.99999999999977</v>
      </c>
      <c r="AT18" s="726">
        <f>INDEX(DSS_Calc!JB:JB,MATCH($F$11*1000+2,DSS_Calc!$A:$A,0))-INDEX(DSS_Calc!JB:JB,MATCH($F$11*1000+1,DSS_Calc!$A:$A,0))</f>
        <v>399.99999999999955</v>
      </c>
      <c r="AU18" s="726">
        <f>INDEX(DSS_Calc!JC:JC,MATCH($F$11*1000+2,DSS_Calc!$A:$A,0))-INDEX(DSS_Calc!JC:JC,MATCH($F$11*1000+1,DSS_Calc!$A:$A,0))</f>
        <v>324.99999999999909</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5.7413192230000631E-2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4.8343856049165829E-2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8.4934833645296859E-2</v>
      </c>
      <c r="AV19" s="71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45" t="s">
        <v>876</v>
      </c>
      <c r="AO20" s="1146"/>
      <c r="AP20" s="1146"/>
      <c r="AQ20" s="1146"/>
      <c r="AR20" s="1146"/>
      <c r="AS20" s="718">
        <f>IFERROR(INDEX($C:$C,MATCH(AS19,U:U,0)-1),INDEX($C:$C,MATCH(-AS19,U:U,0)-1))</f>
        <v>38</v>
      </c>
      <c r="AT20" s="718">
        <f>IFERROR(INDEX($C:$C,MATCH(AT19,V:V,0)-1),INDEX($C:$C,MATCH(-AT19,V:V,0)-1))</f>
        <v>77</v>
      </c>
      <c r="AU20" s="718">
        <f>IFERROR(INDEX($C:$C,MATCH(AU19,W:W,0)-1),INDEX($C:$C,MATCH(-AU19,W:W,0)-1))</f>
        <v>77</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2</v>
      </c>
      <c r="AM21" s="235"/>
      <c r="AN21" s="1141" t="s">
        <v>877</v>
      </c>
      <c r="AO21" s="1142"/>
      <c r="AP21" s="1142"/>
      <c r="AQ21" s="1142"/>
      <c r="AR21" s="1142"/>
      <c r="AS21" s="729">
        <f>IFERROR(INDEX(Q:Q,MATCH(AS19,U:U,0)),INDEX(Q:Q,MATCH(-AS19,U:U,0)))</f>
        <v>999.99999999999977</v>
      </c>
      <c r="AT21" s="729">
        <f>IFERROR(INDEX(R:R,MATCH(AT19,V:V,0)),INDEX(R:R,MATCH(-AT19,V:V,0)))</f>
        <v>1662.6734913635642</v>
      </c>
      <c r="AU21" s="729">
        <f>IFERROR(INDEX(S:S,MATCH(AU19,W:W,0)),INDEX(S:S,MATCH(-AU19,W:W,0)))</f>
        <v>0</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878" t="s">
        <v>134</v>
      </c>
      <c r="F27" s="1140" t="s">
        <v>354</v>
      </c>
      <c r="G27" s="1140"/>
      <c r="H27" s="1140"/>
      <c r="I27" s="1140"/>
      <c r="J27" s="1140"/>
      <c r="K27" s="1140"/>
      <c r="L27" s="1140"/>
      <c r="M27" s="1140"/>
      <c r="N27" s="1140"/>
      <c r="O27" s="1140"/>
      <c r="P27" s="277"/>
      <c r="Q27" s="1139" t="s">
        <v>135</v>
      </c>
      <c r="R27" s="1139"/>
      <c r="S27" s="1139"/>
      <c r="T27" s="277"/>
      <c r="U27" s="1140" t="s">
        <v>136</v>
      </c>
      <c r="V27" s="1140"/>
      <c r="W27" s="1140"/>
      <c r="X27" s="277"/>
      <c r="Y27" s="1139" t="s">
        <v>137</v>
      </c>
      <c r="Z27" s="1139"/>
      <c r="AA27" s="1139"/>
      <c r="AB27" s="277"/>
      <c r="AC27" s="1140" t="s">
        <v>138</v>
      </c>
      <c r="AD27" s="1140"/>
      <c r="AE27" s="1140"/>
      <c r="AF27" s="1140"/>
      <c r="AG27" s="1140"/>
      <c r="AH27" s="1140"/>
      <c r="AI27" s="1140"/>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1146</v>
      </c>
      <c r="H28" s="238" t="s">
        <v>39</v>
      </c>
      <c r="I28" s="237" t="s">
        <v>715</v>
      </c>
      <c r="J28" s="237" t="s">
        <v>330</v>
      </c>
      <c r="K28" s="237" t="s">
        <v>1150</v>
      </c>
      <c r="L28" s="237" t="s">
        <v>1151</v>
      </c>
      <c r="M28" s="237" t="s">
        <v>7</v>
      </c>
      <c r="N28" s="237" t="s">
        <v>735</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35</v>
      </c>
      <c r="L30" s="244">
        <v>29</v>
      </c>
      <c r="M30" s="244">
        <v>33</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1149</v>
      </c>
      <c r="L31" s="244" t="s">
        <v>1148</v>
      </c>
      <c r="M31" s="244" t="s">
        <v>1156</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v>
      </c>
      <c r="G33" s="256" t="str">
        <f>IF($C33="","",VLOOKUP($C33+$F$11*1000,DSS_Calc!$A:$JV,G$30,FALSE))</f>
        <v>0/0.9/1.9/3.9</v>
      </c>
      <c r="H33" s="256">
        <f>IF($C33="","",VLOOKUP($C33+$F$11*1000,DSS_Calc!$A:$JV,H$30,FALSE))</f>
        <v>0</v>
      </c>
      <c r="I33" s="256">
        <f>IF($C33="","",VLOOKUP($C33+$F$11*1000,DSS_Calc!$A:$JV,I$30,FALSE))</f>
        <v>0</v>
      </c>
      <c r="J33" s="256">
        <f>IF($C33="","",VLOOKUP($C33+$F$11*1000,DSS_Calc!$A:$JV,J$30,FALSE))</f>
        <v>5482</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1999.9999999999998</v>
      </c>
      <c r="R33" s="256">
        <f>IF($C33="","",VLOOKUP($C33+$F$11*1000,DSS_Calc!$A:$JV,R$30,FALSE)*IF(V33=0,0,1))</f>
        <v>2903.549291639752</v>
      </c>
      <c r="S33" s="256">
        <f>IF($C33="","",VLOOKUP($C33+$F$11*1000,DSS_Calc!$A:$JV,S$30,FALSE)*IF(W33=0,0,1))</f>
        <v>6598.7109265464014</v>
      </c>
      <c r="T33" s="294" t="s">
        <v>2</v>
      </c>
      <c r="U33" s="395">
        <f>IF($C33="","",VLOOKUP($C33+$F$11*1000,DSS_Calc!$A:$JV,U$30,FALSE))</f>
        <v>0.1572391033170549</v>
      </c>
      <c r="V33" s="395">
        <f>IF($C33="","",VLOOKUP($C33+$F$11*1000,DSS_Calc!$A:$JV,V$30,FALSE))</f>
        <v>0.14103844312066949</v>
      </c>
      <c r="W33" s="395">
        <f>IF($C33="","",VLOOKUP($C33+$F$11*1000,DSS_Calc!$A:$JV,W$30,FALSE))</f>
        <v>0.70172245356227558</v>
      </c>
      <c r="X33" s="290" t="s">
        <v>2</v>
      </c>
      <c r="Y33" s="256">
        <f t="shared" ref="Y33:AA34" si="0">IF(U33=0,0,U33*Q33)</f>
        <v>314.47820663410977</v>
      </c>
      <c r="Z33" s="256">
        <f t="shared" si="0"/>
        <v>409.51207161699335</v>
      </c>
      <c r="AA33" s="256">
        <f t="shared" si="0"/>
        <v>4630.4636217243378</v>
      </c>
      <c r="AB33" s="290" t="s">
        <v>2</v>
      </c>
      <c r="AC33" s="256">
        <f>SUM(Y33:AA33)</f>
        <v>5354.4538999754404</v>
      </c>
      <c r="AD33" s="259">
        <f>AC33*AE33/1000/1000</f>
        <v>5.6655984058750333</v>
      </c>
      <c r="AE33" s="260">
        <f>IF($C33="","",VLOOKUP($C33+$F$11*1000,DSS_Calc!$A:$JV,AE$30,FALSE))</f>
        <v>1058.1094751606734</v>
      </c>
      <c r="AF33" s="259">
        <f>IF($C33="","",VLOOKUP($C33+$F$11*1000,DSS_Calc!$A:$JV,AF$30,FALSE))</f>
        <v>0.58624142811180469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34</v>
      </c>
      <c r="D34" s="396" t="str">
        <f>"Scenario " &amp; A34</f>
        <v>Scenario A</v>
      </c>
      <c r="E34" s="272" t="s">
        <v>2</v>
      </c>
      <c r="F34" s="397">
        <f>IF($C34="","",VLOOKUP($C34+$F$11*1000,DSS_Calc!$A:$JV,F$30,FALSE))</f>
        <v>2250</v>
      </c>
      <c r="G34" s="397" t="str">
        <f>IF($C34="","",VLOOKUP($C34+$F$11*1000,DSS_Calc!$A:$JV,G$30,FALSE))</f>
        <v>0/0.9/1.9/3.9</v>
      </c>
      <c r="H34" s="397">
        <f>IF($C34="","",VLOOKUP($C34+$F$11*1000,DSS_Calc!$A:$JV,H$30,FALSE))</f>
        <v>0</v>
      </c>
      <c r="I34" s="397">
        <f>IF($C34="","",VLOOKUP($C34+$F$11*1000,DSS_Calc!$A:$JV,I$30,FALSE))</f>
        <v>1000</v>
      </c>
      <c r="J34" s="397">
        <f>IF($C34="","",VLOOKUP($C34+$F$11*1000,DSS_Calc!$A:$JV,J$30,FALSE))</f>
        <v>5482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3000.0000000000005</v>
      </c>
      <c r="R34" s="397">
        <f>IF($C34="","",VLOOKUP($C34+$F$11*1000,DSS_Calc!$A:$JV,R$30,FALSE)*IF(V34=0,0,1))</f>
        <v>3903.5492916397525</v>
      </c>
      <c r="S34" s="397">
        <f>IF($C34="","",VLOOKUP($C34+$F$11*1000,DSS_Calc!$A:$JV,S$30,FALSE)*IF(W34=0,0,1))</f>
        <v>6598.7109265464014</v>
      </c>
      <c r="T34" s="294" t="s">
        <v>2</v>
      </c>
      <c r="U34" s="398">
        <f>IF($C34="","",VLOOKUP($C34+$F$11*1000,DSS_Calc!$A:$JV,U$30,FALSE))</f>
        <v>0.21060722138614382</v>
      </c>
      <c r="V34" s="398">
        <f>IF($C34="","",VLOOKUP($C34+$F$11*1000,DSS_Calc!$A:$JV,V$30,FALSE))</f>
        <v>0.15560936477313275</v>
      </c>
      <c r="W34" s="398">
        <f>IF($C34="","",VLOOKUP($C34+$F$11*1000,DSS_Calc!$A:$JV,W$30,FALSE))</f>
        <v>0.63378341384072345</v>
      </c>
      <c r="X34" s="294" t="s">
        <v>2</v>
      </c>
      <c r="Y34" s="397">
        <f t="shared" si="0"/>
        <v>631.82166415843153</v>
      </c>
      <c r="Z34" s="397">
        <f t="shared" si="0"/>
        <v>607.42882563267426</v>
      </c>
      <c r="AA34" s="397">
        <f t="shared" si="0"/>
        <v>4182.153537974662</v>
      </c>
      <c r="AB34" s="294" t="s">
        <v>2</v>
      </c>
      <c r="AC34" s="397">
        <f>SUM(Y34:AA34)</f>
        <v>5421.4040277657678</v>
      </c>
      <c r="AD34" s="399">
        <f>AC34*AE34/1000/1000</f>
        <v>6.0897217823320178</v>
      </c>
      <c r="AE34" s="400">
        <f>IF($C34="","",VLOOKUP($C34+$F$11*1000,DSS_Calc!$A:$JV,AE$30,FALSE))</f>
        <v>1123.273925194185</v>
      </c>
      <c r="AF34" s="399">
        <f>IF($C34="","",VLOOKUP($C34+$F$11*1000,DSS_Calc!$A:$JV,AF$30,FALSE))</f>
        <v>0.54714220467782382</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+1000 APR Cash</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f>AI35/((Q35*U34+R35*V34+S35*W34)/(VLOOKUP($C34+$F$11*1000,DSS_Calc!$A:$JV,DSS_Calc!BX$92,FALSE)-$AC$33))</f>
        <v>2.4116140809886009</v>
      </c>
      <c r="B35" s="402"/>
      <c r="C35" s="564">
        <f>AI35/(AC35/(VLOOKUP($C34+$F$11*1000,DSS_Calc!$A:$JV,DSS_Calc!BX$92,FALSE)-$AC$33))</f>
        <v>13.191506947368131</v>
      </c>
      <c r="D35" s="403" t="s">
        <v>141</v>
      </c>
      <c r="F35" s="404">
        <f>ROUND(F34-F$33,0)</f>
        <v>1000</v>
      </c>
      <c r="G35" s="404"/>
      <c r="H35" s="404"/>
      <c r="I35" s="404">
        <f t="shared" ref="I35:O35" si="1">ROUND(I34-I$33,0)</f>
        <v>1000</v>
      </c>
      <c r="J35" s="404">
        <f t="shared" si="1"/>
        <v>0</v>
      </c>
      <c r="K35" s="404">
        <f t="shared" si="1"/>
        <v>0</v>
      </c>
      <c r="L35" s="404">
        <f t="shared" si="1"/>
        <v>0</v>
      </c>
      <c r="M35" s="404">
        <f t="shared" si="1"/>
        <v>0</v>
      </c>
      <c r="N35" s="404">
        <f t="shared" si="1"/>
        <v>0</v>
      </c>
      <c r="O35" s="404">
        <f t="shared" si="1"/>
        <v>0</v>
      </c>
      <c r="P35" s="294"/>
      <c r="Q35" s="404">
        <f t="shared" ref="Q35:S35" si="2">Q34-Q$33</f>
        <v>1000.0000000000007</v>
      </c>
      <c r="R35" s="404">
        <f t="shared" si="2"/>
        <v>1000.0000000000005</v>
      </c>
      <c r="S35" s="404">
        <f t="shared" si="2"/>
        <v>0</v>
      </c>
      <c r="T35" s="294"/>
      <c r="U35" s="405">
        <f>U34-U$33</f>
        <v>5.3368118069088921E-2</v>
      </c>
      <c r="V35" s="405">
        <f>V34-V$33</f>
        <v>1.4570921652463265E-2</v>
      </c>
      <c r="W35" s="405">
        <f>W34-W$33</f>
        <v>-6.793903972155213E-2</v>
      </c>
      <c r="X35" s="294"/>
      <c r="Y35" s="404">
        <f>Y34-Y$33</f>
        <v>317.34345752432176</v>
      </c>
      <c r="Z35" s="404">
        <f>Z34-Z$33</f>
        <v>197.91675401568091</v>
      </c>
      <c r="AA35" s="404">
        <f>AA34-AA$33</f>
        <v>-448.31008374967587</v>
      </c>
      <c r="AB35" s="294"/>
      <c r="AC35" s="404">
        <f>IFERROR(AC34-AC$33,NA())</f>
        <v>66.950127790327315</v>
      </c>
      <c r="AD35" s="406">
        <f>AD34-AD$33</f>
        <v>0.4241233764569845</v>
      </c>
      <c r="AE35" s="407">
        <f t="shared" ref="AE35:AF61" si="3">AE34-AE$33</f>
        <v>65.164450033511685</v>
      </c>
      <c r="AF35" s="406">
        <f t="shared" si="3"/>
        <v>-3.9099223433980868E-2</v>
      </c>
      <c r="AG35" s="408">
        <f>AF35/AF$33</f>
        <v>-6.6694746497042309E-2</v>
      </c>
      <c r="AH35" s="405"/>
      <c r="AI35" s="408">
        <f>IFERROR(AE35/$AE$33,NA())</f>
        <v>6.158573527906127E-2</v>
      </c>
      <c r="AJ35" s="289"/>
      <c r="AK35" s="749"/>
      <c r="AL35" s="750">
        <f>$AE34*U34-$AE$33*U$33</f>
        <v>70.193415155110642</v>
      </c>
      <c r="AM35" s="750">
        <f>$AE34*V34-$AE$33*V$33</f>
        <v>25.557828937800508</v>
      </c>
      <c r="AN35" s="750">
        <f>$AE34*W34-$AE$33*W$33</f>
        <v>-30.586794059399381</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38</v>
      </c>
      <c r="D36" s="261" t="str">
        <f>"Scenario " &amp; A36</f>
        <v>Scenario B</v>
      </c>
      <c r="E36" s="272" t="s">
        <v>2</v>
      </c>
      <c r="F36" s="262">
        <f>IF($C36="","",VLOOKUP($C36+$F$11*1000,DSS_Calc!$A:$JV,F$30,FALSE))</f>
        <v>2250</v>
      </c>
      <c r="G36" s="262" t="str">
        <f>IF($C36="","",VLOOKUP($C36+$F$11*1000,DSS_Calc!$A:$JV,G$30,FALSE))</f>
        <v>0/0/0.9/3.9</v>
      </c>
      <c r="H36" s="262">
        <f>IF($C36="","",VLOOKUP($C36+$F$11*1000,DSS_Calc!$A:$JV,H$30,FALSE))</f>
        <v>0</v>
      </c>
      <c r="I36" s="262">
        <f>IF($C36="","",VLOOKUP($C36+$F$11*1000,DSS_Calc!$A:$JV,I$30,FALSE))</f>
        <v>0</v>
      </c>
      <c r="J36" s="262">
        <f>IF($C36="","",VLOOKUP($C36+$F$11*1000,DSS_Calc!$A:$JV,J$30,FALSE))</f>
        <v>5482</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2999.9999999999995</v>
      </c>
      <c r="R36" s="262">
        <f>IF($C36="","",VLOOKUP($C36+$F$11*1000,DSS_Calc!$A:$JV,R$30,FALSE)*IF(V36=0,0,1))</f>
        <v>3235.2568656145404</v>
      </c>
      <c r="S36" s="262">
        <f>IF($C36="","",VLOOKUP($C36+$F$11*1000,DSS_Calc!$A:$JV,S$30,FALSE)*IF(W36=0,0,1))</f>
        <v>6598.7109265464014</v>
      </c>
      <c r="T36" s="294" t="s">
        <v>2</v>
      </c>
      <c r="U36" s="263">
        <f>IF($C36="","",VLOOKUP($C36+$F$11*1000,DSS_Calc!$A:$JV,U$30,FALSE))</f>
        <v>0.21465229554705553</v>
      </c>
      <c r="V36" s="263">
        <f>IF($C36="","",VLOOKUP($C36+$F$11*1000,DSS_Calc!$A:$JV,V$30,FALSE))</f>
        <v>0.14151599089649827</v>
      </c>
      <c r="W36" s="263">
        <f>IF($C36="","",VLOOKUP($C36+$F$11*1000,DSS_Calc!$A:$JV,W$30,FALSE))</f>
        <v>0.64383171355644619</v>
      </c>
      <c r="X36" s="294" t="s">
        <v>2</v>
      </c>
      <c r="Y36" s="262">
        <f>IF(U36=0,0,U36*Q36)</f>
        <v>643.95688664116653</v>
      </c>
      <c r="Z36" s="262">
        <f>IF(V36=0,0,V36*R36)</f>
        <v>457.84058114214082</v>
      </c>
      <c r="AA36" s="262">
        <f>IF(W36=0,0,W36*S36)</f>
        <v>4248.4593631020143</v>
      </c>
      <c r="AB36" s="294" t="s">
        <v>2</v>
      </c>
      <c r="AC36" s="262">
        <f>SUM(Y36:AA36)</f>
        <v>5350.2568308853215</v>
      </c>
      <c r="AD36" s="264">
        <f>AC36*AE36/1000/1000</f>
        <v>5.9118255715442789</v>
      </c>
      <c r="AE36" s="265">
        <f>IF($C36="","",VLOOKUP($C36+$F$11*1000,DSS_Calc!$A:$JV,AE$30,FALSE))</f>
        <v>1104.9610810115134</v>
      </c>
      <c r="AF36" s="264">
        <f>IF($C36="","",VLOOKUP($C36+$F$11*1000,DSS_Calc!$A:$JV,AF$30,FALSE))</f>
        <v>0.61683697561224826</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0/0/0.9/3.9</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2.427344518232879</v>
      </c>
      <c r="B37" s="402"/>
      <c r="C37" s="564">
        <f>AI37/(AC37/(VLOOKUP($C36+$F$11*1000,DSS_Calc!$A:$JV,DSS_Calc!BX$92,FALSE)-$AC$33))</f>
        <v>-151.29112389750159</v>
      </c>
      <c r="D37" s="266" t="s">
        <v>141</v>
      </c>
      <c r="F37" s="267">
        <f>ROUND(F36-F$33,0)</f>
        <v>1000</v>
      </c>
      <c r="G37" s="267"/>
      <c r="H37" s="267"/>
      <c r="I37" s="267">
        <f t="shared" ref="I37" si="4">ROUND(I36-I$33,0)</f>
        <v>0</v>
      </c>
      <c r="J37" s="267">
        <f t="shared" ref="J37" si="5">ROUND(J36-J$33,0)</f>
        <v>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999.99999999999977</v>
      </c>
      <c r="R37" s="267">
        <f t="shared" si="11"/>
        <v>331.70757397478837</v>
      </c>
      <c r="S37" s="267">
        <f t="shared" si="11"/>
        <v>0</v>
      </c>
      <c r="T37" s="294"/>
      <c r="U37" s="268">
        <f>U36-U$33</f>
        <v>5.7413192230000631E-2</v>
      </c>
      <c r="V37" s="268">
        <f>V36-V$33</f>
        <v>4.7754777582878494E-4</v>
      </c>
      <c r="W37" s="268">
        <f>W36-W$33</f>
        <v>-5.7890740005829389E-2</v>
      </c>
      <c r="X37" s="294"/>
      <c r="Y37" s="267">
        <f>Y36-Y$33</f>
        <v>329.47868000705677</v>
      </c>
      <c r="Z37" s="267">
        <f>Z36-Z$33</f>
        <v>48.328509525147467</v>
      </c>
      <c r="AA37" s="267">
        <f>AA36-AA$33</f>
        <v>-382.0042586223235</v>
      </c>
      <c r="AB37" s="294"/>
      <c r="AC37" s="267">
        <f>IFERROR(AC36-AC$33,NA())</f>
        <v>-4.19706909011893</v>
      </c>
      <c r="AD37" s="269">
        <f>AD36-AD$33</f>
        <v>0.24622716566924563</v>
      </c>
      <c r="AE37" s="270">
        <f t="shared" si="3"/>
        <v>46.851605850840087</v>
      </c>
      <c r="AF37" s="269">
        <f t="shared" si="3"/>
        <v>3.0595547500443576E-2</v>
      </c>
      <c r="AG37" s="301">
        <f>AF37/AF$33</f>
        <v>5.218933025423881E-2</v>
      </c>
      <c r="AH37" s="268"/>
      <c r="AI37" s="301">
        <f>IFERROR(AE37/$AE$33,NA())</f>
        <v>4.4278599663542091E-2</v>
      </c>
      <c r="AJ37" s="289"/>
      <c r="AK37" s="749"/>
      <c r="AL37" s="750">
        <f>$AE36*U36-$AE$33*U$33</f>
        <v>70.806247443733497</v>
      </c>
      <c r="AM37" s="750">
        <f>$AE36*V36-$AE$33*V$33</f>
        <v>7.1355492535201677</v>
      </c>
      <c r="AN37" s="750">
        <f>$AE36*W36-$AE$33*W$33</f>
        <v>-31.09019084641352</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33</v>
      </c>
      <c r="D38" s="396" t="str">
        <f>"Scenario " &amp; A38</f>
        <v>Scenario C</v>
      </c>
      <c r="E38" s="272" t="s">
        <v>2</v>
      </c>
      <c r="F38" s="397">
        <f>IF($C38="","",VLOOKUP($C38+$F$11*1000,DSS_Calc!$A:$JV,F$30,FALSE))</f>
        <v>2000</v>
      </c>
      <c r="G38" s="397" t="str">
        <f>IF($C38="","",VLOOKUP($C38+$F$11*1000,DSS_Calc!$A:$JV,G$30,FALSE))</f>
        <v>0/0.9/1.9/3.9</v>
      </c>
      <c r="H38" s="397">
        <f>IF($C38="","",VLOOKUP($C38+$F$11*1000,DSS_Calc!$A:$JV,H$30,FALSE))</f>
        <v>0</v>
      </c>
      <c r="I38" s="397">
        <f>IF($C38="","",VLOOKUP($C38+$F$11*1000,DSS_Calc!$A:$JV,I$30,FALSE))</f>
        <v>750</v>
      </c>
      <c r="J38" s="397">
        <f>IF($C38="","",VLOOKUP($C38+$F$11*1000,DSS_Calc!$A:$JV,J$30,FALSE))</f>
        <v>5482</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2750.0000000000005</v>
      </c>
      <c r="R38" s="397">
        <f>IF($C38="","",VLOOKUP($C38+$F$11*1000,DSS_Calc!$A:$JV,R$30,FALSE)*IF(V38=0,0,1))</f>
        <v>3653.5492916397525</v>
      </c>
      <c r="S38" s="397">
        <f>IF($C38="","",VLOOKUP($C38+$F$11*1000,DSS_Calc!$A:$JV,S$30,FALSE)*IF(W38=0,0,1))</f>
        <v>6598.7109265464014</v>
      </c>
      <c r="T38" s="294" t="s">
        <v>2</v>
      </c>
      <c r="U38" s="398">
        <f>IF($C38="","",VLOOKUP($C38+$F$11*1000,DSS_Calc!$A:$JV,U$30,FALSE))</f>
        <v>0.19671312561123208</v>
      </c>
      <c r="V38" s="398">
        <f>IF($C38="","",VLOOKUP($C38+$F$11*1000,DSS_Calc!$A:$JV,V$30,FALSE))</f>
        <v>0.15217566464513704</v>
      </c>
      <c r="W38" s="398">
        <f>IF($C38="","",VLOOKUP($C38+$F$11*1000,DSS_Calc!$A:$JV,W$30,FALSE))</f>
        <v>0.65111120974363079</v>
      </c>
      <c r="X38" s="294" t="s">
        <v>2</v>
      </c>
      <c r="Y38" s="397">
        <f>IF(U38=0,0,U38*Q38)</f>
        <v>540.96109543088835</v>
      </c>
      <c r="Z38" s="397">
        <f>IF(V38=0,0,V38*R38)</f>
        <v>555.98129176904899</v>
      </c>
      <c r="AA38" s="397">
        <f>IF(W38=0,0,W38*S38)</f>
        <v>4296.4946541321424</v>
      </c>
      <c r="AB38" s="294" t="s">
        <v>2</v>
      </c>
      <c r="AC38" s="397">
        <f>SUM(Y38:AA38)</f>
        <v>5393.4370413320794</v>
      </c>
      <c r="AD38" s="399">
        <f>AC38*AE38/1000/1000</f>
        <v>5.9655536542008756</v>
      </c>
      <c r="AE38" s="400">
        <f>IF($C38="","",VLOOKUP($C38+$F$11*1000,DSS_Calc!$A:$JV,AE$30,FALSE))</f>
        <v>1106.076442254621</v>
      </c>
      <c r="AF38" s="399">
        <f>IF($C38="","",VLOOKUP($C38+$F$11*1000,DSS_Calc!$A:$JV,AF$30,FALSE))</f>
        <v>0.56969900486055258</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+750 APR Cash</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f>AI39/((Q39*U38+R39*V38+S39*W38)/(VLOOKUP($C38+$F$11*1000,DSS_Calc!$A:$JV,DSS_Calc!BX$92,FALSE)-$AC$33))</f>
        <v>2.4844431675942982</v>
      </c>
      <c r="B39" s="402"/>
      <c r="C39" s="564">
        <f>AI39/(AC39/(VLOOKUP($C38+$F$11*1000,DSS_Calc!$A:$JV,DSS_Calc!BX$92,FALSE)-$AC$33))</f>
        <v>16.676331249310525</v>
      </c>
      <c r="D39" s="403" t="s">
        <v>141</v>
      </c>
      <c r="F39" s="404">
        <f>ROUND(F38-F$33,0)</f>
        <v>750</v>
      </c>
      <c r="G39" s="404"/>
      <c r="H39" s="404"/>
      <c r="I39" s="404">
        <f t="shared" ref="I39" si="12">ROUND(I38-I$33,0)</f>
        <v>750</v>
      </c>
      <c r="J39" s="404">
        <f t="shared" ref="J39" si="13">ROUND(J38-J$33,0)</f>
        <v>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750.00000000000068</v>
      </c>
      <c r="R39" s="404">
        <f t="shared" si="19"/>
        <v>750.00000000000045</v>
      </c>
      <c r="S39" s="404">
        <f t="shared" si="19"/>
        <v>0</v>
      </c>
      <c r="T39" s="294"/>
      <c r="U39" s="405">
        <f>U38-U$33</f>
        <v>3.947402229417718E-2</v>
      </c>
      <c r="V39" s="405">
        <f>V38-V$33</f>
        <v>1.1137221524467555E-2</v>
      </c>
      <c r="W39" s="405">
        <f>W38-W$33</f>
        <v>-5.0611243818644791E-2</v>
      </c>
      <c r="X39" s="294"/>
      <c r="Y39" s="404">
        <f>Y38-Y$33</f>
        <v>226.48288879677858</v>
      </c>
      <c r="Z39" s="404">
        <f>Z38-Z$33</f>
        <v>146.46922015205564</v>
      </c>
      <c r="AA39" s="404">
        <f>AA38-AA$33</f>
        <v>-333.96896759219544</v>
      </c>
      <c r="AB39" s="294"/>
      <c r="AC39" s="404">
        <f>IFERROR(AC38-AC$33,NA())</f>
        <v>38.983141356638953</v>
      </c>
      <c r="AD39" s="406">
        <f>AD38-AD$33</f>
        <v>0.29995524832584231</v>
      </c>
      <c r="AE39" s="407">
        <f t="shared" si="3"/>
        <v>47.966967093947687</v>
      </c>
      <c r="AF39" s="406">
        <f t="shared" si="3"/>
        <v>-1.6542423251252103E-2</v>
      </c>
      <c r="AG39" s="408">
        <f>AF39/AF$33</f>
        <v>-2.821776568150899E-2</v>
      </c>
      <c r="AH39" s="405"/>
      <c r="AI39" s="408">
        <f>IFERROR(AE39/$AE$33,NA())</f>
        <v>4.5332707267047134E-2</v>
      </c>
      <c r="AJ39" s="289"/>
      <c r="AK39" s="749"/>
      <c r="AL39" s="750">
        <f>$AE38*U38-$AE$33*U$33</f>
        <v>51.203569035314104</v>
      </c>
      <c r="AM39" s="750">
        <f>$AE38*V38-$AE$33*V$33</f>
        <v>19.083804720535426</v>
      </c>
      <c r="AN39" s="750">
        <f>$AE38*W38-$AE$33*W$33</f>
        <v>-22.32040666190187</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37</v>
      </c>
      <c r="D40" s="261" t="str">
        <f>"Scenario " &amp; A40</f>
        <v>Scenario D</v>
      </c>
      <c r="E40" s="272" t="s">
        <v>2</v>
      </c>
      <c r="F40" s="262">
        <f>IF($C40="","",VLOOKUP($C40+$F$11*1000,DSS_Calc!$A:$JV,F$30,FALSE))</f>
        <v>2000</v>
      </c>
      <c r="G40" s="262" t="str">
        <f>IF($C40="","",VLOOKUP($C40+$F$11*1000,DSS_Calc!$A:$JV,G$30,FALSE))</f>
        <v>0/0/0.9/3.9</v>
      </c>
      <c r="H40" s="262">
        <f>IF($C40="","",VLOOKUP($C40+$F$11*1000,DSS_Calc!$A:$JV,H$30,FALSE))</f>
        <v>0</v>
      </c>
      <c r="I40" s="262">
        <f>IF($C40="","",VLOOKUP($C40+$F$11*1000,DSS_Calc!$A:$JV,I$30,FALSE))</f>
        <v>0</v>
      </c>
      <c r="J40" s="262">
        <f>IF($C40="","",VLOOKUP($C40+$F$11*1000,DSS_Calc!$A:$JV,J$30,FALSE))</f>
        <v>5482</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2750.0000000000005</v>
      </c>
      <c r="R40" s="262">
        <f>IF($C40="","",VLOOKUP($C40+$F$11*1000,DSS_Calc!$A:$JV,R$30,FALSE)*IF(V40=0,0,1))</f>
        <v>3235.2568656145404</v>
      </c>
      <c r="S40" s="262">
        <f>IF($C40="","",VLOOKUP($C40+$F$11*1000,DSS_Calc!$A:$JV,S$30,FALSE)*IF(W40=0,0,1))</f>
        <v>6598.7109265464014</v>
      </c>
      <c r="T40" s="294" t="s">
        <v>2</v>
      </c>
      <c r="U40" s="263">
        <f>IF($C40="","",VLOOKUP($C40+$F$11*1000,DSS_Calc!$A:$JV,U$30,FALSE))</f>
        <v>0.19883987549306392</v>
      </c>
      <c r="V40" s="263">
        <f>IF($C40="","",VLOOKUP($C40+$F$11*1000,DSS_Calc!$A:$JV,V$30,FALSE))</f>
        <v>0.14445587129049053</v>
      </c>
      <c r="W40" s="263">
        <f>IF($C40="","",VLOOKUP($C40+$F$11*1000,DSS_Calc!$A:$JV,W$30,FALSE))</f>
        <v>0.65670425321644565</v>
      </c>
      <c r="X40" s="294" t="s">
        <v>2</v>
      </c>
      <c r="Y40" s="262">
        <f>IF(U40=0,0,U40*Q40)</f>
        <v>546.80965760592585</v>
      </c>
      <c r="Z40" s="262">
        <f>IF(V40=0,0,V40*R40)</f>
        <v>467.35184937088985</v>
      </c>
      <c r="AA40" s="262">
        <f>IF(W40=0,0,W40*S40)</f>
        <v>4333.401531208855</v>
      </c>
      <c r="AB40" s="294" t="s">
        <v>2</v>
      </c>
      <c r="AC40" s="262">
        <f>SUM(Y40:AA40)</f>
        <v>5347.5630381856708</v>
      </c>
      <c r="AD40" s="264">
        <f>AC40*AE40/1000/1000</f>
        <v>5.8568544322422973</v>
      </c>
      <c r="AE40" s="265">
        <f>IF($C40="","",VLOOKUP($C40+$F$11*1000,DSS_Calc!$A:$JV,AE$30,FALSE))</f>
        <v>1095.2380346748414</v>
      </c>
      <c r="AF40" s="264">
        <f>IF($C40="","",VLOOKUP($C40+$F$11*1000,DSS_Calc!$A:$JV,AF$30,FALSE))</f>
        <v>0.61435949563400238</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0/0/0.9/3.9</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f>AI41/((Q41*U40+R41*V40+S41*W40)/(VLOOKUP($C40+$F$11*1000,DSS_Calc!$A:$JV,DSS_Calc!BX$92,FALSE)-$AC$33))</f>
        <v>2.5537203087372857</v>
      </c>
      <c r="B41" s="402"/>
      <c r="C41" s="564">
        <f>AI41/(AC41/(VLOOKUP($C40+$F$11*1000,DSS_Calc!$A:$JV,DSS_Calc!BX$92,FALSE)-$AC$33))</f>
        <v>-73.024677437821637</v>
      </c>
      <c r="D41" s="266" t="s">
        <v>141</v>
      </c>
      <c r="F41" s="267">
        <f>ROUND(F40-F$33,0)</f>
        <v>750</v>
      </c>
      <c r="G41" s="267"/>
      <c r="H41" s="267"/>
      <c r="I41" s="267">
        <f t="shared" ref="I41" si="20">ROUND(I40-I$33,0)</f>
        <v>0</v>
      </c>
      <c r="J41" s="267">
        <f t="shared" ref="J41" si="21">ROUND(J40-J$33,0)</f>
        <v>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750.00000000000068</v>
      </c>
      <c r="R41" s="267">
        <f t="shared" si="27"/>
        <v>331.70757397478837</v>
      </c>
      <c r="S41" s="267">
        <f t="shared" si="27"/>
        <v>0</v>
      </c>
      <c r="T41" s="294"/>
      <c r="U41" s="268">
        <f>U40-U$33</f>
        <v>4.1600772176009021E-2</v>
      </c>
      <c r="V41" s="268">
        <f>V40-V$33</f>
        <v>3.4174281698210462E-3</v>
      </c>
      <c r="W41" s="268">
        <f>W40-W$33</f>
        <v>-4.5018200345829928E-2</v>
      </c>
      <c r="X41" s="294"/>
      <c r="Y41" s="267">
        <f>Y40-Y$33</f>
        <v>232.33145097181608</v>
      </c>
      <c r="Z41" s="267">
        <f>Z40-Z$33</f>
        <v>57.839777753896499</v>
      </c>
      <c r="AA41" s="267">
        <f>AA40-AA$33</f>
        <v>-297.06209051548285</v>
      </c>
      <c r="AB41" s="294"/>
      <c r="AC41" s="267">
        <f>IFERROR(AC40-AC$33,NA())</f>
        <v>-6.8908617897695876</v>
      </c>
      <c r="AD41" s="269">
        <f>AD40-AD$33</f>
        <v>0.19125602636726402</v>
      </c>
      <c r="AE41" s="270">
        <f t="shared" si="3"/>
        <v>37.128559514168046</v>
      </c>
      <c r="AF41" s="269">
        <f t="shared" si="3"/>
        <v>2.8118067522197698E-2</v>
      </c>
      <c r="AG41" s="301">
        <f>AF41/AF$33</f>
        <v>4.7963289822013699E-2</v>
      </c>
      <c r="AH41" s="268"/>
      <c r="AI41" s="301">
        <f>IFERROR(AE41/$AE$33,NA())</f>
        <v>3.5089525598029539E-2</v>
      </c>
      <c r="AJ41" s="289"/>
      <c r="AK41" s="749"/>
      <c r="AL41" s="750">
        <f>$AE40*U40-$AE$33*U$33</f>
        <v>51.400809364469637</v>
      </c>
      <c r="AM41" s="750">
        <f>$AE40*V40-$AE$33*V$33</f>
        <v>8.9794515415486273</v>
      </c>
      <c r="AN41" s="750">
        <f>$AE40*W40-$AE$33*W$33</f>
        <v>-23.251701391850133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66</v>
      </c>
      <c r="D42" s="396" t="str">
        <f>"Scenario " &amp; A42</f>
        <v>Scenario E</v>
      </c>
      <c r="E42" s="272" t="s">
        <v>2</v>
      </c>
      <c r="F42" s="397">
        <f>IF($C42="","",VLOOKUP($C42+$F$11*1000,DSS_Calc!$A:$JV,F$30,FALSE))</f>
        <v>1750</v>
      </c>
      <c r="G42" s="397" t="str">
        <f>IF($C42="","",VLOOKUP($C42+$F$11*1000,DSS_Calc!$A:$JV,G$30,FALSE))</f>
        <v>0.9/1.9/2.9/3.9</v>
      </c>
      <c r="H42" s="397">
        <f>IF($C42="","",VLOOKUP($C42+$F$11*1000,DSS_Calc!$A:$JV,H$30,FALSE))</f>
        <v>0</v>
      </c>
      <c r="I42" s="397">
        <f>IF($C42="","",VLOOKUP($C42+$F$11*1000,DSS_Calc!$A:$JV,I$30,FALSE))</f>
        <v>0</v>
      </c>
      <c r="J42" s="397">
        <f>IF($C42="","",VLOOKUP($C42+$F$11*1000,DSS_Calc!$A:$JV,J$30,FALSE))</f>
        <v>5482</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2499.9999999999995</v>
      </c>
      <c r="R42" s="397">
        <f>IF($C42="","",VLOOKUP($C42+$F$11*1000,DSS_Calc!$A:$JV,R$30,FALSE)*IF(V42=0,0,1))</f>
        <v>2488.946209565207</v>
      </c>
      <c r="S42" s="397">
        <f>IF($C42="","",VLOOKUP($C42+$F$11*1000,DSS_Calc!$A:$JV,S$30,FALSE)*IF(W42=0,0,1))</f>
        <v>6598.7109265464014</v>
      </c>
      <c r="T42" s="294" t="s">
        <v>2</v>
      </c>
      <c r="U42" s="398">
        <f>IF($C42="","",VLOOKUP($C42+$F$11*1000,DSS_Calc!$A:$JV,U$30,FALSE))</f>
        <v>0.18944398807929372</v>
      </c>
      <c r="V42" s="398">
        <f>IF($C42="","",VLOOKUP($C42+$F$11*1000,DSS_Calc!$A:$JV,V$30,FALSE))</f>
        <v>0.12217152197189055</v>
      </c>
      <c r="W42" s="398">
        <f>IF($C42="","",VLOOKUP($C42+$F$11*1000,DSS_Calc!$A:$JV,W$30,FALSE))</f>
        <v>0.68838448994881574</v>
      </c>
      <c r="X42" s="294" t="s">
        <v>2</v>
      </c>
      <c r="Y42" s="397">
        <f>IF(U42=0,0,U42*Q42)</f>
        <v>473.60997019823424</v>
      </c>
      <c r="Z42" s="397">
        <f>IF(V42=0,0,V42*R42)</f>
        <v>304.07834652874936</v>
      </c>
      <c r="AA42" s="397">
        <f>IF(W42=0,0,W42*S42)</f>
        <v>4542.450255490322</v>
      </c>
      <c r="AB42" s="294" t="s">
        <v>2</v>
      </c>
      <c r="AC42" s="397">
        <f>SUM(Y42:AA42)</f>
        <v>5320.1385722173054</v>
      </c>
      <c r="AD42" s="399">
        <f>AC42*AE42/1000/1000</f>
        <v>5.645958545162638</v>
      </c>
      <c r="AE42" s="400">
        <f>IF($C42="","",VLOOKUP($C42+$F$11*1000,DSS_Calc!$A:$JV,AE$30,FALSE))</f>
        <v>1061.2427606015417</v>
      </c>
      <c r="AF42" s="399">
        <f>IF($C42="","",VLOOKUP($C42+$F$11*1000,DSS_Calc!$A:$JV,AF$30,FALSE))</f>
        <v>0.62439430585157141</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0.9/1.9/2.9/3.9</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0.96360456951216322</v>
      </c>
      <c r="B43" s="402"/>
      <c r="C43" s="564">
        <f>AI43/(AC43/(VLOOKUP($C42+$F$11*1000,DSS_Calc!$A:$JV,DSS_Calc!BX$92,FALSE)-$AC$33))</f>
        <v>-1.23750481066416</v>
      </c>
      <c r="D43" s="403" t="s">
        <v>141</v>
      </c>
      <c r="F43" s="404">
        <f>ROUND(F42-F$33,0)</f>
        <v>500</v>
      </c>
      <c r="G43" s="404"/>
      <c r="H43" s="404"/>
      <c r="I43" s="404">
        <f t="shared" ref="I43" si="28">ROUND(I42-I$33,0)</f>
        <v>0</v>
      </c>
      <c r="J43" s="404">
        <f t="shared" ref="J43" si="29">ROUND(J42-J$33,0)</f>
        <v>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499.99999999999977</v>
      </c>
      <c r="R43" s="404">
        <f t="shared" si="35"/>
        <v>-414.603082074545</v>
      </c>
      <c r="S43" s="404">
        <f t="shared" si="35"/>
        <v>0</v>
      </c>
      <c r="T43" s="294"/>
      <c r="U43" s="405">
        <f>U42-U$33</f>
        <v>3.2204884762238817E-2</v>
      </c>
      <c r="V43" s="405">
        <f>V42-V$33</f>
        <v>-1.8866921148778942E-2</v>
      </c>
      <c r="W43" s="405">
        <f>W42-W$33</f>
        <v>-1.3337963613459847E-2</v>
      </c>
      <c r="X43" s="294"/>
      <c r="Y43" s="404">
        <f>Y42-Y$33</f>
        <v>159.13176356412447</v>
      </c>
      <c r="Z43" s="404">
        <f>Z42-Z$33</f>
        <v>-105.43372508824399</v>
      </c>
      <c r="AA43" s="404">
        <f>AA42-AA$33</f>
        <v>-88.013366234015848</v>
      </c>
      <c r="AB43" s="294"/>
      <c r="AC43" s="404">
        <f>IFERROR(AC42-AC$33,NA())</f>
        <v>-34.315327758135027</v>
      </c>
      <c r="AD43" s="406">
        <f>AD42-AD$33</f>
        <v>-1.9639860712395318E-2</v>
      </c>
      <c r="AE43" s="407">
        <f t="shared" si="3"/>
        <v>3.1332854408683488</v>
      </c>
      <c r="AF43" s="406">
        <f t="shared" si="3"/>
        <v>3.8152877739766722E-2</v>
      </c>
      <c r="AG43" s="408">
        <f>AF43/AF$33</f>
        <v>6.5080487168317991E-2</v>
      </c>
      <c r="AH43" s="405"/>
      <c r="AI43" s="408">
        <f>IFERROR(AE43/$AE$33,NA())</f>
        <v>2.9612110225102758E-3</v>
      </c>
      <c r="AJ43" s="289"/>
      <c r="AK43" s="751"/>
      <c r="AL43" s="750">
        <f>$AE42*U42-$AE$33*U$33</f>
        <v>34.669875803091372</v>
      </c>
      <c r="AM43" s="750">
        <f>$AE42*V42-$AE$33*V$33</f>
        <v>-19.580469783549034</v>
      </c>
      <c r="AN43" s="750">
        <f>$AE42*W42-$AE$33*W$33</f>
        <v>-11.956120578674017</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77</v>
      </c>
      <c r="D44" s="261" t="str">
        <f>"Scenario " &amp; A44</f>
        <v>Scenario F</v>
      </c>
      <c r="E44" s="272" t="s">
        <v>2</v>
      </c>
      <c r="F44" s="262">
        <f>IF($C44="","",VLOOKUP($C44+$F$11*1000,DSS_Calc!$A:$JV,F$30,FALSE))</f>
        <v>2250</v>
      </c>
      <c r="G44" s="262" t="str">
        <f>IF($C44="","",VLOOKUP($C44+$F$11*1000,DSS_Calc!$A:$JV,G$30,FALSE))</f>
        <v>0/1.8/2.8/3.9</v>
      </c>
      <c r="H44" s="262">
        <f>IF($C44="","",VLOOKUP($C44+$F$11*1000,DSS_Calc!$A:$JV,H$30,FALSE))</f>
        <v>0</v>
      </c>
      <c r="I44" s="262">
        <f>IF($C44="","",VLOOKUP($C44+$F$11*1000,DSS_Calc!$A:$JV,I$30,FALSE))</f>
        <v>2000</v>
      </c>
      <c r="J44" s="262">
        <f>IF($C44="","",VLOOKUP($C44+$F$11*1000,DSS_Calc!$A:$JV,J$30,FALSE))</f>
        <v>5482</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3000</v>
      </c>
      <c r="R44" s="262">
        <f>IF($C44="","",VLOOKUP($C44+$F$11*1000,DSS_Calc!$A:$JV,R$30,FALSE)*IF(V44=0,0,1))</f>
        <v>4566.2227830033162</v>
      </c>
      <c r="S44" s="262">
        <f>IF($C44="","",VLOOKUP($C44+$F$11*1000,DSS_Calc!$A:$JV,S$30,FALSE)*IF(W44=0,0,1))</f>
        <v>6598.7109265464014</v>
      </c>
      <c r="T44" s="294" t="s">
        <v>2</v>
      </c>
      <c r="U44" s="263">
        <f>IF($C44="","",VLOOKUP($C44+$F$11*1000,DSS_Calc!$A:$JV,U$30,FALSE))</f>
        <v>0.19383008091318601</v>
      </c>
      <c r="V44" s="263">
        <f>IF($C44="","",VLOOKUP($C44+$F$11*1000,DSS_Calc!$A:$JV,V$30,FALSE))</f>
        <v>0.18938229916983532</v>
      </c>
      <c r="W44" s="263">
        <f>IF($C44="","",VLOOKUP($C44+$F$11*1000,DSS_Calc!$A:$JV,W$30,FALSE))</f>
        <v>0.61678761991697872</v>
      </c>
      <c r="X44" s="294" t="s">
        <v>2</v>
      </c>
      <c r="Y44" s="262">
        <f>IF(U44=0,0,U44*Q44)</f>
        <v>581.49024273955808</v>
      </c>
      <c r="Z44" s="262">
        <f>IF(V44=0,0,V44*R44)</f>
        <v>864.76176916685199</v>
      </c>
      <c r="AA44" s="262">
        <f>IF(W44=0,0,W44*S44)</f>
        <v>4070.0032069047165</v>
      </c>
      <c r="AB44" s="294" t="s">
        <v>2</v>
      </c>
      <c r="AC44" s="262">
        <f>SUM(Y44:AA44)</f>
        <v>5516.2552188111267</v>
      </c>
      <c r="AD44" s="264">
        <f>AC44*AE44/1000/1000</f>
        <v>6.3258286801923909</v>
      </c>
      <c r="AE44" s="265">
        <f>IF($C44="","",VLOOKUP($C44+$F$11*1000,DSS_Calc!$A:$JV,AE$30,FALSE))</f>
        <v>1146.7614222453878</v>
      </c>
      <c r="AF44" s="264">
        <f>IF($C44="","",VLOOKUP($C44+$F$11*1000,DSS_Calc!$A:$JV,AF$30,FALSE))</f>
        <v>0.44981118314448326</v>
      </c>
      <c r="AG44" s="263"/>
      <c r="AH44" s="263"/>
      <c r="AI44" s="300"/>
      <c r="AJ44" s="289" t="s">
        <v>2</v>
      </c>
      <c r="AK44" s="563"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+1000 CC, 0/1.8/2.8/3.9, +2000 APR Cash</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f>AI45/((Q45*U44+R45*V44+S45*W44)/(VLOOKUP($C44+$F$11*1000,DSS_Calc!$A:$JV,DSS_Calc!BX$92,FALSE)-$AC$33))</f>
        <v>2.3618495435733524</v>
      </c>
      <c r="B45" s="402"/>
      <c r="C45" s="564">
        <f>AI45/(AC45/(VLOOKUP($C44+$F$11*1000,DSS_Calc!$A:$JV,DSS_Calc!BX$92,FALSE)-$AC$33))</f>
        <v>7.4257668243274582</v>
      </c>
      <c r="D45" s="266" t="s">
        <v>141</v>
      </c>
      <c r="F45" s="267">
        <f>ROUND(F44-F$33,0)</f>
        <v>1000</v>
      </c>
      <c r="G45" s="267"/>
      <c r="H45" s="267"/>
      <c r="I45" s="267">
        <f t="shared" ref="I45" si="36">ROUND(I44-I$33,0)</f>
        <v>2000</v>
      </c>
      <c r="J45" s="267">
        <f t="shared" ref="J45" si="37">ROUND(J44-J$33,0)</f>
        <v>0</v>
      </c>
      <c r="K45" s="267">
        <f t="shared" ref="K45" si="38">ROUND(K44-K$33,0)</f>
        <v>0</v>
      </c>
      <c r="L45" s="267">
        <f t="shared" ref="L45" si="39">ROUND(L44-L$33,0)</f>
        <v>0</v>
      </c>
      <c r="M45" s="267">
        <f t="shared" ref="M45" si="40">ROUND(M44-M$33,0)</f>
        <v>0</v>
      </c>
      <c r="N45" s="267">
        <f t="shared" ref="N45" si="41">ROUND(N44-N$33,0)</f>
        <v>0</v>
      </c>
      <c r="O45" s="267">
        <f t="shared" ref="O45" si="42">ROUND(O44-O$33,0)</f>
        <v>0</v>
      </c>
      <c r="P45" s="294"/>
      <c r="Q45" s="267">
        <f t="shared" ref="Q45:S45" si="43">Q44-Q$33</f>
        <v>1000.0000000000002</v>
      </c>
      <c r="R45" s="267">
        <f t="shared" si="43"/>
        <v>1662.6734913635642</v>
      </c>
      <c r="S45" s="267">
        <f t="shared" si="43"/>
        <v>0</v>
      </c>
      <c r="T45" s="294"/>
      <c r="U45" s="268">
        <f>U44-U$33</f>
        <v>3.6590977596131113E-2</v>
      </c>
      <c r="V45" s="268">
        <f>V44-V$33</f>
        <v>4.8343856049165829E-2</v>
      </c>
      <c r="W45" s="268">
        <f>W44-W$33</f>
        <v>-8.4934833645296859E-2</v>
      </c>
      <c r="X45" s="294"/>
      <c r="Y45" s="267">
        <f>Y44-Y$33</f>
        <v>267.01203610544832</v>
      </c>
      <c r="Z45" s="267">
        <f>Z44-Z$33</f>
        <v>455.24969754985864</v>
      </c>
      <c r="AA45" s="267">
        <f>AA44-AA$33</f>
        <v>-560.46041481962129</v>
      </c>
      <c r="AB45" s="294"/>
      <c r="AC45" s="267">
        <f>IFERROR(AC44-AC$33,NA())</f>
        <v>161.80131883568629</v>
      </c>
      <c r="AD45" s="269">
        <f>AD44-AD$33</f>
        <v>0.66023027431735759</v>
      </c>
      <c r="AE45" s="270">
        <f t="shared" si="3"/>
        <v>88.651947084714493</v>
      </c>
      <c r="AF45" s="269">
        <f t="shared" si="3"/>
        <v>-0.13643024496732142</v>
      </c>
      <c r="AG45" s="268">
        <f>AF45/AF$33</f>
        <v>-0.23272023849754647</v>
      </c>
      <c r="AH45" s="268"/>
      <c r="AI45" s="301">
        <f>IFERROR(AE45/$AE$33,NA())</f>
        <v>8.3783341105846107E-2</v>
      </c>
      <c r="AJ45" s="289"/>
      <c r="AK45" s="751"/>
      <c r="AL45" s="750">
        <f>$AE44*U44-$AE$33*U$33</f>
        <v>55.900674176399946</v>
      </c>
      <c r="AM45" s="750">
        <f>$AE44*V44-$AE$33*V$33</f>
        <v>67.942201716211827</v>
      </c>
      <c r="AN45" s="750">
        <f>$AE44*W44-$AE$33*W$33</f>
        <v>-35.190928807897194</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80</v>
      </c>
      <c r="D46" s="396" t="str">
        <f>"Scenario " &amp; A46</f>
        <v>Scenario G</v>
      </c>
      <c r="E46" s="272" t="s">
        <v>2</v>
      </c>
      <c r="F46" s="397">
        <f>IF($C46="","",VLOOKUP($C46+$F$11*1000,DSS_Calc!$A:$JV,F$30,FALSE))</f>
        <v>2250</v>
      </c>
      <c r="G46" s="397" t="str">
        <f>IF($C46="","",VLOOKUP($C46+$F$11*1000,DSS_Calc!$A:$JV,G$30,FALSE))</f>
        <v>0/2.8/3.8/3.9</v>
      </c>
      <c r="H46" s="397">
        <f>IF($C46="","",VLOOKUP($C46+$F$11*1000,DSS_Calc!$A:$JV,H$30,FALSE))</f>
        <v>0</v>
      </c>
      <c r="I46" s="397">
        <f>IF($C46="","",VLOOKUP($C46+$F$11*1000,DSS_Calc!$A:$JV,I$30,FALSE))</f>
        <v>2000</v>
      </c>
      <c r="J46" s="397">
        <f>IF($C46="","",VLOOKUP($C46+$F$11*1000,DSS_Calc!$A:$JV,J$30,FALSE))</f>
        <v>5482</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3000</v>
      </c>
      <c r="R46" s="397">
        <f>IF($C46="","",VLOOKUP($C46+$F$11*1000,DSS_Calc!$A:$JV,R$30,FALSE)*IF(V46=0,0,1))</f>
        <v>4369.0224656107775</v>
      </c>
      <c r="S46" s="397">
        <f>IF($C46="","",VLOOKUP($C46+$F$11*1000,DSS_Calc!$A:$JV,S$30,FALSE)*IF(W46=0,0,1))</f>
        <v>6598.7109265464014</v>
      </c>
      <c r="T46" s="294" t="s">
        <v>2</v>
      </c>
      <c r="U46" s="398">
        <f>IF($C46="","",VLOOKUP($C46+$F$11*1000,DSS_Calc!$A:$JV,U$30,FALSE))</f>
        <v>0.19553146528560364</v>
      </c>
      <c r="V46" s="398">
        <f>IF($C46="","",VLOOKUP($C46+$F$11*1000,DSS_Calc!$A:$JV,V$30,FALSE))</f>
        <v>0.18218180285764923</v>
      </c>
      <c r="W46" s="398">
        <f>IF($C46="","",VLOOKUP($C46+$F$11*1000,DSS_Calc!$A:$JV,W$30,FALSE))</f>
        <v>0.6222867318567471</v>
      </c>
      <c r="X46" s="294" t="s">
        <v>2</v>
      </c>
      <c r="Y46" s="397">
        <f>IF(U46=0,0,U46*Q46)</f>
        <v>586.59439585681093</v>
      </c>
      <c r="Z46" s="397">
        <f>IF(V46=0,0,V46*R46)</f>
        <v>795.9563895105432</v>
      </c>
      <c r="AA46" s="397">
        <f>IF(W46=0,0,W46*S46)</f>
        <v>4106.2902569479675</v>
      </c>
      <c r="AB46" s="294" t="s">
        <v>2</v>
      </c>
      <c r="AC46" s="397">
        <f>SUM(Y46:AA46)</f>
        <v>5488.8410423153218</v>
      </c>
      <c r="AD46" s="399">
        <f>AC46*AE46/1000/1000</f>
        <v>6.2539686328020965</v>
      </c>
      <c r="AE46" s="400">
        <f>IF($C46="","",VLOOKUP($C46+$F$11*1000,DSS_Calc!$A:$JV,AE$30,FALSE))</f>
        <v>1139.3969299872501</v>
      </c>
      <c r="AF46" s="399">
        <f>IF($C46="","",VLOOKUP($C46+$F$11*1000,DSS_Calc!$A:$JV,AF$30,FALSE))</f>
        <v>0.47815812802757157</v>
      </c>
      <c r="AG46" s="398"/>
      <c r="AH46" s="398"/>
      <c r="AI46" s="401"/>
      <c r="AJ46" s="289" t="s">
        <v>2</v>
      </c>
      <c r="AK46" s="563"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+1000 CC, 0/2.8/3.8/3.9, +2000 APR Cash</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f>AI47/((Q47*U46+R47*V46+S47*W46)/(VLOOKUP($C46+$F$11*1000,DSS_Calc!$A:$JV,DSS_Calc!BX$92,FALSE)-$AC$33))</f>
        <v>2.3819559161947899</v>
      </c>
      <c r="B47" s="402"/>
      <c r="C47" s="564">
        <f>AI47/(AC47/(VLOOKUP($C46+$F$11*1000,DSS_Calc!$A:$JV,DSS_Calc!BX$92,FALSE)-$AC$33))</f>
        <v>8.1978674718396878</v>
      </c>
      <c r="D47" s="403" t="s">
        <v>141</v>
      </c>
      <c r="F47" s="404">
        <f>ROUND(F46-F$33,0)</f>
        <v>1000</v>
      </c>
      <c r="G47" s="404"/>
      <c r="H47" s="404"/>
      <c r="I47" s="404">
        <f t="shared" ref="I47" si="44">ROUND(I46-I$33,0)</f>
        <v>2000</v>
      </c>
      <c r="J47" s="404">
        <f t="shared" ref="J47" si="45">ROUND(J46-J$33,0)</f>
        <v>0</v>
      </c>
      <c r="K47" s="404">
        <f t="shared" ref="K47" si="46">ROUND(K46-K$33,0)</f>
        <v>0</v>
      </c>
      <c r="L47" s="404">
        <f t="shared" ref="L47" si="47">ROUND(L46-L$33,0)</f>
        <v>0</v>
      </c>
      <c r="M47" s="404">
        <f t="shared" ref="M47" si="48">ROUND(M46-M$33,0)</f>
        <v>0</v>
      </c>
      <c r="N47" s="404">
        <f t="shared" ref="N47" si="49">ROUND(N46-N$33,0)</f>
        <v>0</v>
      </c>
      <c r="O47" s="404">
        <f t="shared" ref="O47" si="50">ROUND(O46-O$33,0)</f>
        <v>0</v>
      </c>
      <c r="P47" s="294"/>
      <c r="Q47" s="404">
        <f t="shared" ref="Q47:S47" si="51">Q46-Q$33</f>
        <v>1000.0000000000002</v>
      </c>
      <c r="R47" s="404">
        <f t="shared" si="51"/>
        <v>1465.4731739710255</v>
      </c>
      <c r="S47" s="404">
        <f t="shared" si="51"/>
        <v>0</v>
      </c>
      <c r="T47" s="294"/>
      <c r="U47" s="405">
        <f>U46-U$33</f>
        <v>3.8292361968548738E-2</v>
      </c>
      <c r="V47" s="405">
        <f>V46-V$33</f>
        <v>4.1143359736979745E-2</v>
      </c>
      <c r="W47" s="405">
        <f>W46-W$33</f>
        <v>-7.9435721705528484E-2</v>
      </c>
      <c r="X47" s="294"/>
      <c r="Y47" s="404">
        <f>Y46-Y$33</f>
        <v>272.11618922270117</v>
      </c>
      <c r="Z47" s="404">
        <f>Z46-Z$33</f>
        <v>386.44431789354985</v>
      </c>
      <c r="AA47" s="404">
        <f>AA46-AA$33</f>
        <v>-524.17336477637036</v>
      </c>
      <c r="AB47" s="294"/>
      <c r="AC47" s="404">
        <f>IFERROR(AC46-AC$33,NA())</f>
        <v>134.38714233988139</v>
      </c>
      <c r="AD47" s="406">
        <f>AD46-AD$33</f>
        <v>0.5883702269270632</v>
      </c>
      <c r="AE47" s="407">
        <f t="shared" si="3"/>
        <v>81.287454826576777</v>
      </c>
      <c r="AF47" s="406">
        <f t="shared" si="3"/>
        <v>-0.10808330008423311</v>
      </c>
      <c r="AG47" s="405">
        <f>AF47/AF$33</f>
        <v>-0.18436653382268314</v>
      </c>
      <c r="AH47" s="405"/>
      <c r="AI47" s="408">
        <f>IFERROR(AE47/$AE$33,NA())</f>
        <v>7.6823293557817654E-2</v>
      </c>
      <c r="AJ47" s="289"/>
      <c r="AK47" s="751"/>
      <c r="AL47" s="750">
        <f>$AE46*U46-$AE$33*U$33</f>
        <v>56.411766176781498</v>
      </c>
      <c r="AM47" s="750">
        <f>$AE46*V46-$AE$33*V$33</f>
        <v>58.343273847657912</v>
      </c>
      <c r="AN47" s="750">
        <f>$AE46*W46-$AE$33*W$33</f>
        <v>-33.467585197862604</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563"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 si="52">ROUND(I48-I$33,0)</f>
        <v>#VALUE!</v>
      </c>
      <c r="J49" s="267" t="e">
        <f t="shared" ref="J49" si="53">ROUND(J48-J$33,0)</f>
        <v>#VALUE!</v>
      </c>
      <c r="K49" s="267" t="e">
        <f t="shared" ref="K49" si="54">ROUND(K48-K$33,0)</f>
        <v>#VALUE!</v>
      </c>
      <c r="L49" s="267" t="e">
        <f t="shared" ref="L49" si="55">ROUND(L48-L$33,0)</f>
        <v>#VALUE!</v>
      </c>
      <c r="M49" s="267" t="e">
        <f t="shared" ref="M49" si="56">ROUND(M48-M$33,0)</f>
        <v>#VALUE!</v>
      </c>
      <c r="N49" s="267" t="e">
        <f t="shared" ref="N49" si="57">ROUND(N48-N$33,0)</f>
        <v>#VALUE!</v>
      </c>
      <c r="O49" s="267" t="e">
        <f t="shared" ref="O49" si="58">ROUND(O48-O$33,0)</f>
        <v>#VALUE!</v>
      </c>
      <c r="P49" s="294"/>
      <c r="Q49" s="267" t="e">
        <f t="shared" ref="Q49:S49" si="59">Q48-Q$33</f>
        <v>#VALUE!</v>
      </c>
      <c r="R49" s="267" t="e">
        <f t="shared" si="59"/>
        <v>#VALUE!</v>
      </c>
      <c r="S49" s="267" t="e">
        <f t="shared" si="59"/>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563"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 si="60">ROUND(I50-I$33,0)</f>
        <v>#VALUE!</v>
      </c>
      <c r="J51" s="404" t="e">
        <f t="shared" ref="J51" si="61">ROUND(J50-J$33,0)</f>
        <v>#VALUE!</v>
      </c>
      <c r="K51" s="404" t="e">
        <f t="shared" ref="K51" si="62">ROUND(K50-K$33,0)</f>
        <v>#VALUE!</v>
      </c>
      <c r="L51" s="404" t="e">
        <f t="shared" ref="L51" si="63">ROUND(L50-L$33,0)</f>
        <v>#VALUE!</v>
      </c>
      <c r="M51" s="404" t="e">
        <f t="shared" ref="M51" si="64">ROUND(M50-M$33,0)</f>
        <v>#VALUE!</v>
      </c>
      <c r="N51" s="404" t="e">
        <f t="shared" ref="N51" si="65">ROUND(N50-N$33,0)</f>
        <v>#VALUE!</v>
      </c>
      <c r="O51" s="404" t="e">
        <f t="shared" ref="O51" si="66">ROUND(O50-O$33,0)</f>
        <v>#VALUE!</v>
      </c>
      <c r="P51" s="294"/>
      <c r="Q51" s="404" t="e">
        <f t="shared" ref="Q51:S51" si="67">Q50-Q$33</f>
        <v>#VALUE!</v>
      </c>
      <c r="R51" s="404" t="e">
        <f t="shared" si="67"/>
        <v>#VALUE!</v>
      </c>
      <c r="S51" s="404" t="e">
        <f t="shared" si="67"/>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si="3"/>
        <v>#VALUE!</v>
      </c>
      <c r="AF51" s="406" t="e">
        <f t="shared" si="3"/>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563"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 si="68">ROUND(I52-I$33,0)</f>
        <v>#VALUE!</v>
      </c>
      <c r="J53" s="267" t="e">
        <f t="shared" ref="J53" si="69">ROUND(J52-J$33,0)</f>
        <v>#VALUE!</v>
      </c>
      <c r="K53" s="267" t="e">
        <f t="shared" ref="K53" si="70">ROUND(K52-K$33,0)</f>
        <v>#VALUE!</v>
      </c>
      <c r="L53" s="267" t="e">
        <f t="shared" ref="L53" si="71">ROUND(L52-L$33,0)</f>
        <v>#VALUE!</v>
      </c>
      <c r="M53" s="267" t="e">
        <f t="shared" ref="M53" si="72">ROUND(M52-M$33,0)</f>
        <v>#VALUE!</v>
      </c>
      <c r="N53" s="267" t="e">
        <f t="shared" ref="N53" si="73">ROUND(N52-N$33,0)</f>
        <v>#VALUE!</v>
      </c>
      <c r="O53" s="267" t="e">
        <f t="shared" ref="O53" si="74">ROUND(O52-O$33,0)</f>
        <v>#VALUE!</v>
      </c>
      <c r="P53" s="294"/>
      <c r="Q53" s="267" t="e">
        <f t="shared" ref="Q53:S53" si="75">Q52-Q$33</f>
        <v>#VALUE!</v>
      </c>
      <c r="R53" s="267" t="e">
        <f t="shared" si="75"/>
        <v>#VALUE!</v>
      </c>
      <c r="S53" s="267" t="e">
        <f t="shared" si="75"/>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3"/>
        <v>#VALUE!</v>
      </c>
      <c r="AF53" s="269" t="e">
        <f t="shared" si="3"/>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563"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 si="76">ROUND(I54-I$33,0)</f>
        <v>#VALUE!</v>
      </c>
      <c r="J55" s="404" t="e">
        <f t="shared" ref="J55" si="77">ROUND(J54-J$33,0)</f>
        <v>#VALUE!</v>
      </c>
      <c r="K55" s="404" t="e">
        <f t="shared" ref="K55" si="78">ROUND(K54-K$33,0)</f>
        <v>#VALUE!</v>
      </c>
      <c r="L55" s="404" t="e">
        <f t="shared" ref="L55" si="79">ROUND(L54-L$33,0)</f>
        <v>#VALUE!</v>
      </c>
      <c r="M55" s="404" t="e">
        <f t="shared" ref="M55" si="80">ROUND(M54-M$33,0)</f>
        <v>#VALUE!</v>
      </c>
      <c r="N55" s="404" t="e">
        <f t="shared" ref="N55" si="81">ROUND(N54-N$33,0)</f>
        <v>#VALUE!</v>
      </c>
      <c r="O55" s="404" t="e">
        <f t="shared" ref="O55" si="82">ROUND(O54-O$33,0)</f>
        <v>#VALUE!</v>
      </c>
      <c r="P55" s="294"/>
      <c r="Q55" s="404" t="e">
        <f t="shared" ref="Q55:S55" si="83">Q54-Q$33</f>
        <v>#VALUE!</v>
      </c>
      <c r="R55" s="404" t="e">
        <f t="shared" si="83"/>
        <v>#VALUE!</v>
      </c>
      <c r="S55" s="404" t="e">
        <f t="shared" si="83"/>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3"/>
        <v>#VALUE!</v>
      </c>
      <c r="AF55" s="406" t="e">
        <f t="shared" si="3"/>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N18:AR18"/>
    <mergeCell ref="AN19:AR19"/>
    <mergeCell ref="AN20:AR20"/>
    <mergeCell ref="AN21:AR21"/>
    <mergeCell ref="AN13:AR13"/>
    <mergeCell ref="AN14:AR14"/>
    <mergeCell ref="AN15:AR15"/>
    <mergeCell ref="AN16:AR16"/>
    <mergeCell ref="AN17:AR17"/>
    <mergeCell ref="AJ72:AK72"/>
    <mergeCell ref="D13:AI13"/>
    <mergeCell ref="A27:A28"/>
    <mergeCell ref="C27:C28"/>
    <mergeCell ref="Q27:S27"/>
    <mergeCell ref="U27:W27"/>
    <mergeCell ref="Y27:AA27"/>
    <mergeCell ref="AC27:AI27"/>
    <mergeCell ref="F27:O2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FF99"/>
    <pageSetUpPr fitToPage="1"/>
  </sheetPr>
  <dimension ref="A1:BM73"/>
  <sheetViews>
    <sheetView showGridLines="0" topLeftCell="A5" zoomScale="70" zoomScaleNormal="70" zoomScaleSheetLayoutView="55" workbookViewId="0">
      <selection activeCell="C59" sqref="C5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2" width="15.7109375" style="293" customWidth="1"/>
    <col min="13" max="13" width="11.710937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2" t="s">
        <v>1079</v>
      </c>
      <c r="AK7" s="873">
        <v>10.5</v>
      </c>
    </row>
    <row r="8" spans="1:64" ht="15.6" customHeight="1">
      <c r="AJ8" s="235" t="s">
        <v>1080</v>
      </c>
      <c r="AK8" s="873" t="s">
        <v>1084</v>
      </c>
    </row>
    <row r="9" spans="1:64" ht="15.6" customHeight="1">
      <c r="AJ9" s="872" t="s">
        <v>1082</v>
      </c>
      <c r="AK9" s="874" t="str">
        <f>"MY"&amp;RIGHT(Input!$H$9,2)&amp;" "&amp;Input!$H$3&amp;": "&amp;$G$10</f>
        <v>MY20 Forte: Region L2 (Eastern, Central, SW) Incentive Scenarios</v>
      </c>
    </row>
    <row r="10" spans="1:64" ht="15.6" customHeight="1" thickBot="1">
      <c r="G10" s="581" t="s">
        <v>1090</v>
      </c>
      <c r="AJ10" s="872" t="s">
        <v>1086</v>
      </c>
      <c r="AK10" s="874" t="s">
        <v>1087</v>
      </c>
    </row>
    <row r="11" spans="1:64" ht="15.6" customHeight="1">
      <c r="A11" s="281" t="s">
        <v>570</v>
      </c>
      <c r="B11" s="275"/>
      <c r="C11" s="231"/>
      <c r="D11" s="628" t="s">
        <v>824</v>
      </c>
      <c r="F11" s="245">
        <v>2</v>
      </c>
      <c r="G11" s="565" t="str">
        <f>INDEX(Input!$1:$1048576,2,$F$11*2+6)&amp;" ("&amp;INDEX(Input!$1:$1048576,11,$F$11*2+6)&amp;")"</f>
        <v>MY20 Kia Forte (Kia-LR - L2)</v>
      </c>
      <c r="H11" s="232"/>
      <c r="I11" s="231"/>
      <c r="L11" s="232"/>
      <c r="M11" s="232"/>
      <c r="N11" s="231"/>
      <c r="O11" s="231"/>
      <c r="Q11" s="231"/>
      <c r="R11" s="231"/>
      <c r="S11" s="231"/>
      <c r="U11" s="296"/>
      <c r="V11" s="231"/>
      <c r="Y11" s="231"/>
      <c r="Z11" s="231"/>
      <c r="AA11" s="231"/>
      <c r="AC11" s="231"/>
      <c r="AD11" s="231"/>
      <c r="AE11" s="231"/>
      <c r="AF11" s="231"/>
      <c r="AG11" s="231"/>
      <c r="AH11" s="231"/>
      <c r="AI11" s="231"/>
      <c r="AJ11" s="872" t="s">
        <v>1088</v>
      </c>
      <c r="AK11" s="874" t="s">
        <v>1089</v>
      </c>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58"/>
      <c r="D12" s="231"/>
      <c r="F12" s="231"/>
      <c r="G12" s="232"/>
      <c r="H12" s="232"/>
      <c r="I12" s="231"/>
      <c r="J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771</v>
      </c>
      <c r="BA12" s="389"/>
      <c r="BC12" s="758"/>
      <c r="BD12" s="758"/>
      <c r="BE12" s="758"/>
      <c r="BF12" s="758"/>
      <c r="BG12" s="758"/>
      <c r="BH12" s="758"/>
      <c r="BI12" s="758"/>
      <c r="BJ12" s="758"/>
      <c r="BK12" s="758"/>
      <c r="BL12" s="758"/>
    </row>
    <row r="13" spans="1:64" ht="15.75" customHeight="1" thickBot="1">
      <c r="A13" s="389" t="str">
        <f>ROUND(INDEX(DSS_Calc!KA:KA,MATCH($F$11*1000+6,DSS_Calc!A:A,0)),2)&amp;" (Scen 6)"</f>
        <v>2.45 (Scen 6)</v>
      </c>
      <c r="B13" s="275"/>
      <c r="D13" s="1137" t="str">
        <f>UPPER("SCENARIO OPTIONS: MY"&amp;RIGHT(Input!$H9,2)&amp;" "&amp;Input!H$7&amp;" "&amp;Input!H$3&amp;" - L2 (IL, IN, MI, MN, ND, NE, OH, WI, DE, ME, PA, VT, CO, WY)")</f>
        <v>SCENARIO OPTIONS: MY20 KIA FORTE - L2 (IL, IN, MI, MN, ND, NE, OH, WI, DE, ME, PA, VT, CO, WY)</v>
      </c>
      <c r="E13" s="1137"/>
      <c r="F13" s="1137"/>
      <c r="G13" s="1137"/>
      <c r="H13" s="1137"/>
      <c r="I13" s="1137"/>
      <c r="J13" s="1137"/>
      <c r="K13" s="1137"/>
      <c r="L13" s="1137"/>
      <c r="M13" s="1137"/>
      <c r="N13" s="1137"/>
      <c r="O13" s="1137"/>
      <c r="P13" s="1137"/>
      <c r="Q13" s="1137"/>
      <c r="R13" s="1137"/>
      <c r="S13" s="1137"/>
      <c r="T13" s="1137"/>
      <c r="U13" s="1137"/>
      <c r="V13" s="1137"/>
      <c r="W13" s="1137"/>
      <c r="X13" s="1137"/>
      <c r="Y13" s="1137"/>
      <c r="Z13" s="1137"/>
      <c r="AA13" s="1137"/>
      <c r="AB13" s="1137"/>
      <c r="AC13" s="1137"/>
      <c r="AD13" s="1137"/>
      <c r="AE13" s="1137"/>
      <c r="AF13" s="1137"/>
      <c r="AG13" s="1137"/>
      <c r="AH13" s="1137"/>
      <c r="AI13" s="1137"/>
      <c r="AJ13" s="758"/>
      <c r="AK13" s="758"/>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43" t="str">
        <f>"Scen. # to check price sensitivity order vs #"&amp;INDEX(DSS_Calc!KN:KN,MATCH(F11*1000+1,DSS_Calc!A:A,0))</f>
        <v>Scen. # to check price sensitivity order vs #2002</v>
      </c>
      <c r="AO14" s="1144"/>
      <c r="AP14" s="1144"/>
      <c r="AQ14" s="1144"/>
      <c r="AR14" s="1144"/>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41" t="str">
        <f>"Implied Elast w/o Take Rate Shifts vs #"&amp;INDEX(DSS_Calc!KN:KN,MATCH(F11*1000+1,DSS_Calc!A:A,0))</f>
        <v>Implied Elast w/o Take Rate Shifts vs #2002</v>
      </c>
      <c r="AO16" s="1142"/>
      <c r="AP16" s="1142"/>
      <c r="AQ16" s="1142"/>
      <c r="AR16" s="1142"/>
      <c r="AS16" s="722">
        <f>INDEX(DSS_Calc!$KR:$KR,MATCH($F$11*1000+AS14,DSS_Calc!$A:$A,0))</f>
        <v>2.5885913082052121</v>
      </c>
      <c r="AT16" s="722">
        <f>INDEX(DSS_Calc!$KR:$KR,MATCH($F$11*1000+AT14,DSS_Calc!$A:$A,0))</f>
        <v>3.2827968997609114</v>
      </c>
      <c r="AU16" s="722">
        <f>INDEX(DSS_Calc!$KR:$KR,MATCH($F$11*1000+AU14,DSS_Calc!$A:$A,0))</f>
        <v>3.4796718834991105</v>
      </c>
      <c r="AV16" s="759" t="str">
        <f>IF(AND(AS16&lt;AT16,AT16&lt;AU16,AS16&lt;AW16),"ok","error in order")</f>
        <v>error in order</v>
      </c>
      <c r="AW16" s="723">
        <f>ROUND(INDEX(DSS_Calc!KA:KA,MATCH($F$11*1000+6,DSS_Calc!A:A,0)),2)</f>
        <v>2.4500000000000002</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43" t="s">
        <v>875</v>
      </c>
      <c r="AO17" s="1144"/>
      <c r="AP17" s="1144"/>
      <c r="AQ17" s="1144"/>
      <c r="AR17" s="1144"/>
      <c r="AS17" s="725">
        <f>INDEX(DSS_Calc!IE:IE,MATCH($F$11*1000+2,DSS_Calc!$A:$A,0))-INDEX(DSS_Calc!IE:IE,MATCH($F$11*1000+1,DSS_Calc!$A:$A,0))</f>
        <v>6.732790606428507E-5</v>
      </c>
      <c r="AT17" s="725">
        <f>INDEX(DSS_Calc!IF:IF,MATCH($F$11*1000+2,DSS_Calc!$A:$A,0))-INDEX(DSS_Calc!IF:IF,MATCH($F$11*1000+1,DSS_Calc!$A:$A,0))</f>
        <v>-1.8674797974044255E-3</v>
      </c>
      <c r="AU17" s="725">
        <f>INDEX(DSS_Calc!IG:IG,MATCH($F$11*1000+2,DSS_Calc!$A:$A,0))-INDEX(DSS_Calc!IG:IG,MATCH($F$11*1000+1,DSS_Calc!$A:$A,0))</f>
        <v>1.8001518913400849E-3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41" t="s">
        <v>769</v>
      </c>
      <c r="AO18" s="1142"/>
      <c r="AP18" s="1142"/>
      <c r="AQ18" s="1142"/>
      <c r="AR18" s="1142"/>
      <c r="AS18" s="726">
        <f>INDEX(DSS_Calc!JA:JA,MATCH($F$11*1000+2,DSS_Calc!$A:$A,0))-INDEX(DSS_Calc!JA:JA,MATCH($F$11*1000+1,DSS_Calc!$A:$A,0))</f>
        <v>399.99999999999977</v>
      </c>
      <c r="AT18" s="726">
        <f>INDEX(DSS_Calc!JB:JB,MATCH($F$11*1000+2,DSS_Calc!$A:$A,0))-INDEX(DSS_Calc!JB:JB,MATCH($F$11*1000+1,DSS_Calc!$A:$A,0))</f>
        <v>400.01274745473211</v>
      </c>
      <c r="AU18" s="726">
        <f>INDEX(DSS_Calc!JC:JC,MATCH($F$11*1000+2,DSS_Calc!$A:$A,0))-INDEX(DSS_Calc!JC:JC,MATCH($F$11*1000+1,DSS_Calc!$A:$A,0))</f>
        <v>325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0.10030988103204019</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3.5008105590405514E-2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8.792598089097281E-2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5" t="s">
        <v>876</v>
      </c>
      <c r="AO20" s="1146"/>
      <c r="AP20" s="1146"/>
      <c r="AQ20" s="1146"/>
      <c r="AR20" s="1146"/>
      <c r="AS20" s="761">
        <f>IFERROR(INDEX($C:$C,MATCH(AS19,U:U,0)-1),INDEX($C:$C,MATCH(-AS19,U:U,0)-1))</f>
        <v>50</v>
      </c>
      <c r="AT20" s="761">
        <f>IFERROR(INDEX($C:$C,MATCH(AT19,V:V,0)-1),INDEX($C:$C,MATCH(-AT19,V:V,0)-1))</f>
        <v>51</v>
      </c>
      <c r="AU20" s="761">
        <f>IFERROR(INDEX($C:$C,MATCH(AU19,W:W,0)-1),INDEX($C:$C,MATCH(-AU19,W:W,0)-1))</f>
        <v>62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41" t="s">
        <v>877</v>
      </c>
      <c r="AO21" s="1142"/>
      <c r="AP21" s="1142"/>
      <c r="AQ21" s="1142"/>
      <c r="AR21" s="1142"/>
      <c r="AS21" s="729">
        <f>IFERROR(INDEX(Q:Q,MATCH(AS19,U:U,0)),INDEX(Q:Q,MATCH(-AS19,U:U,0)))</f>
        <v>1000.0000000000007</v>
      </c>
      <c r="AT21" s="729">
        <f>IFERROR(INDEX(R:R,MATCH(AT19,V:V,0)),INDEX(R:R,MATCH(-AT19,V:V,0)))</f>
        <v>343.09627699525845</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878" t="s">
        <v>134</v>
      </c>
      <c r="F27" s="1140" t="s">
        <v>354</v>
      </c>
      <c r="G27" s="1140"/>
      <c r="H27" s="1140"/>
      <c r="I27" s="1140"/>
      <c r="J27" s="1140"/>
      <c r="K27" s="1140"/>
      <c r="L27" s="1140"/>
      <c r="M27" s="1140"/>
      <c r="N27" s="1140"/>
      <c r="O27" s="1140"/>
      <c r="P27" s="277"/>
      <c r="Q27" s="1139" t="s">
        <v>135</v>
      </c>
      <c r="R27" s="1139"/>
      <c r="S27" s="1139"/>
      <c r="T27" s="277"/>
      <c r="U27" s="1140" t="s">
        <v>136</v>
      </c>
      <c r="V27" s="1140"/>
      <c r="W27" s="1140"/>
      <c r="X27" s="277"/>
      <c r="Y27" s="1139" t="s">
        <v>137</v>
      </c>
      <c r="Z27" s="1139"/>
      <c r="AA27" s="1139"/>
      <c r="AB27" s="277"/>
      <c r="AC27" s="1140" t="s">
        <v>138</v>
      </c>
      <c r="AD27" s="1140"/>
      <c r="AE27" s="1140"/>
      <c r="AF27" s="1140"/>
      <c r="AG27" s="1140"/>
      <c r="AH27" s="1140"/>
      <c r="AI27" s="1140"/>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1146</v>
      </c>
      <c r="H28" s="238" t="s">
        <v>39</v>
      </c>
      <c r="I28" s="237" t="s">
        <v>715</v>
      </c>
      <c r="J28" s="237" t="s">
        <v>330</v>
      </c>
      <c r="K28" s="237" t="s">
        <v>1150</v>
      </c>
      <c r="L28" s="237" t="s">
        <v>1151</v>
      </c>
      <c r="M28" s="237" t="s">
        <v>7</v>
      </c>
      <c r="N28" s="237" t="s">
        <v>735</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35</v>
      </c>
      <c r="L30" s="244">
        <v>29</v>
      </c>
      <c r="M30" s="244">
        <v>33</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1149</v>
      </c>
      <c r="L31" s="244" t="s">
        <v>1148</v>
      </c>
      <c r="M31" s="244" t="s">
        <v>750</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v>
      </c>
      <c r="G33" s="256" t="str">
        <f>IF($C33="","",VLOOKUP($C33+$F$11*1000,DSS_Calc!$A:$JV,G$30,FALSE))</f>
        <v>0/0.9/1.9/3.9</v>
      </c>
      <c r="H33" s="256">
        <f>IF($C33="","",VLOOKUP($C33+$F$11*1000,DSS_Calc!$A:$JV,H$30,FALSE))</f>
        <v>0</v>
      </c>
      <c r="I33" s="256">
        <f>IF($C33="","",VLOOKUP($C33+$F$11*1000,DSS_Calc!$A:$JV,I$30,FALSE))</f>
        <v>0</v>
      </c>
      <c r="J33" s="256">
        <f>IF($C33="","",VLOOKUP($C33+$F$11*1000,DSS_Calc!$A:$JV,J$30,FALSE))</f>
        <v>4982</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1999.9999999999998</v>
      </c>
      <c r="R33" s="256">
        <f>IF($C33="","",VLOOKUP($C33+$F$11*1000,DSS_Calc!$A:$JV,R$30,FALSE)*IF(V33=0,0,1))</f>
        <v>2903.5620390944846</v>
      </c>
      <c r="S33" s="256">
        <f>IF($C33="","",VLOOKUP($C33+$F$11*1000,DSS_Calc!$A:$JV,S$30,FALSE)*IF(W33=0,0,1))</f>
        <v>6098.7109265464023</v>
      </c>
      <c r="T33" s="294" t="s">
        <v>2</v>
      </c>
      <c r="U33" s="395">
        <f>IF($C33="","",VLOOKUP($C33+$F$11*1000,DSS_Calc!$A:$JV,U$30,FALSE))</f>
        <v>0.34672566644447778</v>
      </c>
      <c r="V33" s="395">
        <f>IF($C33="","",VLOOKUP($C33+$F$11*1000,DSS_Calc!$A:$JV,V$30,FALSE))</f>
        <v>0.29794513731689914</v>
      </c>
      <c r="W33" s="395">
        <f>IF($C33="","",VLOOKUP($C33+$F$11*1000,DSS_Calc!$A:$JV,W$30,FALSE))</f>
        <v>0.35532919623862302</v>
      </c>
      <c r="X33" s="290" t="s">
        <v>2</v>
      </c>
      <c r="Y33" s="256">
        <f t="shared" ref="Y33:AA34" si="0">IF(U33=0,0,U33*Q33)</f>
        <v>693.45133288895545</v>
      </c>
      <c r="Z33" s="256">
        <f t="shared" si="0"/>
        <v>865.10219044614189</v>
      </c>
      <c r="AA33" s="256">
        <f t="shared" si="0"/>
        <v>2167.0500516214411</v>
      </c>
      <c r="AB33" s="290" t="s">
        <v>2</v>
      </c>
      <c r="AC33" s="256">
        <f>SUM(Y33:AA33)</f>
        <v>3725.6035749565385</v>
      </c>
      <c r="AD33" s="259">
        <f>AC33*AE33/1000/1000</f>
        <v>6.4369446335790332</v>
      </c>
      <c r="AE33" s="260">
        <f>IF($C33="","",VLOOKUP($C33+$F$11*1000,DSS_Calc!$A:$JV,AE$30,FALSE))</f>
        <v>1727.7588729107133</v>
      </c>
      <c r="AF33" s="259">
        <f>IF($C33="","",VLOOKUP($C33+$F$11*1000,DSS_Calc!$A:$JV,AF$30,FALSE))</f>
        <v>3.771518667013916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2250</v>
      </c>
      <c r="G34" s="397" t="str">
        <f>IF($C34="","",VLOOKUP($C34+$F$11*1000,DSS_Calc!$A:$JV,G$30,FALSE))</f>
        <v>0/0.9/1.9/3.9</v>
      </c>
      <c r="H34" s="397">
        <f>IF($C34="","",VLOOKUP($C34+$F$11*1000,DSS_Calc!$A:$JV,H$30,FALSE))</f>
        <v>0</v>
      </c>
      <c r="I34" s="397">
        <f>IF($C34="","",VLOOKUP($C34+$F$11*1000,DSS_Calc!$A:$JV,I$30,FALSE))</f>
        <v>0</v>
      </c>
      <c r="J34" s="397">
        <f>IF($C34="","",VLOOKUP($C34+$F$11*1000,DSS_Calc!$A:$JV,J$30,FALSE))</f>
        <v>4622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3000.0000000000005</v>
      </c>
      <c r="R34" s="397">
        <f>IF($C34="","",VLOOKUP($C34+$F$11*1000,DSS_Calc!$A:$JV,R$30,FALSE)*IF(V34=0,0,1))</f>
        <v>2903.6404441064892</v>
      </c>
      <c r="S34" s="397">
        <f>IF($C34="","",VLOOKUP($C34+$F$11*1000,DSS_Calc!$A:$JV,S$30,FALSE)*IF(W34=0,0,1))</f>
        <v>5738.7109265464023</v>
      </c>
      <c r="T34" s="294" t="s">
        <v>2</v>
      </c>
      <c r="U34" s="398">
        <f>IF($C34="","",VLOOKUP($C34+$F$11*1000,DSS_Calc!$A:$JV,U$30,FALSE))</f>
        <v>0.44703554747651797</v>
      </c>
      <c r="V34" s="398">
        <f>IF($C34="","",VLOOKUP($C34+$F$11*1000,DSS_Calc!$A:$JV,V$30,FALSE))</f>
        <v>0.27773692670037042</v>
      </c>
      <c r="W34" s="398">
        <f>IF($C34="","",VLOOKUP($C34+$F$11*1000,DSS_Calc!$A:$JV,W$30,FALSE))</f>
        <v>0.27522752582311161</v>
      </c>
      <c r="X34" s="294" t="s">
        <v>2</v>
      </c>
      <c r="Y34" s="397">
        <f t="shared" si="0"/>
        <v>1341.1066424295541</v>
      </c>
      <c r="Z34" s="397">
        <f t="shared" si="0"/>
        <v>806.44817318903506</v>
      </c>
      <c r="AA34" s="397">
        <f t="shared" si="0"/>
        <v>1579.4512097274228</v>
      </c>
      <c r="AB34" s="294" t="s">
        <v>2</v>
      </c>
      <c r="AC34" s="397">
        <f>SUM(Y34:AA34)</f>
        <v>3727.0060253460119</v>
      </c>
      <c r="AD34" s="399">
        <f>AC34*AE34/1000/1000</f>
        <v>6.6770540521510142</v>
      </c>
      <c r="AE34" s="400">
        <f>IF($C34="","",VLOOKUP($C34+$F$11*1000,DSS_Calc!$A:$JV,AE$30,FALSE))</f>
        <v>1791.5329373611953</v>
      </c>
      <c r="AF34" s="399">
        <f>IF($C34="","",VLOOKUP($C34+$F$11*1000,DSS_Calc!$A:$JV,AF$30,FALSE))</f>
        <v>3.9082183082476081</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f>AI35/((Q35*U34+R35*V34+S35*W34)/(VLOOKUP($C34+$F$11*1000,DSS_Calc!$A:$JV,DSS_Calc!BX$92,FALSE)-$AC$33))</f>
        <v>1.6939512432959818</v>
      </c>
      <c r="B35" s="402"/>
      <c r="C35" s="564">
        <f>AI35/(AC35/(VLOOKUP($C34+$F$11*1000,DSS_Calc!$A:$JV,DSS_Calc!BX$92,FALSE)-$AC$33))</f>
        <v>420.30248617387974</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1000.0000000000007</v>
      </c>
      <c r="R35" s="404">
        <f t="shared" si="2"/>
        <v>7.8405012004623131E-2</v>
      </c>
      <c r="S35" s="404">
        <f t="shared" si="2"/>
        <v>-360</v>
      </c>
      <c r="T35" s="294"/>
      <c r="U35" s="405">
        <f>U34-U$33</f>
        <v>0.10030988103204019</v>
      </c>
      <c r="V35" s="405">
        <f>V34-V$33</f>
        <v>-2.0208210616528721E-2</v>
      </c>
      <c r="W35" s="405">
        <f>W34-W$33</f>
        <v>-8.0101670415511417E-2</v>
      </c>
      <c r="X35" s="294"/>
      <c r="Y35" s="404">
        <f>Y34-Y$33</f>
        <v>647.65530954059864</v>
      </c>
      <c r="Z35" s="404">
        <f>Z34-Z$33</f>
        <v>-58.65401725710683</v>
      </c>
      <c r="AA35" s="404">
        <f>AA34-AA$33</f>
        <v>-587.59884189401828</v>
      </c>
      <c r="AB35" s="294"/>
      <c r="AC35" s="404">
        <f>IFERROR(AC34-AC$33,NA())</f>
        <v>1.4024503894734153</v>
      </c>
      <c r="AD35" s="406">
        <f>AD34-AD$33</f>
        <v>0.24010941857198098</v>
      </c>
      <c r="AE35" s="407">
        <f t="shared" ref="AE35:AF49" si="3">AE34-AE$33</f>
        <v>63.774064450482001</v>
      </c>
      <c r="AF35" s="406">
        <f t="shared" si="3"/>
        <v>0.13669964123369205</v>
      </c>
      <c r="AG35" s="408">
        <f>AF35/AF$33</f>
        <v>3.6245251131667718E-2</v>
      </c>
      <c r="AH35" s="405"/>
      <c r="AI35" s="408">
        <f>IFERROR(AE35/$AE$33,NA())</f>
        <v>3.6911437961851347E-2</v>
      </c>
      <c r="AJ35" s="289"/>
      <c r="AK35" s="749"/>
      <c r="AL35" s="750">
        <f>$AE34*U34-$AE$33*U$33</f>
        <v>201.82056081014946</v>
      </c>
      <c r="AM35" s="750">
        <f>$AE34*V34-$AE$33*V$33</f>
        <v>-17.20250253468771</v>
      </c>
      <c r="AN35" s="750">
        <f>$AE34*W34-$AE$33*W$33</f>
        <v>-120.84399382497958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38</v>
      </c>
      <c r="D36" s="261" t="str">
        <f>"Scenario " &amp; A36</f>
        <v>Scenario B</v>
      </c>
      <c r="E36" s="272" t="s">
        <v>2</v>
      </c>
      <c r="F36" s="262">
        <f>IF($C36="","",VLOOKUP($C36+$F$11*1000,DSS_Calc!$A:$JV,F$30,FALSE))</f>
        <v>2250</v>
      </c>
      <c r="G36" s="262" t="str">
        <f>IF($C36="","",VLOOKUP($C36+$F$11*1000,DSS_Calc!$A:$JV,G$30,FALSE))</f>
        <v>0/0/0.9/3.9</v>
      </c>
      <c r="H36" s="262">
        <f>IF($C36="","",VLOOKUP($C36+$F$11*1000,DSS_Calc!$A:$JV,H$30,FALSE))</f>
        <v>0</v>
      </c>
      <c r="I36" s="262">
        <f>IF($C36="","",VLOOKUP($C36+$F$11*1000,DSS_Calc!$A:$JV,I$30,FALSE))</f>
        <v>0</v>
      </c>
      <c r="J36" s="262">
        <f>IF($C36="","",VLOOKUP($C36+$F$11*1000,DSS_Calc!$A:$JV,J$30,FALSE))</f>
        <v>4982</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3000.0000000000005</v>
      </c>
      <c r="R36" s="262">
        <f>IF($C36="","",VLOOKUP($C36+$F$11*1000,DSS_Calc!$A:$JV,R$30,FALSE)*IF(V36=0,0,1))</f>
        <v>3246.6093391929985</v>
      </c>
      <c r="S36" s="262">
        <f>IF($C36="","",VLOOKUP($C36+$F$11*1000,DSS_Calc!$A:$JV,S$30,FALSE)*IF(W36=0,0,1))</f>
        <v>6098.7109265464023</v>
      </c>
      <c r="T36" s="294" t="s">
        <v>2</v>
      </c>
      <c r="U36" s="263">
        <f>IF($C36="","",VLOOKUP($C36+$F$11*1000,DSS_Calc!$A:$JV,U$30,FALSE))</f>
        <v>0.40981175363623312</v>
      </c>
      <c r="V36" s="263">
        <f>IF($C36="","",VLOOKUP($C36+$F$11*1000,DSS_Calc!$A:$JV,V$30,FALSE))</f>
        <v>0.29189254911282864</v>
      </c>
      <c r="W36" s="263">
        <f>IF($C36="","",VLOOKUP($C36+$F$11*1000,DSS_Calc!$A:$JV,W$30,FALSE))</f>
        <v>0.29829569725093813</v>
      </c>
      <c r="X36" s="294" t="s">
        <v>2</v>
      </c>
      <c r="Y36" s="262">
        <f>IF(U36=0,0,U36*Q36)</f>
        <v>1229.4352609086995</v>
      </c>
      <c r="Z36" s="262">
        <f>IF(V36=0,0,V36*R36)</f>
        <v>947.66107599056045</v>
      </c>
      <c r="AA36" s="262">
        <f>IF(W36=0,0,W36*S36)</f>
        <v>1819.2192281660739</v>
      </c>
      <c r="AB36" s="294" t="s">
        <v>2</v>
      </c>
      <c r="AC36" s="262">
        <f>SUM(Y36:AA36)</f>
        <v>3996.3155650653334</v>
      </c>
      <c r="AD36" s="264">
        <f>AC36*AE36/1000/1000</f>
        <v>7.5189697000350071</v>
      </c>
      <c r="AE36" s="265">
        <f>IF($C36="","",VLOOKUP($C36+$F$11*1000,DSS_Calc!$A:$JV,AE$30,FALSE))</f>
        <v>1881.4754684949619</v>
      </c>
      <c r="AF36" s="264">
        <f>IF($C36="","",VLOOKUP($C36+$F$11*1000,DSS_Calc!$A:$JV,AF$30,FALSE))</f>
        <v>3.5977281055674757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0/0/0.9/3.9</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2.7861406787003395</v>
      </c>
      <c r="B37" s="402"/>
      <c r="C37" s="564">
        <f>AI37/(AC37/(VLOOKUP($C36+$F$11*1000,DSS_Calc!$A:$JV,DSS_Calc!BX$92,FALSE)-$AC$33))</f>
        <v>5.2482998060153454</v>
      </c>
      <c r="D37" s="266" t="s">
        <v>141</v>
      </c>
      <c r="F37" s="267">
        <f>ROUND(F36-F$33,0)</f>
        <v>1000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1000.0000000000007</v>
      </c>
      <c r="R37" s="267">
        <f t="shared" si="5"/>
        <v>343.04730009851392</v>
      </c>
      <c r="S37" s="267">
        <f t="shared" si="5"/>
        <v>0</v>
      </c>
      <c r="T37" s="294"/>
      <c r="U37" s="268">
        <f>U36-U$33</f>
        <v>6.3086087191755347E-2</v>
      </c>
      <c r="V37" s="268">
        <f>V36-V$33</f>
        <v>-6.0525882040705081E-3</v>
      </c>
      <c r="W37" s="268">
        <f>W36-W$33</f>
        <v>-5.7033498987684894E-2</v>
      </c>
      <c r="X37" s="294"/>
      <c r="Y37" s="267">
        <f>Y36-Y$33</f>
        <v>535.9839280197441</v>
      </c>
      <c r="Z37" s="267">
        <f>Z36-Z$33</f>
        <v>82.558885544418558</v>
      </c>
      <c r="AA37" s="267">
        <f>AA36-AA$33</f>
        <v>-347.83082345536718</v>
      </c>
      <c r="AB37" s="294"/>
      <c r="AC37" s="267">
        <f>IFERROR(AC36-AC$33,NA())</f>
        <v>270.71199010879491</v>
      </c>
      <c r="AD37" s="269">
        <f>AD36-AD$33</f>
        <v>1.0820250664559738</v>
      </c>
      <c r="AE37" s="270">
        <f t="shared" si="3"/>
        <v>153.71659558424858</v>
      </c>
      <c r="AF37" s="269">
        <f t="shared" si="3"/>
        <v>-0.17379056144644034</v>
      </c>
      <c r="AG37" s="301">
        <f>AF37/AF$33</f>
        <v>-4.6079729888766074E-2</v>
      </c>
      <c r="AH37" s="268"/>
      <c r="AI37" s="301">
        <f>IFERROR(AE37/$AE$33,NA())</f>
        <v>8.8968777990001566E-2</v>
      </c>
      <c r="AJ37" s="289"/>
      <c r="AK37" s="749"/>
      <c r="AL37" s="750">
        <f>$AE36*U36-$AE$33*U$33</f>
        <v>171.99241450214674</v>
      </c>
      <c r="AM37" s="750">
        <f>$AE36*V36-$AE$33*V$33</f>
        <v>34.411315952374594</v>
      </c>
      <c r="AN37" s="750">
        <f>$AE36*W36-$AE$33*W$33</f>
        <v>-52.687134870272871</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49</v>
      </c>
      <c r="D38" s="396" t="str">
        <f>"Scenario " &amp; A38</f>
        <v>Scenario C</v>
      </c>
      <c r="E38" s="272" t="s">
        <v>2</v>
      </c>
      <c r="F38" s="397">
        <f>IF($C38="","",VLOOKUP($C38+$F$11*1000,DSS_Calc!$A:$JV,F$30,FALSE))</f>
        <v>2000</v>
      </c>
      <c r="G38" s="397" t="str">
        <f>IF($C38="","",VLOOKUP($C38+$F$11*1000,DSS_Calc!$A:$JV,G$30,FALSE))</f>
        <v>0/0.9/1.9/3.9</v>
      </c>
      <c r="H38" s="397">
        <f>IF($C38="","",VLOOKUP($C38+$F$11*1000,DSS_Calc!$A:$JV,H$30,FALSE))</f>
        <v>0</v>
      </c>
      <c r="I38" s="397">
        <f>IF($C38="","",VLOOKUP($C38+$F$11*1000,DSS_Calc!$A:$JV,I$30,FALSE))</f>
        <v>0</v>
      </c>
      <c r="J38" s="397">
        <f>IF($C38="","",VLOOKUP($C38+$F$11*1000,DSS_Calc!$A:$JV,J$30,FALSE))</f>
        <v>4622</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2750</v>
      </c>
      <c r="R38" s="397">
        <f>IF($C38="","",VLOOKUP($C38+$F$11*1000,DSS_Calc!$A:$JV,R$30,FALSE)*IF(V38=0,0,1))</f>
        <v>2903.6257487888615</v>
      </c>
      <c r="S38" s="397">
        <f>IF($C38="","",VLOOKUP($C38+$F$11*1000,DSS_Calc!$A:$JV,S$30,FALSE)*IF(W38=0,0,1))</f>
        <v>5738.7109265464023</v>
      </c>
      <c r="T38" s="294" t="s">
        <v>2</v>
      </c>
      <c r="U38" s="398">
        <f>IF($C38="","",VLOOKUP($C38+$F$11*1000,DSS_Calc!$A:$JV,U$30,FALSE))</f>
        <v>0.42802386962383177</v>
      </c>
      <c r="V38" s="398">
        <f>IF($C38="","",VLOOKUP($C38+$F$11*1000,DSS_Calc!$A:$JV,V$30,FALSE))</f>
        <v>0.28528955297086572</v>
      </c>
      <c r="W38" s="398">
        <f>IF($C38="","",VLOOKUP($C38+$F$11*1000,DSS_Calc!$A:$JV,W$30,FALSE))</f>
        <v>0.28668657740530246</v>
      </c>
      <c r="X38" s="294" t="s">
        <v>2</v>
      </c>
      <c r="Y38" s="397">
        <f>IF(U38=0,0,U38*Q38)</f>
        <v>1177.0656414655373</v>
      </c>
      <c r="Z38" s="397">
        <f>IF(V38=0,0,V38*R38)</f>
        <v>828.37409186666957</v>
      </c>
      <c r="AA38" s="397">
        <f>IF(W38=0,0,W38*S38)</f>
        <v>1645.2113942500002</v>
      </c>
      <c r="AB38" s="294" t="s">
        <v>2</v>
      </c>
      <c r="AC38" s="397">
        <f>SUM(Y38:AA38)</f>
        <v>3650.6511275822068</v>
      </c>
      <c r="AD38" s="399">
        <f>AC38*AE38/1000/1000</f>
        <v>6.4260902437875425</v>
      </c>
      <c r="AE38" s="400">
        <f>IF($C38="","",VLOOKUP($C38+$F$11*1000,DSS_Calc!$A:$JV,AE$30,FALSE))</f>
        <v>1760.2586550206684</v>
      </c>
      <c r="AF38" s="399">
        <f>IF($C38="","",VLOOKUP($C38+$F$11*1000,DSS_Calc!$A:$JV,AF$30,FALSE))</f>
        <v>3.9743980194020776</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-360 Lease</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f>AI39/((Q39*U38+R39*V38+S39*W38)/(VLOOKUP($C38+$F$11*1000,DSS_Calc!$A:$JV,DSS_Calc!BX$92,FALSE)-$AC$33))</f>
        <v>1.3790191619862422</v>
      </c>
      <c r="B39" s="402"/>
      <c r="C39" s="564">
        <f>AI39/(AC39/(VLOOKUP($C38+$F$11*1000,DSS_Calc!$A:$JV,DSS_Calc!BX$92,FALSE)-$AC$33))</f>
        <v>-4.0077442636411451</v>
      </c>
      <c r="D39" s="403" t="s">
        <v>141</v>
      </c>
      <c r="F39" s="404">
        <f>ROUND(F38-F$33,0)</f>
        <v>750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750.00000000000023</v>
      </c>
      <c r="R39" s="404">
        <f t="shared" si="7"/>
        <v>6.3709694376939296E-2</v>
      </c>
      <c r="S39" s="404">
        <f t="shared" si="7"/>
        <v>-360</v>
      </c>
      <c r="T39" s="294"/>
      <c r="U39" s="405">
        <f>U38-U$33</f>
        <v>8.1298203179353989E-2</v>
      </c>
      <c r="V39" s="405">
        <f>V38-V$33</f>
        <v>-1.2655584346033422E-2</v>
      </c>
      <c r="W39" s="405">
        <f>W38-W$33</f>
        <v>-6.8642618833320568E-2</v>
      </c>
      <c r="X39" s="294"/>
      <c r="Y39" s="404">
        <f>Y38-Y$33</f>
        <v>483.61430857658183</v>
      </c>
      <c r="Z39" s="404">
        <f>Z38-Z$33</f>
        <v>-36.728098579472316</v>
      </c>
      <c r="AA39" s="404">
        <f>AA38-AA$33</f>
        <v>-521.83865737144083</v>
      </c>
      <c r="AB39" s="294"/>
      <c r="AC39" s="404">
        <f>IFERROR(AC38-AC$33,NA())</f>
        <v>-74.952447374331769</v>
      </c>
      <c r="AD39" s="406">
        <f>AD38-AD$33</f>
        <v>-1.0854389791490782E-2</v>
      </c>
      <c r="AE39" s="407">
        <f t="shared" si="3"/>
        <v>32.499782109955049</v>
      </c>
      <c r="AF39" s="406">
        <f t="shared" si="3"/>
        <v>0.20287935238816157</v>
      </c>
      <c r="AG39" s="408">
        <f>AF39/AF$33</f>
        <v>5.37924826310857E-2</v>
      </c>
      <c r="AH39" s="405"/>
      <c r="AI39" s="408">
        <f>IFERROR(AE39/$AE$33,NA())</f>
        <v>1.8810369096935071E-2</v>
      </c>
      <c r="AJ39" s="289"/>
      <c r="AK39" s="749"/>
      <c r="AL39" s="750">
        <f>$AE38*U38-$AE$33*U$33</f>
        <v>154.37437439546113</v>
      </c>
      <c r="AM39" s="750">
        <f>$AE38*V38-$AE$33*V$33</f>
        <v>-12.59394983592955</v>
      </c>
      <c r="AN39" s="750">
        <f>$AE38*W38-$AE$33*W$33</f>
        <v>-109.28064244957653</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37</v>
      </c>
      <c r="D40" s="261" t="str">
        <f>"Scenario " &amp; A40</f>
        <v>Scenario D</v>
      </c>
      <c r="E40" s="272" t="s">
        <v>2</v>
      </c>
      <c r="F40" s="262">
        <f>IF($C40="","",VLOOKUP($C40+$F$11*1000,DSS_Calc!$A:$JV,F$30,FALSE))</f>
        <v>2000</v>
      </c>
      <c r="G40" s="262" t="str">
        <f>IF($C40="","",VLOOKUP($C40+$F$11*1000,DSS_Calc!$A:$JV,G$30,FALSE))</f>
        <v>0/0/0.9/3.9</v>
      </c>
      <c r="H40" s="262">
        <f>IF($C40="","",VLOOKUP($C40+$F$11*1000,DSS_Calc!$A:$JV,H$30,FALSE))</f>
        <v>0</v>
      </c>
      <c r="I40" s="262">
        <f>IF($C40="","",VLOOKUP($C40+$F$11*1000,DSS_Calc!$A:$JV,I$30,FALSE))</f>
        <v>0</v>
      </c>
      <c r="J40" s="262">
        <f>IF($C40="","",VLOOKUP($C40+$F$11*1000,DSS_Calc!$A:$JV,J$30,FALSE))</f>
        <v>4982</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2750</v>
      </c>
      <c r="R40" s="262">
        <f>IF($C40="","",VLOOKUP($C40+$F$11*1000,DSS_Calc!$A:$JV,R$30,FALSE)*IF(V40=0,0,1))</f>
        <v>3246.6279417873679</v>
      </c>
      <c r="S40" s="262">
        <f>IF($C40="","",VLOOKUP($C40+$F$11*1000,DSS_Calc!$A:$JV,S$30,FALSE)*IF(W40=0,0,1))</f>
        <v>6098.7109265464023</v>
      </c>
      <c r="T40" s="294" t="s">
        <v>2</v>
      </c>
      <c r="U40" s="263">
        <f>IF($C40="","",VLOOKUP($C40+$F$11*1000,DSS_Calc!$A:$JV,U$30,FALSE))</f>
        <v>0.39085666448157802</v>
      </c>
      <c r="V40" s="263">
        <f>IF($C40="","",VLOOKUP($C40+$F$11*1000,DSS_Calc!$A:$JV,V$30,FALSE))</f>
        <v>0.29945032441047204</v>
      </c>
      <c r="W40" s="263">
        <f>IF($C40="","",VLOOKUP($C40+$F$11*1000,DSS_Calc!$A:$JV,W$30,FALSE))</f>
        <v>0.30969301110795</v>
      </c>
      <c r="X40" s="294" t="s">
        <v>2</v>
      </c>
      <c r="Y40" s="262">
        <f>IF(U40=0,0,U40*Q40)</f>
        <v>1074.8558273243395</v>
      </c>
      <c r="Z40" s="262">
        <f>IF(V40=0,0,V40*R40)</f>
        <v>972.20379040833041</v>
      </c>
      <c r="AA40" s="262">
        <f>IF(W40=0,0,W40*S40)</f>
        <v>1888.728150719111</v>
      </c>
      <c r="AB40" s="294" t="s">
        <v>2</v>
      </c>
      <c r="AC40" s="262">
        <f>SUM(Y40:AA40)</f>
        <v>3935.7877684517807</v>
      </c>
      <c r="AD40" s="264">
        <f>AC40*AE40/1000/1000</f>
        <v>7.2858056539463467</v>
      </c>
      <c r="AE40" s="265">
        <f>IF($C40="","",VLOOKUP($C40+$F$11*1000,DSS_Calc!$A:$JV,AE$30,FALSE))</f>
        <v>1851.1683257789994</v>
      </c>
      <c r="AF40" s="264">
        <f>IF($C40="","",VLOOKUP($C40+$F$11*1000,DSS_Calc!$A:$JV,AF$30,FALSE))</f>
        <v>3.6518223989188709</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0/0/0.9/3.9</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f>AI41/((Q41*U40+R41*V40+S41*W40)/(VLOOKUP($C40+$F$11*1000,DSS_Calc!$A:$JV,DSS_Calc!BX$92,FALSE)-$AC$33))</f>
        <v>2.8813575463164001</v>
      </c>
      <c r="B41" s="402"/>
      <c r="C41" s="564">
        <f>AI41/(AC41/(VLOOKUP($C40+$F$11*1000,DSS_Calc!$A:$JV,DSS_Calc!BX$92,FALSE)-$AC$33))</f>
        <v>5.4269240576616999</v>
      </c>
      <c r="D41" s="266" t="s">
        <v>141</v>
      </c>
      <c r="F41" s="267">
        <f>ROUND(F40-F$33,0)</f>
        <v>750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750.00000000000023</v>
      </c>
      <c r="R41" s="267">
        <f t="shared" si="9"/>
        <v>343.06590269288336</v>
      </c>
      <c r="S41" s="267">
        <f t="shared" si="9"/>
        <v>0</v>
      </c>
      <c r="T41" s="294"/>
      <c r="U41" s="268">
        <f>U40-U$33</f>
        <v>4.4130998037100244E-2</v>
      </c>
      <c r="V41" s="268">
        <f>V40-V$33</f>
        <v>1.5051870935728906E-3</v>
      </c>
      <c r="W41" s="268">
        <f>W40-W$33</f>
        <v>-4.5636185130673024E-2</v>
      </c>
      <c r="X41" s="294"/>
      <c r="Y41" s="267">
        <f>Y40-Y$33</f>
        <v>381.40449443538409</v>
      </c>
      <c r="Z41" s="267">
        <f>Z40-Z$33</f>
        <v>107.10159996218852</v>
      </c>
      <c r="AA41" s="267">
        <f>AA40-AA$33</f>
        <v>-278.32190090233007</v>
      </c>
      <c r="AB41" s="294"/>
      <c r="AC41" s="267">
        <f>IFERROR(AC40-AC$33,NA())</f>
        <v>210.1841934952422</v>
      </c>
      <c r="AD41" s="269">
        <f>AD40-AD$33</f>
        <v>0.84886102036731348</v>
      </c>
      <c r="AE41" s="270">
        <f t="shared" si="3"/>
        <v>123.40945286828605</v>
      </c>
      <c r="AF41" s="269">
        <f t="shared" si="3"/>
        <v>-0.11969626809504508</v>
      </c>
      <c r="AG41" s="301">
        <f>AF41/AF$33</f>
        <v>-3.1736888681453641E-2</v>
      </c>
      <c r="AH41" s="268"/>
      <c r="AI41" s="301">
        <f>IFERROR(AE41/$AE$33,NA())</f>
        <v>7.1427474518120204E-2</v>
      </c>
      <c r="AJ41" s="289"/>
      <c r="AK41" s="749"/>
      <c r="AL41" s="750">
        <f>$AE40*U40-$AE$33*U$33</f>
        <v>124.48313054259995</v>
      </c>
      <c r="AM41" s="750">
        <f>$AE40*V40-$AE$33*V$33</f>
        <v>39.555601053038345</v>
      </c>
      <c r="AN41" s="750">
        <f>$AE40*W40-$AE$33*W$33</f>
        <v>-40.62927872735213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48</v>
      </c>
      <c r="D42" s="396" t="str">
        <f>"Scenario " &amp; A42</f>
        <v>Scenario E</v>
      </c>
      <c r="E42" s="272" t="s">
        <v>2</v>
      </c>
      <c r="F42" s="397">
        <f>IF($C42="","",VLOOKUP($C42+$F$11*1000,DSS_Calc!$A:$JV,F$30,FALSE))</f>
        <v>1750</v>
      </c>
      <c r="G42" s="397" t="str">
        <f>IF($C42="","",VLOOKUP($C42+$F$11*1000,DSS_Calc!$A:$JV,G$30,FALSE))</f>
        <v>0/0.9/1.9/3.9</v>
      </c>
      <c r="H42" s="397">
        <f>IF($C42="","",VLOOKUP($C42+$F$11*1000,DSS_Calc!$A:$JV,H$30,FALSE))</f>
        <v>0</v>
      </c>
      <c r="I42" s="397">
        <f>IF($C42="","",VLOOKUP($C42+$F$11*1000,DSS_Calc!$A:$JV,I$30,FALSE))</f>
        <v>0</v>
      </c>
      <c r="J42" s="397">
        <f>IF($C42="","",VLOOKUP($C42+$F$11*1000,DSS_Calc!$A:$JV,J$30,FALSE))</f>
        <v>4622</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2500</v>
      </c>
      <c r="R42" s="397">
        <f>IF($C42="","",VLOOKUP($C42+$F$11*1000,DSS_Calc!$A:$JV,R$30,FALSE)*IF(V42=0,0,1))</f>
        <v>2903.6106457168107</v>
      </c>
      <c r="S42" s="397">
        <f>IF($C42="","",VLOOKUP($C42+$F$11*1000,DSS_Calc!$A:$JV,S$30,FALSE)*IF(W42=0,0,1))</f>
        <v>5738.7109265464023</v>
      </c>
      <c r="T42" s="294" t="s">
        <v>2</v>
      </c>
      <c r="U42" s="398">
        <f>IF($C42="","",VLOOKUP($C42+$F$11*1000,DSS_Calc!$A:$JV,U$30,FALSE))</f>
        <v>0.40880630912344479</v>
      </c>
      <c r="V42" s="398">
        <f>IF($C42="","",VLOOKUP($C42+$F$11*1000,DSS_Calc!$A:$JV,V$30,FALSE))</f>
        <v>0.29287176949101762</v>
      </c>
      <c r="W42" s="398">
        <f>IF($C42="","",VLOOKUP($C42+$F$11*1000,DSS_Calc!$A:$JV,W$30,FALSE))</f>
        <v>0.29832192138553759</v>
      </c>
      <c r="X42" s="294" t="s">
        <v>2</v>
      </c>
      <c r="Y42" s="397">
        <f>IF(U42=0,0,U42*Q42)</f>
        <v>1022.0157728086119</v>
      </c>
      <c r="Z42" s="397">
        <f>IF(V42=0,0,V42*R42)</f>
        <v>850.3855877240386</v>
      </c>
      <c r="AA42" s="397">
        <f>IF(W42=0,0,W42*S42)</f>
        <v>1711.9832698835014</v>
      </c>
      <c r="AB42" s="294" t="s">
        <v>2</v>
      </c>
      <c r="AC42" s="397">
        <f>SUM(Y42:AA42)</f>
        <v>3584.3846304161516</v>
      </c>
      <c r="AD42" s="399">
        <f>AC42*AE42/1000/1000</f>
        <v>6.2026164777545691</v>
      </c>
      <c r="AE42" s="400">
        <f>IF($C42="","",VLOOKUP($C42+$F$11*1000,DSS_Calc!$A:$JV,AE$30,FALSE))</f>
        <v>1730.4550480215728</v>
      </c>
      <c r="AF42" s="399">
        <f>IF($C42="","",VLOOKUP($C42+$F$11*1000,DSS_Calc!$A:$JV,AF$30,FALSE))</f>
        <v>4.0217771734808938</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-360 Lease</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0.25685349990965994</v>
      </c>
      <c r="B43" s="402"/>
      <c r="C43" s="564">
        <f>AI43/(AC43/(VLOOKUP($C42+$F$11*1000,DSS_Calc!$A:$JV,DSS_Calc!BX$92,FALSE)-$AC$33))</f>
        <v>-0.1764657815849521</v>
      </c>
      <c r="D43" s="403" t="s">
        <v>141</v>
      </c>
      <c r="F43" s="404">
        <f>ROUND(F42-F$33,0)</f>
        <v>500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500.00000000000023</v>
      </c>
      <c r="R43" s="404">
        <f t="shared" si="11"/>
        <v>4.860662232613322E-2</v>
      </c>
      <c r="S43" s="404">
        <f t="shared" si="11"/>
        <v>-360</v>
      </c>
      <c r="T43" s="294"/>
      <c r="U43" s="405">
        <f>U42-U$33</f>
        <v>6.2080642678967013E-2</v>
      </c>
      <c r="V43" s="405">
        <f>V42-V$33</f>
        <v>-5.0733678258815251E-3</v>
      </c>
      <c r="W43" s="405">
        <f>W42-W$33</f>
        <v>-5.7007274853085432E-2</v>
      </c>
      <c r="X43" s="294"/>
      <c r="Y43" s="404">
        <f>Y42-Y$33</f>
        <v>328.56443991965648</v>
      </c>
      <c r="Z43" s="404">
        <f>Z42-Z$33</f>
        <v>-14.716602722103289</v>
      </c>
      <c r="AA43" s="404">
        <f>AA42-AA$33</f>
        <v>-455.06678173793966</v>
      </c>
      <c r="AB43" s="294"/>
      <c r="AC43" s="404">
        <f>IFERROR(AC42-AC$33,NA())</f>
        <v>-141.21894454038693</v>
      </c>
      <c r="AD43" s="406">
        <f>AD42-AD$33</f>
        <v>-0.23432815582446409</v>
      </c>
      <c r="AE43" s="407">
        <f t="shared" si="3"/>
        <v>2.6961751108594854</v>
      </c>
      <c r="AF43" s="406">
        <f t="shared" si="3"/>
        <v>0.25025850646697778</v>
      </c>
      <c r="AG43" s="408">
        <f>AF43/AF$33</f>
        <v>6.6354837019836063E-2</v>
      </c>
      <c r="AH43" s="405"/>
      <c r="AI43" s="408">
        <f>IFERROR(AE43/$AE$33,NA())</f>
        <v>1.5605042770333482E-3</v>
      </c>
      <c r="AJ43" s="289"/>
      <c r="AK43" s="751"/>
      <c r="AL43" s="750">
        <f>$AE42*U42-$AE$33*U$33</f>
        <v>108.36259462040573</v>
      </c>
      <c r="AM43" s="750">
        <f>$AE42*V42-$AE$33*V$33</f>
        <v>-7.9759227011314806</v>
      </c>
      <c r="AN43" s="750">
        <f>$AE42*W42-$AE$33*W$33</f>
        <v>-97.69049680841465</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47</v>
      </c>
      <c r="D44" s="261" t="str">
        <f>"Scenario " &amp; A44</f>
        <v>Scenario F</v>
      </c>
      <c r="E44" s="272" t="s">
        <v>2</v>
      </c>
      <c r="F44" s="262">
        <f>IF($C44="","",VLOOKUP($C44+$F$11*1000,DSS_Calc!$A:$JV,F$30,FALSE))</f>
        <v>1500</v>
      </c>
      <c r="G44" s="262" t="str">
        <f>IF($C44="","",VLOOKUP($C44+$F$11*1000,DSS_Calc!$A:$JV,G$30,FALSE))</f>
        <v>0/0.9/1.9/3.9</v>
      </c>
      <c r="H44" s="262">
        <f>IF($C44="","",VLOOKUP($C44+$F$11*1000,DSS_Calc!$A:$JV,H$30,FALSE))</f>
        <v>0</v>
      </c>
      <c r="I44" s="262">
        <f>IF($C44="","",VLOOKUP($C44+$F$11*1000,DSS_Calc!$A:$JV,I$30,FALSE))</f>
        <v>0</v>
      </c>
      <c r="J44" s="262">
        <f>IF($C44="","",VLOOKUP($C44+$F$11*1000,DSS_Calc!$A:$JV,J$30,FALSE))</f>
        <v>4622</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2250</v>
      </c>
      <c r="R44" s="262">
        <f>IF($C44="","",VLOOKUP($C44+$F$11*1000,DSS_Calc!$A:$JV,R$30,FALSE)*IF(V44=0,0,1))</f>
        <v>2903.5951356437304</v>
      </c>
      <c r="S44" s="262">
        <f>IF($C44="","",VLOOKUP($C44+$F$11*1000,DSS_Calc!$A:$JV,S$30,FALSE)*IF(W44=0,0,1))</f>
        <v>5738.7109265464023</v>
      </c>
      <c r="T44" s="294" t="s">
        <v>2</v>
      </c>
      <c r="U44" s="263">
        <f>IF($C44="","",VLOOKUP($C44+$F$11*1000,DSS_Calc!$A:$JV,U$30,FALSE))</f>
        <v>0.38942680892131776</v>
      </c>
      <c r="V44" s="263">
        <f>IF($C44="","",VLOOKUP($C44+$F$11*1000,DSS_Calc!$A:$JV,V$30,FALSE))</f>
        <v>0.30046969847360189</v>
      </c>
      <c r="W44" s="263">
        <f>IF($C44="","",VLOOKUP($C44+$F$11*1000,DSS_Calc!$A:$JV,W$30,FALSE))</f>
        <v>0.31010349260508041</v>
      </c>
      <c r="X44" s="294" t="s">
        <v>2</v>
      </c>
      <c r="Y44" s="262">
        <f>IF(U44=0,0,U44*Q44)</f>
        <v>876.21032007296492</v>
      </c>
      <c r="Z44" s="262">
        <f>IF(V44=0,0,V44*R44)</f>
        <v>872.44235489628886</v>
      </c>
      <c r="AA44" s="262">
        <f>IF(W44=0,0,W44*S44)</f>
        <v>1779.5943013729764</v>
      </c>
      <c r="AB44" s="294" t="s">
        <v>2</v>
      </c>
      <c r="AC44" s="262">
        <f>SUM(Y44:AA44)</f>
        <v>3528.2469763422305</v>
      </c>
      <c r="AD44" s="264">
        <f>AC44*AE44/1000/1000</f>
        <v>6.0053896238856979</v>
      </c>
      <c r="AE44" s="265">
        <f>IF($C44="","",VLOOKUP($C44+$F$11*1000,DSS_Calc!$A:$JV,AE$30,FALSE))</f>
        <v>1702.0887891786833</v>
      </c>
      <c r="AF44" s="264">
        <f>IF($C44="","",VLOOKUP($C44+$F$11*1000,DSS_Calc!$A:$JV,AF$30,FALSE))</f>
        <v>4.0514019869765532</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f>AI45/((Q45*U44+R45*V44+S45*W44)/(VLOOKUP($C44+$F$11*1000,DSS_Calc!$A:$JV,DSS_Calc!BX$92,FALSE)-$AC$33))</f>
        <v>16.626088947446799</v>
      </c>
      <c r="B45" s="402"/>
      <c r="C45" s="564">
        <f>AI45/(AC45/(VLOOKUP($C44+$F$11*1000,DSS_Calc!$A:$JV,DSS_Calc!BX$92,FALSE)-$AC$33))</f>
        <v>1.2022118479515305</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250.00000000000023</v>
      </c>
      <c r="R45" s="267">
        <f t="shared" si="13"/>
        <v>3.3096549245783535E-2</v>
      </c>
      <c r="S45" s="267">
        <f t="shared" si="13"/>
        <v>-360</v>
      </c>
      <c r="T45" s="294"/>
      <c r="U45" s="268">
        <f>U44-U$33</f>
        <v>4.2701142476839982E-2</v>
      </c>
      <c r="V45" s="268">
        <f>V44-V$33</f>
        <v>2.5245611567027426E-3</v>
      </c>
      <c r="W45" s="268">
        <f>W44-W$33</f>
        <v>-4.5225703633542613E-2</v>
      </c>
      <c r="X45" s="294"/>
      <c r="Y45" s="267">
        <f>Y44-Y$33</f>
        <v>182.75898718400947</v>
      </c>
      <c r="Z45" s="267">
        <f>Z44-Z$33</f>
        <v>7.3401644501469718</v>
      </c>
      <c r="AA45" s="267">
        <f>AA44-AA$33</f>
        <v>-387.45575024846471</v>
      </c>
      <c r="AB45" s="294"/>
      <c r="AC45" s="267">
        <f>IFERROR(AC44-AC$33,NA())</f>
        <v>-197.35659861430804</v>
      </c>
      <c r="AD45" s="269">
        <f>AD44-AD$33</f>
        <v>-0.43155500969333538</v>
      </c>
      <c r="AE45" s="270">
        <f t="shared" si="3"/>
        <v>-25.67008373202998</v>
      </c>
      <c r="AF45" s="269">
        <f t="shared" si="3"/>
        <v>0.27988331996263716</v>
      </c>
      <c r="AG45" s="268">
        <f>AF45/AF$33</f>
        <v>7.4209713559295093E-2</v>
      </c>
      <c r="AH45" s="268"/>
      <c r="AI45" s="301">
        <f>IFERROR(AE45/$AE$33,NA())</f>
        <v>-1.485744575502264E-2</v>
      </c>
      <c r="AJ45" s="289"/>
      <c r="AK45" s="751"/>
      <c r="AL45" s="750">
        <f>$AE44*U44-$AE$33*U$33</f>
        <v>63.780659005277357</v>
      </c>
      <c r="AM45" s="750">
        <f>$AE44*V44-$AE$33*V$33</f>
        <v>-3.3512493800562311</v>
      </c>
      <c r="AN45" s="750">
        <f>$AE44*W44-$AE$33*W$33</f>
        <v>-86.099493357250822</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51</v>
      </c>
      <c r="D46" s="396" t="str">
        <f>"Scenario " &amp; A46</f>
        <v>Scenario G</v>
      </c>
      <c r="E46" s="272" t="s">
        <v>2</v>
      </c>
      <c r="F46" s="397">
        <f>IF($C46="","",VLOOKUP($C46+$F$11*1000,DSS_Calc!$A:$JV,F$30,FALSE))</f>
        <v>1250</v>
      </c>
      <c r="G46" s="397" t="str">
        <f>IF($C46="","",VLOOKUP($C46+$F$11*1000,DSS_Calc!$A:$JV,G$30,FALSE))</f>
        <v>0/0/0.9/3.9</v>
      </c>
      <c r="H46" s="397">
        <f>IF($C46="","",VLOOKUP($C46+$F$11*1000,DSS_Calc!$A:$JV,H$30,FALSE))</f>
        <v>0</v>
      </c>
      <c r="I46" s="397">
        <f>IF($C46="","",VLOOKUP($C46+$F$11*1000,DSS_Calc!$A:$JV,I$30,FALSE))</f>
        <v>0</v>
      </c>
      <c r="J46" s="397">
        <f>IF($C46="","",VLOOKUP($C46+$F$11*1000,DSS_Calc!$A:$JV,J$30,FALSE))</f>
        <v>4622</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1999.9999999999998</v>
      </c>
      <c r="R46" s="397">
        <f>IF($C46="","",VLOOKUP($C46+$F$11*1000,DSS_Calc!$A:$JV,R$30,FALSE)*IF(V46=0,0,1))</f>
        <v>3246.658316089743</v>
      </c>
      <c r="S46" s="397">
        <f>IF($C46="","",VLOOKUP($C46+$F$11*1000,DSS_Calc!$A:$JV,S$30,FALSE)*IF(W46=0,0,1))</f>
        <v>5738.7109265464023</v>
      </c>
      <c r="T46" s="294" t="s">
        <v>2</v>
      </c>
      <c r="U46" s="398">
        <f>IF($C46="","",VLOOKUP($C46+$F$11*1000,DSS_Calc!$A:$JV,U$30,FALSE))</f>
        <v>0.35541724355813986</v>
      </c>
      <c r="V46" s="398">
        <f>IF($C46="","",VLOOKUP($C46+$F$11*1000,DSS_Calc!$A:$JV,V$30,FALSE))</f>
        <v>0.33295324290730466</v>
      </c>
      <c r="W46" s="398">
        <f>IF($C46="","",VLOOKUP($C46+$F$11*1000,DSS_Calc!$A:$JV,W$30,FALSE))</f>
        <v>0.31162951353455554</v>
      </c>
      <c r="X46" s="294" t="s">
        <v>2</v>
      </c>
      <c r="Y46" s="397">
        <f>IF(U46=0,0,U46*Q46)</f>
        <v>710.83448711627966</v>
      </c>
      <c r="Z46" s="397">
        <f>IF(V46=0,0,V46*R46)</f>
        <v>1080.985414954049</v>
      </c>
      <c r="AA46" s="397">
        <f>IF(W46=0,0,W46*S46)</f>
        <v>1788.3516943550937</v>
      </c>
      <c r="AB46" s="294" t="s">
        <v>2</v>
      </c>
      <c r="AC46" s="397">
        <f>SUM(Y46:AA46)</f>
        <v>3580.1715964254226</v>
      </c>
      <c r="AD46" s="399">
        <f>AC46*AE46/1000/1000</f>
        <v>6.145460874262306</v>
      </c>
      <c r="AE46" s="400">
        <f>IF($C46="","",VLOOKUP($C46+$F$11*1000,DSS_Calc!$A:$JV,AE$30,FALSE))</f>
        <v>1716.5269062516904</v>
      </c>
      <c r="AF46" s="399">
        <f>IF($C46="","",VLOOKUP($C46+$F$11*1000,DSS_Calc!$A:$JV,AF$30,FALSE))</f>
        <v>3.9966383513258066</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0/0/0.9/3.9, -360 Lease</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f>AI47/((Q47*U46+R47*V46+S47*W46)/(VLOOKUP($C46+$F$11*1000,DSS_Calc!$A:$JV,DSS_Calc!BX$92,FALSE)-$AC$33))</f>
        <v>-50.68131256425967</v>
      </c>
      <c r="B47" s="402"/>
      <c r="C47" s="564">
        <v>3</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343.09627699525845</v>
      </c>
      <c r="S47" s="404">
        <f t="shared" si="15"/>
        <v>-360</v>
      </c>
      <c r="T47" s="294"/>
      <c r="U47" s="405">
        <f>U46-U$33</f>
        <v>8.6915771136620856E-3</v>
      </c>
      <c r="V47" s="405">
        <f>V46-V$33</f>
        <v>3.5008105590405514E-2</v>
      </c>
      <c r="W47" s="405">
        <f>W46-W$33</f>
        <v>-4.3699682704067488E-2</v>
      </c>
      <c r="X47" s="294"/>
      <c r="Y47" s="404">
        <f>Y46-Y$33</f>
        <v>17.383154227324212</v>
      </c>
      <c r="Z47" s="404">
        <f>Z46-Z$33</f>
        <v>215.88322450790713</v>
      </c>
      <c r="AA47" s="404">
        <f>AA46-AA$33</f>
        <v>-378.69835726634733</v>
      </c>
      <c r="AB47" s="294"/>
      <c r="AC47" s="404">
        <f>IFERROR(AC46-AC$33,NA())</f>
        <v>-145.43197853111587</v>
      </c>
      <c r="AD47" s="406">
        <f>AD46-AD$33</f>
        <v>-0.29148375931672721</v>
      </c>
      <c r="AE47" s="407">
        <f t="shared" si="3"/>
        <v>-11.231966659022874</v>
      </c>
      <c r="AF47" s="406">
        <f t="shared" si="3"/>
        <v>0.22511968431189056</v>
      </c>
      <c r="AG47" s="405">
        <f>AF47/AF$33</f>
        <v>5.9689399466801026E-2</v>
      </c>
      <c r="AH47" s="405"/>
      <c r="AI47" s="408">
        <f>IFERROR(AE47/$AE$33,NA())</f>
        <v>-6.5008878467518174E-3</v>
      </c>
      <c r="AJ47" s="289"/>
      <c r="AK47" s="751"/>
      <c r="AL47" s="750">
        <f>$AE46*U46-$AE$33*U$33</f>
        <v>11.024914848030448</v>
      </c>
      <c r="AM47" s="750">
        <f>$AE46*V46-$AE$33*V$33</f>
        <v>56.745845334269916</v>
      </c>
      <c r="AN47" s="750">
        <f>$AE46*W46-$AE$33*W$33</f>
        <v>-79.00272684132301</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62</v>
      </c>
      <c r="D48" s="261" t="str">
        <f>"Scenario " &amp; A48</f>
        <v>Scenario H</v>
      </c>
      <c r="E48" s="272" t="s">
        <v>2</v>
      </c>
      <c r="F48" s="262">
        <f>IF($C48="","",VLOOKUP($C48+$F$11*1000,DSS_Calc!$A:$JV,F$30,FALSE))</f>
        <v>2250</v>
      </c>
      <c r="G48" s="262" t="str">
        <f>IF($C48="","",VLOOKUP($C48+$F$11*1000,DSS_Calc!$A:$JV,G$30,FALSE))</f>
        <v>0/0/0.9/3.9</v>
      </c>
      <c r="H48" s="262">
        <f>IF($C48="","",VLOOKUP($C48+$F$11*1000,DSS_Calc!$A:$JV,H$30,FALSE))</f>
        <v>0</v>
      </c>
      <c r="I48" s="262">
        <f>IF($C48="","",VLOOKUP($C48+$F$11*1000,DSS_Calc!$A:$JV,I$30,FALSE))</f>
        <v>0</v>
      </c>
      <c r="J48" s="262">
        <f>IF($C48="","",VLOOKUP($C48+$F$11*1000,DSS_Calc!$A:$JV,J$30,FALSE))</f>
        <v>4622</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3000</v>
      </c>
      <c r="R48" s="262">
        <f>IF($C48="","",VLOOKUP($C48+$F$11*1000,DSS_Calc!$A:$JV,R$30,FALSE)*IF(V48=0,0,1))</f>
        <v>3246.5841655121521</v>
      </c>
      <c r="S48" s="262">
        <f>IF($C48="","",VLOOKUP($C48+$F$11*1000,DSS_Calc!$A:$JV,S$30,FALSE)*IF(W48=0,0,1))</f>
        <v>5738.7109265464023</v>
      </c>
      <c r="T48" s="294" t="s">
        <v>2</v>
      </c>
      <c r="U48" s="263">
        <f>IF($C48="","",VLOOKUP($C48+$F$11*1000,DSS_Calc!$A:$JV,U$30,FALSE))</f>
        <v>0.43206385483823762</v>
      </c>
      <c r="V48" s="263">
        <f>IF($C48="","",VLOOKUP($C48+$F$11*1000,DSS_Calc!$A:$JV,V$30,FALSE))</f>
        <v>0.30053292981411212</v>
      </c>
      <c r="W48" s="263">
        <f>IF($C48="","",VLOOKUP($C48+$F$11*1000,DSS_Calc!$A:$JV,W$30,FALSE))</f>
        <v>0.26740321534765021</v>
      </c>
      <c r="X48" s="294" t="s">
        <v>2</v>
      </c>
      <c r="Y48" s="262">
        <f>IF(U48=0,0,U48*Q48)</f>
        <v>1296.1915645147128</v>
      </c>
      <c r="Z48" s="262">
        <f>IF(V48=0,0,V48*R48)</f>
        <v>975.7054511494714</v>
      </c>
      <c r="AA48" s="262">
        <f>IF(W48=0,0,W48*S48)</f>
        <v>1534.549753709201</v>
      </c>
      <c r="AB48" s="294" t="s">
        <v>2</v>
      </c>
      <c r="AC48" s="262">
        <f>SUM(Y48:AA48)</f>
        <v>3806.4467693733855</v>
      </c>
      <c r="AD48" s="264">
        <f>AC48*AE48/1000/1000</f>
        <v>6.9723640848422832</v>
      </c>
      <c r="AE48" s="265">
        <f>IF($C48="","",VLOOKUP($C48+$F$11*1000,DSS_Calc!$A:$JV,AE$30,FALSE))</f>
        <v>1831.7250988354342</v>
      </c>
      <c r="AF48" s="264">
        <f>IF($C48="","",VLOOKUP($C48+$F$11*1000,DSS_Calc!$A:$JV,AF$30,FALSE))</f>
        <v>3.850383661626879</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CC, 0/0/0.9/3.9, -360 Lease</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f>AI49/((Q49*U48+R49*V48+S49*W48)/(VLOOKUP($C48+$F$11*1000,DSS_Calc!$A:$JV,DSS_Calc!BX$92,FALSE)-$AC$33))</f>
        <v>2.1894942141166198</v>
      </c>
      <c r="B49" s="402"/>
      <c r="C49" s="564">
        <f>AI49/(AC49/(VLOOKUP($C48+$F$11*1000,DSS_Calc!$A:$JV,DSS_Calc!BX$92,FALSE)-$AC$33))</f>
        <v>11.88650515840817</v>
      </c>
      <c r="D49" s="266" t="s">
        <v>141</v>
      </c>
      <c r="F49" s="267">
        <f>ROUND(F48-F$33,0)</f>
        <v>1000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1000.0000000000002</v>
      </c>
      <c r="R49" s="267">
        <f t="shared" si="17"/>
        <v>343.02212641766755</v>
      </c>
      <c r="S49" s="267">
        <f t="shared" si="17"/>
        <v>-360</v>
      </c>
      <c r="T49" s="294"/>
      <c r="U49" s="268">
        <f>U48-U$33</f>
        <v>8.533818839375984E-2</v>
      </c>
      <c r="V49" s="268">
        <f>V48-V$33</f>
        <v>2.5877924972129707E-3</v>
      </c>
      <c r="W49" s="268">
        <f>W48-W$33</f>
        <v>-8.792598089097281E-2</v>
      </c>
      <c r="X49" s="294"/>
      <c r="Y49" s="267">
        <f>Y48-Y$33</f>
        <v>602.74023162575736</v>
      </c>
      <c r="Z49" s="267">
        <f>Z48-Z$33</f>
        <v>110.60326070332951</v>
      </c>
      <c r="AA49" s="267">
        <f>AA48-AA$33</f>
        <v>-632.50029791224006</v>
      </c>
      <c r="AB49" s="294"/>
      <c r="AC49" s="267">
        <f>IFERROR(AC48-AC$33,NA())</f>
        <v>80.843194416846927</v>
      </c>
      <c r="AD49" s="269">
        <f>AD48-AD$33</f>
        <v>0.53541945126324997</v>
      </c>
      <c r="AE49" s="270">
        <f t="shared" si="3"/>
        <v>103.9662259247209</v>
      </c>
      <c r="AF49" s="269">
        <f t="shared" si="3"/>
        <v>7.8864994612962924E-2</v>
      </c>
      <c r="AG49" s="268">
        <f>AF49/AF$33</f>
        <v>2.0910673279367315E-2</v>
      </c>
      <c r="AH49" s="268"/>
      <c r="AI49" s="301">
        <f>IFERROR(AE49/$AE$33,NA())</f>
        <v>6.0174036756397341E-2</v>
      </c>
      <c r="AJ49" s="289"/>
      <c r="AK49" s="751"/>
      <c r="AL49" s="750">
        <f>$AE48*U48-$AE$33*U$33</f>
        <v>192.3638605414626</v>
      </c>
      <c r="AM49" s="750">
        <f>$AE48*V48-$AE$33*V$33</f>
        <v>35.716355927183827</v>
      </c>
      <c r="AN49" s="750">
        <f>$AE48*W48-$AE$33*W$33</f>
        <v>-124.11399054392547</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61</v>
      </c>
      <c r="D50" s="396" t="str">
        <f>"Scenario " &amp; A50</f>
        <v>Scenario I</v>
      </c>
      <c r="E50" s="272" t="s">
        <v>2</v>
      </c>
      <c r="F50" s="397">
        <f>IF($C50="","",VLOOKUP($C50+$F$11*1000,DSS_Calc!$A:$JV,F$30,FALSE))</f>
        <v>2000</v>
      </c>
      <c r="G50" s="397" t="str">
        <f>IF($C50="","",VLOOKUP($C50+$F$11*1000,DSS_Calc!$A:$JV,G$30,FALSE))</f>
        <v>0/0/0.9/3.9</v>
      </c>
      <c r="H50" s="397">
        <f>IF($C50="","",VLOOKUP($C50+$F$11*1000,DSS_Calc!$A:$JV,H$30,FALSE))</f>
        <v>0</v>
      </c>
      <c r="I50" s="397">
        <f>IF($C50="","",VLOOKUP($C50+$F$11*1000,DSS_Calc!$A:$JV,I$30,FALSE))</f>
        <v>0</v>
      </c>
      <c r="J50" s="397">
        <f>IF($C50="","",VLOOKUP($C50+$F$11*1000,DSS_Calc!$A:$JV,J$30,FALSE))</f>
        <v>4622</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2750</v>
      </c>
      <c r="R50" s="397">
        <f>IF($C50="","",VLOOKUP($C50+$F$11*1000,DSS_Calc!$A:$JV,R$30,FALSE)*IF(V50=0,0,1))</f>
        <v>3246.6017616928079</v>
      </c>
      <c r="S50" s="397">
        <f>IF($C50="","",VLOOKUP($C50+$F$11*1000,DSS_Calc!$A:$JV,S$30,FALSE)*IF(W50=0,0,1))</f>
        <v>5738.7109265464023</v>
      </c>
      <c r="T50" s="294" t="s">
        <v>2</v>
      </c>
      <c r="U50" s="398">
        <f>IF($C50="","",VLOOKUP($C50+$F$11*1000,DSS_Calc!$A:$JV,U$30,FALSE))</f>
        <v>0.41311504033302698</v>
      </c>
      <c r="V50" s="398">
        <f>IF($C50="","",VLOOKUP($C50+$F$11*1000,DSS_Calc!$A:$JV,V$30,FALSE))</f>
        <v>0.3086150775906748</v>
      </c>
      <c r="W50" s="398">
        <f>IF($C50="","",VLOOKUP($C50+$F$11*1000,DSS_Calc!$A:$JV,W$30,FALSE))</f>
        <v>0.27826988207629821</v>
      </c>
      <c r="X50" s="294" t="s">
        <v>2</v>
      </c>
      <c r="Y50" s="397">
        <f>IF(U50=0,0,U50*Q50)</f>
        <v>1136.0663609158241</v>
      </c>
      <c r="Z50" s="397">
        <f>IF(V50=0,0,V50*R50)</f>
        <v>1001.9502545908474</v>
      </c>
      <c r="AA50" s="397">
        <f>IF(W50=0,0,W50*S50)</f>
        <v>1596.9104128000315</v>
      </c>
      <c r="AB50" s="294" t="s">
        <v>2</v>
      </c>
      <c r="AC50" s="397">
        <f>SUM(Y50:AA50)</f>
        <v>3734.9270283067035</v>
      </c>
      <c r="AD50" s="399">
        <f>AC50*AE50/1000/1000</f>
        <v>6.7256720105882541</v>
      </c>
      <c r="AE50" s="400">
        <f>IF($C50="","",VLOOKUP($C50+$F$11*1000,DSS_Calc!$A:$JV,AE$30,FALSE))</f>
        <v>1800.7505794932381</v>
      </c>
      <c r="AF50" s="399">
        <f>IF($C50="","",VLOOKUP($C50+$F$11*1000,DSS_Calc!$A:$JV,AF$30,FALSE))</f>
        <v>3.9140627883475432</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+750 CC, 0/0/0.9/3.9, -360 Lease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f>AI51/((Q51*U50+R51*V50+S51*W50)/(VLOOKUP($C50+$F$11*1000,DSS_Calc!$A:$JV,DSS_Calc!BX$92,FALSE)-$AC$33))</f>
        <v>2.1381750113056839</v>
      </c>
      <c r="B51" s="402"/>
      <c r="C51" s="564">
        <f>AI51/(AC51/(VLOOKUP($C50+$F$11*1000,DSS_Calc!$A:$JV,DSS_Calc!BX$92,FALSE)-$AC$33))</f>
        <v>72.360587725905702</v>
      </c>
      <c r="D51" s="403" t="s">
        <v>141</v>
      </c>
      <c r="F51" s="404">
        <f>ROUND(F50-F$33,0)</f>
        <v>750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750.00000000000023</v>
      </c>
      <c r="R51" s="404">
        <f t="shared" si="19"/>
        <v>343.03972259832335</v>
      </c>
      <c r="S51" s="404">
        <f t="shared" si="19"/>
        <v>-360</v>
      </c>
      <c r="T51" s="294"/>
      <c r="U51" s="405">
        <f>U50-U$33</f>
        <v>6.6389373888549208E-2</v>
      </c>
      <c r="V51" s="405">
        <f>V50-V$33</f>
        <v>1.0669940273775658E-2</v>
      </c>
      <c r="W51" s="405">
        <f>W50-W$33</f>
        <v>-7.705931416232481E-2</v>
      </c>
      <c r="X51" s="294"/>
      <c r="Y51" s="404">
        <f>Y50-Y$33</f>
        <v>442.61502802686869</v>
      </c>
      <c r="Z51" s="404">
        <f>Z50-Z$33</f>
        <v>136.84806414470552</v>
      </c>
      <c r="AA51" s="404">
        <f>AA50-AA$33</f>
        <v>-570.13963882140956</v>
      </c>
      <c r="AB51" s="294"/>
      <c r="AC51" s="404">
        <f>IFERROR(AC50-AC$33,NA())</f>
        <v>9.3234533501649821</v>
      </c>
      <c r="AD51" s="406">
        <f>AD50-AD$33</f>
        <v>0.28872737700922091</v>
      </c>
      <c r="AE51" s="407">
        <f t="shared" ref="AE51:AF61" si="20">AE50-AE$33</f>
        <v>72.991706582524785</v>
      </c>
      <c r="AF51" s="406">
        <f t="shared" si="20"/>
        <v>0.14254412133362715</v>
      </c>
      <c r="AG51" s="405">
        <f>AF51/AF$33</f>
        <v>3.7794886866219825E-2</v>
      </c>
      <c r="AH51" s="405"/>
      <c r="AI51" s="408">
        <f>IFERROR(AE51/$AE$33,NA())</f>
        <v>4.2246466058980463E-2</v>
      </c>
      <c r="AJ51" s="289"/>
      <c r="AK51" s="749"/>
      <c r="AL51" s="750">
        <f>$AE50*U50-$AE$33*U$33</f>
        <v>144.85880161174384</v>
      </c>
      <c r="AM51" s="750">
        <f>$AE50*V50-$AE$33*V$33</f>
        <v>40.961425171884912</v>
      </c>
      <c r="AN51" s="750">
        <f>$AE50*W50-$AE$33*W$33</f>
        <v>-112.82852020110391</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60</v>
      </c>
      <c r="D52" s="261" t="str">
        <f>"Scenario " &amp; A52</f>
        <v>Scenario J</v>
      </c>
      <c r="E52" s="272" t="s">
        <v>2</v>
      </c>
      <c r="F52" s="262">
        <f>IF($C52="","",VLOOKUP($C52+$F$11*1000,DSS_Calc!$A:$JV,F$30,FALSE))</f>
        <v>1750</v>
      </c>
      <c r="G52" s="262" t="str">
        <f>IF($C52="","",VLOOKUP($C52+$F$11*1000,DSS_Calc!$A:$JV,G$30,FALSE))</f>
        <v>0/0/0.9/3.9</v>
      </c>
      <c r="H52" s="262">
        <f>IF($C52="","",VLOOKUP($C52+$F$11*1000,DSS_Calc!$A:$JV,H$30,FALSE))</f>
        <v>0</v>
      </c>
      <c r="I52" s="262">
        <f>IF($C52="","",VLOOKUP($C52+$F$11*1000,DSS_Calc!$A:$JV,I$30,FALSE))</f>
        <v>0</v>
      </c>
      <c r="J52" s="262">
        <f>IF($C52="","",VLOOKUP($C52+$F$11*1000,DSS_Calc!$A:$JV,J$30,FALSE))</f>
        <v>4622</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2500</v>
      </c>
      <c r="R52" s="262">
        <f>IF($C52="","",VLOOKUP($C52+$F$11*1000,DSS_Calc!$A:$JV,R$30,FALSE)*IF(V52=0,0,1))</f>
        <v>3246.6199889450845</v>
      </c>
      <c r="S52" s="262">
        <f>IF($C52="","",VLOOKUP($C52+$F$11*1000,DSS_Calc!$A:$JV,S$30,FALSE)*IF(W52=0,0,1))</f>
        <v>5738.7109265464023</v>
      </c>
      <c r="T52" s="294" t="s">
        <v>2</v>
      </c>
      <c r="U52" s="263">
        <f>IF($C52="","",VLOOKUP($C52+$F$11*1000,DSS_Calc!$A:$JV,U$30,FALSE))</f>
        <v>0.39399419351850679</v>
      </c>
      <c r="V52" s="263">
        <f>IF($C52="","",VLOOKUP($C52+$F$11*1000,DSS_Calc!$A:$JV,V$30,FALSE))</f>
        <v>0.31672272354914194</v>
      </c>
      <c r="W52" s="263">
        <f>IF($C52="","",VLOOKUP($C52+$F$11*1000,DSS_Calc!$A:$JV,W$30,FALSE))</f>
        <v>0.28928308293235128</v>
      </c>
      <c r="X52" s="294" t="s">
        <v>2</v>
      </c>
      <c r="Y52" s="262">
        <f>IF(U52=0,0,U52*Q52)</f>
        <v>984.98548379626698</v>
      </c>
      <c r="Z52" s="262">
        <f>IF(V52=0,0,V52*R52)</f>
        <v>1028.2783252277723</v>
      </c>
      <c r="AA52" s="262">
        <f>IF(W52=0,0,W52*S52)</f>
        <v>1660.1119888889134</v>
      </c>
      <c r="AB52" s="294" t="s">
        <v>2</v>
      </c>
      <c r="AC52" s="262">
        <f>SUM(Y52:AA52)</f>
        <v>3673.3757979129527</v>
      </c>
      <c r="AD52" s="264">
        <f>AC52*AE52/1000/1000</f>
        <v>6.5064621146678077</v>
      </c>
      <c r="AE52" s="265">
        <f>IF($C52="","",VLOOKUP($C52+$F$11*1000,DSS_Calc!$A:$JV,AE$30,FALSE))</f>
        <v>1771.2487021786574</v>
      </c>
      <c r="AF52" s="264">
        <f>IF($C52="","",VLOOKUP($C52+$F$11*1000,DSS_Calc!$A:$JV,AF$30,FALSE))</f>
        <v>3.9589608421547897</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0/0/0.9/3.9, -360 Lease</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f>AI53/((Q53*U52+R53*V52+S53*W52)/(VLOOKUP($C52+$F$11*1000,DSS_Calc!$A:$JV,DSS_Calc!BX$92,FALSE)-$AC$33))</f>
        <v>1.9947923183549823</v>
      </c>
      <c r="B53" s="402"/>
      <c r="C53" s="564">
        <f>AI53/(AC53/(VLOOKUP($C52+$F$11*1000,DSS_Calc!$A:$JV,DSS_Calc!BX$92,FALSE)-$AC$33))</f>
        <v>-7.6964691204249931</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500.00000000000023</v>
      </c>
      <c r="R53" s="267">
        <f t="shared" si="22"/>
        <v>343.05794985059993</v>
      </c>
      <c r="S53" s="267">
        <f t="shared" si="22"/>
        <v>-360</v>
      </c>
      <c r="T53" s="294"/>
      <c r="U53" s="268">
        <f>U52-U$33</f>
        <v>4.726852707402901E-2</v>
      </c>
      <c r="V53" s="268">
        <f>V52-V$33</f>
        <v>1.8777586232242793E-2</v>
      </c>
      <c r="W53" s="268">
        <f>W52-W$33</f>
        <v>-6.6046113306271748E-2</v>
      </c>
      <c r="X53" s="294"/>
      <c r="Y53" s="267">
        <f>Y52-Y$33</f>
        <v>291.53415090731153</v>
      </c>
      <c r="Z53" s="267">
        <f>Z52-Z$33</f>
        <v>163.17613478163037</v>
      </c>
      <c r="AA53" s="267">
        <f>AA52-AA$33</f>
        <v>-506.93806273252767</v>
      </c>
      <c r="AB53" s="294"/>
      <c r="AC53" s="267">
        <f>IFERROR(AC52-AC$33,NA())</f>
        <v>-52.227777043585775</v>
      </c>
      <c r="AD53" s="269">
        <f>AD52-AD$33</f>
        <v>6.9517481088774424E-2</v>
      </c>
      <c r="AE53" s="270">
        <f t="shared" si="20"/>
        <v>43.48982926794406</v>
      </c>
      <c r="AF53" s="269">
        <f t="shared" si="20"/>
        <v>0.18744217514087369</v>
      </c>
      <c r="AG53" s="268">
        <f>AF53/AF$33</f>
        <v>4.969938947412933E-2</v>
      </c>
      <c r="AH53" s="268"/>
      <c r="AI53" s="301">
        <f>IFERROR(AE53/$AE$33,NA())</f>
        <v>2.5171237693994767E-2</v>
      </c>
      <c r="AJ53" s="289"/>
      <c r="AK53" s="749"/>
      <c r="AL53" s="750">
        <f>$AE52*U52-$AE$33*U$33</f>
        <v>98.803357270254992</v>
      </c>
      <c r="AM53" s="750">
        <f>$AE52*V52-$AE$33*V$33</f>
        <v>46.217358397033991</v>
      </c>
      <c r="AN53" s="750">
        <f>$AE52*W52-$AE$33*W$33</f>
        <v>-101.53088639934481</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59</v>
      </c>
      <c r="D54" s="396" t="str">
        <f>"Scenario " &amp; A54</f>
        <v>Scenario K</v>
      </c>
      <c r="E54" s="272" t="s">
        <v>2</v>
      </c>
      <c r="F54" s="397">
        <f>IF($C54="","",VLOOKUP($C54+$F$11*1000,DSS_Calc!$A:$JV,F$30,FALSE))</f>
        <v>1500</v>
      </c>
      <c r="G54" s="397" t="str">
        <f>IF($C54="","",VLOOKUP($C54+$F$11*1000,DSS_Calc!$A:$JV,G$30,FALSE))</f>
        <v>0/0/0.9/3.9</v>
      </c>
      <c r="H54" s="397">
        <f>IF($C54="","",VLOOKUP($C54+$F$11*1000,DSS_Calc!$A:$JV,H$30,FALSE))</f>
        <v>0</v>
      </c>
      <c r="I54" s="397">
        <f>IF($C54="","",VLOOKUP($C54+$F$11*1000,DSS_Calc!$A:$JV,I$30,FALSE))</f>
        <v>0</v>
      </c>
      <c r="J54" s="397">
        <f>IF($C54="","",VLOOKUP($C54+$F$11*1000,DSS_Calc!$A:$JV,J$30,FALSE))</f>
        <v>4622</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2250</v>
      </c>
      <c r="R54" s="397">
        <f>IF($C54="","",VLOOKUP($C54+$F$11*1000,DSS_Calc!$A:$JV,R$30,FALSE)*IF(V54=0,0,1))</f>
        <v>3246.6388428111218</v>
      </c>
      <c r="S54" s="397">
        <f>IF($C54="","",VLOOKUP($C54+$F$11*1000,DSS_Calc!$A:$JV,S$30,FALSE)*IF(W54=0,0,1))</f>
        <v>5738.7109265464023</v>
      </c>
      <c r="T54" s="294" t="s">
        <v>2</v>
      </c>
      <c r="U54" s="398">
        <f>IF($C54="","",VLOOKUP($C54+$F$11*1000,DSS_Calc!$A:$JV,U$30,FALSE))</f>
        <v>0.37474599460992813</v>
      </c>
      <c r="V54" s="398">
        <f>IF($C54="","",VLOOKUP($C54+$F$11*1000,DSS_Calc!$A:$JV,V$30,FALSE))</f>
        <v>0.32484064439147187</v>
      </c>
      <c r="W54" s="398">
        <f>IF($C54="","",VLOOKUP($C54+$F$11*1000,DSS_Calc!$A:$JV,W$30,FALSE))</f>
        <v>0.30041336099860005</v>
      </c>
      <c r="X54" s="294" t="s">
        <v>2</v>
      </c>
      <c r="Y54" s="397">
        <f>IF(U54=0,0,U54*Q54)</f>
        <v>843.17848787233834</v>
      </c>
      <c r="Z54" s="397">
        <f>IF(V54=0,0,V54*R54)</f>
        <v>1054.6402538051473</v>
      </c>
      <c r="AA54" s="397">
        <f>IF(W54=0,0,W54*S54)</f>
        <v>1723.9854372431951</v>
      </c>
      <c r="AB54" s="294" t="s">
        <v>2</v>
      </c>
      <c r="AC54" s="397">
        <f>SUM(Y54:AA54)</f>
        <v>3621.8041789206809</v>
      </c>
      <c r="AD54" s="399">
        <f>AC54*AE54/1000/1000</f>
        <v>6.313477003583464</v>
      </c>
      <c r="AE54" s="400">
        <f>IF($C54="","",VLOOKUP($C54+$F$11*1000,DSS_Calc!$A:$JV,AE$30,FALSE))</f>
        <v>1743.1856311637803</v>
      </c>
      <c r="AF54" s="399">
        <f>IF($C54="","",VLOOKUP($C54+$F$11*1000,DSS_Calc!$A:$JV,AF$30,FALSE))</f>
        <v>3.9861352981477314</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0/0/0.9/3.9, -360 Lease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f>AI55/((Q55*U54+R55*V54+S55*W54)/(VLOOKUP($C54+$F$11*1000,DSS_Calc!$A:$JV,DSS_Calc!BX$92,FALSE)-$AC$33))</f>
        <v>1.4702274439146534</v>
      </c>
      <c r="B55" s="402"/>
      <c r="C55" s="564">
        <f>AI55/(AC55/(VLOOKUP($C54+$F$11*1000,DSS_Calc!$A:$JV,DSS_Calc!BX$92,FALSE)-$AC$33))</f>
        <v>-1.373678868136442</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250.00000000000023</v>
      </c>
      <c r="R55" s="404">
        <f t="shared" si="24"/>
        <v>343.07680371663719</v>
      </c>
      <c r="S55" s="404">
        <f t="shared" si="24"/>
        <v>-360</v>
      </c>
      <c r="T55" s="294"/>
      <c r="U55" s="405">
        <f>U54-U$33</f>
        <v>2.8020328165450359E-2</v>
      </c>
      <c r="V55" s="405">
        <f>V54-V$33</f>
        <v>2.6895507074572722E-2</v>
      </c>
      <c r="W55" s="405">
        <f>W54-W$33</f>
        <v>-5.491583524002297E-2</v>
      </c>
      <c r="X55" s="294"/>
      <c r="Y55" s="404">
        <f>Y54-Y$33</f>
        <v>149.72715498338289</v>
      </c>
      <c r="Z55" s="404">
        <f>Z54-Z$33</f>
        <v>189.53806335900538</v>
      </c>
      <c r="AA55" s="404">
        <f>AA54-AA$33</f>
        <v>-443.06461437824601</v>
      </c>
      <c r="AB55" s="294"/>
      <c r="AC55" s="404">
        <f>IFERROR(AC54-AC$33,NA())</f>
        <v>-103.79939603585763</v>
      </c>
      <c r="AD55" s="406">
        <f>AD54-AD$33</f>
        <v>-0.12346762999556926</v>
      </c>
      <c r="AE55" s="407">
        <f t="shared" si="20"/>
        <v>15.426758253066964</v>
      </c>
      <c r="AF55" s="406">
        <f t="shared" si="20"/>
        <v>0.21461663113381535</v>
      </c>
      <c r="AG55" s="405">
        <f>AF55/AF$33</f>
        <v>5.6904565529762356E-2</v>
      </c>
      <c r="AH55" s="405"/>
      <c r="AI55" s="408">
        <f>IFERROR(AE55/$AE$33,NA())</f>
        <v>8.9287680676632154E-3</v>
      </c>
      <c r="AJ55" s="289"/>
      <c r="AK55" s="749"/>
      <c r="AL55" s="750">
        <f>$AE54*U54-$AE$33*U$33</f>
        <v>54.193486474879251</v>
      </c>
      <c r="AM55" s="750">
        <f>$AE54*V54-$AE$33*V$33</f>
        <v>51.480189081323601</v>
      </c>
      <c r="AN55" s="750">
        <f>$AE54*W54-$AE$33*W$33</f>
        <v>-90.246917303135774</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68</v>
      </c>
      <c r="D56" s="261" t="str">
        <f>"Scenario " &amp; A56</f>
        <v>Scenario L</v>
      </c>
      <c r="E56" s="272" t="s">
        <v>2</v>
      </c>
      <c r="F56" s="262">
        <f>IF($C56="","",VLOOKUP($C56+$F$11*1000,DSS_Calc!$A:$JV,F$30,FALSE))</f>
        <v>1750</v>
      </c>
      <c r="G56" s="262" t="str">
        <f>IF($C56="","",VLOOKUP($C56+$F$11*1000,DSS_Calc!$A:$JV,G$30,FALSE))</f>
        <v>0.9/1.9/2.9/3.9</v>
      </c>
      <c r="H56" s="262">
        <f>IF($C56="","",VLOOKUP($C56+$F$11*1000,DSS_Calc!$A:$JV,H$30,FALSE))</f>
        <v>0</v>
      </c>
      <c r="I56" s="262">
        <f>IF($C56="","",VLOOKUP($C56+$F$11*1000,DSS_Calc!$A:$JV,I$30,FALSE))</f>
        <v>0</v>
      </c>
      <c r="J56" s="262">
        <f>IF($C56="","",VLOOKUP($C56+$F$11*1000,DSS_Calc!$A:$JV,J$30,FALSE))</f>
        <v>4622</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2500</v>
      </c>
      <c r="R56" s="262">
        <f>IF($C56="","",VLOOKUP($C56+$F$11*1000,DSS_Calc!$A:$JV,R$30,FALSE)*IF(V56=0,0,1))</f>
        <v>2486.1817947457048</v>
      </c>
      <c r="S56" s="262">
        <f>IF($C56="","",VLOOKUP($C56+$F$11*1000,DSS_Calc!$A:$JV,S$30,FALSE)*IF(W56=0,0,1))</f>
        <v>5738.7109265464023</v>
      </c>
      <c r="T56" s="294" t="s">
        <v>2</v>
      </c>
      <c r="U56" s="263">
        <f>IF($C56="","",VLOOKUP($C56+$F$11*1000,DSS_Calc!$A:$JV,U$30,FALSE))</f>
        <v>0.42476409496872619</v>
      </c>
      <c r="V56" s="263">
        <f>IF($C56="","",VLOOKUP($C56+$F$11*1000,DSS_Calc!$A:$JV,V$30,FALSE))</f>
        <v>0.26675356740387707</v>
      </c>
      <c r="W56" s="263">
        <f>IF($C56="","",VLOOKUP($C56+$F$11*1000,DSS_Calc!$A:$JV,W$30,FALSE))</f>
        <v>0.30848233762739674</v>
      </c>
      <c r="X56" s="294" t="s">
        <v>2</v>
      </c>
      <c r="Y56" s="262">
        <f>IF(U56=0,0,U56*Q56)</f>
        <v>1061.9102374218155</v>
      </c>
      <c r="Z56" s="262">
        <f>IF(V56=0,0,V56*R56)</f>
        <v>663.19786296299037</v>
      </c>
      <c r="AA56" s="262">
        <f>IF(W56=0,0,W56*S56)</f>
        <v>1770.290961588918</v>
      </c>
      <c r="AB56" s="294" t="s">
        <v>2</v>
      </c>
      <c r="AC56" s="262">
        <f>SUM(Y56:AA56)</f>
        <v>3495.3990619737237</v>
      </c>
      <c r="AD56" s="264">
        <f>AC56*AE56/1000/1000</f>
        <v>5.8869767435291118</v>
      </c>
      <c r="AE56" s="265">
        <f>IF($C56="","",VLOOKUP($C56+$F$11*1000,DSS_Calc!$A:$JV,AE$30,FALSE))</f>
        <v>1684.2073363162576</v>
      </c>
      <c r="AF56" s="264">
        <f>IF($C56="","",VLOOKUP($C56+$F$11*1000,DSS_Calc!$A:$JV,AF$30,FALSE))</f>
        <v>4.0641623030954968</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0.9/1.9/2.9/3.9, -360 Lease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f>AI57/((Q57*U56+R57*V56+S57*W56)/(VLOOKUP($C56+$F$11*1000,DSS_Calc!$A:$JV,DSS_Calc!BX$92,FALSE)-$AC$33))</f>
        <v>40.216728828340244</v>
      </c>
      <c r="B57" s="402"/>
      <c r="C57" s="564">
        <f>AI57/(AC57/(VLOOKUP($C56+$F$11*1000,DSS_Calc!$A:$JV,DSS_Calc!BX$92,FALSE)-$AC$33))</f>
        <v>1.7486182998274058</v>
      </c>
      <c r="D57" s="266" t="s">
        <v>141</v>
      </c>
      <c r="F57" s="267">
        <f>ROUND(F56-F$33,0)</f>
        <v>500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500.00000000000023</v>
      </c>
      <c r="R57" s="267">
        <f t="shared" si="26"/>
        <v>-417.3802443487798</v>
      </c>
      <c r="S57" s="267">
        <f t="shared" si="26"/>
        <v>-360</v>
      </c>
      <c r="T57" s="294"/>
      <c r="U57" s="268">
        <f>U56-U$33</f>
        <v>7.8038428524248415E-2</v>
      </c>
      <c r="V57" s="268">
        <f>V56-V$33</f>
        <v>-3.1191569913022077E-2</v>
      </c>
      <c r="W57" s="268">
        <f>W56-W$33</f>
        <v>-4.6846858611226283E-2</v>
      </c>
      <c r="X57" s="294"/>
      <c r="Y57" s="267">
        <f>Y56-Y$33</f>
        <v>368.45890453286006</v>
      </c>
      <c r="Z57" s="267">
        <f>Z56-Z$33</f>
        <v>-201.90432748315152</v>
      </c>
      <c r="AA57" s="267">
        <f>AA56-AA$33</f>
        <v>-396.75909003252309</v>
      </c>
      <c r="AB57" s="294"/>
      <c r="AC57" s="267">
        <f>IFERROR(AC56-AC$33,NA())</f>
        <v>-230.20451298281478</v>
      </c>
      <c r="AD57" s="269">
        <f>AD56-AD$33</f>
        <v>-0.54996789004992142</v>
      </c>
      <c r="AE57" s="270">
        <f t="shared" si="20"/>
        <v>-43.551536594455683</v>
      </c>
      <c r="AF57" s="269">
        <f t="shared" si="20"/>
        <v>0.29264363608158073</v>
      </c>
      <c r="AG57" s="268">
        <f>AF57/AF$33</f>
        <v>7.7593049887588139E-2</v>
      </c>
      <c r="AH57" s="268"/>
      <c r="AI57" s="301">
        <f>IFERROR(AE57/$AE$33,NA())</f>
        <v>-2.5206952936138286E-2</v>
      </c>
      <c r="AJ57" s="289"/>
      <c r="AK57" s="749"/>
      <c r="AL57" s="750">
        <f>$AE56*U56-$AE$33*U$33</f>
        <v>116.3324582847373</v>
      </c>
      <c r="AM57" s="750">
        <f>$AE56*V56-$AE$33*V$33</f>
        <v>-65.509039429730251</v>
      </c>
      <c r="AN57" s="750">
        <f>$AE56*W56-$AE$33*W$33</f>
        <v>-94.374955449462618</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67</v>
      </c>
      <c r="D58" s="396" t="str">
        <f>"Scenario " &amp; A58</f>
        <v>Scenario M</v>
      </c>
      <c r="E58" s="272" t="s">
        <v>2</v>
      </c>
      <c r="F58" s="397">
        <f>IF($C58="","",VLOOKUP($C58+$F$11*1000,DSS_Calc!$A:$JV,F$30,FALSE))</f>
        <v>1500</v>
      </c>
      <c r="G58" s="397" t="str">
        <f>IF($C58="","",VLOOKUP($C58+$F$11*1000,DSS_Calc!$A:$JV,G$30,FALSE))</f>
        <v>0.9/1.9/2.9/3.9</v>
      </c>
      <c r="H58" s="397">
        <f>IF($C58="","",VLOOKUP($C58+$F$11*1000,DSS_Calc!$A:$JV,H$30,FALSE))</f>
        <v>0</v>
      </c>
      <c r="I58" s="397">
        <f>IF($C58="","",VLOOKUP($C58+$F$11*1000,DSS_Calc!$A:$JV,I$30,FALSE))</f>
        <v>0</v>
      </c>
      <c r="J58" s="397">
        <f>IF($C58="","",VLOOKUP($C58+$F$11*1000,DSS_Calc!$A:$JV,J$30,FALSE))</f>
        <v>4622</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2250</v>
      </c>
      <c r="R58" s="397">
        <f>IF($C58="","",VLOOKUP($C58+$F$11*1000,DSS_Calc!$A:$JV,R$30,FALSE)*IF(V58=0,0,1))</f>
        <v>2486.1555597018919</v>
      </c>
      <c r="S58" s="397">
        <f>IF($C58="","",VLOOKUP($C58+$F$11*1000,DSS_Calc!$A:$JV,S$30,FALSE)*IF(W58=0,0,1))</f>
        <v>5738.7109265464023</v>
      </c>
      <c r="T58" s="294" t="s">
        <v>2</v>
      </c>
      <c r="U58" s="398">
        <f>IF($C58="","",VLOOKUP($C58+$F$11*1000,DSS_Calc!$A:$JV,U$30,FALSE))</f>
        <v>0.4051915365203666</v>
      </c>
      <c r="V58" s="398">
        <f>IF($C58="","",VLOOKUP($C58+$F$11*1000,DSS_Calc!$A:$JV,V$30,FALSE))</f>
        <v>0.27382459423591254</v>
      </c>
      <c r="W58" s="398">
        <f>IF($C58="","",VLOOKUP($C58+$F$11*1000,DSS_Calc!$A:$JV,W$30,FALSE))</f>
        <v>0.3209838692437208</v>
      </c>
      <c r="X58" s="294" t="s">
        <v>2</v>
      </c>
      <c r="Y58" s="397">
        <f>IF(U58=0,0,U58*Q58)</f>
        <v>911.68095717082485</v>
      </c>
      <c r="Z58" s="397">
        <f>IF(V58=0,0,V58*R58)</f>
        <v>680.77053734272863</v>
      </c>
      <c r="AA58" s="397">
        <f>IF(W58=0,0,W58*S58)</f>
        <v>1842.0336376740822</v>
      </c>
      <c r="AB58" s="294" t="s">
        <v>2</v>
      </c>
      <c r="AC58" s="397">
        <f>SUM(Y58:AA58)</f>
        <v>3434.4851321876358</v>
      </c>
      <c r="AD58" s="399">
        <f>AC58*AE58/1000/1000</f>
        <v>5.6860558551414861</v>
      </c>
      <c r="AE58" s="400">
        <f>IF($C58="","",VLOOKUP($C58+$F$11*1000,DSS_Calc!$A:$JV,AE$30,FALSE))</f>
        <v>1655.5773678716396</v>
      </c>
      <c r="AF58" s="399">
        <f>IF($C58="","",VLOOKUP($C58+$F$11*1000,DSS_Calc!$A:$JV,AF$30,FALSE))</f>
        <v>4.0959230229280967</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+250 CC, 0.9/1.9/2.9/3.9, -360 Lease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f>AI59/((Q59*U58+R59*V58+S59*W58)/(VLOOKUP($C58+$F$11*1000,DSS_Calc!$A:$JV,DSS_Calc!BX$92,FALSE)-$AC$33))</f>
        <v>5.1898031127310507</v>
      </c>
      <c r="B59" s="402"/>
      <c r="C59" s="564">
        <f>AI59/(AC59/(VLOOKUP($C58+$F$11*1000,DSS_Calc!$A:$JV,DSS_Calc!BX$92,FALSE)-$AC$33))</f>
        <v>2.2917201521039767</v>
      </c>
      <c r="D59" s="403" t="s">
        <v>141</v>
      </c>
      <c r="F59" s="404">
        <f>ROUND(F58-F$33,0)</f>
        <v>250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250.00000000000023</v>
      </c>
      <c r="R59" s="404">
        <f t="shared" si="28"/>
        <v>-417.4064793925927</v>
      </c>
      <c r="S59" s="404">
        <f t="shared" si="28"/>
        <v>-360</v>
      </c>
      <c r="T59" s="294"/>
      <c r="U59" s="405">
        <f>U58-U$33</f>
        <v>5.8465870075888826E-2</v>
      </c>
      <c r="V59" s="405">
        <f>V58-V$33</f>
        <v>-2.4120543080986601E-2</v>
      </c>
      <c r="W59" s="405">
        <f>W58-W$33</f>
        <v>-3.4345326994902226E-2</v>
      </c>
      <c r="X59" s="294"/>
      <c r="Y59" s="404">
        <f>Y58-Y$33</f>
        <v>218.22962428186941</v>
      </c>
      <c r="Z59" s="404">
        <f>Z58-Z$33</f>
        <v>-184.33165310341326</v>
      </c>
      <c r="AA59" s="404">
        <f>AA58-AA$33</f>
        <v>-325.01641394735884</v>
      </c>
      <c r="AB59" s="294"/>
      <c r="AC59" s="404">
        <f>IFERROR(AC58-AC$33,NA())</f>
        <v>-291.1184427689027</v>
      </c>
      <c r="AD59" s="406">
        <f>AD58-AD$33</f>
        <v>-0.75088877843754709</v>
      </c>
      <c r="AE59" s="407">
        <f t="shared" si="20"/>
        <v>-72.181505039073727</v>
      </c>
      <c r="AF59" s="406">
        <f t="shared" si="20"/>
        <v>0.32440435591418071</v>
      </c>
      <c r="AG59" s="405">
        <f>AF59/AF$33</f>
        <v>8.6014251699575037E-2</v>
      </c>
      <c r="AH59" s="405"/>
      <c r="AI59" s="408">
        <f>IFERROR(AE59/$AE$33,NA())</f>
        <v>-4.1777533989723524E-2</v>
      </c>
      <c r="AJ59" s="289"/>
      <c r="AK59" s="749"/>
      <c r="AL59" s="750">
        <f>$AE58*U58-$AE$33*U$33</f>
        <v>71.767590850926922</v>
      </c>
      <c r="AM59" s="750">
        <f>$AE58*V58-$AE$33*V$33</f>
        <v>-61.439553656261523</v>
      </c>
      <c r="AN59" s="750">
        <f>$AE58*W58-$AE$33*W$33</f>
        <v>-82.509542233739126</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824</v>
      </c>
      <c r="F11" s="245">
        <v>1</v>
      </c>
      <c r="G11" s="565" t="str">
        <f>INDEX(Input!$1:$1048576,2,$F$11*2+6)&amp;" ("&amp;INDEX(Input!$1:$1048576,11,$F$11*2+6)&amp;")"</f>
        <v>MY20 Kia Forte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771</v>
      </c>
      <c r="BA12" s="389"/>
      <c r="BC12" s="744"/>
      <c r="BD12" s="744"/>
      <c r="BE12" s="744"/>
      <c r="BF12" s="744"/>
      <c r="BG12" s="744"/>
      <c r="BH12" s="744"/>
      <c r="BI12" s="744"/>
      <c r="BJ12" s="744"/>
      <c r="BK12" s="744"/>
      <c r="BL12" s="744"/>
    </row>
    <row r="13" spans="1:64" ht="15.75" customHeight="1" thickBot="1">
      <c r="A13" s="389" t="str">
        <f>ROUND(INDEX(DSS_Calc!KA:KA,MATCH($F$11*1000+6,DSS_Calc!A:A,0)),2)&amp;" (Scen 6)"</f>
        <v>3.27 (Scen 6)</v>
      </c>
      <c r="B13" s="275"/>
      <c r="D13" s="1149" t="s">
        <v>347</v>
      </c>
      <c r="E13" s="1149"/>
      <c r="F13" s="1149"/>
      <c r="G13" s="1149"/>
      <c r="H13" s="1149"/>
      <c r="I13" s="1149"/>
      <c r="J13" s="1149"/>
      <c r="K13" s="1149"/>
      <c r="L13" s="1149"/>
      <c r="M13" s="1149"/>
      <c r="N13" s="1149"/>
      <c r="O13" s="1149"/>
      <c r="P13" s="1149"/>
      <c r="Q13" s="1149"/>
      <c r="R13" s="1149"/>
      <c r="S13" s="1149"/>
      <c r="T13" s="1149"/>
      <c r="U13" s="1149"/>
      <c r="V13" s="1149"/>
      <c r="W13" s="1149"/>
      <c r="X13" s="1149"/>
      <c r="Y13" s="1149"/>
      <c r="Z13" s="1149"/>
      <c r="AA13" s="1149"/>
      <c r="AB13" s="1149"/>
      <c r="AC13" s="1149"/>
      <c r="AD13" s="1149"/>
      <c r="AE13" s="1149"/>
      <c r="AF13" s="1149"/>
      <c r="AG13" s="1149"/>
      <c r="AH13" s="1149"/>
      <c r="AI13" s="1149"/>
      <c r="AJ13" s="744"/>
      <c r="AK13" s="744"/>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43" t="str">
        <f>"Scen. # to check price sensitivity order vs #"&amp;INDEX(DSS_Calc!KN:KN,MATCH(F11*1000+1,DSS_Calc!A:A,0))</f>
        <v>Scen. # to check price sensitivity order vs #1002</v>
      </c>
      <c r="AO14" s="1144"/>
      <c r="AP14" s="1144"/>
      <c r="AQ14" s="1144"/>
      <c r="AR14" s="1144"/>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41" t="str">
        <f>"Implied Elast w/o Take Rate Shifts vs #"&amp;INDEX(DSS_Calc!KN:KN,MATCH(F11*1000+1,DSS_Calc!A:A,0))</f>
        <v>Implied Elast w/o Take Rate Shifts vs #1002</v>
      </c>
      <c r="AO16" s="1142"/>
      <c r="AP16" s="1142"/>
      <c r="AQ16" s="1142"/>
      <c r="AR16" s="1142"/>
      <c r="AS16" s="722">
        <f>INDEX(DSS_Calc!$KR:$KR,MATCH($F$11*1000+AS14,DSS_Calc!$A:$A,0))</f>
        <v>2.4171985006509011</v>
      </c>
      <c r="AT16" s="722">
        <f>INDEX(DSS_Calc!$KR:$KR,MATCH($F$11*1000+AT14,DSS_Calc!$A:$A,0))</f>
        <v>2.8698394451812814</v>
      </c>
      <c r="AU16" s="722">
        <f>INDEX(DSS_Calc!$KR:$KR,MATCH($F$11*1000+AU14,DSS_Calc!$A:$A,0))</f>
        <v>3.4670135561880295</v>
      </c>
      <c r="AV16" s="746" t="str">
        <f>IF(AND(AS16&lt;AT16,AT16&lt;AU16,AS16&lt;AW16),"ok","error in order")</f>
        <v>ok</v>
      </c>
      <c r="AW16" s="723">
        <f>ROUND(INDEX(DSS_Calc!KA:KA,MATCH($F$11*1000+6,DSS_Calc!A:A,0)),2)</f>
        <v>3.27</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43" t="s">
        <v>875</v>
      </c>
      <c r="AO17" s="1144"/>
      <c r="AP17" s="1144"/>
      <c r="AQ17" s="1144"/>
      <c r="AR17" s="1144"/>
      <c r="AS17" s="725">
        <f>INDEX(DSS_Calc!IE:IE,MATCH($F$11*1000+2,DSS_Calc!$A:$A,0))-INDEX(DSS_Calc!IE:IE,MATCH($F$11*1000+1,DSS_Calc!$A:$A,0))</f>
        <v>-1.2476042494072581E-3</v>
      </c>
      <c r="AT17" s="725">
        <f>INDEX(DSS_Calc!IF:IF,MATCH($F$11*1000+2,DSS_Calc!$A:$A,0))-INDEX(DSS_Calc!IF:IF,MATCH($F$11*1000+1,DSS_Calc!$A:$A,0))</f>
        <v>-2.1108411329092414E-3</v>
      </c>
      <c r="AU17" s="725">
        <f>INDEX(DSS_Calc!IG:IG,MATCH($F$11*1000+2,DSS_Calc!$A:$A,0))-INDEX(DSS_Calc!IG:IG,MATCH($F$11*1000+1,DSS_Calc!$A:$A,0))</f>
        <v>3.358445382316444E-3</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41" t="s">
        <v>769</v>
      </c>
      <c r="AO18" s="1142"/>
      <c r="AP18" s="1142"/>
      <c r="AQ18" s="1142"/>
      <c r="AR18" s="1142"/>
      <c r="AS18" s="726">
        <f>INDEX(DSS_Calc!JA:JA,MATCH($F$11*1000+2,DSS_Calc!$A:$A,0))-INDEX(DSS_Calc!JA:JA,MATCH($F$11*1000+1,DSS_Calc!$A:$A,0))</f>
        <v>399.99999999999977</v>
      </c>
      <c r="AT18" s="726">
        <f>INDEX(DSS_Calc!JB:JB,MATCH($F$11*1000+2,DSS_Calc!$A:$A,0))-INDEX(DSS_Calc!JB:JB,MATCH($F$11*1000+1,DSS_Calc!$A:$A,0))</f>
        <v>399.99999999999955</v>
      </c>
      <c r="AU18" s="726">
        <f>INDEX(DSS_Calc!JC:JC,MATCH($F$11*1000+2,DSS_Calc!$A:$A,0))-INDEX(DSS_Calc!JC:JC,MATCH($F$11*1000+1,DSS_Calc!$A:$A,0))</f>
        <v>324.99999999999909</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6.221451730612837E-2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1.807803979676989E-2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4.4136477509358424E-2</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45" t="s">
        <v>876</v>
      </c>
      <c r="AO20" s="1146"/>
      <c r="AP20" s="1146"/>
      <c r="AQ20" s="1146"/>
      <c r="AR20" s="1146"/>
      <c r="AS20" s="748">
        <f>IFERROR(INDEX($C:$C,MATCH(AS19,U:U,0)-1),INDEX($C:$C,MATCH(-AS19,U:U,0)-1))</f>
        <v>18</v>
      </c>
      <c r="AT20" s="748">
        <f>IFERROR(INDEX($C:$C,MATCH(AT19,V:V,0)-1),INDEX($C:$C,MATCH(-AT19,V:V,0)-1))</f>
        <v>18</v>
      </c>
      <c r="AU20" s="748">
        <f>IFERROR(INDEX($C:$C,MATCH(AU19,W:W,0)-1),INDEX($C:$C,MATCH(-AU19,W:W,0)-1))</f>
        <v>18</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41" t="s">
        <v>877</v>
      </c>
      <c r="AO21" s="1142"/>
      <c r="AP21" s="1142"/>
      <c r="AQ21" s="1142"/>
      <c r="AR21" s="1142"/>
      <c r="AS21" s="729">
        <f>IFERROR(INDEX(Q:Q,MATCH(AS19,U:U,0)),INDEX(Q:Q,MATCH(-AS19,U:U,0)))</f>
        <v>720</v>
      </c>
      <c r="AT21" s="729">
        <f>IFERROR(INDEX(R:R,MATCH(AT19,V:V,0)),INDEX(R:R,MATCH(-AT19,V:V,0)))</f>
        <v>0</v>
      </c>
      <c r="AU21" s="729">
        <f>IFERROR(INDEX(S:S,MATCH(AU19,W:W,0)),INDEX(S:S,MATCH(-AU19,W:W,0)))</f>
        <v>0</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745" t="s">
        <v>134</v>
      </c>
      <c r="F27" s="1139" t="s">
        <v>354</v>
      </c>
      <c r="G27" s="1139"/>
      <c r="H27" s="1139"/>
      <c r="I27" s="1139"/>
      <c r="J27" s="1139"/>
      <c r="K27" s="1139"/>
      <c r="L27" s="1139"/>
      <c r="M27" s="1139"/>
      <c r="N27" s="1139"/>
      <c r="O27" s="1139"/>
      <c r="P27" s="277"/>
      <c r="Q27" s="1139" t="s">
        <v>135</v>
      </c>
      <c r="R27" s="1139"/>
      <c r="S27" s="1139"/>
      <c r="T27" s="277"/>
      <c r="U27" s="1139" t="s">
        <v>136</v>
      </c>
      <c r="V27" s="1139"/>
      <c r="W27" s="1139"/>
      <c r="X27" s="277"/>
      <c r="Y27" s="1139" t="s">
        <v>137</v>
      </c>
      <c r="Z27" s="1139"/>
      <c r="AA27" s="1139"/>
      <c r="AB27" s="277"/>
      <c r="AC27" s="1139" t="s">
        <v>138</v>
      </c>
      <c r="AD27" s="1139"/>
      <c r="AE27" s="1139"/>
      <c r="AF27" s="1139"/>
      <c r="AG27" s="1139"/>
      <c r="AH27" s="1139"/>
      <c r="AI27" s="1139"/>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5482</v>
      </c>
      <c r="G33" s="256" t="str">
        <f>IF($C33="","",VLOOKUP($C33+$F$11*1000,DSS_Calc!$A:$JV,G$30,FALSE))</f>
        <v>0/0.9/1.9/3.9</v>
      </c>
      <c r="H33" s="256">
        <f>IF($C33="","",VLOOKUP($C33+$F$11*1000,DSS_Calc!$A:$JV,H$30,FALSE))</f>
        <v>0</v>
      </c>
      <c r="I33" s="256">
        <f>IF($C33="","",VLOOKUP($C33+$F$11*1000,DSS_Calc!$A:$JV,I$30,FALSE))</f>
        <v>0</v>
      </c>
      <c r="J33" s="256">
        <f>IF($C33="","",VLOOKUP($C33+$F$11*1000,DSS_Calc!$A:$JV,J$30,FALSE))</f>
        <v>1250</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0.1572391033170549</v>
      </c>
      <c r="P33" s="294" t="s">
        <v>2</v>
      </c>
      <c r="Q33" s="256">
        <f>IF($C33="","",VLOOKUP($C33+$F$11*1000,DSS_Calc!$A:$JV,Q$30,FALSE)*IF(U33=0,0,1))</f>
        <v>6598.7109265464014</v>
      </c>
      <c r="R33" s="256">
        <f>IF($C33="","",VLOOKUP($C33+$F$11*1000,DSS_Calc!$A:$JV,R$30,FALSE)*IF(V33=0,0,1))</f>
        <v>2903.549291639752</v>
      </c>
      <c r="S33" s="256">
        <f>IF($C33="","",VLOOKUP($C33+$F$11*1000,DSS_Calc!$A:$JV,S$30,FALSE)*IF(W33=0,0,1))</f>
        <v>1999.9999999999998</v>
      </c>
      <c r="T33" s="294" t="s">
        <v>2</v>
      </c>
      <c r="U33" s="395">
        <f>IF($C33="","",VLOOKUP($C33+$F$11*1000,DSS_Calc!$A:$JV,U$30,FALSE))</f>
        <v>0.70172245356227558</v>
      </c>
      <c r="V33" s="395">
        <f>IF($C33="","",VLOOKUP($C33+$F$11*1000,DSS_Calc!$A:$JV,V$30,FALSE))</f>
        <v>0.14103844312066949</v>
      </c>
      <c r="W33" s="395">
        <f>IF($C33="","",VLOOKUP($C33+$F$11*1000,DSS_Calc!$A:$JV,W$30,FALSE))</f>
        <v>0.1572391033170549</v>
      </c>
      <c r="X33" s="290" t="s">
        <v>2</v>
      </c>
      <c r="Y33" s="256">
        <f t="shared" ref="Y33:AA34" si="0">IF(U33=0,0,U33*Q33)</f>
        <v>4630.4636217243378</v>
      </c>
      <c r="Z33" s="256">
        <f t="shared" si="0"/>
        <v>409.51207161699335</v>
      </c>
      <c r="AA33" s="256">
        <f t="shared" si="0"/>
        <v>314.47820663410977</v>
      </c>
      <c r="AB33" s="290" t="s">
        <v>2</v>
      </c>
      <c r="AC33" s="256">
        <f>SUM(Y33:AA33)</f>
        <v>5354.4538999754404</v>
      </c>
      <c r="AD33" s="259">
        <f>AC33*AE33/1000/1000</f>
        <v>5.6655984058750333</v>
      </c>
      <c r="AE33" s="260">
        <f>IF($C33="","",VLOOKUP($C33+$F$11*1000,DSS_Calc!$A:$JV,AE$30,FALSE))</f>
        <v>1058.1094751606734</v>
      </c>
      <c r="AF33" s="259">
        <f>IF($C33="","",VLOOKUP($C33+$F$11*1000,DSS_Calc!$A:$JV,AF$30,FALSE))</f>
        <v>0.58624142811180469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18</v>
      </c>
      <c r="D36" s="261" t="str">
        <f>"Scenario " &amp; A36</f>
        <v>Scenario B</v>
      </c>
      <c r="E36" s="272" t="s">
        <v>2</v>
      </c>
      <c r="F36" s="262">
        <f>IF($C36="","",VLOOKUP($C36+$F$11*1000,DSS_Calc!$A:$JV,F$30,FALSE))</f>
        <v>6202</v>
      </c>
      <c r="G36" s="262" t="str">
        <f>IF($C36="","",VLOOKUP($C36+$F$11*1000,DSS_Calc!$A:$JV,G$30,FALSE))</f>
        <v>0/0.9/1.9/3.9</v>
      </c>
      <c r="H36" s="262">
        <f>IF($C36="","",VLOOKUP($C36+$F$11*1000,DSS_Calc!$A:$JV,H$30,FALSE))</f>
        <v>0</v>
      </c>
      <c r="I36" s="262">
        <f>IF($C36="","",VLOOKUP($C36+$F$11*1000,DSS_Calc!$A:$JV,I$30,FALSE))</f>
        <v>0</v>
      </c>
      <c r="J36" s="262">
        <f>IF($C36="","",VLOOKUP($C36+$F$11*1000,DSS_Calc!$A:$JV,J$30,FALSE))</f>
        <v>1250</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0.11310262580769648</v>
      </c>
      <c r="P36" s="294" t="s">
        <v>2</v>
      </c>
      <c r="Q36" s="262">
        <f>IF($C36="","",VLOOKUP($C36+$F$11*1000,DSS_Calc!$A:$JV,Q$30,FALSE)*IF(U36=0,0,1))</f>
        <v>7318.7109265464014</v>
      </c>
      <c r="R36" s="262">
        <f>IF($C36="","",VLOOKUP($C36+$F$11*1000,DSS_Calc!$A:$JV,R$30,FALSE)*IF(V36=0,0,1))</f>
        <v>2903.5492916397529</v>
      </c>
      <c r="S36" s="262">
        <f>IF($C36="","",VLOOKUP($C36+$F$11*1000,DSS_Calc!$A:$JV,S$30,FALSE)*IF(W36=0,0,1))</f>
        <v>2000</v>
      </c>
      <c r="T36" s="294" t="s">
        <v>2</v>
      </c>
      <c r="U36" s="263">
        <f>IF($C36="","",VLOOKUP($C36+$F$11*1000,DSS_Calc!$A:$JV,U$30,FALSE))</f>
        <v>0.76393697086840395</v>
      </c>
      <c r="V36" s="263">
        <f>IF($C36="","",VLOOKUP($C36+$F$11*1000,DSS_Calc!$A:$JV,V$30,FALSE))</f>
        <v>0.1229604033238996</v>
      </c>
      <c r="W36" s="263">
        <f>IF($C36="","",VLOOKUP($C36+$F$11*1000,DSS_Calc!$A:$JV,W$30,FALSE))</f>
        <v>0.11310262580769648</v>
      </c>
      <c r="X36" s="294" t="s">
        <v>2</v>
      </c>
      <c r="Y36" s="262">
        <f>IF(U36=0,0,U36*Q36)</f>
        <v>5591.0338558873482</v>
      </c>
      <c r="Z36" s="262">
        <f>IF(V36=0,0,V36*R36)</f>
        <v>357.021591970847</v>
      </c>
      <c r="AA36" s="262">
        <f>IF(W36=0,0,W36*S36)</f>
        <v>226.20525161539297</v>
      </c>
      <c r="AB36" s="294" t="s">
        <v>2</v>
      </c>
      <c r="AC36" s="262">
        <f>SUM(Y36:AA36)</f>
        <v>6174.2606994735879</v>
      </c>
      <c r="AD36" s="264">
        <f>AC36*AE36/1000/1000</f>
        <v>7.4017949952354005</v>
      </c>
      <c r="AE36" s="265">
        <f>IF($C36="","",VLOOKUP($C36+$F$11*1000,DSS_Calc!$A:$JV,AE$30,FALSE))</f>
        <v>1198.8147821271089</v>
      </c>
      <c r="AF36" s="264">
        <f>IF($C36="","",VLOOKUP($C36+$F$11*1000,DSS_Calc!$A:$JV,AF$30,FALSE))</f>
        <v>-0.31859785503737731</v>
      </c>
      <c r="AG36" s="300"/>
      <c r="AH36" s="263"/>
      <c r="AI36" s="300"/>
      <c r="AJ36" s="289" t="s">
        <v>2</v>
      </c>
      <c r="AK36" s="744"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+720 Lease, 0 Other</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3.4670135561880313</v>
      </c>
      <c r="B37" s="402"/>
      <c r="C37" s="564">
        <f>AI37/(AC37/(VLOOKUP($C36+$F$11*1000,DSS_Calc!$A:$JV,DSS_Calc!BX$92,FALSE)-$AC$33))</f>
        <v>2.3261303537621769</v>
      </c>
      <c r="D37" s="266" t="s">
        <v>141</v>
      </c>
      <c r="F37" s="267">
        <f>ROUND(F36-F$33,0)</f>
        <v>720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720</v>
      </c>
      <c r="R37" s="267">
        <f t="shared" si="5"/>
        <v>0</v>
      </c>
      <c r="S37" s="267">
        <f t="shared" si="5"/>
        <v>0</v>
      </c>
      <c r="T37" s="294"/>
      <c r="U37" s="268">
        <f>U36-U$33</f>
        <v>6.221451730612837E-2</v>
      </c>
      <c r="V37" s="268">
        <f>V36-V$33</f>
        <v>-1.807803979676989E-2</v>
      </c>
      <c r="W37" s="268">
        <f>W36-W$33</f>
        <v>-4.4136477509358424E-2</v>
      </c>
      <c r="X37" s="294"/>
      <c r="Y37" s="267">
        <f>Y36-Y$33</f>
        <v>960.57023416301035</v>
      </c>
      <c r="Z37" s="267">
        <f>Z36-Z$33</f>
        <v>-52.490479646146355</v>
      </c>
      <c r="AA37" s="267">
        <f>AA36-AA$33</f>
        <v>-88.2729550187168</v>
      </c>
      <c r="AB37" s="294"/>
      <c r="AC37" s="267">
        <f>IFERROR(AC36-AC$33,NA())</f>
        <v>819.80679949814748</v>
      </c>
      <c r="AD37" s="269">
        <f>AD36-AD$33</f>
        <v>1.7361965893603672</v>
      </c>
      <c r="AE37" s="270">
        <f t="shared" si="3"/>
        <v>140.7053069664355</v>
      </c>
      <c r="AF37" s="269">
        <f t="shared" si="3"/>
        <v>-0.90483928314918205</v>
      </c>
      <c r="AG37" s="301">
        <f>AF37/AF$33</f>
        <v>-1.5434584452066669</v>
      </c>
      <c r="AH37" s="268"/>
      <c r="AI37" s="301">
        <f>IFERROR(AE37/$AE$33,NA())</f>
        <v>0.13297802379576035</v>
      </c>
      <c r="AJ37" s="289"/>
      <c r="AK37" s="749"/>
      <c r="AL37" s="750">
        <f>$AE36*U36-$AE$33*U$33</f>
        <v>173.31975624320978</v>
      </c>
      <c r="AM37" s="750">
        <f>$AE36*V36-$AE$33*V$33</f>
        <v>-1.827363906887939</v>
      </c>
      <c r="AN37" s="750">
        <f>$AE36*W36-$AE$33*W$33</f>
        <v>-30.787085369886285</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0</v>
      </c>
      <c r="D38" s="396" t="str">
        <f>"Scenario " &amp; A38</f>
        <v>Scenario C</v>
      </c>
      <c r="E38" s="272" t="s">
        <v>2</v>
      </c>
      <c r="F38" s="397" t="e">
        <f>IF($C38="","",VLOOKUP($C38+$F$11*1000,DSS_Calc!$A:$JV,F$30,FALSE))</f>
        <v>#N/A</v>
      </c>
      <c r="G38" s="397" t="e">
        <f>IF($C38="","",VLOOKUP($C38+$F$11*1000,DSS_Calc!$A:$JV,G$30,FALSE))</f>
        <v>#N/A</v>
      </c>
      <c r="H38" s="397" t="e">
        <f>IF($C38="","",VLOOKUP($C38+$F$11*1000,DSS_Calc!$A:$JV,H$30,FALSE))</f>
        <v>#N/A</v>
      </c>
      <c r="I38" s="397" t="e">
        <f>IF($C38="","",VLOOKUP($C38+$F$11*1000,DSS_Calc!$A:$JV,I$30,FALSE))</f>
        <v>#N/A</v>
      </c>
      <c r="J38" s="397" t="e">
        <f>IF($C38="","",VLOOKUP($C38+$F$11*1000,DSS_Calc!$A:$JV,J$30,FALSE))</f>
        <v>#N/A</v>
      </c>
      <c r="K38" s="397" t="e">
        <f>IF($C38="","",VLOOKUP($C38+$F$11*1000,DSS_Calc!$A:$JV,K$30,FALSE))</f>
        <v>#N/A</v>
      </c>
      <c r="L38" s="397" t="e">
        <f>IF($C38="","",VLOOKUP($C38+$F$11*1000,DSS_Calc!$A:$JV,L$30,FALSE))</f>
        <v>#N/A</v>
      </c>
      <c r="M38" s="397" t="e">
        <f>IF($C38="","",VLOOKUP($C38+$F$11*1000,DSS_Calc!$A:$JV,M$30,FALSE))</f>
        <v>#N/A</v>
      </c>
      <c r="N38" s="397" t="e">
        <f>IF($C38="","",VLOOKUP($C38+$F$11*1000,DSS_Calc!$A:$JV,N$30,FALSE))</f>
        <v>#N/A</v>
      </c>
      <c r="O38" s="397" t="e">
        <f>IF($C38="","",VLOOKUP($C38+$F$11*1000,DSS_Calc!$A:$JV,O$30,FALSE))</f>
        <v>#N/A</v>
      </c>
      <c r="P38" s="294" t="s">
        <v>2</v>
      </c>
      <c r="Q38" s="397" t="e">
        <f>IF($C38="","",VLOOKUP($C38+$F$11*1000,DSS_Calc!$A:$JV,Q$30,FALSE)*IF(U38=0,0,1))</f>
        <v>#N/A</v>
      </c>
      <c r="R38" s="397" t="e">
        <f>IF($C38="","",VLOOKUP($C38+$F$11*1000,DSS_Calc!$A:$JV,R$30,FALSE)*IF(V38=0,0,1))</f>
        <v>#N/A</v>
      </c>
      <c r="S38" s="397" t="e">
        <f>IF($C38="","",VLOOKUP($C38+$F$11*1000,DSS_Calc!$A:$JV,S$30,FALSE)*IF(W38=0,0,1))</f>
        <v>#N/A</v>
      </c>
      <c r="T38" s="294" t="s">
        <v>2</v>
      </c>
      <c r="U38" s="398" t="e">
        <f>IF($C38="","",VLOOKUP($C38+$F$11*1000,DSS_Calc!$A:$JV,U$30,FALSE))</f>
        <v>#N/A</v>
      </c>
      <c r="V38" s="398" t="e">
        <f>IF($C38="","",VLOOKUP($C38+$F$11*1000,DSS_Calc!$A:$JV,V$30,FALSE))</f>
        <v>#N/A</v>
      </c>
      <c r="W38" s="398" t="e">
        <f>IF($C38="","",VLOOKUP($C38+$F$11*1000,DSS_Calc!$A:$JV,W$30,FALSE))</f>
        <v>#N/A</v>
      </c>
      <c r="X38" s="294" t="s">
        <v>2</v>
      </c>
      <c r="Y38" s="397" t="e">
        <f>IF(U38=0,0,U38*Q38)</f>
        <v>#N/A</v>
      </c>
      <c r="Z38" s="397" t="e">
        <f>IF(V38=0,0,V38*R38)</f>
        <v>#N/A</v>
      </c>
      <c r="AA38" s="397" t="e">
        <f>IF(W38=0,0,W38*S38)</f>
        <v>#N/A</v>
      </c>
      <c r="AB38" s="294" t="s">
        <v>2</v>
      </c>
      <c r="AC38" s="397" t="e">
        <f>SUM(Y38:AA38)</f>
        <v>#N/A</v>
      </c>
      <c r="AD38" s="399" t="e">
        <f>AC38*AE38/1000/1000</f>
        <v>#N/A</v>
      </c>
      <c r="AE38" s="400" t="e">
        <f>IF($C38="","",VLOOKUP($C38+$F$11*1000,DSS_Calc!$A:$JV,AE$30,FALSE))</f>
        <v>#N/A</v>
      </c>
      <c r="AF38" s="399" t="e">
        <f>IF($C38="","",VLOOKUP($C38+$F$11*1000,DSS_Calc!$A:$JV,AF$30,FALSE))</f>
        <v>#N/A</v>
      </c>
      <c r="AG38" s="401"/>
      <c r="AH38" s="398"/>
      <c r="AI38" s="401"/>
      <c r="AJ38" s="289" t="s">
        <v>2</v>
      </c>
      <c r="AK38" s="744"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#N/A</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#N/A</v>
      </c>
      <c r="G39" s="404"/>
      <c r="H39" s="404"/>
      <c r="I39" s="404" t="e">
        <f t="shared" ref="I39:O39" si="6">ROUND(I38-I$33,0)</f>
        <v>#N/A</v>
      </c>
      <c r="J39" s="404" t="e">
        <f t="shared" si="6"/>
        <v>#N/A</v>
      </c>
      <c r="K39" s="404" t="e">
        <f t="shared" si="6"/>
        <v>#N/A</v>
      </c>
      <c r="L39" s="404" t="e">
        <f t="shared" si="6"/>
        <v>#N/A</v>
      </c>
      <c r="M39" s="404" t="e">
        <f t="shared" si="6"/>
        <v>#N/A</v>
      </c>
      <c r="N39" s="404" t="e">
        <f t="shared" si="6"/>
        <v>#N/A</v>
      </c>
      <c r="O39" s="404" t="e">
        <f t="shared" si="6"/>
        <v>#N/A</v>
      </c>
      <c r="P39" s="294"/>
      <c r="Q39" s="404" t="e">
        <f t="shared" ref="Q39:S39" si="7">Q38-Q$33</f>
        <v>#N/A</v>
      </c>
      <c r="R39" s="404" t="e">
        <f t="shared" si="7"/>
        <v>#N/A</v>
      </c>
      <c r="S39" s="404" t="e">
        <f t="shared" si="7"/>
        <v>#N/A</v>
      </c>
      <c r="T39" s="294"/>
      <c r="U39" s="405" t="e">
        <f>U38-U$33</f>
        <v>#N/A</v>
      </c>
      <c r="V39" s="405" t="e">
        <f>V38-V$33</f>
        <v>#N/A</v>
      </c>
      <c r="W39" s="405" t="e">
        <f>W38-W$33</f>
        <v>#N/A</v>
      </c>
      <c r="X39" s="294"/>
      <c r="Y39" s="404" t="e">
        <f>Y38-Y$33</f>
        <v>#N/A</v>
      </c>
      <c r="Z39" s="404" t="e">
        <f>Z38-Z$33</f>
        <v>#N/A</v>
      </c>
      <c r="AA39" s="404" t="e">
        <f>AA38-AA$33</f>
        <v>#N/A</v>
      </c>
      <c r="AB39" s="294"/>
      <c r="AC39" s="404" t="e">
        <f>IFERROR(AC38-AC$33,NA())</f>
        <v>#N/A</v>
      </c>
      <c r="AD39" s="406" t="e">
        <f>AD38-AD$33</f>
        <v>#N/A</v>
      </c>
      <c r="AE39" s="407" t="e">
        <f t="shared" si="3"/>
        <v>#N/A</v>
      </c>
      <c r="AF39" s="406" t="e">
        <f t="shared" si="3"/>
        <v>#N/A</v>
      </c>
      <c r="AG39" s="408" t="e">
        <f>AF39/AF$33</f>
        <v>#N/A</v>
      </c>
      <c r="AH39" s="405"/>
      <c r="AI39" s="408" t="e">
        <f>IFERROR(AE39/$AE$33,NA())</f>
        <v>#N/A</v>
      </c>
      <c r="AJ39" s="289"/>
      <c r="AK39" s="749"/>
      <c r="AL39" s="750" t="e">
        <f>$AE38*U38-$AE$33*U$33</f>
        <v>#N/A</v>
      </c>
      <c r="AM39" s="750" t="e">
        <f>$AE38*V38-$AE$33*V$33</f>
        <v>#N/A</v>
      </c>
      <c r="AN39" s="750" t="e">
        <f>$AE38*W38-$AE$33*W$33</f>
        <v>#N/A</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17</v>
      </c>
      <c r="D42" s="396" t="str">
        <f>"Scenario " &amp; A42</f>
        <v>Scenario E</v>
      </c>
      <c r="E42" s="272" t="s">
        <v>2</v>
      </c>
      <c r="F42" s="397">
        <f>IF($C42="","",VLOOKUP($C42+$F$11*1000,DSS_Calc!$A:$JV,F$30,FALSE))</f>
        <v>5842</v>
      </c>
      <c r="G42" s="397" t="str">
        <f>IF($C42="","",VLOOKUP($C42+$F$11*1000,DSS_Calc!$A:$JV,G$30,FALSE))</f>
        <v>0/0.9/1.9/3.9</v>
      </c>
      <c r="H42" s="397">
        <f>IF($C42="","",VLOOKUP($C42+$F$11*1000,DSS_Calc!$A:$JV,H$30,FALSE))</f>
        <v>0</v>
      </c>
      <c r="I42" s="397">
        <f>IF($C42="","",VLOOKUP($C42+$F$11*1000,DSS_Calc!$A:$JV,I$30,FALSE))</f>
        <v>0</v>
      </c>
      <c r="J42" s="397">
        <f>IF($C42="","",VLOOKUP($C42+$F$11*1000,DSS_Calc!$A:$JV,J$30,FALSE))</f>
        <v>1250</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0.13425210966659953</v>
      </c>
      <c r="P42" s="294" t="s">
        <v>2</v>
      </c>
      <c r="Q42" s="397">
        <f>IF($C42="","",VLOOKUP($C42+$F$11*1000,DSS_Calc!$A:$JV,Q$30,FALSE)*IF(U42=0,0,1))</f>
        <v>6958.7109265464014</v>
      </c>
      <c r="R42" s="397">
        <f>IF($C42="","",VLOOKUP($C42+$F$11*1000,DSS_Calc!$A:$JV,R$30,FALSE)*IF(V42=0,0,1))</f>
        <v>2903.5492916397525</v>
      </c>
      <c r="S42" s="397">
        <f>IF($C42="","",VLOOKUP($C42+$F$11*1000,DSS_Calc!$A:$JV,S$30,FALSE)*IF(W42=0,0,1))</f>
        <v>2000</v>
      </c>
      <c r="T42" s="294" t="s">
        <v>2</v>
      </c>
      <c r="U42" s="398">
        <f>IF($C42="","",VLOOKUP($C42+$F$11*1000,DSS_Calc!$A:$JV,U$30,FALSE))</f>
        <v>0.73393178539048098</v>
      </c>
      <c r="V42" s="398">
        <f>IF($C42="","",VLOOKUP($C42+$F$11*1000,DSS_Calc!$A:$JV,V$30,FALSE))</f>
        <v>0.13181610494291951</v>
      </c>
      <c r="W42" s="398">
        <f>IF($C42="","",VLOOKUP($C42+$F$11*1000,DSS_Calc!$A:$JV,W$30,FALSE))</f>
        <v>0.13425210966659953</v>
      </c>
      <c r="X42" s="294" t="s">
        <v>2</v>
      </c>
      <c r="Y42" s="397">
        <f>IF(U42=0,0,U42*Q42)</f>
        <v>5107.2191343364484</v>
      </c>
      <c r="Z42" s="397">
        <f>IF(V42=0,0,V42*R42)</f>
        <v>382.73455813372522</v>
      </c>
      <c r="AA42" s="397">
        <f>IF(W42=0,0,W42*S42)</f>
        <v>268.50421933319905</v>
      </c>
      <c r="AB42" s="294" t="s">
        <v>2</v>
      </c>
      <c r="AC42" s="397">
        <f>SUM(Y42:AA42)</f>
        <v>5758.4579118033726</v>
      </c>
      <c r="AD42" s="399">
        <f>AC42*AE42/1000/1000</f>
        <v>6.4796758020860148</v>
      </c>
      <c r="AE42" s="400">
        <f>IF($C42="","",VLOOKUP($C42+$F$11*1000,DSS_Calc!$A:$JV,AE$30,FALSE))</f>
        <v>1125.2449703251855</v>
      </c>
      <c r="AF42" s="399">
        <f>IF($C42="","",VLOOKUP($C42+$F$11*1000,DSS_Calc!$A:$JV,AF$30,FALSE))</f>
        <v>0.16883410508034291</v>
      </c>
      <c r="AG42" s="401"/>
      <c r="AH42" s="398"/>
      <c r="AI42" s="401"/>
      <c r="AJ42" s="289" t="s">
        <v>2</v>
      </c>
      <c r="AK42" s="744"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+360 Lease, 0 Other</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3.4437299328764737</v>
      </c>
      <c r="B43" s="402"/>
      <c r="C43" s="564">
        <f>AI43/(AC43/(VLOOKUP($C42+$F$11*1000,DSS_Calc!$A:$JV,DSS_Calc!BX$92,FALSE)-$AC$33))</f>
        <v>2.2521722613028121</v>
      </c>
      <c r="D43" s="403" t="s">
        <v>141</v>
      </c>
      <c r="F43" s="404">
        <f>ROUND(F42-F$33,0)</f>
        <v>360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360</v>
      </c>
      <c r="R43" s="404">
        <f t="shared" si="11"/>
        <v>0</v>
      </c>
      <c r="S43" s="404">
        <f t="shared" si="11"/>
        <v>0</v>
      </c>
      <c r="T43" s="294"/>
      <c r="U43" s="405">
        <f>U42-U$33</f>
        <v>3.2209331828205401E-2</v>
      </c>
      <c r="V43" s="405">
        <f>V42-V$33</f>
        <v>-9.222338177749978E-3</v>
      </c>
      <c r="W43" s="405">
        <f>W42-W$33</f>
        <v>-2.2986993650455367E-2</v>
      </c>
      <c r="X43" s="294"/>
      <c r="Y43" s="404">
        <f>Y42-Y$33</f>
        <v>476.75551261211058</v>
      </c>
      <c r="Z43" s="404">
        <f>Z42-Z$33</f>
        <v>-26.777513483268137</v>
      </c>
      <c r="AA43" s="404">
        <f>AA42-AA$33</f>
        <v>-45.973987300910721</v>
      </c>
      <c r="AB43" s="294"/>
      <c r="AC43" s="404">
        <f>IFERROR(AC42-AC$33,NA())</f>
        <v>404.00401182793212</v>
      </c>
      <c r="AD43" s="406">
        <f>AD42-AD$33</f>
        <v>0.81407739621098152</v>
      </c>
      <c r="AE43" s="407">
        <f t="shared" si="3"/>
        <v>67.135495164512122</v>
      </c>
      <c r="AF43" s="406">
        <f t="shared" si="3"/>
        <v>-0.41740732303146177</v>
      </c>
      <c r="AG43" s="408">
        <f>AF43/AF$33</f>
        <v>-0.71200584437689418</v>
      </c>
      <c r="AH43" s="405"/>
      <c r="AI43" s="408">
        <f>IFERROR(AE43/$AE$33,NA())</f>
        <v>6.3448534145597396E-2</v>
      </c>
      <c r="AJ43" s="289"/>
      <c r="AK43" s="751"/>
      <c r="AL43" s="750">
        <f>$AE42*U42-$AE$33*U$33</f>
        <v>83.353873025182793</v>
      </c>
      <c r="AM43" s="750">
        <f>$AE42*V42-$AE$33*V$33</f>
        <v>-0.90870393301307217</v>
      </c>
      <c r="AN43" s="750">
        <f>$AE42*W42-$AE$33*W$33</f>
        <v>-15.309673927657514</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99"/>
    <pageSetUpPr fitToPage="1"/>
  </sheetPr>
  <dimension ref="A1:BM73"/>
  <sheetViews>
    <sheetView showGridLines="0" topLeftCell="A7" zoomScale="70" zoomScaleNormal="70" zoomScaleSheetLayoutView="55" workbookViewId="0">
      <selection activeCell="C59" sqref="C5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3" width="15.7109375" style="293" customWidth="1"/>
    <col min="14" max="14" width="11.7109375" style="235"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2" t="s">
        <v>1079</v>
      </c>
      <c r="AK7" s="873">
        <v>10.5</v>
      </c>
    </row>
    <row r="8" spans="1:64" ht="15.6" customHeight="1">
      <c r="AJ8" s="235" t="s">
        <v>1080</v>
      </c>
      <c r="AK8" s="873" t="s">
        <v>1084</v>
      </c>
    </row>
    <row r="9" spans="1:64" ht="15.6" customHeight="1">
      <c r="AJ9" s="872" t="s">
        <v>1082</v>
      </c>
      <c r="AK9" s="874" t="str">
        <f>"MY"&amp;RIGHT(Input!$H$9,2)&amp;" "&amp;Input!$H$3&amp;": "&amp;$G$10</f>
        <v>MY20 Forte: Region L3 (Southern, Western) Incentive Scenarios</v>
      </c>
    </row>
    <row r="10" spans="1:64" ht="15.6" customHeight="1" thickBot="1">
      <c r="G10" s="581" t="s">
        <v>1091</v>
      </c>
      <c r="AJ10" s="872" t="s">
        <v>1086</v>
      </c>
      <c r="AK10" s="874" t="s">
        <v>1087</v>
      </c>
    </row>
    <row r="11" spans="1:64" ht="15.6" customHeight="1">
      <c r="A11" s="281" t="s">
        <v>570</v>
      </c>
      <c r="B11" s="275"/>
      <c r="C11" s="231"/>
      <c r="D11" s="628" t="s">
        <v>824</v>
      </c>
      <c r="F11" s="245">
        <v>3</v>
      </c>
      <c r="G11" s="565" t="str">
        <f>INDEX(Input!$1:$1048576,2,$F$11*2+6)&amp;" ("&amp;INDEX(Input!$1:$1048576,11,$F$11*2+6)&amp;")"</f>
        <v>MY20 Kia Forte (Kia-LR - L3)</v>
      </c>
      <c r="H11" s="232"/>
      <c r="I11" s="231"/>
      <c r="L11" s="232"/>
      <c r="M11" s="232"/>
      <c r="N11" s="231"/>
      <c r="O11" s="231"/>
      <c r="Q11" s="231"/>
      <c r="R11" s="231"/>
      <c r="S11" s="231"/>
      <c r="U11" s="296"/>
      <c r="V11" s="231"/>
      <c r="Y11" s="231"/>
      <c r="Z11" s="231"/>
      <c r="AA11" s="231"/>
      <c r="AC11" s="231"/>
      <c r="AD11" s="231"/>
      <c r="AE11" s="231"/>
      <c r="AF11" s="231"/>
      <c r="AG11" s="231"/>
      <c r="AH11" s="231"/>
      <c r="AI11" s="231"/>
      <c r="AJ11" s="872" t="s">
        <v>1088</v>
      </c>
      <c r="AK11" s="874" t="s">
        <v>1089</v>
      </c>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58"/>
      <c r="D12" s="231"/>
      <c r="F12" s="231"/>
      <c r="G12" s="232"/>
      <c r="H12" s="232"/>
      <c r="I12" s="231"/>
      <c r="J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771</v>
      </c>
      <c r="BA12" s="389"/>
      <c r="BC12" s="758"/>
      <c r="BD12" s="758"/>
      <c r="BE12" s="758"/>
      <c r="BF12" s="758"/>
      <c r="BG12" s="758"/>
      <c r="BH12" s="758"/>
      <c r="BI12" s="758"/>
      <c r="BJ12" s="758"/>
      <c r="BK12" s="758"/>
      <c r="BL12" s="758"/>
    </row>
    <row r="13" spans="1:64" ht="15.75" customHeight="1" thickBot="1">
      <c r="A13" s="389" t="str">
        <f>ROUND(INDEX(DSS_Calc!KA:KA,MATCH($F$11*1000+6,DSS_Calc!A:A,0)),2)&amp;" (Scen 6)"</f>
        <v>2.78 (Scen 6)</v>
      </c>
      <c r="B13" s="275"/>
      <c r="D13" s="1137" t="str">
        <f>UPPER("SCENARIO OPTIONS: MY"&amp;RIGHT(Input!$H9,2)&amp;" "&amp;Input!H$7&amp;" "&amp;Input!H$3&amp;" - L3 (CA, UT, FL)")</f>
        <v>SCENARIO OPTIONS: MY20 KIA FORTE - L3 (CA, UT, FL)</v>
      </c>
      <c r="E13" s="1137"/>
      <c r="F13" s="1137"/>
      <c r="G13" s="1137"/>
      <c r="H13" s="1137"/>
      <c r="I13" s="1137"/>
      <c r="J13" s="1137"/>
      <c r="K13" s="1137"/>
      <c r="L13" s="1137"/>
      <c r="M13" s="1137"/>
      <c r="N13" s="1137"/>
      <c r="O13" s="1137"/>
      <c r="P13" s="1137"/>
      <c r="Q13" s="1137"/>
      <c r="R13" s="1137"/>
      <c r="S13" s="1137"/>
      <c r="T13" s="1137"/>
      <c r="U13" s="1137"/>
      <c r="V13" s="1137"/>
      <c r="W13" s="1137"/>
      <c r="X13" s="1137"/>
      <c r="Y13" s="1137"/>
      <c r="Z13" s="1137"/>
      <c r="AA13" s="1137"/>
      <c r="AB13" s="1137"/>
      <c r="AC13" s="1137"/>
      <c r="AD13" s="1137"/>
      <c r="AE13" s="1137"/>
      <c r="AF13" s="1137"/>
      <c r="AG13" s="1137"/>
      <c r="AH13" s="1137"/>
      <c r="AI13" s="1137"/>
      <c r="AJ13" s="758"/>
      <c r="AK13" s="758"/>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43" t="str">
        <f>"Scen. # to check price sensitivity order vs #"&amp;INDEX(DSS_Calc!KN:KN,MATCH(F11*1000+1,DSS_Calc!A:A,0))</f>
        <v>Scen. # to check price sensitivity order vs #3002</v>
      </c>
      <c r="AO14" s="1144"/>
      <c r="AP14" s="1144"/>
      <c r="AQ14" s="1144"/>
      <c r="AR14" s="1144"/>
      <c r="AS14" s="716">
        <v>10</v>
      </c>
      <c r="AT14" s="716">
        <v>13</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0/0/0.9/3.9,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41" t="str">
        <f>"Implied Elast w/o Take Rate Shifts vs #"&amp;INDEX(DSS_Calc!KN:KN,MATCH(F11*1000+1,DSS_Calc!A:A,0))</f>
        <v>Implied Elast w/o Take Rate Shifts vs #3002</v>
      </c>
      <c r="AO16" s="1142"/>
      <c r="AP16" s="1142"/>
      <c r="AQ16" s="1142"/>
      <c r="AR16" s="1142"/>
      <c r="AS16" s="722">
        <f>INDEX(DSS_Calc!$KR:$KR,MATCH($F$11*1000+AS14,DSS_Calc!$A:$A,0))</f>
        <v>2.7537228266441605</v>
      </c>
      <c r="AT16" s="722">
        <f>INDEX(DSS_Calc!$KR:$KR,MATCH($F$11*1000+AT14,DSS_Calc!$A:$A,0))</f>
        <v>3.6191725023097634</v>
      </c>
      <c r="AU16" s="722">
        <f>INDEX(DSS_Calc!$KR:$KR,MATCH($F$11*1000+AU14,DSS_Calc!$A:$A,0))</f>
        <v>3.7130777449485612</v>
      </c>
      <c r="AV16" s="759" t="str">
        <f>IF(AND(AS16&lt;AT16,AT16&lt;AU16,AS16&lt;AW16),"ok","error in order")</f>
        <v>ok</v>
      </c>
      <c r="AW16" s="723">
        <f>ROUND(INDEX(DSS_Calc!KA:KA,MATCH($F$11*1000+6,DSS_Calc!A:A,0)),2)</f>
        <v>2.78</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43" t="s">
        <v>875</v>
      </c>
      <c r="AO17" s="1144"/>
      <c r="AP17" s="1144"/>
      <c r="AQ17" s="1144"/>
      <c r="AR17" s="1144"/>
      <c r="AS17" s="725">
        <f>INDEX(DSS_Calc!IE:IE,MATCH($F$11*1000+2,DSS_Calc!$A:$A,0))-INDEX(DSS_Calc!IE:IE,MATCH($F$11*1000+1,DSS_Calc!$A:$A,0))</f>
        <v>6.7335046533293919E-3</v>
      </c>
      <c r="AT17" s="725">
        <f>INDEX(DSS_Calc!IF:IF,MATCH($F$11*1000+2,DSS_Calc!$A:$A,0))-INDEX(DSS_Calc!IF:IF,MATCH($F$11*1000+1,DSS_Calc!$A:$A,0))</f>
        <v>3.9002283902254131E-3</v>
      </c>
      <c r="AU17" s="725">
        <f>INDEX(DSS_Calc!IG:IG,MATCH($F$11*1000+2,DSS_Calc!$A:$A,0))-INDEX(DSS_Calc!IG:IG,MATCH($F$11*1000+1,DSS_Calc!$A:$A,0))</f>
        <v>-1.0633733043554805E-2</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41" t="s">
        <v>769</v>
      </c>
      <c r="AO18" s="1142"/>
      <c r="AP18" s="1142"/>
      <c r="AQ18" s="1142"/>
      <c r="AR18" s="1142"/>
      <c r="AS18" s="726">
        <f>INDEX(DSS_Calc!JA:JA,MATCH($F$11*1000+2,DSS_Calc!$A:$A,0))-INDEX(DSS_Calc!JA:JA,MATCH($F$11*1000+1,DSS_Calc!$A:$A,0))</f>
        <v>400</v>
      </c>
      <c r="AT18" s="726">
        <f>INDEX(DSS_Calc!JB:JB,MATCH($F$11*1000+2,DSS_Calc!$A:$A,0))-INDEX(DSS_Calc!JB:JB,MATCH($F$11*1000+1,DSS_Calc!$A:$A,0))</f>
        <v>400.09953361984753</v>
      </c>
      <c r="AU18" s="726">
        <f>INDEX(DSS_Calc!JC:JC,MATCH($F$11*1000+2,DSS_Calc!$A:$A,0))-INDEX(DSS_Calc!JC:JC,MATCH($F$11*1000+1,DSS_Calc!$A:$A,0))</f>
        <v>101.25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9.2366961334287789E-2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3.4860922668966288E-2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8.4584684903145635E-2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5" t="s">
        <v>876</v>
      </c>
      <c r="AO20" s="1146"/>
      <c r="AP20" s="1146"/>
      <c r="AQ20" s="1146"/>
      <c r="AR20" s="1146"/>
      <c r="AS20" s="761">
        <f>IFERROR(INDEX($C:$C,MATCH(AS19,U:U,0)-1),INDEX($C:$C,MATCH(-AS19,U:U,0)-1))</f>
        <v>50</v>
      </c>
      <c r="AT20" s="761">
        <f>IFERROR(INDEX($C:$C,MATCH(AT19,V:V,0)-1),INDEX($C:$C,MATCH(-AT19,V:V,0)-1))</f>
        <v>59</v>
      </c>
      <c r="AU20" s="761">
        <f>IFERROR(INDEX($C:$C,MATCH(AU19,W:W,0)-1),INDEX($C:$C,MATCH(-AU19,W:W,0)-1))</f>
        <v>62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41" t="s">
        <v>877</v>
      </c>
      <c r="AO21" s="1142"/>
      <c r="AP21" s="1142"/>
      <c r="AQ21" s="1142"/>
      <c r="AR21" s="1142"/>
      <c r="AS21" s="729">
        <f>IFERROR(INDEX(Q:Q,MATCH(AS19,U:U,0)),INDEX(Q:Q,MATCH(-AS19,U:U,0)))</f>
        <v>1000</v>
      </c>
      <c r="AT21" s="729">
        <f>IFERROR(INDEX(R:R,MATCH(AT19,V:V,0)),INDEX(R:R,MATCH(-AT19,V:V,0)))</f>
        <v>348.61306642854424</v>
      </c>
      <c r="AU21" s="729">
        <f>IFERROR(INDEX(S:S,MATCH(AU19,W:W,0)),INDEX(S:S,MATCH(-AU19,W:W,0)))</f>
        <v>-277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878" t="s">
        <v>134</v>
      </c>
      <c r="F27" s="1140" t="s">
        <v>354</v>
      </c>
      <c r="G27" s="1140"/>
      <c r="H27" s="1140"/>
      <c r="I27" s="1140"/>
      <c r="J27" s="1140"/>
      <c r="K27" s="1140"/>
      <c r="L27" s="1140"/>
      <c r="M27" s="1140"/>
      <c r="N27" s="1140"/>
      <c r="O27" s="1140"/>
      <c r="P27" s="277"/>
      <c r="Q27" s="1139" t="s">
        <v>135</v>
      </c>
      <c r="R27" s="1139"/>
      <c r="S27" s="1139"/>
      <c r="T27" s="277"/>
      <c r="U27" s="1140" t="s">
        <v>136</v>
      </c>
      <c r="V27" s="1140"/>
      <c r="W27" s="1140"/>
      <c r="X27" s="277"/>
      <c r="Y27" s="1139" t="s">
        <v>137</v>
      </c>
      <c r="Z27" s="1139"/>
      <c r="AA27" s="1139"/>
      <c r="AB27" s="277"/>
      <c r="AC27" s="1140" t="s">
        <v>138</v>
      </c>
      <c r="AD27" s="1140"/>
      <c r="AE27" s="1140"/>
      <c r="AF27" s="1140"/>
      <c r="AG27" s="1140"/>
      <c r="AH27" s="1140"/>
      <c r="AI27" s="1140"/>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1146</v>
      </c>
      <c r="H28" s="238" t="s">
        <v>39</v>
      </c>
      <c r="I28" s="237" t="s">
        <v>715</v>
      </c>
      <c r="J28" s="237" t="s">
        <v>330</v>
      </c>
      <c r="K28" s="237" t="s">
        <v>1150</v>
      </c>
      <c r="L28" s="237" t="s">
        <v>1151</v>
      </c>
      <c r="M28" s="237" t="s">
        <v>7</v>
      </c>
      <c r="N28" s="237" t="s">
        <v>1157</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35</v>
      </c>
      <c r="L30" s="244">
        <v>29</v>
      </c>
      <c r="M30" s="244">
        <v>33</v>
      </c>
      <c r="N30" s="244">
        <v>31</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1149</v>
      </c>
      <c r="L31" s="244" t="s">
        <v>1148</v>
      </c>
      <c r="M31" s="244" t="s">
        <v>750</v>
      </c>
      <c r="N31" s="244" t="s">
        <v>1158</v>
      </c>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v>
      </c>
      <c r="G33" s="256" t="str">
        <f>IF($C33="","",VLOOKUP($C33+$F$11*1000,DSS_Calc!$A:$JV,G$30,FALSE))</f>
        <v>0/0.9/1.9/3.9</v>
      </c>
      <c r="H33" s="256">
        <f>IF($C33="","",VLOOKUP($C33+$F$11*1000,DSS_Calc!$A:$JV,H$30,FALSE))</f>
        <v>0</v>
      </c>
      <c r="I33" s="256">
        <f>IF($C33="","",VLOOKUP($C33+$F$11*1000,DSS_Calc!$A:$JV,I$30,FALSE))</f>
        <v>0</v>
      </c>
      <c r="J33" s="256">
        <f>IF($C33="","",VLOOKUP($C33+$F$11*1000,DSS_Calc!$A:$JV,J$30,FALSE))</f>
        <v>4982</v>
      </c>
      <c r="K33" s="256">
        <f>IF($C33="","",VLOOKUP($C33+$F$11*1000,DSS_Calc!$A:$JV,K$30,FALSE))</f>
        <v>0</v>
      </c>
      <c r="L33" s="256">
        <f>IF($C33="","",VLOOKUP($C33+$F$11*1000,DSS_Calc!$A:$JV,L$30,FALSE))</f>
        <v>0</v>
      </c>
      <c r="M33" s="256">
        <f>IF($C33="","",VLOOKUP($C33+$F$11*1000,DSS_Calc!$A:$JV,M$30,FALSE))</f>
        <v>0</v>
      </c>
      <c r="N33" s="256">
        <f>IF($C33="","",VLOOKUP($C33+$F$11*1000,DSS_Calc!$A:$JV,N$30,FALSE))</f>
        <v>500</v>
      </c>
      <c r="O33" s="256">
        <f>IF($C33="","",VLOOKUP($C33+$F$11*1000,DSS_Calc!$A:$JV,O$30,FALSE))</f>
        <v>0</v>
      </c>
      <c r="P33" s="294" t="s">
        <v>2</v>
      </c>
      <c r="Q33" s="256">
        <f>IF($C33="","",VLOOKUP($C33+$F$11*1000,DSS_Calc!$A:$JV,Q$30,FALSE)*IF(U33=0,0,1))</f>
        <v>2000</v>
      </c>
      <c r="R33" s="256">
        <f>IF($C33="","",VLOOKUP($C33+$F$11*1000,DSS_Calc!$A:$JV,R$30,FALSE)*IF(V33=0,0,1))</f>
        <v>2903.6488252596</v>
      </c>
      <c r="S33" s="256">
        <f>IF($C33="","",VLOOKUP($C33+$F$11*1000,DSS_Calc!$A:$JV,S$30,FALSE)*IF(W33=0,0,1))</f>
        <v>5874.9609265464023</v>
      </c>
      <c r="T33" s="294" t="s">
        <v>2</v>
      </c>
      <c r="U33" s="395">
        <f>IF($C33="","",VLOOKUP($C33+$F$11*1000,DSS_Calc!$A:$JV,U$30,FALSE))</f>
        <v>0.2606275856502141</v>
      </c>
      <c r="V33" s="395">
        <f>IF($C33="","",VLOOKUP($C33+$F$11*1000,DSS_Calc!$A:$JV,V$30,FALSE))</f>
        <v>0.38500095528534484</v>
      </c>
      <c r="W33" s="395">
        <f>IF($C33="","",VLOOKUP($C33+$F$11*1000,DSS_Calc!$A:$JV,W$30,FALSE))</f>
        <v>0.35437145906444106</v>
      </c>
      <c r="X33" s="290" t="s">
        <v>2</v>
      </c>
      <c r="Y33" s="256">
        <f t="shared" ref="Y33:AA34" si="0">IF(U33=0,0,U33*Q33)</f>
        <v>521.25517130042817</v>
      </c>
      <c r="Z33" s="256">
        <f t="shared" si="0"/>
        <v>1117.9075715381152</v>
      </c>
      <c r="AA33" s="256">
        <f t="shared" si="0"/>
        <v>2081.9184754868293</v>
      </c>
      <c r="AB33" s="290" t="s">
        <v>2</v>
      </c>
      <c r="AC33" s="256">
        <f>SUM(Y33:AA33)</f>
        <v>3721.0812183253729</v>
      </c>
      <c r="AD33" s="259">
        <f>AC33*AE33/1000/1000</f>
        <v>7.665703013437108</v>
      </c>
      <c r="AE33" s="260">
        <f>IF($C33="","",VLOOKUP($C33+$F$11*1000,DSS_Calc!$A:$JV,AE$30,FALSE))</f>
        <v>2060.0740923593612</v>
      </c>
      <c r="AF33" s="259">
        <f>IF($C33="","",VLOOKUP($C33+$F$11*1000,DSS_Calc!$A:$JV,AF$30,FALSE))</f>
        <v>4.5062447612681771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38</v>
      </c>
      <c r="D34" s="396" t="str">
        <f>"Scenario " &amp; A34</f>
        <v>Scenario A</v>
      </c>
      <c r="E34" s="272" t="s">
        <v>2</v>
      </c>
      <c r="F34" s="397">
        <f>IF($C34="","",VLOOKUP($C34+$F$11*1000,DSS_Calc!$A:$JV,F$30,FALSE))</f>
        <v>2250</v>
      </c>
      <c r="G34" s="397" t="str">
        <f>IF($C34="","",VLOOKUP($C34+$F$11*1000,DSS_Calc!$A:$JV,G$30,FALSE))</f>
        <v>0/0/0.9/3.9</v>
      </c>
      <c r="H34" s="397">
        <f>IF($C34="","",VLOOKUP($C34+$F$11*1000,DSS_Calc!$A:$JV,H$30,FALSE))</f>
        <v>0</v>
      </c>
      <c r="I34" s="397">
        <f>IF($C34="","",VLOOKUP($C34+$F$11*1000,DSS_Calc!$A:$JV,I$30,FALSE))</f>
        <v>0</v>
      </c>
      <c r="J34" s="397">
        <f>IF($C34="","",VLOOKUP($C34+$F$11*1000,DSS_Calc!$A:$JV,J$30,FALSE))</f>
        <v>4982</v>
      </c>
      <c r="K34" s="397">
        <f>IF($C34="","",VLOOKUP($C34+$F$11*1000,DSS_Calc!$A:$JV,K$30,FALSE))</f>
        <v>0</v>
      </c>
      <c r="L34" s="397">
        <f>IF($C34="","",VLOOKUP($C34+$F$11*1000,DSS_Calc!$A:$JV,L$30,FALSE))</f>
        <v>0</v>
      </c>
      <c r="M34" s="397">
        <f>IF($C34="","",VLOOKUP($C34+$F$11*1000,DSS_Calc!$A:$JV,M$30,FALSE))</f>
        <v>0</v>
      </c>
      <c r="N34" s="397">
        <f>IF($C34="","",VLOOKUP($C34+$F$11*1000,DSS_Calc!$A:$JV,N$30,FALSE))</f>
        <v>500</v>
      </c>
      <c r="O34" s="397">
        <f>IF($C34="","",VLOOKUP($C34+$F$11*1000,DSS_Calc!$A:$JV,O$30,FALSE))</f>
        <v>0</v>
      </c>
      <c r="P34" s="294" t="s">
        <v>2</v>
      </c>
      <c r="Q34" s="397">
        <f>IF($C34="","",VLOOKUP($C34+$F$11*1000,DSS_Calc!$A:$JV,Q$30,FALSE)*IF(U34=0,0,1))</f>
        <v>3000</v>
      </c>
      <c r="R34" s="397">
        <f>IF($C34="","",VLOOKUP($C34+$F$11*1000,DSS_Calc!$A:$JV,R$30,FALSE)*IF(V34=0,0,1))</f>
        <v>3252.272687111797</v>
      </c>
      <c r="S34" s="397">
        <f>IF($C34="","",VLOOKUP($C34+$F$11*1000,DSS_Calc!$A:$JV,S$30,FALSE)*IF(W34=0,0,1))</f>
        <v>5957.9609265464023</v>
      </c>
      <c r="T34" s="294" t="s">
        <v>2</v>
      </c>
      <c r="U34" s="398">
        <f>IF($C34="","",VLOOKUP($C34+$F$11*1000,DSS_Calc!$A:$JV,U$30,FALSE))</f>
        <v>0.3165573098056913</v>
      </c>
      <c r="V34" s="398">
        <f>IF($C34="","",VLOOKUP($C34+$F$11*1000,DSS_Calc!$A:$JV,V$30,FALSE))</f>
        <v>0.38200770023035435</v>
      </c>
      <c r="W34" s="398">
        <f>IF($C34="","",VLOOKUP($C34+$F$11*1000,DSS_Calc!$A:$JV,W$30,FALSE))</f>
        <v>0.30143498996395435</v>
      </c>
      <c r="X34" s="294" t="s">
        <v>2</v>
      </c>
      <c r="Y34" s="397">
        <f t="shared" si="0"/>
        <v>949.6719294170739</v>
      </c>
      <c r="Z34" s="397">
        <f t="shared" si="0"/>
        <v>1242.3932097255724</v>
      </c>
      <c r="AA34" s="397">
        <f t="shared" si="0"/>
        <v>1795.9378920991469</v>
      </c>
      <c r="AB34" s="294" t="s">
        <v>2</v>
      </c>
      <c r="AC34" s="397">
        <f>SUM(Y34:AA34)</f>
        <v>3988.003031241793</v>
      </c>
      <c r="AD34" s="399">
        <f>AC34*AE34/1000/1000</f>
        <v>8.9280709566577094</v>
      </c>
      <c r="AE34" s="400">
        <f>IF($C34="","",VLOOKUP($C34+$F$11*1000,DSS_Calc!$A:$JV,AE$30,FALSE))</f>
        <v>2238.7322393477889</v>
      </c>
      <c r="AF34" s="399">
        <f>IF($C34="","",VLOOKUP($C34+$F$11*1000,DSS_Calc!$A:$JV,AF$30,FALSE))</f>
        <v>4.2994784795287009</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0/0/0.9/3.9</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f>AI35/((Q35*U34+R35*V34+S35*W34)/(VLOOKUP($C34+$F$11*1000,DSS_Calc!$A:$JV,DSS_Calc!BX$92,FALSE)-$AC$33))</f>
        <v>2.9179870528611658</v>
      </c>
      <c r="B35" s="402"/>
      <c r="C35" s="564">
        <f>AI35/(AC35/(VLOOKUP($C34+$F$11*1000,DSS_Calc!$A:$JV,DSS_Calc!BX$92,FALSE)-$AC$33))</f>
        <v>5.1900003948577851</v>
      </c>
      <c r="D35" s="403" t="s">
        <v>141</v>
      </c>
      <c r="F35" s="404">
        <f>ROUND(F34-F$33,0)</f>
        <v>1000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1000</v>
      </c>
      <c r="R35" s="404">
        <f t="shared" si="2"/>
        <v>348.62386185219702</v>
      </c>
      <c r="S35" s="404">
        <f t="shared" si="2"/>
        <v>83</v>
      </c>
      <c r="T35" s="294"/>
      <c r="U35" s="405">
        <f>U34-U$33</f>
        <v>5.5929724155477201E-2</v>
      </c>
      <c r="V35" s="405">
        <f>V34-V$33</f>
        <v>-2.9932550549904846E-3</v>
      </c>
      <c r="W35" s="405">
        <f>W34-W$33</f>
        <v>-5.2936469100486716E-2</v>
      </c>
      <c r="X35" s="294"/>
      <c r="Y35" s="404">
        <f>Y34-Y$33</f>
        <v>428.41675811664572</v>
      </c>
      <c r="Z35" s="404">
        <f>Z34-Z$33</f>
        <v>124.4856381874572</v>
      </c>
      <c r="AA35" s="404">
        <f>AA34-AA$33</f>
        <v>-285.98058338768237</v>
      </c>
      <c r="AB35" s="294"/>
      <c r="AC35" s="404">
        <f>IFERROR(AC34-AC$33,NA())</f>
        <v>266.92181291642009</v>
      </c>
      <c r="AD35" s="406">
        <f>AD34-AD$33</f>
        <v>1.2623679432206014</v>
      </c>
      <c r="AE35" s="407">
        <f t="shared" ref="AE35:AF49" si="3">AE34-AE$33</f>
        <v>178.65814698842769</v>
      </c>
      <c r="AF35" s="406">
        <f t="shared" si="3"/>
        <v>-0.2067662817394762</v>
      </c>
      <c r="AG35" s="408">
        <f>AF35/AF$33</f>
        <v>-4.5884387709398781E-2</v>
      </c>
      <c r="AH35" s="405"/>
      <c r="AI35" s="408">
        <f>IFERROR(AE35/$AE$33,NA())</f>
        <v>8.6724136598317264E-2</v>
      </c>
      <c r="AJ35" s="289"/>
      <c r="AK35" s="749"/>
      <c r="AL35" s="750">
        <f>$AE34*U34-$AE$33*U$33</f>
        <v>171.7749181110305</v>
      </c>
      <c r="AM35" s="750">
        <f>$AE34*V34-$AE$33*V$33</f>
        <v>62.082460667856367</v>
      </c>
      <c r="AN35" s="750">
        <f>$AE34*W34-$AE$33*W$33</f>
        <v>-55.19923179045918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50</v>
      </c>
      <c r="D36" s="261" t="str">
        <f>"Scenario " &amp; A36</f>
        <v>Scenario B</v>
      </c>
      <c r="E36" s="272" t="s">
        <v>2</v>
      </c>
      <c r="F36" s="262">
        <f>IF($C36="","",VLOOKUP($C36+$F$11*1000,DSS_Calc!$A:$JV,F$30,FALSE))</f>
        <v>2250</v>
      </c>
      <c r="G36" s="262" t="str">
        <f>IF($C36="","",VLOOKUP($C36+$F$11*1000,DSS_Calc!$A:$JV,G$30,FALSE))</f>
        <v>0/0.9/1.9/3.9</v>
      </c>
      <c r="H36" s="262">
        <f>IF($C36="","",VLOOKUP($C36+$F$11*1000,DSS_Calc!$A:$JV,H$30,FALSE))</f>
        <v>0</v>
      </c>
      <c r="I36" s="262">
        <f>IF($C36="","",VLOOKUP($C36+$F$11*1000,DSS_Calc!$A:$JV,I$30,FALSE))</f>
        <v>0</v>
      </c>
      <c r="J36" s="262">
        <f>IF($C36="","",VLOOKUP($C36+$F$11*1000,DSS_Calc!$A:$JV,J$30,FALSE))</f>
        <v>4622</v>
      </c>
      <c r="K36" s="262">
        <f>IF($C36="","",VLOOKUP($C36+$F$11*1000,DSS_Calc!$A:$JV,K$30,FALSE))</f>
        <v>0</v>
      </c>
      <c r="L36" s="262">
        <f>IF($C36="","",VLOOKUP($C36+$F$11*1000,DSS_Calc!$A:$JV,L$30,FALSE))</f>
        <v>0</v>
      </c>
      <c r="M36" s="262">
        <f>IF($C36="","",VLOOKUP($C36+$F$11*1000,DSS_Calc!$A:$JV,M$30,FALSE))</f>
        <v>0</v>
      </c>
      <c r="N36" s="262">
        <f>IF($C36="","",VLOOKUP($C36+$F$11*1000,DSS_Calc!$A:$JV,N$30,FALSE))</f>
        <v>500</v>
      </c>
      <c r="O36" s="262">
        <f>IF($C36="","",VLOOKUP($C36+$F$11*1000,DSS_Calc!$A:$JV,O$30,FALSE))</f>
        <v>0</v>
      </c>
      <c r="P36" s="294" t="s">
        <v>2</v>
      </c>
      <c r="Q36" s="262">
        <f>IF($C36="","",VLOOKUP($C36+$F$11*1000,DSS_Calc!$A:$JV,Q$30,FALSE)*IF(U36=0,0,1))</f>
        <v>3000</v>
      </c>
      <c r="R36" s="262">
        <f>IF($C36="","",VLOOKUP($C36+$F$11*1000,DSS_Calc!$A:$JV,R$30,FALSE)*IF(V36=0,0,1))</f>
        <v>2904.2870610349328</v>
      </c>
      <c r="S36" s="262">
        <f>IF($C36="","",VLOOKUP($C36+$F$11*1000,DSS_Calc!$A:$JV,S$30,FALSE)*IF(W36=0,0,1))</f>
        <v>5597.9609265464023</v>
      </c>
      <c r="T36" s="294" t="s">
        <v>2</v>
      </c>
      <c r="U36" s="263">
        <f>IF($C36="","",VLOOKUP($C36+$F$11*1000,DSS_Calc!$A:$JV,U$30,FALSE))</f>
        <v>0.35299454698450189</v>
      </c>
      <c r="V36" s="263">
        <f>IF($C36="","",VLOOKUP($C36+$F$11*1000,DSS_Calc!$A:$JV,V$30,FALSE))</f>
        <v>0.36652674866671486</v>
      </c>
      <c r="W36" s="263">
        <f>IF($C36="","",VLOOKUP($C36+$F$11*1000,DSS_Calc!$A:$JV,W$30,FALSE))</f>
        <v>0.28047870434878319</v>
      </c>
      <c r="X36" s="294" t="s">
        <v>2</v>
      </c>
      <c r="Y36" s="262">
        <f>IF(U36=0,0,U36*Q36)</f>
        <v>1058.9836409535058</v>
      </c>
      <c r="Z36" s="262">
        <f>IF(V36=0,0,V36*R36)</f>
        <v>1064.4988936759428</v>
      </c>
      <c r="AA36" s="262">
        <f>IF(W36=0,0,W36*S36)</f>
        <v>1570.1088276728487</v>
      </c>
      <c r="AB36" s="294" t="s">
        <v>2</v>
      </c>
      <c r="AC36" s="262">
        <f>SUM(Y36:AA36)</f>
        <v>3693.5913623022971</v>
      </c>
      <c r="AD36" s="264">
        <f>AC36*AE36/1000/1000</f>
        <v>7.7953156841172007</v>
      </c>
      <c r="AE36" s="265">
        <f>IF($C36="","",VLOOKUP($C36+$F$11*1000,DSS_Calc!$A:$JV,AE$30,FALSE))</f>
        <v>2110.4975942054966</v>
      </c>
      <c r="AF36" s="264">
        <f>IF($C36="","",VLOOKUP($C36+$F$11*1000,DSS_Calc!$A:$JV,AF$30,FALSE))</f>
        <v>4.6745593512459758</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-360 Lease</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1.4190035455020253</v>
      </c>
      <c r="B37" s="402"/>
      <c r="C37" s="564">
        <f>AI37/(AC37/(VLOOKUP($C36+$F$11*1000,DSS_Calc!$A:$JV,DSS_Calc!BX$92,FALSE)-$AC$33))</f>
        <v>-14.222933184685079</v>
      </c>
      <c r="D37" s="266" t="s">
        <v>141</v>
      </c>
      <c r="F37" s="267">
        <f>ROUND(F36-F$33,0)</f>
        <v>1000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1000</v>
      </c>
      <c r="R37" s="267">
        <f t="shared" si="5"/>
        <v>0.63823577533275966</v>
      </c>
      <c r="S37" s="267">
        <f t="shared" si="5"/>
        <v>-277</v>
      </c>
      <c r="T37" s="294"/>
      <c r="U37" s="268">
        <f>U36-U$33</f>
        <v>9.2366961334287789E-2</v>
      </c>
      <c r="V37" s="268">
        <f>V36-V$33</f>
        <v>-1.8474206618629974E-2</v>
      </c>
      <c r="W37" s="268">
        <f>W36-W$33</f>
        <v>-7.3892754715657871E-2</v>
      </c>
      <c r="X37" s="294"/>
      <c r="Y37" s="267">
        <f>Y36-Y$33</f>
        <v>537.72846965307758</v>
      </c>
      <c r="Z37" s="267">
        <f>Z36-Z$33</f>
        <v>-53.408677862172453</v>
      </c>
      <c r="AA37" s="267">
        <f>AA36-AA$33</f>
        <v>-511.80964781398052</v>
      </c>
      <c r="AB37" s="294"/>
      <c r="AC37" s="267">
        <f>IFERROR(AC36-AC$33,NA())</f>
        <v>-27.489856023075845</v>
      </c>
      <c r="AD37" s="269">
        <f>AD36-AD$33</f>
        <v>0.12961267068009263</v>
      </c>
      <c r="AE37" s="270">
        <f t="shared" si="3"/>
        <v>50.423501846135423</v>
      </c>
      <c r="AF37" s="269">
        <f t="shared" si="3"/>
        <v>0.16831458997779869</v>
      </c>
      <c r="AG37" s="301">
        <f>AF37/AF$33</f>
        <v>3.7351408743814103E-2</v>
      </c>
      <c r="AH37" s="268"/>
      <c r="AI37" s="301">
        <f>IFERROR(AE37/$AE$33,NA())</f>
        <v>2.4476547728623881E-2</v>
      </c>
      <c r="AJ37" s="289"/>
      <c r="AK37" s="749"/>
      <c r="AL37" s="750">
        <f>$AE36*U36-$AE$33*U$33</f>
        <v>208.08200522627385</v>
      </c>
      <c r="AM37" s="750">
        <f>$AE36*V36-$AE$33*V$33</f>
        <v>-19.576672243879329</v>
      </c>
      <c r="AN37" s="750">
        <f>$AE36*W36-$AE$33*W$33</f>
        <v>-138.08183113625932</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49</v>
      </c>
      <c r="D38" s="396" t="str">
        <f>"Scenario " &amp; A38</f>
        <v>Scenario C</v>
      </c>
      <c r="E38" s="272" t="s">
        <v>2</v>
      </c>
      <c r="F38" s="397">
        <f>IF($C38="","",VLOOKUP($C38+$F$11*1000,DSS_Calc!$A:$JV,F$30,FALSE))</f>
        <v>2000</v>
      </c>
      <c r="G38" s="397" t="str">
        <f>IF($C38="","",VLOOKUP($C38+$F$11*1000,DSS_Calc!$A:$JV,G$30,FALSE))</f>
        <v>0/0.9/1.9/3.9</v>
      </c>
      <c r="H38" s="397">
        <f>IF($C38="","",VLOOKUP($C38+$F$11*1000,DSS_Calc!$A:$JV,H$30,FALSE))</f>
        <v>0</v>
      </c>
      <c r="I38" s="397">
        <f>IF($C38="","",VLOOKUP($C38+$F$11*1000,DSS_Calc!$A:$JV,I$30,FALSE))</f>
        <v>0</v>
      </c>
      <c r="J38" s="397">
        <f>IF($C38="","",VLOOKUP($C38+$F$11*1000,DSS_Calc!$A:$JV,J$30,FALSE))</f>
        <v>4622</v>
      </c>
      <c r="K38" s="397">
        <f>IF($C38="","",VLOOKUP($C38+$F$11*1000,DSS_Calc!$A:$JV,K$30,FALSE))</f>
        <v>0</v>
      </c>
      <c r="L38" s="397">
        <f>IF($C38="","",VLOOKUP($C38+$F$11*1000,DSS_Calc!$A:$JV,L$30,FALSE))</f>
        <v>0</v>
      </c>
      <c r="M38" s="397">
        <f>IF($C38="","",VLOOKUP($C38+$F$11*1000,DSS_Calc!$A:$JV,M$30,FALSE))</f>
        <v>0</v>
      </c>
      <c r="N38" s="397">
        <f>IF($C38="","",VLOOKUP($C38+$F$11*1000,DSS_Calc!$A:$JV,N$30,FALSE))</f>
        <v>500</v>
      </c>
      <c r="O38" s="397">
        <f>IF($C38="","",VLOOKUP($C38+$F$11*1000,DSS_Calc!$A:$JV,O$30,FALSE))</f>
        <v>0</v>
      </c>
      <c r="P38" s="294" t="s">
        <v>2</v>
      </c>
      <c r="Q38" s="397">
        <f>IF($C38="","",VLOOKUP($C38+$F$11*1000,DSS_Calc!$A:$JV,Q$30,FALSE)*IF(U38=0,0,1))</f>
        <v>2750</v>
      </c>
      <c r="R38" s="397">
        <f>IF($C38="","",VLOOKUP($C38+$F$11*1000,DSS_Calc!$A:$JV,R$30,FALSE)*IF(V38=0,0,1))</f>
        <v>2904.1685318270947</v>
      </c>
      <c r="S38" s="397">
        <f>IF($C38="","",VLOOKUP($C38+$F$11*1000,DSS_Calc!$A:$JV,S$30,FALSE)*IF(W38=0,0,1))</f>
        <v>5597.9609265464023</v>
      </c>
      <c r="T38" s="294" t="s">
        <v>2</v>
      </c>
      <c r="U38" s="398">
        <f>IF($C38="","",VLOOKUP($C38+$F$11*1000,DSS_Calc!$A:$JV,U$30,FALSE))</f>
        <v>0.33482787265851188</v>
      </c>
      <c r="V38" s="398">
        <f>IF($C38="","",VLOOKUP($C38+$F$11*1000,DSS_Calc!$A:$JV,V$30,FALSE))</f>
        <v>0.3748067518913083</v>
      </c>
      <c r="W38" s="398">
        <f>IF($C38="","",VLOOKUP($C38+$F$11*1000,DSS_Calc!$A:$JV,W$30,FALSE))</f>
        <v>0.29036537545017976</v>
      </c>
      <c r="X38" s="294" t="s">
        <v>2</v>
      </c>
      <c r="Y38" s="397">
        <f>IF(U38=0,0,U38*Q38)</f>
        <v>920.77664981090766</v>
      </c>
      <c r="Z38" s="397">
        <f>IF(V38=0,0,V38*R38)</f>
        <v>1088.5019743590631</v>
      </c>
      <c r="AA38" s="397">
        <f>IF(W38=0,0,W38*S38)</f>
        <v>1625.4540261920822</v>
      </c>
      <c r="AB38" s="294" t="s">
        <v>2</v>
      </c>
      <c r="AC38" s="397">
        <f>SUM(Y38:AA38)</f>
        <v>3634.7326503620529</v>
      </c>
      <c r="AD38" s="399">
        <f>AC38*AE38/1000/1000</f>
        <v>7.5543405963820858</v>
      </c>
      <c r="AE38" s="400">
        <f>IF($C38="","",VLOOKUP($C38+$F$11*1000,DSS_Calc!$A:$JV,AE$30,FALSE))</f>
        <v>2078.3758595366303</v>
      </c>
      <c r="AF38" s="399">
        <f>IF($C38="","",VLOOKUP($C38+$F$11*1000,DSS_Calc!$A:$JV,AF$30,FALSE))</f>
        <v>4.7257431696900936</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-360 Lease</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f>AI39/((Q39*U38+R39*V38+S39*W38)/(VLOOKUP($C38+$F$11*1000,DSS_Calc!$A:$JV,DSS_Calc!BX$92,FALSE)-$AC$33))</f>
        <v>0.8304605828080428</v>
      </c>
      <c r="B39" s="402"/>
      <c r="C39" s="564">
        <f>AI39/(AC39/(VLOOKUP($C38+$F$11*1000,DSS_Calc!$A:$JV,DSS_Calc!BX$92,FALSE)-$AC$33))</f>
        <v>-1.6434879277527106</v>
      </c>
      <c r="D39" s="403" t="s">
        <v>141</v>
      </c>
      <c r="F39" s="404">
        <f>ROUND(F38-F$33,0)</f>
        <v>750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750</v>
      </c>
      <c r="R39" s="404">
        <f t="shared" si="7"/>
        <v>0.51970656749472255</v>
      </c>
      <c r="S39" s="404">
        <f t="shared" si="7"/>
        <v>-277</v>
      </c>
      <c r="T39" s="294"/>
      <c r="U39" s="405">
        <f>U38-U$33</f>
        <v>7.4200287008297783E-2</v>
      </c>
      <c r="V39" s="405">
        <f>V38-V$33</f>
        <v>-1.0194203394036538E-2</v>
      </c>
      <c r="W39" s="405">
        <f>W38-W$33</f>
        <v>-6.40060836142613E-2</v>
      </c>
      <c r="X39" s="294"/>
      <c r="Y39" s="404">
        <f>Y38-Y$33</f>
        <v>399.52147851047948</v>
      </c>
      <c r="Z39" s="404">
        <f>Z38-Z$33</f>
        <v>-29.405597179052165</v>
      </c>
      <c r="AA39" s="404">
        <f>AA38-AA$33</f>
        <v>-456.46444929474706</v>
      </c>
      <c r="AB39" s="294"/>
      <c r="AC39" s="404">
        <f>IFERROR(AC38-AC$33,NA())</f>
        <v>-86.348567963319965</v>
      </c>
      <c r="AD39" s="406">
        <f>AD38-AD$33</f>
        <v>-0.11136241705502226</v>
      </c>
      <c r="AE39" s="407">
        <f t="shared" si="3"/>
        <v>18.301767177269085</v>
      </c>
      <c r="AF39" s="406">
        <f t="shared" si="3"/>
        <v>0.21949840842191648</v>
      </c>
      <c r="AG39" s="408">
        <f>AF39/AF$33</f>
        <v>4.8709828260669934E-2</v>
      </c>
      <c r="AH39" s="405"/>
      <c r="AI39" s="408">
        <f>IFERROR(AE39/$AE$33,NA())</f>
        <v>8.8840334651791291E-3</v>
      </c>
      <c r="AJ39" s="289"/>
      <c r="AK39" s="749"/>
      <c r="AL39" s="750">
        <f>$AE38*U38-$AE$33*U$33</f>
        <v>158.98603068127954</v>
      </c>
      <c r="AM39" s="750">
        <f>$AE38*V38-$AE$33*V$33</f>
        <v>-14.141188394713254</v>
      </c>
      <c r="AN39" s="750">
        <f>$AE38*W38-$AE$33*W$33</f>
        <v>-126.54307510929721</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37</v>
      </c>
      <c r="D40" s="261" t="str">
        <f>"Scenario " &amp; A40</f>
        <v>Scenario D</v>
      </c>
      <c r="E40" s="272" t="s">
        <v>2</v>
      </c>
      <c r="F40" s="262">
        <f>IF($C40="","",VLOOKUP($C40+$F$11*1000,DSS_Calc!$A:$JV,F$30,FALSE))</f>
        <v>2000</v>
      </c>
      <c r="G40" s="262" t="str">
        <f>IF($C40="","",VLOOKUP($C40+$F$11*1000,DSS_Calc!$A:$JV,G$30,FALSE))</f>
        <v>0/0/0.9/3.9</v>
      </c>
      <c r="H40" s="262">
        <f>IF($C40="","",VLOOKUP($C40+$F$11*1000,DSS_Calc!$A:$JV,H$30,FALSE))</f>
        <v>0</v>
      </c>
      <c r="I40" s="262">
        <f>IF($C40="","",VLOOKUP($C40+$F$11*1000,DSS_Calc!$A:$JV,I$30,FALSE))</f>
        <v>0</v>
      </c>
      <c r="J40" s="262">
        <f>IF($C40="","",VLOOKUP($C40+$F$11*1000,DSS_Calc!$A:$JV,J$30,FALSE))</f>
        <v>4982</v>
      </c>
      <c r="K40" s="262">
        <f>IF($C40="","",VLOOKUP($C40+$F$11*1000,DSS_Calc!$A:$JV,K$30,FALSE))</f>
        <v>0</v>
      </c>
      <c r="L40" s="262">
        <f>IF($C40="","",VLOOKUP($C40+$F$11*1000,DSS_Calc!$A:$JV,L$30,FALSE))</f>
        <v>0</v>
      </c>
      <c r="M40" s="262">
        <f>IF($C40="","",VLOOKUP($C40+$F$11*1000,DSS_Calc!$A:$JV,M$30,FALSE))</f>
        <v>0</v>
      </c>
      <c r="N40" s="262">
        <f>IF($C40="","",VLOOKUP($C40+$F$11*1000,DSS_Calc!$A:$JV,N$30,FALSE))</f>
        <v>500</v>
      </c>
      <c r="O40" s="262">
        <f>IF($C40="","",VLOOKUP($C40+$F$11*1000,DSS_Calc!$A:$JV,O$30,FALSE))</f>
        <v>0</v>
      </c>
      <c r="P40" s="294" t="s">
        <v>2</v>
      </c>
      <c r="Q40" s="262">
        <f>IF($C40="","",VLOOKUP($C40+$F$11*1000,DSS_Calc!$A:$JV,Q$30,FALSE)*IF(U40=0,0,1))</f>
        <v>2750</v>
      </c>
      <c r="R40" s="262">
        <f>IF($C40="","",VLOOKUP($C40+$F$11*1000,DSS_Calc!$A:$JV,R$30,FALSE)*IF(V40=0,0,1))</f>
        <v>3252.2673218823938</v>
      </c>
      <c r="S40" s="262">
        <f>IF($C40="","",VLOOKUP($C40+$F$11*1000,DSS_Calc!$A:$JV,S$30,FALSE)*IF(W40=0,0,1))</f>
        <v>5957.9609265464023</v>
      </c>
      <c r="T40" s="294" t="s">
        <v>2</v>
      </c>
      <c r="U40" s="263">
        <f>IF($C40="","",VLOOKUP($C40+$F$11*1000,DSS_Calc!$A:$JV,U$30,FALSE))</f>
        <v>0.29871624902150773</v>
      </c>
      <c r="V40" s="263">
        <f>IF($C40="","",VLOOKUP($C40+$F$11*1000,DSS_Calc!$A:$JV,V$30,FALSE))</f>
        <v>0.39014127999586939</v>
      </c>
      <c r="W40" s="263">
        <f>IF($C40="","",VLOOKUP($C40+$F$11*1000,DSS_Calc!$A:$JV,W$30,FALSE))</f>
        <v>0.31114247098262288</v>
      </c>
      <c r="X40" s="294" t="s">
        <v>2</v>
      </c>
      <c r="Y40" s="262">
        <f>IF(U40=0,0,U40*Q40)</f>
        <v>821.4696848091462</v>
      </c>
      <c r="Z40" s="262">
        <f>IF(V40=0,0,V40*R40)</f>
        <v>1268.8437358479352</v>
      </c>
      <c r="AA40" s="262">
        <f>IF(W40=0,0,W40*S40)</f>
        <v>1853.7746847035648</v>
      </c>
      <c r="AB40" s="294" t="s">
        <v>2</v>
      </c>
      <c r="AC40" s="262">
        <f>SUM(Y40:AA40)</f>
        <v>3944.0881053606463</v>
      </c>
      <c r="AD40" s="264">
        <f>AC40*AE40/1000/1000</f>
        <v>8.7080363010545074</v>
      </c>
      <c r="AE40" s="265">
        <f>IF($C40="","",VLOOKUP($C40+$F$11*1000,DSS_Calc!$A:$JV,AE$30,FALSE))</f>
        <v>2207.8706328134235</v>
      </c>
      <c r="AF40" s="264">
        <f>IF($C40="","",VLOOKUP($C40+$F$11*1000,DSS_Calc!$A:$JV,AF$30,FALSE))</f>
        <v>4.337167332923606</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0/0/0.9/3.9</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f>AI41/((Q41*U40+R41*V40+S41*W40)/(VLOOKUP($C40+$F$11*1000,DSS_Calc!$A:$JV,DSS_Calc!BX$92,FALSE)-$AC$33))</f>
        <v>2.969949710306695</v>
      </c>
      <c r="B41" s="402"/>
      <c r="C41" s="564">
        <f>AI41/(AC41/(VLOOKUP($C40+$F$11*1000,DSS_Calc!$A:$JV,DSS_Calc!BX$92,FALSE)-$AC$33))</f>
        <v>5.1389527496536598</v>
      </c>
      <c r="D41" s="266" t="s">
        <v>141</v>
      </c>
      <c r="F41" s="267">
        <f>ROUND(F40-F$33,0)</f>
        <v>750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750</v>
      </c>
      <c r="R41" s="267">
        <f t="shared" si="9"/>
        <v>348.61849662279383</v>
      </c>
      <c r="S41" s="267">
        <f t="shared" si="9"/>
        <v>83</v>
      </c>
      <c r="T41" s="294"/>
      <c r="U41" s="268">
        <f>U40-U$33</f>
        <v>3.808866337129363E-2</v>
      </c>
      <c r="V41" s="268">
        <f>V40-V$33</f>
        <v>5.1403247105245575E-3</v>
      </c>
      <c r="W41" s="268">
        <f>W40-W$33</f>
        <v>-4.3228988081818187E-2</v>
      </c>
      <c r="X41" s="294"/>
      <c r="Y41" s="267">
        <f>Y40-Y$33</f>
        <v>300.21451350871803</v>
      </c>
      <c r="Z41" s="267">
        <f>Z40-Z$33</f>
        <v>150.93616430982001</v>
      </c>
      <c r="AA41" s="267">
        <f>AA40-AA$33</f>
        <v>-228.14379078326442</v>
      </c>
      <c r="AB41" s="294"/>
      <c r="AC41" s="267">
        <f>IFERROR(AC40-AC$33,NA())</f>
        <v>223.00688703527339</v>
      </c>
      <c r="AD41" s="269">
        <f>AD40-AD$33</f>
        <v>1.0423332876173994</v>
      </c>
      <c r="AE41" s="270">
        <f t="shared" si="3"/>
        <v>147.79654045406232</v>
      </c>
      <c r="AF41" s="269">
        <f t="shared" si="3"/>
        <v>-0.16907742834457107</v>
      </c>
      <c r="AG41" s="301">
        <f>AF41/AF$33</f>
        <v>-3.7520693460287802E-2</v>
      </c>
      <c r="AH41" s="268"/>
      <c r="AI41" s="301">
        <f>IFERROR(AE41/$AE$33,NA())</f>
        <v>7.1743313020743799E-2</v>
      </c>
      <c r="AJ41" s="289"/>
      <c r="AK41" s="749"/>
      <c r="AL41" s="750">
        <f>$AE40*U40-$AE$33*U$33</f>
        <v>122.61469680659195</v>
      </c>
      <c r="AM41" s="750">
        <f>$AE40*V40-$AE$33*V$33</f>
        <v>68.25098123417547</v>
      </c>
      <c r="AN41" s="750">
        <f>$AE40*W40-$AE$33*W$33</f>
        <v>-43.069137586705097</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48</v>
      </c>
      <c r="D42" s="396" t="str">
        <f>"Scenario " &amp; A42</f>
        <v>Scenario E</v>
      </c>
      <c r="E42" s="272" t="s">
        <v>2</v>
      </c>
      <c r="F42" s="397">
        <f>IF($C42="","",VLOOKUP($C42+$F$11*1000,DSS_Calc!$A:$JV,F$30,FALSE))</f>
        <v>1750</v>
      </c>
      <c r="G42" s="397" t="str">
        <f>IF($C42="","",VLOOKUP($C42+$F$11*1000,DSS_Calc!$A:$JV,G$30,FALSE))</f>
        <v>0/0.9/1.9/3.9</v>
      </c>
      <c r="H42" s="397">
        <f>IF($C42="","",VLOOKUP($C42+$F$11*1000,DSS_Calc!$A:$JV,H$30,FALSE))</f>
        <v>0</v>
      </c>
      <c r="I42" s="397">
        <f>IF($C42="","",VLOOKUP($C42+$F$11*1000,DSS_Calc!$A:$JV,I$30,FALSE))</f>
        <v>0</v>
      </c>
      <c r="J42" s="397">
        <f>IF($C42="","",VLOOKUP($C42+$F$11*1000,DSS_Calc!$A:$JV,J$30,FALSE))</f>
        <v>4622</v>
      </c>
      <c r="K42" s="397">
        <f>IF($C42="","",VLOOKUP($C42+$F$11*1000,DSS_Calc!$A:$JV,K$30,FALSE))</f>
        <v>0</v>
      </c>
      <c r="L42" s="397">
        <f>IF($C42="","",VLOOKUP($C42+$F$11*1000,DSS_Calc!$A:$JV,L$30,FALSE))</f>
        <v>0</v>
      </c>
      <c r="M42" s="397">
        <f>IF($C42="","",VLOOKUP($C42+$F$11*1000,DSS_Calc!$A:$JV,M$30,FALSE))</f>
        <v>0</v>
      </c>
      <c r="N42" s="397">
        <f>IF($C42="","",VLOOKUP($C42+$F$11*1000,DSS_Calc!$A:$JV,N$30,FALSE))</f>
        <v>500</v>
      </c>
      <c r="O42" s="397">
        <f>IF($C42="","",VLOOKUP($C42+$F$11*1000,DSS_Calc!$A:$JV,O$30,FALSE))</f>
        <v>0</v>
      </c>
      <c r="P42" s="294" t="s">
        <v>2</v>
      </c>
      <c r="Q42" s="397">
        <f>IF($C42="","",VLOOKUP($C42+$F$11*1000,DSS_Calc!$A:$JV,Q$30,FALSE)*IF(U42=0,0,1))</f>
        <v>2500</v>
      </c>
      <c r="R42" s="397">
        <f>IF($C42="","",VLOOKUP($C42+$F$11*1000,DSS_Calc!$A:$JV,R$30,FALSE)*IF(V42=0,0,1))</f>
        <v>2904.0463382019457</v>
      </c>
      <c r="S42" s="397">
        <f>IF($C42="","",VLOOKUP($C42+$F$11*1000,DSS_Calc!$A:$JV,S$30,FALSE)*IF(W42=0,0,1))</f>
        <v>5597.9609265464023</v>
      </c>
      <c r="T42" s="294" t="s">
        <v>2</v>
      </c>
      <c r="U42" s="398">
        <f>IF($C42="","",VLOOKUP($C42+$F$11*1000,DSS_Calc!$A:$JV,U$30,FALSE))</f>
        <v>0.3167524816695037</v>
      </c>
      <c r="V42" s="398">
        <f>IF($C42="","",VLOOKUP($C42+$F$11*1000,DSS_Calc!$A:$JV,V$30,FALSE))</f>
        <v>0.38296591759116677</v>
      </c>
      <c r="W42" s="398">
        <f>IF($C42="","",VLOOKUP($C42+$F$11*1000,DSS_Calc!$A:$JV,W$30,FALSE))</f>
        <v>0.30028160073932952</v>
      </c>
      <c r="X42" s="294" t="s">
        <v>2</v>
      </c>
      <c r="Y42" s="397">
        <f>IF(U42=0,0,U42*Q42)</f>
        <v>791.88120417375922</v>
      </c>
      <c r="Z42" s="397">
        <f>IF(V42=0,0,V42*R42)</f>
        <v>1112.1507706367759</v>
      </c>
      <c r="AA42" s="397">
        <f>IF(W42=0,0,W42*S42)</f>
        <v>1680.9646678995739</v>
      </c>
      <c r="AB42" s="294" t="s">
        <v>2</v>
      </c>
      <c r="AC42" s="397">
        <f>SUM(Y42:AA42)</f>
        <v>3584.996642710109</v>
      </c>
      <c r="AD42" s="399">
        <f>AC42*AE42/1000/1000</f>
        <v>7.3431650824178236</v>
      </c>
      <c r="AE42" s="400">
        <f>IF($C42="","",VLOOKUP($C42+$F$11*1000,DSS_Calc!$A:$JV,AE$30,FALSE))</f>
        <v>2048.3045911213726</v>
      </c>
      <c r="AF42" s="399">
        <f>IF($C42="","",VLOOKUP($C42+$F$11*1000,DSS_Calc!$A:$JV,AF$30,FALSE))</f>
        <v>4.7592425942228065</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-360 Lease</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-1.2111577629822781</v>
      </c>
      <c r="B43" s="402"/>
      <c r="C43" s="564">
        <f>AI43/(AC43/(VLOOKUP($C42+$F$11*1000,DSS_Calc!$A:$JV,DSS_Calc!BX$92,FALSE)-$AC$33))</f>
        <v>0.67062198558215136</v>
      </c>
      <c r="D43" s="403" t="s">
        <v>141</v>
      </c>
      <c r="F43" s="404">
        <f>ROUND(F42-F$33,0)</f>
        <v>500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500</v>
      </c>
      <c r="R43" s="404">
        <f t="shared" si="11"/>
        <v>0.39751294234565648</v>
      </c>
      <c r="S43" s="404">
        <f t="shared" si="11"/>
        <v>-277</v>
      </c>
      <c r="T43" s="294"/>
      <c r="U43" s="405">
        <f>U42-U$33</f>
        <v>5.6124896019289605E-2</v>
      </c>
      <c r="V43" s="405">
        <f>V42-V$33</f>
        <v>-2.0350376941780657E-3</v>
      </c>
      <c r="W43" s="405">
        <f>W42-W$33</f>
        <v>-5.4089858325111539E-2</v>
      </c>
      <c r="X43" s="294"/>
      <c r="Y43" s="404">
        <f>Y42-Y$33</f>
        <v>270.62603287333104</v>
      </c>
      <c r="Z43" s="404">
        <f>Z42-Z$33</f>
        <v>-5.7568009013393748</v>
      </c>
      <c r="AA43" s="404">
        <f>AA42-AA$33</f>
        <v>-400.95380758725537</v>
      </c>
      <c r="AB43" s="294"/>
      <c r="AC43" s="404">
        <f>IFERROR(AC42-AC$33,NA())</f>
        <v>-136.08457561526393</v>
      </c>
      <c r="AD43" s="406">
        <f>AD42-AD$33</f>
        <v>-0.32253793101928441</v>
      </c>
      <c r="AE43" s="407">
        <f t="shared" si="3"/>
        <v>-11.769501237988607</v>
      </c>
      <c r="AF43" s="406">
        <f t="shared" si="3"/>
        <v>0.25299783295462941</v>
      </c>
      <c r="AG43" s="408">
        <f>AF43/AF$33</f>
        <v>5.614382847757899E-2</v>
      </c>
      <c r="AH43" s="405"/>
      <c r="AI43" s="408">
        <f>IFERROR(AE43/$AE$33,NA())</f>
        <v>-5.7131446299143714E-3</v>
      </c>
      <c r="AJ43" s="289"/>
      <c r="AK43" s="751"/>
      <c r="AL43" s="750">
        <f>$AE42*U42-$AE$33*U$33</f>
        <v>111.8934255005563</v>
      </c>
      <c r="AM43" s="750">
        <f>$AE42*V42-$AE$33*V$33</f>
        <v>-8.6996462719475858</v>
      </c>
      <c r="AN43" s="750">
        <f>$AE42*W42-$AE$33*W$33</f>
        <v>-114.96328046659733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36</v>
      </c>
      <c r="D44" s="261" t="str">
        <f>"Scenario " &amp; A44</f>
        <v>Scenario F</v>
      </c>
      <c r="E44" s="272" t="s">
        <v>2</v>
      </c>
      <c r="F44" s="262">
        <f>IF($C44="","",VLOOKUP($C44+$F$11*1000,DSS_Calc!$A:$JV,F$30,FALSE))</f>
        <v>1750</v>
      </c>
      <c r="G44" s="262" t="str">
        <f>IF($C44="","",VLOOKUP($C44+$F$11*1000,DSS_Calc!$A:$JV,G$30,FALSE))</f>
        <v>0/0/0.9/3.9</v>
      </c>
      <c r="H44" s="262">
        <f>IF($C44="","",VLOOKUP($C44+$F$11*1000,DSS_Calc!$A:$JV,H$30,FALSE))</f>
        <v>0</v>
      </c>
      <c r="I44" s="262">
        <f>IF($C44="","",VLOOKUP($C44+$F$11*1000,DSS_Calc!$A:$JV,I$30,FALSE))</f>
        <v>0</v>
      </c>
      <c r="J44" s="262">
        <f>IF($C44="","",VLOOKUP($C44+$F$11*1000,DSS_Calc!$A:$JV,J$30,FALSE))</f>
        <v>4982</v>
      </c>
      <c r="K44" s="262">
        <f>IF($C44="","",VLOOKUP($C44+$F$11*1000,DSS_Calc!$A:$JV,K$30,FALSE))</f>
        <v>0</v>
      </c>
      <c r="L44" s="262">
        <f>IF($C44="","",VLOOKUP($C44+$F$11*1000,DSS_Calc!$A:$JV,L$30,FALSE))</f>
        <v>0</v>
      </c>
      <c r="M44" s="262">
        <f>IF($C44="","",VLOOKUP($C44+$F$11*1000,DSS_Calc!$A:$JV,M$30,FALSE))</f>
        <v>0</v>
      </c>
      <c r="N44" s="262">
        <f>IF($C44="","",VLOOKUP($C44+$F$11*1000,DSS_Calc!$A:$JV,N$30,FALSE))</f>
        <v>500</v>
      </c>
      <c r="O44" s="262">
        <f>IF($C44="","",VLOOKUP($C44+$F$11*1000,DSS_Calc!$A:$JV,O$30,FALSE))</f>
        <v>0</v>
      </c>
      <c r="P44" s="294" t="s">
        <v>2</v>
      </c>
      <c r="Q44" s="262">
        <f>IF($C44="","",VLOOKUP($C44+$F$11*1000,DSS_Calc!$A:$JV,Q$30,FALSE)*IF(U44=0,0,1))</f>
        <v>2499.9999999999995</v>
      </c>
      <c r="R44" s="262">
        <f>IF($C44="","",VLOOKUP($C44+$F$11*1000,DSS_Calc!$A:$JV,R$30,FALSE)*IF(V44=0,0,1))</f>
        <v>3252.2618067059466</v>
      </c>
      <c r="S44" s="262">
        <f>IF($C44="","",VLOOKUP($C44+$F$11*1000,DSS_Calc!$A:$JV,S$30,FALSE)*IF(W44=0,0,1))</f>
        <v>5957.9609265464023</v>
      </c>
      <c r="T44" s="294" t="s">
        <v>2</v>
      </c>
      <c r="U44" s="263">
        <f>IF($C44="","",VLOOKUP($C44+$F$11*1000,DSS_Calc!$A:$JV,U$30,FALSE))</f>
        <v>0.28105103116064001</v>
      </c>
      <c r="V44" s="263">
        <f>IF($C44="","",VLOOKUP($C44+$F$11*1000,DSS_Calc!$A:$JV,V$30,FALSE))</f>
        <v>0.39812970611837861</v>
      </c>
      <c r="W44" s="263">
        <f>IF($C44="","",VLOOKUP($C44+$F$11*1000,DSS_Calc!$A:$JV,W$30,FALSE))</f>
        <v>0.32081926272098138</v>
      </c>
      <c r="X44" s="294" t="s">
        <v>2</v>
      </c>
      <c r="Y44" s="262">
        <f>IF(U44=0,0,U44*Q44)</f>
        <v>702.62757790159992</v>
      </c>
      <c r="Z44" s="262">
        <f>IF(V44=0,0,V44*R44)</f>
        <v>1294.8220373238655</v>
      </c>
      <c r="AA44" s="262">
        <f>IF(W44=0,0,W44*S44)</f>
        <v>1911.4286317750318</v>
      </c>
      <c r="AB44" s="294" t="s">
        <v>2</v>
      </c>
      <c r="AC44" s="262">
        <f>SUM(Y44:AA44)</f>
        <v>3908.8782470004971</v>
      </c>
      <c r="AD44" s="264">
        <f>AC44*AE44/1000/1000</f>
        <v>8.5176876885815851</v>
      </c>
      <c r="AE44" s="265">
        <f>IF($C44="","",VLOOKUP($C44+$F$11*1000,DSS_Calc!$A:$JV,AE$30,FALSE))</f>
        <v>2179.0619073688695</v>
      </c>
      <c r="AF44" s="264">
        <f>IF($C44="","",VLOOKUP($C44+$F$11*1000,DSS_Calc!$A:$JV,AF$30,FALSE))</f>
        <v>4.3572995911073784</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0/0/0.9/3.9</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f>AI45/((Q45*U44+R45*V44+S45*W44)/(VLOOKUP($C44+$F$11*1000,DSS_Calc!$A:$JV,DSS_Calc!BX$92,FALSE)-$AC$33))</f>
        <v>3.0156806574445634</v>
      </c>
      <c r="B45" s="402"/>
      <c r="C45" s="564">
        <f>AI45/(AC45/(VLOOKUP($C44+$F$11*1000,DSS_Calc!$A:$JV,DSS_Calc!BX$92,FALSE)-$AC$33))</f>
        <v>4.9129506818918429</v>
      </c>
      <c r="D45" s="266" t="s">
        <v>141</v>
      </c>
      <c r="F45" s="267">
        <f>ROUND(F44-F$33,0)</f>
        <v>500</v>
      </c>
      <c r="G45" s="267"/>
      <c r="H45" s="267"/>
      <c r="I45" s="267">
        <f t="shared" ref="I45:O45" si="12">ROUND(I44-I$33,0)</f>
        <v>0</v>
      </c>
      <c r="J45" s="267">
        <f t="shared" si="12"/>
        <v>0</v>
      </c>
      <c r="K45" s="267">
        <f t="shared" si="12"/>
        <v>0</v>
      </c>
      <c r="L45" s="267">
        <f t="shared" si="12"/>
        <v>0</v>
      </c>
      <c r="M45" s="267">
        <f t="shared" si="12"/>
        <v>0</v>
      </c>
      <c r="N45" s="267">
        <f t="shared" si="12"/>
        <v>0</v>
      </c>
      <c r="O45" s="267">
        <f t="shared" si="12"/>
        <v>0</v>
      </c>
      <c r="P45" s="294"/>
      <c r="Q45" s="267">
        <f t="shared" ref="Q45:S45" si="13">Q44-Q$33</f>
        <v>499.99999999999955</v>
      </c>
      <c r="R45" s="267">
        <f t="shared" si="13"/>
        <v>348.61298144634657</v>
      </c>
      <c r="S45" s="267">
        <f t="shared" si="13"/>
        <v>83</v>
      </c>
      <c r="T45" s="294"/>
      <c r="U45" s="268">
        <f>U44-U$33</f>
        <v>2.0423445510425908E-2</v>
      </c>
      <c r="V45" s="268">
        <f>V44-V$33</f>
        <v>1.3128750833033775E-2</v>
      </c>
      <c r="W45" s="268">
        <f>W44-W$33</f>
        <v>-3.3552196343459684E-2</v>
      </c>
      <c r="X45" s="294"/>
      <c r="Y45" s="267">
        <f>Y44-Y$33</f>
        <v>181.37240660117175</v>
      </c>
      <c r="Z45" s="267">
        <f>Z44-Z$33</f>
        <v>176.91446578575028</v>
      </c>
      <c r="AA45" s="267">
        <f>AA44-AA$33</f>
        <v>-170.48984371179745</v>
      </c>
      <c r="AB45" s="294"/>
      <c r="AC45" s="267">
        <f>IFERROR(AC44-AC$33,NA())</f>
        <v>187.79702867512424</v>
      </c>
      <c r="AD45" s="269">
        <f>AD44-AD$33</f>
        <v>0.85198467514447707</v>
      </c>
      <c r="AE45" s="270">
        <f t="shared" si="3"/>
        <v>118.98781500950827</v>
      </c>
      <c r="AF45" s="269">
        <f t="shared" si="3"/>
        <v>-0.14894517016079867</v>
      </c>
      <c r="AG45" s="268">
        <f>AF45/AF$33</f>
        <v>-3.3053058156317622E-2</v>
      </c>
      <c r="AH45" s="268"/>
      <c r="AI45" s="301">
        <f>IFERROR(AE45/$AE$33,NA())</f>
        <v>5.775899781994439E-2</v>
      </c>
      <c r="AJ45" s="289"/>
      <c r="AK45" s="751"/>
      <c r="AL45" s="750">
        <f>$AE44*U44-$AE$33*U$33</f>
        <v>75.515459076715274</v>
      </c>
      <c r="AM45" s="750">
        <f>$AE44*V44-$AE$33*V$33</f>
        <v>74.418783277577859</v>
      </c>
      <c r="AN45" s="750">
        <f>$AE44*W44-$AE$33*W$33</f>
        <v>-30.946427344784865</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47</v>
      </c>
      <c r="D46" s="396" t="str">
        <f>"Scenario " &amp; A46</f>
        <v>Scenario G</v>
      </c>
      <c r="E46" s="272" t="s">
        <v>2</v>
      </c>
      <c r="F46" s="397">
        <f>IF($C46="","",VLOOKUP($C46+$F$11*1000,DSS_Calc!$A:$JV,F$30,FALSE))</f>
        <v>1500</v>
      </c>
      <c r="G46" s="397" t="str">
        <f>IF($C46="","",VLOOKUP($C46+$F$11*1000,DSS_Calc!$A:$JV,G$30,FALSE))</f>
        <v>0/0.9/1.9/3.9</v>
      </c>
      <c r="H46" s="397">
        <f>IF($C46="","",VLOOKUP($C46+$F$11*1000,DSS_Calc!$A:$JV,H$30,FALSE))</f>
        <v>0</v>
      </c>
      <c r="I46" s="397">
        <f>IF($C46="","",VLOOKUP($C46+$F$11*1000,DSS_Calc!$A:$JV,I$30,FALSE))</f>
        <v>0</v>
      </c>
      <c r="J46" s="397">
        <f>IF($C46="","",VLOOKUP($C46+$F$11*1000,DSS_Calc!$A:$JV,J$30,FALSE))</f>
        <v>4622</v>
      </c>
      <c r="K46" s="397">
        <f>IF($C46="","",VLOOKUP($C46+$F$11*1000,DSS_Calc!$A:$JV,K$30,FALSE))</f>
        <v>0</v>
      </c>
      <c r="L46" s="397">
        <f>IF($C46="","",VLOOKUP($C46+$F$11*1000,DSS_Calc!$A:$JV,L$30,FALSE))</f>
        <v>0</v>
      </c>
      <c r="M46" s="397">
        <f>IF($C46="","",VLOOKUP($C46+$F$11*1000,DSS_Calc!$A:$JV,M$30,FALSE))</f>
        <v>0</v>
      </c>
      <c r="N46" s="397">
        <f>IF($C46="","",VLOOKUP($C46+$F$11*1000,DSS_Calc!$A:$JV,N$30,FALSE))</f>
        <v>500</v>
      </c>
      <c r="O46" s="397">
        <f>IF($C46="","",VLOOKUP($C46+$F$11*1000,DSS_Calc!$A:$JV,O$30,FALSE))</f>
        <v>0</v>
      </c>
      <c r="P46" s="294" t="s">
        <v>2</v>
      </c>
      <c r="Q46" s="397">
        <f>IF($C46="","",VLOOKUP($C46+$F$11*1000,DSS_Calc!$A:$JV,Q$30,FALSE)*IF(U46=0,0,1))</f>
        <v>2250</v>
      </c>
      <c r="R46" s="397">
        <f>IF($C46="","",VLOOKUP($C46+$F$11*1000,DSS_Calc!$A:$JV,R$30,FALSE)*IF(V46=0,0,1))</f>
        <v>2903.9205145768065</v>
      </c>
      <c r="S46" s="397">
        <f>IF($C46="","",VLOOKUP($C46+$F$11*1000,DSS_Calc!$A:$JV,S$30,FALSE)*IF(W46=0,0,1))</f>
        <v>5597.9609265464023</v>
      </c>
      <c r="T46" s="294" t="s">
        <v>2</v>
      </c>
      <c r="U46" s="398">
        <f>IF($C46="","",VLOOKUP($C46+$F$11*1000,DSS_Calc!$A:$JV,U$30,FALSE))</f>
        <v>0.29882106145366577</v>
      </c>
      <c r="V46" s="398">
        <f>IF($C46="","",VLOOKUP($C46+$F$11*1000,DSS_Calc!$A:$JV,V$30,FALSE))</f>
        <v>0.39098306573568092</v>
      </c>
      <c r="W46" s="398">
        <f>IF($C46="","",VLOOKUP($C46+$F$11*1000,DSS_Calc!$A:$JV,W$30,FALSE))</f>
        <v>0.31019587281065336</v>
      </c>
      <c r="X46" s="294" t="s">
        <v>2</v>
      </c>
      <c r="Y46" s="397">
        <f>IF(U46=0,0,U46*Q46)</f>
        <v>672.34738827074796</v>
      </c>
      <c r="Z46" s="397">
        <f>IF(V46=0,0,V46*R46)</f>
        <v>1135.3837454419759</v>
      </c>
      <c r="AA46" s="397">
        <f>IF(W46=0,0,W46*S46)</f>
        <v>1736.4643755699951</v>
      </c>
      <c r="AB46" s="294" t="s">
        <v>2</v>
      </c>
      <c r="AC46" s="397">
        <f>SUM(Y46:AA46)</f>
        <v>3544.1955092827193</v>
      </c>
      <c r="AD46" s="399">
        <f>AC46*AE46/1000/1000</f>
        <v>7.1600801551690862</v>
      </c>
      <c r="AE46" s="400">
        <f>IF($C46="","",VLOOKUP($C46+$F$11*1000,DSS_Calc!$A:$JV,AE$30,FALSE))</f>
        <v>2020.227195823674</v>
      </c>
      <c r="AF46" s="399">
        <f>IF($C46="","",VLOOKUP($C46+$F$11*1000,DSS_Calc!$A:$JV,AF$30,FALSE))</f>
        <v>4.7764322313550913</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-360 Lease</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f>AI47/((Q47*U46+R47*V46+S47*W46)/(VLOOKUP($C46+$F$11*1000,DSS_Calc!$A:$JV,DSS_Calc!BX$92,FALSE)-$AC$33))</f>
        <v>27.803596957044416</v>
      </c>
      <c r="B47" s="402"/>
      <c r="C47" s="564">
        <f>AI47/(AC47/(VLOOKUP($C46+$F$11*1000,DSS_Calc!$A:$JV,DSS_Calc!BX$92,FALSE)-$AC$33))</f>
        <v>1.746748531799273</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250</v>
      </c>
      <c r="R47" s="404">
        <f t="shared" si="15"/>
        <v>0.27168931720643741</v>
      </c>
      <c r="S47" s="404">
        <f t="shared" si="15"/>
        <v>-277</v>
      </c>
      <c r="T47" s="294"/>
      <c r="U47" s="405">
        <f>U46-U$33</f>
        <v>3.8193475803451671E-2</v>
      </c>
      <c r="V47" s="405">
        <f>V46-V$33</f>
        <v>5.9821104503360867E-3</v>
      </c>
      <c r="W47" s="405">
        <f>W46-W$33</f>
        <v>-4.4175586253787702E-2</v>
      </c>
      <c r="X47" s="294"/>
      <c r="Y47" s="404">
        <f>Y46-Y$33</f>
        <v>151.09221697031978</v>
      </c>
      <c r="Z47" s="404">
        <f>Z46-Z$33</f>
        <v>17.476173903860627</v>
      </c>
      <c r="AA47" s="404">
        <f>AA46-AA$33</f>
        <v>-345.45409991683414</v>
      </c>
      <c r="AB47" s="294"/>
      <c r="AC47" s="404">
        <f>IFERROR(AC46-AC$33,NA())</f>
        <v>-176.88570904265362</v>
      </c>
      <c r="AD47" s="406">
        <f>AD46-AD$33</f>
        <v>-0.50562285826802178</v>
      </c>
      <c r="AE47" s="407">
        <f t="shared" si="3"/>
        <v>-39.846896535687165</v>
      </c>
      <c r="AF47" s="406">
        <f t="shared" si="3"/>
        <v>0.27018747008691424</v>
      </c>
      <c r="AG47" s="405">
        <f>AF47/AF$33</f>
        <v>5.9958454189886545E-2</v>
      </c>
      <c r="AH47" s="405"/>
      <c r="AI47" s="408">
        <f>IFERROR(AE47/$AE$33,NA())</f>
        <v>-1.9342457964728502E-2</v>
      </c>
      <c r="AJ47" s="289"/>
      <c r="AK47" s="751"/>
      <c r="AL47" s="750">
        <f>$AE46*U46-$AE$33*U$33</f>
        <v>66.774298081416418</v>
      </c>
      <c r="AM47" s="750">
        <f>$AE46*V46-$AE$33*V$33</f>
        <v>-3.2558710112058407</v>
      </c>
      <c r="AN47" s="750">
        <f>$AE46*W46-$AE$33*W$33</f>
        <v>-103.36532360589763</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62</v>
      </c>
      <c r="D48" s="261" t="str">
        <f>"Scenario " &amp; A48</f>
        <v>Scenario H</v>
      </c>
      <c r="E48" s="272" t="s">
        <v>2</v>
      </c>
      <c r="F48" s="262">
        <f>IF($C48="","",VLOOKUP($C48+$F$11*1000,DSS_Calc!$A:$JV,F$30,FALSE))</f>
        <v>2250</v>
      </c>
      <c r="G48" s="262" t="str">
        <f>IF($C48="","",VLOOKUP($C48+$F$11*1000,DSS_Calc!$A:$JV,G$30,FALSE))</f>
        <v>0/0/0.9/3.9</v>
      </c>
      <c r="H48" s="262">
        <f>IF($C48="","",VLOOKUP($C48+$F$11*1000,DSS_Calc!$A:$JV,H$30,FALSE))</f>
        <v>0</v>
      </c>
      <c r="I48" s="262">
        <f>IF($C48="","",VLOOKUP($C48+$F$11*1000,DSS_Calc!$A:$JV,I$30,FALSE))</f>
        <v>0</v>
      </c>
      <c r="J48" s="262">
        <f>IF($C48="","",VLOOKUP($C48+$F$11*1000,DSS_Calc!$A:$JV,J$30,FALSE))</f>
        <v>4622</v>
      </c>
      <c r="K48" s="262">
        <f>IF($C48="","",VLOOKUP($C48+$F$11*1000,DSS_Calc!$A:$JV,K$30,FALSE))</f>
        <v>0</v>
      </c>
      <c r="L48" s="262">
        <f>IF($C48="","",VLOOKUP($C48+$F$11*1000,DSS_Calc!$A:$JV,L$30,FALSE))</f>
        <v>0</v>
      </c>
      <c r="M48" s="262">
        <f>IF($C48="","",VLOOKUP($C48+$F$11*1000,DSS_Calc!$A:$JV,M$30,FALSE))</f>
        <v>0</v>
      </c>
      <c r="N48" s="262">
        <f>IF($C48="","",VLOOKUP($C48+$F$11*1000,DSS_Calc!$A:$JV,N$30,FALSE))</f>
        <v>500</v>
      </c>
      <c r="O48" s="262">
        <f>IF($C48="","",VLOOKUP($C48+$F$11*1000,DSS_Calc!$A:$JV,O$30,FALSE))</f>
        <v>0</v>
      </c>
      <c r="P48" s="294" t="s">
        <v>2</v>
      </c>
      <c r="Q48" s="262">
        <f>IF($C48="","",VLOOKUP($C48+$F$11*1000,DSS_Calc!$A:$JV,Q$30,FALSE)*IF(U48=0,0,1))</f>
        <v>3000</v>
      </c>
      <c r="R48" s="262">
        <f>IF($C48="","",VLOOKUP($C48+$F$11*1000,DSS_Calc!$A:$JV,R$30,FALSE)*IF(V48=0,0,1))</f>
        <v>3252.2778472176019</v>
      </c>
      <c r="S48" s="262">
        <f>IF($C48="","",VLOOKUP($C48+$F$11*1000,DSS_Calc!$A:$JV,S$30,FALSE)*IF(W48=0,0,1))</f>
        <v>5597.9609265464023</v>
      </c>
      <c r="T48" s="294" t="s">
        <v>2</v>
      </c>
      <c r="U48" s="263">
        <f>IF($C48="","",VLOOKUP($C48+$F$11*1000,DSS_Calc!$A:$JV,U$30,FALSE))</f>
        <v>0.33622893249771446</v>
      </c>
      <c r="V48" s="263">
        <f>IF($C48="","",VLOOKUP($C48+$F$11*1000,DSS_Calc!$A:$JV,V$30,FALSE))</f>
        <v>0.39398429334099005</v>
      </c>
      <c r="W48" s="263">
        <f>IF($C48="","",VLOOKUP($C48+$F$11*1000,DSS_Calc!$A:$JV,W$30,FALSE))</f>
        <v>0.26978677416129543</v>
      </c>
      <c r="X48" s="294" t="s">
        <v>2</v>
      </c>
      <c r="Y48" s="262">
        <f>IF(U48=0,0,U48*Q48)</f>
        <v>1008.6867974931433</v>
      </c>
      <c r="Z48" s="262">
        <f>IF(V48=0,0,V48*R48)</f>
        <v>1281.3463893845833</v>
      </c>
      <c r="AA48" s="262">
        <f>IF(W48=0,0,W48*S48)</f>
        <v>1510.2558202539303</v>
      </c>
      <c r="AB48" s="294" t="s">
        <v>2</v>
      </c>
      <c r="AC48" s="262">
        <f>SUM(Y48:AA48)</f>
        <v>3800.2890071316569</v>
      </c>
      <c r="AD48" s="264">
        <f>AC48*AE48/1000/1000</f>
        <v>8.2706020944514727</v>
      </c>
      <c r="AE48" s="265">
        <f>IF($C48="","",VLOOKUP($C48+$F$11*1000,DSS_Calc!$A:$JV,AE$30,FALSE))</f>
        <v>2176.308717292497</v>
      </c>
      <c r="AF48" s="264">
        <f>IF($C48="","",VLOOKUP($C48+$F$11*1000,DSS_Calc!$A:$JV,AF$30,FALSE))</f>
        <v>4.5881179616712453</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CC, 0/0/0.9/3.9, -360 Lease</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f>AI49/((Q49*U48+R49*V48+S49*W48)/(VLOOKUP($C48+$F$11*1000,DSS_Calc!$A:$JV,DSS_Calc!BX$92,FALSE)-$AC$33))</f>
        <v>2.2597062642095405</v>
      </c>
      <c r="B49" s="402"/>
      <c r="C49" s="564">
        <f>AI49/(AC49/(VLOOKUP($C48+$F$11*1000,DSS_Calc!$A:$JV,DSS_Calc!BX$92,FALSE)-$AC$33))</f>
        <v>11.378794667372553</v>
      </c>
      <c r="D49" s="266" t="s">
        <v>141</v>
      </c>
      <c r="F49" s="267">
        <f>ROUND(F48-F$33,0)</f>
        <v>1000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1000</v>
      </c>
      <c r="R49" s="267">
        <f t="shared" si="17"/>
        <v>348.62902195800189</v>
      </c>
      <c r="S49" s="267">
        <f t="shared" si="17"/>
        <v>-277</v>
      </c>
      <c r="T49" s="294"/>
      <c r="U49" s="268">
        <f>U48-U$33</f>
        <v>7.5601346847500361E-2</v>
      </c>
      <c r="V49" s="268">
        <f>V48-V$33</f>
        <v>8.983338055645218E-3</v>
      </c>
      <c r="W49" s="268">
        <f>W48-W$33</f>
        <v>-8.4584684903145635E-2</v>
      </c>
      <c r="X49" s="294"/>
      <c r="Y49" s="267">
        <f>Y48-Y$33</f>
        <v>487.43162619271516</v>
      </c>
      <c r="Z49" s="267">
        <f>Z48-Z$33</f>
        <v>163.43881784646805</v>
      </c>
      <c r="AA49" s="267">
        <f>AA48-AA$33</f>
        <v>-571.66265523289894</v>
      </c>
      <c r="AB49" s="294"/>
      <c r="AC49" s="267">
        <f>IFERROR(AC48-AC$33,NA())</f>
        <v>79.207788806284043</v>
      </c>
      <c r="AD49" s="269">
        <f>AD48-AD$33</f>
        <v>0.60489908101436463</v>
      </c>
      <c r="AE49" s="270">
        <f t="shared" si="3"/>
        <v>116.23462493313582</v>
      </c>
      <c r="AF49" s="269">
        <f t="shared" si="3"/>
        <v>8.1873200403068225E-2</v>
      </c>
      <c r="AG49" s="268">
        <f>AF49/AF$33</f>
        <v>1.816883119771482E-2</v>
      </c>
      <c r="AH49" s="268"/>
      <c r="AI49" s="301">
        <f>IFERROR(AE49/$AE$33,NA())</f>
        <v>5.6422545851258513E-2</v>
      </c>
      <c r="AJ49" s="289"/>
      <c r="AK49" s="751"/>
      <c r="AL49" s="750">
        <f>$AE48*U48-$AE$33*U$33</f>
        <v>194.82581984855005</v>
      </c>
      <c r="AM49" s="750">
        <f>$AE48*V48-$AE$33*V$33</f>
        <v>64.300958557377271</v>
      </c>
      <c r="AN49" s="750">
        <f>$AE48*W48-$AE$33*W$33</f>
        <v>-142.89215347279151</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61</v>
      </c>
      <c r="D50" s="396" t="str">
        <f>"Scenario " &amp; A50</f>
        <v>Scenario I</v>
      </c>
      <c r="E50" s="272" t="s">
        <v>2</v>
      </c>
      <c r="F50" s="397">
        <f>IF($C50="","",VLOOKUP($C50+$F$11*1000,DSS_Calc!$A:$JV,F$30,FALSE))</f>
        <v>2000</v>
      </c>
      <c r="G50" s="397" t="str">
        <f>IF($C50="","",VLOOKUP($C50+$F$11*1000,DSS_Calc!$A:$JV,G$30,FALSE))</f>
        <v>0/0/0.9/3.9</v>
      </c>
      <c r="H50" s="397">
        <f>IF($C50="","",VLOOKUP($C50+$F$11*1000,DSS_Calc!$A:$JV,H$30,FALSE))</f>
        <v>0</v>
      </c>
      <c r="I50" s="397">
        <f>IF($C50="","",VLOOKUP($C50+$F$11*1000,DSS_Calc!$A:$JV,I$30,FALSE))</f>
        <v>0</v>
      </c>
      <c r="J50" s="397">
        <f>IF($C50="","",VLOOKUP($C50+$F$11*1000,DSS_Calc!$A:$JV,J$30,FALSE))</f>
        <v>4622</v>
      </c>
      <c r="K50" s="397">
        <f>IF($C50="","",VLOOKUP($C50+$F$11*1000,DSS_Calc!$A:$JV,K$30,FALSE))</f>
        <v>0</v>
      </c>
      <c r="L50" s="397">
        <f>IF($C50="","",VLOOKUP($C50+$F$11*1000,DSS_Calc!$A:$JV,L$30,FALSE))</f>
        <v>0</v>
      </c>
      <c r="M50" s="397">
        <f>IF($C50="","",VLOOKUP($C50+$F$11*1000,DSS_Calc!$A:$JV,M$30,FALSE))</f>
        <v>0</v>
      </c>
      <c r="N50" s="397">
        <f>IF($C50="","",VLOOKUP($C50+$F$11*1000,DSS_Calc!$A:$JV,N$30,FALSE))</f>
        <v>500</v>
      </c>
      <c r="O50" s="397">
        <f>IF($C50="","",VLOOKUP($C50+$F$11*1000,DSS_Calc!$A:$JV,O$30,FALSE))</f>
        <v>0</v>
      </c>
      <c r="P50" s="294" t="s">
        <v>2</v>
      </c>
      <c r="Q50" s="397">
        <f>IF($C50="","",VLOOKUP($C50+$F$11*1000,DSS_Calc!$A:$JV,Q$30,FALSE)*IF(U50=0,0,1))</f>
        <v>2750</v>
      </c>
      <c r="R50" s="397">
        <f>IF($C50="","",VLOOKUP($C50+$F$11*1000,DSS_Calc!$A:$JV,R$30,FALSE)*IF(V50=0,0,1))</f>
        <v>3252.2726810239274</v>
      </c>
      <c r="S50" s="397">
        <f>IF($C50="","",VLOOKUP($C50+$F$11*1000,DSS_Calc!$A:$JV,S$30,FALSE)*IF(W50=0,0,1))</f>
        <v>5597.9609265464023</v>
      </c>
      <c r="T50" s="294" t="s">
        <v>2</v>
      </c>
      <c r="U50" s="398">
        <f>IF($C50="","",VLOOKUP($C50+$F$11*1000,DSS_Calc!$A:$JV,U$30,FALSE))</f>
        <v>0.3182781616389902</v>
      </c>
      <c r="V50" s="398">
        <f>IF($C50="","",VLOOKUP($C50+$F$11*1000,DSS_Calc!$A:$JV,V$30,FALSE))</f>
        <v>0.40275147834124153</v>
      </c>
      <c r="W50" s="398">
        <f>IF($C50="","",VLOOKUP($C50+$F$11*1000,DSS_Calc!$A:$JV,W$30,FALSE))</f>
        <v>0.27897036001976827</v>
      </c>
      <c r="X50" s="294" t="s">
        <v>2</v>
      </c>
      <c r="Y50" s="397">
        <f>IF(U50=0,0,U50*Q50)</f>
        <v>875.26494450722305</v>
      </c>
      <c r="Z50" s="397">
        <f>IF(V50=0,0,V50*R50)</f>
        <v>1309.8576302512199</v>
      </c>
      <c r="AA50" s="397">
        <f>IF(W50=0,0,W50*S50)</f>
        <v>1561.6651750552455</v>
      </c>
      <c r="AB50" s="294" t="s">
        <v>2</v>
      </c>
      <c r="AC50" s="397">
        <f>SUM(Y50:AA50)</f>
        <v>3746.7877498136886</v>
      </c>
      <c r="AD50" s="399">
        <f>AC50*AE50/1000/1000</f>
        <v>8.0355387555713254</v>
      </c>
      <c r="AE50" s="400">
        <f>IF($C50="","",VLOOKUP($C50+$F$11*1000,DSS_Calc!$A:$JV,AE$30,FALSE))</f>
        <v>2144.6474399226104</v>
      </c>
      <c r="AF50" s="399">
        <f>IF($C50="","",VLOOKUP($C50+$F$11*1000,DSS_Calc!$A:$JV,AF$30,FALSE))</f>
        <v>4.6361106432114179</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+750 CC, 0/0/0.9/3.9, -360 Lease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f>AI51/((Q51*U50+R51*V50+S51*W50)/(VLOOKUP($C50+$F$11*1000,DSS_Calc!$A:$JV,DSS_Calc!BX$92,FALSE)-$AC$33))</f>
        <v>2.1726091917281547</v>
      </c>
      <c r="B51" s="402"/>
      <c r="C51" s="564">
        <f>AI51/(AC51/(VLOOKUP($C50+$F$11*1000,DSS_Calc!$A:$JV,DSS_Calc!BX$92,FALSE)-$AC$33))</f>
        <v>25.510482343255866</v>
      </c>
      <c r="D51" s="403" t="s">
        <v>141</v>
      </c>
      <c r="F51" s="404">
        <f>ROUND(F50-F$33,0)</f>
        <v>750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750</v>
      </c>
      <c r="R51" s="404">
        <f t="shared" si="19"/>
        <v>348.62385576432735</v>
      </c>
      <c r="S51" s="404">
        <f t="shared" si="19"/>
        <v>-277</v>
      </c>
      <c r="T51" s="294"/>
      <c r="U51" s="405">
        <f>U50-U$33</f>
        <v>5.7650575988776098E-2</v>
      </c>
      <c r="V51" s="405">
        <f>V50-V$33</f>
        <v>1.7750523055896694E-2</v>
      </c>
      <c r="W51" s="405">
        <f>W50-W$33</f>
        <v>-7.5401099044672792E-2</v>
      </c>
      <c r="X51" s="294"/>
      <c r="Y51" s="404">
        <f>Y50-Y$33</f>
        <v>354.00977320679488</v>
      </c>
      <c r="Z51" s="404">
        <f>Z50-Z$33</f>
        <v>191.95005871310468</v>
      </c>
      <c r="AA51" s="404">
        <f>AA50-AA$33</f>
        <v>-520.25330043158374</v>
      </c>
      <c r="AB51" s="294"/>
      <c r="AC51" s="404">
        <f>IFERROR(AC50-AC$33,NA())</f>
        <v>25.706531488315704</v>
      </c>
      <c r="AD51" s="406">
        <f>AD50-AD$33</f>
        <v>0.36983574213421733</v>
      </c>
      <c r="AE51" s="407">
        <f t="shared" ref="AE51:AF61" si="20">AE50-AE$33</f>
        <v>84.573347563249172</v>
      </c>
      <c r="AF51" s="406">
        <f t="shared" si="20"/>
        <v>0.12986588194324078</v>
      </c>
      <c r="AG51" s="405">
        <f>AF51/AF$33</f>
        <v>2.8819091909844035E-2</v>
      </c>
      <c r="AH51" s="405"/>
      <c r="AI51" s="408">
        <f>IFERROR(AE51/$AE$33,NA())</f>
        <v>4.1053546509285513E-2</v>
      </c>
      <c r="AJ51" s="289"/>
      <c r="AK51" s="749"/>
      <c r="AL51" s="750">
        <f>$AE50*U50-$AE$33*U$33</f>
        <v>145.68230759015853</v>
      </c>
      <c r="AM51" s="750">
        <f>$AE50*V50-$AE$33*V$33</f>
        <v>70.629433432646579</v>
      </c>
      <c r="AN51" s="750">
        <f>$AE50*W50-$AE$33*W$33</f>
        <v>-131.73839345955605</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60</v>
      </c>
      <c r="D52" s="261" t="str">
        <f>"Scenario " &amp; A52</f>
        <v>Scenario J</v>
      </c>
      <c r="E52" s="272" t="s">
        <v>2</v>
      </c>
      <c r="F52" s="262">
        <f>IF($C52="","",VLOOKUP($C52+$F$11*1000,DSS_Calc!$A:$JV,F$30,FALSE))</f>
        <v>1750</v>
      </c>
      <c r="G52" s="262" t="str">
        <f>IF($C52="","",VLOOKUP($C52+$F$11*1000,DSS_Calc!$A:$JV,G$30,FALSE))</f>
        <v>0/0/0.9/3.9</v>
      </c>
      <c r="H52" s="262">
        <f>IF($C52="","",VLOOKUP($C52+$F$11*1000,DSS_Calc!$A:$JV,H$30,FALSE))</f>
        <v>0</v>
      </c>
      <c r="I52" s="262">
        <f>IF($C52="","",VLOOKUP($C52+$F$11*1000,DSS_Calc!$A:$JV,I$30,FALSE))</f>
        <v>0</v>
      </c>
      <c r="J52" s="262">
        <f>IF($C52="","",VLOOKUP($C52+$F$11*1000,DSS_Calc!$A:$JV,J$30,FALSE))</f>
        <v>4622</v>
      </c>
      <c r="K52" s="262">
        <f>IF($C52="","",VLOOKUP($C52+$F$11*1000,DSS_Calc!$A:$JV,K$30,FALSE))</f>
        <v>0</v>
      </c>
      <c r="L52" s="262">
        <f>IF($C52="","",VLOOKUP($C52+$F$11*1000,DSS_Calc!$A:$JV,L$30,FALSE))</f>
        <v>0</v>
      </c>
      <c r="M52" s="262">
        <f>IF($C52="","",VLOOKUP($C52+$F$11*1000,DSS_Calc!$A:$JV,M$30,FALSE))</f>
        <v>0</v>
      </c>
      <c r="N52" s="262">
        <f>IF($C52="","",VLOOKUP($C52+$F$11*1000,DSS_Calc!$A:$JV,N$30,FALSE))</f>
        <v>500</v>
      </c>
      <c r="O52" s="262">
        <f>IF($C52="","",VLOOKUP($C52+$F$11*1000,DSS_Calc!$A:$JV,O$30,FALSE))</f>
        <v>0</v>
      </c>
      <c r="P52" s="294" t="s">
        <v>2</v>
      </c>
      <c r="Q52" s="262">
        <f>IF($C52="","",VLOOKUP($C52+$F$11*1000,DSS_Calc!$A:$JV,Q$30,FALSE)*IF(U52=0,0,1))</f>
        <v>2500</v>
      </c>
      <c r="R52" s="262">
        <f>IF($C52="","",VLOOKUP($C52+$F$11*1000,DSS_Calc!$A:$JV,R$30,FALSE)*IF(V52=0,0,1))</f>
        <v>3252.2673617328892</v>
      </c>
      <c r="S52" s="262">
        <f>IF($C52="","",VLOOKUP($C52+$F$11*1000,DSS_Calc!$A:$JV,S$30,FALSE)*IF(W52=0,0,1))</f>
        <v>5597.9609265464023</v>
      </c>
      <c r="T52" s="294" t="s">
        <v>2</v>
      </c>
      <c r="U52" s="263">
        <f>IF($C52="","",VLOOKUP($C52+$F$11*1000,DSS_Calc!$A:$JV,U$30,FALSE))</f>
        <v>0.30045515498418435</v>
      </c>
      <c r="V52" s="263">
        <f>IF($C52="","",VLOOKUP($C52+$F$11*1000,DSS_Calc!$A:$JV,V$30,FALSE))</f>
        <v>0.41138472157949213</v>
      </c>
      <c r="W52" s="263">
        <f>IF($C52="","",VLOOKUP($C52+$F$11*1000,DSS_Calc!$A:$JV,W$30,FALSE))</f>
        <v>0.28816012343632352</v>
      </c>
      <c r="X52" s="294" t="s">
        <v>2</v>
      </c>
      <c r="Y52" s="262">
        <f>IF(U52=0,0,U52*Q52)</f>
        <v>751.13788746046089</v>
      </c>
      <c r="Z52" s="262">
        <f>IF(V52=0,0,V52*R52)</f>
        <v>1337.933103108554</v>
      </c>
      <c r="AA52" s="262">
        <f>IF(W52=0,0,W52*S52)</f>
        <v>1613.1091115853274</v>
      </c>
      <c r="AB52" s="294" t="s">
        <v>2</v>
      </c>
      <c r="AC52" s="262">
        <f>SUM(Y52:AA52)</f>
        <v>3702.180102154342</v>
      </c>
      <c r="AD52" s="264">
        <f>AC52*AE52/1000/1000</f>
        <v>7.8302538593567403</v>
      </c>
      <c r="AE52" s="265">
        <f>IF($C52="","",VLOOKUP($C52+$F$11*1000,DSS_Calc!$A:$JV,AE$30,FALSE))</f>
        <v>2115.0386105744083</v>
      </c>
      <c r="AF52" s="264">
        <f>IF($C52="","",VLOOKUP($C52+$F$11*1000,DSS_Calc!$A:$JV,AF$30,FALSE))</f>
        <v>4.6664517712221505</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0/0/0.9/3.9, -360 Lease</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f>AI53/((Q53*U52+R53*V52+S53*W52)/(VLOOKUP($C52+$F$11*1000,DSS_Calc!$A:$JV,DSS_Calc!BX$92,FALSE)-$AC$33))</f>
        <v>1.9932211891353044</v>
      </c>
      <c r="B53" s="402"/>
      <c r="C53" s="564">
        <f>AI53/(AC53/(VLOOKUP($C52+$F$11*1000,DSS_Calc!$A:$JV,DSS_Calc!BX$92,FALSE)-$AC$33))</f>
        <v>-22.548808884188105</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500</v>
      </c>
      <c r="R53" s="267">
        <f t="shared" si="22"/>
        <v>348.61853647328917</v>
      </c>
      <c r="S53" s="267">
        <f t="shared" si="22"/>
        <v>-277</v>
      </c>
      <c r="T53" s="294"/>
      <c r="U53" s="268">
        <f>U52-U$33</f>
        <v>3.9827569333970247E-2</v>
      </c>
      <c r="V53" s="268">
        <f>V52-V$33</f>
        <v>2.6383766294147293E-2</v>
      </c>
      <c r="W53" s="268">
        <f>W52-W$33</f>
        <v>-6.621133562811754E-2</v>
      </c>
      <c r="X53" s="294"/>
      <c r="Y53" s="267">
        <f>Y52-Y$33</f>
        <v>229.88271616003271</v>
      </c>
      <c r="Z53" s="267">
        <f>Z52-Z$33</f>
        <v>220.02553157043872</v>
      </c>
      <c r="AA53" s="267">
        <f>AA52-AA$33</f>
        <v>-468.80936390150191</v>
      </c>
      <c r="AB53" s="294"/>
      <c r="AC53" s="267">
        <f>IFERROR(AC52-AC$33,NA())</f>
        <v>-18.901116171030935</v>
      </c>
      <c r="AD53" s="269">
        <f>AD52-AD$33</f>
        <v>0.16455084591963232</v>
      </c>
      <c r="AE53" s="270">
        <f t="shared" si="20"/>
        <v>54.964518215047065</v>
      </c>
      <c r="AF53" s="269">
        <f t="shared" si="20"/>
        <v>0.16020700995397341</v>
      </c>
      <c r="AG53" s="268">
        <f>AF53/AF$33</f>
        <v>3.5552221071295492E-2</v>
      </c>
      <c r="AH53" s="268"/>
      <c r="AI53" s="301">
        <f>IFERROR(AE53/$AE$33,NA())</f>
        <v>2.6680845324401566E-2</v>
      </c>
      <c r="AJ53" s="289"/>
      <c r="AK53" s="749"/>
      <c r="AL53" s="750">
        <f>$AE52*U52-$AE$33*U$33</f>
        <v>98.562116585491253</v>
      </c>
      <c r="AM53" s="750">
        <f>$AE52*V52-$AE$33*V$33</f>
        <v>76.964076424085079</v>
      </c>
      <c r="AN53" s="750">
        <f>$AE52*W52-$AE$33*W$33</f>
        <v>-120.56167479452927</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59</v>
      </c>
      <c r="D54" s="396" t="str">
        <f>"Scenario " &amp; A54</f>
        <v>Scenario K</v>
      </c>
      <c r="E54" s="272" t="s">
        <v>2</v>
      </c>
      <c r="F54" s="397">
        <f>IF($C54="","",VLOOKUP($C54+$F$11*1000,DSS_Calc!$A:$JV,F$30,FALSE))</f>
        <v>1500</v>
      </c>
      <c r="G54" s="397" t="str">
        <f>IF($C54="","",VLOOKUP($C54+$F$11*1000,DSS_Calc!$A:$JV,G$30,FALSE))</f>
        <v>0/0/0.9/3.9</v>
      </c>
      <c r="H54" s="397">
        <f>IF($C54="","",VLOOKUP($C54+$F$11*1000,DSS_Calc!$A:$JV,H$30,FALSE))</f>
        <v>0</v>
      </c>
      <c r="I54" s="397">
        <f>IF($C54="","",VLOOKUP($C54+$F$11*1000,DSS_Calc!$A:$JV,I$30,FALSE))</f>
        <v>0</v>
      </c>
      <c r="J54" s="397">
        <f>IF($C54="","",VLOOKUP($C54+$F$11*1000,DSS_Calc!$A:$JV,J$30,FALSE))</f>
        <v>4622</v>
      </c>
      <c r="K54" s="397">
        <f>IF($C54="","",VLOOKUP($C54+$F$11*1000,DSS_Calc!$A:$JV,K$30,FALSE))</f>
        <v>0</v>
      </c>
      <c r="L54" s="397">
        <f>IF($C54="","",VLOOKUP($C54+$F$11*1000,DSS_Calc!$A:$JV,L$30,FALSE))</f>
        <v>0</v>
      </c>
      <c r="M54" s="397">
        <f>IF($C54="","",VLOOKUP($C54+$F$11*1000,DSS_Calc!$A:$JV,M$30,FALSE))</f>
        <v>0</v>
      </c>
      <c r="N54" s="397">
        <f>IF($C54="","",VLOOKUP($C54+$F$11*1000,DSS_Calc!$A:$JV,N$30,FALSE))</f>
        <v>500</v>
      </c>
      <c r="O54" s="397">
        <f>IF($C54="","",VLOOKUP($C54+$F$11*1000,DSS_Calc!$A:$JV,O$30,FALSE))</f>
        <v>0</v>
      </c>
      <c r="P54" s="294" t="s">
        <v>2</v>
      </c>
      <c r="Q54" s="397">
        <f>IF($C54="","",VLOOKUP($C54+$F$11*1000,DSS_Calc!$A:$JV,Q$30,FALSE)*IF(U54=0,0,1))</f>
        <v>2250</v>
      </c>
      <c r="R54" s="397">
        <f>IF($C54="","",VLOOKUP($C54+$F$11*1000,DSS_Calc!$A:$JV,R$30,FALSE)*IF(V54=0,0,1))</f>
        <v>3252.2618916881443</v>
      </c>
      <c r="S54" s="397">
        <f>IF($C54="","",VLOOKUP($C54+$F$11*1000,DSS_Calc!$A:$JV,S$30,FALSE)*IF(W54=0,0,1))</f>
        <v>5597.9609265464023</v>
      </c>
      <c r="T54" s="294" t="s">
        <v>2</v>
      </c>
      <c r="U54" s="398">
        <f>IF($C54="","",VLOOKUP($C54+$F$11*1000,DSS_Calc!$A:$JV,U$30,FALSE))</f>
        <v>0.28281155024106147</v>
      </c>
      <c r="V54" s="398">
        <f>IF($C54="","",VLOOKUP($C54+$F$11*1000,DSS_Calc!$A:$JV,V$30,FALSE))</f>
        <v>0.41986187795431112</v>
      </c>
      <c r="W54" s="398">
        <f>IF($C54="","",VLOOKUP($C54+$F$11*1000,DSS_Calc!$A:$JV,W$30,FALSE))</f>
        <v>0.2973265718046274</v>
      </c>
      <c r="X54" s="294" t="s">
        <v>2</v>
      </c>
      <c r="Y54" s="397">
        <f>IF(U54=0,0,U54*Q54)</f>
        <v>636.3259880423883</v>
      </c>
      <c r="Z54" s="397">
        <f>IF(V54=0,0,V54*R54)</f>
        <v>1365.5007854434245</v>
      </c>
      <c r="AA54" s="397">
        <f>IF(W54=0,0,W54*S54)</f>
        <v>1664.4225313862974</v>
      </c>
      <c r="AB54" s="294" t="s">
        <v>2</v>
      </c>
      <c r="AC54" s="397">
        <f>SUM(Y54:AA54)</f>
        <v>3666.2493048721099</v>
      </c>
      <c r="AD54" s="399">
        <f>AC54*AE54/1000/1000</f>
        <v>7.6530202195585648</v>
      </c>
      <c r="AE54" s="400">
        <f>IF($C54="","",VLOOKUP($C54+$F$11*1000,DSS_Calc!$A:$JV,AE$30,FALSE))</f>
        <v>2087.4249357206563</v>
      </c>
      <c r="AF54" s="399">
        <f>IF($C54="","",VLOOKUP($C54+$F$11*1000,DSS_Calc!$A:$JV,AF$30,FALSE))</f>
        <v>4.6805300131469334</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0/0/0.9/3.9, -360 Lease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f>AI55/((Q55*U54+R55*V54+S55*W54)/(VLOOKUP($C54+$F$11*1000,DSS_Calc!$A:$JV,DSS_Calc!BX$92,FALSE)-$AC$33))</f>
        <v>1.5743112797878618</v>
      </c>
      <c r="B55" s="402"/>
      <c r="C55" s="564">
        <f>AI55/(AC55/(VLOOKUP($C54+$F$11*1000,DSS_Calc!$A:$JV,DSS_Calc!BX$92,FALSE)-$AC$33))</f>
        <v>-3.8678173059232361</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250</v>
      </c>
      <c r="R55" s="404">
        <f t="shared" si="24"/>
        <v>348.61306642854424</v>
      </c>
      <c r="S55" s="404">
        <f t="shared" si="24"/>
        <v>-277</v>
      </c>
      <c r="T55" s="294"/>
      <c r="U55" s="405">
        <f>U54-U$33</f>
        <v>2.2183964590847371E-2</v>
      </c>
      <c r="V55" s="405">
        <f>V54-V$33</f>
        <v>3.4860922668966288E-2</v>
      </c>
      <c r="W55" s="405">
        <f>W54-W$33</f>
        <v>-5.7044887259813659E-2</v>
      </c>
      <c r="X55" s="294"/>
      <c r="Y55" s="404">
        <f>Y54-Y$33</f>
        <v>115.07081674196013</v>
      </c>
      <c r="Z55" s="404">
        <f>Z54-Z$33</f>
        <v>247.59321390530931</v>
      </c>
      <c r="AA55" s="404">
        <f>AA54-AA$33</f>
        <v>-417.49594410053191</v>
      </c>
      <c r="AB55" s="294"/>
      <c r="AC55" s="404">
        <f>IFERROR(AC54-AC$33,NA())</f>
        <v>-54.831913453263041</v>
      </c>
      <c r="AD55" s="406">
        <f>AD54-AD$33</f>
        <v>-1.2682793878543208E-2</v>
      </c>
      <c r="AE55" s="407">
        <f t="shared" si="20"/>
        <v>27.350843361295119</v>
      </c>
      <c r="AF55" s="406">
        <f t="shared" si="20"/>
        <v>0.17428525187875632</v>
      </c>
      <c r="AG55" s="405">
        <f>AF55/AF$33</f>
        <v>3.8676383798936793E-2</v>
      </c>
      <c r="AH55" s="405"/>
      <c r="AI55" s="408">
        <f>IFERROR(AE55/$AE$33,NA())</f>
        <v>1.3276630905042231E-2</v>
      </c>
      <c r="AJ55" s="289"/>
      <c r="AK55" s="749"/>
      <c r="AL55" s="750">
        <f>$AE54*U54-$AE$33*U$33</f>
        <v>53.435745130830355</v>
      </c>
      <c r="AM55" s="750">
        <f>$AE54*V54-$AE$33*V$33</f>
        <v>83.299660083388289</v>
      </c>
      <c r="AN55" s="750">
        <f>$AE54*W54-$AE$33*W$33</f>
        <v>-109.38456185292353</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68</v>
      </c>
      <c r="D56" s="261" t="str">
        <f>"Scenario " &amp; A56</f>
        <v>Scenario L</v>
      </c>
      <c r="E56" s="272" t="s">
        <v>2</v>
      </c>
      <c r="F56" s="262">
        <f>IF($C56="","",VLOOKUP($C56+$F$11*1000,DSS_Calc!$A:$JV,F$30,FALSE))</f>
        <v>1750</v>
      </c>
      <c r="G56" s="262" t="str">
        <f>IF($C56="","",VLOOKUP($C56+$F$11*1000,DSS_Calc!$A:$JV,G$30,FALSE))</f>
        <v>0.9/1.9/2.9/3.9</v>
      </c>
      <c r="H56" s="262">
        <f>IF($C56="","",VLOOKUP($C56+$F$11*1000,DSS_Calc!$A:$JV,H$30,FALSE))</f>
        <v>0</v>
      </c>
      <c r="I56" s="262">
        <f>IF($C56="","",VLOOKUP($C56+$F$11*1000,DSS_Calc!$A:$JV,I$30,FALSE))</f>
        <v>0</v>
      </c>
      <c r="J56" s="262">
        <f>IF($C56="","",VLOOKUP($C56+$F$11*1000,DSS_Calc!$A:$JV,J$30,FALSE))</f>
        <v>4622</v>
      </c>
      <c r="K56" s="262">
        <f>IF($C56="","",VLOOKUP($C56+$F$11*1000,DSS_Calc!$A:$JV,K$30,FALSE))</f>
        <v>0</v>
      </c>
      <c r="L56" s="262">
        <f>IF($C56="","",VLOOKUP($C56+$F$11*1000,DSS_Calc!$A:$JV,L$30,FALSE))</f>
        <v>0</v>
      </c>
      <c r="M56" s="262">
        <f>IF($C56="","",VLOOKUP($C56+$F$11*1000,DSS_Calc!$A:$JV,M$30,FALSE))</f>
        <v>0</v>
      </c>
      <c r="N56" s="262">
        <f>IF($C56="","",VLOOKUP($C56+$F$11*1000,DSS_Calc!$A:$JV,N$30,FALSE))</f>
        <v>500</v>
      </c>
      <c r="O56" s="262">
        <f>IF($C56="","",VLOOKUP($C56+$F$11*1000,DSS_Calc!$A:$JV,O$30,FALSE))</f>
        <v>0</v>
      </c>
      <c r="P56" s="294" t="s">
        <v>2</v>
      </c>
      <c r="Q56" s="262">
        <f>IF($C56="","",VLOOKUP($C56+$F$11*1000,DSS_Calc!$A:$JV,Q$30,FALSE)*IF(U56=0,0,1))</f>
        <v>2500</v>
      </c>
      <c r="R56" s="262">
        <f>IF($C56="","",VLOOKUP($C56+$F$11*1000,DSS_Calc!$A:$JV,R$30,FALSE)*IF(V56=0,0,1))</f>
        <v>2485.2507457976699</v>
      </c>
      <c r="S56" s="262">
        <f>IF($C56="","",VLOOKUP($C56+$F$11*1000,DSS_Calc!$A:$JV,S$30,FALSE)*IF(W56=0,0,1))</f>
        <v>5597.9609265464023</v>
      </c>
      <c r="T56" s="294" t="s">
        <v>2</v>
      </c>
      <c r="U56" s="263">
        <f>IF($C56="","",VLOOKUP($C56+$F$11*1000,DSS_Calc!$A:$JV,U$30,FALSE))</f>
        <v>0.33429882770640373</v>
      </c>
      <c r="V56" s="263">
        <f>IF($C56="","",VLOOKUP($C56+$F$11*1000,DSS_Calc!$A:$JV,V$30,FALSE))</f>
        <v>0.3515383505809514</v>
      </c>
      <c r="W56" s="263">
        <f>IF($C56="","",VLOOKUP($C56+$F$11*1000,DSS_Calc!$A:$JV,W$30,FALSE))</f>
        <v>0.31416282171264487</v>
      </c>
      <c r="X56" s="294" t="s">
        <v>2</v>
      </c>
      <c r="Y56" s="262">
        <f>IF(U56=0,0,U56*Q56)</f>
        <v>835.74706926600936</v>
      </c>
      <c r="Z56" s="262">
        <f>IF(V56=0,0,V56*R56)</f>
        <v>873.66094795779225</v>
      </c>
      <c r="AA56" s="262">
        <f>IF(W56=0,0,W56*S56)</f>
        <v>1758.6712005209497</v>
      </c>
      <c r="AB56" s="294" t="s">
        <v>2</v>
      </c>
      <c r="AC56" s="262">
        <f>SUM(Y56:AA56)</f>
        <v>3468.0792177447511</v>
      </c>
      <c r="AD56" s="264">
        <f>AC56*AE56/1000/1000</f>
        <v>6.8441844909362581</v>
      </c>
      <c r="AE56" s="265">
        <f>IF($C56="","",VLOOKUP($C56+$F$11*1000,DSS_Calc!$A:$JV,AE$30,FALSE))</f>
        <v>1973.4798605283722</v>
      </c>
      <c r="AF56" s="264">
        <f>IF($C56="","",VLOOKUP($C56+$F$11*1000,DSS_Calc!$A:$JV,AF$30,FALSE))</f>
        <v>4.8161212649956298</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0.9/1.9/2.9/3.9, -360 Lease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f>AI57/((Q57*U56+R57*V56+S57*W56)/(VLOOKUP($C56+$F$11*1000,DSS_Calc!$A:$JV,DSS_Calc!BX$92,FALSE)-$AC$33))</f>
        <v>10.028219322237154</v>
      </c>
      <c r="B57" s="402"/>
      <c r="C57" s="564">
        <f>AI57/(AC57/(VLOOKUP($C56+$F$11*1000,DSS_Calc!$A:$JV,DSS_Calc!BX$92,FALSE)-$AC$33))</f>
        <v>2.6539555220752691</v>
      </c>
      <c r="D57" s="266" t="s">
        <v>141</v>
      </c>
      <c r="F57" s="267">
        <f>ROUND(F56-F$33,0)</f>
        <v>500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500</v>
      </c>
      <c r="R57" s="267">
        <f t="shared" si="26"/>
        <v>-418.39807946193014</v>
      </c>
      <c r="S57" s="267">
        <f t="shared" si="26"/>
        <v>-277</v>
      </c>
      <c r="T57" s="294"/>
      <c r="U57" s="268">
        <f>U56-U$33</f>
        <v>7.3671242056189634E-2</v>
      </c>
      <c r="V57" s="268">
        <f>V56-V$33</f>
        <v>-3.3462604704393439E-2</v>
      </c>
      <c r="W57" s="268">
        <f>W56-W$33</f>
        <v>-4.0208637351796195E-2</v>
      </c>
      <c r="X57" s="294"/>
      <c r="Y57" s="267">
        <f>Y56-Y$33</f>
        <v>314.49189796558119</v>
      </c>
      <c r="Z57" s="267">
        <f>Z56-Z$33</f>
        <v>-244.24662358032299</v>
      </c>
      <c r="AA57" s="267">
        <f>AA56-AA$33</f>
        <v>-323.24727496587957</v>
      </c>
      <c r="AB57" s="294"/>
      <c r="AC57" s="267">
        <f>IFERROR(AC56-AC$33,NA())</f>
        <v>-253.00200058062183</v>
      </c>
      <c r="AD57" s="269">
        <f>AD56-AD$33</f>
        <v>-0.82151852250084989</v>
      </c>
      <c r="AE57" s="270">
        <f t="shared" si="20"/>
        <v>-86.594231830988974</v>
      </c>
      <c r="AF57" s="269">
        <f t="shared" si="20"/>
        <v>0.30987650372745268</v>
      </c>
      <c r="AG57" s="268">
        <f>AF57/AF$33</f>
        <v>6.8766016970690513E-2</v>
      </c>
      <c r="AH57" s="268"/>
      <c r="AI57" s="301">
        <f>IFERROR(AE57/$AE$33,NA())</f>
        <v>-4.2034523006798434E-2</v>
      </c>
      <c r="AJ57" s="289"/>
      <c r="AK57" s="749"/>
      <c r="AL57" s="750">
        <f>$AE56*U56-$AE$33*U$33</f>
        <v>122.81986692465546</v>
      </c>
      <c r="AM57" s="750">
        <f>$AE56*V56-$AE$33*V$33</f>
        <v>-99.376638442073727</v>
      </c>
      <c r="AN57" s="750">
        <f>$AE56*W56-$AE$33*W$33</f>
        <v>-110.0374603135707</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67</v>
      </c>
      <c r="D58" s="396" t="str">
        <f>"Scenario " &amp; A58</f>
        <v>Scenario M</v>
      </c>
      <c r="E58" s="272" t="s">
        <v>2</v>
      </c>
      <c r="F58" s="397">
        <f>IF($C58="","",VLOOKUP($C58+$F$11*1000,DSS_Calc!$A:$JV,F$30,FALSE))</f>
        <v>1500</v>
      </c>
      <c r="G58" s="397" t="str">
        <f>IF($C58="","",VLOOKUP($C58+$F$11*1000,DSS_Calc!$A:$JV,G$30,FALSE))</f>
        <v>0.9/1.9/2.9/3.9</v>
      </c>
      <c r="H58" s="397">
        <f>IF($C58="","",VLOOKUP($C58+$F$11*1000,DSS_Calc!$A:$JV,H$30,FALSE))</f>
        <v>0</v>
      </c>
      <c r="I58" s="397">
        <f>IF($C58="","",VLOOKUP($C58+$F$11*1000,DSS_Calc!$A:$JV,I$30,FALSE))</f>
        <v>0</v>
      </c>
      <c r="J58" s="397">
        <f>IF($C58="","",VLOOKUP($C58+$F$11*1000,DSS_Calc!$A:$JV,J$30,FALSE))</f>
        <v>4622</v>
      </c>
      <c r="K58" s="397">
        <f>IF($C58="","",VLOOKUP($C58+$F$11*1000,DSS_Calc!$A:$JV,K$30,FALSE))</f>
        <v>0</v>
      </c>
      <c r="L58" s="397">
        <f>IF($C58="","",VLOOKUP($C58+$F$11*1000,DSS_Calc!$A:$JV,L$30,FALSE))</f>
        <v>0</v>
      </c>
      <c r="M58" s="397">
        <f>IF($C58="","",VLOOKUP($C58+$F$11*1000,DSS_Calc!$A:$JV,M$30,FALSE))</f>
        <v>0</v>
      </c>
      <c r="N58" s="397">
        <f>IF($C58="","",VLOOKUP($C58+$F$11*1000,DSS_Calc!$A:$JV,N$30,FALSE))</f>
        <v>500</v>
      </c>
      <c r="O58" s="397">
        <f>IF($C58="","",VLOOKUP($C58+$F$11*1000,DSS_Calc!$A:$JV,O$30,FALSE))</f>
        <v>0</v>
      </c>
      <c r="P58" s="294" t="s">
        <v>2</v>
      </c>
      <c r="Q58" s="397">
        <f>IF($C58="","",VLOOKUP($C58+$F$11*1000,DSS_Calc!$A:$JV,Q$30,FALSE)*IF(U58=0,0,1))</f>
        <v>2250</v>
      </c>
      <c r="R58" s="397">
        <f>IF($C58="","",VLOOKUP($C58+$F$11*1000,DSS_Calc!$A:$JV,R$30,FALSE)*IF(V58=0,0,1))</f>
        <v>2485.1033332932575</v>
      </c>
      <c r="S58" s="397">
        <f>IF($C58="","",VLOOKUP($C58+$F$11*1000,DSS_Calc!$A:$JV,S$30,FALSE)*IF(W58=0,0,1))</f>
        <v>5597.9609265464023</v>
      </c>
      <c r="T58" s="294" t="s">
        <v>2</v>
      </c>
      <c r="U58" s="398">
        <f>IF($C58="","",VLOOKUP($C58+$F$11*1000,DSS_Calc!$A:$JV,U$30,FALSE))</f>
        <v>0.31598779934106203</v>
      </c>
      <c r="V58" s="398">
        <f>IF($C58="","",VLOOKUP($C58+$F$11*1000,DSS_Calc!$A:$JV,V$30,FALSE))</f>
        <v>0.35909102643968643</v>
      </c>
      <c r="W58" s="398">
        <f>IF($C58="","",VLOOKUP($C58+$F$11*1000,DSS_Calc!$A:$JV,W$30,FALSE))</f>
        <v>0.32492117421925154</v>
      </c>
      <c r="X58" s="294" t="s">
        <v>2</v>
      </c>
      <c r="Y58" s="397">
        <f>IF(U58=0,0,U58*Q58)</f>
        <v>710.97254851738955</v>
      </c>
      <c r="Z58" s="397">
        <f>IF(V58=0,0,V58*R58)</f>
        <v>892.378306760962</v>
      </c>
      <c r="AA58" s="397">
        <f>IF(W58=0,0,W58*S58)</f>
        <v>1818.8960374869464</v>
      </c>
      <c r="AB58" s="294" t="s">
        <v>2</v>
      </c>
      <c r="AC58" s="397">
        <f>SUM(Y58:AA58)</f>
        <v>3422.2468927652981</v>
      </c>
      <c r="AD58" s="399">
        <f>AC58*AE58/1000/1000</f>
        <v>6.6563062848792649</v>
      </c>
      <c r="AE58" s="400">
        <f>IF($C58="","",VLOOKUP($C58+$F$11*1000,DSS_Calc!$A:$JV,AE$30,FALSE))</f>
        <v>1945.0105423284442</v>
      </c>
      <c r="AF58" s="399">
        <f>IF($C58="","",VLOOKUP($C58+$F$11*1000,DSS_Calc!$A:$JV,AF$30,FALSE))</f>
        <v>4.8357885044683471</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+250 CC, 0.9/1.9/2.9/3.9, -360 Lease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f>AI59/((Q59*U58+R59*V58+S59*W58)/(VLOOKUP($C58+$F$11*1000,DSS_Calc!$A:$JV,DSS_Calc!BX$92,FALSE)-$AC$33))</f>
        <v>5.5312877996468766</v>
      </c>
      <c r="B59" s="402"/>
      <c r="C59" s="564">
        <f>AI59/(AC59/(VLOOKUP($C58+$F$11*1000,DSS_Calc!$A:$JV,DSS_Calc!BX$92,FALSE)-$AC$33))</f>
        <v>2.9856295428780535</v>
      </c>
      <c r="D59" s="403" t="s">
        <v>141</v>
      </c>
      <c r="F59" s="404">
        <f>ROUND(F58-F$33,0)</f>
        <v>250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250</v>
      </c>
      <c r="R59" s="404">
        <f t="shared" si="28"/>
        <v>-418.54549196634252</v>
      </c>
      <c r="S59" s="404">
        <f t="shared" si="28"/>
        <v>-277</v>
      </c>
      <c r="T59" s="294"/>
      <c r="U59" s="405">
        <f>U58-U$33</f>
        <v>5.5360213690847926E-2</v>
      </c>
      <c r="V59" s="405">
        <f>V58-V$33</f>
        <v>-2.5909928845658403E-2</v>
      </c>
      <c r="W59" s="405">
        <f>W58-W$33</f>
        <v>-2.9450284845189523E-2</v>
      </c>
      <c r="X59" s="294"/>
      <c r="Y59" s="404">
        <f>Y58-Y$33</f>
        <v>189.71737721696138</v>
      </c>
      <c r="Z59" s="404">
        <f>Z58-Z$33</f>
        <v>-225.52926477715323</v>
      </c>
      <c r="AA59" s="404">
        <f>AA58-AA$33</f>
        <v>-263.02243799988287</v>
      </c>
      <c r="AB59" s="294"/>
      <c r="AC59" s="404">
        <f>IFERROR(AC58-AC$33,NA())</f>
        <v>-298.83432556007483</v>
      </c>
      <c r="AD59" s="406">
        <f>AD58-AD$33</f>
        <v>-1.0093967285578431</v>
      </c>
      <c r="AE59" s="407">
        <f t="shared" si="20"/>
        <v>-115.06355003091699</v>
      </c>
      <c r="AF59" s="406">
        <f t="shared" si="20"/>
        <v>0.32954374320016999</v>
      </c>
      <c r="AG59" s="405">
        <f>AF59/AF$33</f>
        <v>7.3130457988577521E-2</v>
      </c>
      <c r="AH59" s="405"/>
      <c r="AI59" s="408">
        <f>IFERROR(AE59/$AE$33,NA())</f>
        <v>-5.5854083335001331E-2</v>
      </c>
      <c r="AJ59" s="289"/>
      <c r="AK59" s="749"/>
      <c r="AL59" s="750">
        <f>$AE58*U58-$AE$33*U$33</f>
        <v>77.687464013354088</v>
      </c>
      <c r="AM59" s="750">
        <f>$AE58*V58-$AE$33*V$33</f>
        <v>-94.694661436211504</v>
      </c>
      <c r="AN59" s="750">
        <f>$AE58*W58-$AE$33*W$33</f>
        <v>-98.056352608059569</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FF99"/>
    <pageSetUpPr fitToPage="1"/>
  </sheetPr>
  <dimension ref="A1:BM73"/>
  <sheetViews>
    <sheetView showGridLines="0" topLeftCell="A14" zoomScale="70" zoomScaleNormal="70" zoomScaleSheetLayoutView="55" workbookViewId="0">
      <selection activeCell="C55" sqref="C5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2" width="15.7109375" style="293" customWidth="1"/>
    <col min="13" max="13" width="11.710937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2" t="s">
        <v>1079</v>
      </c>
      <c r="AK7" s="873">
        <v>10.5</v>
      </c>
    </row>
    <row r="8" spans="1:64" ht="15.6" customHeight="1">
      <c r="AJ8" s="235" t="s">
        <v>1080</v>
      </c>
      <c r="AK8" s="873" t="s">
        <v>1084</v>
      </c>
    </row>
    <row r="9" spans="1:64" ht="15.6" customHeight="1">
      <c r="AJ9" s="872" t="s">
        <v>1082</v>
      </c>
      <c r="AK9" s="874" t="str">
        <f>"MY"&amp;RIGHT(Input!$H$9,2)&amp;" "&amp;Input!$H$3&amp;": "&amp;$G$10</f>
        <v>MY20 Forte: Region R1 (Southern, Southwest) Incentive Scenarios</v>
      </c>
    </row>
    <row r="10" spans="1:64" ht="15.6" customHeight="1" thickBot="1">
      <c r="G10" s="581" t="s">
        <v>1092</v>
      </c>
      <c r="AJ10" s="872" t="s">
        <v>1086</v>
      </c>
      <c r="AK10" s="874" t="s">
        <v>1087</v>
      </c>
    </row>
    <row r="11" spans="1:64" ht="15.6" customHeight="1">
      <c r="A11" s="281" t="s">
        <v>570</v>
      </c>
      <c r="B11" s="275"/>
      <c r="C11" s="231"/>
      <c r="D11" s="628" t="s">
        <v>824</v>
      </c>
      <c r="F11" s="245">
        <v>4</v>
      </c>
      <c r="G11" s="565" t="str">
        <f>INDEX(Input!$1:$1048576,2,$F$11*2+6)&amp;" ("&amp;INDEX(Input!$1:$1048576,11,$F$11*2+6)&amp;")"</f>
        <v>MY20 Kia Forte (Kia-LR - R1)</v>
      </c>
      <c r="H11" s="232"/>
      <c r="I11" s="231"/>
      <c r="L11" s="232"/>
      <c r="M11" s="232"/>
      <c r="N11" s="231"/>
      <c r="O11" s="231"/>
      <c r="Q11" s="231"/>
      <c r="R11" s="231"/>
      <c r="S11" s="231"/>
      <c r="U11" s="296"/>
      <c r="V11" s="231"/>
      <c r="Y11" s="231"/>
      <c r="Z11" s="231"/>
      <c r="AA11" s="231"/>
      <c r="AC11" s="231"/>
      <c r="AD11" s="231"/>
      <c r="AE11" s="231"/>
      <c r="AF11" s="231"/>
      <c r="AG11" s="231"/>
      <c r="AH11" s="231"/>
      <c r="AI11" s="231"/>
      <c r="AJ11" s="872" t="s">
        <v>1088</v>
      </c>
      <c r="AK11" s="874" t="s">
        <v>1089</v>
      </c>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58"/>
      <c r="D12" s="231"/>
      <c r="F12" s="231"/>
      <c r="G12" s="232"/>
      <c r="H12" s="232"/>
      <c r="I12" s="231"/>
      <c r="J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771</v>
      </c>
      <c r="BA12" s="389"/>
      <c r="BC12" s="758"/>
      <c r="BD12" s="758"/>
      <c r="BE12" s="758"/>
      <c r="BF12" s="758"/>
      <c r="BG12" s="758"/>
      <c r="BH12" s="758"/>
      <c r="BI12" s="758"/>
      <c r="BJ12" s="758"/>
      <c r="BK12" s="758"/>
      <c r="BL12" s="758"/>
    </row>
    <row r="13" spans="1:64" ht="15.75" customHeight="1" thickBot="1">
      <c r="A13" s="389" t="str">
        <f>ROUND(INDEX(DSS_Calc!KA:KA,MATCH($F$11*1000+6,DSS_Calc!A:A,0)),2)&amp;" (Scen 6)"</f>
        <v>2.35 (Scen 6)</v>
      </c>
      <c r="B13" s="275"/>
      <c r="D13" s="1137" t="str">
        <f>UPPER("SCENARIO OPTIONS: MY"&amp;RIGHT(Input!$H9,2)&amp;" "&amp;Input!H$7&amp;" "&amp;Input!H$3&amp;" - R1 (AL, GA MD, NC, SC, TN, VA, WV, AR, LA, MS, NM , OK, TX)")</f>
        <v>SCENARIO OPTIONS: MY20 KIA FORTE - R1 (AL, GA MD, NC, SC, TN, VA, WV, AR, LA, MS, NM , OK, TX)</v>
      </c>
      <c r="E13" s="1137"/>
      <c r="F13" s="1137"/>
      <c r="G13" s="1137"/>
      <c r="H13" s="1137"/>
      <c r="I13" s="1137"/>
      <c r="J13" s="1137"/>
      <c r="K13" s="1137"/>
      <c r="L13" s="1137"/>
      <c r="M13" s="1137"/>
      <c r="N13" s="1137"/>
      <c r="O13" s="1137"/>
      <c r="P13" s="1137"/>
      <c r="Q13" s="1137"/>
      <c r="R13" s="1137"/>
      <c r="S13" s="1137"/>
      <c r="T13" s="1137"/>
      <c r="U13" s="1137"/>
      <c r="V13" s="1137"/>
      <c r="W13" s="1137"/>
      <c r="X13" s="1137"/>
      <c r="Y13" s="1137"/>
      <c r="Z13" s="1137"/>
      <c r="AA13" s="1137"/>
      <c r="AB13" s="1137"/>
      <c r="AC13" s="1137"/>
      <c r="AD13" s="1137"/>
      <c r="AE13" s="1137"/>
      <c r="AF13" s="1137"/>
      <c r="AG13" s="1137"/>
      <c r="AH13" s="1137"/>
      <c r="AI13" s="1137"/>
      <c r="AJ13" s="758"/>
      <c r="AK13" s="758"/>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43" t="str">
        <f>"Scen. # to check price sensitivity order vs #"&amp;INDEX(DSS_Calc!KN:KN,MATCH(F11*1000+1,DSS_Calc!A:A,0))</f>
        <v>Scen. # to check price sensitivity order vs #4002</v>
      </c>
      <c r="AO14" s="1144"/>
      <c r="AP14" s="1144"/>
      <c r="AQ14" s="1144"/>
      <c r="AR14" s="1144"/>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0/0/0/3.9,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41" t="str">
        <f>"Implied Elast w/o Take Rate Shifts vs #"&amp;INDEX(DSS_Calc!KN:KN,MATCH(F11*1000+1,DSS_Calc!A:A,0))</f>
        <v>Implied Elast w/o Take Rate Shifts vs #4002</v>
      </c>
      <c r="AO16" s="1142"/>
      <c r="AP16" s="1142"/>
      <c r="AQ16" s="1142"/>
      <c r="AR16" s="1142"/>
      <c r="AS16" s="722">
        <f>INDEX(DSS_Calc!$KR:$KR,MATCH($F$11*1000+AS14,DSS_Calc!$A:$A,0))</f>
        <v>2.7041310723649952</v>
      </c>
      <c r="AT16" s="722">
        <f>INDEX(DSS_Calc!$KR:$KR,MATCH($F$11*1000+AT14,DSS_Calc!$A:$A,0))</f>
        <v>3.2350646067109103</v>
      </c>
      <c r="AU16" s="722">
        <f>INDEX(DSS_Calc!$KR:$KR,MATCH($F$11*1000+AU14,DSS_Calc!$A:$A,0))</f>
        <v>3.8434012775252389</v>
      </c>
      <c r="AV16" s="759" t="str">
        <f>IF(AND(AS16&lt;AT16,AT16&lt;AU16,AS16&lt;AW16),"ok","error in order")</f>
        <v>error in order</v>
      </c>
      <c r="AW16" s="723">
        <f>ROUND(INDEX(DSS_Calc!KA:KA,MATCH($F$11*1000+6,DSS_Calc!A:A,0)),2)</f>
        <v>2.35</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43" t="s">
        <v>875</v>
      </c>
      <c r="AO17" s="1144"/>
      <c r="AP17" s="1144"/>
      <c r="AQ17" s="1144"/>
      <c r="AR17" s="1144"/>
      <c r="AS17" s="725">
        <f>INDEX(DSS_Calc!IE:IE,MATCH($F$11*1000+2,DSS_Calc!$A:$A,0))-INDEX(DSS_Calc!IE:IE,MATCH($F$11*1000+1,DSS_Calc!$A:$A,0))</f>
        <v>-1.4166373115654385E-3</v>
      </c>
      <c r="AT17" s="725">
        <f>INDEX(DSS_Calc!IF:IF,MATCH($F$11*1000+2,DSS_Calc!$A:$A,0))-INDEX(DSS_Calc!IF:IF,MATCH($F$11*1000+1,DSS_Calc!$A:$A,0))</f>
        <v>1.3036535243577951E-3</v>
      </c>
      <c r="AU17" s="725">
        <f>INDEX(DSS_Calc!IG:IG,MATCH($F$11*1000+2,DSS_Calc!$A:$A,0))-INDEX(DSS_Calc!IG:IG,MATCH($F$11*1000+1,DSS_Calc!$A:$A,0))</f>
        <v>1.1298378720762947E-4</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41" t="s">
        <v>769</v>
      </c>
      <c r="AO18" s="1142"/>
      <c r="AP18" s="1142"/>
      <c r="AQ18" s="1142"/>
      <c r="AR18" s="1142"/>
      <c r="AS18" s="726">
        <f>INDEX(DSS_Calc!JA:JA,MATCH($F$11*1000+2,DSS_Calc!$A:$A,0))-INDEX(DSS_Calc!JA:JA,MATCH($F$11*1000+1,DSS_Calc!$A:$A,0))</f>
        <v>399.99999999999977</v>
      </c>
      <c r="AT18" s="726">
        <f>INDEX(DSS_Calc!JB:JB,MATCH($F$11*1000+2,DSS_Calc!$A:$A,0))-INDEX(DSS_Calc!JB:JB,MATCH($F$11*1000+1,DSS_Calc!$A:$A,0))</f>
        <v>400.10086568437464</v>
      </c>
      <c r="AU18" s="726">
        <f>INDEX(DSS_Calc!JC:JC,MATCH($F$11*1000+2,DSS_Calc!$A:$A,0))-INDEX(DSS_Calc!JC:JC,MATCH($F$11*1000+1,DSS_Calc!$A:$A,0))</f>
        <v>325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5.2697366015027225E-2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4.8086420160458776E-2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2.1100703301346294E-2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5" t="s">
        <v>876</v>
      </c>
      <c r="AO20" s="1146"/>
      <c r="AP20" s="1146"/>
      <c r="AQ20" s="1146"/>
      <c r="AR20" s="1146"/>
      <c r="AS20" s="761">
        <f>IFERROR(INDEX($C:$C,MATCH(AS19,U:U,0)-1),INDEX($C:$C,MATCH(-AS19,U:U,0)-1))</f>
        <v>66</v>
      </c>
      <c r="AT20" s="761">
        <f>IFERROR(INDEX($C:$C,MATCH(AT19,V:V,0)-1),INDEX($C:$C,MATCH(-AT19,V:V,0)-1))</f>
        <v>66</v>
      </c>
      <c r="AU20" s="761">
        <f>IFERROR(INDEX($C:$C,MATCH(AU19,W:W,0)-1),INDEX($C:$C,MATCH(-AU19,W:W,0)-1))</f>
        <v>49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41" t="s">
        <v>877</v>
      </c>
      <c r="AO21" s="1142"/>
      <c r="AP21" s="1142"/>
      <c r="AQ21" s="1142"/>
      <c r="AR21" s="1142"/>
      <c r="AS21" s="729">
        <f>IFERROR(INDEX(Q:Q,MATCH(AS19,U:U,0)),INDEX(Q:Q,MATCH(-AS19,U:U,0)))</f>
        <v>500.00000000000023</v>
      </c>
      <c r="AT21" s="729">
        <f>IFERROR(INDEX(R:R,MATCH(AT19,V:V,0)),INDEX(R:R,MATCH(-AT19,V:V,0)))</f>
        <v>-428.03395189885987</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878" t="s">
        <v>134</v>
      </c>
      <c r="F27" s="1140" t="s">
        <v>354</v>
      </c>
      <c r="G27" s="1140"/>
      <c r="H27" s="1140"/>
      <c r="I27" s="1140"/>
      <c r="J27" s="1140"/>
      <c r="K27" s="1140"/>
      <c r="L27" s="1140"/>
      <c r="M27" s="1140"/>
      <c r="N27" s="1140"/>
      <c r="O27" s="1140"/>
      <c r="P27" s="277"/>
      <c r="Q27" s="1139" t="s">
        <v>135</v>
      </c>
      <c r="R27" s="1139"/>
      <c r="S27" s="1139"/>
      <c r="T27" s="277"/>
      <c r="U27" s="1140" t="s">
        <v>136</v>
      </c>
      <c r="V27" s="1140"/>
      <c r="W27" s="1140"/>
      <c r="X27" s="277"/>
      <c r="Y27" s="1139" t="s">
        <v>137</v>
      </c>
      <c r="Z27" s="1139"/>
      <c r="AA27" s="1139"/>
      <c r="AB27" s="277"/>
      <c r="AC27" s="1140" t="s">
        <v>138</v>
      </c>
      <c r="AD27" s="1140"/>
      <c r="AE27" s="1140"/>
      <c r="AF27" s="1140"/>
      <c r="AG27" s="1140"/>
      <c r="AH27" s="1140"/>
      <c r="AI27" s="1140"/>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1146</v>
      </c>
      <c r="H28" s="238" t="s">
        <v>39</v>
      </c>
      <c r="I28" s="237" t="s">
        <v>715</v>
      </c>
      <c r="J28" s="237" t="s">
        <v>330</v>
      </c>
      <c r="K28" s="237" t="s">
        <v>1150</v>
      </c>
      <c r="L28" s="237" t="s">
        <v>1151</v>
      </c>
      <c r="M28" s="237" t="s">
        <v>7</v>
      </c>
      <c r="N28" s="237" t="s">
        <v>735</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35</v>
      </c>
      <c r="L30" s="244">
        <v>29</v>
      </c>
      <c r="M30" s="244">
        <v>33</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1149</v>
      </c>
      <c r="L31" s="244" t="s">
        <v>1148</v>
      </c>
      <c r="M31" s="244" t="s">
        <v>750</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v>
      </c>
      <c r="G33" s="256" t="str">
        <f>IF($C33="","",VLOOKUP($C33+$F$11*1000,DSS_Calc!$A:$JV,G$30,FALSE))</f>
        <v>0/0.9/1.9/3.9</v>
      </c>
      <c r="H33" s="256">
        <f>IF($C33="","",VLOOKUP($C33+$F$11*1000,DSS_Calc!$A:$JV,H$30,FALSE))</f>
        <v>0</v>
      </c>
      <c r="I33" s="256">
        <f>IF($C33="","",VLOOKUP($C33+$F$11*1000,DSS_Calc!$A:$JV,I$30,FALSE))</f>
        <v>0</v>
      </c>
      <c r="J33" s="256">
        <f>IF($C33="","",VLOOKUP($C33+$F$11*1000,DSS_Calc!$A:$JV,J$30,FALSE))</f>
        <v>4592</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1999.9999999999998</v>
      </c>
      <c r="R33" s="256">
        <f>IF($C33="","",VLOOKUP($C33+$F$11*1000,DSS_Calc!$A:$JV,R$30,FALSE)*IF(V33=0,0,1))</f>
        <v>2903.6501573241267</v>
      </c>
      <c r="S33" s="256">
        <f>IF($C33="","",VLOOKUP($C33+$F$11*1000,DSS_Calc!$A:$JV,S$30,FALSE)*IF(W33=0,0,1))</f>
        <v>5738.7109265464023</v>
      </c>
      <c r="T33" s="294" t="s">
        <v>2</v>
      </c>
      <c r="U33" s="395">
        <f>IF($C33="","",VLOOKUP($C33+$F$11*1000,DSS_Calc!$A:$JV,U$30,FALSE))</f>
        <v>0.45259089361904242</v>
      </c>
      <c r="V33" s="395">
        <f>IF($C33="","",VLOOKUP($C33+$F$11*1000,DSS_Calc!$A:$JV,V$30,FALSE))</f>
        <v>0.46660758036674616</v>
      </c>
      <c r="W33" s="395">
        <f>IF($C33="","",VLOOKUP($C33+$F$11*1000,DSS_Calc!$A:$JV,W$30,FALSE))</f>
        <v>8.0801526014211394E-2</v>
      </c>
      <c r="X33" s="290" t="s">
        <v>2</v>
      </c>
      <c r="Y33" s="256">
        <f t="shared" ref="Y33:AA34" si="0">IF(U33=0,0,U33*Q33)</f>
        <v>905.18178723808478</v>
      </c>
      <c r="Z33" s="256">
        <f t="shared" si="0"/>
        <v>1354.8651741405326</v>
      </c>
      <c r="AA33" s="256">
        <f t="shared" si="0"/>
        <v>463.6966002193783</v>
      </c>
      <c r="AB33" s="290" t="s">
        <v>2</v>
      </c>
      <c r="AC33" s="256">
        <f>SUM(Y33:AA33)</f>
        <v>2723.7435615979957</v>
      </c>
      <c r="AD33" s="259">
        <f>AC33*AE33/1000/1000</f>
        <v>5.4410584275086116</v>
      </c>
      <c r="AE33" s="260">
        <f>IF($C33="","",VLOOKUP($C33+$F$11*1000,DSS_Calc!$A:$JV,AE$30,FALSE))</f>
        <v>1997.6397573626173</v>
      </c>
      <c r="AF33" s="259">
        <f>IF($C33="","",VLOOKUP($C33+$F$11*1000,DSS_Calc!$A:$JV,AF$30,FALSE))</f>
        <v>6.3619960788684136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49</v>
      </c>
      <c r="D34" s="396" t="str">
        <f>"Scenario " &amp; A34</f>
        <v>Scenario A</v>
      </c>
      <c r="E34" s="272" t="s">
        <v>2</v>
      </c>
      <c r="F34" s="397">
        <f>IF($C34="","",VLOOKUP($C34+$F$11*1000,DSS_Calc!$A:$JV,F$30,FALSE))</f>
        <v>2000</v>
      </c>
      <c r="G34" s="397" t="str">
        <f>IF($C34="","",VLOOKUP($C34+$F$11*1000,DSS_Calc!$A:$JV,G$30,FALSE))</f>
        <v>0/0.9/1.9/3.9</v>
      </c>
      <c r="H34" s="397">
        <f>IF($C34="","",VLOOKUP($C34+$F$11*1000,DSS_Calc!$A:$JV,H$30,FALSE))</f>
        <v>0</v>
      </c>
      <c r="I34" s="397">
        <f>IF($C34="","",VLOOKUP($C34+$F$11*1000,DSS_Calc!$A:$JV,I$30,FALSE))</f>
        <v>0</v>
      </c>
      <c r="J34" s="397">
        <f>IF($C34="","",VLOOKUP($C34+$F$11*1000,DSS_Calc!$A:$JV,J$30,FALSE))</f>
        <v>4232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2750</v>
      </c>
      <c r="R34" s="397">
        <f>IF($C34="","",VLOOKUP($C34+$F$11*1000,DSS_Calc!$A:$JV,R$30,FALSE)*IF(V34=0,0,1))</f>
        <v>2904.0421278541316</v>
      </c>
      <c r="S34" s="397">
        <f>IF($C34="","",VLOOKUP($C34+$F$11*1000,DSS_Calc!$A:$JV,S$30,FALSE)*IF(W34=0,0,1))</f>
        <v>5378.7109265464023</v>
      </c>
      <c r="T34" s="294" t="s">
        <v>2</v>
      </c>
      <c r="U34" s="398">
        <f>IF($C34="","",VLOOKUP($C34+$F$11*1000,DSS_Calc!$A:$JV,U$30,FALSE))</f>
        <v>0.50161903494184124</v>
      </c>
      <c r="V34" s="398">
        <f>IF($C34="","",VLOOKUP($C34+$F$11*1000,DSS_Calc!$A:$JV,V$30,FALSE))</f>
        <v>0.43868014234529368</v>
      </c>
      <c r="W34" s="398">
        <f>IF($C34="","",VLOOKUP($C34+$F$11*1000,DSS_Calc!$A:$JV,W$30,FALSE))</f>
        <v>5.9700822712865101E-2</v>
      </c>
      <c r="X34" s="294" t="s">
        <v>2</v>
      </c>
      <c r="Y34" s="397">
        <f t="shared" si="0"/>
        <v>1379.4523460900634</v>
      </c>
      <c r="Z34" s="397">
        <f t="shared" si="0"/>
        <v>1273.9456140237801</v>
      </c>
      <c r="AA34" s="397">
        <f t="shared" si="0"/>
        <v>321.11346744949714</v>
      </c>
      <c r="AB34" s="294" t="s">
        <v>2</v>
      </c>
      <c r="AC34" s="397">
        <f>SUM(Y34:AA34)</f>
        <v>2974.5114275633405</v>
      </c>
      <c r="AD34" s="399">
        <f>AC34*AE34/1000/1000</f>
        <v>6.2509250888156007</v>
      </c>
      <c r="AE34" s="400">
        <f>IF($C34="","",VLOOKUP($C34+$F$11*1000,DSS_Calc!$A:$JV,AE$30,FALSE))</f>
        <v>2101.4964107689552</v>
      </c>
      <c r="AF34" s="399">
        <f>IF($C34="","",VLOOKUP($C34+$F$11*1000,DSS_Calc!$A:$JV,AF$30,FALSE))</f>
        <v>6.165766454212771</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-360 Lease</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f>AI35/((Q35*U34+R35*V34+S35*W34)/(VLOOKUP($C34+$F$11*1000,DSS_Calc!$A:$JV,DSS_Calc!BX$92,FALSE)-$AC$33))</f>
        <v>2.4861800433845453</v>
      </c>
      <c r="B35" s="402"/>
      <c r="C35" s="564">
        <f>AI35/(AC35/(VLOOKUP($C34+$F$11*1000,DSS_Calc!$A:$JV,DSS_Calc!BX$92,FALSE)-$AC$33))</f>
        <v>3.5185138342416935</v>
      </c>
      <c r="D35" s="403" t="s">
        <v>141</v>
      </c>
      <c r="F35" s="404">
        <f>ROUND(F34-F$33,0)</f>
        <v>750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750.00000000000023</v>
      </c>
      <c r="R35" s="404">
        <f t="shared" si="2"/>
        <v>0.39197053000498272</v>
      </c>
      <c r="S35" s="404">
        <f t="shared" si="2"/>
        <v>-360</v>
      </c>
      <c r="T35" s="294"/>
      <c r="U35" s="405">
        <f>U34-U$33</f>
        <v>4.9028141322798813E-2</v>
      </c>
      <c r="V35" s="405">
        <f>V34-V$33</f>
        <v>-2.7927438021452478E-2</v>
      </c>
      <c r="W35" s="405">
        <f>W34-W$33</f>
        <v>-2.1100703301346294E-2</v>
      </c>
      <c r="X35" s="294"/>
      <c r="Y35" s="404">
        <f>Y34-Y$33</f>
        <v>474.27055885197865</v>
      </c>
      <c r="Z35" s="404">
        <f>Z34-Z$33</f>
        <v>-80.919560116752564</v>
      </c>
      <c r="AA35" s="404">
        <f>AA34-AA$33</f>
        <v>-142.58313276988116</v>
      </c>
      <c r="AB35" s="294"/>
      <c r="AC35" s="404">
        <f>IFERROR(AC34-AC$33,NA())</f>
        <v>250.76786596534475</v>
      </c>
      <c r="AD35" s="406">
        <f>AD34-AD$33</f>
        <v>0.80986666130698914</v>
      </c>
      <c r="AE35" s="407">
        <f t="shared" ref="AE35:AF49" si="3">AE34-AE$33</f>
        <v>103.85665340633795</v>
      </c>
      <c r="AF35" s="406">
        <f t="shared" si="3"/>
        <v>-0.19622962465564253</v>
      </c>
      <c r="AG35" s="408">
        <f>AF35/AF$33</f>
        <v>-3.0844034202948647E-2</v>
      </c>
      <c r="AH35" s="405"/>
      <c r="AI35" s="408">
        <f>IFERROR(AE35/$AE$33,NA())</f>
        <v>5.1989680833872988E-2</v>
      </c>
      <c r="AJ35" s="289"/>
      <c r="AK35" s="749"/>
      <c r="AL35" s="750">
        <f>$AE34*U34-$AE$33*U$33</f>
        <v>150.03703858999233</v>
      </c>
      <c r="AM35" s="750">
        <f>$AE34*V34-$AE$33*V$33</f>
        <v>-10.229109013135712</v>
      </c>
      <c r="AN35" s="750">
        <f>$AE34*W34-$AE$33*W$33</f>
        <v>-35.95127617051871</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48</v>
      </c>
      <c r="D36" s="261" t="str">
        <f>"Scenario " &amp; A36</f>
        <v>Scenario B</v>
      </c>
      <c r="E36" s="272" t="s">
        <v>2</v>
      </c>
      <c r="F36" s="262">
        <f>IF($C36="","",VLOOKUP($C36+$F$11*1000,DSS_Calc!$A:$JV,F$30,FALSE))</f>
        <v>1750</v>
      </c>
      <c r="G36" s="262" t="str">
        <f>IF($C36="","",VLOOKUP($C36+$F$11*1000,DSS_Calc!$A:$JV,G$30,FALSE))</f>
        <v>0/0.9/1.9/3.9</v>
      </c>
      <c r="H36" s="262">
        <f>IF($C36="","",VLOOKUP($C36+$F$11*1000,DSS_Calc!$A:$JV,H$30,FALSE))</f>
        <v>0</v>
      </c>
      <c r="I36" s="262">
        <f>IF($C36="","",VLOOKUP($C36+$F$11*1000,DSS_Calc!$A:$JV,I$30,FALSE))</f>
        <v>0</v>
      </c>
      <c r="J36" s="262">
        <f>IF($C36="","",VLOOKUP($C36+$F$11*1000,DSS_Calc!$A:$JV,J$30,FALSE))</f>
        <v>4232</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2500</v>
      </c>
      <c r="R36" s="262">
        <f>IF($C36="","",VLOOKUP($C36+$F$11*1000,DSS_Calc!$A:$JV,R$30,FALSE)*IF(V36=0,0,1))</f>
        <v>2903.936713877411</v>
      </c>
      <c r="S36" s="262">
        <f>IF($C36="","",VLOOKUP($C36+$F$11*1000,DSS_Calc!$A:$JV,S$30,FALSE)*IF(W36=0,0,1))</f>
        <v>5378.7109265464023</v>
      </c>
      <c r="T36" s="294" t="s">
        <v>2</v>
      </c>
      <c r="U36" s="263">
        <f>IF($C36="","",VLOOKUP($C36+$F$11*1000,DSS_Calc!$A:$JV,U$30,FALSE))</f>
        <v>0.48781495427243399</v>
      </c>
      <c r="V36" s="263">
        <f>IF($C36="","",VLOOKUP($C36+$F$11*1000,DSS_Calc!$A:$JV,V$30,FALSE))</f>
        <v>0.44908173808248375</v>
      </c>
      <c r="W36" s="263">
        <f>IF($C36="","",VLOOKUP($C36+$F$11*1000,DSS_Calc!$A:$JV,W$30,FALSE))</f>
        <v>6.3103307645082221E-2</v>
      </c>
      <c r="X36" s="294" t="s">
        <v>2</v>
      </c>
      <c r="Y36" s="262">
        <f>IF(U36=0,0,U36*Q36)</f>
        <v>1219.537385681085</v>
      </c>
      <c r="Z36" s="262">
        <f>IF(V36=0,0,V36*R36)</f>
        <v>1304.1049467496041</v>
      </c>
      <c r="AA36" s="262">
        <f>IF(W36=0,0,W36*S36)</f>
        <v>339.41445033182288</v>
      </c>
      <c r="AB36" s="294" t="s">
        <v>2</v>
      </c>
      <c r="AC36" s="262">
        <f>SUM(Y36:AA36)</f>
        <v>2863.0567827625118</v>
      </c>
      <c r="AD36" s="264">
        <f>AC36*AE36/1000/1000</f>
        <v>5.8993326961825199</v>
      </c>
      <c r="AE36" s="265">
        <f>IF($C36="","",VLOOKUP($C36+$F$11*1000,DSS_Calc!$A:$JV,AE$30,FALSE))</f>
        <v>2060.5014653220951</v>
      </c>
      <c r="AF36" s="264">
        <f>IF($C36="","",VLOOKUP($C36+$F$11*1000,DSS_Calc!$A:$JV,AF$30,FALSE))</f>
        <v>6.2751402116730803</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CC, -360 Lease</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2.4130390603215344</v>
      </c>
      <c r="B37" s="402"/>
      <c r="C37" s="564">
        <f>AI37/(AC37/(VLOOKUP($C36+$F$11*1000,DSS_Calc!$A:$JV,DSS_Calc!BX$92,FALSE)-$AC$33))</f>
        <v>3.8334576134398946</v>
      </c>
      <c r="D37" s="266" t="s">
        <v>141</v>
      </c>
      <c r="F37" s="267">
        <f>ROUND(F36-F$33,0)</f>
        <v>500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500.00000000000023</v>
      </c>
      <c r="R37" s="267">
        <f t="shared" si="5"/>
        <v>0.2865565532842993</v>
      </c>
      <c r="S37" s="267">
        <f t="shared" si="5"/>
        <v>-360</v>
      </c>
      <c r="T37" s="294"/>
      <c r="U37" s="268">
        <f>U36-U$33</f>
        <v>3.5224060653391565E-2</v>
      </c>
      <c r="V37" s="268">
        <f>V36-V$33</f>
        <v>-1.7525842284262405E-2</v>
      </c>
      <c r="W37" s="268">
        <f>W36-W$33</f>
        <v>-1.7698218369129173E-2</v>
      </c>
      <c r="X37" s="294"/>
      <c r="Y37" s="267">
        <f>Y36-Y$33</f>
        <v>314.35559844300019</v>
      </c>
      <c r="Z37" s="267">
        <f>Z36-Z$33</f>
        <v>-50.760227390928549</v>
      </c>
      <c r="AA37" s="267">
        <f>AA36-AA$33</f>
        <v>-124.28214988755542</v>
      </c>
      <c r="AB37" s="294"/>
      <c r="AC37" s="267">
        <f>IFERROR(AC36-AC$33,NA())</f>
        <v>139.31322116451611</v>
      </c>
      <c r="AD37" s="269">
        <f>AD36-AD$33</f>
        <v>0.4582742686739083</v>
      </c>
      <c r="AE37" s="270">
        <f t="shared" si="3"/>
        <v>62.861707959477826</v>
      </c>
      <c r="AF37" s="269">
        <f t="shared" si="3"/>
        <v>-8.6855867195333225E-2</v>
      </c>
      <c r="AG37" s="301">
        <f>AF37/AF$33</f>
        <v>-1.3652298133887247E-2</v>
      </c>
      <c r="AH37" s="268"/>
      <c r="AI37" s="301">
        <f>IFERROR(AE37/$AE$33,NA())</f>
        <v>3.1467990025624518E-2</v>
      </c>
      <c r="AJ37" s="289"/>
      <c r="AK37" s="749"/>
      <c r="AL37" s="750">
        <f>$AE36*U36-$AE$33*U$33</f>
        <v>101.02986517070701</v>
      </c>
      <c r="AM37" s="750">
        <f>$AE36*V36-$AE$33*V$33</f>
        <v>-6.7802742590336038</v>
      </c>
      <c r="AN37" s="750">
        <f>$AE36*W36-$AE$33*W$33</f>
        <v>-31.387882952195554</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35</v>
      </c>
      <c r="D38" s="396" t="str">
        <f>"Scenario " &amp; A38</f>
        <v>Scenario C</v>
      </c>
      <c r="E38" s="272" t="s">
        <v>2</v>
      </c>
      <c r="F38" s="397">
        <f>IF($C38="","",VLOOKUP($C38+$F$11*1000,DSS_Calc!$A:$JV,F$30,FALSE))</f>
        <v>1500</v>
      </c>
      <c r="G38" s="397" t="str">
        <f>IF($C38="","",VLOOKUP($C38+$F$11*1000,DSS_Calc!$A:$JV,G$30,FALSE))</f>
        <v>0/0/0.9/3.9</v>
      </c>
      <c r="H38" s="397">
        <f>IF($C38="","",VLOOKUP($C38+$F$11*1000,DSS_Calc!$A:$JV,H$30,FALSE))</f>
        <v>0</v>
      </c>
      <c r="I38" s="397">
        <f>IF($C38="","",VLOOKUP($C38+$F$11*1000,DSS_Calc!$A:$JV,I$30,FALSE))</f>
        <v>0</v>
      </c>
      <c r="J38" s="397">
        <f>IF($C38="","",VLOOKUP($C38+$F$11*1000,DSS_Calc!$A:$JV,J$30,FALSE))</f>
        <v>4592</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2250</v>
      </c>
      <c r="R38" s="397">
        <f>IF($C38="","",VLOOKUP($C38+$F$11*1000,DSS_Calc!$A:$JV,R$30,FALSE)*IF(V38=0,0,1))</f>
        <v>3286.3280349099755</v>
      </c>
      <c r="S38" s="397">
        <f>IF($C38="","",VLOOKUP($C38+$F$11*1000,DSS_Calc!$A:$JV,S$30,FALSE)*IF(W38=0,0,1))</f>
        <v>5738.7109265464023</v>
      </c>
      <c r="T38" s="294" t="s">
        <v>2</v>
      </c>
      <c r="U38" s="398">
        <f>IF($C38="","",VLOOKUP($C38+$F$11*1000,DSS_Calc!$A:$JV,U$30,FALSE))</f>
        <v>0.44407366972107765</v>
      </c>
      <c r="V38" s="398">
        <f>IF($C38="","",VLOOKUP($C38+$F$11*1000,DSS_Calc!$A:$JV,V$30,FALSE))</f>
        <v>0.48249257092861692</v>
      </c>
      <c r="W38" s="398">
        <f>IF($C38="","",VLOOKUP($C38+$F$11*1000,DSS_Calc!$A:$JV,W$30,FALSE))</f>
        <v>7.343375935030548E-2</v>
      </c>
      <c r="X38" s="294" t="s">
        <v>2</v>
      </c>
      <c r="Y38" s="397">
        <f>IF(U38=0,0,U38*Q38)</f>
        <v>999.16575687242471</v>
      </c>
      <c r="Z38" s="397">
        <f>IF(V38=0,0,V38*R38)</f>
        <v>1585.6288624785036</v>
      </c>
      <c r="AA38" s="397">
        <f>IF(W38=0,0,W38*S38)</f>
        <v>421.4151171609771</v>
      </c>
      <c r="AB38" s="294" t="s">
        <v>2</v>
      </c>
      <c r="AC38" s="397">
        <f>SUM(Y38:AA38)</f>
        <v>3006.2097365119052</v>
      </c>
      <c r="AD38" s="399">
        <f>AC38*AE38/1000/1000</f>
        <v>6.3394575649913074</v>
      </c>
      <c r="AE38" s="400">
        <f>IF($C38="","",VLOOKUP($C38+$F$11*1000,DSS_Calc!$A:$JV,AE$30,FALSE))</f>
        <v>2108.7875167176321</v>
      </c>
      <c r="AF38" s="399">
        <f>IF($C38="","",VLOOKUP($C38+$F$11*1000,DSS_Calc!$A:$JV,AF$30,FALSE))</f>
        <v>6.1203134775348209</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+250 CC, 0/0/0.9/3.9</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f>AI39/((Q39*U38+R39*V38+S39*W38)/(VLOOKUP($C38+$F$11*1000,DSS_Calc!$A:$JV,DSS_Calc!BX$92,FALSE)-$AC$33))</f>
        <v>3.1938051274255024</v>
      </c>
      <c r="B39" s="402"/>
      <c r="C39" s="564">
        <f>AI39/(AC39/(VLOOKUP($C38+$F$11*1000,DSS_Calc!$A:$JV,DSS_Calc!BX$92,FALSE)-$AC$33))</f>
        <v>3.3429592770712993</v>
      </c>
      <c r="D39" s="403" t="s">
        <v>141</v>
      </c>
      <c r="F39" s="404">
        <f>ROUND(F38-F$33,0)</f>
        <v>250</v>
      </c>
      <c r="G39" s="404"/>
      <c r="H39" s="404"/>
      <c r="I39" s="404">
        <f t="shared" ref="I39:O39" si="6">ROUND(I38-I$33,0)</f>
        <v>0</v>
      </c>
      <c r="J39" s="404">
        <f t="shared" si="6"/>
        <v>0</v>
      </c>
      <c r="K39" s="404">
        <f t="shared" si="6"/>
        <v>0</v>
      </c>
      <c r="L39" s="404">
        <f t="shared" si="6"/>
        <v>0</v>
      </c>
      <c r="M39" s="404">
        <f t="shared" si="6"/>
        <v>0</v>
      </c>
      <c r="N39" s="404">
        <f t="shared" si="6"/>
        <v>0</v>
      </c>
      <c r="O39" s="404">
        <f t="shared" si="6"/>
        <v>0</v>
      </c>
      <c r="P39" s="294"/>
      <c r="Q39" s="404">
        <f t="shared" ref="Q39:S39" si="7">Q38-Q$33</f>
        <v>250.00000000000023</v>
      </c>
      <c r="R39" s="404">
        <f t="shared" si="7"/>
        <v>382.67787758584882</v>
      </c>
      <c r="S39" s="404">
        <f t="shared" si="7"/>
        <v>0</v>
      </c>
      <c r="T39" s="294"/>
      <c r="U39" s="405">
        <f>U38-U$33</f>
        <v>-8.5172238979647763E-3</v>
      </c>
      <c r="V39" s="405">
        <f>V38-V$33</f>
        <v>1.588499056187076E-2</v>
      </c>
      <c r="W39" s="405">
        <f>W38-W$33</f>
        <v>-7.3677666639059142E-3</v>
      </c>
      <c r="X39" s="294"/>
      <c r="Y39" s="404">
        <f>Y38-Y$33</f>
        <v>93.983969634339928</v>
      </c>
      <c r="Z39" s="404">
        <f>Z38-Z$33</f>
        <v>230.76368833797096</v>
      </c>
      <c r="AA39" s="404">
        <f>AA38-AA$33</f>
        <v>-42.281483058401193</v>
      </c>
      <c r="AB39" s="294"/>
      <c r="AC39" s="404">
        <f>IFERROR(AC38-AC$33,NA())</f>
        <v>282.46617491390953</v>
      </c>
      <c r="AD39" s="406">
        <f>AD38-AD$33</f>
        <v>0.89839913748269584</v>
      </c>
      <c r="AE39" s="407">
        <f t="shared" si="3"/>
        <v>111.14775935501484</v>
      </c>
      <c r="AF39" s="406">
        <f t="shared" si="3"/>
        <v>-0.24168260133359265</v>
      </c>
      <c r="AG39" s="408">
        <f>AF39/AF$33</f>
        <v>-3.7988486370865528E-2</v>
      </c>
      <c r="AH39" s="405"/>
      <c r="AI39" s="408">
        <f>IFERROR(AE39/$AE$33,NA())</f>
        <v>5.5639541086105339E-2</v>
      </c>
      <c r="AJ39" s="289"/>
      <c r="AK39" s="749"/>
      <c r="AL39" s="750">
        <f>$AE38*U38-$AE$33*U$33</f>
        <v>32.343448297123246</v>
      </c>
      <c r="AM39" s="750">
        <f>$AE38*V38-$AE$33*V$33</f>
        <v>85.360456855879306</v>
      </c>
      <c r="AN39" s="750">
        <f>$AE38*W38-$AE$33*W$33</f>
        <v>-6.5561457979875399</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47</v>
      </c>
      <c r="D40" s="261" t="str">
        <f>"Scenario " &amp; A40</f>
        <v>Scenario D</v>
      </c>
      <c r="E40" s="272" t="s">
        <v>2</v>
      </c>
      <c r="F40" s="262">
        <f>IF($C40="","",VLOOKUP($C40+$F$11*1000,DSS_Calc!$A:$JV,F$30,FALSE))</f>
        <v>1500</v>
      </c>
      <c r="G40" s="262" t="str">
        <f>IF($C40="","",VLOOKUP($C40+$F$11*1000,DSS_Calc!$A:$JV,G$30,FALSE))</f>
        <v>0/0.9/1.9/3.9</v>
      </c>
      <c r="H40" s="262">
        <f>IF($C40="","",VLOOKUP($C40+$F$11*1000,DSS_Calc!$A:$JV,H$30,FALSE))</f>
        <v>0</v>
      </c>
      <c r="I40" s="262">
        <f>IF($C40="","",VLOOKUP($C40+$F$11*1000,DSS_Calc!$A:$JV,I$30,FALSE))</f>
        <v>0</v>
      </c>
      <c r="J40" s="262">
        <f>IF($C40="","",VLOOKUP($C40+$F$11*1000,DSS_Calc!$A:$JV,J$30,FALSE))</f>
        <v>4232</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2250</v>
      </c>
      <c r="R40" s="262">
        <f>IF($C40="","",VLOOKUP($C40+$F$11*1000,DSS_Calc!$A:$JV,R$30,FALSE)*IF(V40=0,0,1))</f>
        <v>2903.8296960884454</v>
      </c>
      <c r="S40" s="262">
        <f>IF($C40="","",VLOOKUP($C40+$F$11*1000,DSS_Calc!$A:$JV,S$30,FALSE)*IF(W40=0,0,1))</f>
        <v>5378.7109265464023</v>
      </c>
      <c r="T40" s="294" t="s">
        <v>2</v>
      </c>
      <c r="U40" s="263">
        <f>IF($C40="","",VLOOKUP($C40+$F$11*1000,DSS_Calc!$A:$JV,U$30,FALSE))</f>
        <v>0.47377928900675081</v>
      </c>
      <c r="V40" s="263">
        <f>IF($C40="","",VLOOKUP($C40+$F$11*1000,DSS_Calc!$A:$JV,V$30,FALSE))</f>
        <v>0.45956467102171061</v>
      </c>
      <c r="W40" s="263">
        <f>IF($C40="","",VLOOKUP($C40+$F$11*1000,DSS_Calc!$A:$JV,W$30,FALSE))</f>
        <v>6.6656039971538669E-2</v>
      </c>
      <c r="X40" s="294" t="s">
        <v>2</v>
      </c>
      <c r="Y40" s="262">
        <f>IF(U40=0,0,U40*Q40)</f>
        <v>1066.0034002651894</v>
      </c>
      <c r="Z40" s="262">
        <f>IF(V40=0,0,V40*R40)</f>
        <v>1334.4975389859603</v>
      </c>
      <c r="AA40" s="262">
        <f>IF(W40=0,0,W40*S40)</f>
        <v>358.52357051522881</v>
      </c>
      <c r="AB40" s="294" t="s">
        <v>2</v>
      </c>
      <c r="AC40" s="262">
        <f>SUM(Y40:AA40)</f>
        <v>2759.0245097663783</v>
      </c>
      <c r="AD40" s="264">
        <f>AC40*AE40/1000/1000</f>
        <v>5.5764154201630811</v>
      </c>
      <c r="AE40" s="265">
        <f>IF($C40="","",VLOOKUP($C40+$F$11*1000,DSS_Calc!$A:$JV,AE$30,FALSE))</f>
        <v>2021.154723498729</v>
      </c>
      <c r="AF40" s="264">
        <f>IF($C40="","",VLOOKUP($C40+$F$11*1000,DSS_Calc!$A:$JV,AF$30,FALSE))</f>
        <v>6.3655772636291603</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-360 Lease</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f>AI41/((Q41*U40+R41*V40+S41*W40)/(VLOOKUP($C40+$F$11*1000,DSS_Calc!$A:$JV,DSS_Calc!BX$92,FALSE)-$AC$33))</f>
        <v>2.1133245819275852</v>
      </c>
      <c r="B41" s="402"/>
      <c r="C41" s="564">
        <f>AI41/(AC41/(VLOOKUP($C40+$F$11*1000,DSS_Calc!$A:$JV,DSS_Calc!BX$92,FALSE)-$AC$33))</f>
        <v>5.662405047152709</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250.00000000000023</v>
      </c>
      <c r="R41" s="267">
        <f t="shared" si="9"/>
        <v>0.1795387643187496</v>
      </c>
      <c r="S41" s="267">
        <f t="shared" si="9"/>
        <v>-360</v>
      </c>
      <c r="T41" s="294"/>
      <c r="U41" s="268">
        <f>U40-U$33</f>
        <v>2.1188395387708392E-2</v>
      </c>
      <c r="V41" s="268">
        <f>V40-V$33</f>
        <v>-7.0429093450355418E-3</v>
      </c>
      <c r="W41" s="268">
        <f>W40-W$33</f>
        <v>-1.4145486042672725E-2</v>
      </c>
      <c r="X41" s="294"/>
      <c r="Y41" s="267">
        <f>Y40-Y$33</f>
        <v>160.8216130271046</v>
      </c>
      <c r="Z41" s="267">
        <f>Z40-Z$33</f>
        <v>-20.367635154572326</v>
      </c>
      <c r="AA41" s="267">
        <f>AA40-AA$33</f>
        <v>-105.17302970414949</v>
      </c>
      <c r="AB41" s="294"/>
      <c r="AC41" s="267">
        <f>IFERROR(AC40-AC$33,NA())</f>
        <v>35.280948168382565</v>
      </c>
      <c r="AD41" s="269">
        <f>AD40-AD$33</f>
        <v>0.13535699265446954</v>
      </c>
      <c r="AE41" s="270">
        <f t="shared" si="3"/>
        <v>23.514966136111752</v>
      </c>
      <c r="AF41" s="269">
        <f t="shared" si="3"/>
        <v>3.5811847607467584E-3</v>
      </c>
      <c r="AG41" s="301">
        <f>AF41/AF$33</f>
        <v>5.6290269851655287E-4</v>
      </c>
      <c r="AH41" s="268"/>
      <c r="AI41" s="301">
        <f>IFERROR(AE41/$AE$33,NA())</f>
        <v>1.1771374718311261E-2</v>
      </c>
      <c r="AJ41" s="289"/>
      <c r="AK41" s="749"/>
      <c r="AL41" s="750">
        <f>$AE40*U40-$AE$33*U$33</f>
        <v>53.467684958189807</v>
      </c>
      <c r="AM41" s="750">
        <f>$AE40*V40-$AE$33*V$33</f>
        <v>-3.26254803871484</v>
      </c>
      <c r="AN41" s="750">
        <f>$AE40*W40-$AE$33*W$33</f>
        <v>-26.690170783362987</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87</v>
      </c>
      <c r="D42" s="396" t="str">
        <f>"Scenario " &amp; A42</f>
        <v>Scenario E</v>
      </c>
      <c r="E42" s="272" t="s">
        <v>2</v>
      </c>
      <c r="F42" s="397">
        <f>IF($C42="","",VLOOKUP($C42+$F$11*1000,DSS_Calc!$A:$JV,F$30,FALSE))</f>
        <v>1500</v>
      </c>
      <c r="G42" s="397" t="str">
        <f>IF($C42="","",VLOOKUP($C42+$F$11*1000,DSS_Calc!$A:$JV,G$30,FALSE))</f>
        <v>0/0.9/1.9/3.9</v>
      </c>
      <c r="H42" s="397">
        <f>IF($C42="","",VLOOKUP($C42+$F$11*1000,DSS_Calc!$A:$JV,H$30,FALSE))</f>
        <v>0</v>
      </c>
      <c r="I42" s="397">
        <f>IF($C42="","",VLOOKUP($C42+$F$11*1000,DSS_Calc!$A:$JV,I$30,FALSE))</f>
        <v>0</v>
      </c>
      <c r="J42" s="397">
        <f>IF($C42="","",VLOOKUP($C42+$F$11*1000,DSS_Calc!$A:$JV,J$30,FALSE))</f>
        <v>4412</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2249.9999999999995</v>
      </c>
      <c r="R42" s="397">
        <f>IF($C42="","",VLOOKUP($C42+$F$11*1000,DSS_Calc!$A:$JV,R$30,FALSE)*IF(V42=0,0,1))</f>
        <v>2903.795918680436</v>
      </c>
      <c r="S42" s="397">
        <f>IF($C42="","",VLOOKUP($C42+$F$11*1000,DSS_Calc!$A:$JV,S$30,FALSE)*IF(W42=0,0,1))</f>
        <v>5558.7109265464023</v>
      </c>
      <c r="T42" s="294" t="s">
        <v>2</v>
      </c>
      <c r="U42" s="398">
        <f>IF($C42="","",VLOOKUP($C42+$F$11*1000,DSS_Calc!$A:$JV,U$30,FALSE))</f>
        <v>0.47043678791578858</v>
      </c>
      <c r="V42" s="398">
        <f>IF($C42="","",VLOOKUP($C42+$F$11*1000,DSS_Calc!$A:$JV,V$30,FALSE))</f>
        <v>0.45792759215323031</v>
      </c>
      <c r="W42" s="398">
        <f>IF($C42="","",VLOOKUP($C42+$F$11*1000,DSS_Calc!$A:$JV,W$30,FALSE))</f>
        <v>7.1635619930981151E-2</v>
      </c>
      <c r="X42" s="294" t="s">
        <v>2</v>
      </c>
      <c r="Y42" s="397">
        <f>IF(U42=0,0,U42*Q42)</f>
        <v>1058.482772810524</v>
      </c>
      <c r="Z42" s="397">
        <f>IF(V42=0,0,V42*R42)</f>
        <v>1329.7282731457094</v>
      </c>
      <c r="AA42" s="397">
        <f>IF(W42=0,0,W42*S42)</f>
        <v>398.20170324027015</v>
      </c>
      <c r="AB42" s="294" t="s">
        <v>2</v>
      </c>
      <c r="AC42" s="397">
        <f>SUM(Y42:AA42)</f>
        <v>2786.4127491965037</v>
      </c>
      <c r="AD42" s="399">
        <f>AC42*AE42/1000/1000</f>
        <v>5.6510200044717607</v>
      </c>
      <c r="AE42" s="400">
        <f>IF($C42="","",VLOOKUP($C42+$F$11*1000,DSS_Calc!$A:$JV,AE$30,FALSE))</f>
        <v>2028.0627864989856</v>
      </c>
      <c r="AF42" s="399">
        <f>IF($C42="","",VLOOKUP($C42+$F$11*1000,DSS_Calc!$A:$JV,AF$30,FALSE))</f>
        <v>6.331788969557496</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-180 Lease</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2.4666897319644168</v>
      </c>
      <c r="B43" s="402"/>
      <c r="C43" s="564">
        <f>AI43/(AC43/(VLOOKUP($C42+$F$11*1000,DSS_Calc!$A:$JV,DSS_Calc!BX$92,FALSE)-$AC$33))</f>
        <v>4.1242521689326779</v>
      </c>
      <c r="D43" s="403" t="s">
        <v>141</v>
      </c>
      <c r="F43" s="404">
        <f>ROUND(F42-F$33,0)</f>
        <v>250</v>
      </c>
      <c r="G43" s="404"/>
      <c r="H43" s="404"/>
      <c r="I43" s="404">
        <f t="shared" ref="I43:O43" si="10">ROUND(I42-I$33,0)</f>
        <v>0</v>
      </c>
      <c r="J43" s="404">
        <f t="shared" si="10"/>
        <v>-180</v>
      </c>
      <c r="K43" s="404">
        <f t="shared" si="10"/>
        <v>0</v>
      </c>
      <c r="L43" s="404">
        <f t="shared" si="10"/>
        <v>0</v>
      </c>
      <c r="M43" s="404">
        <f t="shared" si="10"/>
        <v>0</v>
      </c>
      <c r="N43" s="404">
        <f t="shared" si="10"/>
        <v>0</v>
      </c>
      <c r="O43" s="404">
        <f t="shared" si="10"/>
        <v>0</v>
      </c>
      <c r="P43" s="294"/>
      <c r="Q43" s="404">
        <f t="shared" ref="Q43:S43" si="11">Q42-Q$33</f>
        <v>249.99999999999977</v>
      </c>
      <c r="R43" s="404">
        <f t="shared" si="11"/>
        <v>0.14576135630932185</v>
      </c>
      <c r="S43" s="404">
        <f t="shared" si="11"/>
        <v>-180</v>
      </c>
      <c r="T43" s="294"/>
      <c r="U43" s="405">
        <f>U42-U$33</f>
        <v>1.7845894296746156E-2</v>
      </c>
      <c r="V43" s="405">
        <f>V42-V$33</f>
        <v>-8.6799882135158435E-3</v>
      </c>
      <c r="W43" s="405">
        <f>W42-W$33</f>
        <v>-9.1659060832302436E-3</v>
      </c>
      <c r="X43" s="294"/>
      <c r="Y43" s="404">
        <f>Y42-Y$33</f>
        <v>153.30098557243923</v>
      </c>
      <c r="Z43" s="404">
        <f>Z42-Z$33</f>
        <v>-25.136900994823236</v>
      </c>
      <c r="AA43" s="404">
        <f>AA42-AA$33</f>
        <v>-65.494896979108148</v>
      </c>
      <c r="AB43" s="294"/>
      <c r="AC43" s="404">
        <f>IFERROR(AC42-AC$33,NA())</f>
        <v>62.669187598507961</v>
      </c>
      <c r="AD43" s="406">
        <f>AD42-AD$33</f>
        <v>0.2099615769631491</v>
      </c>
      <c r="AE43" s="407">
        <f t="shared" si="3"/>
        <v>30.423029136368314</v>
      </c>
      <c r="AF43" s="406">
        <f t="shared" si="3"/>
        <v>-3.0207109310917524E-2</v>
      </c>
      <c r="AG43" s="408">
        <f>AF43/AF$33</f>
        <v>-4.7480553173007232E-3</v>
      </c>
      <c r="AH43" s="405"/>
      <c r="AI43" s="408">
        <f>IFERROR(AE43/$AE$33,NA())</f>
        <v>1.5229487210714258E-2</v>
      </c>
      <c r="AJ43" s="289"/>
      <c r="AK43" s="751"/>
      <c r="AL43" s="750">
        <f>$AE42*U42-$AE$33*U$33</f>
        <v>49.961780058452405</v>
      </c>
      <c r="AM43" s="750">
        <f>$AE42*V42-$AE$33*V$33</f>
        <v>-3.407945070333426</v>
      </c>
      <c r="AN43" s="750">
        <f>$AE42*W42-$AE$33*W$33</f>
        <v>-16.130805851750551</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31</v>
      </c>
      <c r="D44" s="261" t="str">
        <f>"Scenario " &amp; A44</f>
        <v>Scenario F</v>
      </c>
      <c r="E44" s="272" t="s">
        <v>2</v>
      </c>
      <c r="F44" s="262">
        <f>IF($C44="","",VLOOKUP($C44+$F$11*1000,DSS_Calc!$A:$JV,F$30,FALSE))</f>
        <v>1500</v>
      </c>
      <c r="G44" s="262" t="str">
        <f>IF($C44="","",VLOOKUP($C44+$F$11*1000,DSS_Calc!$A:$JV,G$30,FALSE))</f>
        <v>0/0.9/1.9/3.9</v>
      </c>
      <c r="H44" s="262">
        <f>IF($C44="","",VLOOKUP($C44+$F$11*1000,DSS_Calc!$A:$JV,H$30,FALSE))</f>
        <v>0</v>
      </c>
      <c r="I44" s="262">
        <f>IF($C44="","",VLOOKUP($C44+$F$11*1000,DSS_Calc!$A:$JV,I$30,FALSE))</f>
        <v>250</v>
      </c>
      <c r="J44" s="262">
        <f>IF($C44="","",VLOOKUP($C44+$F$11*1000,DSS_Calc!$A:$JV,J$30,FALSE))</f>
        <v>4592</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2250</v>
      </c>
      <c r="R44" s="262">
        <f>IF($C44="","",VLOOKUP($C44+$F$11*1000,DSS_Calc!$A:$JV,R$30,FALSE)*IF(V44=0,0,1))</f>
        <v>3153.7538313577065</v>
      </c>
      <c r="S44" s="262">
        <f>IF($C44="","",VLOOKUP($C44+$F$11*1000,DSS_Calc!$A:$JV,S$30,FALSE)*IF(W44=0,0,1))</f>
        <v>5738.7109265464023</v>
      </c>
      <c r="T44" s="294" t="s">
        <v>2</v>
      </c>
      <c r="U44" s="263">
        <f>IF($C44="","",VLOOKUP($C44+$F$11*1000,DSS_Calc!$A:$JV,U$30,FALSE))</f>
        <v>0.45607770578175544</v>
      </c>
      <c r="V44" s="263">
        <f>IF($C44="","",VLOOKUP($C44+$F$11*1000,DSS_Calc!$A:$JV,V$30,FALSE))</f>
        <v>0.46885627423706472</v>
      </c>
      <c r="W44" s="263">
        <f>IF($C44="","",VLOOKUP($C44+$F$11*1000,DSS_Calc!$A:$JV,W$30,FALSE))</f>
        <v>7.5066019981179843E-2</v>
      </c>
      <c r="X44" s="294" t="s">
        <v>2</v>
      </c>
      <c r="Y44" s="262">
        <f>IF(U44=0,0,U44*Q44)</f>
        <v>1026.1748380089498</v>
      </c>
      <c r="Z44" s="262">
        <f>IF(V44=0,0,V44*R44)</f>
        <v>1478.6572712312425</v>
      </c>
      <c r="AA44" s="262">
        <f>IF(W44=0,0,W44*S44)</f>
        <v>430.78218907834736</v>
      </c>
      <c r="AB44" s="294" t="s">
        <v>2</v>
      </c>
      <c r="AC44" s="262">
        <f>SUM(Y44:AA44)</f>
        <v>2935.6142983185396</v>
      </c>
      <c r="AD44" s="264">
        <f>AC44*AE44/1000/1000</f>
        <v>6.1004128455900419</v>
      </c>
      <c r="AE44" s="265">
        <f>IF($C44="","",VLOOKUP($C44+$F$11*1000,DSS_Calc!$A:$JV,AE$30,FALSE))</f>
        <v>2078.0702863738725</v>
      </c>
      <c r="AF44" s="264">
        <f>IF($C44="","",VLOOKUP($C44+$F$11*1000,DSS_Calc!$A:$JV,AF$30,FALSE))</f>
        <v>6.177865441449983</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+250 APR Cash</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f>AI45/((Q45*U44+R45*V44+S45*W44)/(VLOOKUP($C44+$F$11*1000,DSS_Calc!$A:$JV,DSS_Calc!BX$92,FALSE)-$AC$33))</f>
        <v>2.9544437108543589</v>
      </c>
      <c r="B45" s="402"/>
      <c r="C45" s="564">
        <f>AI45/(AC45/(VLOOKUP($C44+$F$11*1000,DSS_Calc!$A:$JV,DSS_Calc!BX$92,FALSE)-$AC$33))</f>
        <v>3.2251266309135809</v>
      </c>
      <c r="D45" s="266" t="s">
        <v>141</v>
      </c>
      <c r="F45" s="267">
        <f>ROUND(F44-F$33,0)</f>
        <v>250</v>
      </c>
      <c r="G45" s="267"/>
      <c r="H45" s="267"/>
      <c r="I45" s="267">
        <f t="shared" ref="I45:O45" si="12">ROUND(I44-I$33,0)</f>
        <v>250</v>
      </c>
      <c r="J45" s="267">
        <f t="shared" si="12"/>
        <v>0</v>
      </c>
      <c r="K45" s="267">
        <f t="shared" si="12"/>
        <v>0</v>
      </c>
      <c r="L45" s="267">
        <f t="shared" si="12"/>
        <v>0</v>
      </c>
      <c r="M45" s="267">
        <f t="shared" si="12"/>
        <v>0</v>
      </c>
      <c r="N45" s="267">
        <f t="shared" si="12"/>
        <v>0</v>
      </c>
      <c r="O45" s="267">
        <f t="shared" si="12"/>
        <v>0</v>
      </c>
      <c r="P45" s="294"/>
      <c r="Q45" s="267">
        <f t="shared" ref="Q45:S45" si="13">Q44-Q$33</f>
        <v>250.00000000000023</v>
      </c>
      <c r="R45" s="267">
        <f t="shared" si="13"/>
        <v>250.10367403357986</v>
      </c>
      <c r="S45" s="267">
        <f t="shared" si="13"/>
        <v>0</v>
      </c>
      <c r="T45" s="294"/>
      <c r="U45" s="268">
        <f>U44-U$33</f>
        <v>3.4868121627130155E-3</v>
      </c>
      <c r="V45" s="268">
        <f>V44-V$33</f>
        <v>2.2486938703185633E-3</v>
      </c>
      <c r="W45" s="268">
        <f>W44-W$33</f>
        <v>-5.735506033031551E-3</v>
      </c>
      <c r="X45" s="294"/>
      <c r="Y45" s="267">
        <f>Y44-Y$33</f>
        <v>120.99305077086501</v>
      </c>
      <c r="Z45" s="267">
        <f>Z44-Z$33</f>
        <v>123.79209709070983</v>
      </c>
      <c r="AA45" s="267">
        <f>AA44-AA$33</f>
        <v>-32.914411141030939</v>
      </c>
      <c r="AB45" s="294"/>
      <c r="AC45" s="267">
        <f>IFERROR(AC44-AC$33,NA())</f>
        <v>211.87073672054385</v>
      </c>
      <c r="AD45" s="269">
        <f>AD44-AD$33</f>
        <v>0.65935441808143036</v>
      </c>
      <c r="AE45" s="270">
        <f t="shared" si="3"/>
        <v>80.430529011255203</v>
      </c>
      <c r="AF45" s="269">
        <f t="shared" si="3"/>
        <v>-0.18413063741843061</v>
      </c>
      <c r="AG45" s="268">
        <f>AF45/AF$33</f>
        <v>-2.8942274584234151E-2</v>
      </c>
      <c r="AH45" s="268"/>
      <c r="AI45" s="301">
        <f>IFERROR(AE45/$AE$33,NA())</f>
        <v>4.0262779470029951E-2</v>
      </c>
      <c r="AJ45" s="289"/>
      <c r="AK45" s="751"/>
      <c r="AL45" s="750">
        <f>$AE44*U44-$AE$33*U$33</f>
        <v>43.647965748957176</v>
      </c>
      <c r="AM45" s="750">
        <f>$AE44*V44-$AE$33*V$33</f>
        <v>42.202438444619247</v>
      </c>
      <c r="AN45" s="750">
        <f>$AE44*W44-$AE$33*W$33</f>
        <v>-5.4198751823212206</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69</v>
      </c>
      <c r="D46" s="396" t="str">
        <f>"Scenario " &amp; A46</f>
        <v>Scenario G</v>
      </c>
      <c r="E46" s="272" t="s">
        <v>2</v>
      </c>
      <c r="F46" s="397">
        <f>IF($C46="","",VLOOKUP($C46+$F$11*1000,DSS_Calc!$A:$JV,F$30,FALSE))</f>
        <v>1750</v>
      </c>
      <c r="G46" s="397" t="str">
        <f>IF($C46="","",VLOOKUP($C46+$F$11*1000,DSS_Calc!$A:$JV,G$30,FALSE))</f>
        <v>0/0.9/1.9/3.9</v>
      </c>
      <c r="H46" s="397">
        <f>IF($C46="","",VLOOKUP($C46+$F$11*1000,DSS_Calc!$A:$JV,H$30,FALSE))</f>
        <v>0</v>
      </c>
      <c r="I46" s="397">
        <f>IF($C46="","",VLOOKUP($C46+$F$11*1000,DSS_Calc!$A:$JV,I$30,FALSE))</f>
        <v>0</v>
      </c>
      <c r="J46" s="397">
        <f>IF($C46="","",VLOOKUP($C46+$F$11*1000,DSS_Calc!$A:$JV,J$30,FALSE))</f>
        <v>4772</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2500</v>
      </c>
      <c r="R46" s="397">
        <f>IF($C46="","",VLOOKUP($C46+$F$11*1000,DSS_Calc!$A:$JV,R$30,FALSE)*IF(V46=0,0,1))</f>
        <v>2903.8351409030602</v>
      </c>
      <c r="S46" s="397">
        <f>IF($C46="","",VLOOKUP($C46+$F$11*1000,DSS_Calc!$A:$JV,S$30,FALSE)*IF(W46=0,0,1))</f>
        <v>5918.7109265464023</v>
      </c>
      <c r="T46" s="294" t="s">
        <v>2</v>
      </c>
      <c r="U46" s="398">
        <f>IF($C46="","",VLOOKUP($C46+$F$11*1000,DSS_Calc!$A:$JV,U$30,FALSE))</f>
        <v>0.47774164490897753</v>
      </c>
      <c r="V46" s="398">
        <f>IF($C46="","",VLOOKUP($C46+$F$11*1000,DSS_Calc!$A:$JV,V$30,FALSE))</f>
        <v>0.44437780594066162</v>
      </c>
      <c r="W46" s="398">
        <f>IF($C46="","",VLOOKUP($C46+$F$11*1000,DSS_Calc!$A:$JV,W$30,FALSE))</f>
        <v>7.7880549150360842E-2</v>
      </c>
      <c r="X46" s="294" t="s">
        <v>2</v>
      </c>
      <c r="Y46" s="397">
        <f>IF(U46=0,0,U46*Q46)</f>
        <v>1194.3541122724439</v>
      </c>
      <c r="Z46" s="397">
        <f>IF(V46=0,0,V46*R46)</f>
        <v>1290.3998887278938</v>
      </c>
      <c r="AA46" s="397">
        <f>IF(W46=0,0,W46*S46)</f>
        <v>460.95245722167482</v>
      </c>
      <c r="AB46" s="294" t="s">
        <v>2</v>
      </c>
      <c r="AC46" s="397">
        <f>SUM(Y46:AA46)</f>
        <v>2945.7064582220123</v>
      </c>
      <c r="AD46" s="399">
        <f>AC46*AE46/1000/1000</f>
        <v>6.1311203479830541</v>
      </c>
      <c r="AE46" s="400">
        <f>IF($C46="","",VLOOKUP($C46+$F$11*1000,DSS_Calc!$A:$JV,AE$30,FALSE))</f>
        <v>2081.375192993165</v>
      </c>
      <c r="AF46" s="399">
        <f>IF($C46="","",VLOOKUP($C46+$F$11*1000,DSS_Calc!$A:$JV,AF$30,FALSE))</f>
        <v>6.1666849798170613</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+500 CC, +180 Lease</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f>AI47/((Q47*U46+R47*V46+S47*W46)/(VLOOKUP($C46+$F$11*1000,DSS_Calc!$A:$JV,DSS_Calc!BX$92,FALSE)-$AC$33))</f>
        <v>2.8121240204740543</v>
      </c>
      <c r="B47" s="402"/>
      <c r="C47" s="564">
        <f>AI47/(AC47/(VLOOKUP($C46+$F$11*1000,DSS_Calc!$A:$JV,DSS_Calc!BX$92,FALSE)-$AC$33))</f>
        <v>3.2049829483704451</v>
      </c>
      <c r="D47" s="403" t="s">
        <v>141</v>
      </c>
      <c r="F47" s="404">
        <f>ROUND(F46-F$33,0)</f>
        <v>500</v>
      </c>
      <c r="G47" s="404"/>
      <c r="H47" s="404"/>
      <c r="I47" s="404">
        <f t="shared" ref="I47:O47" si="14">ROUND(I46-I$33,0)</f>
        <v>0</v>
      </c>
      <c r="J47" s="404">
        <f t="shared" si="14"/>
        <v>180</v>
      </c>
      <c r="K47" s="404">
        <f t="shared" si="14"/>
        <v>0</v>
      </c>
      <c r="L47" s="404">
        <f t="shared" si="14"/>
        <v>0</v>
      </c>
      <c r="M47" s="404">
        <f t="shared" si="14"/>
        <v>0</v>
      </c>
      <c r="N47" s="404">
        <f t="shared" si="14"/>
        <v>0</v>
      </c>
      <c r="O47" s="404">
        <f t="shared" si="14"/>
        <v>0</v>
      </c>
      <c r="P47" s="294"/>
      <c r="Q47" s="404">
        <f t="shared" ref="Q47:S47" si="15">Q46-Q$33</f>
        <v>500.00000000000023</v>
      </c>
      <c r="R47" s="404">
        <f t="shared" si="15"/>
        <v>0.18498357893349748</v>
      </c>
      <c r="S47" s="404">
        <f t="shared" si="15"/>
        <v>180</v>
      </c>
      <c r="T47" s="294"/>
      <c r="U47" s="405">
        <f>U46-U$33</f>
        <v>2.5150751289935103E-2</v>
      </c>
      <c r="V47" s="405">
        <f>V46-V$33</f>
        <v>-2.2229774426084536E-2</v>
      </c>
      <c r="W47" s="405">
        <f>W46-W$33</f>
        <v>-2.9209768638505523E-3</v>
      </c>
      <c r="X47" s="294"/>
      <c r="Y47" s="404">
        <f>Y46-Y$33</f>
        <v>289.17232503435912</v>
      </c>
      <c r="Z47" s="404">
        <f>Z46-Z$33</f>
        <v>-64.465285412638877</v>
      </c>
      <c r="AA47" s="404">
        <f>AA46-AA$33</f>
        <v>-2.7441429977034772</v>
      </c>
      <c r="AB47" s="294"/>
      <c r="AC47" s="404">
        <f>IFERROR(AC46-AC$33,NA())</f>
        <v>221.96289662401659</v>
      </c>
      <c r="AD47" s="406">
        <f>AD46-AD$33</f>
        <v>0.69006192047444248</v>
      </c>
      <c r="AE47" s="407">
        <f t="shared" si="3"/>
        <v>83.735435630547727</v>
      </c>
      <c r="AF47" s="406">
        <f t="shared" si="3"/>
        <v>-0.19531109905135224</v>
      </c>
      <c r="AG47" s="405">
        <f>AF47/AF$33</f>
        <v>-3.0699657250667711E-2</v>
      </c>
      <c r="AH47" s="405"/>
      <c r="AI47" s="408">
        <f>IFERROR(AE47/$AE$33,NA())</f>
        <v>4.1917185179123281E-2</v>
      </c>
      <c r="AJ47" s="289"/>
      <c r="AK47" s="751"/>
      <c r="AL47" s="750">
        <f>$AE46*U46-$AE$33*U$33</f>
        <v>90.246045459621087</v>
      </c>
      <c r="AM47" s="750">
        <f>$AE46*V46-$AE$33*V$33</f>
        <v>-7.1969120257609802</v>
      </c>
      <c r="AN47" s="750">
        <f>$AE46*W46-$AE$33*W$33</f>
        <v>0.68630219668753512</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63</v>
      </c>
      <c r="D48" s="261" t="str">
        <f>"Scenario " &amp; A48</f>
        <v>Scenario H</v>
      </c>
      <c r="E48" s="272" t="s">
        <v>2</v>
      </c>
      <c r="F48" s="262">
        <f>IF($C48="","",VLOOKUP($C48+$F$11*1000,DSS_Calc!$A:$JV,F$30,FALSE))</f>
        <v>1000</v>
      </c>
      <c r="G48" s="262" t="str">
        <f>IF($C48="","",VLOOKUP($C48+$F$11*1000,DSS_Calc!$A:$JV,G$30,FALSE))</f>
        <v>0/0/0.9/3.9</v>
      </c>
      <c r="H48" s="262">
        <f>IF($C48="","",VLOOKUP($C48+$F$11*1000,DSS_Calc!$A:$JV,H$30,FALSE))</f>
        <v>0</v>
      </c>
      <c r="I48" s="262">
        <f>IF($C48="","",VLOOKUP($C48+$F$11*1000,DSS_Calc!$A:$JV,I$30,FALSE))</f>
        <v>0</v>
      </c>
      <c r="J48" s="262">
        <f>IF($C48="","",VLOOKUP($C48+$F$11*1000,DSS_Calc!$A:$JV,J$30,FALSE))</f>
        <v>4592</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1750</v>
      </c>
      <c r="R48" s="262">
        <f>IF($C48="","",VLOOKUP($C48+$F$11*1000,DSS_Calc!$A:$JV,R$30,FALSE)*IF(V48=0,0,1))</f>
        <v>3286.3465908615003</v>
      </c>
      <c r="S48" s="262">
        <f>IF($C48="","",VLOOKUP($C48+$F$11*1000,DSS_Calc!$A:$JV,S$30,FALSE)*IF(W48=0,0,1))</f>
        <v>5738.7109265464023</v>
      </c>
      <c r="T48" s="294" t="s">
        <v>2</v>
      </c>
      <c r="U48" s="263">
        <f>IF($C48="","",VLOOKUP($C48+$F$11*1000,DSS_Calc!$A:$JV,U$30,FALSE))</f>
        <v>0.41469169300294456</v>
      </c>
      <c r="V48" s="263">
        <f>IF($C48="","",VLOOKUP($C48+$F$11*1000,DSS_Calc!$A:$JV,V$30,FALSE))</f>
        <v>0.50418785746084527</v>
      </c>
      <c r="W48" s="263">
        <f>IF($C48="","",VLOOKUP($C48+$F$11*1000,DSS_Calc!$A:$JV,W$30,FALSE))</f>
        <v>8.1120449536210074E-2</v>
      </c>
      <c r="X48" s="294" t="s">
        <v>2</v>
      </c>
      <c r="Y48" s="262">
        <f>IF(U48=0,0,U48*Q48)</f>
        <v>725.710462755153</v>
      </c>
      <c r="Z48" s="262">
        <f>IF(V48=0,0,V48*R48)</f>
        <v>1656.9360465202128</v>
      </c>
      <c r="AA48" s="262">
        <f>IF(W48=0,0,W48*S48)</f>
        <v>465.52681011980479</v>
      </c>
      <c r="AB48" s="294" t="s">
        <v>2</v>
      </c>
      <c r="AC48" s="262">
        <f>SUM(Y48:AA48)</f>
        <v>2848.1733193951709</v>
      </c>
      <c r="AD48" s="264">
        <f>AC48*AE48/1000/1000</f>
        <v>5.7997868685327569</v>
      </c>
      <c r="AE48" s="265">
        <f>IF($C48="","",VLOOKUP($C48+$F$11*1000,DSS_Calc!$A:$JV,AE$30,FALSE))</f>
        <v>2036.318095193863</v>
      </c>
      <c r="AF48" s="264">
        <f>IF($C48="","",VLOOKUP($C48+$F$11*1000,DSS_Calc!$A:$JV,AF$30,FALSE))</f>
        <v>6.231798596920183</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-250 CC, 0/0/0.9/3.9</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f>AI49/((Q49*U48+R49*V48+S49*W48)/(VLOOKUP($C48+$F$11*1000,DSS_Calc!$A:$JV,DSS_Calc!BX$92,FALSE)-$AC$33))</f>
        <v>3.6806143129168425</v>
      </c>
      <c r="B49" s="402"/>
      <c r="C49" s="564">
        <f>AI49/(AC49/(VLOOKUP($C48+$F$11*1000,DSS_Calc!$A:$JV,DSS_Calc!BX$92,FALSE)-$AC$33))</f>
        <v>2.6408295413862675</v>
      </c>
      <c r="D49" s="266" t="s">
        <v>141</v>
      </c>
      <c r="F49" s="267">
        <f>ROUND(F48-F$33,0)</f>
        <v>-250</v>
      </c>
      <c r="G49" s="267"/>
      <c r="H49" s="267"/>
      <c r="I49" s="267">
        <f t="shared" ref="I49:O49" si="16">ROUND(I48-I$33,0)</f>
        <v>0</v>
      </c>
      <c r="J49" s="267">
        <f t="shared" si="16"/>
        <v>0</v>
      </c>
      <c r="K49" s="267">
        <f t="shared" si="16"/>
        <v>0</v>
      </c>
      <c r="L49" s="267">
        <f t="shared" si="16"/>
        <v>0</v>
      </c>
      <c r="M49" s="267">
        <f t="shared" si="16"/>
        <v>0</v>
      </c>
      <c r="N49" s="267">
        <f t="shared" si="16"/>
        <v>0</v>
      </c>
      <c r="O49" s="267">
        <f t="shared" si="16"/>
        <v>0</v>
      </c>
      <c r="P49" s="294"/>
      <c r="Q49" s="267">
        <f t="shared" ref="Q49:S49" si="17">Q48-Q$33</f>
        <v>-249.99999999999977</v>
      </c>
      <c r="R49" s="267">
        <f t="shared" si="17"/>
        <v>382.69643353737365</v>
      </c>
      <c r="S49" s="267">
        <f t="shared" si="17"/>
        <v>0</v>
      </c>
      <c r="T49" s="294"/>
      <c r="U49" s="268">
        <f>U48-U$33</f>
        <v>-3.7899200616097861E-2</v>
      </c>
      <c r="V49" s="268">
        <f>V48-V$33</f>
        <v>3.7580277094099113E-2</v>
      </c>
      <c r="W49" s="268">
        <f>W48-W$33</f>
        <v>3.1892352199867913E-4</v>
      </c>
      <c r="X49" s="294"/>
      <c r="Y49" s="267">
        <f>Y48-Y$33</f>
        <v>-179.47132448293178</v>
      </c>
      <c r="Z49" s="267">
        <f>Z48-Z$33</f>
        <v>302.07087237968017</v>
      </c>
      <c r="AA49" s="267">
        <f>AA48-AA$33</f>
        <v>1.830209900426496</v>
      </c>
      <c r="AB49" s="294"/>
      <c r="AC49" s="267">
        <f>IFERROR(AC48-AC$33,NA())</f>
        <v>124.42975779717517</v>
      </c>
      <c r="AD49" s="269">
        <f>AD48-AD$33</f>
        <v>0.35872844102414536</v>
      </c>
      <c r="AE49" s="270">
        <f t="shared" si="3"/>
        <v>38.678337831245699</v>
      </c>
      <c r="AF49" s="269">
        <f t="shared" si="3"/>
        <v>-0.13019748194823055</v>
      </c>
      <c r="AG49" s="268">
        <f>AF49/AF$33</f>
        <v>-2.0464879313693059E-2</v>
      </c>
      <c r="AH49" s="268"/>
      <c r="AI49" s="301">
        <f>IFERROR(AE49/$AE$33,NA())</f>
        <v>1.9362018446364298E-2</v>
      </c>
      <c r="AJ49" s="289"/>
      <c r="AK49" s="751"/>
      <c r="AL49" s="750">
        <f>$AE48*U48-$AE$33*U$33</f>
        <v>-59.66936452519974</v>
      </c>
      <c r="AM49" s="750">
        <f>$AE48*V48-$AE$33*V$33</f>
        <v>94.573003897158515</v>
      </c>
      <c r="AN49" s="750">
        <f>$AE48*W48-$AE$33*W$33</f>
        <v>3.774698459286725</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66</v>
      </c>
      <c r="D50" s="396" t="str">
        <f>"Scenario " &amp; A50</f>
        <v>Scenario I</v>
      </c>
      <c r="E50" s="272" t="s">
        <v>2</v>
      </c>
      <c r="F50" s="397">
        <f>IF($C50="","",VLOOKUP($C50+$F$11*1000,DSS_Calc!$A:$JV,F$30,FALSE))</f>
        <v>1750</v>
      </c>
      <c r="G50" s="397" t="str">
        <f>IF($C50="","",VLOOKUP($C50+$F$11*1000,DSS_Calc!$A:$JV,G$30,FALSE))</f>
        <v>0.9/1.9/2.9/3.9</v>
      </c>
      <c r="H50" s="397">
        <f>IF($C50="","",VLOOKUP($C50+$F$11*1000,DSS_Calc!$A:$JV,H$30,FALSE))</f>
        <v>0</v>
      </c>
      <c r="I50" s="397">
        <f>IF($C50="","",VLOOKUP($C50+$F$11*1000,DSS_Calc!$A:$JV,I$30,FALSE))</f>
        <v>0</v>
      </c>
      <c r="J50" s="397">
        <f>IF($C50="","",VLOOKUP($C50+$F$11*1000,DSS_Calc!$A:$JV,J$30,FALSE))</f>
        <v>4592</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2500</v>
      </c>
      <c r="R50" s="397">
        <f>IF($C50="","",VLOOKUP($C50+$F$11*1000,DSS_Calc!$A:$JV,R$30,FALSE)*IF(V50=0,0,1))</f>
        <v>2475.6162054252668</v>
      </c>
      <c r="S50" s="397">
        <f>IF($C50="","",VLOOKUP($C50+$F$11*1000,DSS_Calc!$A:$JV,S$30,FALSE)*IF(W50=0,0,1))</f>
        <v>5738.7109265464023</v>
      </c>
      <c r="T50" s="294" t="s">
        <v>2</v>
      </c>
      <c r="U50" s="398">
        <f>IF($C50="","",VLOOKUP($C50+$F$11*1000,DSS_Calc!$A:$JV,U$30,FALSE))</f>
        <v>0.50528825963406965</v>
      </c>
      <c r="V50" s="398">
        <f>IF($C50="","",VLOOKUP($C50+$F$11*1000,DSS_Calc!$A:$JV,V$30,FALSE))</f>
        <v>0.41852116020628738</v>
      </c>
      <c r="W50" s="398">
        <f>IF($C50="","",VLOOKUP($C50+$F$11*1000,DSS_Calc!$A:$JV,W$30,FALSE))</f>
        <v>7.6190580159642876E-2</v>
      </c>
      <c r="X50" s="294" t="s">
        <v>2</v>
      </c>
      <c r="Y50" s="397">
        <f>IF(U50=0,0,U50*Q50)</f>
        <v>1263.220649085174</v>
      </c>
      <c r="Z50" s="397">
        <f>IF(V50=0,0,V50*R50)</f>
        <v>1036.0977665200694</v>
      </c>
      <c r="AA50" s="397">
        <f>IF(W50=0,0,W50*S50)</f>
        <v>437.23571486205213</v>
      </c>
      <c r="AB50" s="294" t="s">
        <v>2</v>
      </c>
      <c r="AC50" s="397">
        <f>SUM(Y50:AA50)</f>
        <v>2736.5541304672956</v>
      </c>
      <c r="AD50" s="399">
        <f>AC50*AE50/1000/1000</f>
        <v>5.4610080432398336</v>
      </c>
      <c r="AE50" s="400">
        <f>IF($C50="","",VLOOKUP($C50+$F$11*1000,DSS_Calc!$A:$JV,AE$30,FALSE))</f>
        <v>1995.5783013535013</v>
      </c>
      <c r="AF50" s="399">
        <f>IF($C50="","",VLOOKUP($C50+$F$11*1000,DSS_Calc!$A:$JV,AF$30,FALSE))</f>
        <v>6.3298663503073289</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+500 CC, 0.9/1.9/2.9/3.9</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f>AI51/((Q51*U50+R51*V50+S51*W50)/(VLOOKUP($C50+$F$11*1000,DSS_Calc!$A:$JV,DSS_Calc!BX$92,FALSE)-$AC$33))</f>
        <v>-0.23826850231990113</v>
      </c>
      <c r="B51" s="402"/>
      <c r="C51" s="564">
        <f>AI51/(AC51/(VLOOKUP($C50+$F$11*1000,DSS_Calc!$A:$JV,DSS_Calc!BX$92,FALSE)-$AC$33))</f>
        <v>-1.3671069114358638</v>
      </c>
      <c r="D51" s="403" t="s">
        <v>141</v>
      </c>
      <c r="F51" s="404">
        <f>ROUND(F50-F$33,0)</f>
        <v>500</v>
      </c>
      <c r="G51" s="404"/>
      <c r="H51" s="404"/>
      <c r="I51" s="404">
        <f t="shared" ref="I51:O51" si="18">ROUND(I50-I$33,0)</f>
        <v>0</v>
      </c>
      <c r="J51" s="404">
        <f t="shared" si="18"/>
        <v>0</v>
      </c>
      <c r="K51" s="404">
        <f t="shared" si="18"/>
        <v>0</v>
      </c>
      <c r="L51" s="404">
        <f t="shared" si="18"/>
        <v>0</v>
      </c>
      <c r="M51" s="404">
        <f t="shared" si="18"/>
        <v>0</v>
      </c>
      <c r="N51" s="404">
        <f t="shared" si="18"/>
        <v>0</v>
      </c>
      <c r="O51" s="404">
        <f t="shared" si="18"/>
        <v>0</v>
      </c>
      <c r="P51" s="294"/>
      <c r="Q51" s="404">
        <f t="shared" ref="Q51:S51" si="19">Q50-Q$33</f>
        <v>500.00000000000023</v>
      </c>
      <c r="R51" s="404">
        <f t="shared" si="19"/>
        <v>-428.03395189885987</v>
      </c>
      <c r="S51" s="404">
        <f t="shared" si="19"/>
        <v>0</v>
      </c>
      <c r="T51" s="294"/>
      <c r="U51" s="405">
        <f>U50-U$33</f>
        <v>5.2697366015027225E-2</v>
      </c>
      <c r="V51" s="405">
        <f>V50-V$33</f>
        <v>-4.8086420160458776E-2</v>
      </c>
      <c r="W51" s="405">
        <f>W50-W$33</f>
        <v>-4.6109458545685184E-3</v>
      </c>
      <c r="X51" s="294"/>
      <c r="Y51" s="404">
        <f>Y50-Y$33</f>
        <v>358.03886184708927</v>
      </c>
      <c r="Z51" s="404">
        <f>Z50-Z$33</f>
        <v>-318.76740762046325</v>
      </c>
      <c r="AA51" s="404">
        <f>AA50-AA$33</f>
        <v>-26.460885357326163</v>
      </c>
      <c r="AB51" s="294"/>
      <c r="AC51" s="404">
        <f>IFERROR(AC50-AC$33,NA())</f>
        <v>12.810568869299914</v>
      </c>
      <c r="AD51" s="406">
        <f>AD50-AD$33</f>
        <v>1.9949615731222003E-2</v>
      </c>
      <c r="AE51" s="407">
        <f t="shared" ref="AE51:AF61" si="20">AE50-AE$33</f>
        <v>-2.0614560091160001</v>
      </c>
      <c r="AF51" s="406">
        <f t="shared" si="20"/>
        <v>-3.2129728561084647E-2</v>
      </c>
      <c r="AG51" s="405">
        <f>AF51/AF$33</f>
        <v>-5.0502590952240028E-3</v>
      </c>
      <c r="AH51" s="405"/>
      <c r="AI51" s="408">
        <f>IFERROR(AE51/$AE$33,NA())</f>
        <v>-1.0319458258267928E-3</v>
      </c>
      <c r="AJ51" s="289"/>
      <c r="AK51" s="749"/>
      <c r="AL51" s="750">
        <f>$AE50*U50-$AE$33*U$33</f>
        <v>104.22872394074955</v>
      </c>
      <c r="AM51" s="750">
        <f>$AE50*V50-$AE$33*V$33</f>
        <v>-96.922107662425219</v>
      </c>
      <c r="AN51" s="750">
        <f>$AE50*W50-$AE$33*W$33</f>
        <v>-9.3680722874405262</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84</v>
      </c>
      <c r="D52" s="261" t="str">
        <f>"Scenario " &amp; A52</f>
        <v>Scenario J</v>
      </c>
      <c r="E52" s="272" t="s">
        <v>2</v>
      </c>
      <c r="F52" s="262">
        <f>IF($C52="","",VLOOKUP($C52+$F$11*1000,DSS_Calc!$A:$JV,F$30,FALSE))</f>
        <v>1000</v>
      </c>
      <c r="G52" s="262" t="str">
        <f>IF($C52="","",VLOOKUP($C52+$F$11*1000,DSS_Calc!$A:$JV,G$30,FALSE))</f>
        <v>0.9/1.9/2.9/3.9</v>
      </c>
      <c r="H52" s="262">
        <f>IF($C52="","",VLOOKUP($C52+$F$11*1000,DSS_Calc!$A:$JV,H$30,FALSE))</f>
        <v>0</v>
      </c>
      <c r="I52" s="262">
        <f>IF($C52="","",VLOOKUP($C52+$F$11*1000,DSS_Calc!$A:$JV,I$30,FALSE))</f>
        <v>0</v>
      </c>
      <c r="J52" s="262">
        <f>IF($C52="","",VLOOKUP($C52+$F$11*1000,DSS_Calc!$A:$JV,J$30,FALSE))</f>
        <v>4592</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1750</v>
      </c>
      <c r="R52" s="262">
        <f>IF($C52="","",VLOOKUP($C52+$F$11*1000,DSS_Calc!$A:$JV,R$30,FALSE)*IF(V52=0,0,1))</f>
        <v>2486.3708411028952</v>
      </c>
      <c r="S52" s="262">
        <f>IF($C52="","",VLOOKUP($C52+$F$11*1000,DSS_Calc!$A:$JV,S$30,FALSE)*IF(W52=0,0,1))</f>
        <v>5738.7109265464023</v>
      </c>
      <c r="T52" s="294" t="s">
        <v>2</v>
      </c>
      <c r="U52" s="263">
        <f>IF($C52="","",VLOOKUP($C52+$F$11*1000,DSS_Calc!$A:$JV,U$30,FALSE))</f>
        <v>0.46186014413764864</v>
      </c>
      <c r="V52" s="263">
        <f>IF($C52="","",VLOOKUP($C52+$F$11*1000,DSS_Calc!$A:$JV,V$30,FALSE))</f>
        <v>0.44893807082512927</v>
      </c>
      <c r="W52" s="263">
        <f>IF($C52="","",VLOOKUP($C52+$F$11*1000,DSS_Calc!$A:$JV,W$30,FALSE))</f>
        <v>8.9201785037222092E-2</v>
      </c>
      <c r="X52" s="294" t="s">
        <v>2</v>
      </c>
      <c r="Y52" s="262">
        <f>IF(U52=0,0,U52*Q52)</f>
        <v>808.25525224088517</v>
      </c>
      <c r="Z52" s="262">
        <f>IF(V52=0,0,V52*R52)</f>
        <v>1116.2265287605878</v>
      </c>
      <c r="AA52" s="262">
        <f>IF(W52=0,0,W52*S52)</f>
        <v>511.90325846054981</v>
      </c>
      <c r="AB52" s="294" t="s">
        <v>2</v>
      </c>
      <c r="AC52" s="262">
        <f>SUM(Y52:AA52)</f>
        <v>2436.3850394620226</v>
      </c>
      <c r="AD52" s="264">
        <f>AC52*AE52/1000/1000</f>
        <v>4.5902665279191304</v>
      </c>
      <c r="AE52" s="265">
        <f>IF($C52="","",VLOOKUP($C52+$F$11*1000,DSS_Calc!$A:$JV,AE$30,FALSE))</f>
        <v>1884.0480685814364</v>
      </c>
      <c r="AF52" s="264">
        <f>IF($C52="","",VLOOKUP($C52+$F$11*1000,DSS_Calc!$A:$JV,AF$30,FALSE))</f>
        <v>6.5416314852942863</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0.9/1.9/2.9/3.9</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f>AI53/((Q53*U52+R53*V52+S53*W52)/(VLOOKUP($C52+$F$11*1000,DSS_Calc!$A:$JV,DSS_Calc!BX$92,FALSE)-$AC$33))</f>
        <v>3.1870651414376789</v>
      </c>
      <c r="B53" s="402"/>
      <c r="C53" s="564">
        <f>AI53/(AC53/(VLOOKUP($C52+$F$11*1000,DSS_Calc!$A:$JV,DSS_Calc!BX$92,FALSE)-$AC$33))</f>
        <v>3.3582985178818689</v>
      </c>
      <c r="D53" s="266" t="s">
        <v>141</v>
      </c>
      <c r="F53" s="267">
        <f>ROUND(F52-F$33,0)</f>
        <v>-250</v>
      </c>
      <c r="G53" s="267"/>
      <c r="H53" s="267"/>
      <c r="I53" s="267">
        <f t="shared" ref="I53:O53" si="21">ROUND(I52-I$33,0)</f>
        <v>0</v>
      </c>
      <c r="J53" s="267">
        <f t="shared" si="21"/>
        <v>0</v>
      </c>
      <c r="K53" s="267">
        <f t="shared" si="21"/>
        <v>0</v>
      </c>
      <c r="L53" s="267">
        <f t="shared" si="21"/>
        <v>0</v>
      </c>
      <c r="M53" s="267">
        <f t="shared" si="21"/>
        <v>0</v>
      </c>
      <c r="N53" s="267">
        <f t="shared" si="21"/>
        <v>0</v>
      </c>
      <c r="O53" s="267">
        <f t="shared" si="21"/>
        <v>0</v>
      </c>
      <c r="P53" s="294"/>
      <c r="Q53" s="267">
        <f t="shared" ref="Q53:S53" si="22">Q52-Q$33</f>
        <v>-249.99999999999977</v>
      </c>
      <c r="R53" s="267">
        <f t="shared" si="22"/>
        <v>-417.27931622123151</v>
      </c>
      <c r="S53" s="267">
        <f t="shared" si="22"/>
        <v>0</v>
      </c>
      <c r="T53" s="294"/>
      <c r="U53" s="268">
        <f>U52-U$33</f>
        <v>9.2692505186062202E-3</v>
      </c>
      <c r="V53" s="268">
        <f>V52-V$33</f>
        <v>-1.766950954161689E-2</v>
      </c>
      <c r="W53" s="268">
        <f>W52-W$33</f>
        <v>8.4002590230106977E-3</v>
      </c>
      <c r="X53" s="294"/>
      <c r="Y53" s="267">
        <f>Y52-Y$33</f>
        <v>-96.92653499719961</v>
      </c>
      <c r="Z53" s="267">
        <f>Z52-Z$33</f>
        <v>-238.63864537994482</v>
      </c>
      <c r="AA53" s="267">
        <f>AA52-AA$33</f>
        <v>48.20665824117151</v>
      </c>
      <c r="AB53" s="294"/>
      <c r="AC53" s="267">
        <f>IFERROR(AC52-AC$33,NA())</f>
        <v>-287.35852213597309</v>
      </c>
      <c r="AD53" s="269">
        <f>AD52-AD$33</f>
        <v>-0.8507918995894812</v>
      </c>
      <c r="AE53" s="270">
        <f t="shared" si="20"/>
        <v>-113.59168878118089</v>
      </c>
      <c r="AF53" s="269">
        <f t="shared" si="20"/>
        <v>0.17963540642587272</v>
      </c>
      <c r="AG53" s="268">
        <f>AF53/AF$33</f>
        <v>2.8235699016309967E-2</v>
      </c>
      <c r="AH53" s="268"/>
      <c r="AI53" s="301">
        <f>IFERROR(AE53/$AE$33,NA())</f>
        <v>-5.6862949569621228E-2</v>
      </c>
      <c r="AJ53" s="289"/>
      <c r="AK53" s="749"/>
      <c r="AL53" s="750">
        <f>$AE52*U52-$AE$33*U$33</f>
        <v>-33.946850396393302</v>
      </c>
      <c r="AM53" s="750">
        <f>$AE52*V52-$AE$33*V$33</f>
        <v>-86.292948376623826</v>
      </c>
      <c r="AN53" s="750">
        <f>$AE52*W52-$AE$33*W$33</f>
        <v>6.6481099918363213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59</v>
      </c>
      <c r="D54" s="396" t="str">
        <f>"Scenario " &amp; A54</f>
        <v>Scenario K</v>
      </c>
      <c r="E54" s="272" t="s">
        <v>2</v>
      </c>
      <c r="F54" s="397">
        <f>IF($C54="","",VLOOKUP($C54+$F$11*1000,DSS_Calc!$A:$JV,F$30,FALSE))</f>
        <v>1500</v>
      </c>
      <c r="G54" s="397" t="str">
        <f>IF($C54="","",VLOOKUP($C54+$F$11*1000,DSS_Calc!$A:$JV,G$30,FALSE))</f>
        <v>0/0/0.9/3.9</v>
      </c>
      <c r="H54" s="397">
        <f>IF($C54="","",VLOOKUP($C54+$F$11*1000,DSS_Calc!$A:$JV,H$30,FALSE))</f>
        <v>0</v>
      </c>
      <c r="I54" s="397">
        <f>IF($C54="","",VLOOKUP($C54+$F$11*1000,DSS_Calc!$A:$JV,I$30,FALSE))</f>
        <v>0</v>
      </c>
      <c r="J54" s="397">
        <f>IF($C54="","",VLOOKUP($C54+$F$11*1000,DSS_Calc!$A:$JV,J$30,FALSE))</f>
        <v>4232</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2250</v>
      </c>
      <c r="R54" s="397">
        <f>IF($C54="","",VLOOKUP($C54+$F$11*1000,DSS_Calc!$A:$JV,R$30,FALSE)*IF(V54=0,0,1))</f>
        <v>3286.3007532063061</v>
      </c>
      <c r="S54" s="397">
        <f>IF($C54="","",VLOOKUP($C54+$F$11*1000,DSS_Calc!$A:$JV,S$30,FALSE)*IF(W54=0,0,1))</f>
        <v>5378.7109265464023</v>
      </c>
      <c r="T54" s="294" t="s">
        <v>2</v>
      </c>
      <c r="U54" s="398">
        <f>IF($C54="","",VLOOKUP($C54+$F$11*1000,DSS_Calc!$A:$JV,U$30,FALSE))</f>
        <v>0.45038497181843895</v>
      </c>
      <c r="V54" s="398">
        <f>IF($C54="","",VLOOKUP($C54+$F$11*1000,DSS_Calc!$A:$JV,V$30,FALSE))</f>
        <v>0.48589166995844035</v>
      </c>
      <c r="W54" s="398">
        <f>IF($C54="","",VLOOKUP($C54+$F$11*1000,DSS_Calc!$A:$JV,W$30,FALSE))</f>
        <v>6.3723358223120613E-2</v>
      </c>
      <c r="X54" s="294" t="s">
        <v>2</v>
      </c>
      <c r="Y54" s="397">
        <f>IF(U54=0,0,U54*Q54)</f>
        <v>1013.3661865914877</v>
      </c>
      <c r="Z54" s="397">
        <f>IF(V54=0,0,V54*R54)</f>
        <v>1596.7861609610925</v>
      </c>
      <c r="AA54" s="397">
        <f>IF(W54=0,0,W54*S54)</f>
        <v>342.74952315092941</v>
      </c>
      <c r="AB54" s="294" t="s">
        <v>2</v>
      </c>
      <c r="AC54" s="397">
        <f>SUM(Y54:AA54)</f>
        <v>2952.9018707035093</v>
      </c>
      <c r="AD54" s="399">
        <f>AC54*AE54/1000/1000</f>
        <v>6.1858663257369262</v>
      </c>
      <c r="AE54" s="400">
        <f>IF($C54="","",VLOOKUP($C54+$F$11*1000,DSS_Calc!$A:$JV,AE$30,FALSE))</f>
        <v>2094.8431734587862</v>
      </c>
      <c r="AF54" s="399">
        <f>IF($C54="","",VLOOKUP($C54+$F$11*1000,DSS_Calc!$A:$JV,AF$30,FALSE))</f>
        <v>6.1915145646443124</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0/0/0.9/3.9, -360 Lease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f>AI55/((Q55*U54+R55*V54+S55*W54)/(VLOOKUP($C54+$F$11*1000,DSS_Calc!$A:$JV,DSS_Calc!BX$92,FALSE)-$AC$33))</f>
        <v>2.996585014409912</v>
      </c>
      <c r="B55" s="402"/>
      <c r="C55" s="564">
        <f>AI55/(AC55/(VLOOKUP($C54+$F$11*1000,DSS_Calc!$A:$JV,DSS_Calc!BX$92,FALSE)-$AC$33))</f>
        <v>3.6036511433020046</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250.00000000000023</v>
      </c>
      <c r="R55" s="404">
        <f t="shared" si="24"/>
        <v>382.65059588217946</v>
      </c>
      <c r="S55" s="404">
        <f t="shared" si="24"/>
        <v>-360</v>
      </c>
      <c r="T55" s="294"/>
      <c r="U55" s="405">
        <f>U54-U$33</f>
        <v>-2.205921800603472E-3</v>
      </c>
      <c r="V55" s="405">
        <f>V54-V$33</f>
        <v>1.9284089591694198E-2</v>
      </c>
      <c r="W55" s="405">
        <f>W54-W$33</f>
        <v>-1.7078167791090781E-2</v>
      </c>
      <c r="X55" s="294"/>
      <c r="Y55" s="404">
        <f>Y54-Y$33</f>
        <v>108.18439935340291</v>
      </c>
      <c r="Z55" s="404">
        <f>Z54-Z$33</f>
        <v>241.92098682055985</v>
      </c>
      <c r="AA55" s="404">
        <f>AA54-AA$33</f>
        <v>-120.94707706844889</v>
      </c>
      <c r="AB55" s="294"/>
      <c r="AC55" s="404">
        <f>IFERROR(AC54-AC$33,NA())</f>
        <v>229.15830910551358</v>
      </c>
      <c r="AD55" s="406">
        <f>AD54-AD$33</f>
        <v>0.74480789822831461</v>
      </c>
      <c r="AE55" s="407">
        <f t="shared" si="20"/>
        <v>97.203416096168894</v>
      </c>
      <c r="AF55" s="406">
        <f t="shared" si="20"/>
        <v>-0.17048151422410118</v>
      </c>
      <c r="AG55" s="405">
        <f>AF55/AF$33</f>
        <v>-2.6796859367826605E-2</v>
      </c>
      <c r="AH55" s="405"/>
      <c r="AI55" s="408">
        <f>IFERROR(AE55/$AE$33,NA())</f>
        <v>4.8659131726784238E-2</v>
      </c>
      <c r="AJ55" s="289"/>
      <c r="AK55" s="749"/>
      <c r="AL55" s="750">
        <f>$AE54*U54-$AE$33*U$33</f>
        <v>39.372320728610589</v>
      </c>
      <c r="AM55" s="750">
        <f>$AE54*V54-$AE$33*V$33</f>
        <v>85.752994225543603</v>
      </c>
      <c r="AN55" s="750">
        <f>$AE54*W54-$AE$33*W$33</f>
        <v>-27.921898857985411</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67</v>
      </c>
      <c r="D56" s="261" t="str">
        <f>"Scenario " &amp; A56</f>
        <v>Scenario L</v>
      </c>
      <c r="E56" s="272" t="s">
        <v>2</v>
      </c>
      <c r="F56" s="262">
        <f>IF($C56="","",VLOOKUP($C56+$F$11*1000,DSS_Calc!$A:$JV,F$30,FALSE))</f>
        <v>1500</v>
      </c>
      <c r="G56" s="262" t="str">
        <f>IF($C56="","",VLOOKUP($C56+$F$11*1000,DSS_Calc!$A:$JV,G$30,FALSE))</f>
        <v>0.9/1.9/2.9/3.9</v>
      </c>
      <c r="H56" s="262">
        <f>IF($C56="","",VLOOKUP($C56+$F$11*1000,DSS_Calc!$A:$JV,H$30,FALSE))</f>
        <v>0</v>
      </c>
      <c r="I56" s="262">
        <f>IF($C56="","",VLOOKUP($C56+$F$11*1000,DSS_Calc!$A:$JV,I$30,FALSE))</f>
        <v>0</v>
      </c>
      <c r="J56" s="262">
        <f>IF($C56="","",VLOOKUP($C56+$F$11*1000,DSS_Calc!$A:$JV,J$30,FALSE))</f>
        <v>4232</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2250</v>
      </c>
      <c r="R56" s="262">
        <f>IF($C56="","",VLOOKUP($C56+$F$11*1000,DSS_Calc!$A:$JV,R$30,FALSE)*IF(V56=0,0,1))</f>
        <v>2475.5764683991092</v>
      </c>
      <c r="S56" s="262">
        <f>IF($C56="","",VLOOKUP($C56+$F$11*1000,DSS_Calc!$A:$JV,S$30,FALSE)*IF(W56=0,0,1))</f>
        <v>5378.7109265464023</v>
      </c>
      <c r="T56" s="294" t="s">
        <v>2</v>
      </c>
      <c r="U56" s="263">
        <f>IF($C56="","",VLOOKUP($C56+$F$11*1000,DSS_Calc!$A:$JV,U$30,FALSE))</f>
        <v>0.49854813632892242</v>
      </c>
      <c r="V56" s="263">
        <f>IF($C56="","",VLOOKUP($C56+$F$11*1000,DSS_Calc!$A:$JV,V$30,FALSE))</f>
        <v>0.43156351041971913</v>
      </c>
      <c r="W56" s="263">
        <f>IF($C56="","",VLOOKUP($C56+$F$11*1000,DSS_Calc!$A:$JV,W$30,FALSE))</f>
        <v>6.9888353251358476E-2</v>
      </c>
      <c r="X56" s="294" t="s">
        <v>2</v>
      </c>
      <c r="Y56" s="262">
        <f>IF(U56=0,0,U56*Q56)</f>
        <v>1121.7333067400755</v>
      </c>
      <c r="Z56" s="262">
        <f>IF(V56=0,0,V56*R56)</f>
        <v>1068.3684710147704</v>
      </c>
      <c r="AA56" s="262">
        <f>IF(W56=0,0,W56*S56)</f>
        <v>375.90924927141663</v>
      </c>
      <c r="AB56" s="294" t="s">
        <v>2</v>
      </c>
      <c r="AC56" s="262">
        <f>SUM(Y56:AA56)</f>
        <v>2566.0110270262626</v>
      </c>
      <c r="AD56" s="264">
        <f>AC56*AE56/1000/1000</f>
        <v>4.9834593447471409</v>
      </c>
      <c r="AE56" s="265">
        <f>IF($C56="","",VLOOKUP($C56+$F$11*1000,DSS_Calc!$A:$JV,AE$30,FALSE))</f>
        <v>1942.1036356661521</v>
      </c>
      <c r="AF56" s="264">
        <f>IF($C56="","",VLOOKUP($C56+$F$11*1000,DSS_Calc!$A:$JV,AF$30,FALSE))</f>
        <v>6.4914599865863183</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+250 CC, 0.9/1.9/2.9/3.9, -360 Lease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f>AI57/((Q57*U56+R57*V56+S57*W56)/(VLOOKUP($C56+$F$11*1000,DSS_Calc!$A:$JV,DSS_Calc!BX$92,FALSE)-$AC$33))</f>
        <v>5.5336018233584676</v>
      </c>
      <c r="B57" s="402"/>
      <c r="C57" s="564">
        <f>AI57/(AC57/(VLOOKUP($C56+$F$11*1000,DSS_Calc!$A:$JV,DSS_Calc!BX$92,FALSE)-$AC$33))</f>
        <v>2.9912388238572816</v>
      </c>
      <c r="D57" s="266" t="s">
        <v>141</v>
      </c>
      <c r="F57" s="267">
        <f>ROUND(F56-F$33,0)</f>
        <v>250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250.00000000000023</v>
      </c>
      <c r="R57" s="267">
        <f t="shared" si="26"/>
        <v>-428.07368892501745</v>
      </c>
      <c r="S57" s="267">
        <f t="shared" si="26"/>
        <v>-360</v>
      </c>
      <c r="T57" s="294"/>
      <c r="U57" s="268">
        <f>U56-U$33</f>
        <v>4.5957242709879997E-2</v>
      </c>
      <c r="V57" s="268">
        <f>V56-V$33</f>
        <v>-3.5044069947027023E-2</v>
      </c>
      <c r="W57" s="268">
        <f>W56-W$33</f>
        <v>-1.0913172762852918E-2</v>
      </c>
      <c r="X57" s="294"/>
      <c r="Y57" s="267">
        <f>Y56-Y$33</f>
        <v>216.5515195019907</v>
      </c>
      <c r="Z57" s="267">
        <f>Z56-Z$33</f>
        <v>-286.49670312576222</v>
      </c>
      <c r="AA57" s="267">
        <f>AA56-AA$33</f>
        <v>-87.78735094796167</v>
      </c>
      <c r="AB57" s="294"/>
      <c r="AC57" s="267">
        <f>IFERROR(AC56-AC$33,NA())</f>
        <v>-157.73253457173314</v>
      </c>
      <c r="AD57" s="269">
        <f>AD56-AD$33</f>
        <v>-0.45759908276147065</v>
      </c>
      <c r="AE57" s="270">
        <f t="shared" si="20"/>
        <v>-55.536121696465216</v>
      </c>
      <c r="AF57" s="269">
        <f t="shared" si="20"/>
        <v>0.12946390771790472</v>
      </c>
      <c r="AG57" s="268">
        <f>AF57/AF$33</f>
        <v>2.0349573642134661E-2</v>
      </c>
      <c r="AH57" s="268"/>
      <c r="AI57" s="301">
        <f>IFERROR(AE57/$AE$33,NA())</f>
        <v>-2.7800869246708802E-2</v>
      </c>
      <c r="AJ57" s="289"/>
      <c r="AK57" s="749"/>
      <c r="AL57" s="750">
        <f>$AE56*U56-$AE$33*U$33</f>
        <v>64.118585205310637</v>
      </c>
      <c r="AM57" s="750">
        <f>$AE56*V56-$AE$33*V$33</f>
        <v>-93.972791020400905</v>
      </c>
      <c r="AN57" s="750">
        <f>$AE56*W56-$AE$33*W$33</f>
        <v>-25.681915881374806</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99"/>
    <pageSetUpPr fitToPage="1"/>
  </sheetPr>
  <dimension ref="A1:BM73"/>
  <sheetViews>
    <sheetView showGridLines="0" tabSelected="1" topLeftCell="A8" zoomScale="70" zoomScaleNormal="70" zoomScaleSheetLayoutView="55" workbookViewId="0">
      <selection activeCell="AQ37" sqref="AQ37"/>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2" width="15.7109375" style="293" customWidth="1"/>
    <col min="13" max="13" width="11.710937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2" t="s">
        <v>1079</v>
      </c>
      <c r="AK7" s="873">
        <v>10.5</v>
      </c>
    </row>
    <row r="8" spans="1:64" ht="15.6" customHeight="1">
      <c r="AJ8" s="235" t="s">
        <v>1080</v>
      </c>
      <c r="AK8" s="873" t="s">
        <v>1084</v>
      </c>
    </row>
    <row r="9" spans="1:64" ht="15.6" customHeight="1">
      <c r="AJ9" s="872" t="s">
        <v>1082</v>
      </c>
      <c r="AK9" s="874" t="str">
        <f>"MY"&amp;RIGHT(Input!$H$9,2)&amp;" "&amp;Input!$H$3&amp;": "&amp;$G$10</f>
        <v>MY20 Forte: Region R2 (Central, Western) Incentive Scenarios</v>
      </c>
    </row>
    <row r="10" spans="1:64" ht="15.6" customHeight="1" thickBot="1">
      <c r="G10" s="581" t="s">
        <v>1093</v>
      </c>
      <c r="AJ10" s="872" t="s">
        <v>1086</v>
      </c>
      <c r="AK10" s="874" t="s">
        <v>1087</v>
      </c>
    </row>
    <row r="11" spans="1:64" ht="15.6" customHeight="1">
      <c r="A11" s="281" t="s">
        <v>570</v>
      </c>
      <c r="B11" s="275"/>
      <c r="C11" s="231"/>
      <c r="D11" s="628" t="s">
        <v>824</v>
      </c>
      <c r="F11" s="245">
        <v>5</v>
      </c>
      <c r="G11" s="565" t="str">
        <f>INDEX(Input!$1:$1048576,2,$F$11*2+6)&amp;" ("&amp;INDEX(Input!$1:$1048576,11,$F$11*2+6)&amp;")"</f>
        <v>MY20 Kia Forte (Kia-LR - R2)</v>
      </c>
      <c r="H11" s="232"/>
      <c r="I11" s="231"/>
      <c r="L11" s="232"/>
      <c r="M11" s="232"/>
      <c r="N11" s="231"/>
      <c r="O11" s="231"/>
      <c r="Q11" s="231"/>
      <c r="R11" s="231"/>
      <c r="S11" s="231"/>
      <c r="U11" s="296"/>
      <c r="V11" s="231"/>
      <c r="Y11" s="231"/>
      <c r="Z11" s="231"/>
      <c r="AA11" s="231"/>
      <c r="AC11" s="231"/>
      <c r="AD11" s="231"/>
      <c r="AE11" s="231"/>
      <c r="AF11" s="231"/>
      <c r="AG11" s="231"/>
      <c r="AH11" s="231"/>
      <c r="AI11" s="231"/>
      <c r="AJ11" s="872" t="s">
        <v>1088</v>
      </c>
      <c r="AK11" s="874" t="s">
        <v>1089</v>
      </c>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58"/>
      <c r="D12" s="231"/>
      <c r="F12" s="231"/>
      <c r="H12" s="232"/>
      <c r="I12" s="231"/>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771</v>
      </c>
      <c r="BA12" s="389"/>
      <c r="BC12" s="758"/>
      <c r="BD12" s="758"/>
      <c r="BE12" s="758"/>
      <c r="BF12" s="758"/>
      <c r="BG12" s="758"/>
      <c r="BH12" s="758"/>
      <c r="BI12" s="758"/>
      <c r="BJ12" s="758"/>
      <c r="BK12" s="758"/>
      <c r="BL12" s="758"/>
    </row>
    <row r="13" spans="1:64" ht="15.75" customHeight="1" thickBot="1">
      <c r="A13" s="389" t="str">
        <f>ROUND(INDEX(DSS_Calc!KA:KA,MATCH($F$11*1000+6,DSS_Calc!A:A,0)),2)&amp;" (Scen 6)"</f>
        <v>2.46 (Scen 6)</v>
      </c>
      <c r="B13" s="275"/>
      <c r="D13" s="1137" t="str">
        <f>UPPER("SCENARIO OPTIONS: MY"&amp;RIGHT(Input!$H9,2)&amp;" "&amp;Input!H$7&amp;" "&amp;Input!H$3&amp;" - R2 (IA, KS, KY, MO, SD, AK, AZ, HI, ID, MT, NV, OR, WA)")</f>
        <v>SCENARIO OPTIONS: MY20 KIA FORTE - R2 (IA, KS, KY, MO, SD, AK, AZ, HI, ID, MT, NV, OR, WA)</v>
      </c>
      <c r="E13" s="1137"/>
      <c r="F13" s="1137"/>
      <c r="G13" s="1137"/>
      <c r="H13" s="1137"/>
      <c r="I13" s="1137"/>
      <c r="J13" s="1137"/>
      <c r="K13" s="1137"/>
      <c r="L13" s="1137"/>
      <c r="M13" s="1137"/>
      <c r="N13" s="1137"/>
      <c r="O13" s="1137"/>
      <c r="P13" s="1137"/>
      <c r="Q13" s="1137"/>
      <c r="R13" s="1137"/>
      <c r="S13" s="1137"/>
      <c r="T13" s="1137"/>
      <c r="U13" s="1137"/>
      <c r="V13" s="1137"/>
      <c r="W13" s="1137"/>
      <c r="X13" s="1137"/>
      <c r="Y13" s="1137"/>
      <c r="Z13" s="1137"/>
      <c r="AA13" s="1137"/>
      <c r="AB13" s="1137"/>
      <c r="AC13" s="1137"/>
      <c r="AD13" s="1137"/>
      <c r="AE13" s="1137"/>
      <c r="AF13" s="1137"/>
      <c r="AG13" s="1137"/>
      <c r="AH13" s="1137"/>
      <c r="AI13" s="1137"/>
      <c r="AJ13" s="758"/>
      <c r="AK13" s="758"/>
      <c r="AL13" s="235"/>
      <c r="AM13" s="235"/>
      <c r="AN13" s="1147" t="s">
        <v>770</v>
      </c>
      <c r="AO13" s="1148"/>
      <c r="AP13" s="1148"/>
      <c r="AQ13" s="1148"/>
      <c r="AR13" s="1148"/>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43" t="str">
        <f>"Scen. # to check price sensitivity order vs #"&amp;INDEX(DSS_Calc!KN:KN,MATCH(F11*1000+1,DSS_Calc!A:A,0))</f>
        <v>Scen. # to check price sensitivity order vs #5002</v>
      </c>
      <c r="AO14" s="1144"/>
      <c r="AP14" s="1144"/>
      <c r="AQ14" s="1144"/>
      <c r="AR14" s="1144"/>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41" t="str">
        <f>"Implied Elast w/o Take Rate Shifts vs #"&amp;INDEX(DSS_Calc!KN:KN,MATCH(F11*1000+1,DSS_Calc!A:A,0))</f>
        <v>Implied Elast w/o Take Rate Shifts vs #5002</v>
      </c>
      <c r="AO16" s="1142"/>
      <c r="AP16" s="1142"/>
      <c r="AQ16" s="1142"/>
      <c r="AR16" s="1142"/>
      <c r="AS16" s="722">
        <f>INDEX(DSS_Calc!$KR:$KR,MATCH($F$11*1000+AS14,DSS_Calc!$A:$A,0))</f>
        <v>2.7405099019650909</v>
      </c>
      <c r="AT16" s="722">
        <f>INDEX(DSS_Calc!$KR:$KR,MATCH($F$11*1000+AT14,DSS_Calc!$A:$A,0))</f>
        <v>3.7397325529603291</v>
      </c>
      <c r="AU16" s="722">
        <f>INDEX(DSS_Calc!$KR:$KR,MATCH($F$11*1000+AU14,DSS_Calc!$A:$A,0))</f>
        <v>3.5256915177291566</v>
      </c>
      <c r="AV16" s="759" t="str">
        <f>IF(AND(AS16&lt;AT16,AT16&lt;AU16,AS16&lt;AW16),"ok","error in order")</f>
        <v>error in order</v>
      </c>
      <c r="AW16" s="723">
        <f>ROUND(INDEX(DSS_Calc!KA:KA,MATCH($F$11*1000+6,DSS_Calc!A:A,0)),2)</f>
        <v>2.46</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43" t="s">
        <v>875</v>
      </c>
      <c r="AO17" s="1144"/>
      <c r="AP17" s="1144"/>
      <c r="AQ17" s="1144"/>
      <c r="AR17" s="1144"/>
      <c r="AS17" s="725">
        <f>INDEX(DSS_Calc!IE:IE,MATCH($F$11*1000+2,DSS_Calc!$A:$A,0))-INDEX(DSS_Calc!IE:IE,MATCH($F$11*1000+1,DSS_Calc!$A:$A,0))</f>
        <v>-1.1944052343433875E-3</v>
      </c>
      <c r="AT17" s="725">
        <f>INDEX(DSS_Calc!IF:IF,MATCH($F$11*1000+2,DSS_Calc!$A:$A,0))-INDEX(DSS_Calc!IF:IF,MATCH($F$11*1000+1,DSS_Calc!$A:$A,0))</f>
        <v>1.2690752813391271E-3</v>
      </c>
      <c r="AU17" s="725">
        <f>INDEX(DSS_Calc!IG:IG,MATCH($F$11*1000+2,DSS_Calc!$A:$A,0))-INDEX(DSS_Calc!IG:IG,MATCH($F$11*1000+1,DSS_Calc!$A:$A,0))</f>
        <v>-7.467004699565627E-5</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41" t="s">
        <v>769</v>
      </c>
      <c r="AO18" s="1142"/>
      <c r="AP18" s="1142"/>
      <c r="AQ18" s="1142"/>
      <c r="AR18" s="1142"/>
      <c r="AS18" s="726">
        <f>INDEX(DSS_Calc!JA:JA,MATCH($F$11*1000+2,DSS_Calc!$A:$A,0))-INDEX(DSS_Calc!JA:JA,MATCH($F$11*1000+1,DSS_Calc!$A:$A,0))</f>
        <v>399.99999999999977</v>
      </c>
      <c r="AT18" s="726">
        <f>INDEX(DSS_Calc!JB:JB,MATCH($F$11*1000+2,DSS_Calc!$A:$A,0))-INDEX(DSS_Calc!JB:JB,MATCH($F$11*1000+1,DSS_Calc!$A:$A,0))</f>
        <v>400.03520450803899</v>
      </c>
      <c r="AU18" s="726">
        <f>INDEX(DSS_Calc!JC:JC,MATCH($F$11*1000+2,DSS_Calc!$A:$A,0))-INDEX(DSS_Calc!JC:JC,MATCH($F$11*1000+1,DSS_Calc!$A:$A,0))</f>
        <v>325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5.6095304217916753E-2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7.6340272851197655E-2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2.8765359577302752E-2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5" t="s">
        <v>876</v>
      </c>
      <c r="AO20" s="1146"/>
      <c r="AP20" s="1146"/>
      <c r="AQ20" s="1146"/>
      <c r="AR20" s="1146"/>
      <c r="AS20" s="761">
        <f>IFERROR(INDEX($C:$C,MATCH(AS19,U:U,0)-1),INDEX($C:$C,MATCH(-AS19,U:U,0)-1))</f>
        <v>49</v>
      </c>
      <c r="AT20" s="761">
        <f>IFERROR(INDEX($C:$C,MATCH(AT19,V:V,0)-1),INDEX($C:$C,MATCH(-AT19,V:V,0)-1))</f>
        <v>54</v>
      </c>
      <c r="AU20" s="761">
        <f>IFERROR(INDEX($C:$C,MATCH(AU19,W:W,0)-1),INDEX($C:$C,MATCH(-AU19,W:W,0)-1))</f>
        <v>60</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41" t="s">
        <v>877</v>
      </c>
      <c r="AO21" s="1142"/>
      <c r="AP21" s="1142"/>
      <c r="AQ21" s="1142"/>
      <c r="AR21" s="1142"/>
      <c r="AS21" s="729">
        <f>IFERROR(INDEX(Q:Q,MATCH(AS19,U:U,0)),INDEX(Q:Q,MATCH(-AS19,U:U,0)))</f>
        <v>750.00000000000023</v>
      </c>
      <c r="AT21" s="729">
        <f>IFERROR(INDEX(R:R,MATCH(AT19,V:V,0)),INDEX(R:R,MATCH(-AT19,V:V,0)))</f>
        <v>712.50136271903602</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878" t="s">
        <v>134</v>
      </c>
      <c r="F27" s="1140" t="s">
        <v>354</v>
      </c>
      <c r="G27" s="1140"/>
      <c r="H27" s="1140"/>
      <c r="I27" s="1140"/>
      <c r="J27" s="1140"/>
      <c r="K27" s="1140"/>
      <c r="L27" s="1140"/>
      <c r="M27" s="1140"/>
      <c r="N27" s="1140"/>
      <c r="O27" s="1140"/>
      <c r="P27" s="277"/>
      <c r="Q27" s="1139" t="s">
        <v>135</v>
      </c>
      <c r="R27" s="1139"/>
      <c r="S27" s="1139"/>
      <c r="T27" s="277"/>
      <c r="U27" s="1140" t="s">
        <v>136</v>
      </c>
      <c r="V27" s="1140"/>
      <c r="W27" s="1140"/>
      <c r="X27" s="277"/>
      <c r="Y27" s="1139" t="s">
        <v>137</v>
      </c>
      <c r="Z27" s="1139"/>
      <c r="AA27" s="1139"/>
      <c r="AB27" s="277"/>
      <c r="AC27" s="1140" t="s">
        <v>138</v>
      </c>
      <c r="AD27" s="1140"/>
      <c r="AE27" s="1140"/>
      <c r="AF27" s="1140"/>
      <c r="AG27" s="1140"/>
      <c r="AH27" s="1140"/>
      <c r="AI27" s="1140"/>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1146</v>
      </c>
      <c r="H28" s="238" t="s">
        <v>39</v>
      </c>
      <c r="I28" s="237" t="s">
        <v>715</v>
      </c>
      <c r="J28" s="237" t="s">
        <v>330</v>
      </c>
      <c r="K28" s="237" t="s">
        <v>1150</v>
      </c>
      <c r="L28" s="237" t="s">
        <v>1151</v>
      </c>
      <c r="M28" s="237" t="s">
        <v>7</v>
      </c>
      <c r="N28" s="237" t="s">
        <v>735</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35</v>
      </c>
      <c r="L30" s="244">
        <v>29</v>
      </c>
      <c r="M30" s="244">
        <v>33</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1149</v>
      </c>
      <c r="L31" s="244" t="s">
        <v>1148</v>
      </c>
      <c r="M31" s="244" t="s">
        <v>750</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v>
      </c>
      <c r="G33" s="256" t="str">
        <f>IF($C33="","",VLOOKUP($C33+$F$11*1000,DSS_Calc!$A:$JV,G$30,FALSE))</f>
        <v>0/0.9/1.9/3.9</v>
      </c>
      <c r="H33" s="256">
        <f>IF($C33="","",VLOOKUP($C33+$F$11*1000,DSS_Calc!$A:$JV,H$30,FALSE))</f>
        <v>0</v>
      </c>
      <c r="I33" s="256">
        <f>IF($C33="","",VLOOKUP($C33+$F$11*1000,DSS_Calc!$A:$JV,I$30,FALSE))</f>
        <v>0</v>
      </c>
      <c r="J33" s="256">
        <f>IF($C33="","",VLOOKUP($C33+$F$11*1000,DSS_Calc!$A:$JV,J$30,FALSE))</f>
        <v>4592</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1999.9999999999998</v>
      </c>
      <c r="R33" s="256">
        <f>IF($C33="","",VLOOKUP($C33+$F$11*1000,DSS_Calc!$A:$JV,R$30,FALSE)*IF(V33=0,0,1))</f>
        <v>2903.5844961477915</v>
      </c>
      <c r="S33" s="256">
        <f>IF($C33="","",VLOOKUP($C33+$F$11*1000,DSS_Calc!$A:$JV,S$30,FALSE)*IF(W33=0,0,1))</f>
        <v>5738.7109265464023</v>
      </c>
      <c r="T33" s="294" t="s">
        <v>2</v>
      </c>
      <c r="U33" s="395">
        <f>IF($C33="","",VLOOKUP($C33+$F$11*1000,DSS_Calc!$A:$JV,U$30,FALSE))</f>
        <v>0.46376516349881025</v>
      </c>
      <c r="V33" s="395">
        <f>IF($C33="","",VLOOKUP($C33+$F$11*1000,DSS_Calc!$A:$JV,V$30,FALSE))</f>
        <v>0.40423403485007225</v>
      </c>
      <c r="W33" s="395">
        <f>IF($C33="","",VLOOKUP($C33+$F$11*1000,DSS_Calc!$A:$JV,W$30,FALSE))</f>
        <v>0.13200080165111755</v>
      </c>
      <c r="X33" s="290" t="s">
        <v>2</v>
      </c>
      <c r="Y33" s="256">
        <f t="shared" ref="Y33:AA34" si="0">IF(U33=0,0,U33*Q33)</f>
        <v>927.53032699762036</v>
      </c>
      <c r="Z33" s="256">
        <f t="shared" si="0"/>
        <v>1173.7276764059359</v>
      </c>
      <c r="AA33" s="256">
        <f t="shared" si="0"/>
        <v>757.51444274815265</v>
      </c>
      <c r="AB33" s="290" t="s">
        <v>2</v>
      </c>
      <c r="AC33" s="256">
        <f>SUM(Y33:AA33)</f>
        <v>2858.7724461517091</v>
      </c>
      <c r="AD33" s="259">
        <f>AC33*AE33/1000/1000</f>
        <v>2.282873819452246</v>
      </c>
      <c r="AE33" s="260">
        <f>IF($C33="","",VLOOKUP($C33+$F$11*1000,DSS_Calc!$A:$JV,AE$30,FALSE))</f>
        <v>798.55037868624356</v>
      </c>
      <c r="AF33" s="259">
        <f>IF($C33="","",VLOOKUP($C33+$F$11*1000,DSS_Calc!$A:$JV,AF$30,FALSE))</f>
        <v>2.4353610930154241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54</v>
      </c>
      <c r="D34" s="396" t="str">
        <f>"Scenario " &amp; A34</f>
        <v>Scenario A</v>
      </c>
      <c r="E34" s="272" t="s">
        <v>2</v>
      </c>
      <c r="F34" s="397">
        <f>IF($C34="","",VLOOKUP($C34+$F$11*1000,DSS_Calc!$A:$JV,F$30,FALSE))</f>
        <v>1250</v>
      </c>
      <c r="G34" s="397" t="str">
        <f>IF($C34="","",VLOOKUP($C34+$F$11*1000,DSS_Calc!$A:$JV,G$30,FALSE))</f>
        <v>0/0/0/3.9</v>
      </c>
      <c r="H34" s="397">
        <f>IF($C34="","",VLOOKUP($C34+$F$11*1000,DSS_Calc!$A:$JV,H$30,FALSE))</f>
        <v>0</v>
      </c>
      <c r="I34" s="397">
        <f>IF($C34="","",VLOOKUP($C34+$F$11*1000,DSS_Calc!$A:$JV,I$30,FALSE))</f>
        <v>0</v>
      </c>
      <c r="J34" s="397">
        <f>IF($C34="","",VLOOKUP($C34+$F$11*1000,DSS_Calc!$A:$JV,J$30,FALSE))</f>
        <v>4232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2000.0000000000002</v>
      </c>
      <c r="R34" s="397">
        <f>IF($C34="","",VLOOKUP($C34+$F$11*1000,DSS_Calc!$A:$JV,R$30,FALSE)*IF(V34=0,0,1))</f>
        <v>3616.0858588668275</v>
      </c>
      <c r="S34" s="397">
        <f>IF($C34="","",VLOOKUP($C34+$F$11*1000,DSS_Calc!$A:$JV,S$30,FALSE)*IF(W34=0,0,1))</f>
        <v>5378.7109265464023</v>
      </c>
      <c r="T34" s="294" t="s">
        <v>2</v>
      </c>
      <c r="U34" s="398">
        <f>IF($C34="","",VLOOKUP($C34+$F$11*1000,DSS_Calc!$A:$JV,U$30,FALSE))</f>
        <v>0.41349565009498263</v>
      </c>
      <c r="V34" s="398">
        <f>IF($C34="","",VLOOKUP($C34+$F$11*1000,DSS_Calc!$A:$JV,V$30,FALSE))</f>
        <v>0.48057430770126991</v>
      </c>
      <c r="W34" s="398">
        <f>IF($C34="","",VLOOKUP($C34+$F$11*1000,DSS_Calc!$A:$JV,W$30,FALSE))</f>
        <v>0.10593004220374744</v>
      </c>
      <c r="X34" s="294" t="s">
        <v>2</v>
      </c>
      <c r="Y34" s="397">
        <f t="shared" si="0"/>
        <v>826.99130018996539</v>
      </c>
      <c r="Z34" s="397">
        <f t="shared" si="0"/>
        <v>1737.7979582132775</v>
      </c>
      <c r="AA34" s="397">
        <f t="shared" si="0"/>
        <v>569.76707545081786</v>
      </c>
      <c r="AB34" s="294" t="s">
        <v>2</v>
      </c>
      <c r="AC34" s="397">
        <f>SUM(Y34:AA34)</f>
        <v>3134.5563338540605</v>
      </c>
      <c r="AD34" s="399">
        <f>AC34*AE34/1000/1000</f>
        <v>2.6624724777640196</v>
      </c>
      <c r="AE34" s="400">
        <f>IF($C34="","",VLOOKUP($C34+$F$11*1000,DSS_Calc!$A:$JV,AE$30,FALSE))</f>
        <v>849.39372408420058</v>
      </c>
      <c r="AF34" s="399">
        <f>IF($C34="","",VLOOKUP($C34+$F$11*1000,DSS_Calc!$A:$JV,AF$30,FALSE))</f>
        <v>2.3561703409874797</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0/0/0/3.9, -360 Lease</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f>AI35/((Q35*U34+R35*V34+S35*W34)/(VLOOKUP($C34+$F$11*1000,DSS_Calc!$A:$JV,DSS_Calc!BX$92,FALSE)-$AC$33))</f>
        <v>3.5229807165138762</v>
      </c>
      <c r="B35" s="402"/>
      <c r="C35" s="564">
        <f>AI35/(AC35/(VLOOKUP($C34+$F$11*1000,DSS_Calc!$A:$JV,DSS_Calc!BX$92,FALSE)-$AC$33))</f>
        <v>3.8869387402879889</v>
      </c>
      <c r="D35" s="403" t="s">
        <v>141</v>
      </c>
      <c r="F35" s="404">
        <f>ROUND(F34-F$33,0)</f>
        <v>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0</v>
      </c>
      <c r="R35" s="404">
        <f t="shared" si="2"/>
        <v>712.50136271903602</v>
      </c>
      <c r="S35" s="404">
        <f t="shared" si="2"/>
        <v>-360</v>
      </c>
      <c r="T35" s="294"/>
      <c r="U35" s="405">
        <f>U34-U$33</f>
        <v>-5.0269513403827626E-2</v>
      </c>
      <c r="V35" s="405">
        <f>V34-V$33</f>
        <v>7.6340272851197655E-2</v>
      </c>
      <c r="W35" s="405">
        <f>W34-W$33</f>
        <v>-2.6070759447370112E-2</v>
      </c>
      <c r="X35" s="294"/>
      <c r="Y35" s="404">
        <f>Y34-Y$33</f>
        <v>-100.53902680765498</v>
      </c>
      <c r="Z35" s="404">
        <f>Z34-Z$33</f>
        <v>564.07028180734164</v>
      </c>
      <c r="AA35" s="404">
        <f>AA34-AA$33</f>
        <v>-187.74736729733479</v>
      </c>
      <c r="AB35" s="294"/>
      <c r="AC35" s="404">
        <f>IFERROR(AC34-AC$33,NA())</f>
        <v>275.78388770235142</v>
      </c>
      <c r="AD35" s="406">
        <f>AD34-AD$33</f>
        <v>0.37959865831177364</v>
      </c>
      <c r="AE35" s="407">
        <f t="shared" ref="AE35:AF49" si="3">AE34-AE$33</f>
        <v>50.843345397957023</v>
      </c>
      <c r="AF35" s="406">
        <f t="shared" si="3"/>
        <v>-7.9190752027944455E-2</v>
      </c>
      <c r="AG35" s="408">
        <f>AF35/AF$33</f>
        <v>-3.2517047371357882E-2</v>
      </c>
      <c r="AH35" s="405"/>
      <c r="AI35" s="408">
        <f>IFERROR(AE35/$AE$33,NA())</f>
        <v>6.3669552673186761E-2</v>
      </c>
      <c r="AJ35" s="289"/>
      <c r="AK35" s="749"/>
      <c r="AL35" s="750">
        <f>$AE34*U34-$AE$33*U$33</f>
        <v>-19.119236806667743</v>
      </c>
      <c r="AM35" s="750">
        <f>$AE34*V34-$AE$33*V$33</f>
        <v>85.395559310174804</v>
      </c>
      <c r="AN35" s="750">
        <f>$AE34*W34-$AE$33*W$33</f>
        <v>-15.432977105550066</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53</v>
      </c>
      <c r="D36" s="261" t="str">
        <f>"Scenario " &amp; A36</f>
        <v>Scenario B</v>
      </c>
      <c r="E36" s="272" t="s">
        <v>2</v>
      </c>
      <c r="F36" s="262">
        <f>IF($C36="","",VLOOKUP($C36+$F$11*1000,DSS_Calc!$A:$JV,F$30,FALSE))</f>
        <v>1250</v>
      </c>
      <c r="G36" s="262" t="str">
        <f>IF($C36="","",VLOOKUP($C36+$F$11*1000,DSS_Calc!$A:$JV,G$30,FALSE))</f>
        <v>0/0/0/3.9</v>
      </c>
      <c r="H36" s="262">
        <f>IF($C36="","",VLOOKUP($C36+$F$11*1000,DSS_Calc!$A:$JV,H$30,FALSE))</f>
        <v>0</v>
      </c>
      <c r="I36" s="262">
        <f>IF($C36="","",VLOOKUP($C36+$F$11*1000,DSS_Calc!$A:$JV,I$30,FALSE))</f>
        <v>0</v>
      </c>
      <c r="J36" s="262">
        <f>IF($C36="","",VLOOKUP($C36+$F$11*1000,DSS_Calc!$A:$JV,J$30,FALSE))</f>
        <v>4232</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2000.0000000000002</v>
      </c>
      <c r="R36" s="262">
        <f>IF($C36="","",VLOOKUP($C36+$F$11*1000,DSS_Calc!$A:$JV,R$30,FALSE)*IF(V36=0,0,1))</f>
        <v>3616.0858588668275</v>
      </c>
      <c r="S36" s="262">
        <f>IF($C36="","",VLOOKUP($C36+$F$11*1000,DSS_Calc!$A:$JV,S$30,FALSE)*IF(W36=0,0,1))</f>
        <v>5378.7109265464023</v>
      </c>
      <c r="T36" s="294" t="s">
        <v>2</v>
      </c>
      <c r="U36" s="263">
        <f>IF($C36="","",VLOOKUP($C36+$F$11*1000,DSS_Calc!$A:$JV,U$30,FALSE))</f>
        <v>0.41349565009498263</v>
      </c>
      <c r="V36" s="263">
        <f>IF($C36="","",VLOOKUP($C36+$F$11*1000,DSS_Calc!$A:$JV,V$30,FALSE))</f>
        <v>0.48057430770126991</v>
      </c>
      <c r="W36" s="263">
        <f>IF($C36="","",VLOOKUP($C36+$F$11*1000,DSS_Calc!$A:$JV,W$30,FALSE))</f>
        <v>0.10593004220374744</v>
      </c>
      <c r="X36" s="294" t="s">
        <v>2</v>
      </c>
      <c r="Y36" s="262">
        <f>IF(U36=0,0,U36*Q36)</f>
        <v>826.99130018996539</v>
      </c>
      <c r="Z36" s="262">
        <f>IF(V36=0,0,V36*R36)</f>
        <v>1737.7979582132775</v>
      </c>
      <c r="AA36" s="262">
        <f>IF(W36=0,0,W36*S36)</f>
        <v>569.76707545081786</v>
      </c>
      <c r="AB36" s="294" t="s">
        <v>2</v>
      </c>
      <c r="AC36" s="262">
        <f>SUM(Y36:AA36)</f>
        <v>3134.5563338540605</v>
      </c>
      <c r="AD36" s="264">
        <f>AC36*AE36/1000/1000</f>
        <v>2.6624724777640196</v>
      </c>
      <c r="AE36" s="265">
        <f>IF($C36="","",VLOOKUP($C36+$F$11*1000,DSS_Calc!$A:$JV,AE$30,FALSE))</f>
        <v>849.39372408420058</v>
      </c>
      <c r="AF36" s="264">
        <f>IF($C36="","",VLOOKUP($C36+$F$11*1000,DSS_Calc!$A:$JV,AF$30,FALSE))</f>
        <v>2.3561703409874797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0/0/0/3.9, -360 Lease</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f>AI37/((Q37*U36+R37*V36+S37*W36)/(VLOOKUP($C36+$F$11*1000,DSS_Calc!$A:$JV,DSS_Calc!BX$92,FALSE)-$AC$33))</f>
        <v>3.5229807165138762</v>
      </c>
      <c r="B37" s="402"/>
      <c r="C37" s="564">
        <f>AI37/(AC37/(VLOOKUP($C36+$F$11*1000,DSS_Calc!$A:$JV,DSS_Calc!BX$92,FALSE)-$AC$33))</f>
        <v>3.8869387402879889</v>
      </c>
      <c r="D37" s="266" t="s">
        <v>141</v>
      </c>
      <c r="F37" s="267">
        <f>ROUND(F36-F$33,0)</f>
        <v>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0</v>
      </c>
      <c r="R37" s="267">
        <f t="shared" si="5"/>
        <v>712.50136271903602</v>
      </c>
      <c r="S37" s="267">
        <f t="shared" si="5"/>
        <v>-360</v>
      </c>
      <c r="T37" s="294"/>
      <c r="U37" s="268">
        <f>U36-U$33</f>
        <v>-5.0269513403827626E-2</v>
      </c>
      <c r="V37" s="268">
        <f>V36-V$33</f>
        <v>7.6340272851197655E-2</v>
      </c>
      <c r="W37" s="268">
        <f>W36-W$33</f>
        <v>-2.6070759447370112E-2</v>
      </c>
      <c r="X37" s="294"/>
      <c r="Y37" s="267">
        <f>Y36-Y$33</f>
        <v>-100.53902680765498</v>
      </c>
      <c r="Z37" s="267">
        <f>Z36-Z$33</f>
        <v>564.07028180734164</v>
      </c>
      <c r="AA37" s="267">
        <f>AA36-AA$33</f>
        <v>-187.74736729733479</v>
      </c>
      <c r="AB37" s="294"/>
      <c r="AC37" s="267">
        <f>IFERROR(AC36-AC$33,NA())</f>
        <v>275.78388770235142</v>
      </c>
      <c r="AD37" s="269">
        <f>AD36-AD$33</f>
        <v>0.37959865831177364</v>
      </c>
      <c r="AE37" s="270">
        <f t="shared" si="3"/>
        <v>50.843345397957023</v>
      </c>
      <c r="AF37" s="269">
        <f t="shared" si="3"/>
        <v>-7.9190752027944455E-2</v>
      </c>
      <c r="AG37" s="301">
        <f>AF37/AF$33</f>
        <v>-3.2517047371357882E-2</v>
      </c>
      <c r="AH37" s="268"/>
      <c r="AI37" s="301">
        <f>IFERROR(AE37/$AE$33,NA())</f>
        <v>6.3669552673186761E-2</v>
      </c>
      <c r="AJ37" s="289"/>
      <c r="AK37" s="749"/>
      <c r="AL37" s="750">
        <f>$AE36*U36-$AE$33*U$33</f>
        <v>-19.119236806667743</v>
      </c>
      <c r="AM37" s="750">
        <f>$AE36*V36-$AE$33*V$33</f>
        <v>85.395559310174804</v>
      </c>
      <c r="AN37" s="750">
        <f>$AE36*W36-$AE$33*W$33</f>
        <v>-15.432977105550066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52</v>
      </c>
      <c r="D38" s="396" t="str">
        <f>"Scenario " &amp; A38</f>
        <v>Scenario C</v>
      </c>
      <c r="E38" s="272" t="s">
        <v>2</v>
      </c>
      <c r="F38" s="397">
        <f>IF($C38="","",VLOOKUP($C38+$F$11*1000,DSS_Calc!$A:$JV,F$30,FALSE))</f>
        <v>1250</v>
      </c>
      <c r="G38" s="397" t="str">
        <f>IF($C38="","",VLOOKUP($C38+$F$11*1000,DSS_Calc!$A:$JV,G$30,FALSE))</f>
        <v>0/0/0/3.9</v>
      </c>
      <c r="H38" s="397">
        <f>IF($C38="","",VLOOKUP($C38+$F$11*1000,DSS_Calc!$A:$JV,H$30,FALSE))</f>
        <v>0</v>
      </c>
      <c r="I38" s="397">
        <f>IF($C38="","",VLOOKUP($C38+$F$11*1000,DSS_Calc!$A:$JV,I$30,FALSE))</f>
        <v>0</v>
      </c>
      <c r="J38" s="397">
        <f>IF($C38="","",VLOOKUP($C38+$F$11*1000,DSS_Calc!$A:$JV,J$30,FALSE))</f>
        <v>4232</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2000.0000000000002</v>
      </c>
      <c r="R38" s="397">
        <f>IF($C38="","",VLOOKUP($C38+$F$11*1000,DSS_Calc!$A:$JV,R$30,FALSE)*IF(V38=0,0,1))</f>
        <v>3616.0858588668275</v>
      </c>
      <c r="S38" s="397">
        <f>IF($C38="","",VLOOKUP($C38+$F$11*1000,DSS_Calc!$A:$JV,S$30,FALSE)*IF(W38=0,0,1))</f>
        <v>5378.7109265464023</v>
      </c>
      <c r="T38" s="294" t="s">
        <v>2</v>
      </c>
      <c r="U38" s="398">
        <f>IF($C38="","",VLOOKUP($C38+$F$11*1000,DSS_Calc!$A:$JV,U$30,FALSE))</f>
        <v>0.41349565009498263</v>
      </c>
      <c r="V38" s="398">
        <f>IF($C38="","",VLOOKUP($C38+$F$11*1000,DSS_Calc!$A:$JV,V$30,FALSE))</f>
        <v>0.48057430770126991</v>
      </c>
      <c r="W38" s="398">
        <f>IF($C38="","",VLOOKUP($C38+$F$11*1000,DSS_Calc!$A:$JV,W$30,FALSE))</f>
        <v>0.10593004220374744</v>
      </c>
      <c r="X38" s="294" t="s">
        <v>2</v>
      </c>
      <c r="Y38" s="397">
        <f>IF(U38=0,0,U38*Q38)</f>
        <v>826.99130018996539</v>
      </c>
      <c r="Z38" s="397">
        <f>IF(V38=0,0,V38*R38)</f>
        <v>1737.7979582132775</v>
      </c>
      <c r="AA38" s="397">
        <f>IF(W38=0,0,W38*S38)</f>
        <v>569.76707545081786</v>
      </c>
      <c r="AB38" s="294" t="s">
        <v>2</v>
      </c>
      <c r="AC38" s="397">
        <f>SUM(Y38:AA38)</f>
        <v>3134.5563338540605</v>
      </c>
      <c r="AD38" s="399">
        <f>AC38*AE38/1000/1000</f>
        <v>2.6624724777640196</v>
      </c>
      <c r="AE38" s="400">
        <f>IF($C38="","",VLOOKUP($C38+$F$11*1000,DSS_Calc!$A:$JV,AE$30,FALSE))</f>
        <v>849.39372408420058</v>
      </c>
      <c r="AF38" s="399">
        <f>IF($C38="","",VLOOKUP($C38+$F$11*1000,DSS_Calc!$A:$JV,AF$30,FALSE))</f>
        <v>2.3561703409874797</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0/0/0/3.9, -360 Lease</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f>AI39/((Q39*U38+R39*V38+S39*W38)/(VLOOKUP($C38+$F$11*1000,DSS_Calc!$A:$JV,DSS_Calc!BX$92,FALSE)-$AC$33))</f>
        <v>3.5229807165138762</v>
      </c>
      <c r="B39" s="402"/>
      <c r="C39" s="564">
        <f>AI39/(AC39/(VLOOKUP($C38+$F$11*1000,DSS_Calc!$A:$JV,DSS_Calc!BX$92,FALSE)-$AC$33))</f>
        <v>3.8869387402879889</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712.50136271903602</v>
      </c>
      <c r="S39" s="404">
        <f t="shared" si="7"/>
        <v>-360</v>
      </c>
      <c r="T39" s="294"/>
      <c r="U39" s="405">
        <f>U38-U$33</f>
        <v>-5.0269513403827626E-2</v>
      </c>
      <c r="V39" s="405">
        <f>V38-V$33</f>
        <v>7.6340272851197655E-2</v>
      </c>
      <c r="W39" s="405">
        <f>W38-W$33</f>
        <v>-2.6070759447370112E-2</v>
      </c>
      <c r="X39" s="294"/>
      <c r="Y39" s="404">
        <f>Y38-Y$33</f>
        <v>-100.53902680765498</v>
      </c>
      <c r="Z39" s="404">
        <f>Z38-Z$33</f>
        <v>564.07028180734164</v>
      </c>
      <c r="AA39" s="404">
        <f>AA38-AA$33</f>
        <v>-187.74736729733479</v>
      </c>
      <c r="AB39" s="294"/>
      <c r="AC39" s="404">
        <f>IFERROR(AC38-AC$33,NA())</f>
        <v>275.78388770235142</v>
      </c>
      <c r="AD39" s="406">
        <f>AD38-AD$33</f>
        <v>0.37959865831177364</v>
      </c>
      <c r="AE39" s="407">
        <f t="shared" si="3"/>
        <v>50.843345397957023</v>
      </c>
      <c r="AF39" s="406">
        <f t="shared" si="3"/>
        <v>-7.9190752027944455E-2</v>
      </c>
      <c r="AG39" s="408">
        <f>AF39/AF$33</f>
        <v>-3.2517047371357882E-2</v>
      </c>
      <c r="AH39" s="405"/>
      <c r="AI39" s="408">
        <f>IFERROR(AE39/$AE$33,NA())</f>
        <v>6.3669552673186761E-2</v>
      </c>
      <c r="AJ39" s="289"/>
      <c r="AK39" s="749"/>
      <c r="AL39" s="750">
        <f>$AE38*U38-$AE$33*U$33</f>
        <v>-19.119236806667743</v>
      </c>
      <c r="AM39" s="750">
        <f>$AE38*V38-$AE$33*V$33</f>
        <v>85.395559310174804</v>
      </c>
      <c r="AN39" s="750">
        <f>$AE38*W38-$AE$33*W$33</f>
        <v>-15.432977105550066</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35</v>
      </c>
      <c r="D40" s="261" t="str">
        <f>"Scenario " &amp; A40</f>
        <v>Scenario D</v>
      </c>
      <c r="E40" s="272" t="s">
        <v>2</v>
      </c>
      <c r="F40" s="262">
        <f>IF($C40="","",VLOOKUP($C40+$F$11*1000,DSS_Calc!$A:$JV,F$30,FALSE))</f>
        <v>1500</v>
      </c>
      <c r="G40" s="262" t="str">
        <f>IF($C40="","",VLOOKUP($C40+$F$11*1000,DSS_Calc!$A:$JV,G$30,FALSE))</f>
        <v>0/0/0.9/3.9</v>
      </c>
      <c r="H40" s="262">
        <f>IF($C40="","",VLOOKUP($C40+$F$11*1000,DSS_Calc!$A:$JV,H$30,FALSE))</f>
        <v>0</v>
      </c>
      <c r="I40" s="262">
        <f>IF($C40="","",VLOOKUP($C40+$F$11*1000,DSS_Calc!$A:$JV,I$30,FALSE))</f>
        <v>0</v>
      </c>
      <c r="J40" s="262">
        <f>IF($C40="","",VLOOKUP($C40+$F$11*1000,DSS_Calc!$A:$JV,J$30,FALSE))</f>
        <v>4592</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2250</v>
      </c>
      <c r="R40" s="262">
        <f>IF($C40="","",VLOOKUP($C40+$F$11*1000,DSS_Calc!$A:$JV,R$30,FALSE)*IF(V40=0,0,1))</f>
        <v>3247.8990248634004</v>
      </c>
      <c r="S40" s="262">
        <f>IF($C40="","",VLOOKUP($C40+$F$11*1000,DSS_Calc!$A:$JV,S$30,FALSE)*IF(W40=0,0,1))</f>
        <v>5738.7109265464023</v>
      </c>
      <c r="T40" s="294" t="s">
        <v>2</v>
      </c>
      <c r="U40" s="263">
        <f>IF($C40="","",VLOOKUP($C40+$F$11*1000,DSS_Calc!$A:$JV,U$30,FALSE))</f>
        <v>0.45329991190528668</v>
      </c>
      <c r="V40" s="263">
        <f>IF($C40="","",VLOOKUP($C40+$F$11*1000,DSS_Calc!$A:$JV,V$30,FALSE))</f>
        <v>0.42569421365617832</v>
      </c>
      <c r="W40" s="263">
        <f>IF($C40="","",VLOOKUP($C40+$F$11*1000,DSS_Calc!$A:$JV,W$30,FALSE))</f>
        <v>0.12100587443853497</v>
      </c>
      <c r="X40" s="294" t="s">
        <v>2</v>
      </c>
      <c r="Y40" s="262">
        <f>IF(U40=0,0,U40*Q40)</f>
        <v>1019.924801786895</v>
      </c>
      <c r="Z40" s="262">
        <f>IF(V40=0,0,V40*R40)</f>
        <v>1382.6118214238936</v>
      </c>
      <c r="AA40" s="262">
        <f>IF(W40=0,0,W40*S40)</f>
        <v>694.4177338167226</v>
      </c>
      <c r="AB40" s="294" t="s">
        <v>2</v>
      </c>
      <c r="AC40" s="262">
        <f>SUM(Y40:AA40)</f>
        <v>3096.9543570275109</v>
      </c>
      <c r="AD40" s="264">
        <f>AC40*AE40/1000/1000</f>
        <v>2.6068650083354474</v>
      </c>
      <c r="AE40" s="265">
        <f>IF($C40="","",VLOOKUP($C40+$F$11*1000,DSS_Calc!$A:$JV,AE$30,FALSE))</f>
        <v>841.75118771771099</v>
      </c>
      <c r="AF40" s="264">
        <f>IF($C40="","",VLOOKUP($C40+$F$11*1000,DSS_Calc!$A:$JV,AF$30,FALSE))</f>
        <v>2.366621884294648</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0/0/0.9/3.9</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f>AI41/((Q41*U40+R41*V40+S41*W40)/(VLOOKUP($C40+$F$11*1000,DSS_Calc!$A:$JV,DSS_Calc!BX$92,FALSE)-$AC$33))</f>
        <v>3.5045474405813324</v>
      </c>
      <c r="B41" s="402"/>
      <c r="C41" s="564">
        <f>AI41/(AC41/(VLOOKUP($C40+$F$11*1000,DSS_Calc!$A:$JV,DSS_Calc!BX$92,FALSE)-$AC$33))</f>
        <v>3.8240676958186715</v>
      </c>
      <c r="D41" s="266" t="s">
        <v>141</v>
      </c>
      <c r="F41" s="267">
        <f>ROUND(F40-F$33,0)</f>
        <v>250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250.00000000000023</v>
      </c>
      <c r="R41" s="267">
        <f t="shared" si="9"/>
        <v>344.31452871560896</v>
      </c>
      <c r="S41" s="267">
        <f t="shared" si="9"/>
        <v>0</v>
      </c>
      <c r="T41" s="294"/>
      <c r="U41" s="268">
        <f>U40-U$33</f>
        <v>-1.0465251593523572E-2</v>
      </c>
      <c r="V41" s="268">
        <f>V40-V$33</f>
        <v>2.1460178806106067E-2</v>
      </c>
      <c r="W41" s="268">
        <f>W40-W$33</f>
        <v>-1.0994927212582578E-2</v>
      </c>
      <c r="X41" s="294"/>
      <c r="Y41" s="267">
        <f>Y40-Y$33</f>
        <v>92.394474789274682</v>
      </c>
      <c r="Z41" s="267">
        <f>Z40-Z$33</f>
        <v>208.88414501795774</v>
      </c>
      <c r="AA41" s="267">
        <f>AA40-AA$33</f>
        <v>-63.096708931430044</v>
      </c>
      <c r="AB41" s="294"/>
      <c r="AC41" s="267">
        <f>IFERROR(AC40-AC$33,NA())</f>
        <v>238.1819108758018</v>
      </c>
      <c r="AD41" s="269">
        <f>AD40-AD$33</f>
        <v>0.32399118888320144</v>
      </c>
      <c r="AE41" s="270">
        <f t="shared" si="3"/>
        <v>43.200809031467429</v>
      </c>
      <c r="AF41" s="269">
        <f t="shared" si="3"/>
        <v>-6.8739208720776102E-2</v>
      </c>
      <c r="AG41" s="301">
        <f>AF41/AF$33</f>
        <v>-2.8225468871092271E-2</v>
      </c>
      <c r="AH41" s="268"/>
      <c r="AI41" s="301">
        <f>IFERROR(AE41/$AE$33,NA())</f>
        <v>5.4099040191478452E-2</v>
      </c>
      <c r="AJ41" s="289"/>
      <c r="AK41" s="749"/>
      <c r="AL41" s="750">
        <f>$AE40*U40-$AE$33*U$33</f>
        <v>11.22589230514626</v>
      </c>
      <c r="AM41" s="750">
        <f>$AE40*V40-$AE$33*V$33</f>
        <v>35.527368342251748</v>
      </c>
      <c r="AN41" s="750">
        <f>$AE40*W40-$AE$33*W$33</f>
        <v>-3.5524516159306216</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49</v>
      </c>
      <c r="D42" s="396" t="str">
        <f>"Scenario " &amp; A42</f>
        <v>Scenario E</v>
      </c>
      <c r="E42" s="272" t="s">
        <v>2</v>
      </c>
      <c r="F42" s="397">
        <f>IF($C42="","",VLOOKUP($C42+$F$11*1000,DSS_Calc!$A:$JV,F$30,FALSE))</f>
        <v>2000</v>
      </c>
      <c r="G42" s="397" t="str">
        <f>IF($C42="","",VLOOKUP($C42+$F$11*1000,DSS_Calc!$A:$JV,G$30,FALSE))</f>
        <v>0/0.9/1.9/3.9</v>
      </c>
      <c r="H42" s="397">
        <f>IF($C42="","",VLOOKUP($C42+$F$11*1000,DSS_Calc!$A:$JV,H$30,FALSE))</f>
        <v>0</v>
      </c>
      <c r="I42" s="397">
        <f>IF($C42="","",VLOOKUP($C42+$F$11*1000,DSS_Calc!$A:$JV,I$30,FALSE))</f>
        <v>0</v>
      </c>
      <c r="J42" s="397">
        <f>IF($C42="","",VLOOKUP($C42+$F$11*1000,DSS_Calc!$A:$JV,J$30,FALSE))</f>
        <v>4232</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2750</v>
      </c>
      <c r="R42" s="397">
        <f>IF($C42="","",VLOOKUP($C42+$F$11*1000,DSS_Calc!$A:$JV,R$30,FALSE)*IF(V42=0,0,1))</f>
        <v>2903.7143775577551</v>
      </c>
      <c r="S42" s="397">
        <f>IF($C42="","",VLOOKUP($C42+$F$11*1000,DSS_Calc!$A:$JV,S$30,FALSE)*IF(W42=0,0,1))</f>
        <v>5378.7109265464023</v>
      </c>
      <c r="T42" s="294" t="s">
        <v>2</v>
      </c>
      <c r="U42" s="398">
        <f>IF($C42="","",VLOOKUP($C42+$F$11*1000,DSS_Calc!$A:$JV,U$30,FALSE))</f>
        <v>0.519860467716727</v>
      </c>
      <c r="V42" s="398">
        <f>IF($C42="","",VLOOKUP($C42+$F$11*1000,DSS_Calc!$A:$JV,V$30,FALSE))</f>
        <v>0.37686811037802737</v>
      </c>
      <c r="W42" s="398">
        <f>IF($C42="","",VLOOKUP($C42+$F$11*1000,DSS_Calc!$A:$JV,W$30,FALSE))</f>
        <v>0.10327142190524553</v>
      </c>
      <c r="X42" s="294" t="s">
        <v>2</v>
      </c>
      <c r="Y42" s="397">
        <f>IF(U42=0,0,U42*Q42)</f>
        <v>1429.6162862209992</v>
      </c>
      <c r="Z42" s="397">
        <f>IF(V42=0,0,V42*R42)</f>
        <v>1094.3173505477012</v>
      </c>
      <c r="AA42" s="397">
        <f>IF(W42=0,0,W42*S42)</f>
        <v>555.46712540172769</v>
      </c>
      <c r="AB42" s="294" t="s">
        <v>2</v>
      </c>
      <c r="AC42" s="397">
        <f>SUM(Y42:AA42)</f>
        <v>3079.4007621704277</v>
      </c>
      <c r="AD42" s="399">
        <f>AC42*AE42/1000/1000</f>
        <v>2.5835937606318513</v>
      </c>
      <c r="AE42" s="400">
        <f>IF($C42="","",VLOOKUP($C42+$F$11*1000,DSS_Calc!$A:$JV,AE$30,FALSE))</f>
        <v>838.99237552012528</v>
      </c>
      <c r="AF42" s="399">
        <f>IF($C42="","",VLOOKUP($C42+$F$11*1000,DSS_Calc!$A:$JV,AF$30,FALSE))</f>
        <v>2.3735926901288087</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+750 CC, -360 Lease</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f>AI43/((Q43*U42+R43*V42+S43*W42)/(VLOOKUP($C42+$F$11*1000,DSS_Calc!$A:$JV,DSS_Calc!BX$92,FALSE)-$AC$33))</f>
        <v>2.4170610191832242</v>
      </c>
      <c r="B43" s="402"/>
      <c r="C43" s="564">
        <f>AI43/(AC43/(VLOOKUP($C42+$F$11*1000,DSS_Calc!$A:$JV,DSS_Calc!BX$92,FALSE)-$AC$33))</f>
        <v>3.8646823845966916</v>
      </c>
      <c r="D43" s="403" t="s">
        <v>141</v>
      </c>
      <c r="F43" s="404">
        <f>ROUND(F42-F$33,0)</f>
        <v>750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750.00000000000023</v>
      </c>
      <c r="R43" s="404">
        <f t="shared" si="11"/>
        <v>0.12988140996367292</v>
      </c>
      <c r="S43" s="404">
        <f t="shared" si="11"/>
        <v>-360</v>
      </c>
      <c r="T43" s="294"/>
      <c r="U43" s="405">
        <f>U42-U$33</f>
        <v>5.6095304217916753E-2</v>
      </c>
      <c r="V43" s="405">
        <f>V42-V$33</f>
        <v>-2.7365924472044889E-2</v>
      </c>
      <c r="W43" s="405">
        <f>W42-W$33</f>
        <v>-2.8729379745872016E-2</v>
      </c>
      <c r="X43" s="294"/>
      <c r="Y43" s="404">
        <f>Y42-Y$33</f>
        <v>502.08595922337884</v>
      </c>
      <c r="Z43" s="404">
        <f>Z42-Z$33</f>
        <v>-79.410325858234728</v>
      </c>
      <c r="AA43" s="404">
        <f>AA42-AA$33</f>
        <v>-202.04731734642496</v>
      </c>
      <c r="AB43" s="294"/>
      <c r="AC43" s="404">
        <f>IFERROR(AC42-AC$33,NA())</f>
        <v>220.62831601871858</v>
      </c>
      <c r="AD43" s="406">
        <f>AD42-AD$33</f>
        <v>0.30071994117960532</v>
      </c>
      <c r="AE43" s="407">
        <f t="shared" si="3"/>
        <v>40.441996833881717</v>
      </c>
      <c r="AF43" s="406">
        <f t="shared" si="3"/>
        <v>-6.1768402886615448E-2</v>
      </c>
      <c r="AG43" s="408">
        <f>AF43/AF$33</f>
        <v>-2.5363139397999838E-2</v>
      </c>
      <c r="AH43" s="405"/>
      <c r="AI43" s="408">
        <f>IFERROR(AE43/$AE$33,NA())</f>
        <v>5.0644264799443145E-2</v>
      </c>
      <c r="AJ43" s="289"/>
      <c r="AK43" s="751"/>
      <c r="AL43" s="750">
        <f>$AE42*U42-$AE$33*U$33</f>
        <v>65.819121815197605</v>
      </c>
      <c r="AM43" s="750">
        <f>$AE42*V42-$AE$33*V$33</f>
        <v>-6.6117704235514339</v>
      </c>
      <c r="AN43" s="750">
        <f>$AE42*W42-$AE$33*W$33</f>
        <v>-18.765354557764596</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51</v>
      </c>
      <c r="D44" s="261" t="str">
        <f>"Scenario " &amp; A44</f>
        <v>Scenario F</v>
      </c>
      <c r="E44" s="272" t="s">
        <v>2</v>
      </c>
      <c r="F44" s="262">
        <f>IF($C44="","",VLOOKUP($C44+$F$11*1000,DSS_Calc!$A:$JV,F$30,FALSE))</f>
        <v>1250</v>
      </c>
      <c r="G44" s="262" t="str">
        <f>IF($C44="","",VLOOKUP($C44+$F$11*1000,DSS_Calc!$A:$JV,G$30,FALSE))</f>
        <v>0/0/0.9/3.9</v>
      </c>
      <c r="H44" s="262">
        <f>IF($C44="","",VLOOKUP($C44+$F$11*1000,DSS_Calc!$A:$JV,H$30,FALSE))</f>
        <v>0</v>
      </c>
      <c r="I44" s="262">
        <f>IF($C44="","",VLOOKUP($C44+$F$11*1000,DSS_Calc!$A:$JV,I$30,FALSE))</f>
        <v>0</v>
      </c>
      <c r="J44" s="262">
        <f>IF($C44="","",VLOOKUP($C44+$F$11*1000,DSS_Calc!$A:$JV,J$30,FALSE))</f>
        <v>4232</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2000.0000000000002</v>
      </c>
      <c r="R44" s="262">
        <f>IF($C44="","",VLOOKUP($C44+$F$11*1000,DSS_Calc!$A:$JV,R$30,FALSE)*IF(V44=0,0,1))</f>
        <v>3247.9082429224177</v>
      </c>
      <c r="S44" s="262">
        <f>IF($C44="","",VLOOKUP($C44+$F$11*1000,DSS_Calc!$A:$JV,S$30,FALSE)*IF(W44=0,0,1))</f>
        <v>5378.7109265464023</v>
      </c>
      <c r="T44" s="294" t="s">
        <v>2</v>
      </c>
      <c r="U44" s="263">
        <f>IF($C44="","",VLOOKUP($C44+$F$11*1000,DSS_Calc!$A:$JV,U$30,FALSE))</f>
        <v>0.44528159743444834</v>
      </c>
      <c r="V44" s="263">
        <f>IF($C44="","",VLOOKUP($C44+$F$11*1000,DSS_Calc!$A:$JV,V$30,FALSE))</f>
        <v>0.4425504153389368</v>
      </c>
      <c r="W44" s="263">
        <f>IF($C44="","",VLOOKUP($C44+$F$11*1000,DSS_Calc!$A:$JV,W$30,FALSE))</f>
        <v>0.11216798722661489</v>
      </c>
      <c r="X44" s="294" t="s">
        <v>2</v>
      </c>
      <c r="Y44" s="262">
        <f>IF(U44=0,0,U44*Q44)</f>
        <v>890.56319486889674</v>
      </c>
      <c r="Z44" s="262">
        <f>IF(V44=0,0,V44*R44)</f>
        <v>1437.3631418880723</v>
      </c>
      <c r="AA44" s="262">
        <f>IF(W44=0,0,W44*S44)</f>
        <v>603.31917850451077</v>
      </c>
      <c r="AB44" s="294" t="s">
        <v>2</v>
      </c>
      <c r="AC44" s="262">
        <f>SUM(Y44:AA44)</f>
        <v>2931.2455152614803</v>
      </c>
      <c r="AD44" s="264">
        <f>AC44*AE44/1000/1000</f>
        <v>2.3950805628261405</v>
      </c>
      <c r="AE44" s="265">
        <f>IF($C44="","",VLOOKUP($C44+$F$11*1000,DSS_Calc!$A:$JV,AE$30,FALSE))</f>
        <v>817.08630353758963</v>
      </c>
      <c r="AF44" s="264">
        <f>IF($C44="","",VLOOKUP($C44+$F$11*1000,DSS_Calc!$A:$JV,AF$30,FALSE))</f>
        <v>2.432673861625708</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0/0/0.9/3.9, -360 Lease</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f>AI45/((Q45*U44+R45*V44+S45*W44)/(VLOOKUP($C44+$F$11*1000,DSS_Calc!$A:$JV,DSS_Calc!BX$92,FALSE)-$AC$33))</f>
        <v>3.489298748767323</v>
      </c>
      <c r="B45" s="402"/>
      <c r="C45" s="564">
        <f>AI45/(AC45/(VLOOKUP($C44+$F$11*1000,DSS_Calc!$A:$JV,DSS_Calc!BX$92,FALSE)-$AC$33))</f>
        <v>5.392374840083396</v>
      </c>
      <c r="D45" s="266" t="s">
        <v>141</v>
      </c>
      <c r="F45" s="267">
        <f>ROUND(F44-F$33,0)</f>
        <v>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0</v>
      </c>
      <c r="R45" s="267">
        <f t="shared" si="13"/>
        <v>344.32374677462622</v>
      </c>
      <c r="S45" s="267">
        <f t="shared" si="13"/>
        <v>-360</v>
      </c>
      <c r="T45" s="294"/>
      <c r="U45" s="268">
        <f>U44-U$33</f>
        <v>-1.8483566064361912E-2</v>
      </c>
      <c r="V45" s="268">
        <f>V44-V$33</f>
        <v>3.8316380488864543E-2</v>
      </c>
      <c r="W45" s="268">
        <f>W44-W$33</f>
        <v>-1.9832814424502659E-2</v>
      </c>
      <c r="X45" s="294"/>
      <c r="Y45" s="267">
        <f>Y44-Y$33</f>
        <v>-36.96713212872362</v>
      </c>
      <c r="Z45" s="267">
        <f>Z44-Z$33</f>
        <v>263.6354654821364</v>
      </c>
      <c r="AA45" s="267">
        <f>AA44-AA$33</f>
        <v>-154.19526424364187</v>
      </c>
      <c r="AB45" s="294"/>
      <c r="AC45" s="267">
        <f>IFERROR(AC44-AC$33,NA())</f>
        <v>72.473069109771131</v>
      </c>
      <c r="AD45" s="269">
        <f>AD44-AD$33</f>
        <v>0.11220674337389447</v>
      </c>
      <c r="AE45" s="270">
        <f t="shared" si="3"/>
        <v>18.535924851346067</v>
      </c>
      <c r="AF45" s="269">
        <f t="shared" si="3"/>
        <v>-2.6872313897161604E-3</v>
      </c>
      <c r="AG45" s="268">
        <f>AF45/AF$33</f>
        <v>-1.1034221567483755E-3</v>
      </c>
      <c r="AH45" s="268"/>
      <c r="AI45" s="301">
        <f>IFERROR(AE45/$AE$33,NA())</f>
        <v>2.3211966766381025E-2</v>
      </c>
      <c r="AJ45" s="289"/>
      <c r="AK45" s="751"/>
      <c r="AL45" s="750">
        <f>$AE44*U44-$AE$33*U$33</f>
        <v>-6.5063524524361469</v>
      </c>
      <c r="AM45" s="750">
        <f>$AE44*V44-$AE$33*V$33</f>
        <v>38.800641390923488</v>
      </c>
      <c r="AN45" s="750">
        <f>$AE44*W44-$AE$33*W$33</f>
        <v>-13.758364087141317</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48</v>
      </c>
      <c r="D46" s="396" t="str">
        <f>"Scenario " &amp; A46</f>
        <v>Scenario G</v>
      </c>
      <c r="E46" s="272" t="s">
        <v>2</v>
      </c>
      <c r="F46" s="397">
        <f>IF($C46="","",VLOOKUP($C46+$F$11*1000,DSS_Calc!$A:$JV,F$30,FALSE))</f>
        <v>1750</v>
      </c>
      <c r="G46" s="397" t="str">
        <f>IF($C46="","",VLOOKUP($C46+$F$11*1000,DSS_Calc!$A:$JV,G$30,FALSE))</f>
        <v>0/0.9/1.9/3.9</v>
      </c>
      <c r="H46" s="397">
        <f>IF($C46="","",VLOOKUP($C46+$F$11*1000,DSS_Calc!$A:$JV,H$30,FALSE))</f>
        <v>0</v>
      </c>
      <c r="I46" s="397">
        <f>IF($C46="","",VLOOKUP($C46+$F$11*1000,DSS_Calc!$A:$JV,I$30,FALSE))</f>
        <v>0</v>
      </c>
      <c r="J46" s="397">
        <f>IF($C46="","",VLOOKUP($C46+$F$11*1000,DSS_Calc!$A:$JV,J$30,FALSE))</f>
        <v>4232</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2499.9999999999995</v>
      </c>
      <c r="R46" s="397">
        <f>IF($C46="","",VLOOKUP($C46+$F$11*1000,DSS_Calc!$A:$JV,R$30,FALSE)*IF(V46=0,0,1))</f>
        <v>2903.6772967702263</v>
      </c>
      <c r="S46" s="397">
        <f>IF($C46="","",VLOOKUP($C46+$F$11*1000,DSS_Calc!$A:$JV,S$30,FALSE)*IF(W46=0,0,1))</f>
        <v>5378.7109265464023</v>
      </c>
      <c r="T46" s="294" t="s">
        <v>2</v>
      </c>
      <c r="U46" s="398">
        <f>IF($C46="","",VLOOKUP($C46+$F$11*1000,DSS_Calc!$A:$JV,U$30,FALSE))</f>
        <v>0.5045037382385954</v>
      </c>
      <c r="V46" s="398">
        <f>IF($C46="","",VLOOKUP($C46+$F$11*1000,DSS_Calc!$A:$JV,V$30,FALSE))</f>
        <v>0.38756620147725651</v>
      </c>
      <c r="W46" s="398">
        <f>IF($C46="","",VLOOKUP($C46+$F$11*1000,DSS_Calc!$A:$JV,W$30,FALSE))</f>
        <v>0.10793006028414812</v>
      </c>
      <c r="X46" s="294" t="s">
        <v>2</v>
      </c>
      <c r="Y46" s="397">
        <f>IF(U46=0,0,U46*Q46)</f>
        <v>1261.2593455964882</v>
      </c>
      <c r="Z46" s="397">
        <f>IF(V46=0,0,V46*R46)</f>
        <v>1125.3671802249851</v>
      </c>
      <c r="AA46" s="397">
        <f>IF(W46=0,0,W46*S46)</f>
        <v>580.52459455315932</v>
      </c>
      <c r="AB46" s="294" t="s">
        <v>2</v>
      </c>
      <c r="AC46" s="397">
        <f>SUM(Y46:AA46)</f>
        <v>2967.1511203746327</v>
      </c>
      <c r="AD46" s="399">
        <f>AC46*AE46/1000/1000</f>
        <v>2.4380312323705335</v>
      </c>
      <c r="AE46" s="400">
        <f>IF($C46="","",VLOOKUP($C46+$F$11*1000,DSS_Calc!$A:$JV,AE$30,FALSE))</f>
        <v>821.67410201294626</v>
      </c>
      <c r="AF46" s="399">
        <f>IF($C46="","",VLOOKUP($C46+$F$11*1000,DSS_Calc!$A:$JV,AF$30,FALSE))</f>
        <v>2.4168301993729595</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+500 CC, -360 Lease</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f>AI47/((Q47*U46+R47*V46+S47*W46)/(VLOOKUP($C46+$F$11*1000,DSS_Calc!$A:$JV,DSS_Calc!BX$92,FALSE)-$AC$33))</f>
        <v>2.284223706423441</v>
      </c>
      <c r="B47" s="402"/>
      <c r="C47" s="564">
        <f>AI47/(AC47/(VLOOKUP($C46+$F$11*1000,DSS_Calc!$A:$JV,DSS_Calc!BX$92,FALSE)-$AC$33))</f>
        <v>4.498382669421952</v>
      </c>
      <c r="D47" s="403" t="s">
        <v>141</v>
      </c>
      <c r="F47" s="404">
        <f>ROUND(F46-F$33,0)</f>
        <v>500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499.99999999999977</v>
      </c>
      <c r="R47" s="404">
        <f t="shared" si="15"/>
        <v>9.2800622434879187E-2</v>
      </c>
      <c r="S47" s="404">
        <f t="shared" si="15"/>
        <v>-360</v>
      </c>
      <c r="T47" s="294"/>
      <c r="U47" s="405">
        <f>U46-U$33</f>
        <v>4.0738574739785149E-2</v>
      </c>
      <c r="V47" s="405">
        <f>V46-V$33</f>
        <v>-1.6667833372815744E-2</v>
      </c>
      <c r="W47" s="405">
        <f>W46-W$33</f>
        <v>-2.4070741366969434E-2</v>
      </c>
      <c r="X47" s="294"/>
      <c r="Y47" s="404">
        <f>Y46-Y$33</f>
        <v>333.72901859886781</v>
      </c>
      <c r="Z47" s="404">
        <f>Z46-Z$33</f>
        <v>-48.360496180950804</v>
      </c>
      <c r="AA47" s="404">
        <f>AA46-AA$33</f>
        <v>-176.98984819499333</v>
      </c>
      <c r="AB47" s="294"/>
      <c r="AC47" s="404">
        <f>IFERROR(AC46-AC$33,NA())</f>
        <v>108.37867422292356</v>
      </c>
      <c r="AD47" s="406">
        <f>AD46-AD$33</f>
        <v>0.15515741291828755</v>
      </c>
      <c r="AE47" s="407">
        <f t="shared" si="3"/>
        <v>23.123723326702702</v>
      </c>
      <c r="AF47" s="406">
        <f t="shared" si="3"/>
        <v>-1.853089364246463E-2</v>
      </c>
      <c r="AG47" s="405">
        <f>AF47/AF$33</f>
        <v>-7.6090948876579041E-3</v>
      </c>
      <c r="AH47" s="405"/>
      <c r="AI47" s="408">
        <f>IFERROR(AE47/$AE$33,NA())</f>
        <v>2.8957125240796095E-2</v>
      </c>
      <c r="AJ47" s="289"/>
      <c r="AK47" s="751"/>
      <c r="AL47" s="750">
        <f>$AE46*U46-$AE$33*U$33</f>
        <v>44.197809145909787</v>
      </c>
      <c r="AM47" s="750">
        <f>$AE46*V46-$AE$33*V$33</f>
        <v>-4.3481310380000195</v>
      </c>
      <c r="AN47" s="750">
        <f>$AE46*W46-$AE$33*W$33</f>
        <v>-16.725954781207079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47</v>
      </c>
      <c r="D48" s="261" t="str">
        <f>"Scenario " &amp; A48</f>
        <v>Scenario H</v>
      </c>
      <c r="E48" s="272" t="s">
        <v>2</v>
      </c>
      <c r="F48" s="262">
        <f>IF($C48="","",VLOOKUP($C48+$F$11*1000,DSS_Calc!$A:$JV,F$30,FALSE))</f>
        <v>1500</v>
      </c>
      <c r="G48" s="262" t="str">
        <f>IF($C48="","",VLOOKUP($C48+$F$11*1000,DSS_Calc!$A:$JV,G$30,FALSE))</f>
        <v>0/0.9/1.9/3.9</v>
      </c>
      <c r="H48" s="262">
        <f>IF($C48="","",VLOOKUP($C48+$F$11*1000,DSS_Calc!$A:$JV,H$30,FALSE))</f>
        <v>0</v>
      </c>
      <c r="I48" s="262">
        <f>IF($C48="","",VLOOKUP($C48+$F$11*1000,DSS_Calc!$A:$JV,I$30,FALSE))</f>
        <v>0</v>
      </c>
      <c r="J48" s="262">
        <f>IF($C48="","",VLOOKUP($C48+$F$11*1000,DSS_Calc!$A:$JV,J$30,FALSE))</f>
        <v>4232</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2250</v>
      </c>
      <c r="R48" s="262">
        <f>IF($C48="","",VLOOKUP($C48+$F$11*1000,DSS_Calc!$A:$JV,R$30,FALSE)*IF(V48=0,0,1))</f>
        <v>2903.6391071020162</v>
      </c>
      <c r="S48" s="262">
        <f>IF($C48="","",VLOOKUP($C48+$F$11*1000,DSS_Calc!$A:$JV,S$30,FALSE)*IF(W48=0,0,1))</f>
        <v>5378.7109265464023</v>
      </c>
      <c r="T48" s="294" t="s">
        <v>2</v>
      </c>
      <c r="U48" s="263">
        <f>IF($C48="","",VLOOKUP($C48+$F$11*1000,DSS_Calc!$A:$JV,U$30,FALSE))</f>
        <v>0.48884979397300238</v>
      </c>
      <c r="V48" s="263">
        <f>IF($C48="","",VLOOKUP($C48+$F$11*1000,DSS_Calc!$A:$JV,V$30,FALSE))</f>
        <v>0.39839914347407307</v>
      </c>
      <c r="W48" s="263">
        <f>IF($C48="","",VLOOKUP($C48+$F$11*1000,DSS_Calc!$A:$JV,W$30,FALSE))</f>
        <v>0.11275106255292457</v>
      </c>
      <c r="X48" s="294" t="s">
        <v>2</v>
      </c>
      <c r="Y48" s="262">
        <f>IF(U48=0,0,U48*Q48)</f>
        <v>1099.9120364392554</v>
      </c>
      <c r="Z48" s="262">
        <f>IF(V48=0,0,V48*R48)</f>
        <v>1156.8073332272656</v>
      </c>
      <c r="AA48" s="262">
        <f>IF(W48=0,0,W48*S48)</f>
        <v>606.4553721331323</v>
      </c>
      <c r="AB48" s="294" t="s">
        <v>2</v>
      </c>
      <c r="AC48" s="262">
        <f>SUM(Y48:AA48)</f>
        <v>2863.174741799653</v>
      </c>
      <c r="AD48" s="264">
        <f>AC48*AE48/1000/1000</f>
        <v>2.3051514851798882</v>
      </c>
      <c r="AE48" s="265">
        <f>IF($C48="","",VLOOKUP($C48+$F$11*1000,DSS_Calc!$A:$JV,AE$30,FALSE))</f>
        <v>805.10331818971758</v>
      </c>
      <c r="AF48" s="264">
        <f>IF($C48="","",VLOOKUP($C48+$F$11*1000,DSS_Calc!$A:$JV,AF$30,FALSE))</f>
        <v>2.4518014703440576</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+250 CC, -360 Lease</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f>AI49/((Q49*U48+R49*V48+S49*W48)/(VLOOKUP($C48+$F$11*1000,DSS_Calc!$A:$JV,DSS_Calc!BX$92,FALSE)-$AC$33))</f>
        <v>1.6922140376525854</v>
      </c>
      <c r="B49" s="402"/>
      <c r="C49" s="564">
        <f>AI49/(AC49/(VLOOKUP($C48+$F$11*1000,DSS_Calc!$A:$JV,DSS_Calc!BX$92,FALSE)-$AC$33))</f>
        <v>31.383358661287989</v>
      </c>
      <c r="D49" s="266" t="s">
        <v>141</v>
      </c>
      <c r="F49" s="267">
        <f>ROUND(F48-F$33,0)</f>
        <v>250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250.00000000000023</v>
      </c>
      <c r="R49" s="267">
        <f t="shared" si="17"/>
        <v>5.4610954224699526E-2</v>
      </c>
      <c r="S49" s="267">
        <f t="shared" si="17"/>
        <v>-360</v>
      </c>
      <c r="T49" s="294"/>
      <c r="U49" s="268">
        <f>U48-U$33</f>
        <v>2.5084630474192127E-2</v>
      </c>
      <c r="V49" s="268">
        <f>V48-V$33</f>
        <v>-5.8348913759991849E-3</v>
      </c>
      <c r="W49" s="268">
        <f>W48-W$33</f>
        <v>-1.9249739098192983E-2</v>
      </c>
      <c r="X49" s="294"/>
      <c r="Y49" s="267">
        <f>Y48-Y$33</f>
        <v>172.38170944163505</v>
      </c>
      <c r="Z49" s="267">
        <f>Z48-Z$33</f>
        <v>-16.920343178670237</v>
      </c>
      <c r="AA49" s="267">
        <f>AA48-AA$33</f>
        <v>-151.05907061502035</v>
      </c>
      <c r="AB49" s="294"/>
      <c r="AC49" s="267">
        <f>IFERROR(AC48-AC$33,NA())</f>
        <v>4.4022956479439017</v>
      </c>
      <c r="AD49" s="269">
        <f>AD48-AD$33</f>
        <v>2.2277665727642226E-2</v>
      </c>
      <c r="AE49" s="270">
        <f t="shared" si="3"/>
        <v>6.5529395034740219</v>
      </c>
      <c r="AF49" s="269">
        <f t="shared" si="3"/>
        <v>1.644037732863346E-2</v>
      </c>
      <c r="AG49" s="268">
        <f>AF49/AF$33</f>
        <v>6.7506939220570586E-3</v>
      </c>
      <c r="AH49" s="268"/>
      <c r="AI49" s="301">
        <f>IFERROR(AE49/$AE$33,NA())</f>
        <v>8.2060439496062423E-3</v>
      </c>
      <c r="AJ49" s="289"/>
      <c r="AK49" s="751"/>
      <c r="AL49" s="750">
        <f>$AE48*U48-$AE$33*U$33</f>
        <v>23.234744290561423</v>
      </c>
      <c r="AM49" s="750">
        <f>$AE48*V48-$AE$33*V$33</f>
        <v>-2.0487692324757631</v>
      </c>
      <c r="AN49" s="750">
        <f>$AE48*W48-$AE$33*W$33</f>
        <v>-14.633035554611666</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87</v>
      </c>
      <c r="D50" s="396" t="str">
        <f>"Scenario " &amp; A50</f>
        <v>Scenario I</v>
      </c>
      <c r="E50" s="272" t="s">
        <v>2</v>
      </c>
      <c r="F50" s="397">
        <f>IF($C50="","",VLOOKUP($C50+$F$11*1000,DSS_Calc!$A:$JV,F$30,FALSE))</f>
        <v>1500</v>
      </c>
      <c r="G50" s="397" t="str">
        <f>IF($C50="","",VLOOKUP($C50+$F$11*1000,DSS_Calc!$A:$JV,G$30,FALSE))</f>
        <v>0/0.9/1.9/3.9</v>
      </c>
      <c r="H50" s="397">
        <f>IF($C50="","",VLOOKUP($C50+$F$11*1000,DSS_Calc!$A:$JV,H$30,FALSE))</f>
        <v>0</v>
      </c>
      <c r="I50" s="397">
        <f>IF($C50="","",VLOOKUP($C50+$F$11*1000,DSS_Calc!$A:$JV,I$30,FALSE))</f>
        <v>0</v>
      </c>
      <c r="J50" s="397">
        <f>IF($C50="","",VLOOKUP($C50+$F$11*1000,DSS_Calc!$A:$JV,J$30,FALSE))</f>
        <v>4412</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2250</v>
      </c>
      <c r="R50" s="397">
        <f>IF($C50="","",VLOOKUP($C50+$F$11*1000,DSS_Calc!$A:$JV,R$30,FALSE)*IF(V50=0,0,1))</f>
        <v>2903.6320646741806</v>
      </c>
      <c r="S50" s="397">
        <f>IF($C50="","",VLOOKUP($C50+$F$11*1000,DSS_Calc!$A:$JV,S$30,FALSE)*IF(W50=0,0,1))</f>
        <v>5558.7109265464023</v>
      </c>
      <c r="T50" s="294" t="s">
        <v>2</v>
      </c>
      <c r="U50" s="398">
        <f>IF($C50="","",VLOOKUP($C50+$F$11*1000,DSS_Calc!$A:$JV,U$30,FALSE))</f>
        <v>0.48436302702128559</v>
      </c>
      <c r="V50" s="398">
        <f>IF($C50="","",VLOOKUP($C50+$F$11*1000,DSS_Calc!$A:$JV,V$30,FALSE))</f>
        <v>0.39599719497046748</v>
      </c>
      <c r="W50" s="398">
        <f>IF($C50="","",VLOOKUP($C50+$F$11*1000,DSS_Calc!$A:$JV,W$30,FALSE))</f>
        <v>0.11963977800824696</v>
      </c>
      <c r="X50" s="294" t="s">
        <v>2</v>
      </c>
      <c r="Y50" s="397">
        <f>IF(U50=0,0,U50*Q50)</f>
        <v>1089.8168107978925</v>
      </c>
      <c r="Z50" s="397">
        <f>IF(V50=0,0,V50*R50)</f>
        <v>1149.8301528372826</v>
      </c>
      <c r="AA50" s="397">
        <f>IF(W50=0,0,W50*S50)</f>
        <v>665.0429412640284</v>
      </c>
      <c r="AB50" s="294" t="s">
        <v>2</v>
      </c>
      <c r="AC50" s="397">
        <f>SUM(Y50:AA50)</f>
        <v>2904.6899048992032</v>
      </c>
      <c r="AD50" s="399">
        <f>AC50*AE50/1000/1000</f>
        <v>2.3518243755958457</v>
      </c>
      <c r="AE50" s="400">
        <f>IF($C50="","",VLOOKUP($C50+$F$11*1000,DSS_Calc!$A:$JV,AE$30,FALSE))</f>
        <v>809.66452619576876</v>
      </c>
      <c r="AF50" s="399">
        <f>IF($C50="","",VLOOKUP($C50+$F$11*1000,DSS_Calc!$A:$JV,AF$30,FALSE))</f>
        <v>2.4320784774318538</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-180 Lease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f>AI51/((Q51*U50+R51*V50+S51*W50)/(VLOOKUP($C50+$F$11*1000,DSS_Calc!$A:$JV,DSS_Calc!BX$92,FALSE)-$AC$33))</f>
        <v>2.3532646891956879</v>
      </c>
      <c r="B51" s="402"/>
      <c r="C51" s="564">
        <f>AI51/(AC51/(VLOOKUP($C50+$F$11*1000,DSS_Calc!$A:$JV,DSS_Calc!BX$92,FALSE)-$AC$33))</f>
        <v>5.1031787299274747</v>
      </c>
      <c r="D51" s="403" t="s">
        <v>141</v>
      </c>
      <c r="F51" s="404">
        <f>ROUND(F50-F$33,0)</f>
        <v>250</v>
      </c>
      <c r="G51" s="404"/>
      <c r="H51" s="404"/>
      <c r="I51" s="404">
        <f t="shared" ref="I51:O51" si="18">ROUND(I50-I$33,0)</f>
        <v>0</v>
      </c>
      <c r="J51" s="404">
        <f t="shared" si="18"/>
        <v>-180</v>
      </c>
      <c r="K51" s="404">
        <f t="shared" si="18"/>
        <v>0</v>
      </c>
      <c r="L51" s="404">
        <f t="shared" si="18"/>
        <v>0</v>
      </c>
      <c r="M51" s="404">
        <f t="shared" si="18"/>
        <v>0</v>
      </c>
      <c r="N51" s="404">
        <f t="shared" si="18"/>
        <v>0</v>
      </c>
      <c r="O51" s="404">
        <f t="shared" si="18"/>
        <v>0</v>
      </c>
      <c r="P51" s="294"/>
      <c r="Q51" s="404">
        <f t="shared" ref="Q51:S51" si="19">Q50-Q$33</f>
        <v>250.00000000000023</v>
      </c>
      <c r="R51" s="404">
        <f t="shared" si="19"/>
        <v>4.7568526389113686E-2</v>
      </c>
      <c r="S51" s="404">
        <f t="shared" si="19"/>
        <v>-180</v>
      </c>
      <c r="T51" s="294"/>
      <c r="U51" s="405">
        <f>U50-U$33</f>
        <v>2.0597863522475335E-2</v>
      </c>
      <c r="V51" s="405">
        <f>V50-V$33</f>
        <v>-8.2368398796047737E-3</v>
      </c>
      <c r="W51" s="405">
        <f>W50-W$33</f>
        <v>-1.2361023642870589E-2</v>
      </c>
      <c r="X51" s="294"/>
      <c r="Y51" s="404">
        <f>Y50-Y$33</f>
        <v>162.28648380027209</v>
      </c>
      <c r="Z51" s="404">
        <f>Z50-Z$33</f>
        <v>-23.897523568653241</v>
      </c>
      <c r="AA51" s="404">
        <f>AA50-AA$33</f>
        <v>-92.471501484124246</v>
      </c>
      <c r="AB51" s="294"/>
      <c r="AC51" s="404">
        <f>IFERROR(AC50-AC$33,NA())</f>
        <v>45.917458747494038</v>
      </c>
      <c r="AD51" s="406">
        <f>AD50-AD$33</f>
        <v>6.8950556143599684E-2</v>
      </c>
      <c r="AE51" s="407">
        <f t="shared" ref="AE51:AF61" si="20">AE50-AE$33</f>
        <v>11.114147509525196</v>
      </c>
      <c r="AF51" s="406">
        <f t="shared" si="20"/>
        <v>-3.2826155835703474E-3</v>
      </c>
      <c r="AG51" s="405">
        <f>AF51/AF$33</f>
        <v>-1.3478968654729827E-3</v>
      </c>
      <c r="AH51" s="405"/>
      <c r="AI51" s="408">
        <f>IFERROR(AE51/$AE$33,NA())</f>
        <v>1.3917903999757576E-2</v>
      </c>
      <c r="AJ51" s="289"/>
      <c r="AK51" s="749"/>
      <c r="AL51" s="750">
        <f>$AE50*U50-$AE$33*U$33</f>
        <v>21.831713846474941</v>
      </c>
      <c r="AM51" s="750">
        <f>$AE50*V50-$AE$33*V$33</f>
        <v>-2.1763603667763505</v>
      </c>
      <c r="AN51" s="750">
        <f>$AE50*W50-$AE$33*W$33</f>
        <v>-8.541205970173408</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84</v>
      </c>
      <c r="D52" s="261" t="str">
        <f>"Scenario " &amp; A52</f>
        <v>Scenario J</v>
      </c>
      <c r="E52" s="272" t="s">
        <v>2</v>
      </c>
      <c r="F52" s="262">
        <f>IF($C52="","",VLOOKUP($C52+$F$11*1000,DSS_Calc!$A:$JV,F$30,FALSE))</f>
        <v>1000</v>
      </c>
      <c r="G52" s="262" t="str">
        <f>IF($C52="","",VLOOKUP($C52+$F$11*1000,DSS_Calc!$A:$JV,G$30,FALSE))</f>
        <v>0.9/1.9/2.9/3.9</v>
      </c>
      <c r="H52" s="262">
        <f>IF($C52="","",VLOOKUP($C52+$F$11*1000,DSS_Calc!$A:$JV,H$30,FALSE))</f>
        <v>0</v>
      </c>
      <c r="I52" s="262">
        <f>IF($C52="","",VLOOKUP($C52+$F$11*1000,DSS_Calc!$A:$JV,I$30,FALSE))</f>
        <v>0</v>
      </c>
      <c r="J52" s="262">
        <f>IF($C52="","",VLOOKUP($C52+$F$11*1000,DSS_Calc!$A:$JV,J$30,FALSE))</f>
        <v>4592</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1749.9999999999998</v>
      </c>
      <c r="R52" s="262">
        <f>IF($C52="","",VLOOKUP($C52+$F$11*1000,DSS_Calc!$A:$JV,R$30,FALSE)*IF(V52=0,0,1))</f>
        <v>2495.488669638296</v>
      </c>
      <c r="S52" s="262">
        <f>IF($C52="","",VLOOKUP($C52+$F$11*1000,DSS_Calc!$A:$JV,S$30,FALSE)*IF(W52=0,0,1))</f>
        <v>5738.7109265464023</v>
      </c>
      <c r="T52" s="294" t="s">
        <v>2</v>
      </c>
      <c r="U52" s="263">
        <f>IF($C52="","",VLOOKUP($C52+$F$11*1000,DSS_Calc!$A:$JV,U$30,FALSE))</f>
        <v>0.4759577283984644</v>
      </c>
      <c r="V52" s="263">
        <f>IF($C52="","",VLOOKUP($C52+$F$11*1000,DSS_Calc!$A:$JV,V$30,FALSE))</f>
        <v>0.37921024870328401</v>
      </c>
      <c r="W52" s="263">
        <f>IF($C52="","",VLOOKUP($C52+$F$11*1000,DSS_Calc!$A:$JV,W$30,FALSE))</f>
        <v>0.14483202289825159</v>
      </c>
      <c r="X52" s="294" t="s">
        <v>2</v>
      </c>
      <c r="Y52" s="262">
        <f>IF(U52=0,0,U52*Q52)</f>
        <v>832.92602469731264</v>
      </c>
      <c r="Z52" s="262">
        <f>IF(V52=0,0,V52*R52)</f>
        <v>946.31487904976552</v>
      </c>
      <c r="AA52" s="262">
        <f>IF(W52=0,0,W52*S52)</f>
        <v>831.14911232001509</v>
      </c>
      <c r="AB52" s="294" t="s">
        <v>2</v>
      </c>
      <c r="AC52" s="262">
        <f>SUM(Y52:AA52)</f>
        <v>2610.3900160670933</v>
      </c>
      <c r="AD52" s="264">
        <f>AC52*AE52/1000/1000</f>
        <v>1.9662012533645223</v>
      </c>
      <c r="AE52" s="265">
        <f>IF($C52="","",VLOOKUP($C52+$F$11*1000,DSS_Calc!$A:$JV,AE$30,FALSE))</f>
        <v>753.22125860980395</v>
      </c>
      <c r="AF52" s="264">
        <f>IF($C52="","",VLOOKUP($C52+$F$11*1000,DSS_Calc!$A:$JV,AF$30,FALSE))</f>
        <v>2.4842065531315045</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0.9/1.9/2.9/3.9</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f>AI53/((Q53*U52+R53*V52+S53*W52)/(VLOOKUP($C52+$F$11*1000,DSS_Calc!$A:$JV,DSS_Calc!BX$92,FALSE)-$AC$33))</f>
        <v>3.4912090722545486</v>
      </c>
      <c r="B53" s="402"/>
      <c r="C53" s="564">
        <f>AI53/(AC53/(VLOOKUP($C52+$F$11*1000,DSS_Calc!$A:$JV,DSS_Calc!BX$92,FALSE)-$AC$33))</f>
        <v>3.8476794504587422</v>
      </c>
      <c r="D53" s="266" t="s">
        <v>141</v>
      </c>
      <c r="F53" s="267">
        <f>ROUND(F52-F$33,0)</f>
        <v>-250</v>
      </c>
      <c r="G53" s="267"/>
      <c r="H53" s="267"/>
      <c r="I53" s="267">
        <f t="shared" ref="I53:O53" si="21">ROUND(I52-I$33,0)</f>
        <v>0</v>
      </c>
      <c r="J53" s="267">
        <f t="shared" si="21"/>
        <v>0</v>
      </c>
      <c r="K53" s="267">
        <f t="shared" si="21"/>
        <v>0</v>
      </c>
      <c r="L53" s="267">
        <f t="shared" si="21"/>
        <v>0</v>
      </c>
      <c r="M53" s="267">
        <f t="shared" si="21"/>
        <v>0</v>
      </c>
      <c r="N53" s="267">
        <f t="shared" si="21"/>
        <v>0</v>
      </c>
      <c r="O53" s="267">
        <f t="shared" si="21"/>
        <v>0</v>
      </c>
      <c r="P53" s="294"/>
      <c r="Q53" s="267">
        <f t="shared" ref="Q53:S53" si="22">Q52-Q$33</f>
        <v>-250</v>
      </c>
      <c r="R53" s="267">
        <f t="shared" si="22"/>
        <v>-408.09582650949551</v>
      </c>
      <c r="S53" s="267">
        <f t="shared" si="22"/>
        <v>0</v>
      </c>
      <c r="T53" s="294"/>
      <c r="U53" s="268">
        <f>U52-U$33</f>
        <v>1.2192564899654146E-2</v>
      </c>
      <c r="V53" s="268">
        <f>V52-V$33</f>
        <v>-2.5023786146788241E-2</v>
      </c>
      <c r="W53" s="268">
        <f>W52-W$33</f>
        <v>1.2831221247134039E-2</v>
      </c>
      <c r="X53" s="294"/>
      <c r="Y53" s="267">
        <f>Y52-Y$33</f>
        <v>-94.604302300307722</v>
      </c>
      <c r="Z53" s="267">
        <f>Z52-Z$33</f>
        <v>-227.41279735617036</v>
      </c>
      <c r="AA53" s="267">
        <f>AA52-AA$33</f>
        <v>73.634669571862446</v>
      </c>
      <c r="AB53" s="294"/>
      <c r="AC53" s="267">
        <f>IFERROR(AC52-AC$33,NA())</f>
        <v>-248.38243008461586</v>
      </c>
      <c r="AD53" s="269">
        <f>AD52-AD$33</f>
        <v>-0.31667256608772365</v>
      </c>
      <c r="AE53" s="270">
        <f t="shared" si="20"/>
        <v>-45.329120076439608</v>
      </c>
      <c r="AF53" s="269">
        <f t="shared" si="20"/>
        <v>4.8845460116080375E-2</v>
      </c>
      <c r="AG53" s="268">
        <f>AF53/AF$33</f>
        <v>2.00567629400701E-2</v>
      </c>
      <c r="AH53" s="268"/>
      <c r="AI53" s="301">
        <f>IFERROR(AE53/$AE$33,NA())</f>
        <v>-5.6764258444174827E-2</v>
      </c>
      <c r="AJ53" s="289"/>
      <c r="AK53" s="749"/>
      <c r="AL53" s="750">
        <f>$AE52*U52-$AE$33*U$33</f>
        <v>-11.838367704108009</v>
      </c>
      <c r="AM53" s="750">
        <f>$AE52*V52-$AE$33*V$33</f>
        <v>-37.172020801369001</v>
      </c>
      <c r="AN53" s="750">
        <f>$AE52*W52-$AE$33*W$33</f>
        <v>3.6812684290373596</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60</v>
      </c>
      <c r="D54" s="396" t="str">
        <f>"Scenario " &amp; A54</f>
        <v>Scenario K</v>
      </c>
      <c r="E54" s="272" t="s">
        <v>2</v>
      </c>
      <c r="F54" s="397">
        <f>IF($C54="","",VLOOKUP($C54+$F$11*1000,DSS_Calc!$A:$JV,F$30,FALSE))</f>
        <v>1750</v>
      </c>
      <c r="G54" s="397" t="str">
        <f>IF($C54="","",VLOOKUP($C54+$F$11*1000,DSS_Calc!$A:$JV,G$30,FALSE))</f>
        <v>0/0/0.9/3.9</v>
      </c>
      <c r="H54" s="397">
        <f>IF($C54="","",VLOOKUP($C54+$F$11*1000,DSS_Calc!$A:$JV,H$30,FALSE))</f>
        <v>0</v>
      </c>
      <c r="I54" s="397">
        <f>IF($C54="","",VLOOKUP($C54+$F$11*1000,DSS_Calc!$A:$JV,I$30,FALSE))</f>
        <v>0</v>
      </c>
      <c r="J54" s="397">
        <f>IF($C54="","",VLOOKUP($C54+$F$11*1000,DSS_Calc!$A:$JV,J$30,FALSE))</f>
        <v>4232</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2500</v>
      </c>
      <c r="R54" s="397">
        <f>IF($C54="","",VLOOKUP($C54+$F$11*1000,DSS_Calc!$A:$JV,R$30,FALSE)*IF(V54=0,0,1))</f>
        <v>3247.8757119937804</v>
      </c>
      <c r="S54" s="397">
        <f>IF($C54="","",VLOOKUP($C54+$F$11*1000,DSS_Calc!$A:$JV,S$30,FALSE)*IF(W54=0,0,1))</f>
        <v>5378.7109265464023</v>
      </c>
      <c r="T54" s="294" t="s">
        <v>2</v>
      </c>
      <c r="U54" s="398">
        <f>IF($C54="","",VLOOKUP($C54+$F$11*1000,DSS_Calc!$A:$JV,U$30,FALSE))</f>
        <v>0.47763910181544866</v>
      </c>
      <c r="V54" s="398">
        <f>IF($C54="","",VLOOKUP($C54+$F$11*1000,DSS_Calc!$A:$JV,V$30,FALSE))</f>
        <v>0.41912545611073659</v>
      </c>
      <c r="W54" s="398">
        <f>IF($C54="","",VLOOKUP($C54+$F$11*1000,DSS_Calc!$A:$JV,W$30,FALSE))</f>
        <v>0.1032354420738148</v>
      </c>
      <c r="X54" s="294" t="s">
        <v>2</v>
      </c>
      <c r="Y54" s="397">
        <f>IF(U54=0,0,U54*Q54)</f>
        <v>1194.0977545386218</v>
      </c>
      <c r="Z54" s="397">
        <f>IF(V54=0,0,V54*R54)</f>
        <v>1361.2673891803765</v>
      </c>
      <c r="AA54" s="397">
        <f>IF(W54=0,0,W54*S54)</f>
        <v>555.27360028927581</v>
      </c>
      <c r="AB54" s="294" t="s">
        <v>2</v>
      </c>
      <c r="AC54" s="397">
        <f>SUM(Y54:AA54)</f>
        <v>3110.638744008274</v>
      </c>
      <c r="AD54" s="399">
        <f>AC54*AE54/1000/1000</f>
        <v>2.6405256732397842</v>
      </c>
      <c r="AE54" s="400">
        <f>IF($C54="","",VLOOKUP($C54+$F$11*1000,DSS_Calc!$A:$JV,AE$30,FALSE))</f>
        <v>848.86928073083914</v>
      </c>
      <c r="AF54" s="399">
        <f>IF($C54="","",VLOOKUP($C54+$F$11*1000,DSS_Calc!$A:$JV,AF$30,FALSE))</f>
        <v>2.3750184719583789</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CC, 0/0/0.9/3.9, -360 Lease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f>AI55/((Q55*U54+R55*V54+S55*W54)/(VLOOKUP($C54+$F$11*1000,DSS_Calc!$A:$JV,DSS_Calc!BX$92,FALSE)-$AC$33))</f>
        <v>3.0665690652556656</v>
      </c>
      <c r="B55" s="402"/>
      <c r="C55" s="564">
        <f>AI55/(AC55/(VLOOKUP($C54+$F$11*1000,DSS_Calc!$A:$JV,DSS_Calc!BX$92,FALSE)-$AC$33))</f>
        <v>4.2121474400875911</v>
      </c>
      <c r="D55" s="403" t="s">
        <v>141</v>
      </c>
      <c r="F55" s="404">
        <f>ROUND(F54-F$33,0)</f>
        <v>500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500.00000000000023</v>
      </c>
      <c r="R55" s="404">
        <f t="shared" si="24"/>
        <v>344.29121584598897</v>
      </c>
      <c r="S55" s="404">
        <f t="shared" si="24"/>
        <v>-360</v>
      </c>
      <c r="T55" s="294"/>
      <c r="U55" s="405">
        <f>U54-U$33</f>
        <v>1.3873938316638412E-2</v>
      </c>
      <c r="V55" s="405">
        <f>V54-V$33</f>
        <v>1.4891421260664339E-2</v>
      </c>
      <c r="W55" s="405">
        <f>W54-W$33</f>
        <v>-2.8765359577302752E-2</v>
      </c>
      <c r="X55" s="294"/>
      <c r="Y55" s="404">
        <f>Y54-Y$33</f>
        <v>266.56742754100139</v>
      </c>
      <c r="Z55" s="404">
        <f>Z54-Z$33</f>
        <v>187.53971277444066</v>
      </c>
      <c r="AA55" s="404">
        <f>AA54-AA$33</f>
        <v>-202.24084245887684</v>
      </c>
      <c r="AB55" s="294"/>
      <c r="AC55" s="404">
        <f>IFERROR(AC54-AC$33,NA())</f>
        <v>251.86629785656487</v>
      </c>
      <c r="AD55" s="406">
        <f>AD54-AD$33</f>
        <v>0.35765185378753817</v>
      </c>
      <c r="AE55" s="407">
        <f t="shared" si="20"/>
        <v>50.318902044595575</v>
      </c>
      <c r="AF55" s="406">
        <f t="shared" si="20"/>
        <v>-6.0342621057045243E-2</v>
      </c>
      <c r="AG55" s="405">
        <f>AF55/AF$33</f>
        <v>-2.4777689530356257E-2</v>
      </c>
      <c r="AH55" s="405"/>
      <c r="AI55" s="408">
        <f>IFERROR(AE55/$AE$33,NA())</f>
        <v>6.3012808443443549E-2</v>
      </c>
      <c r="AJ55" s="289"/>
      <c r="AK55" s="749"/>
      <c r="AL55" s="750">
        <f>$AE54*U54-$AE$33*U$33</f>
        <v>35.113313873541358</v>
      </c>
      <c r="AM55" s="750">
        <f>$AE54*V54-$AE$33*V$33</f>
        <v>32.981482857312471</v>
      </c>
      <c r="AN55" s="750">
        <f>$AE54*W54-$AE$33*W$33</f>
        <v>-17.775894686258269</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59</v>
      </c>
      <c r="D56" s="261" t="str">
        <f>"Scenario " &amp; A56</f>
        <v>Scenario L</v>
      </c>
      <c r="E56" s="272" t="s">
        <v>2</v>
      </c>
      <c r="F56" s="262">
        <f>IF($C56="","",VLOOKUP($C56+$F$11*1000,DSS_Calc!$A:$JV,F$30,FALSE))</f>
        <v>1500</v>
      </c>
      <c r="G56" s="262" t="str">
        <f>IF($C56="","",VLOOKUP($C56+$F$11*1000,DSS_Calc!$A:$JV,G$30,FALSE))</f>
        <v>0/0/0.9/3.9</v>
      </c>
      <c r="H56" s="262">
        <f>IF($C56="","",VLOOKUP($C56+$F$11*1000,DSS_Calc!$A:$JV,H$30,FALSE))</f>
        <v>0</v>
      </c>
      <c r="I56" s="262">
        <f>IF($C56="","",VLOOKUP($C56+$F$11*1000,DSS_Calc!$A:$JV,I$30,FALSE))</f>
        <v>0</v>
      </c>
      <c r="J56" s="262">
        <f>IF($C56="","",VLOOKUP($C56+$F$11*1000,DSS_Calc!$A:$JV,J$30,FALSE))</f>
        <v>4232</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2250</v>
      </c>
      <c r="R56" s="262">
        <f>IF($C56="","",VLOOKUP($C56+$F$11*1000,DSS_Calc!$A:$JV,R$30,FALSE)*IF(V56=0,0,1))</f>
        <v>3247.8917043718034</v>
      </c>
      <c r="S56" s="262">
        <f>IF($C56="","",VLOOKUP($C56+$F$11*1000,DSS_Calc!$A:$JV,S$30,FALSE)*IF(W56=0,0,1))</f>
        <v>5378.7109265464023</v>
      </c>
      <c r="T56" s="294" t="s">
        <v>2</v>
      </c>
      <c r="U56" s="263">
        <f>IF($C56="","",VLOOKUP($C56+$F$11*1000,DSS_Calc!$A:$JV,U$30,FALSE))</f>
        <v>0.46158087988905067</v>
      </c>
      <c r="V56" s="263">
        <f>IF($C56="","",VLOOKUP($C56+$F$11*1000,DSS_Calc!$A:$JV,V$30,FALSE))</f>
        <v>0.4307808691521699</v>
      </c>
      <c r="W56" s="263">
        <f>IF($C56="","",VLOOKUP($C56+$F$11*1000,DSS_Calc!$A:$JV,W$30,FALSE))</f>
        <v>0.10763825095877946</v>
      </c>
      <c r="X56" s="294" t="s">
        <v>2</v>
      </c>
      <c r="Y56" s="262">
        <f>IF(U56=0,0,U56*Q56)</f>
        <v>1038.556979750364</v>
      </c>
      <c r="Z56" s="262">
        <f>IF(V56=0,0,V56*R56)</f>
        <v>1399.129611321408</v>
      </c>
      <c r="AA56" s="262">
        <f>IF(W56=0,0,W56*S56)</f>
        <v>578.95503654633092</v>
      </c>
      <c r="AB56" s="294" t="s">
        <v>2</v>
      </c>
      <c r="AC56" s="262">
        <f>SUM(Y56:AA56)</f>
        <v>3016.641627618103</v>
      </c>
      <c r="AD56" s="264">
        <f>AC56*AE56/1000/1000</f>
        <v>2.5116813297065352</v>
      </c>
      <c r="AE56" s="265">
        <f>IF($C56="","",VLOOKUP($C56+$F$11*1000,DSS_Calc!$A:$JV,AE$30,FALSE))</f>
        <v>832.60845660666791</v>
      </c>
      <c r="AF56" s="264">
        <f>IF($C56="","",VLOOKUP($C56+$F$11*1000,DSS_Calc!$A:$JV,AF$30,FALSE))</f>
        <v>2.4077857361539623</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+250 CC, 0/0/0.9/3.9, -360 Lease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f>AI57/((Q57*U56+R57*V56+S57*W56)/(VLOOKUP($C56+$F$11*1000,DSS_Calc!$A:$JV,DSS_Calc!BX$92,FALSE)-$AC$33))</f>
        <v>3.1918680352771864</v>
      </c>
      <c r="B57" s="402"/>
      <c r="C57" s="564">
        <f>AI57/(AC57/(VLOOKUP($C56+$F$11*1000,DSS_Calc!$A:$JV,DSS_Calc!BX$92,FALSE)-$AC$33))</f>
        <v>4.5484690562653247</v>
      </c>
      <c r="D57" s="266" t="s">
        <v>141</v>
      </c>
      <c r="F57" s="267">
        <f>ROUND(F56-F$33,0)</f>
        <v>250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250.00000000000023</v>
      </c>
      <c r="R57" s="267">
        <f t="shared" si="26"/>
        <v>344.3072082240119</v>
      </c>
      <c r="S57" s="267">
        <f t="shared" si="26"/>
        <v>-360</v>
      </c>
      <c r="T57" s="294"/>
      <c r="U57" s="268">
        <f>U56-U$33</f>
        <v>-2.1842836097595852E-3</v>
      </c>
      <c r="V57" s="268">
        <f>V56-V$33</f>
        <v>2.6546834302097644E-2</v>
      </c>
      <c r="W57" s="268">
        <f>W56-W$33</f>
        <v>-2.4362550692338086E-2</v>
      </c>
      <c r="X57" s="294"/>
      <c r="Y57" s="267">
        <f>Y56-Y$33</f>
        <v>111.02665275274364</v>
      </c>
      <c r="Z57" s="267">
        <f>Z56-Z$33</f>
        <v>225.40193491547211</v>
      </c>
      <c r="AA57" s="267">
        <f>AA56-AA$33</f>
        <v>-178.55940620182173</v>
      </c>
      <c r="AB57" s="294"/>
      <c r="AC57" s="267">
        <f>IFERROR(AC56-AC$33,NA())</f>
        <v>157.86918146639391</v>
      </c>
      <c r="AD57" s="269">
        <f>AD56-AD$33</f>
        <v>0.22880751025428925</v>
      </c>
      <c r="AE57" s="270">
        <f t="shared" si="20"/>
        <v>34.058077920424353</v>
      </c>
      <c r="AF57" s="269">
        <f t="shared" si="20"/>
        <v>-2.7575356861461842E-2</v>
      </c>
      <c r="AG57" s="268">
        <f>AF57/AF$33</f>
        <v>-1.1322902768114148E-2</v>
      </c>
      <c r="AH57" s="268"/>
      <c r="AI57" s="301">
        <f>IFERROR(AE57/$AE$33,NA())</f>
        <v>4.2649880119593593E-2</v>
      </c>
      <c r="AJ57" s="289"/>
      <c r="AK57" s="749"/>
      <c r="AL57" s="750">
        <f>$AE56*U56-$AE$33*U$33</f>
        <v>13.976297070107648</v>
      </c>
      <c r="AM57" s="750">
        <f>$AE56*V56-$AE$33*V$33</f>
        <v>35.870552993073773</v>
      </c>
      <c r="AN57" s="750">
        <f>$AE56*W56-$AE$33*W$33</f>
        <v>-15.788772142757082</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disablePrompts="1"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824</v>
      </c>
      <c r="F11" s="245">
        <v>6</v>
      </c>
      <c r="G11" s="565" t="str">
        <f>INDEX(Input!$1:$1048576,2,$F$11*2+6)&amp;" ("&amp;INDEX(Input!$1:$1048576,11,$F$11*2+6)&amp;")"</f>
        <v>MY20 Kia Forte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768</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771</v>
      </c>
      <c r="BA12" s="389"/>
      <c r="BC12" s="781"/>
      <c r="BD12" s="781"/>
      <c r="BE12" s="781"/>
      <c r="BF12" s="781"/>
      <c r="BG12" s="781"/>
      <c r="BH12" s="781"/>
      <c r="BI12" s="781"/>
      <c r="BJ12" s="781"/>
      <c r="BK12" s="781"/>
      <c r="BL12" s="781"/>
    </row>
    <row r="13" spans="1:64" ht="15.75" customHeight="1" thickBot="1">
      <c r="A13" s="389" t="str">
        <f>ROUND(INDEX(DSS_Calc!KA:KA,MATCH($F$11*1000+6,DSS_Calc!A:A,0)),2)&amp;" (Scen 6)"</f>
        <v>0 (Scen 6)</v>
      </c>
      <c r="B13" s="275"/>
      <c r="D13" s="1149" t="str">
        <f>UPPER("SCENARIO OPTIONS: MY"&amp;RIGHT(Input!$H9,2)&amp;" "&amp;Input!H$7&amp;" "&amp;Input!H$3&amp;" - National")</f>
        <v>SCENARIO OPTIONS: MY20 KIA FORTE - NATIONAL</v>
      </c>
      <c r="E13" s="1149"/>
      <c r="F13" s="1149"/>
      <c r="G13" s="1149"/>
      <c r="H13" s="1149"/>
      <c r="I13" s="1149"/>
      <c r="J13" s="1149"/>
      <c r="K13" s="1149"/>
      <c r="L13" s="1149"/>
      <c r="M13" s="1149"/>
      <c r="N13" s="1149"/>
      <c r="O13" s="1149"/>
      <c r="P13" s="1149"/>
      <c r="Q13" s="1149"/>
      <c r="R13" s="1149"/>
      <c r="S13" s="1149"/>
      <c r="T13" s="1149"/>
      <c r="U13" s="1149"/>
      <c r="V13" s="1149"/>
      <c r="W13" s="1149"/>
      <c r="X13" s="1149"/>
      <c r="Y13" s="1149"/>
      <c r="Z13" s="1149"/>
      <c r="AA13" s="1149"/>
      <c r="AB13" s="1149"/>
      <c r="AC13" s="1149"/>
      <c r="AD13" s="1149"/>
      <c r="AE13" s="1149"/>
      <c r="AF13" s="1149"/>
      <c r="AG13" s="1149"/>
      <c r="AH13" s="1149"/>
      <c r="AI13" s="1149"/>
      <c r="AJ13" s="781"/>
      <c r="AK13" s="781"/>
      <c r="AL13" s="235"/>
      <c r="AM13" s="235"/>
      <c r="AN13" s="1147" t="s">
        <v>770</v>
      </c>
      <c r="AO13" s="1148"/>
      <c r="AP13" s="1148"/>
      <c r="AQ13" s="1148"/>
      <c r="AR13" s="1148"/>
      <c r="AS13" s="712">
        <f>INDEX(DSS_Calc!$KL:$KL,MATCH($F$11*1000+3,DSS_Calc!$A:$A,0))</f>
        <v>0</v>
      </c>
      <c r="AT13" s="712">
        <f>INDEX(DSS_Calc!$KL:$KL,MATCH($F$11*1000+4,DSS_Calc!$A:$A,0))</f>
        <v>0</v>
      </c>
      <c r="AU13" s="712">
        <f>INDEX(DSS_Calc!$KL:$KL,MATCH($F$11*1000+5,DSS_Calc!$A:$A,0))</f>
        <v>0</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43" t="str">
        <f>"Scen. # to check price sensitivity order vs #"&amp;INDEX(DSS_Calc!KN:KN,MATCH(F11*1000+1,DSS_Calc!A:A,0))</f>
        <v>Scen. # to check price sensitivity order vs #6002</v>
      </c>
      <c r="AO14" s="1144"/>
      <c r="AP14" s="1144"/>
      <c r="AQ14" s="1144"/>
      <c r="AR14" s="1144"/>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45" t="s">
        <v>779</v>
      </c>
      <c r="AO15" s="1146"/>
      <c r="AP15" s="1146"/>
      <c r="AQ15" s="1146"/>
      <c r="AR15" s="1146"/>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41" t="str">
        <f>"Implied Elast w/o Take Rate Shifts vs #"&amp;INDEX(DSS_Calc!KN:KN,MATCH(F11*1000+1,DSS_Calc!A:A,0))</f>
        <v>Implied Elast w/o Take Rate Shifts vs #6002</v>
      </c>
      <c r="AO16" s="1142"/>
      <c r="AP16" s="1142"/>
      <c r="AQ16" s="1142"/>
      <c r="AR16" s="1142"/>
      <c r="AS16" s="722">
        <f>INDEX(DSS_Calc!$KR:$KR,MATCH($F$11*1000+AS14,DSS_Calc!$A:$A,0))</f>
        <v>2.5186752026810422</v>
      </c>
      <c r="AT16" s="722">
        <f>INDEX(DSS_Calc!$KR:$KR,MATCH($F$11*1000+AT14,DSS_Calc!$A:$A,0))</f>
        <v>3.206466953992213</v>
      </c>
      <c r="AU16" s="722">
        <f>INDEX(DSS_Calc!$KR:$KR,MATCH($F$11*1000+AU14,DSS_Calc!$A:$A,0))</f>
        <v>3.4970641948821779</v>
      </c>
      <c r="AV16" s="783" t="str">
        <f>IF(AND(AS16&lt;AT16,AT16&lt;AU16,AS16&lt;AW16),"ok","error in order")</f>
        <v>error in order</v>
      </c>
      <c r="AW16" s="723">
        <f>ROUND(INDEX(DSS_Calc!KA:KA,MATCH($F$11*1000+6,DSS_Calc!A:A,0)),2)</f>
        <v>0</v>
      </c>
      <c r="AX16" s="235"/>
      <c r="AY16" s="235"/>
      <c r="AZ16" s="585" t="s">
        <v>878</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43" t="s">
        <v>875</v>
      </c>
      <c r="AO17" s="1144"/>
      <c r="AP17" s="1144"/>
      <c r="AQ17" s="1144"/>
      <c r="AR17" s="1144"/>
      <c r="AS17" s="725">
        <f>INDEX(DSS_Calc!IE:IE,MATCH($F$11*1000+2,DSS_Calc!$A:$A,0))-INDEX(DSS_Calc!IE:IE,MATCH($F$11*1000+1,DSS_Calc!$A:$A,0))</f>
        <v>1.1293393282466035E-3</v>
      </c>
      <c r="AT17" s="725">
        <f>INDEX(DSS_Calc!IF:IF,MATCH($F$11*1000+2,DSS_Calc!$A:$A,0))-INDEX(DSS_Calc!IF:IF,MATCH($F$11*1000+1,DSS_Calc!$A:$A,0))</f>
        <v>5.3379280907367432E-4</v>
      </c>
      <c r="AU17" s="725">
        <f>INDEX(DSS_Calc!IG:IG,MATCH($F$11*1000+2,DSS_Calc!$A:$A,0))-INDEX(DSS_Calc!IG:IG,MATCH($F$11*1000+1,DSS_Calc!$A:$A,0))</f>
        <v>-1.6631321373202224E-3</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41" t="s">
        <v>769</v>
      </c>
      <c r="AO18" s="1142"/>
      <c r="AP18" s="1142"/>
      <c r="AQ18" s="1142"/>
      <c r="AR18" s="1142"/>
      <c r="AS18" s="726">
        <f>INDEX(DSS_Calc!JA:JA,MATCH($F$11*1000+2,DSS_Calc!$A:$A,0))-INDEX(DSS_Calc!JA:JA,MATCH($F$11*1000+1,DSS_Calc!$A:$A,0))</f>
        <v>400</v>
      </c>
      <c r="AT18" s="726">
        <f>INDEX(DSS_Calc!JB:JB,MATCH($F$11*1000+2,DSS_Calc!$A:$A,0))-INDEX(DSS_Calc!JB:JB,MATCH($F$11*1000+1,DSS_Calc!$A:$A,0))</f>
        <v>400.07038480634856</v>
      </c>
      <c r="AU18" s="726">
        <f>INDEX(DSS_Calc!JC:JC,MATCH($F$11*1000+2,DSS_Calc!$A:$A,0))-INDEX(DSS_Calc!JC:JC,MATCH($F$11*1000+1,DSS_Calc!$A:$A,0))</f>
        <v>257.88372958855871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43" t="s">
        <v>879</v>
      </c>
      <c r="AO19" s="1144"/>
      <c r="AP19" s="1144"/>
      <c r="AQ19" s="1144"/>
      <c r="AR19" s="1144"/>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45" t="s">
        <v>876</v>
      </c>
      <c r="AO20" s="1146"/>
      <c r="AP20" s="1146"/>
      <c r="AQ20" s="1146"/>
      <c r="AR20" s="1146"/>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41" t="s">
        <v>877</v>
      </c>
      <c r="AO21" s="1142"/>
      <c r="AP21" s="1142"/>
      <c r="AQ21" s="1142"/>
      <c r="AR21" s="1142"/>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842</v>
      </c>
      <c r="BB22" s="683"/>
      <c r="BC22" s="676" t="s">
        <v>841</v>
      </c>
      <c r="BD22" s="677">
        <v>1</v>
      </c>
      <c r="BE22" s="676" t="s">
        <v>841</v>
      </c>
      <c r="BF22" s="677">
        <f>BD22+1</f>
        <v>2</v>
      </c>
      <c r="BG22" s="676" t="s">
        <v>841</v>
      </c>
      <c r="BH22" s="677">
        <f>BF22+1</f>
        <v>3</v>
      </c>
      <c r="BI22" s="676" t="s">
        <v>841</v>
      </c>
      <c r="BJ22" s="677">
        <f>BH22+1</f>
        <v>4</v>
      </c>
      <c r="BK22" s="676" t="s">
        <v>841</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846</v>
      </c>
      <c r="BD23" s="684" t="s">
        <v>847</v>
      </c>
      <c r="BE23" s="681" t="s">
        <v>846</v>
      </c>
      <c r="BF23" s="684" t="s">
        <v>847</v>
      </c>
      <c r="BG23" s="681" t="s">
        <v>846</v>
      </c>
      <c r="BH23" s="684" t="s">
        <v>847</v>
      </c>
      <c r="BI23" s="681" t="s">
        <v>846</v>
      </c>
      <c r="BJ23" s="684" t="s">
        <v>847</v>
      </c>
      <c r="BK23" s="681" t="s">
        <v>846</v>
      </c>
      <c r="BL23" s="684" t="s">
        <v>847</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845</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848</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8" t="s">
        <v>571</v>
      </c>
      <c r="B27" s="390"/>
      <c r="C27" s="1138" t="s">
        <v>572</v>
      </c>
      <c r="D27" s="782" t="s">
        <v>134</v>
      </c>
      <c r="F27" s="1139" t="s">
        <v>354</v>
      </c>
      <c r="G27" s="1139"/>
      <c r="H27" s="1139"/>
      <c r="I27" s="1139"/>
      <c r="J27" s="1139"/>
      <c r="K27" s="1139"/>
      <c r="L27" s="1139"/>
      <c r="M27" s="1139"/>
      <c r="N27" s="1139"/>
      <c r="O27" s="1139"/>
      <c r="P27" s="277"/>
      <c r="Q27" s="1139" t="s">
        <v>135</v>
      </c>
      <c r="R27" s="1139"/>
      <c r="S27" s="1139"/>
      <c r="T27" s="277"/>
      <c r="U27" s="1139" t="s">
        <v>136</v>
      </c>
      <c r="V27" s="1139"/>
      <c r="W27" s="1139"/>
      <c r="X27" s="277"/>
      <c r="Y27" s="1139" t="s">
        <v>137</v>
      </c>
      <c r="Z27" s="1139"/>
      <c r="AA27" s="1139"/>
      <c r="AB27" s="277"/>
      <c r="AC27" s="1139" t="s">
        <v>138</v>
      </c>
      <c r="AD27" s="1139"/>
      <c r="AE27" s="1139"/>
      <c r="AF27" s="1139"/>
      <c r="AG27" s="1139"/>
      <c r="AH27" s="1139"/>
      <c r="AI27" s="1139"/>
      <c r="AJ27" s="278"/>
      <c r="AK27" s="391"/>
      <c r="AL27" s="697" t="s">
        <v>866</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8"/>
      <c r="B28" s="279"/>
      <c r="C28" s="1138"/>
      <c r="D28" s="236"/>
      <c r="E28" s="392"/>
      <c r="F28" s="237" t="s">
        <v>139</v>
      </c>
      <c r="G28" s="238" t="s">
        <v>973</v>
      </c>
      <c r="H28" s="238" t="s">
        <v>39</v>
      </c>
      <c r="I28" s="237" t="s">
        <v>715</v>
      </c>
      <c r="J28" s="237" t="s">
        <v>330</v>
      </c>
      <c r="K28" s="237" t="s">
        <v>345</v>
      </c>
      <c r="L28" s="237" t="s">
        <v>345</v>
      </c>
      <c r="M28" s="237" t="s">
        <v>345</v>
      </c>
      <c r="N28" s="237" t="s">
        <v>735</v>
      </c>
      <c r="O28" s="237" t="s">
        <v>961</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780</v>
      </c>
      <c r="AU28" s="585"/>
      <c r="AV28" s="585"/>
      <c r="AW28" s="585"/>
      <c r="AX28" s="585"/>
      <c r="AY28" s="241"/>
      <c r="BA28" s="678" t="s">
        <v>840</v>
      </c>
      <c r="BB28" s="679"/>
      <c r="BC28" s="678" t="s">
        <v>839</v>
      </c>
      <c r="BD28" s="680" t="s">
        <v>844</v>
      </c>
      <c r="BE28" s="678" t="s">
        <v>839</v>
      </c>
      <c r="BF28" s="680" t="s">
        <v>844</v>
      </c>
      <c r="BG28" s="678" t="s">
        <v>839</v>
      </c>
      <c r="BH28" s="680" t="s">
        <v>844</v>
      </c>
      <c r="BI28" s="678" t="s">
        <v>839</v>
      </c>
      <c r="BJ28" s="680" t="s">
        <v>844</v>
      </c>
      <c r="BK28" s="678" t="s">
        <v>839</v>
      </c>
      <c r="BL28" s="680" t="s">
        <v>844</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958</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1250.0000000000002</v>
      </c>
      <c r="G33" s="256" t="str">
        <f>IF($C33="","",VLOOKUP($C33+$F$11*1000,DSS_Calc!$A:$JV,G$30,FALSE))</f>
        <v>0/0.9/1.9/3.9</v>
      </c>
      <c r="H33" s="256">
        <f>IF($C33="","",VLOOKUP($C33+$F$11*1000,DSS_Calc!$A:$JV,H$30,FALSE))</f>
        <v>0</v>
      </c>
      <c r="I33" s="256">
        <f>IF($C33="","",VLOOKUP($C33+$F$11*1000,DSS_Calc!$A:$JV,I$30,FALSE))</f>
        <v>0</v>
      </c>
      <c r="J33" s="256">
        <f>IF($C33="","",VLOOKUP($C33+$F$11*1000,DSS_Calc!$A:$JV,J$30,FALSE))</f>
        <v>5093</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2000</v>
      </c>
      <c r="R33" s="256">
        <f>IF($C33="","",VLOOKUP($C33+$F$11*1000,DSS_Calc!$A:$JV,R$30,FALSE)*IF(V33=0,0,1))</f>
        <v>2903.6196764461006</v>
      </c>
      <c r="S33" s="256">
        <f>IF($C33="","",VLOOKUP($C33+$F$11*1000,DSS_Calc!$A:$JV,S$30,FALSE)*IF(W33=0,0,1))</f>
        <v>6146.2401106804164</v>
      </c>
      <c r="T33" s="294" t="s">
        <v>2</v>
      </c>
      <c r="U33" s="395">
        <f>IF($C33="","",VLOOKUP($C33+$F$11*1000,DSS_Calc!$A:$JV,U$30,FALSE))</f>
        <v>0.33718337816866317</v>
      </c>
      <c r="V33" s="395">
        <f>IF($C33="","",VLOOKUP($C33+$F$11*1000,DSS_Calc!$A:$JV,V$30,FALSE))</f>
        <v>0.3548822307488429</v>
      </c>
      <c r="W33" s="395">
        <f>IF($C33="","",VLOOKUP($C33+$F$11*1000,DSS_Calc!$A:$JV,W$30,FALSE))</f>
        <v>0.30793439108249404</v>
      </c>
      <c r="X33" s="290" t="s">
        <v>2</v>
      </c>
      <c r="Y33" s="256">
        <f t="shared" ref="Y33:AA34" si="0">IF(U33=0,0,U33*Q33)</f>
        <v>674.36675633732636</v>
      </c>
      <c r="Z33" s="256">
        <f t="shared" si="0"/>
        <v>1030.4430280234255</v>
      </c>
      <c r="AA33" s="256">
        <f t="shared" si="0"/>
        <v>1892.6387059291749</v>
      </c>
      <c r="AB33" s="290" t="s">
        <v>2</v>
      </c>
      <c r="AC33" s="256">
        <f>SUM(Y33:AA33)</f>
        <v>3597.4484902899267</v>
      </c>
      <c r="AD33" s="259">
        <f>AC33*AE33/1000/1000</f>
        <v>27.492178299852039</v>
      </c>
      <c r="AE33" s="260">
        <f>IF($C33="","",VLOOKUP($C33+$F$11*1000,DSS_Calc!$A:$JV,AE$30,FALSE))</f>
        <v>7642.1325764796093</v>
      </c>
      <c r="AF33" s="259">
        <f>IF($C33="","",VLOOKUP($C33+$F$11*1000,DSS_Calc!$A:$JV,AF$30,FALSE))</f>
        <v>18.326227562431459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851</v>
      </c>
      <c r="BE34" s="669">
        <v>26</v>
      </c>
      <c r="BF34" s="670" t="s">
        <v>843</v>
      </c>
      <c r="BG34" s="669">
        <v>26</v>
      </c>
      <c r="BH34" s="670" t="s">
        <v>843</v>
      </c>
      <c r="BI34" s="669">
        <v>26</v>
      </c>
      <c r="BJ34" s="670" t="s">
        <v>843</v>
      </c>
      <c r="BK34" s="669">
        <v>26</v>
      </c>
      <c r="BL34" s="670" t="s">
        <v>843</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852</v>
      </c>
      <c r="BE36" s="669">
        <v>24</v>
      </c>
      <c r="BF36" s="670" t="s">
        <v>843</v>
      </c>
      <c r="BG36" s="669">
        <v>24</v>
      </c>
      <c r="BH36" s="670" t="s">
        <v>843</v>
      </c>
      <c r="BI36" s="669">
        <v>24</v>
      </c>
      <c r="BJ36" s="670" t="s">
        <v>843</v>
      </c>
      <c r="BK36" s="669">
        <v>24</v>
      </c>
      <c r="BL36" s="670" t="s">
        <v>843</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852</v>
      </c>
      <c r="BE38" s="669">
        <v>17</v>
      </c>
      <c r="BF38" s="670" t="s">
        <v>843</v>
      </c>
      <c r="BG38" s="669">
        <v>17</v>
      </c>
      <c r="BH38" s="670" t="s">
        <v>843</v>
      </c>
      <c r="BI38" s="669">
        <v>17</v>
      </c>
      <c r="BJ38" s="670" t="s">
        <v>843</v>
      </c>
      <c r="BK38" s="669">
        <v>17</v>
      </c>
      <c r="BL38" s="670" t="s">
        <v>843</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843</v>
      </c>
      <c r="BE40" s="669">
        <v>25</v>
      </c>
      <c r="BF40" s="670" t="s">
        <v>843</v>
      </c>
      <c r="BG40" s="669">
        <v>25</v>
      </c>
      <c r="BH40" s="670" t="s">
        <v>843</v>
      </c>
      <c r="BI40" s="669">
        <v>25</v>
      </c>
      <c r="BJ40" s="670" t="s">
        <v>843</v>
      </c>
      <c r="BK40" s="669">
        <v>25</v>
      </c>
      <c r="BL40" s="670" t="s">
        <v>843</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843</v>
      </c>
      <c r="BE42" s="669">
        <v>15</v>
      </c>
      <c r="BF42" s="670" t="s">
        <v>843</v>
      </c>
      <c r="BG42" s="669">
        <v>15</v>
      </c>
      <c r="BH42" s="670" t="s">
        <v>843</v>
      </c>
      <c r="BI42" s="669">
        <v>15</v>
      </c>
      <c r="BJ42" s="670" t="s">
        <v>843</v>
      </c>
      <c r="BK42" s="669">
        <v>15</v>
      </c>
      <c r="BL42" s="670" t="s">
        <v>843</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851</v>
      </c>
      <c r="BE44" s="669">
        <v>16</v>
      </c>
      <c r="BF44" s="670" t="s">
        <v>843</v>
      </c>
      <c r="BG44" s="669">
        <v>16</v>
      </c>
      <c r="BH44" s="670" t="s">
        <v>843</v>
      </c>
      <c r="BI44" s="669">
        <v>16</v>
      </c>
      <c r="BJ44" s="670" t="s">
        <v>843</v>
      </c>
      <c r="BK44" s="669">
        <v>16</v>
      </c>
      <c r="BL44" s="670" t="s">
        <v>843</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843</v>
      </c>
      <c r="BE46" s="669">
        <v>22</v>
      </c>
      <c r="BF46" s="670" t="s">
        <v>843</v>
      </c>
      <c r="BG46" s="669">
        <v>22</v>
      </c>
      <c r="BH46" s="670" t="s">
        <v>843</v>
      </c>
      <c r="BI46" s="669">
        <v>22</v>
      </c>
      <c r="BJ46" s="670" t="s">
        <v>843</v>
      </c>
      <c r="BK46" s="669">
        <v>22</v>
      </c>
      <c r="BL46" s="670" t="s">
        <v>843</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843</v>
      </c>
      <c r="BE48" s="669">
        <v>20</v>
      </c>
      <c r="BF48" s="670" t="s">
        <v>843</v>
      </c>
      <c r="BG48" s="669">
        <v>20</v>
      </c>
      <c r="BH48" s="670" t="s">
        <v>843</v>
      </c>
      <c r="BI48" s="669">
        <v>20</v>
      </c>
      <c r="BJ48" s="670" t="s">
        <v>843</v>
      </c>
      <c r="BK48" s="669">
        <v>20</v>
      </c>
      <c r="BL48" s="670" t="s">
        <v>843</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843</v>
      </c>
      <c r="BE50" s="669">
        <v>13</v>
      </c>
      <c r="BF50" s="670" t="s">
        <v>843</v>
      </c>
      <c r="BG50" s="669">
        <v>13</v>
      </c>
      <c r="BH50" s="670" t="s">
        <v>843</v>
      </c>
      <c r="BI50" s="669">
        <v>13</v>
      </c>
      <c r="BJ50" s="670" t="s">
        <v>843</v>
      </c>
      <c r="BK50" s="669">
        <v>13</v>
      </c>
      <c r="BL50" s="670" t="s">
        <v>843</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843</v>
      </c>
      <c r="BE52" s="669">
        <v>21</v>
      </c>
      <c r="BF52" s="670" t="s">
        <v>843</v>
      </c>
      <c r="BG52" s="669">
        <v>21</v>
      </c>
      <c r="BH52" s="670" t="s">
        <v>843</v>
      </c>
      <c r="BI52" s="669">
        <v>21</v>
      </c>
      <c r="BJ52" s="670" t="s">
        <v>843</v>
      </c>
      <c r="BK52" s="669">
        <v>21</v>
      </c>
      <c r="BL52" s="670" t="s">
        <v>843</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843</v>
      </c>
      <c r="BE54" s="669" t="s">
        <v>391</v>
      </c>
      <c r="BF54" s="670" t="s">
        <v>843</v>
      </c>
      <c r="BG54" s="669" t="s">
        <v>391</v>
      </c>
      <c r="BH54" s="670" t="s">
        <v>843</v>
      </c>
      <c r="BI54" s="669" t="s">
        <v>391</v>
      </c>
      <c r="BJ54" s="670" t="s">
        <v>843</v>
      </c>
      <c r="BK54" s="669" t="s">
        <v>391</v>
      </c>
      <c r="BL54" s="670" t="s">
        <v>843</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843</v>
      </c>
      <c r="BE56" s="669" t="s">
        <v>391</v>
      </c>
      <c r="BF56" s="670" t="s">
        <v>843</v>
      </c>
      <c r="BG56" s="669" t="s">
        <v>391</v>
      </c>
      <c r="BH56" s="670" t="s">
        <v>843</v>
      </c>
      <c r="BI56" s="669" t="s">
        <v>391</v>
      </c>
      <c r="BJ56" s="670" t="s">
        <v>843</v>
      </c>
      <c r="BK56" s="669" t="s">
        <v>391</v>
      </c>
      <c r="BL56" s="670" t="s">
        <v>843</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843</v>
      </c>
      <c r="BE58" s="669" t="s">
        <v>391</v>
      </c>
      <c r="BF58" s="670" t="s">
        <v>843</v>
      </c>
      <c r="BG58" s="669" t="s">
        <v>391</v>
      </c>
      <c r="BH58" s="670" t="s">
        <v>843</v>
      </c>
      <c r="BI58" s="669" t="s">
        <v>391</v>
      </c>
      <c r="BJ58" s="670" t="s">
        <v>843</v>
      </c>
      <c r="BK58" s="669" t="s">
        <v>391</v>
      </c>
      <c r="BL58" s="670" t="s">
        <v>843</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843</v>
      </c>
      <c r="BE60" s="669" t="s">
        <v>391</v>
      </c>
      <c r="BF60" s="670" t="s">
        <v>843</v>
      </c>
      <c r="BG60" s="669" t="s">
        <v>391</v>
      </c>
      <c r="BH60" s="670" t="s">
        <v>843</v>
      </c>
      <c r="BI60" s="669" t="s">
        <v>391</v>
      </c>
      <c r="BJ60" s="670" t="s">
        <v>843</v>
      </c>
      <c r="BK60" s="669" t="s">
        <v>391</v>
      </c>
      <c r="BL60" s="670" t="s">
        <v>843</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843</v>
      </c>
      <c r="BE62" s="669" t="s">
        <v>391</v>
      </c>
      <c r="BF62" s="670" t="s">
        <v>843</v>
      </c>
      <c r="BG62" s="669" t="s">
        <v>391</v>
      </c>
      <c r="BH62" s="670" t="s">
        <v>843</v>
      </c>
      <c r="BI62" s="669" t="s">
        <v>391</v>
      </c>
      <c r="BJ62" s="670" t="s">
        <v>843</v>
      </c>
      <c r="BK62" s="669" t="s">
        <v>391</v>
      </c>
      <c r="BL62" s="670" t="s">
        <v>843</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843</v>
      </c>
      <c r="BE64" s="669" t="s">
        <v>391</v>
      </c>
      <c r="BF64" s="670" t="s">
        <v>843</v>
      </c>
      <c r="BG64" s="669" t="s">
        <v>391</v>
      </c>
      <c r="BH64" s="670" t="s">
        <v>843</v>
      </c>
      <c r="BI64" s="669" t="s">
        <v>391</v>
      </c>
      <c r="BJ64" s="670" t="s">
        <v>843</v>
      </c>
      <c r="BK64" s="669" t="s">
        <v>391</v>
      </c>
      <c r="BL64" s="670" t="s">
        <v>843</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843</v>
      </c>
      <c r="BE66" s="669" t="s">
        <v>391</v>
      </c>
      <c r="BF66" s="670" t="s">
        <v>843</v>
      </c>
      <c r="BG66" s="669" t="s">
        <v>391</v>
      </c>
      <c r="BH66" s="670" t="s">
        <v>843</v>
      </c>
      <c r="BI66" s="669" t="s">
        <v>391</v>
      </c>
      <c r="BJ66" s="670" t="s">
        <v>843</v>
      </c>
      <c r="BK66" s="669" t="s">
        <v>391</v>
      </c>
      <c r="BL66" s="670" t="s">
        <v>843</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843</v>
      </c>
      <c r="BE68" s="669" t="s">
        <v>391</v>
      </c>
      <c r="BF68" s="670" t="s">
        <v>843</v>
      </c>
      <c r="BG68" s="669" t="s">
        <v>391</v>
      </c>
      <c r="BH68" s="670" t="s">
        <v>843</v>
      </c>
      <c r="BI68" s="669" t="s">
        <v>391</v>
      </c>
      <c r="BJ68" s="670" t="s">
        <v>843</v>
      </c>
      <c r="BK68" s="669" t="s">
        <v>391</v>
      </c>
      <c r="BL68" s="670" t="s">
        <v>843</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843</v>
      </c>
      <c r="BE70" s="669" t="s">
        <v>391</v>
      </c>
      <c r="BF70" s="670" t="s">
        <v>843</v>
      </c>
      <c r="BG70" s="669" t="s">
        <v>391</v>
      </c>
      <c r="BH70" s="670" t="s">
        <v>843</v>
      </c>
      <c r="BI70" s="669" t="s">
        <v>391</v>
      </c>
      <c r="BJ70" s="670" t="s">
        <v>843</v>
      </c>
      <c r="BK70" s="669" t="s">
        <v>391</v>
      </c>
      <c r="BL70" s="670" t="s">
        <v>843</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6"/>
      <c r="AK72" s="1136"/>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topLeftCell="A10" zoomScale="85" zoomScaleNormal="85" workbookViewId="0">
      <selection activeCell="E7" sqref="E7"/>
    </sheetView>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56"/>
    <col min="24" max="24" width="0" style="772" hidden="1" customWidth="1"/>
    <col min="25" max="25" width="3.7109375" style="772" customWidth="1"/>
    <col min="26" max="16384" width="9.140625" style="772"/>
  </cols>
  <sheetData>
    <row r="3" spans="6:23">
      <c r="F3" s="1152" t="str">
        <f>UPPER("SCENARIO OPTIONS: "&amp;Input!$R$2&amp;" (National)")</f>
        <v>SCENARIO OPTIONS: MY20 KIA FORTE (NATIONAL)</v>
      </c>
      <c r="G3" s="1152"/>
      <c r="H3" s="1152"/>
      <c r="I3" s="1152"/>
      <c r="J3" s="1152"/>
      <c r="K3" s="1152"/>
      <c r="L3" s="1152"/>
      <c r="M3" s="1152"/>
      <c r="N3" s="1152"/>
      <c r="O3" s="1152"/>
      <c r="P3" s="1152"/>
      <c r="Q3" s="1152"/>
      <c r="R3" s="1152"/>
      <c r="S3" s="1152"/>
      <c r="T3" s="1152"/>
      <c r="U3" s="1152"/>
      <c r="V3" s="1152"/>
      <c r="W3" s="1152"/>
    </row>
    <row r="21" spans="1:25">
      <c r="A21" s="1150" t="s">
        <v>1007</v>
      </c>
      <c r="B21" s="1150"/>
      <c r="C21" s="1150"/>
    </row>
    <row r="22" spans="1:25">
      <c r="A22" s="846" t="s">
        <v>1000</v>
      </c>
      <c r="B22" s="846" t="s">
        <v>1010</v>
      </c>
      <c r="C22" s="846" t="s">
        <v>1009</v>
      </c>
      <c r="H22" s="1153" t="s">
        <v>513</v>
      </c>
      <c r="I22" s="1153"/>
      <c r="J22" s="1153"/>
      <c r="K22" s="1153"/>
      <c r="L22" s="1153"/>
      <c r="N22" s="1154" t="s">
        <v>514</v>
      </c>
      <c r="O22" s="1154"/>
      <c r="P22" s="1154"/>
      <c r="Q22" s="1154"/>
      <c r="R22" s="1154"/>
      <c r="T22" s="1151" t="s">
        <v>1008</v>
      </c>
      <c r="U22" s="1151"/>
      <c r="V22" s="1151"/>
      <c r="W22" s="1151"/>
      <c r="X22" s="1151"/>
    </row>
    <row r="23" spans="1:25">
      <c r="A23" s="846" t="s">
        <v>1004</v>
      </c>
      <c r="B23" s="846" t="s">
        <v>1005</v>
      </c>
      <c r="C23" s="846" t="s">
        <v>1006</v>
      </c>
      <c r="F23" s="836" t="s">
        <v>94</v>
      </c>
      <c r="H23" s="836" t="s">
        <v>166</v>
      </c>
      <c r="J23" s="773" t="s">
        <v>983</v>
      </c>
      <c r="K23" s="773" t="s">
        <v>80</v>
      </c>
      <c r="L23" s="773" t="s">
        <v>985</v>
      </c>
      <c r="N23" s="836" t="s">
        <v>166</v>
      </c>
      <c r="P23" s="773" t="s">
        <v>983</v>
      </c>
      <c r="Q23" s="773" t="s">
        <v>80</v>
      </c>
      <c r="R23" s="773" t="s">
        <v>985</v>
      </c>
      <c r="T23" s="836" t="s">
        <v>166</v>
      </c>
      <c r="V23" s="773" t="s">
        <v>983</v>
      </c>
      <c r="W23" s="773" t="s">
        <v>80</v>
      </c>
      <c r="X23" s="773" t="s">
        <v>985</v>
      </c>
    </row>
    <row r="24" spans="1:25" s="837" customFormat="1" ht="20.100000000000001" customHeight="1">
      <c r="A24" s="847">
        <v>1</v>
      </c>
      <c r="B24" s="847">
        <v>1</v>
      </c>
      <c r="C24" s="847">
        <v>1</v>
      </c>
      <c r="D24" s="838"/>
      <c r="E24" s="838"/>
      <c r="F24" s="833" t="s">
        <v>953</v>
      </c>
      <c r="G24" s="839"/>
      <c r="H24" s="837" t="str">
        <f>INDEX(Summary!$D$20:$D$100,MATCH($A24,Summary!$J$20:$J$100,0))</f>
        <v>1000 CC, -360 Lease</v>
      </c>
      <c r="I24" s="839"/>
      <c r="J24" s="776">
        <f>INDEX(Summary!$G$20:$G$100,MATCH($A24,Summary!$J$20:$J$100,0))</f>
        <v>-378.60868912908518</v>
      </c>
      <c r="K24" s="775">
        <f>INDEX(Summary!$H$20:$H$100,MATCH($A24,Summary!$J$20:$J$100,0))</f>
        <v>-2.2376896748274588E-2</v>
      </c>
      <c r="L24" s="844">
        <f>INDEX(Summary!$M$20:$M$100,MATCH($A24,Summary!$J$20:$J$100,0))</f>
        <v>1034.4322686866319</v>
      </c>
      <c r="N24" s="837" t="str">
        <f>INDEX(Summary!$D$20:$D$100,MATCH($B24,Summary!$K$20:$K$100,0))</f>
        <v>1000 CC, 1000 Combo</v>
      </c>
      <c r="O24" s="839"/>
      <c r="P24" s="776">
        <f>INDEX(Summary!$G$20:$G$100,MATCH($B24,Summary!$K$20:$K$100,0))</f>
        <v>66.950127790327315</v>
      </c>
      <c r="Q24" s="775">
        <f>INDEX(Summary!$H$20:$H$100,MATCH($B24,Summary!$K$20:$K$100,0))</f>
        <v>6.1585735279061193E-2</v>
      </c>
      <c r="R24" s="844">
        <f>INDEX(Summary!$M$20:$M$100,MATCH($B24,Summary!$K$20:$K$100,0))</f>
        <v>1123.273925194185</v>
      </c>
      <c r="T24" s="837" t="str">
        <f>INDEX(Summary!$D$20:$D$100,MATCH($C24,Summary!$L$20:$L$100,0))</f>
        <v>1000 CC, -360 Lease</v>
      </c>
      <c r="U24" s="839"/>
      <c r="V24" s="776">
        <f>INDEX(Summary!$G$20:$G$100,MATCH($C24,Summary!$L$20:$L$100,0))</f>
        <v>-378.60868912908518</v>
      </c>
      <c r="W24" s="775">
        <f>INDEX(Summary!$H$20:$H$100,MATCH($C24,Summary!$L$20:$L$100,0))</f>
        <v>-2.2376896748274588E-2</v>
      </c>
      <c r="X24" s="844">
        <f>INDEX(Summary!$M$20:$M$100,MATCH($C24,Summary!$L$20:$L$100,0))</f>
        <v>1034.4322686866319</v>
      </c>
      <c r="Y24" s="838"/>
    </row>
    <row r="25" spans="1:25" ht="20.100000000000001" customHeight="1">
      <c r="A25" s="847">
        <v>1</v>
      </c>
      <c r="B25" s="847">
        <v>1</v>
      </c>
      <c r="C25" s="847">
        <v>1</v>
      </c>
      <c r="D25" s="838"/>
      <c r="E25" s="838"/>
      <c r="F25" s="848" t="s">
        <v>954</v>
      </c>
      <c r="G25" s="841"/>
      <c r="H25" s="849" t="str">
        <f>INDEX(Summary!$D$20:$D$100,MATCH($A25,Summary!$R$20:$R$100,0))</f>
        <v>1000 CC, -360 Lease</v>
      </c>
      <c r="I25" s="841"/>
      <c r="J25" s="779">
        <f>INDEX(Summary!$O$20:$O$100,MATCH($A25,Summary!$R$20:$R$100,0))</f>
        <v>1.4024503894734153</v>
      </c>
      <c r="K25" s="780">
        <f>INDEX(Summary!$P$20:$P$100,MATCH($A25,Summary!$R$20:$R$100,0))</f>
        <v>3.6911437961851368E-2</v>
      </c>
      <c r="L25" s="845">
        <f>INDEX(Summary!$U$20:$U$100,MATCH($A25,Summary!$R$20:$R$100,0))</f>
        <v>1791.5329373611953</v>
      </c>
      <c r="M25" s="833"/>
      <c r="N25" s="849" t="str">
        <f>INDEX(Summary!$D$20:$D$100,MATCH($B25,Summary!$S$20:$S$100,0))</f>
        <v>1000 CC, 0/0/0.9/3.9</v>
      </c>
      <c r="O25" s="841"/>
      <c r="P25" s="779">
        <f>INDEX(Summary!$O$20:$O$100,MATCH($B25,Summary!$S$20:$S$100,0))</f>
        <v>270.71199010879491</v>
      </c>
      <c r="Q25" s="780">
        <f>INDEX(Summary!$P$20:$P$100,MATCH($B25,Summary!$S$20:$S$100,0))</f>
        <v>8.8968777990001469E-2</v>
      </c>
      <c r="R25" s="845">
        <f>INDEX(Summary!$U$20:$U$100,MATCH($B25,Summary!$S$20:$S$100,0))</f>
        <v>1881.4754684949619</v>
      </c>
      <c r="S25" s="833"/>
      <c r="T25" s="849" t="str">
        <f>INDEX(Summary!$D$20:$D$100,MATCH($C25,Summary!$T$20:$T$100,0))</f>
        <v>1000 CC, -360 Lease</v>
      </c>
      <c r="U25" s="841"/>
      <c r="V25" s="779">
        <f>INDEX(Summary!$O$20:$O$100,MATCH($C25,Summary!$T$20:$T$100,0))</f>
        <v>1.4024503894734153</v>
      </c>
      <c r="W25" s="780">
        <f>INDEX(Summary!$P$20:$P$100,MATCH($C25,Summary!$T$20:$T$100,0))</f>
        <v>3.6911437961851368E-2</v>
      </c>
      <c r="X25" s="845">
        <f>INDEX(Summary!$U$20:$U$100,MATCH($C25,Summary!$T$20:$T$100,0))</f>
        <v>1791.5329373611953</v>
      </c>
      <c r="Y25" s="838"/>
    </row>
    <row r="26" spans="1:25" ht="20.100000000000001" customHeight="1">
      <c r="A26" s="847">
        <v>1</v>
      </c>
      <c r="B26" s="847">
        <v>1</v>
      </c>
      <c r="C26" s="847">
        <v>1</v>
      </c>
      <c r="D26" s="838"/>
      <c r="E26" s="838"/>
      <c r="F26" s="833" t="s">
        <v>955</v>
      </c>
      <c r="G26" s="839"/>
      <c r="H26" s="837" t="str">
        <f>INDEX(Summary!$D$20:$D$100,MATCH($A26,Summary!$Z$20:$Z$100,0))</f>
        <v>1000 CC, 0/0/0.9/3.9</v>
      </c>
      <c r="I26" s="839"/>
      <c r="J26" s="776">
        <f>INDEX(Summary!$W$20:$W$100,MATCH($A26,Summary!$Z$20:$Z$100,0))</f>
        <v>266.92181291642009</v>
      </c>
      <c r="K26" s="775">
        <f>INDEX(Summary!$X$20:$X$100,MATCH($A26,Summary!$Z$20:$Z$100,0))</f>
        <v>8.6724136598317347E-2</v>
      </c>
      <c r="L26" s="844">
        <f>INDEX(Summary!$AC$20:$AC$100,MATCH($A26,Summary!$Z$20:$Z$100,0))</f>
        <v>2238.7322393477889</v>
      </c>
      <c r="M26" s="837"/>
      <c r="N26" s="837" t="str">
        <f>INDEX(Summary!$D$20:$D$100,MATCH($B26,Summary!$AA$20:$AA$100,0))</f>
        <v>1000 CC, 0/0/0.9/3.9</v>
      </c>
      <c r="O26" s="839"/>
      <c r="P26" s="776">
        <f>INDEX(Summary!$W$20:$W$100,MATCH($B26,Summary!$AA$20:$AA$100,0))</f>
        <v>266.92181291642009</v>
      </c>
      <c r="Q26" s="775">
        <f>INDEX(Summary!$X$20:$X$100,MATCH($B26,Summary!$AA$20:$AA$100,0))</f>
        <v>8.6724136598317347E-2</v>
      </c>
      <c r="R26" s="844">
        <f>INDEX(Summary!$AC$20:$AC$100,MATCH($B26,Summary!$AA$20:$AA$100,0))</f>
        <v>2238.7322393477889</v>
      </c>
      <c r="S26" s="837"/>
      <c r="T26" s="837" t="str">
        <f>INDEX(Summary!$D$20:$D$100,MATCH($C26,Summary!$AA$20:$AA$100,0))</f>
        <v>1000 CC, 0/0/0.9/3.9</v>
      </c>
      <c r="U26" s="839"/>
      <c r="V26" s="776">
        <f>INDEX(Summary!$W$20:$W$100,MATCH($C26,Summary!$AB$20:$AB$100,0))</f>
        <v>-27.489856023075845</v>
      </c>
      <c r="W26" s="775">
        <f>INDEX(Summary!$X$20:$X$100,MATCH($C26,Summary!$AB$20:$AB$100,0))</f>
        <v>2.4476547728623954E-2</v>
      </c>
      <c r="X26" s="845">
        <f>INDEX(Summary!$AC$20:$AC$100,MATCH($C26,Summary!$AB$20:$AB$100,0))</f>
        <v>2110.4975942054966</v>
      </c>
      <c r="Y26" s="838"/>
    </row>
    <row r="27" spans="1:25" ht="20.100000000000001" customHeight="1">
      <c r="A27" s="847">
        <v>1</v>
      </c>
      <c r="B27" s="847">
        <v>1</v>
      </c>
      <c r="C27" s="847">
        <v>1</v>
      </c>
      <c r="D27" s="838"/>
      <c r="E27" s="838"/>
      <c r="F27" s="848" t="s">
        <v>956</v>
      </c>
      <c r="G27" s="841"/>
      <c r="H27" s="849" t="str">
        <f>INDEX(Summary!$D$20:$D$100,MATCH($A27,Summary!$AH$20:$AH$100,0))</f>
        <v>1000 CC, 0/0/0.9/3.9</v>
      </c>
      <c r="I27" s="841"/>
      <c r="J27" s="779">
        <f>INDEX(Summary!$AE$20:$AE$100,MATCH($A27,Summary!$AH$20:$AH$100,0))</f>
        <v>577.53671083528252</v>
      </c>
      <c r="K27" s="780">
        <f>INDEX(Summary!$AF$20:$AF$100,MATCH($A27,Summary!$AH$20:$AH$100,0))</f>
        <v>0.1162386925101484</v>
      </c>
      <c r="L27" s="845">
        <f>INDEX(Summary!$AK$20:$AK$100,MATCH($A27,Summary!$AH$20:$AH$100,0))</f>
        <v>2229.8427908647382</v>
      </c>
      <c r="M27" s="833"/>
      <c r="N27" s="849" t="str">
        <f>INDEX(Summary!$D$20:$D$100,MATCH($B27,Summary!$AI$20:$AI$100,0))</f>
        <v>1000 CC, 0/0/0.9/3.9</v>
      </c>
      <c r="O27" s="841"/>
      <c r="P27" s="779">
        <f>INDEX(Summary!$AE$20:$AE$100,MATCH($B27,Summary!$AI$20:$AI$100,0))</f>
        <v>577.53671083528252</v>
      </c>
      <c r="Q27" s="780">
        <f>INDEX(Summary!$AF$20:$AF$100,MATCH($B27,Summary!$AI$20:$AI$100,0))</f>
        <v>0.1162386925101484</v>
      </c>
      <c r="R27" s="845">
        <f>INDEX(Summary!$AK$20:$AK$100,MATCH($B27,Summary!$AI$20:$AI$100,0))</f>
        <v>2229.8427908647382</v>
      </c>
      <c r="S27" s="833"/>
      <c r="T27" s="849" t="str">
        <f>INDEX(Summary!$D$20:$D$100,MATCH($C27,Summary!$AI$20:$AI$100,0))</f>
        <v>1000 CC, 0/0/0.9/3.9</v>
      </c>
      <c r="U27" s="841"/>
      <c r="V27" s="779">
        <f>INDEX(Summary!$AE$20:$AE$100,MATCH($C27,Summary!$AJ$20:$AJ$100,0))</f>
        <v>250.76786596534475</v>
      </c>
      <c r="W27" s="780">
        <f>INDEX(Summary!$AF$20:$AF$100,MATCH($C27,Summary!$AJ$20:$AJ$100,0))</f>
        <v>5.1989680833872898E-2</v>
      </c>
      <c r="X27" s="845">
        <f>INDEX(Summary!$AK$20:$AK$100,MATCH($C27,Summary!$AJ$20:$AJ$100,0))</f>
        <v>2101.4964107689552</v>
      </c>
      <c r="Y27" s="838"/>
    </row>
    <row r="28" spans="1:25" ht="20.100000000000001" customHeight="1">
      <c r="A28" s="847">
        <v>1</v>
      </c>
      <c r="B28" s="847">
        <v>1</v>
      </c>
      <c r="C28" s="847">
        <v>1</v>
      </c>
      <c r="D28" s="838"/>
      <c r="E28" s="838"/>
      <c r="F28" s="771" t="s">
        <v>957</v>
      </c>
      <c r="G28" s="839"/>
      <c r="H28" s="850" t="str">
        <f>INDEX(Summary!$D$20:$D$100,MATCH($A28,Summary!$AP$20:$AP$100,0))</f>
        <v>1000 CC, 0/0/0.9/3.9</v>
      </c>
      <c r="I28" s="839"/>
      <c r="J28" s="851">
        <f>INDEX(Summary!$AM$20:$AM$100,MATCH($A28,Summary!$AP$20:$AP$100,0))</f>
        <v>531.5382245103483</v>
      </c>
      <c r="K28" s="852">
        <f>INDEX(Summary!$AN$20:$AN$100,MATCH($A28,Summary!$AP$20:$AP$100,0))</f>
        <v>0.11769681015121747</v>
      </c>
      <c r="L28" s="844">
        <f>INDEX(Summary!$AS$20:$AS$100,MATCH($A28,Summary!$AP$20:$AP$100,0))</f>
        <v>892.53721100266125</v>
      </c>
      <c r="M28" s="837"/>
      <c r="N28" s="850" t="str">
        <f>INDEX(Summary!$D$20:$D$100,MATCH($B28,Summary!$AQ$20:$AQ$100,0))</f>
        <v>1000 CC, 0/0/0.9/3.9</v>
      </c>
      <c r="O28" s="839"/>
      <c r="P28" s="851">
        <f>INDEX(Summary!$AM$20:$AM$100,MATCH($B28,Summary!$AQ$20:$AQ$100,0))</f>
        <v>531.5382245103483</v>
      </c>
      <c r="Q28" s="852">
        <f>INDEX(Summary!$AN$20:$AN$100,MATCH($B28,Summary!$AQ$20:$AQ$100,0))</f>
        <v>0.11769681015121747</v>
      </c>
      <c r="R28" s="844">
        <f>INDEX(Summary!$AS$20:$AS$100,MATCH($B28,Summary!$AQ$20:$AQ$100,0))</f>
        <v>892.53721100266125</v>
      </c>
      <c r="S28" s="837"/>
      <c r="T28" s="850" t="str">
        <f>INDEX(Summary!$D$20:$D$100,MATCH($C28,Summary!$AQ$20:$AQ$100,0))</f>
        <v>1000 CC, 0/0/0.9/3.9</v>
      </c>
      <c r="U28" s="839"/>
      <c r="V28" s="851">
        <f>INDEX(Summary!$AM$20:$AM$100,MATCH($C28,Summary!$AR$20:$AR$100,0))</f>
        <v>238.1819108758018</v>
      </c>
      <c r="W28" s="852">
        <f>INDEX(Summary!$AN$20:$AN$100,MATCH($C28,Summary!$AR$20:$AR$100,0))</f>
        <v>5.4099040191478487E-2</v>
      </c>
      <c r="X28" s="845">
        <f>INDEX(Summary!$AS$20:$AS$100,MATCH($C28,Summary!$AR$20:$AR$100,0))</f>
        <v>841.75118771771099</v>
      </c>
      <c r="Y28" s="838"/>
    </row>
    <row r="29" spans="1:25" ht="20.100000000000001" customHeight="1">
      <c r="A29" s="840"/>
      <c r="B29" s="840"/>
      <c r="F29" s="833"/>
      <c r="G29" s="841"/>
      <c r="H29" s="833"/>
      <c r="I29" s="841"/>
      <c r="J29" s="842"/>
      <c r="K29" s="843"/>
      <c r="L29" s="833"/>
      <c r="M29" s="833"/>
      <c r="N29" s="833"/>
      <c r="O29" s="841"/>
      <c r="P29" s="842"/>
      <c r="Q29" s="843"/>
      <c r="R29" s="833"/>
      <c r="S29" s="833"/>
      <c r="T29" s="833"/>
      <c r="U29" s="841"/>
      <c r="V29" s="842"/>
      <c r="W29" s="843"/>
      <c r="X29" s="833"/>
    </row>
    <row r="30" spans="1:25" ht="20.100000000000001" customHeight="1">
      <c r="B30" s="840"/>
      <c r="F30" s="853" t="s">
        <v>809</v>
      </c>
      <c r="G30" s="833"/>
      <c r="H30" s="853" t="s">
        <v>1003</v>
      </c>
      <c r="I30" s="833"/>
      <c r="J30" s="854">
        <f>SUMPRODUCT(J24:J28,L24:L28)/SUM(L24:L28)</f>
        <v>240.70465768062317</v>
      </c>
      <c r="K30" s="855">
        <f>SUMPRODUCT(K24:K28,L24:L28)/SUM(L24:L28)</f>
        <v>7.3454244252619025E-2</v>
      </c>
      <c r="L30" s="845">
        <f>SUM(L24:L28)</f>
        <v>8187.0774472630155</v>
      </c>
      <c r="M30" s="833"/>
      <c r="N30" s="853" t="s">
        <v>1003</v>
      </c>
      <c r="O30" s="833"/>
      <c r="P30" s="854">
        <f>SUMPRODUCT(P24:P28,R24:R28)/SUM(R24:R28)</f>
        <v>351.94718885747142</v>
      </c>
      <c r="Q30" s="855">
        <f>SUMPRODUCT(Q24:Q28,R24:R28)/SUM(R24:R28)</f>
        <v>9.5024896689432661E-2</v>
      </c>
      <c r="R30" s="845">
        <f>SUM(R24:R28)</f>
        <v>8365.861634904335</v>
      </c>
      <c r="S30" s="833"/>
      <c r="T30" s="853" t="s">
        <v>1003</v>
      </c>
      <c r="U30" s="833"/>
      <c r="V30" s="854">
        <f>SUMPRODUCT(V24:V28,X24:X28)/SUM(X24:X28)</f>
        <v>35.575913107605679</v>
      </c>
      <c r="W30" s="855">
        <f>SUMPRODUCT(W24:W28,X24:X28)/SUM(X24:X28)</f>
        <v>3.1655024649777992E-2</v>
      </c>
      <c r="X30" s="845">
        <f>SUM(X24:X28)</f>
        <v>7879.7103987399914</v>
      </c>
    </row>
    <row r="34" spans="10:11">
      <c r="J34" s="776">
        <f>J30</f>
        <v>240.70465768062317</v>
      </c>
      <c r="K34" s="775">
        <f>K30</f>
        <v>7.3454244252619025E-2</v>
      </c>
    </row>
    <row r="35" spans="10:11">
      <c r="J35" s="776">
        <f>P30</f>
        <v>351.94718885747142</v>
      </c>
      <c r="K35" s="775">
        <f>Q30</f>
        <v>9.5024896689432661E-2</v>
      </c>
    </row>
    <row r="36" spans="10:11">
      <c r="J36" s="776">
        <f>V30</f>
        <v>35.575913107605679</v>
      </c>
      <c r="K36" s="775">
        <f>W30</f>
        <v>3.1655024649777992E-2</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1">
    <tabColor rgb="FFFFFF99"/>
  </sheetPr>
  <dimension ref="B1:BR69"/>
  <sheetViews>
    <sheetView showGridLines="0" topLeftCell="AN2" zoomScale="85" zoomScaleNormal="85" workbookViewId="0">
      <selection activeCell="AY33" sqref="AY33"/>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41"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72" t="s">
        <v>1079</v>
      </c>
      <c r="E1" s="873">
        <v>10.5</v>
      </c>
      <c r="G1" s="872" t="s">
        <v>1082</v>
      </c>
      <c r="H1" s="874" t="str">
        <f>"MY"&amp;RIGHT(Input!$H$9,2)&amp;" "&amp;Input!$H$3&amp;": Additional Incentive Scenarios"</f>
        <v>MY20 Forte: Additional Incentive Scenarios</v>
      </c>
    </row>
    <row r="2" spans="2:70" ht="18.75">
      <c r="D2" s="235" t="s">
        <v>1080</v>
      </c>
      <c r="E2" s="873" t="s">
        <v>1085</v>
      </c>
      <c r="G2" s="872" t="s">
        <v>1086</v>
      </c>
      <c r="H2" s="874" t="s">
        <v>1087</v>
      </c>
    </row>
    <row r="3" spans="2:70" s="767" customFormat="1" ht="18.75">
      <c r="D3" s="235" t="s">
        <v>1094</v>
      </c>
      <c r="E3" s="875">
        <f>COUNTA($B$7:$B$19)+6</f>
        <v>18</v>
      </c>
      <c r="G3" s="872" t="s">
        <v>1088</v>
      </c>
      <c r="H3" s="874" t="s">
        <v>1089</v>
      </c>
      <c r="I3" s="767" t="str">
        <f t="shared" ref="I3:J3" si="0">$G$5&amp;I6</f>
        <v>L1Elas.</v>
      </c>
      <c r="J3" s="767" t="str">
        <f t="shared" si="0"/>
        <v>L1Overall</v>
      </c>
      <c r="K3" s="767" t="str">
        <f t="shared" ref="K3:L3" si="1">$G$5&amp;K6</f>
        <v>L1+ Spend</v>
      </c>
      <c r="L3" s="767" t="str">
        <f t="shared" si="1"/>
        <v>L1- Spend</v>
      </c>
      <c r="Q3" s="767" t="str">
        <f t="shared" ref="Q3:R3" si="2">$O$5&amp;Q6</f>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4"/>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57" t="s">
        <v>953</v>
      </c>
      <c r="H5" s="1157"/>
      <c r="I5" s="1157"/>
      <c r="J5" s="1157"/>
      <c r="K5" s="1157"/>
      <c r="L5" s="1157"/>
      <c r="M5" s="1157"/>
      <c r="N5" s="770"/>
      <c r="O5" s="1158" t="s">
        <v>954</v>
      </c>
      <c r="P5" s="1158"/>
      <c r="Q5" s="1158"/>
      <c r="R5" s="1158"/>
      <c r="S5" s="1158"/>
      <c r="T5" s="1158"/>
      <c r="U5" s="1158"/>
      <c r="V5" s="770"/>
      <c r="W5" s="1159" t="s">
        <v>955</v>
      </c>
      <c r="X5" s="1159"/>
      <c r="Y5" s="1159"/>
      <c r="Z5" s="1159"/>
      <c r="AA5" s="1159"/>
      <c r="AB5" s="1159"/>
      <c r="AC5" s="1159"/>
      <c r="AD5" s="770"/>
      <c r="AE5" s="1160" t="s">
        <v>956</v>
      </c>
      <c r="AF5" s="1160"/>
      <c r="AG5" s="1160"/>
      <c r="AH5" s="1160"/>
      <c r="AI5" s="1160"/>
      <c r="AJ5" s="1160"/>
      <c r="AK5" s="1160"/>
      <c r="AL5" s="770"/>
      <c r="AM5" s="1161" t="s">
        <v>957</v>
      </c>
      <c r="AN5" s="1161"/>
      <c r="AO5" s="1161"/>
      <c r="AP5" s="1161"/>
      <c r="AQ5" s="1161"/>
      <c r="AR5" s="1161"/>
      <c r="AS5" s="1161"/>
      <c r="AT5" s="770"/>
      <c r="AU5" s="1155" t="s">
        <v>809</v>
      </c>
      <c r="AV5" s="1156"/>
      <c r="BB5" s="1157" t="s">
        <v>953</v>
      </c>
      <c r="BC5" s="1157"/>
      <c r="BE5" s="1158" t="s">
        <v>954</v>
      </c>
      <c r="BF5" s="1158"/>
      <c r="BH5" s="1159" t="s">
        <v>955</v>
      </c>
      <c r="BI5" s="1159"/>
      <c r="BK5" s="1160" t="s">
        <v>956</v>
      </c>
      <c r="BL5" s="1160"/>
      <c r="BN5" s="1161" t="s">
        <v>957</v>
      </c>
      <c r="BO5" s="1161"/>
      <c r="BQ5" s="1155" t="s">
        <v>809</v>
      </c>
      <c r="BR5" s="1156"/>
    </row>
    <row r="6" spans="2:70">
      <c r="B6" s="767">
        <v>2</v>
      </c>
      <c r="C6" s="771" t="s">
        <v>980</v>
      </c>
      <c r="D6" s="771" t="s">
        <v>981</v>
      </c>
      <c r="E6" s="771" t="s">
        <v>982</v>
      </c>
      <c r="F6" s="772"/>
      <c r="G6" s="773" t="s">
        <v>983</v>
      </c>
      <c r="H6" s="773" t="s">
        <v>80</v>
      </c>
      <c r="I6" s="786" t="s">
        <v>984</v>
      </c>
      <c r="J6" s="786" t="s">
        <v>1000</v>
      </c>
      <c r="K6" s="832" t="s">
        <v>1001</v>
      </c>
      <c r="L6" s="832" t="s">
        <v>1002</v>
      </c>
      <c r="M6" s="832" t="s">
        <v>985</v>
      </c>
      <c r="N6" s="772"/>
      <c r="O6" s="773" t="s">
        <v>983</v>
      </c>
      <c r="P6" s="773" t="s">
        <v>80</v>
      </c>
      <c r="Q6" s="786" t="s">
        <v>984</v>
      </c>
      <c r="R6" s="786" t="s">
        <v>1000</v>
      </c>
      <c r="S6" s="832" t="s">
        <v>1001</v>
      </c>
      <c r="T6" s="832" t="s">
        <v>1002</v>
      </c>
      <c r="U6" s="832" t="s">
        <v>985</v>
      </c>
      <c r="V6" s="772"/>
      <c r="W6" s="773" t="s">
        <v>983</v>
      </c>
      <c r="X6" s="773" t="s">
        <v>80</v>
      </c>
      <c r="Y6" s="786" t="s">
        <v>984</v>
      </c>
      <c r="Z6" s="786" t="s">
        <v>1000</v>
      </c>
      <c r="AA6" s="832" t="s">
        <v>1001</v>
      </c>
      <c r="AB6" s="832" t="s">
        <v>1002</v>
      </c>
      <c r="AC6" s="832" t="s">
        <v>985</v>
      </c>
      <c r="AD6" s="772"/>
      <c r="AE6" s="773" t="s">
        <v>983</v>
      </c>
      <c r="AF6" s="773" t="s">
        <v>80</v>
      </c>
      <c r="AG6" s="786" t="s">
        <v>984</v>
      </c>
      <c r="AH6" s="786" t="s">
        <v>1000</v>
      </c>
      <c r="AI6" s="832" t="s">
        <v>1001</v>
      </c>
      <c r="AJ6" s="832" t="s">
        <v>1002</v>
      </c>
      <c r="AK6" s="832" t="s">
        <v>985</v>
      </c>
      <c r="AL6" s="772"/>
      <c r="AM6" s="773" t="s">
        <v>983</v>
      </c>
      <c r="AN6" s="773" t="s">
        <v>80</v>
      </c>
      <c r="AO6" s="786" t="s">
        <v>984</v>
      </c>
      <c r="AP6" s="786" t="s">
        <v>1000</v>
      </c>
      <c r="AQ6" s="832" t="s">
        <v>1001</v>
      </c>
      <c r="AR6" s="832" t="s">
        <v>1002</v>
      </c>
      <c r="AS6" s="832" t="s">
        <v>985</v>
      </c>
      <c r="AT6" s="772"/>
      <c r="AU6" s="773" t="s">
        <v>983</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ht="20.100000000000001" customHeight="1">
      <c r="B7" s="831">
        <v>55</v>
      </c>
      <c r="C7" s="772" t="s">
        <v>140</v>
      </c>
      <c r="D7" s="774" t="str">
        <f>LEFT(INDEX(DSS_Calc!$D:$D,MATCH(G$4+$B7,DSS_Calc!$A:$A,0)),LEN(INDEX(DSS_Calc!$D:$D,MATCH(G$4+$B7,DSS_Calc!$A:$A,0)))-2)</f>
        <v>500 CC, 500 Combo, 360 Lease</v>
      </c>
      <c r="E7" s="772" t="str">
        <f>"MY"&amp;RIGHT(Input!$H$9,2)&amp;" "&amp;Input!$H$3</f>
        <v>MY20 Forte</v>
      </c>
      <c r="F7" s="772"/>
      <c r="G7" s="776">
        <f>INDEX(DSS_Calc!$JD:$JD,MATCH(G$4+$B7,DSS_Calc!$A:$A,0))-INDEX(DSS_Calc!$JD:$JD,MATCH(G$4+$B$6,DSS_Calc!$A:$A,0))</f>
        <v>404.06259040385885</v>
      </c>
      <c r="H7" s="775">
        <f>INDEX(DSS_Calc!$JM:$JM,MATCH(G$4+$B7,DSS_Calc!$A:$A,0))/INDEX(DSS_Calc!$JM:$JM,MATCH(G$4+$B$6,DSS_Calc!$A:$A,0))-1</f>
        <v>9.199692914889912E-2</v>
      </c>
      <c r="I7" s="787">
        <f>ABS(INDEX(DSS_Calc!$KU:$KU,MATCH(G$4+$B7,DSS_Calc!$A:$A,0)))</f>
        <v>51.431208571572569</v>
      </c>
      <c r="J7" s="809">
        <f t="shared" ref="J7:J16" si="12">RANK(I7,I$7:I$16,0)</f>
        <v>7</v>
      </c>
      <c r="K7" s="807">
        <f>IF(G7&gt;QUARTILE(G$7:G$16,3),1+COUNTIFS(G$7:G$16,"&gt;"&amp;QUARTILE(G$7:G$16,3),I$7:I$16,"&gt;"&amp;I7),100)</f>
        <v>2</v>
      </c>
      <c r="L7" s="807">
        <f>IF(G7&lt;QUARTILE(G$7:G$16,1),1+COUNTIFS(G$7:G$16,"&lt;"&amp;QUARTILE(G$7:G$16,1),I$7:I$16,"&gt;"&amp;I7),100)</f>
        <v>100</v>
      </c>
      <c r="M7" s="807">
        <f>INDEX(DSS_Calc!$JM:$JM,MATCH(G$4+$B7,DSS_Calc!$A:$A,0))</f>
        <v>1155.4522975788086</v>
      </c>
      <c r="N7" s="772"/>
      <c r="O7" s="776">
        <f>INDEX(DSS_Calc!$JD:$JD,MATCH(O$4+$B7,DSS_Calc!$A:$A,0))-INDEX(DSS_Calc!$JD:$JD,MATCH(O$4+$B$6,DSS_Calc!$A:$A,0))</f>
        <v>441.04984133347762</v>
      </c>
      <c r="P7" s="775">
        <f>INDEX(DSS_Calc!$JM:$JM,MATCH(O$4+$B7,DSS_Calc!$A:$A,0))/INDEX(DSS_Calc!$JM:$JM,MATCH(O$4+$B$6,DSS_Calc!$A:$A,0))-1</f>
        <v>9.0654555286002303E-2</v>
      </c>
      <c r="Q7" s="787">
        <f>ABS(INDEX(DSS_Calc!$KU:$KU,MATCH(O$4+$B7,DSS_Calc!$A:$A,0)))</f>
        <v>12.12400769537126</v>
      </c>
      <c r="R7" s="809">
        <f t="shared" ref="R7:R16" si="13">RANK(Q7,Q$7:Q$16,0)</f>
        <v>6</v>
      </c>
      <c r="S7" s="807">
        <f>IF(O7&gt;QUARTILE(O$7:O$16,3),1+COUNTIFS(O$7:O$16,"&gt;"&amp;QUARTILE(O$7:O$16,3),Q$7:Q$16,"&gt;"&amp;Q7),100)</f>
        <v>100</v>
      </c>
      <c r="T7" s="807">
        <f>IF(O7&lt;QUARTILE(O$7:O$16,1),1+COUNTIFS(O$7:O$16,"&lt;"&amp;QUARTILE(O$7:O$16,1),Q$7:Q$16,"&gt;"&amp;Q7),100)</f>
        <v>100</v>
      </c>
      <c r="U7" s="807">
        <f>INDEX(DSS_Calc!$JM:$JM,MATCH(O$4+$B7,DSS_Calc!$A:$A,0))</f>
        <v>1884.3880851758786</v>
      </c>
      <c r="V7" s="772"/>
      <c r="W7" s="776">
        <f>INDEX(DSS_Calc!$JD:$JD,MATCH(W$4+$B7,DSS_Calc!$A:$A,0))-INDEX(DSS_Calc!$JD:$JD,MATCH(W$4+$B$6,DSS_Calc!$A:$A,0))</f>
        <v>477.31863603177044</v>
      </c>
      <c r="X7" s="775">
        <f>INDEX(DSS_Calc!$JM:$JM,MATCH(W$4+$B7,DSS_Calc!$A:$A,0))/INDEX(DSS_Calc!$JM:$JM,MATCH(W$4+$B$6,DSS_Calc!$A:$A,0))-1</f>
        <v>9.6754860473563964E-2</v>
      </c>
      <c r="Y7" s="787">
        <f>ABS(INDEX(DSS_Calc!$KU:$KU,MATCH(W$4+$B7,DSS_Calc!$A:$A,0)))</f>
        <v>15.420440080105106</v>
      </c>
      <c r="Z7" s="809">
        <f t="shared" ref="Z7:Z16" si="14">RANK(Y7,Y$7:Y$16,0)</f>
        <v>6</v>
      </c>
      <c r="AA7" s="807">
        <f>IF(W7&gt;QUARTILE(W$7:W$16,3),1+COUNTIFS(W$7:W$16,"&gt;"&amp;QUARTILE(W$7:W$16,3),Y$7:Y$16,"&gt;"&amp;Y7),100)</f>
        <v>100</v>
      </c>
      <c r="AB7" s="807">
        <f>IF(W7&lt;QUARTILE(W$7:W$16,1),1+COUNTIFS(W$7:W$16,"&lt;"&amp;QUARTILE(W$7:W$16,1),Y$7:Y$16,"&gt;"&amp;Y7),100)</f>
        <v>100</v>
      </c>
      <c r="AC7" s="807">
        <f>INDEX(DSS_Calc!$JM:$JM,MATCH(W$4+$B7,DSS_Calc!$A:$A,0))</f>
        <v>2259.3962737307952</v>
      </c>
      <c r="AD7" s="772"/>
      <c r="AE7" s="776">
        <f>INDEX(DSS_Calc!$JD:$JD,MATCH(AE$4+$B7,DSS_Calc!$A:$A,0))-INDEX(DSS_Calc!$JD:$JD,MATCH(AE$4+$B$6,DSS_Calc!$A:$A,0))</f>
        <v>485.14352609676644</v>
      </c>
      <c r="AF7" s="775">
        <f>INDEX(DSS_Calc!$JM:$JM,MATCH(AE$4+$B7,DSS_Calc!$A:$A,0))/INDEX(DSS_Calc!$JM:$JM,MATCH(AE$4+$B$6,DSS_Calc!$A:$A,0))-1</f>
        <v>8.8543449606636182E-2</v>
      </c>
      <c r="AG7" s="787">
        <f>ABS(INDEX(DSS_Calc!$KU:$KU,MATCH(AE$4+$B7,DSS_Calc!$A:$A,0)))</f>
        <v>6.569929972167345</v>
      </c>
      <c r="AH7" s="809">
        <f t="shared" ref="AH7:AH16" si="15">RANK(AG7,AG$7:AG$16,0)</f>
        <v>6</v>
      </c>
      <c r="AI7" s="807">
        <f>IF(AE7&gt;QUARTILE(AE$7:AE$16,3),1+COUNTIFS(AE$7:AE$16,"&gt;"&amp;QUARTILE(AE$7:AE$16,3),AG$7:AG$16,"&gt;"&amp;AG7),100)</f>
        <v>100</v>
      </c>
      <c r="AJ7" s="807">
        <f>IF(AE7&lt;QUARTILE(AE$7:AE$16,1),1+COUNTIFS(AE$7:AE$16,"&lt;"&amp;QUARTILE(AE$7:AE$16,1),AG$7:AG$16,"&gt;"&amp;AG7),100)</f>
        <v>100</v>
      </c>
      <c r="AK7" s="807">
        <f>INDEX(DSS_Calc!$JM:$JM,MATCH(AE$4+$B7,DSS_Calc!$A:$A,0))</f>
        <v>2174.5176725508672</v>
      </c>
      <c r="AL7" s="772"/>
      <c r="AM7" s="776">
        <f>INDEX(DSS_Calc!$JD:$JD,MATCH(AM$4+$B7,DSS_Calc!$A:$A,0))-INDEX(DSS_Calc!$JD:$JD,MATCH(AM$4+$B$6,DSS_Calc!$A:$A,0))</f>
        <v>475.1816248680575</v>
      </c>
      <c r="AN7" s="775">
        <f>INDEX(DSS_Calc!$JM:$JM,MATCH(AM$4+$B7,DSS_Calc!$A:$A,0))/INDEX(DSS_Calc!$JM:$JM,MATCH(AM$4+$B$6,DSS_Calc!$A:$A,0))-1</f>
        <v>9.0071462504113242E-2</v>
      </c>
      <c r="AO7" s="787">
        <f>ABS(INDEX(DSS_Calc!$KU:$KU,MATCH(AM$4+$B7,DSS_Calc!$A:$A,0)))</f>
        <v>7.2991018594908912</v>
      </c>
      <c r="AP7" s="809">
        <f t="shared" ref="AP7:AP16" si="16">RANK(AO7,AO$7:AO$16,0)</f>
        <v>6</v>
      </c>
      <c r="AQ7" s="807">
        <f>IF(AM7&gt;QUARTILE(AM$7:AM$16,3),1+COUNTIFS(AM$7:AM$16,"&gt;"&amp;QUARTILE(AM$7:AM$16,3),AO$7:AO$16,"&gt;"&amp;AO7),100)</f>
        <v>100</v>
      </c>
      <c r="AR7" s="807">
        <f>IF(AM7&lt;QUARTILE(AM$7:AM$16,1),1+COUNTIFS(AM$7:AM$16,"&lt;"&amp;QUARTILE(AM$7:AM$16,1),AO$7:AO$16,"&gt;"&amp;AO7),100)</f>
        <v>100</v>
      </c>
      <c r="AS7" s="807">
        <f>INDEX(DSS_Calc!$JM:$JM,MATCH(AM$4+$B7,DSS_Calc!$A:$A,0))</f>
        <v>870.476979177727</v>
      </c>
      <c r="AT7" s="772"/>
      <c r="AU7" s="776">
        <f>INDEX(DSS_Calc!$JD:$JD,MATCH(AU$4+$B7,DSS_Calc!$A:$A,0))-INDEX(DSS_Calc!$JD:$JD,MATCH(AU$4+$B$6,DSS_Calc!$A:$A,0))</f>
        <v>461.76833238651761</v>
      </c>
      <c r="AV7" s="775">
        <f>INDEX(DSS_Calc!$JM:$JM,MATCH(AU$4+$B7,DSS_Calc!$A:$A,0))/INDEX(DSS_Calc!$JM:$JM,MATCH(AU$4+$B$6,DSS_Calc!$A:$A,0))-1</f>
        <v>9.1872095217941263E-2</v>
      </c>
      <c r="AX7" s="833" t="str">
        <f t="shared" si="11"/>
        <v>A</v>
      </c>
      <c r="AY7" s="879" t="str">
        <f t="shared" si="11"/>
        <v>500 CC, 500 Combo, 360 Lease</v>
      </c>
      <c r="AZ7" s="833" t="str">
        <f t="shared" si="11"/>
        <v>MY20 Forte</v>
      </c>
      <c r="BA7" s="769"/>
      <c r="BB7" s="834">
        <f>+G7</f>
        <v>404.06259040385885</v>
      </c>
      <c r="BC7" s="880">
        <f>+H7</f>
        <v>9.199692914889912E-2</v>
      </c>
      <c r="BD7" s="769"/>
      <c r="BE7" s="834">
        <f t="shared" ref="BE7:BF16" si="17">+O7</f>
        <v>441.04984133347762</v>
      </c>
      <c r="BF7" s="880">
        <f t="shared" si="17"/>
        <v>9.0654555286002303E-2</v>
      </c>
      <c r="BG7" s="769"/>
      <c r="BH7" s="834">
        <f t="shared" ref="BH7:BI16" si="18">+W7</f>
        <v>477.31863603177044</v>
      </c>
      <c r="BI7" s="880">
        <f t="shared" si="18"/>
        <v>9.6754860473563964E-2</v>
      </c>
      <c r="BJ7" s="769"/>
      <c r="BK7" s="834">
        <f t="shared" ref="BK7:BL16" si="19">+AE7</f>
        <v>485.14352609676644</v>
      </c>
      <c r="BL7" s="880">
        <f t="shared" si="19"/>
        <v>8.8543449606636182E-2</v>
      </c>
      <c r="BM7" s="769"/>
      <c r="BN7" s="834">
        <f t="shared" ref="BN7:BO16" si="20">+AM7</f>
        <v>475.1816248680575</v>
      </c>
      <c r="BO7" s="880">
        <f t="shared" si="20"/>
        <v>9.0071462504113242E-2</v>
      </c>
      <c r="BP7" s="769"/>
      <c r="BQ7" s="834">
        <f t="shared" ref="BQ7:BR16" si="21">+AU7</f>
        <v>461.76833238651761</v>
      </c>
      <c r="BR7" s="880">
        <f t="shared" si="21"/>
        <v>9.1872095217941263E-2</v>
      </c>
    </row>
    <row r="8" spans="2:70" ht="20.100000000000001" customHeight="1">
      <c r="B8" s="831">
        <v>56</v>
      </c>
      <c r="C8" s="777" t="str">
        <f>CHAR(CODE(C7)+1)</f>
        <v>B</v>
      </c>
      <c r="D8" s="778" t="str">
        <f>LEFT(INDEX(DSS_Calc!$D:$D,MATCH(G$4+$B8,DSS_Calc!$A:$A,0)),LEN(INDEX(DSS_Calc!$D:$D,MATCH(G$4+$B8,DSS_Calc!$A:$A,0)))-2)</f>
        <v>1000 CC, 1000 Combo, 720 Lease</v>
      </c>
      <c r="E8" s="777" t="str">
        <f>"MY"&amp;RIGHT(Input!$H$9,2)&amp;" "&amp;Input!$H$3</f>
        <v>MY20 Forte</v>
      </c>
      <c r="F8" s="772"/>
      <c r="G8" s="779">
        <f>INDEX(DSS_Calc!$JD:$JD,MATCH(G$4+$B8,DSS_Calc!$A:$A,0))-INDEX(DSS_Calc!$JD:$JD,MATCH(G$4+$B$6,DSS_Calc!$A:$A,0))</f>
        <v>812.34475033788112</v>
      </c>
      <c r="H8" s="780">
        <f>INDEX(DSS_Calc!$JM:$JM,MATCH(G$4+$B8,DSS_Calc!$A:$A,0))/INDEX(DSS_Calc!$JM:$JM,MATCH(G$4+$B$6,DSS_Calc!$A:$A,0))-1</f>
        <v>0.18982737745283762</v>
      </c>
      <c r="I8" s="788">
        <f>ABS(INDEX(DSS_Calc!$KU:$KU,MATCH(G$4+$B8,DSS_Calc!$A:$A,0)))</f>
        <v>52.042600134383768</v>
      </c>
      <c r="J8" s="777">
        <f t="shared" si="12"/>
        <v>5</v>
      </c>
      <c r="K8" s="808">
        <f t="shared" ref="K8:K16" si="22">IF(G8&gt;QUARTILE(G$7:G$16,3),1+COUNTIFS(G$7:G$16,"&gt;"&amp;QUARTILE(G$7:G$16,3),I$7:I$16,"&gt;"&amp;I8),100)</f>
        <v>1</v>
      </c>
      <c r="L8" s="808">
        <f t="shared" ref="L8:L16" si="23">IF(G8&lt;QUARTILE(G$7:G$16,1),1+COUNTIFS(G$7:G$16,"&lt;"&amp;QUARTILE(G$7:G$16,1),I$7:I$16,"&gt;"&amp;I8),100)</f>
        <v>100</v>
      </c>
      <c r="M8" s="808">
        <f>INDEX(DSS_Calc!$JM:$JM,MATCH(G$4+$B8,DSS_Calc!$A:$A,0))</f>
        <v>1258.9676218884224</v>
      </c>
      <c r="N8" s="772"/>
      <c r="O8" s="779">
        <f>INDEX(DSS_Calc!$JD:$JD,MATCH(O$4+$B8,DSS_Calc!$A:$A,0))-INDEX(DSS_Calc!$JD:$JD,MATCH(O$4+$B$6,DSS_Calc!$A:$A,0))</f>
        <v>883.16732576238292</v>
      </c>
      <c r="P8" s="780">
        <f>INDEX(DSS_Calc!$JM:$JM,MATCH(O$4+$B8,DSS_Calc!$A:$A,0))/INDEX(DSS_Calc!$JM:$JM,MATCH(O$4+$B$6,DSS_Calc!$A:$A,0))-1</f>
        <v>0.18466898646973773</v>
      </c>
      <c r="Q8" s="788">
        <f>ABS(INDEX(DSS_Calc!$KU:$KU,MATCH(O$4+$B8,DSS_Calc!$A:$A,0)))</f>
        <v>12.274158035597511</v>
      </c>
      <c r="R8" s="777">
        <f t="shared" si="13"/>
        <v>5</v>
      </c>
      <c r="S8" s="808">
        <f t="shared" ref="S8:S16" si="24">IF(O8&gt;QUARTILE(O$7:O$16,3),1+COUNTIFS(O$7:O$16,"&gt;"&amp;QUARTILE(O$7:O$16,3),Q$7:Q$16,"&gt;"&amp;Q8),100)</f>
        <v>2</v>
      </c>
      <c r="T8" s="808">
        <f t="shared" ref="T8:T16" si="25">IF(O8&lt;QUARTILE(O$7:O$16,1),1+COUNTIFS(O$7:O$16,"&lt;"&amp;QUARTILE(O$7:O$16,1),Q$7:Q$16,"&gt;"&amp;Q8),100)</f>
        <v>100</v>
      </c>
      <c r="U8" s="808">
        <f>INDEX(DSS_Calc!$JM:$JM,MATCH(O$4+$B8,DSS_Calc!$A:$A,0))</f>
        <v>2046.8223528352312</v>
      </c>
      <c r="V8" s="772"/>
      <c r="W8" s="779">
        <f>INDEX(DSS_Calc!$JD:$JD,MATCH(W$4+$B8,DSS_Calc!$A:$A,0))-INDEX(DSS_Calc!$JD:$JD,MATCH(W$4+$B$6,DSS_Calc!$A:$A,0))</f>
        <v>925.3429013526129</v>
      </c>
      <c r="X8" s="780">
        <f>INDEX(DSS_Calc!$JM:$JM,MATCH(W$4+$B8,DSS_Calc!$A:$A,0))/INDEX(DSS_Calc!$JM:$JM,MATCH(W$4+$B$6,DSS_Calc!$A:$A,0))-1</f>
        <v>0.1979559338866157</v>
      </c>
      <c r="Y8" s="788">
        <f>ABS(INDEX(DSS_Calc!$KU:$KU,MATCH(W$4+$B8,DSS_Calc!$A:$A,0)))</f>
        <v>15.610365059337481</v>
      </c>
      <c r="Z8" s="777">
        <f t="shared" si="14"/>
        <v>5</v>
      </c>
      <c r="AA8" s="808">
        <f t="shared" ref="AA8:AA16" si="26">IF(W8&gt;QUARTILE(W$7:W$16,3),1+COUNTIFS(W$7:W$16,"&gt;"&amp;QUARTILE(W$7:W$16,3),Y$7:Y$16,"&gt;"&amp;Y8),100)</f>
        <v>2</v>
      </c>
      <c r="AB8" s="808">
        <f t="shared" ref="AB8:AB16" si="27">IF(W8&lt;QUARTILE(W$7:W$16,1),1+COUNTIFS(W$7:W$16,"&lt;"&amp;QUARTILE(W$7:W$16,1),Y$7:Y$16,"&gt;"&amp;Y8),100)</f>
        <v>100</v>
      </c>
      <c r="AC8" s="808">
        <f>INDEX(DSS_Calc!$JM:$JM,MATCH(W$4+$B8,DSS_Calc!$A:$A,0))</f>
        <v>2467.8779831879806</v>
      </c>
      <c r="AD8" s="772"/>
      <c r="AE8" s="779">
        <f>INDEX(DSS_Calc!$JD:$JD,MATCH(AE$4+$B8,DSS_Calc!$A:$A,0))-INDEX(DSS_Calc!$JD:$JD,MATCH(AE$4+$B$6,DSS_Calc!$A:$A,0))</f>
        <v>969.87236356191897</v>
      </c>
      <c r="AF8" s="780">
        <f>INDEX(DSS_Calc!$JM:$JM,MATCH(AE$4+$B8,DSS_Calc!$A:$A,0))/INDEX(DSS_Calc!$JM:$JM,MATCH(AE$4+$B$6,DSS_Calc!$A:$A,0))-1</f>
        <v>0.18022784341250775</v>
      </c>
      <c r="AG8" s="788">
        <f>ABS(INDEX(DSS_Calc!$KU:$KU,MATCH(AE$4+$B8,DSS_Calc!$A:$A,0)))</f>
        <v>6.6375888224159354</v>
      </c>
      <c r="AH8" s="777">
        <f t="shared" si="15"/>
        <v>2</v>
      </c>
      <c r="AI8" s="808">
        <f t="shared" ref="AI8:AI16" si="28">IF(AE8&gt;QUARTILE(AE$7:AE$16,3),1+COUNTIFS(AE$7:AE$16,"&gt;"&amp;QUARTILE(AE$7:AE$16,3),AG$7:AG$16,"&gt;"&amp;AG8),100)</f>
        <v>2</v>
      </c>
      <c r="AJ8" s="808">
        <f t="shared" ref="AJ8:AJ16" si="29">IF(AE8&lt;QUARTILE(AE$7:AE$16,1),1+COUNTIFS(AE$7:AE$16,"&lt;"&amp;QUARTILE(AE$7:AE$16,1),AG$7:AG$16,"&gt;"&amp;AG8),100)</f>
        <v>100</v>
      </c>
      <c r="AK8" s="808">
        <f>INDEX(DSS_Calc!$JM:$JM,MATCH(AE$4+$B8,DSS_Calc!$A:$A,0))</f>
        <v>2357.6700627471669</v>
      </c>
      <c r="AL8" s="772"/>
      <c r="AM8" s="779">
        <f>INDEX(DSS_Calc!$JD:$JD,MATCH(AM$4+$B8,DSS_Calc!$A:$A,0))-INDEX(DSS_Calc!$JD:$JD,MATCH(AM$4+$B$6,DSS_Calc!$A:$A,0))</f>
        <v>950.02326190558915</v>
      </c>
      <c r="AN8" s="780">
        <f>INDEX(DSS_Calc!$JM:$JM,MATCH(AM$4+$B8,DSS_Calc!$A:$A,0))/INDEX(DSS_Calc!$JM:$JM,MATCH(AM$4+$B$6,DSS_Calc!$A:$A,0))-1</f>
        <v>0.18369051912269052</v>
      </c>
      <c r="AO8" s="788">
        <f>ABS(INDEX(DSS_Calc!$KU:$KU,MATCH(AM$4+$B8,DSS_Calc!$A:$A,0)))</f>
        <v>7.3819448958163907</v>
      </c>
      <c r="AP8" s="777">
        <f t="shared" si="16"/>
        <v>2</v>
      </c>
      <c r="AQ8" s="808">
        <f t="shared" ref="AQ8:AQ16" si="30">IF(AM8&gt;QUARTILE(AM$7:AM$16,3),1+COUNTIFS(AM$7:AM$16,"&gt;"&amp;QUARTILE(AM$7:AM$16,3),AO$7:AO$16,"&gt;"&amp;AO8),100)</f>
        <v>2</v>
      </c>
      <c r="AR8" s="808">
        <f t="shared" ref="AR8:AR16" si="31">IF(AM8&lt;QUARTILE(AM$7:AM$16,1),1+COUNTIFS(AM$7:AM$16,"&lt;"&amp;QUARTILE(AM$7:AM$16,1),AO$7:AO$16,"&gt;"&amp;AO8),100)</f>
        <v>100</v>
      </c>
      <c r="AS8" s="808">
        <f>INDEX(DSS_Calc!$JM:$JM,MATCH(AM$4+$B8,DSS_Calc!$A:$A,0))</f>
        <v>945.23651229274071</v>
      </c>
      <c r="AT8" s="772"/>
      <c r="AU8" s="779">
        <f>INDEX(DSS_Calc!$JD:$JD,MATCH(AU$4+$B8,DSS_Calc!$A:$A,0))-INDEX(DSS_Calc!$JD:$JD,MATCH(AU$4+$B$6,DSS_Calc!$A:$A,0))</f>
        <v>916.64250604946665</v>
      </c>
      <c r="AV8" s="780">
        <f>INDEX(DSS_Calc!$JM:$JM,MATCH(AU$4+$B8,DSS_Calc!$A:$A,0))/INDEX(DSS_Calc!$JM:$JM,MATCH(AU$4+$B$6,DSS_Calc!$A:$A,0))-1</f>
        <v>0.18770178901197698</v>
      </c>
      <c r="AX8" s="848" t="str">
        <f t="shared" si="11"/>
        <v>B</v>
      </c>
      <c r="AY8" s="881" t="str">
        <f t="shared" si="11"/>
        <v>1000 CC, 1000 Combo, 720 Lease</v>
      </c>
      <c r="AZ8" s="848" t="str">
        <f t="shared" si="11"/>
        <v>MY20 Forte</v>
      </c>
      <c r="BA8" s="769"/>
      <c r="BB8" s="882">
        <f t="shared" ref="BB8:BC16" si="32">+G8</f>
        <v>812.34475033788112</v>
      </c>
      <c r="BC8" s="883">
        <f t="shared" si="32"/>
        <v>0.18982737745283762</v>
      </c>
      <c r="BD8" s="769"/>
      <c r="BE8" s="882">
        <f t="shared" si="17"/>
        <v>883.16732576238292</v>
      </c>
      <c r="BF8" s="883">
        <f t="shared" si="17"/>
        <v>0.18466898646973773</v>
      </c>
      <c r="BG8" s="769"/>
      <c r="BH8" s="882">
        <f t="shared" si="18"/>
        <v>925.3429013526129</v>
      </c>
      <c r="BI8" s="883">
        <f t="shared" si="18"/>
        <v>0.1979559338866157</v>
      </c>
      <c r="BJ8" s="769"/>
      <c r="BK8" s="882">
        <f t="shared" si="19"/>
        <v>969.87236356191897</v>
      </c>
      <c r="BL8" s="883">
        <f t="shared" si="19"/>
        <v>0.18022784341250775</v>
      </c>
      <c r="BM8" s="769"/>
      <c r="BN8" s="882">
        <f t="shared" si="20"/>
        <v>950.02326190558915</v>
      </c>
      <c r="BO8" s="883">
        <f t="shared" si="20"/>
        <v>0.18369051912269052</v>
      </c>
      <c r="BP8" s="769"/>
      <c r="BQ8" s="882">
        <f t="shared" si="21"/>
        <v>916.64250604946665</v>
      </c>
      <c r="BR8" s="883">
        <f t="shared" si="21"/>
        <v>0.18770178901197698</v>
      </c>
    </row>
    <row r="9" spans="2:70" ht="20.100000000000001" customHeight="1">
      <c r="B9" s="831">
        <v>32</v>
      </c>
      <c r="C9" s="772" t="str">
        <f t="shared" ref="C9:C18" si="33">CHAR(CODE(C8)+1)</f>
        <v>C</v>
      </c>
      <c r="D9" s="774" t="str">
        <f>LEFT(INDEX(DSS_Calc!$D:$D,MATCH(G$4+$B9,DSS_Calc!$A:$A,0)),LEN(INDEX(DSS_Calc!$D:$D,MATCH(G$4+$B9,DSS_Calc!$A:$A,0)))-2)</f>
        <v>500 CC, 500 Combo</v>
      </c>
      <c r="E9" s="772" t="str">
        <f>"MY"&amp;RIGHT(Input!$H$9,2)&amp;" "&amp;Input!$H$3</f>
        <v>MY20 Forte</v>
      </c>
      <c r="F9" s="772"/>
      <c r="G9" s="776">
        <f>INDEX(DSS_Calc!$JD:$JD,MATCH(G$4+$B9,DSS_Calc!$A:$A,0))-INDEX(DSS_Calc!$JD:$JD,MATCH(G$4+$B$6,DSS_Calc!$A:$A,0))</f>
        <v>18.667560103694996</v>
      </c>
      <c r="H9" s="775">
        <f>INDEX(DSS_Calc!$JM:$JM,MATCH(G$4+$B9,DSS_Calc!$A:$A,0))/INDEX(DSS_Calc!$JM:$JM,MATCH(G$4+$B$6,DSS_Calc!$A:$A,0))-1</f>
        <v>2.9670265417032216E-2</v>
      </c>
      <c r="I9" s="787">
        <f>ABS(INDEX(DSS_Calc!$KU:$KU,MATCH(G$4+$B9,DSS_Calc!$A:$A,0)))</f>
        <v>52.183388728520953</v>
      </c>
      <c r="J9" s="772">
        <f t="shared" si="12"/>
        <v>4</v>
      </c>
      <c r="K9" s="807">
        <f t="shared" si="22"/>
        <v>100</v>
      </c>
      <c r="L9" s="807">
        <f t="shared" si="23"/>
        <v>3</v>
      </c>
      <c r="M9" s="807">
        <f>INDEX(DSS_Calc!$JM:$JM,MATCH(G$4+$B9,DSS_Calc!$A:$A,0))</f>
        <v>1089.5038641289673</v>
      </c>
      <c r="N9" s="772"/>
      <c r="O9" s="776">
        <f>INDEX(DSS_Calc!$JD:$JD,MATCH(O$4+$B9,DSS_Calc!$A:$A,0))-INDEX(DSS_Calc!$JD:$JD,MATCH(O$4+$B$6,DSS_Calc!$A:$A,0))</f>
        <v>207.24550877449428</v>
      </c>
      <c r="P9" s="775">
        <f>INDEX(DSS_Calc!$JM:$JM,MATCH(O$4+$B9,DSS_Calc!$A:$A,0))/INDEX(DSS_Calc!$JM:$JM,MATCH(O$4+$B$6,DSS_Calc!$A:$A,0))-1</f>
        <v>5.9404554823387024E-2</v>
      </c>
      <c r="Q9" s="787">
        <f>ABS(INDEX(DSS_Calc!$KU:$KU,MATCH(O$4+$B9,DSS_Calc!$A:$A,0)))</f>
        <v>12.33322277736479</v>
      </c>
      <c r="R9" s="772">
        <f t="shared" si="13"/>
        <v>4</v>
      </c>
      <c r="S9" s="807">
        <f t="shared" si="24"/>
        <v>100</v>
      </c>
      <c r="T9" s="807">
        <f t="shared" si="25"/>
        <v>100</v>
      </c>
      <c r="U9" s="807">
        <f>INDEX(DSS_Calc!$JM:$JM,MATCH(O$4+$B9,DSS_Calc!$A:$A,0))</f>
        <v>1830.3956195981311</v>
      </c>
      <c r="V9" s="772"/>
      <c r="W9" s="776">
        <f>INDEX(DSS_Calc!$JD:$JD,MATCH(W$4+$B9,DSS_Calc!$A:$A,0))-INDEX(DSS_Calc!$JD:$JD,MATCH(W$4+$B$6,DSS_Calc!$A:$A,0))</f>
        <v>247.33722301876787</v>
      </c>
      <c r="X9" s="775">
        <f>INDEX(DSS_Calc!$JM:$JM,MATCH(W$4+$B9,DSS_Calc!$A:$A,0))/INDEX(DSS_Calc!$JM:$JM,MATCH(W$4+$B$6,DSS_Calc!$A:$A,0))-1</f>
        <v>6.3497328088800931E-2</v>
      </c>
      <c r="Y9" s="787">
        <f>ABS(INDEX(DSS_Calc!$KU:$KU,MATCH(W$4+$B9,DSS_Calc!$A:$A,0)))</f>
        <v>15.668879285706188</v>
      </c>
      <c r="Z9" s="772">
        <f t="shared" si="14"/>
        <v>4</v>
      </c>
      <c r="AA9" s="807">
        <f t="shared" si="26"/>
        <v>100</v>
      </c>
      <c r="AB9" s="807">
        <f t="shared" si="27"/>
        <v>100</v>
      </c>
      <c r="AC9" s="807">
        <f>INDEX(DSS_Calc!$JM:$JM,MATCH(W$4+$B9,DSS_Calc!$A:$A,0))</f>
        <v>2190.8832928891425</v>
      </c>
      <c r="AD9" s="772"/>
      <c r="AE9" s="776">
        <f>INDEX(DSS_Calc!$JD:$JD,MATCH(AE$4+$B9,DSS_Calc!$A:$A,0))-INDEX(DSS_Calc!$JD:$JD,MATCH(AE$4+$B$6,DSS_Calc!$A:$A,0))</f>
        <v>427.61913969718944</v>
      </c>
      <c r="AF9" s="775">
        <f>INDEX(DSS_Calc!$JM:$JM,MATCH(AE$4+$B9,DSS_Calc!$A:$A,0))/INDEX(DSS_Calc!$JM:$JM,MATCH(AE$4+$B$6,DSS_Calc!$A:$A,0))-1</f>
        <v>8.1331255853772433E-2</v>
      </c>
      <c r="AG9" s="787">
        <f>ABS(INDEX(DSS_Calc!$KU:$KU,MATCH(AE$4+$B9,DSS_Calc!$A:$A,0)))</f>
        <v>6.6041011507637739</v>
      </c>
      <c r="AH9" s="772">
        <f t="shared" si="15"/>
        <v>4</v>
      </c>
      <c r="AI9" s="807">
        <f t="shared" si="28"/>
        <v>100</v>
      </c>
      <c r="AJ9" s="807">
        <f t="shared" si="29"/>
        <v>100</v>
      </c>
      <c r="AK9" s="807">
        <f>INDEX(DSS_Calc!$JM:$JM,MATCH(AE$4+$B9,DSS_Calc!$A:$A,0))</f>
        <v>2160.110307572344</v>
      </c>
      <c r="AL9" s="772"/>
      <c r="AM9" s="776">
        <f>INDEX(DSS_Calc!$JD:$JD,MATCH(AM$4+$B9,DSS_Calc!$A:$A,0))-INDEX(DSS_Calc!$JD:$JD,MATCH(AM$4+$B$6,DSS_Calc!$A:$A,0))</f>
        <v>389.65036635414799</v>
      </c>
      <c r="AN9" s="775">
        <f>INDEX(DSS_Calc!$JM:$JM,MATCH(AM$4+$B9,DSS_Calc!$A:$A,0))/INDEX(DSS_Calc!$JM:$JM,MATCH(AM$4+$B$6,DSS_Calc!$A:$A,0))-1</f>
        <v>7.8379144069851359E-2</v>
      </c>
      <c r="AO9" s="787">
        <f>ABS(INDEX(DSS_Calc!$KU:$KU,MATCH(AM$4+$B9,DSS_Calc!$A:$A,0)))</f>
        <v>7.345878703558383</v>
      </c>
      <c r="AP9" s="772">
        <f t="shared" si="16"/>
        <v>5</v>
      </c>
      <c r="AQ9" s="807">
        <f t="shared" si="30"/>
        <v>100</v>
      </c>
      <c r="AR9" s="807">
        <f t="shared" si="31"/>
        <v>100</v>
      </c>
      <c r="AS9" s="807">
        <f>INDEX(DSS_Calc!$JM:$JM,MATCH(AM$4+$B9,DSS_Calc!$A:$A,0))</f>
        <v>861.14007386432695</v>
      </c>
      <c r="AT9" s="772"/>
      <c r="AU9" s="776">
        <f>INDEX(DSS_Calc!$JD:$JD,MATCH(AU$4+$B9,DSS_Calc!$A:$A,0))-INDEX(DSS_Calc!$JD:$JD,MATCH(AU$4+$B$6,DSS_Calc!$A:$A,0))</f>
        <v>257.88331865016789</v>
      </c>
      <c r="AV9" s="775">
        <f>INDEX(DSS_Calc!$JM:$JM,MATCH(AU$4+$B9,DSS_Calc!$A:$A,0))/INDEX(DSS_Calc!$JM:$JM,MATCH(AU$4+$B$6,DSS_Calc!$A:$A,0))-1</f>
        <v>6.4105218886293835E-2</v>
      </c>
      <c r="AX9" s="833" t="str">
        <f t="shared" si="11"/>
        <v>C</v>
      </c>
      <c r="AY9" s="879" t="str">
        <f t="shared" si="11"/>
        <v>500 CC, 500 Combo</v>
      </c>
      <c r="AZ9" s="833" t="str">
        <f t="shared" si="11"/>
        <v>MY20 Forte</v>
      </c>
      <c r="BA9" s="769"/>
      <c r="BB9" s="834">
        <f t="shared" si="32"/>
        <v>18.667560103694996</v>
      </c>
      <c r="BC9" s="880">
        <f t="shared" si="32"/>
        <v>2.9670265417032216E-2</v>
      </c>
      <c r="BD9" s="769"/>
      <c r="BE9" s="834">
        <f t="shared" si="17"/>
        <v>207.24550877449428</v>
      </c>
      <c r="BF9" s="880">
        <f t="shared" si="17"/>
        <v>5.9404554823387024E-2</v>
      </c>
      <c r="BG9" s="769"/>
      <c r="BH9" s="834">
        <f t="shared" si="18"/>
        <v>247.33722301876787</v>
      </c>
      <c r="BI9" s="880">
        <f t="shared" si="18"/>
        <v>6.3497328088800931E-2</v>
      </c>
      <c r="BJ9" s="769"/>
      <c r="BK9" s="834">
        <f t="shared" si="19"/>
        <v>427.61913969718944</v>
      </c>
      <c r="BL9" s="880">
        <f t="shared" si="19"/>
        <v>8.1331255853772433E-2</v>
      </c>
      <c r="BM9" s="769"/>
      <c r="BN9" s="834">
        <f t="shared" si="20"/>
        <v>389.65036635414799</v>
      </c>
      <c r="BO9" s="880">
        <f t="shared" si="20"/>
        <v>7.8379144069851359E-2</v>
      </c>
      <c r="BP9" s="769"/>
      <c r="BQ9" s="834">
        <f t="shared" si="21"/>
        <v>257.88331865016789</v>
      </c>
      <c r="BR9" s="880">
        <f t="shared" si="21"/>
        <v>6.4105218886293835E-2</v>
      </c>
    </row>
    <row r="10" spans="2:70" ht="20.100000000000001" customHeight="1">
      <c r="B10" s="831">
        <v>34</v>
      </c>
      <c r="C10" s="777" t="str">
        <f t="shared" si="33"/>
        <v>D</v>
      </c>
      <c r="D10" s="778" t="str">
        <f>LEFT(INDEX(DSS_Calc!$D:$D,MATCH(G$4+$B10,DSS_Calc!$A:$A,0)),LEN(INDEX(DSS_Calc!$D:$D,MATCH(G$4+$B10,DSS_Calc!$A:$A,0)))-2)</f>
        <v>1000 CC, 1000 Combo</v>
      </c>
      <c r="E10" s="777" t="str">
        <f>"MY"&amp;RIGHT(Input!$H$9,2)&amp;" "&amp;Input!$H$3</f>
        <v>MY20 Forte</v>
      </c>
      <c r="F10" s="772"/>
      <c r="G10" s="779">
        <f>INDEX(DSS_Calc!$JD:$JD,MATCH(G$4+$B10,DSS_Calc!$A:$A,0))-INDEX(DSS_Calc!$JD:$JD,MATCH(G$4+$B$6,DSS_Calc!$A:$A,0))</f>
        <v>66.950127790327315</v>
      </c>
      <c r="H10" s="780">
        <f>INDEX(DSS_Calc!$JM:$JM,MATCH(G$4+$B10,DSS_Calc!$A:$A,0))/INDEX(DSS_Calc!$JM:$JM,MATCH(G$4+$B$6,DSS_Calc!$A:$A,0))-1</f>
        <v>6.1585735279061193E-2</v>
      </c>
      <c r="I10" s="788">
        <f>ABS(INDEX(DSS_Calc!$KU:$KU,MATCH(G$4+$B10,DSS_Calc!$A:$A,0)))</f>
        <v>53.209105937630483</v>
      </c>
      <c r="J10" s="777">
        <f t="shared" si="12"/>
        <v>1</v>
      </c>
      <c r="K10" s="808">
        <f t="shared" si="22"/>
        <v>100</v>
      </c>
      <c r="L10" s="808">
        <f t="shared" si="23"/>
        <v>100</v>
      </c>
      <c r="M10" s="808">
        <f>INDEX(DSS_Calc!$JM:$JM,MATCH(G$4+$B10,DSS_Calc!$A:$A,0))</f>
        <v>1123.273925194185</v>
      </c>
      <c r="N10" s="772"/>
      <c r="O10" s="779">
        <f>INDEX(DSS_Calc!$JD:$JD,MATCH(O$4+$B10,DSS_Calc!$A:$A,0))-INDEX(DSS_Calc!$JD:$JD,MATCH(O$4+$B$6,DSS_Calc!$A:$A,0))</f>
        <v>455.62299323088473</v>
      </c>
      <c r="P10" s="780">
        <f>INDEX(DSS_Calc!$JM:$JM,MATCH(O$4+$B10,DSS_Calc!$A:$A,0))/INDEX(DSS_Calc!$JM:$JM,MATCH(O$4+$B$6,DSS_Calc!$A:$A,0))-1</f>
        <v>0.12218628621504957</v>
      </c>
      <c r="Q10" s="788">
        <f>ABS(INDEX(DSS_Calc!$KU:$KU,MATCH(O$4+$B10,DSS_Calc!$A:$A,0)))</f>
        <v>12.567201896026846</v>
      </c>
      <c r="R10" s="777">
        <f t="shared" si="13"/>
        <v>1</v>
      </c>
      <c r="S10" s="808">
        <f t="shared" si="24"/>
        <v>1</v>
      </c>
      <c r="T10" s="808">
        <f t="shared" si="25"/>
        <v>100</v>
      </c>
      <c r="U10" s="808">
        <f>INDEX(DSS_Calc!$JM:$JM,MATCH(O$4+$B10,DSS_Calc!$A:$A,0))</f>
        <v>1938.867313066773</v>
      </c>
      <c r="V10" s="772"/>
      <c r="W10" s="779">
        <f>INDEX(DSS_Calc!$JD:$JD,MATCH(W$4+$B10,DSS_Calc!$A:$A,0))-INDEX(DSS_Calc!$JD:$JD,MATCH(W$4+$B$6,DSS_Calc!$A:$A,0))</f>
        <v>504.82602217567819</v>
      </c>
      <c r="X10" s="780">
        <f>INDEX(DSS_Calc!$JM:$JM,MATCH(W$4+$B10,DSS_Calc!$A:$A,0))/INDEX(DSS_Calc!$JM:$JM,MATCH(W$4+$B$6,DSS_Calc!$A:$A,0))-1</f>
        <v>0.13097657418552133</v>
      </c>
      <c r="Y10" s="788">
        <f>ABS(INDEX(DSS_Calc!$KU:$KU,MATCH(W$4+$B10,DSS_Calc!$A:$A,0)))</f>
        <v>15.943491365707825</v>
      </c>
      <c r="Z10" s="777">
        <f t="shared" si="14"/>
        <v>1</v>
      </c>
      <c r="AA10" s="808">
        <f t="shared" si="26"/>
        <v>1</v>
      </c>
      <c r="AB10" s="808">
        <f t="shared" si="27"/>
        <v>100</v>
      </c>
      <c r="AC10" s="808">
        <f>INDEX(DSS_Calc!$JM:$JM,MATCH(W$4+$B10,DSS_Calc!$A:$A,0))</f>
        <v>2329.8955395449375</v>
      </c>
      <c r="AD10" s="772"/>
      <c r="AE10" s="779">
        <f>INDEX(DSS_Calc!$JD:$JD,MATCH(AE$4+$B10,DSS_Calc!$A:$A,0))-INDEX(DSS_Calc!$JD:$JD,MATCH(AE$4+$B$6,DSS_Calc!$A:$A,0))</f>
        <v>869.14564716763743</v>
      </c>
      <c r="AF10" s="780">
        <f>INDEX(DSS_Calc!$JM:$JM,MATCH(AE$4+$B10,DSS_Calc!$A:$A,0))/INDEX(DSS_Calc!$JM:$JM,MATCH(AE$4+$B$6,DSS_Calc!$A:$A,0))-1</f>
        <v>0.16594608727649307</v>
      </c>
      <c r="AG10" s="788">
        <f>ABS(INDEX(DSS_Calc!$KU:$KU,MATCH(AE$4+$B10,DSS_Calc!$A:$A,0)))</f>
        <v>6.6747459098149875</v>
      </c>
      <c r="AH10" s="777">
        <f t="shared" si="15"/>
        <v>1</v>
      </c>
      <c r="AI10" s="808">
        <f t="shared" si="28"/>
        <v>1</v>
      </c>
      <c r="AJ10" s="808">
        <f t="shared" si="29"/>
        <v>100</v>
      </c>
      <c r="AK10" s="808">
        <f>INDEX(DSS_Calc!$JM:$JM,MATCH(AE$4+$B10,DSS_Calc!$A:$A,0))</f>
        <v>2329.1402588849064</v>
      </c>
      <c r="AL10" s="772"/>
      <c r="AM10" s="779">
        <f>INDEX(DSS_Calc!$JD:$JD,MATCH(AM$4+$B10,DSS_Calc!$A:$A,0))-INDEX(DSS_Calc!$JD:$JD,MATCH(AM$4+$B$6,DSS_Calc!$A:$A,0))</f>
        <v>798.61109220861817</v>
      </c>
      <c r="AN10" s="780">
        <f>INDEX(DSS_Calc!$JM:$JM,MATCH(AM$4+$B10,DSS_Calc!$A:$A,0))/INDEX(DSS_Calc!$JM:$JM,MATCH(AM$4+$B$6,DSS_Calc!$A:$A,0))-1</f>
        <v>0.16050762939382079</v>
      </c>
      <c r="AO10" s="788">
        <f>ABS(INDEX(DSS_Calc!$KU:$KU,MATCH(AM$4+$B10,DSS_Calc!$A:$A,0)))</f>
        <v>7.4314978798138061</v>
      </c>
      <c r="AP10" s="777">
        <f t="shared" si="16"/>
        <v>1</v>
      </c>
      <c r="AQ10" s="808">
        <f t="shared" si="30"/>
        <v>1</v>
      </c>
      <c r="AR10" s="808">
        <f t="shared" si="31"/>
        <v>100</v>
      </c>
      <c r="AS10" s="808">
        <f>INDEX(DSS_Calc!$JM:$JM,MATCH(AM$4+$B10,DSS_Calc!$A:$A,0))</f>
        <v>926.72380692071044</v>
      </c>
      <c r="AT10" s="772"/>
      <c r="AU10" s="779">
        <f>INDEX(DSS_Calc!$JD:$JD,MATCH(AU$4+$B10,DSS_Calc!$A:$A,0))-INDEX(DSS_Calc!$JD:$JD,MATCH(AU$4+$B$6,DSS_Calc!$A:$A,0))</f>
        <v>542.30931676511227</v>
      </c>
      <c r="AV10" s="780">
        <f>INDEX(DSS_Calc!$JM:$JM,MATCH(AU$4+$B10,DSS_Calc!$A:$A,0))/INDEX(DSS_Calc!$JM:$JM,MATCH(AU$4+$B$6,DSS_Calc!$A:$A,0))-1</f>
        <v>0.13160832491016738</v>
      </c>
      <c r="AX10" s="848" t="str">
        <f t="shared" si="11"/>
        <v>D</v>
      </c>
      <c r="AY10" s="881" t="str">
        <f t="shared" si="11"/>
        <v>1000 CC, 1000 Combo</v>
      </c>
      <c r="AZ10" s="848" t="str">
        <f t="shared" si="11"/>
        <v>MY20 Forte</v>
      </c>
      <c r="BA10" s="769"/>
      <c r="BB10" s="882">
        <f t="shared" si="32"/>
        <v>66.950127790327315</v>
      </c>
      <c r="BC10" s="883">
        <f t="shared" si="32"/>
        <v>6.1585735279061193E-2</v>
      </c>
      <c r="BD10" s="769"/>
      <c r="BE10" s="882">
        <f t="shared" si="17"/>
        <v>455.62299323088473</v>
      </c>
      <c r="BF10" s="883">
        <f t="shared" si="17"/>
        <v>0.12218628621504957</v>
      </c>
      <c r="BG10" s="769"/>
      <c r="BH10" s="882">
        <f t="shared" si="18"/>
        <v>504.82602217567819</v>
      </c>
      <c r="BI10" s="883">
        <f t="shared" si="18"/>
        <v>0.13097657418552133</v>
      </c>
      <c r="BJ10" s="769"/>
      <c r="BK10" s="882">
        <f t="shared" si="19"/>
        <v>869.14564716763743</v>
      </c>
      <c r="BL10" s="883">
        <f t="shared" si="19"/>
        <v>0.16594608727649307</v>
      </c>
      <c r="BM10" s="769"/>
      <c r="BN10" s="882">
        <f t="shared" si="20"/>
        <v>798.61109220861817</v>
      </c>
      <c r="BO10" s="883">
        <f t="shared" si="20"/>
        <v>0.16050762939382079</v>
      </c>
      <c r="BP10" s="769"/>
      <c r="BQ10" s="882">
        <f t="shared" si="21"/>
        <v>542.30931676511227</v>
      </c>
      <c r="BR10" s="883">
        <f t="shared" si="21"/>
        <v>0.13160832491016738</v>
      </c>
    </row>
    <row r="11" spans="2:70" ht="20.100000000000001" customHeight="1">
      <c r="B11" s="831">
        <v>11</v>
      </c>
      <c r="C11" s="772" t="str">
        <f t="shared" si="33"/>
        <v>E</v>
      </c>
      <c r="D11" s="774" t="str">
        <f>LEFT(INDEX(DSS_Calc!$D:$D,MATCH(G$4+$B11,DSS_Calc!$A:$A,0)),LEN(INDEX(DSS_Calc!$D:$D,MATCH(G$4+$B11,DSS_Calc!$A:$A,0)))-2)</f>
        <v>750 CC</v>
      </c>
      <c r="E11" s="772" t="str">
        <f>"MY"&amp;RIGHT(Input!$H$9,2)&amp;" "&amp;Input!$H$3</f>
        <v>MY20 Forte</v>
      </c>
      <c r="F11" s="772"/>
      <c r="G11" s="776">
        <f>INDEX(DSS_Calc!$JD:$JD,MATCH(G$4+$B11,DSS_Calc!$A:$A,0))-INDEX(DSS_Calc!$JD:$JD,MATCH(G$4+$B$6,DSS_Calc!$A:$A,0))</f>
        <v>-23.088097162765735</v>
      </c>
      <c r="H11" s="775">
        <f>INDEX(DSS_Calc!$JM:$JM,MATCH(G$4+$B11,DSS_Calc!$A:$A,0))/INDEX(DSS_Calc!$JM:$JM,MATCH(G$4+$B$6,DSS_Calc!$A:$A,0))-1</f>
        <v>2.4355162012575704E-2</v>
      </c>
      <c r="I11" s="787">
        <f>ABS(INDEX(DSS_Calc!$KU:$KU,MATCH(G$4+$B11,DSS_Calc!$A:$A,0)))</f>
        <v>52.339705568966302</v>
      </c>
      <c r="J11" s="772">
        <f t="shared" si="12"/>
        <v>3</v>
      </c>
      <c r="K11" s="807">
        <f t="shared" si="22"/>
        <v>100</v>
      </c>
      <c r="L11" s="807">
        <f t="shared" si="23"/>
        <v>2</v>
      </c>
      <c r="M11" s="807">
        <f>INDEX(DSS_Calc!$JM:$JM,MATCH(G$4+$B11,DSS_Calc!$A:$A,0))</f>
        <v>1083.879902855253</v>
      </c>
      <c r="N11" s="772"/>
      <c r="O11" s="776">
        <f>INDEX(DSS_Calc!$JD:$JD,MATCH(O$4+$B11,DSS_Calc!$A:$A,0))-INDEX(DSS_Calc!$JD:$JD,MATCH(O$4+$B$6,DSS_Calc!$A:$A,0))</f>
        <v>134.00760065644636</v>
      </c>
      <c r="P11" s="775">
        <f>INDEX(DSS_Calc!$JM:$JM,MATCH(O$4+$B11,DSS_Calc!$A:$A,0))/INDEX(DSS_Calc!$JM:$JM,MATCH(O$4+$B$6,DSS_Calc!$A:$A,0))-1</f>
        <v>4.8092149129586037E-2</v>
      </c>
      <c r="Q11" s="787">
        <f>ABS(INDEX(DSS_Calc!$KU:$KU,MATCH(O$4+$B11,DSS_Calc!$A:$A,0)))</f>
        <v>12.378547433245725</v>
      </c>
      <c r="R11" s="772">
        <f t="shared" si="13"/>
        <v>3</v>
      </c>
      <c r="S11" s="807">
        <f t="shared" si="24"/>
        <v>100</v>
      </c>
      <c r="T11" s="807">
        <f t="shared" si="25"/>
        <v>2</v>
      </c>
      <c r="U11" s="807">
        <f>INDEX(DSS_Calc!$JM:$JM,MATCH(O$4+$B11,DSS_Calc!$A:$A,0))</f>
        <v>1810.8505102867009</v>
      </c>
      <c r="V11" s="772"/>
      <c r="W11" s="776">
        <f>INDEX(DSS_Calc!$JD:$JD,MATCH(W$4+$B11,DSS_Calc!$A:$A,0))-INDEX(DSS_Calc!$JD:$JD,MATCH(W$4+$B$6,DSS_Calc!$A:$A,0))</f>
        <v>121.97954024336059</v>
      </c>
      <c r="X11" s="775">
        <f>INDEX(DSS_Calc!$JM:$JM,MATCH(W$4+$B11,DSS_Calc!$A:$A,0))/INDEX(DSS_Calc!$JM:$JM,MATCH(W$4+$B$6,DSS_Calc!$A:$A,0))-1</f>
        <v>3.9718689272630225E-2</v>
      </c>
      <c r="Y11" s="787">
        <f>ABS(INDEX(DSS_Calc!$KU:$KU,MATCH(W$4+$B11,DSS_Calc!$A:$A,0)))</f>
        <v>15.703612530024341</v>
      </c>
      <c r="Z11" s="772">
        <f t="shared" si="14"/>
        <v>3</v>
      </c>
      <c r="AA11" s="807">
        <f t="shared" si="26"/>
        <v>100</v>
      </c>
      <c r="AB11" s="807">
        <f t="shared" si="27"/>
        <v>2</v>
      </c>
      <c r="AC11" s="807">
        <f>INDEX(DSS_Calc!$JM:$JM,MATCH(W$4+$B11,DSS_Calc!$A:$A,0))</f>
        <v>2141.8975351123786</v>
      </c>
      <c r="AD11" s="772"/>
      <c r="AE11" s="776">
        <f>INDEX(DSS_Calc!$JD:$JD,MATCH(AE$4+$B11,DSS_Calc!$A:$A,0))-INDEX(DSS_Calc!$JD:$JD,MATCH(AE$4+$B$6,DSS_Calc!$A:$A,0))</f>
        <v>299.81191451295808</v>
      </c>
      <c r="AF11" s="775">
        <f>INDEX(DSS_Calc!$JM:$JM,MATCH(AE$4+$B11,DSS_Calc!$A:$A,0))/INDEX(DSS_Calc!$JM:$JM,MATCH(AE$4+$B$6,DSS_Calc!$A:$A,0))-1</f>
        <v>5.8761132272970196E-2</v>
      </c>
      <c r="AG11" s="787">
        <f>ABS(INDEX(DSS_Calc!$KU:$KU,MATCH(AE$4+$B11,DSS_Calc!$A:$A,0)))</f>
        <v>6.6036064790244744</v>
      </c>
      <c r="AH11" s="772">
        <f t="shared" si="15"/>
        <v>5</v>
      </c>
      <c r="AI11" s="807">
        <f t="shared" si="28"/>
        <v>100</v>
      </c>
      <c r="AJ11" s="807">
        <f t="shared" si="29"/>
        <v>100</v>
      </c>
      <c r="AK11" s="807">
        <f>INDEX(DSS_Calc!$JM:$JM,MATCH(AE$4+$B11,DSS_Calc!$A:$A,0))</f>
        <v>2115.0233313787462</v>
      </c>
      <c r="AL11" s="772"/>
      <c r="AM11" s="776">
        <f>INDEX(DSS_Calc!$JD:$JD,MATCH(AM$4+$B11,DSS_Calc!$A:$A,0))-INDEX(DSS_Calc!$JD:$JD,MATCH(AM$4+$B$6,DSS_Calc!$A:$A,0))</f>
        <v>296.06462996741448</v>
      </c>
      <c r="AN11" s="775">
        <f>INDEX(DSS_Calc!$JM:$JM,MATCH(AM$4+$B11,DSS_Calc!$A:$A,0))/INDEX(DSS_Calc!$JM:$JM,MATCH(AM$4+$B$6,DSS_Calc!$A:$A,0))-1</f>
        <v>6.1908614264103656E-2</v>
      </c>
      <c r="AO11" s="787">
        <f>ABS(INDEX(DSS_Calc!$KU:$KU,MATCH(AM$4+$B11,DSS_Calc!$A:$A,0)))</f>
        <v>7.3528932740370614</v>
      </c>
      <c r="AP11" s="772">
        <f t="shared" si="16"/>
        <v>4</v>
      </c>
      <c r="AQ11" s="807">
        <f t="shared" si="30"/>
        <v>100</v>
      </c>
      <c r="AR11" s="807">
        <f t="shared" si="31"/>
        <v>100</v>
      </c>
      <c r="AS11" s="807">
        <f>INDEX(DSS_Calc!$JM:$JM,MATCH(AM$4+$B11,DSS_Calc!$A:$A,0))</f>
        <v>847.98752605078414</v>
      </c>
      <c r="AT11" s="772"/>
      <c r="AU11" s="776">
        <f>INDEX(DSS_Calc!$JD:$JD,MATCH(AU$4+$B11,DSS_Calc!$A:$A,0))-INDEX(DSS_Calc!$JD:$JD,MATCH(AU$4+$B$6,DSS_Calc!$A:$A,0))</f>
        <v>161.38801154943212</v>
      </c>
      <c r="AV11" s="775">
        <f>INDEX(DSS_Calc!$JM:$JM,MATCH(AU$4+$B11,DSS_Calc!$A:$A,0))/INDEX(DSS_Calc!$JM:$JM,MATCH(AU$4+$B$6,DSS_Calc!$A:$A,0))-1</f>
        <v>4.6780950948765332E-2</v>
      </c>
      <c r="AX11" s="833" t="str">
        <f t="shared" si="11"/>
        <v>E</v>
      </c>
      <c r="AY11" s="879" t="str">
        <f t="shared" si="11"/>
        <v>750 CC</v>
      </c>
      <c r="AZ11" s="833" t="str">
        <f t="shared" si="11"/>
        <v>MY20 Forte</v>
      </c>
      <c r="BA11" s="769"/>
      <c r="BB11" s="834">
        <f t="shared" si="32"/>
        <v>-23.088097162765735</v>
      </c>
      <c r="BC11" s="880">
        <f t="shared" si="32"/>
        <v>2.4355162012575704E-2</v>
      </c>
      <c r="BD11" s="769"/>
      <c r="BE11" s="834">
        <f t="shared" si="17"/>
        <v>134.00760065644636</v>
      </c>
      <c r="BF11" s="880">
        <f t="shared" si="17"/>
        <v>4.8092149129586037E-2</v>
      </c>
      <c r="BG11" s="769"/>
      <c r="BH11" s="834">
        <f t="shared" si="18"/>
        <v>121.97954024336059</v>
      </c>
      <c r="BI11" s="880">
        <f t="shared" si="18"/>
        <v>3.9718689272630225E-2</v>
      </c>
      <c r="BJ11" s="769"/>
      <c r="BK11" s="834">
        <f t="shared" si="19"/>
        <v>299.81191451295808</v>
      </c>
      <c r="BL11" s="880">
        <f t="shared" si="19"/>
        <v>5.8761132272970196E-2</v>
      </c>
      <c r="BM11" s="769"/>
      <c r="BN11" s="834">
        <f t="shared" si="20"/>
        <v>296.06462996741448</v>
      </c>
      <c r="BO11" s="880">
        <f t="shared" si="20"/>
        <v>6.1908614264103656E-2</v>
      </c>
      <c r="BP11" s="769"/>
      <c r="BQ11" s="834">
        <f t="shared" si="21"/>
        <v>161.38801154943212</v>
      </c>
      <c r="BR11" s="880">
        <f t="shared" si="21"/>
        <v>4.6780950948765332E-2</v>
      </c>
    </row>
    <row r="12" spans="2:70" ht="20.100000000000001" customHeight="1">
      <c r="B12" s="831">
        <v>12</v>
      </c>
      <c r="C12" s="777" t="str">
        <f t="shared" si="33"/>
        <v>F</v>
      </c>
      <c r="D12" s="778" t="str">
        <f>LEFT(INDEX(DSS_Calc!$D:$D,MATCH(G$4+$B12,DSS_Calc!$A:$A,0)),LEN(INDEX(DSS_Calc!$D:$D,MATCH(G$4+$B12,DSS_Calc!$A:$A,0)))-2)</f>
        <v>1000 CC</v>
      </c>
      <c r="E12" s="777" t="str">
        <f>"MY"&amp;RIGHT(Input!$H$9,2)&amp;" "&amp;Input!$H$3</f>
        <v>MY20 Forte</v>
      </c>
      <c r="F12" s="772"/>
      <c r="G12" s="779">
        <f>INDEX(DSS_Calc!$JD:$JD,MATCH(G$4+$B12,DSS_Calc!$A:$A,0))-INDEX(DSS_Calc!$JD:$JD,MATCH(G$4+$B$6,DSS_Calc!$A:$A,0))</f>
        <v>-19.74410346656623</v>
      </c>
      <c r="H12" s="780">
        <f>INDEX(DSS_Calc!$JM:$JM,MATCH(G$4+$B12,DSS_Calc!$A:$A,0))/INDEX(DSS_Calc!$JM:$JM,MATCH(G$4+$B$6,DSS_Calc!$A:$A,0))-1</f>
        <v>3.3571645530584782E-2</v>
      </c>
      <c r="I12" s="788">
        <f>ABS(INDEX(DSS_Calc!$KU:$KU,MATCH(G$4+$B12,DSS_Calc!$A:$A,0)))</f>
        <v>52.744302777831408</v>
      </c>
      <c r="J12" s="777">
        <f t="shared" si="12"/>
        <v>2</v>
      </c>
      <c r="K12" s="808">
        <f t="shared" si="22"/>
        <v>100</v>
      </c>
      <c r="L12" s="808">
        <f t="shared" si="23"/>
        <v>1</v>
      </c>
      <c r="M12" s="808">
        <f>INDEX(DSS_Calc!$JM:$JM,MATCH(G$4+$B12,DSS_Calc!$A:$A,0))</f>
        <v>1093.6319513933206</v>
      </c>
      <c r="N12" s="772"/>
      <c r="O12" s="779">
        <f>INDEX(DSS_Calc!$JD:$JD,MATCH(O$4+$B12,DSS_Calc!$A:$A,0))-INDEX(DSS_Calc!$JD:$JD,MATCH(O$4+$B$6,DSS_Calc!$A:$A,0))</f>
        <v>198.66505262579221</v>
      </c>
      <c r="P12" s="780">
        <f>INDEX(DSS_Calc!$JM:$JM,MATCH(O$4+$B12,DSS_Calc!$A:$A,0))/INDEX(DSS_Calc!$JM:$JM,MATCH(O$4+$B$6,DSS_Calc!$A:$A,0))-1</f>
        <v>6.579950614696628E-2</v>
      </c>
      <c r="Q12" s="788">
        <f>ABS(INDEX(DSS_Calc!$KU:$KU,MATCH(O$4+$B12,DSS_Calc!$A:$A,0)))</f>
        <v>12.465074959699296</v>
      </c>
      <c r="R12" s="777">
        <f t="shared" si="13"/>
        <v>2</v>
      </c>
      <c r="S12" s="808">
        <f t="shared" si="24"/>
        <v>100</v>
      </c>
      <c r="T12" s="808">
        <f t="shared" si="25"/>
        <v>1</v>
      </c>
      <c r="U12" s="808">
        <f>INDEX(DSS_Calc!$JM:$JM,MATCH(O$4+$B12,DSS_Calc!$A:$A,0))</f>
        <v>1841.4445534892773</v>
      </c>
      <c r="V12" s="772"/>
      <c r="W12" s="779">
        <f>INDEX(DSS_Calc!$JD:$JD,MATCH(W$4+$B12,DSS_Calc!$A:$A,0))-INDEX(DSS_Calc!$JD:$JD,MATCH(W$4+$B$6,DSS_Calc!$A:$A,0))</f>
        <v>170.39530697660757</v>
      </c>
      <c r="X12" s="780">
        <f>INDEX(DSS_Calc!$JM:$JM,MATCH(W$4+$B12,DSS_Calc!$A:$A,0))/INDEX(DSS_Calc!$JM:$JM,MATCH(W$4+$B$6,DSS_Calc!$A:$A,0))-1</f>
        <v>5.4912853208212153E-2</v>
      </c>
      <c r="Y12" s="788">
        <f>ABS(INDEX(DSS_Calc!$KU:$KU,MATCH(W$4+$B12,DSS_Calc!$A:$A,0)))</f>
        <v>15.808831238781776</v>
      </c>
      <c r="Z12" s="777">
        <f t="shared" si="14"/>
        <v>2</v>
      </c>
      <c r="AA12" s="808">
        <f t="shared" si="26"/>
        <v>100</v>
      </c>
      <c r="AB12" s="808">
        <f t="shared" si="27"/>
        <v>1</v>
      </c>
      <c r="AC12" s="808">
        <f>INDEX(DSS_Calc!$JM:$JM,MATCH(W$4+$B12,DSS_Calc!$A:$A,0))</f>
        <v>2173.1986385911318</v>
      </c>
      <c r="AD12" s="772"/>
      <c r="AE12" s="779">
        <f>INDEX(DSS_Calc!$JD:$JD,MATCH(AE$4+$B12,DSS_Calc!$A:$A,0))-INDEX(DSS_Calc!$JD:$JD,MATCH(AE$4+$B$6,DSS_Calc!$A:$A,0))</f>
        <v>414.77359278323456</v>
      </c>
      <c r="AF12" s="780">
        <f>INDEX(DSS_Calc!$JM:$JM,MATCH(AE$4+$B12,DSS_Calc!$A:$A,0))/INDEX(DSS_Calc!$JM:$JM,MATCH(AE$4+$B$6,DSS_Calc!$A:$A,0))-1</f>
        <v>8.0013371036830039E-2</v>
      </c>
      <c r="AG12" s="788">
        <f>ABS(INDEX(DSS_Calc!$KU:$KU,MATCH(AE$4+$B12,DSS_Calc!$A:$A,0)))</f>
        <v>6.615380988331518</v>
      </c>
      <c r="AH12" s="777">
        <f t="shared" si="15"/>
        <v>3</v>
      </c>
      <c r="AI12" s="808">
        <f t="shared" si="28"/>
        <v>100</v>
      </c>
      <c r="AJ12" s="808">
        <f t="shared" si="29"/>
        <v>100</v>
      </c>
      <c r="AK12" s="808">
        <f>INDEX(DSS_Calc!$JM:$JM,MATCH(AE$4+$B12,DSS_Calc!$A:$A,0))</f>
        <v>2157.4776484663953</v>
      </c>
      <c r="AL12" s="772"/>
      <c r="AM12" s="779">
        <f>INDEX(DSS_Calc!$JD:$JD,MATCH(AM$4+$B12,DSS_Calc!$A:$A,0))-INDEX(DSS_Calc!$JD:$JD,MATCH(AM$4+$B$6,DSS_Calc!$A:$A,0))</f>
        <v>411.41490796111157</v>
      </c>
      <c r="AN12" s="780">
        <f>INDEX(DSS_Calc!$JM:$JM,MATCH(AM$4+$B12,DSS_Calc!$A:$A,0))/INDEX(DSS_Calc!$JM:$JM,MATCH(AM$4+$B$6,DSS_Calc!$A:$A,0))-1</f>
        <v>8.4434579062389714E-2</v>
      </c>
      <c r="AO12" s="788">
        <f>ABS(INDEX(DSS_Calc!$KU:$KU,MATCH(AM$4+$B12,DSS_Calc!$A:$A,0)))</f>
        <v>7.3717622592406986</v>
      </c>
      <c r="AP12" s="777">
        <f t="shared" si="16"/>
        <v>3</v>
      </c>
      <c r="AQ12" s="808">
        <f t="shared" si="30"/>
        <v>100</v>
      </c>
      <c r="AR12" s="808">
        <f t="shared" si="31"/>
        <v>100</v>
      </c>
      <c r="AS12" s="808">
        <f>INDEX(DSS_Calc!$JM:$JM,MATCH(AM$4+$B12,DSS_Calc!$A:$A,0))</f>
        <v>865.97564377072842</v>
      </c>
      <c r="AT12" s="772"/>
      <c r="AU12" s="779">
        <f>INDEX(DSS_Calc!$JD:$JD,MATCH(AU$4+$B12,DSS_Calc!$A:$A,0))-INDEX(DSS_Calc!$JD:$JD,MATCH(AU$4+$B$6,DSS_Calc!$A:$A,0))</f>
        <v>229.61818042251116</v>
      </c>
      <c r="AV12" s="780">
        <f>INDEX(DSS_Calc!$JM:$JM,MATCH(AU$4+$B12,DSS_Calc!$A:$A,0))/INDEX(DSS_Calc!$JM:$JM,MATCH(AU$4+$B$6,DSS_Calc!$A:$A,0))-1</f>
        <v>6.4065344893136977E-2</v>
      </c>
      <c r="AX12" s="848" t="str">
        <f t="shared" si="11"/>
        <v>F</v>
      </c>
      <c r="AY12" s="881" t="str">
        <f t="shared" si="11"/>
        <v>1000 CC</v>
      </c>
      <c r="AZ12" s="848" t="str">
        <f t="shared" si="11"/>
        <v>MY20 Forte</v>
      </c>
      <c r="BA12" s="769"/>
      <c r="BB12" s="882">
        <f t="shared" si="32"/>
        <v>-19.74410346656623</v>
      </c>
      <c r="BC12" s="883">
        <f t="shared" si="32"/>
        <v>3.3571645530584782E-2</v>
      </c>
      <c r="BD12" s="769"/>
      <c r="BE12" s="882">
        <f t="shared" si="17"/>
        <v>198.66505262579221</v>
      </c>
      <c r="BF12" s="883">
        <f t="shared" si="17"/>
        <v>6.579950614696628E-2</v>
      </c>
      <c r="BG12" s="769"/>
      <c r="BH12" s="882">
        <f t="shared" si="18"/>
        <v>170.39530697660757</v>
      </c>
      <c r="BI12" s="883">
        <f t="shared" si="18"/>
        <v>5.4912853208212153E-2</v>
      </c>
      <c r="BJ12" s="769"/>
      <c r="BK12" s="882">
        <f t="shared" si="19"/>
        <v>414.77359278323456</v>
      </c>
      <c r="BL12" s="883">
        <f t="shared" si="19"/>
        <v>8.0013371036830039E-2</v>
      </c>
      <c r="BM12" s="769"/>
      <c r="BN12" s="882">
        <f t="shared" si="20"/>
        <v>411.41490796111157</v>
      </c>
      <c r="BO12" s="883">
        <f t="shared" si="20"/>
        <v>8.4434579062389714E-2</v>
      </c>
      <c r="BP12" s="769"/>
      <c r="BQ12" s="882">
        <f t="shared" si="21"/>
        <v>229.61818042251116</v>
      </c>
      <c r="BR12" s="883">
        <f t="shared" si="21"/>
        <v>6.4065344893136977E-2</v>
      </c>
    </row>
    <row r="13" spans="2:70" ht="20.100000000000001" customHeight="1">
      <c r="B13" s="831">
        <v>15</v>
      </c>
      <c r="C13" s="772" t="str">
        <f t="shared" si="33"/>
        <v>G</v>
      </c>
      <c r="D13" s="774" t="str">
        <f>LEFT(INDEX(DSS_Calc!$D:$D,MATCH(G$4+$B13,DSS_Calc!$A:$A,0)),LEN(INDEX(DSS_Calc!$D:$D,MATCH(G$4+$B13,DSS_Calc!$A:$A,0)))-2)</f>
        <v>500 Combo</v>
      </c>
      <c r="E13" s="772" t="str">
        <f>"MY"&amp;RIGHT(Input!$H$9,2)&amp;" "&amp;Input!$H$3</f>
        <v>MY20 Forte</v>
      </c>
      <c r="F13" s="772"/>
      <c r="G13" s="776">
        <f>INDEX(DSS_Calc!$JD:$JD,MATCH(G$4+$B13,DSS_Calc!$A:$A,0))-INDEX(DSS_Calc!$JD:$JD,MATCH(G$4+$B$6,DSS_Calc!$A:$A,0))</f>
        <v>41.344352332939707</v>
      </c>
      <c r="H13" s="775">
        <f>INDEX(DSS_Calc!$JM:$JM,MATCH(G$4+$B13,DSS_Calc!$A:$A,0))/INDEX(DSS_Calc!$JM:$JM,MATCH(G$4+$B$6,DSS_Calc!$A:$A,0))-1</f>
        <v>1.3983090219887639E-2</v>
      </c>
      <c r="I13" s="787">
        <f>ABS(INDEX(DSS_Calc!$KU:$KU,MATCH(G$4+$B13,DSS_Calc!$A:$A,0)))</f>
        <v>51.228024210209483</v>
      </c>
      <c r="J13" s="772">
        <f t="shared" si="12"/>
        <v>8</v>
      </c>
      <c r="K13" s="807">
        <f t="shared" si="22"/>
        <v>100</v>
      </c>
      <c r="L13" s="807">
        <f t="shared" si="23"/>
        <v>100</v>
      </c>
      <c r="M13" s="807">
        <f>INDEX(DSS_Calc!$JM:$JM,MATCH(G$4+$B13,DSS_Calc!$A:$A,0))</f>
        <v>1072.9051154143631</v>
      </c>
      <c r="N13" s="772"/>
      <c r="O13" s="776">
        <f>INDEX(DSS_Calc!$JD:$JD,MATCH(O$4+$B13,DSS_Calc!$A:$A,0))-INDEX(DSS_Calc!$JD:$JD,MATCH(O$4+$B$6,DSS_Calc!$A:$A,0))</f>
        <v>137.3747848347507</v>
      </c>
      <c r="P13" s="775">
        <f>INDEX(DSS_Calc!$JM:$JM,MATCH(O$4+$B13,DSS_Calc!$A:$A,0))/INDEX(DSS_Calc!$JM:$JM,MATCH(O$4+$B$6,DSS_Calc!$A:$A,0))-1</f>
        <v>2.828524861179571E-2</v>
      </c>
      <c r="Q13" s="787">
        <f>ABS(INDEX(DSS_Calc!$KU:$KU,MATCH(O$4+$B13,DSS_Calc!$A:$A,0)))</f>
        <v>12.037685507388581</v>
      </c>
      <c r="R13" s="772">
        <f t="shared" si="13"/>
        <v>8</v>
      </c>
      <c r="S13" s="807">
        <f t="shared" si="24"/>
        <v>100</v>
      </c>
      <c r="T13" s="807">
        <f t="shared" si="25"/>
        <v>3</v>
      </c>
      <c r="U13" s="807">
        <f>INDEX(DSS_Calc!$JM:$JM,MATCH(O$4+$B13,DSS_Calc!$A:$A,0))</f>
        <v>1776.6289621722287</v>
      </c>
      <c r="V13" s="772"/>
      <c r="W13" s="776">
        <f>INDEX(DSS_Calc!$JD:$JD,MATCH(W$4+$B13,DSS_Calc!$A:$A,0))-INDEX(DSS_Calc!$JD:$JD,MATCH(W$4+$B$6,DSS_Calc!$A:$A,0))</f>
        <v>203.77487269235507</v>
      </c>
      <c r="X13" s="775">
        <f>INDEX(DSS_Calc!$JM:$JM,MATCH(W$4+$B13,DSS_Calc!$A:$A,0))/INDEX(DSS_Calc!$JM:$JM,MATCH(W$4+$B$6,DSS_Calc!$A:$A,0))-1</f>
        <v>3.812366274418566E-2</v>
      </c>
      <c r="Y13" s="787">
        <f>ABS(INDEX(DSS_Calc!$KU:$KU,MATCH(W$4+$B13,DSS_Calc!$A:$A,0)))</f>
        <v>15.345061287977598</v>
      </c>
      <c r="Z13" s="772">
        <f t="shared" si="14"/>
        <v>8</v>
      </c>
      <c r="AA13" s="807">
        <f t="shared" si="26"/>
        <v>100</v>
      </c>
      <c r="AB13" s="807">
        <f t="shared" si="27"/>
        <v>3</v>
      </c>
      <c r="AC13" s="807">
        <f>INDEX(DSS_Calc!$JM:$JM,MATCH(W$4+$B13,DSS_Calc!$A:$A,0))</f>
        <v>2138.6116622845038</v>
      </c>
      <c r="AD13" s="772"/>
      <c r="AE13" s="776">
        <f>INDEX(DSS_Calc!$JD:$JD,MATCH(AE$4+$B13,DSS_Calc!$A:$A,0))-INDEX(DSS_Calc!$JD:$JD,MATCH(AE$4+$B$6,DSS_Calc!$A:$A,0))</f>
        <v>255.0855026954664</v>
      </c>
      <c r="AF13" s="775">
        <f>INDEX(DSS_Calc!$JM:$JM,MATCH(AE$4+$B13,DSS_Calc!$A:$A,0))/INDEX(DSS_Calc!$JM:$JM,MATCH(AE$4+$B$6,DSS_Calc!$A:$A,0))-1</f>
        <v>4.3115212606379849E-2</v>
      </c>
      <c r="AG13" s="787">
        <f>ABS(INDEX(DSS_Calc!$KU:$KU,MATCH(AE$4+$B13,DSS_Calc!$A:$A,0)))</f>
        <v>6.5060073067308668</v>
      </c>
      <c r="AH13" s="772">
        <f t="shared" si="15"/>
        <v>7</v>
      </c>
      <c r="AI13" s="807">
        <f t="shared" si="28"/>
        <v>100</v>
      </c>
      <c r="AJ13" s="807">
        <f t="shared" si="29"/>
        <v>1</v>
      </c>
      <c r="AK13" s="807">
        <f>INDEX(DSS_Calc!$JM:$JM,MATCH(AE$4+$B13,DSS_Calc!$A:$A,0))</f>
        <v>2083.7684202122637</v>
      </c>
      <c r="AL13" s="772"/>
      <c r="AM13" s="776">
        <f>INDEX(DSS_Calc!$JD:$JD,MATCH(AM$4+$B13,DSS_Calc!$A:$A,0))-INDEX(DSS_Calc!$JD:$JD,MATCH(AM$4+$B$6,DSS_Calc!$A:$A,0))</f>
        <v>220.85843668383677</v>
      </c>
      <c r="AN13" s="775">
        <f>INDEX(DSS_Calc!$JM:$JM,MATCH(AM$4+$B13,DSS_Calc!$A:$A,0))/INDEX(DSS_Calc!$JM:$JM,MATCH(AM$4+$B$6,DSS_Calc!$A:$A,0))-1</f>
        <v>3.8318433998391965E-2</v>
      </c>
      <c r="AO13" s="787">
        <f>ABS(INDEX(DSS_Calc!$KU:$KU,MATCH(AM$4+$B13,DSS_Calc!$A:$A,0)))</f>
        <v>7.2230564217699191</v>
      </c>
      <c r="AP13" s="772">
        <f t="shared" si="16"/>
        <v>7</v>
      </c>
      <c r="AQ13" s="807">
        <f t="shared" si="30"/>
        <v>100</v>
      </c>
      <c r="AR13" s="807">
        <f t="shared" si="31"/>
        <v>1</v>
      </c>
      <c r="AS13" s="807">
        <f>INDEX(DSS_Calc!$JM:$JM,MATCH(AM$4+$B13,DSS_Calc!$A:$A,0))</f>
        <v>829.14957866632335</v>
      </c>
      <c r="AT13" s="772"/>
      <c r="AU13" s="776">
        <f>INDEX(DSS_Calc!$JD:$JD,MATCH(AU$4+$B13,DSS_Calc!$A:$A,0))-INDEX(DSS_Calc!$JD:$JD,MATCH(AU$4+$B$6,DSS_Calc!$A:$A,0))</f>
        <v>175.03928576578983</v>
      </c>
      <c r="AV13" s="775">
        <f>INDEX(DSS_Calc!$JM:$JM,MATCH(AU$4+$B13,DSS_Calc!$A:$A,0))/INDEX(DSS_Calc!$JM:$JM,MATCH(AU$4+$B$6,DSS_Calc!$A:$A,0))-1</f>
        <v>3.3882055784663079E-2</v>
      </c>
      <c r="AX13" s="833" t="str">
        <f t="shared" si="11"/>
        <v>G</v>
      </c>
      <c r="AY13" s="879" t="str">
        <f t="shared" si="11"/>
        <v>500 Combo</v>
      </c>
      <c r="AZ13" s="833" t="str">
        <f t="shared" si="11"/>
        <v>MY20 Forte</v>
      </c>
      <c r="BA13" s="769"/>
      <c r="BB13" s="834">
        <f t="shared" si="32"/>
        <v>41.344352332939707</v>
      </c>
      <c r="BC13" s="880">
        <f t="shared" si="32"/>
        <v>1.3983090219887639E-2</v>
      </c>
      <c r="BD13" s="769"/>
      <c r="BE13" s="834">
        <f t="shared" si="17"/>
        <v>137.3747848347507</v>
      </c>
      <c r="BF13" s="880">
        <f t="shared" si="17"/>
        <v>2.828524861179571E-2</v>
      </c>
      <c r="BG13" s="769"/>
      <c r="BH13" s="834">
        <f t="shared" si="18"/>
        <v>203.77487269235507</v>
      </c>
      <c r="BI13" s="880">
        <f t="shared" si="18"/>
        <v>3.812366274418566E-2</v>
      </c>
      <c r="BJ13" s="769"/>
      <c r="BK13" s="834">
        <f t="shared" si="19"/>
        <v>255.0855026954664</v>
      </c>
      <c r="BL13" s="880">
        <f t="shared" si="19"/>
        <v>4.3115212606379849E-2</v>
      </c>
      <c r="BM13" s="769"/>
      <c r="BN13" s="834">
        <f t="shared" si="20"/>
        <v>220.85843668383677</v>
      </c>
      <c r="BO13" s="880">
        <f t="shared" si="20"/>
        <v>3.8318433998391965E-2</v>
      </c>
      <c r="BP13" s="769"/>
      <c r="BQ13" s="834">
        <f t="shared" si="21"/>
        <v>175.03928576578983</v>
      </c>
      <c r="BR13" s="880">
        <f t="shared" si="21"/>
        <v>3.3882055784663079E-2</v>
      </c>
    </row>
    <row r="14" spans="2:70" ht="20.100000000000001" customHeight="1">
      <c r="B14" s="831">
        <v>28</v>
      </c>
      <c r="C14" s="777" t="str">
        <f t="shared" si="33"/>
        <v>H</v>
      </c>
      <c r="D14" s="778" t="str">
        <f>LEFT(INDEX(DSS_Calc!$D:$D,MATCH(G$4+$B14,DSS_Calc!$A:$A,0)),LEN(INDEX(DSS_Calc!$D:$D,MATCH(G$4+$B14,DSS_Calc!$A:$A,0)))-2)</f>
        <v>1000 Combo</v>
      </c>
      <c r="E14" s="777" t="str">
        <f>"MY"&amp;RIGHT(Input!$H$9,2)&amp;" "&amp;Input!$H$3</f>
        <v>MY20 Forte</v>
      </c>
      <c r="F14" s="772"/>
      <c r="G14" s="779">
        <f>INDEX(DSS_Calc!$JD:$JD,MATCH(G$4+$B14,DSS_Calc!$A:$A,0))-INDEX(DSS_Calc!$JD:$JD,MATCH(G$4+$B$6,DSS_Calc!$A:$A,0))</f>
        <v>81.763889906539589</v>
      </c>
      <c r="H14" s="780">
        <f>INDEX(DSS_Calc!$JM:$JM,MATCH(G$4+$B14,DSS_Calc!$A:$A,0))/INDEX(DSS_Calc!$JM:$JM,MATCH(G$4+$B$6,DSS_Calc!$A:$A,0))-1</f>
        <v>2.866245274824486E-2</v>
      </c>
      <c r="I14" s="788">
        <f>ABS(INDEX(DSS_Calc!$KU:$KU,MATCH(G$4+$B14,DSS_Calc!$A:$A,0)))</f>
        <v>51.530780674853993</v>
      </c>
      <c r="J14" s="777">
        <f t="shared" si="12"/>
        <v>6</v>
      </c>
      <c r="K14" s="808">
        <f t="shared" si="22"/>
        <v>100</v>
      </c>
      <c r="L14" s="808">
        <f t="shared" si="23"/>
        <v>100</v>
      </c>
      <c r="M14" s="808">
        <f>INDEX(DSS_Calc!$JM:$JM,MATCH(G$4+$B14,DSS_Calc!$A:$A,0))</f>
        <v>1088.4374879949364</v>
      </c>
      <c r="N14" s="772"/>
      <c r="O14" s="779">
        <f>INDEX(DSS_Calc!$JD:$JD,MATCH(O$4+$B14,DSS_Calc!$A:$A,0))-INDEX(DSS_Calc!$JD:$JD,MATCH(O$4+$B$6,DSS_Calc!$A:$A,0))</f>
        <v>293.00509712421353</v>
      </c>
      <c r="P14" s="780">
        <f>INDEX(DSS_Calc!$JM:$JM,MATCH(O$4+$B14,DSS_Calc!$A:$A,0))/INDEX(DSS_Calc!$JM:$JM,MATCH(O$4+$B$6,DSS_Calc!$A:$A,0))-1</f>
        <v>5.9215570507575421E-2</v>
      </c>
      <c r="Q14" s="788">
        <f>ABS(INDEX(DSS_Calc!$KU:$KU,MATCH(O$4+$B14,DSS_Calc!$A:$A,0)))</f>
        <v>12.066993476559251</v>
      </c>
      <c r="R14" s="777">
        <f t="shared" si="13"/>
        <v>7</v>
      </c>
      <c r="S14" s="808">
        <f t="shared" si="24"/>
        <v>100</v>
      </c>
      <c r="T14" s="808">
        <f t="shared" si="25"/>
        <v>100</v>
      </c>
      <c r="U14" s="808">
        <f>INDEX(DSS_Calc!$JM:$JM,MATCH(O$4+$B14,DSS_Calc!$A:$A,0))</f>
        <v>1830.0691002696467</v>
      </c>
      <c r="V14" s="772"/>
      <c r="W14" s="779">
        <f>INDEX(DSS_Calc!$JD:$JD,MATCH(W$4+$B14,DSS_Calc!$A:$A,0))-INDEX(DSS_Calc!$JD:$JD,MATCH(W$4+$B$6,DSS_Calc!$A:$A,0))</f>
        <v>392.94936893818885</v>
      </c>
      <c r="X14" s="780">
        <f>INDEX(DSS_Calc!$JM:$JM,MATCH(W$4+$B14,DSS_Calc!$A:$A,0))/INDEX(DSS_Calc!$JM:$JM,MATCH(W$4+$B$6,DSS_Calc!$A:$A,0))-1</f>
        <v>7.7922160848783673E-2</v>
      </c>
      <c r="Y14" s="788">
        <f>ABS(INDEX(DSS_Calc!$KU:$KU,MATCH(W$4+$B14,DSS_Calc!$A:$A,0)))</f>
        <v>15.384227699150955</v>
      </c>
      <c r="Z14" s="777">
        <f t="shared" si="14"/>
        <v>7</v>
      </c>
      <c r="AA14" s="808">
        <f t="shared" si="26"/>
        <v>100</v>
      </c>
      <c r="AB14" s="808">
        <f t="shared" si="27"/>
        <v>100</v>
      </c>
      <c r="AC14" s="808">
        <f>INDEX(DSS_Calc!$JM:$JM,MATCH(W$4+$B14,DSS_Calc!$A:$A,0))</f>
        <v>2220.5995171445993</v>
      </c>
      <c r="AD14" s="772"/>
      <c r="AE14" s="779">
        <f>INDEX(DSS_Calc!$JD:$JD,MATCH(AE$4+$B14,DSS_Calc!$A:$A,0))-INDEX(DSS_Calc!$JD:$JD,MATCH(AE$4+$B$6,DSS_Calc!$A:$A,0))</f>
        <v>514.64449970999112</v>
      </c>
      <c r="AF14" s="780">
        <f>INDEX(DSS_Calc!$JM:$JM,MATCH(AE$4+$B14,DSS_Calc!$A:$A,0))/INDEX(DSS_Calc!$JM:$JM,MATCH(AE$4+$B$6,DSS_Calc!$A:$A,0))-1</f>
        <v>8.4624435425989963E-2</v>
      </c>
      <c r="AG14" s="788">
        <f>ABS(INDEX(DSS_Calc!$KU:$KU,MATCH(AE$4+$B14,DSS_Calc!$A:$A,0)))</f>
        <v>6.4647196184039348</v>
      </c>
      <c r="AH14" s="777">
        <f t="shared" si="15"/>
        <v>8</v>
      </c>
      <c r="AI14" s="808">
        <f t="shared" si="28"/>
        <v>3</v>
      </c>
      <c r="AJ14" s="808">
        <f t="shared" si="29"/>
        <v>100</v>
      </c>
      <c r="AK14" s="808">
        <f>INDEX(DSS_Calc!$JM:$JM,MATCH(AE$4+$B14,DSS_Calc!$A:$A,0))</f>
        <v>2166.6888940139402</v>
      </c>
      <c r="AL14" s="772"/>
      <c r="AM14" s="779">
        <f>INDEX(DSS_Calc!$JD:$JD,MATCH(AM$4+$B14,DSS_Calc!$A:$A,0))-INDEX(DSS_Calc!$JD:$JD,MATCH(AM$4+$B$6,DSS_Calc!$A:$A,0))</f>
        <v>489.11024444632221</v>
      </c>
      <c r="AN14" s="780">
        <f>INDEX(DSS_Calc!$JM:$JM,MATCH(AM$4+$B14,DSS_Calc!$A:$A,0))/INDEX(DSS_Calc!$JM:$JM,MATCH(AM$4+$B$6,DSS_Calc!$A:$A,0))-1</f>
        <v>8.2479409916388358E-2</v>
      </c>
      <c r="AO14" s="788">
        <f>ABS(INDEX(DSS_Calc!$KU:$KU,MATCH(AM$4+$B14,DSS_Calc!$A:$A,0)))</f>
        <v>7.1771110593490777</v>
      </c>
      <c r="AP14" s="777">
        <f t="shared" si="16"/>
        <v>8</v>
      </c>
      <c r="AQ14" s="808">
        <f t="shared" si="30"/>
        <v>3</v>
      </c>
      <c r="AR14" s="808">
        <f t="shared" si="31"/>
        <v>100</v>
      </c>
      <c r="AS14" s="808">
        <f>INDEX(DSS_Calc!$JM:$JM,MATCH(AM$4+$B14,DSS_Calc!$A:$A,0))</f>
        <v>864.41434270879336</v>
      </c>
      <c r="AT14" s="772"/>
      <c r="AU14" s="779">
        <f>INDEX(DSS_Calc!$JD:$JD,MATCH(AU$4+$B14,DSS_Calc!$A:$A,0))-INDEX(DSS_Calc!$JD:$JD,MATCH(AU$4+$B$6,DSS_Calc!$A:$A,0))</f>
        <v>358.07639737821137</v>
      </c>
      <c r="AV14" s="780">
        <f>INDEX(DSS_Calc!$JM:$JM,MATCH(AU$4+$B14,DSS_Calc!$A:$A,0))/INDEX(DSS_Calc!$JM:$JM,MATCH(AU$4+$B$6,DSS_Calc!$A:$A,0))-1</f>
        <v>6.9100707213269441E-2</v>
      </c>
      <c r="AX14" s="848" t="str">
        <f t="shared" si="11"/>
        <v>H</v>
      </c>
      <c r="AY14" s="881" t="str">
        <f t="shared" si="11"/>
        <v>1000 Combo</v>
      </c>
      <c r="AZ14" s="848" t="str">
        <f t="shared" si="11"/>
        <v>MY20 Forte</v>
      </c>
      <c r="BA14" s="769"/>
      <c r="BB14" s="882">
        <f t="shared" si="32"/>
        <v>81.763889906539589</v>
      </c>
      <c r="BC14" s="883">
        <f t="shared" si="32"/>
        <v>2.866245274824486E-2</v>
      </c>
      <c r="BD14" s="769"/>
      <c r="BE14" s="882">
        <f t="shared" si="17"/>
        <v>293.00509712421353</v>
      </c>
      <c r="BF14" s="883">
        <f t="shared" si="17"/>
        <v>5.9215570507575421E-2</v>
      </c>
      <c r="BG14" s="769"/>
      <c r="BH14" s="882">
        <f t="shared" si="18"/>
        <v>392.94936893818885</v>
      </c>
      <c r="BI14" s="883">
        <f t="shared" si="18"/>
        <v>7.7922160848783673E-2</v>
      </c>
      <c r="BJ14" s="769"/>
      <c r="BK14" s="882">
        <f t="shared" si="19"/>
        <v>514.64449970999112</v>
      </c>
      <c r="BL14" s="883">
        <f t="shared" si="19"/>
        <v>8.4624435425989963E-2</v>
      </c>
      <c r="BM14" s="769"/>
      <c r="BN14" s="882">
        <f t="shared" si="20"/>
        <v>489.11024444632221</v>
      </c>
      <c r="BO14" s="883">
        <f t="shared" si="20"/>
        <v>8.2479409916388358E-2</v>
      </c>
      <c r="BP14" s="769"/>
      <c r="BQ14" s="882">
        <f t="shared" si="21"/>
        <v>358.07639737821137</v>
      </c>
      <c r="BR14" s="883">
        <f t="shared" si="21"/>
        <v>6.9100707213269441E-2</v>
      </c>
    </row>
    <row r="15" spans="2:70" ht="20.100000000000001" customHeight="1">
      <c r="B15" s="831">
        <v>17</v>
      </c>
      <c r="C15" s="772" t="str">
        <f t="shared" si="33"/>
        <v>I</v>
      </c>
      <c r="D15" s="774" t="str">
        <f>LEFT(INDEX(DSS_Calc!$D:$D,MATCH(G$4+$B15,DSS_Calc!$A:$A,0)),LEN(INDEX(DSS_Calc!$D:$D,MATCH(G$4+$B15,DSS_Calc!$A:$A,0)))-2)</f>
        <v>360 Lease</v>
      </c>
      <c r="E15" s="772" t="str">
        <f>"MY"&amp;RIGHT(Input!$H$9,2)&amp;" "&amp;Input!$H$3</f>
        <v>MY20 Forte</v>
      </c>
      <c r="F15" s="772"/>
      <c r="G15" s="776">
        <f>INDEX(DSS_Calc!$JD:$JD,MATCH(G$4+$B15,DSS_Calc!$A:$A,0))-INDEX(DSS_Calc!$JD:$JD,MATCH(G$4+$B$6,DSS_Calc!$A:$A,0))</f>
        <v>404.00401182793212</v>
      </c>
      <c r="H15" s="775">
        <f>INDEX(DSS_Calc!$JM:$JM,MATCH(G$4+$B15,DSS_Calc!$A:$A,0))/INDEX(DSS_Calc!$JM:$JM,MATCH(G$4+$B$6,DSS_Calc!$A:$A,0))-1</f>
        <v>6.3448534145597479E-2</v>
      </c>
      <c r="I15" s="787">
        <f>ABS(INDEX(DSS_Calc!$KU:$KU,MATCH(G$4+$B15,DSS_Calc!$A:$A,0)))</f>
        <v>50.176588458404808</v>
      </c>
      <c r="J15" s="772">
        <f t="shared" si="12"/>
        <v>9</v>
      </c>
      <c r="K15" s="807">
        <f t="shared" si="22"/>
        <v>100</v>
      </c>
      <c r="L15" s="807">
        <f t="shared" si="23"/>
        <v>100</v>
      </c>
      <c r="M15" s="807">
        <f>INDEX(DSS_Calc!$JM:$JM,MATCH(G$4+$B15,DSS_Calc!$A:$A,0))</f>
        <v>1125.2449703251855</v>
      </c>
      <c r="N15" s="772"/>
      <c r="O15" s="776">
        <f>INDEX(DSS_Calc!$JD:$JD,MATCH(O$4+$B15,DSS_Calc!$A:$A,0))-INDEX(DSS_Calc!$JD:$JD,MATCH(O$4+$B$6,DSS_Calc!$A:$A,0))</f>
        <v>267.31835305330105</v>
      </c>
      <c r="P15" s="775">
        <f>INDEX(DSS_Calc!$JM:$JM,MATCH(O$4+$B15,DSS_Calc!$A:$A,0))/INDEX(DSS_Calc!$JM:$JM,MATCH(O$4+$B$6,DSS_Calc!$A:$A,0))-1</f>
        <v>3.2142171859677271E-2</v>
      </c>
      <c r="Q15" s="787">
        <f>ABS(INDEX(DSS_Calc!$KU:$KU,MATCH(O$4+$B15,DSS_Calc!$A:$A,0)))</f>
        <v>11.708122603200986</v>
      </c>
      <c r="R15" s="772">
        <f t="shared" si="13"/>
        <v>9</v>
      </c>
      <c r="S15" s="807">
        <f t="shared" si="24"/>
        <v>100</v>
      </c>
      <c r="T15" s="807">
        <f t="shared" si="25"/>
        <v>100</v>
      </c>
      <c r="U15" s="807">
        <f>INDEX(DSS_Calc!$JM:$JM,MATCH(O$4+$B15,DSS_Calc!$A:$A,0))</f>
        <v>1783.2927955358919</v>
      </c>
      <c r="V15" s="772"/>
      <c r="W15" s="776">
        <f>INDEX(DSS_Calc!$JD:$JD,MATCH(W$4+$B15,DSS_Calc!$A:$A,0))-INDEX(DSS_Calc!$JD:$JD,MATCH(W$4+$B$6,DSS_Calc!$A:$A,0))</f>
        <v>293.8956114249786</v>
      </c>
      <c r="X15" s="775">
        <f>INDEX(DSS_Calc!$JM:$JM,MATCH(W$4+$B15,DSS_Calc!$A:$A,0))/INDEX(DSS_Calc!$JM:$JM,MATCH(W$4+$B$6,DSS_Calc!$A:$A,0))-1</f>
        <v>3.4200383047422012E-2</v>
      </c>
      <c r="Y15" s="787">
        <f>ABS(INDEX(DSS_Calc!$KU:$KU,MATCH(W$4+$B15,DSS_Calc!$A:$A,0)))</f>
        <v>14.925397425682986</v>
      </c>
      <c r="Z15" s="772">
        <f t="shared" si="14"/>
        <v>9</v>
      </c>
      <c r="AA15" s="807">
        <f t="shared" si="26"/>
        <v>100</v>
      </c>
      <c r="AB15" s="807">
        <f t="shared" si="27"/>
        <v>100</v>
      </c>
      <c r="AC15" s="807">
        <f>INDEX(DSS_Calc!$JM:$JM,MATCH(W$4+$B15,DSS_Calc!$A:$A,0))</f>
        <v>2130.5294154241215</v>
      </c>
      <c r="AD15" s="772"/>
      <c r="AE15" s="776">
        <f>INDEX(DSS_Calc!$JD:$JD,MATCH(AE$4+$B15,DSS_Calc!$A:$A,0))-INDEX(DSS_Calc!$JD:$JD,MATCH(AE$4+$B$6,DSS_Calc!$A:$A,0))</f>
        <v>70.760526968600971</v>
      </c>
      <c r="AF15" s="775">
        <f>INDEX(DSS_Calc!$JM:$JM,MATCH(AE$4+$B15,DSS_Calc!$A:$A,0))/INDEX(DSS_Calc!$JM:$JM,MATCH(AE$4+$B$6,DSS_Calc!$A:$A,0))-1</f>
        <v>7.4745663514874661E-3</v>
      </c>
      <c r="AG15" s="787">
        <f>ABS(INDEX(DSS_Calc!$KU:$KU,MATCH(AE$4+$B15,DSS_Calc!$A:$A,0)))</f>
        <v>6.4573829243264749</v>
      </c>
      <c r="AH15" s="772">
        <f t="shared" si="15"/>
        <v>9</v>
      </c>
      <c r="AI15" s="807">
        <f t="shared" si="28"/>
        <v>100</v>
      </c>
      <c r="AJ15" s="807">
        <f t="shared" si="29"/>
        <v>2</v>
      </c>
      <c r="AK15" s="807">
        <f>INDEX(DSS_Calc!$JM:$JM,MATCH(AE$4+$B15,DSS_Calc!$A:$A,0))</f>
        <v>2012.5712482753934</v>
      </c>
      <c r="AL15" s="772"/>
      <c r="AM15" s="776">
        <f>INDEX(DSS_Calc!$JD:$JD,MATCH(AM$4+$B15,DSS_Calc!$A:$A,0))-INDEX(DSS_Calc!$JD:$JD,MATCH(AM$4+$B$6,DSS_Calc!$A:$A,0))</f>
        <v>102.65198782790412</v>
      </c>
      <c r="AN15" s="775">
        <f>INDEX(DSS_Calc!$JM:$JM,MATCH(AM$4+$B15,DSS_Calc!$A:$A,0))/INDEX(DSS_Calc!$JM:$JM,MATCH(AM$4+$B$6,DSS_Calc!$A:$A,0))-1</f>
        <v>1.1980079287952528E-2</v>
      </c>
      <c r="AO15" s="787">
        <f>ABS(INDEX(DSS_Calc!$KU:$KU,MATCH(AM$4+$B15,DSS_Calc!$A:$A,0)))</f>
        <v>7.1521340522594707</v>
      </c>
      <c r="AP15" s="772">
        <f t="shared" si="16"/>
        <v>9</v>
      </c>
      <c r="AQ15" s="807">
        <f t="shared" si="30"/>
        <v>100</v>
      </c>
      <c r="AR15" s="807">
        <f t="shared" si="31"/>
        <v>2</v>
      </c>
      <c r="AS15" s="807">
        <f>INDEX(DSS_Calc!$JM:$JM,MATCH(AM$4+$B15,DSS_Calc!$A:$A,0))</f>
        <v>808.11707553832935</v>
      </c>
      <c r="AT15" s="772"/>
      <c r="AU15" s="776">
        <f>INDEX(DSS_Calc!$JD:$JD,MATCH(AU$4+$B15,DSS_Calc!$A:$A,0))-INDEX(DSS_Calc!$JD:$JD,MATCH(AU$4+$B$6,DSS_Calc!$A:$A,0))</f>
        <v>241.29269736555807</v>
      </c>
      <c r="AV15" s="775">
        <f>INDEX(DSS_Calc!$JM:$JM,MATCH(AU$4+$B15,DSS_Calc!$A:$A,0))/INDEX(DSS_Calc!$JM:$JM,MATCH(AU$4+$B$6,DSS_Calc!$A:$A,0))-1</f>
        <v>2.8476727725071926E-2</v>
      </c>
      <c r="AX15" s="833" t="str">
        <f t="shared" si="11"/>
        <v>I</v>
      </c>
      <c r="AY15" s="879" t="str">
        <f t="shared" si="11"/>
        <v>360 Lease</v>
      </c>
      <c r="AZ15" s="833" t="str">
        <f t="shared" si="11"/>
        <v>MY20 Forte</v>
      </c>
      <c r="BA15" s="769"/>
      <c r="BB15" s="834">
        <f t="shared" si="32"/>
        <v>404.00401182793212</v>
      </c>
      <c r="BC15" s="880">
        <f t="shared" si="32"/>
        <v>6.3448534145597479E-2</v>
      </c>
      <c r="BD15" s="769"/>
      <c r="BE15" s="834">
        <f t="shared" si="17"/>
        <v>267.31835305330105</v>
      </c>
      <c r="BF15" s="880">
        <f t="shared" si="17"/>
        <v>3.2142171859677271E-2</v>
      </c>
      <c r="BG15" s="769"/>
      <c r="BH15" s="834">
        <f t="shared" si="18"/>
        <v>293.8956114249786</v>
      </c>
      <c r="BI15" s="880">
        <f t="shared" si="18"/>
        <v>3.4200383047422012E-2</v>
      </c>
      <c r="BJ15" s="769"/>
      <c r="BK15" s="834">
        <f t="shared" si="19"/>
        <v>70.760526968600971</v>
      </c>
      <c r="BL15" s="880">
        <f t="shared" si="19"/>
        <v>7.4745663514874661E-3</v>
      </c>
      <c r="BM15" s="769"/>
      <c r="BN15" s="834">
        <f t="shared" si="20"/>
        <v>102.65198782790412</v>
      </c>
      <c r="BO15" s="880">
        <f t="shared" si="20"/>
        <v>1.1980079287952528E-2</v>
      </c>
      <c r="BP15" s="769"/>
      <c r="BQ15" s="834">
        <f t="shared" si="21"/>
        <v>241.29269736555807</v>
      </c>
      <c r="BR15" s="880">
        <f t="shared" si="21"/>
        <v>2.8476727725071926E-2</v>
      </c>
    </row>
    <row r="16" spans="2:70" ht="20.100000000000001" customHeight="1">
      <c r="B16" s="831">
        <v>18</v>
      </c>
      <c r="C16" s="777" t="str">
        <f t="shared" si="33"/>
        <v>J</v>
      </c>
      <c r="D16" s="778" t="str">
        <f>LEFT(INDEX(DSS_Calc!$D:$D,MATCH(G$4+$B16,DSS_Calc!$A:$A,0)),LEN(INDEX(DSS_Calc!$D:$D,MATCH(G$4+$B16,DSS_Calc!$A:$A,0)))-2)</f>
        <v>720 Lease</v>
      </c>
      <c r="E16" s="777" t="str">
        <f>"MY"&amp;RIGHT(Input!$H$9,2)&amp;" "&amp;Input!$H$3</f>
        <v>MY20 Forte</v>
      </c>
      <c r="F16" s="772"/>
      <c r="G16" s="779">
        <f>INDEX(DSS_Calc!$JD:$JD,MATCH(G$4+$B16,DSS_Calc!$A:$A,0))-INDEX(DSS_Calc!$JD:$JD,MATCH(G$4+$B$6,DSS_Calc!$A:$A,0))</f>
        <v>819.80679949814748</v>
      </c>
      <c r="H16" s="780">
        <f>INDEX(DSS_Calc!$JM:$JM,MATCH(G$4+$B16,DSS_Calc!$A:$A,0))/INDEX(DSS_Calc!$JM:$JM,MATCH(G$4+$B$6,DSS_Calc!$A:$A,0))-1</f>
        <v>0.13297802379576029</v>
      </c>
      <c r="I16" s="788">
        <f>ABS(INDEX(DSS_Calc!$KU:$KU,MATCH(G$4+$B16,DSS_Calc!$A:$A,0)))</f>
        <v>49.648583714876558</v>
      </c>
      <c r="J16" s="777">
        <f t="shared" si="12"/>
        <v>10</v>
      </c>
      <c r="K16" s="808">
        <f t="shared" si="22"/>
        <v>3</v>
      </c>
      <c r="L16" s="808">
        <f t="shared" si="23"/>
        <v>100</v>
      </c>
      <c r="M16" s="808">
        <f>INDEX(DSS_Calc!$JM:$JM,MATCH(G$4+$B16,DSS_Calc!$A:$A,0))</f>
        <v>1198.8147821271089</v>
      </c>
      <c r="N16" s="772"/>
      <c r="O16" s="779">
        <f>INDEX(DSS_Calc!$JD:$JD,MATCH(O$4+$B16,DSS_Calc!$A:$A,0))-INDEX(DSS_Calc!$JD:$JD,MATCH(O$4+$B$6,DSS_Calc!$A:$A,0))</f>
        <v>558.6181285153375</v>
      </c>
      <c r="P16" s="780">
        <f>INDEX(DSS_Calc!$JM:$JM,MATCH(O$4+$B16,DSS_Calc!$A:$A,0))/INDEX(DSS_Calc!$JM:$JM,MATCH(O$4+$B$6,DSS_Calc!$A:$A,0))-1</f>
        <v>6.6191473837531989E-2</v>
      </c>
      <c r="Q16" s="788">
        <f>ABS(INDEX(DSS_Calc!$KU:$KU,MATCH(O$4+$B16,DSS_Calc!$A:$A,0)))</f>
        <v>11.423677178430975</v>
      </c>
      <c r="R16" s="777">
        <f t="shared" si="13"/>
        <v>10</v>
      </c>
      <c r="S16" s="808">
        <f t="shared" si="24"/>
        <v>3</v>
      </c>
      <c r="T16" s="808">
        <f t="shared" si="25"/>
        <v>100</v>
      </c>
      <c r="U16" s="808">
        <f>INDEX(DSS_Calc!$JM:$JM,MATCH(O$4+$B16,DSS_Calc!$A:$A,0))</f>
        <v>1842.1217791445465</v>
      </c>
      <c r="V16" s="772"/>
      <c r="W16" s="779">
        <f>INDEX(DSS_Calc!$JD:$JD,MATCH(W$4+$B16,DSS_Calc!$A:$A,0))-INDEX(DSS_Calc!$JD:$JD,MATCH(W$4+$B$6,DSS_Calc!$A:$A,0))</f>
        <v>584.97641672623831</v>
      </c>
      <c r="X16" s="780">
        <f>INDEX(DSS_Calc!$JM:$JM,MATCH(W$4+$B16,DSS_Calc!$A:$A,0))/INDEX(DSS_Calc!$JM:$JM,MATCH(W$4+$B$6,DSS_Calc!$A:$A,0))-1</f>
        <v>7.093000604914601E-2</v>
      </c>
      <c r="Y16" s="788">
        <f>ABS(INDEX(DSS_Calc!$KU:$KU,MATCH(W$4+$B16,DSS_Calc!$A:$A,0)))</f>
        <v>14.573153785685699</v>
      </c>
      <c r="Z16" s="777">
        <f t="shared" si="14"/>
        <v>10</v>
      </c>
      <c r="AA16" s="808">
        <f t="shared" si="26"/>
        <v>3</v>
      </c>
      <c r="AB16" s="808">
        <f t="shared" si="27"/>
        <v>100</v>
      </c>
      <c r="AC16" s="808">
        <f>INDEX(DSS_Calc!$JM:$JM,MATCH(W$4+$B16,DSS_Calc!$A:$A,0))</f>
        <v>2206.1951601920996</v>
      </c>
      <c r="AD16" s="772"/>
      <c r="AE16" s="779">
        <f>INDEX(DSS_Calc!$JD:$JD,MATCH(AE$4+$B16,DSS_Calc!$A:$A,0))-INDEX(DSS_Calc!$JD:$JD,MATCH(AE$4+$B$6,DSS_Calc!$A:$A,0))</f>
        <v>151.93217232227562</v>
      </c>
      <c r="AF16" s="780">
        <f>INDEX(DSS_Calc!$JM:$JM,MATCH(AE$4+$B16,DSS_Calc!$A:$A,0))/INDEX(DSS_Calc!$JM:$JM,MATCH(AE$4+$B$6,DSS_Calc!$A:$A,0))-1</f>
        <v>1.5355904456964886E-2</v>
      </c>
      <c r="AG16" s="788">
        <f>ABS(INDEX(DSS_Calc!$KU:$KU,MATCH(AE$4+$B16,DSS_Calc!$A:$A,0)))</f>
        <v>6.3777786311045439</v>
      </c>
      <c r="AH16" s="777">
        <f t="shared" si="15"/>
        <v>10</v>
      </c>
      <c r="AI16" s="808">
        <f t="shared" si="28"/>
        <v>100</v>
      </c>
      <c r="AJ16" s="808">
        <f t="shared" si="29"/>
        <v>3</v>
      </c>
      <c r="AK16" s="808">
        <f>INDEX(DSS_Calc!$JM:$JM,MATCH(AE$4+$B16,DSS_Calc!$A:$A,0))</f>
        <v>2028.3153226161123</v>
      </c>
      <c r="AL16" s="772"/>
      <c r="AM16" s="779">
        <f>INDEX(DSS_Calc!$JD:$JD,MATCH(AM$4+$B16,DSS_Calc!$A:$A,0))-INDEX(DSS_Calc!$JD:$JD,MATCH(AM$4+$B$6,DSS_Calc!$A:$A,0))</f>
        <v>217.38416793555643</v>
      </c>
      <c r="AN16" s="780">
        <f>INDEX(DSS_Calc!$JM:$JM,MATCH(AM$4+$B16,DSS_Calc!$A:$A,0))/INDEX(DSS_Calc!$JM:$JM,MATCH(AM$4+$B$6,DSS_Calc!$A:$A,0))-1</f>
        <v>2.435517819514299E-2</v>
      </c>
      <c r="AO16" s="788">
        <f>ABS(INDEX(DSS_Calc!$KU:$KU,MATCH(AM$4+$B16,DSS_Calc!$A:$A,0)))</f>
        <v>7.0478723404519821</v>
      </c>
      <c r="AP16" s="777">
        <f t="shared" si="16"/>
        <v>10</v>
      </c>
      <c r="AQ16" s="808">
        <f t="shared" si="30"/>
        <v>100</v>
      </c>
      <c r="AR16" s="808">
        <f t="shared" si="31"/>
        <v>3</v>
      </c>
      <c r="AS16" s="808">
        <f>INDEX(DSS_Calc!$JM:$JM,MATCH(AM$4+$B16,DSS_Calc!$A:$A,0))</f>
        <v>817.99921545694599</v>
      </c>
      <c r="AT16" s="772"/>
      <c r="AU16" s="779">
        <f>INDEX(DSS_Calc!$JD:$JD,MATCH(AU$4+$B16,DSS_Calc!$A:$A,0))-INDEX(DSS_Calc!$JD:$JD,MATCH(AU$4+$B$6,DSS_Calc!$A:$A,0))</f>
        <v>497.58425644909585</v>
      </c>
      <c r="AV16" s="780">
        <f>INDEX(DSS_Calc!$JM:$JM,MATCH(AU$4+$B16,DSS_Calc!$A:$A,0))/INDEX(DSS_Calc!$JM:$JM,MATCH(AU$4+$B$6,DSS_Calc!$A:$A,0))-1</f>
        <v>5.9055987126711784E-2</v>
      </c>
      <c r="AX16" s="848" t="str">
        <f t="shared" si="11"/>
        <v>J</v>
      </c>
      <c r="AY16" s="881" t="str">
        <f t="shared" si="11"/>
        <v>720 Lease</v>
      </c>
      <c r="AZ16" s="848" t="str">
        <f t="shared" si="11"/>
        <v>MY20 Forte</v>
      </c>
      <c r="BA16" s="769"/>
      <c r="BB16" s="882">
        <f t="shared" si="32"/>
        <v>819.80679949814748</v>
      </c>
      <c r="BC16" s="883">
        <f t="shared" si="32"/>
        <v>0.13297802379576029</v>
      </c>
      <c r="BD16" s="769"/>
      <c r="BE16" s="882">
        <f t="shared" si="17"/>
        <v>558.6181285153375</v>
      </c>
      <c r="BF16" s="883">
        <f t="shared" si="17"/>
        <v>6.6191473837531989E-2</v>
      </c>
      <c r="BG16" s="769"/>
      <c r="BH16" s="882">
        <f t="shared" si="18"/>
        <v>584.97641672623831</v>
      </c>
      <c r="BI16" s="883">
        <f t="shared" si="18"/>
        <v>7.093000604914601E-2</v>
      </c>
      <c r="BJ16" s="769"/>
      <c r="BK16" s="882">
        <f t="shared" si="19"/>
        <v>151.93217232227562</v>
      </c>
      <c r="BL16" s="883">
        <f t="shared" si="19"/>
        <v>1.5355904456964886E-2</v>
      </c>
      <c r="BM16" s="769"/>
      <c r="BN16" s="882">
        <f t="shared" si="20"/>
        <v>217.38416793555643</v>
      </c>
      <c r="BO16" s="883">
        <f t="shared" si="20"/>
        <v>2.435517819514299E-2</v>
      </c>
      <c r="BP16" s="769"/>
      <c r="BQ16" s="882">
        <f t="shared" si="21"/>
        <v>497.58425644909585</v>
      </c>
      <c r="BR16" s="883">
        <f t="shared" si="21"/>
        <v>5.9055987126711784E-2</v>
      </c>
    </row>
    <row r="17" spans="2:70" ht="20.100000000000001" customHeight="1">
      <c r="B17" s="831">
        <v>19</v>
      </c>
      <c r="C17" s="772" t="str">
        <f t="shared" si="33"/>
        <v>K</v>
      </c>
      <c r="D17" s="774" t="str">
        <f>LEFT(INDEX(DSS_Calc!$D:$D,MATCH(G$4+$B17,DSS_Calc!$A:$A,0)),LEN(INDEX(DSS_Calc!$D:$D,MATCH(G$4+$B17,DSS_Calc!$A:$A,0)))-2)</f>
        <v>Plan A</v>
      </c>
      <c r="E17" s="772" t="str">
        <f>"MY"&amp;RIGHT(Input!$H$9,2)&amp;" "&amp;Input!$H$3</f>
        <v>MY20 Forte</v>
      </c>
      <c r="F17" s="772"/>
      <c r="G17" s="776">
        <f>INDEX(DSS_Calc!$JD:$JD,MATCH(G$4+$B17,DSS_Calc!$A:$A,0))-INDEX(DSS_Calc!$JD:$JD,MATCH(G$4+$B$6,DSS_Calc!$A:$A,0))</f>
        <v>-194.15751479979917</v>
      </c>
      <c r="H17" s="775">
        <f>INDEX(DSS_Calc!$JM:$JM,MATCH(G$4+$B17,DSS_Calc!$A:$A,0))/INDEX(DSS_Calc!$JM:$JM,MATCH(G$4+$B$6,DSS_Calc!$A:$A,0))-1</f>
        <v>-4.8786844871320012E-2</v>
      </c>
      <c r="I17" s="787">
        <f>ABS(INDEX(DSS_Calc!$KU:$KU,MATCH(G$4+$B17,DSS_Calc!$A:$A,0)))</f>
        <v>50.486231309081511</v>
      </c>
      <c r="J17" s="772" t="e">
        <f t="shared" ref="J17:J18" si="34">RANK(I17,I$7:I$16,0)</f>
        <v>#N/A</v>
      </c>
      <c r="K17" s="807">
        <f t="shared" ref="K17:K18" si="35">IF(G17&gt;QUARTILE(G$7:G$16,3),1+COUNTIFS(G$7:G$16,"&gt;"&amp;QUARTILE(G$7:G$16,3),I$7:I$16,"&gt;"&amp;I17),100)</f>
        <v>100</v>
      </c>
      <c r="L17" s="807">
        <f t="shared" ref="L17:L18" si="36">IF(G17&lt;QUARTILE(G$7:G$16,1),1+COUNTIFS(G$7:G$16,"&lt;"&amp;QUARTILE(G$7:G$16,1),I$7:I$16,"&gt;"&amp;I17),100)</f>
        <v>4</v>
      </c>
      <c r="M17" s="807">
        <f>INDEX(DSS_Calc!$JM:$JM,MATCH(G$4+$B17,DSS_Calc!$A:$A,0))</f>
        <v>1006.4876523391357</v>
      </c>
      <c r="N17" s="772"/>
      <c r="O17" s="776">
        <f>INDEX(DSS_Calc!$JD:$JD,MATCH(O$4+$B17,DSS_Calc!$A:$A,0))-INDEX(DSS_Calc!$JD:$JD,MATCH(O$4+$B$6,DSS_Calc!$A:$A,0))</f>
        <v>-251.37930047550844</v>
      </c>
      <c r="P17" s="775">
        <f>INDEX(DSS_Calc!$JM:$JM,MATCH(O$4+$B17,DSS_Calc!$A:$A,0))/INDEX(DSS_Calc!$JM:$JM,MATCH(O$4+$B$6,DSS_Calc!$A:$A,0))-1</f>
        <v>-5.4949567968846313E-2</v>
      </c>
      <c r="Q17" s="787">
        <f>ABS(INDEX(DSS_Calc!$KU:$KU,MATCH(O$4+$B17,DSS_Calc!$A:$A,0)))</f>
        <v>11.842371106544068</v>
      </c>
      <c r="R17" s="772" t="e">
        <f t="shared" ref="R17:R18" si="37">RANK(Q17,Q$7:Q$16,0)</f>
        <v>#N/A</v>
      </c>
      <c r="S17" s="807">
        <f t="shared" ref="S17:S18" si="38">IF(O17&gt;QUARTILE(O$7:O$16,3),1+COUNTIFS(O$7:O$16,"&gt;"&amp;QUARTILE(O$7:O$16,3),Q$7:Q$16,"&gt;"&amp;Q17),100)</f>
        <v>100</v>
      </c>
      <c r="T17" s="807">
        <f t="shared" ref="T17:T18" si="39">IF(O17&lt;QUARTILE(O$7:O$16,1),1+COUNTIFS(O$7:O$16,"&lt;"&amp;QUARTILE(O$7:O$16,1),Q$7:Q$16,"&gt;"&amp;Q17),100)</f>
        <v>4</v>
      </c>
      <c r="U17" s="807">
        <f>INDEX(DSS_Calc!$JM:$JM,MATCH(O$4+$B17,DSS_Calc!$A:$A,0))</f>
        <v>1632.8192692899288</v>
      </c>
      <c r="V17" s="772"/>
      <c r="W17" s="776">
        <f>INDEX(DSS_Calc!$JD:$JD,MATCH(W$4+$B17,DSS_Calc!$A:$A,0))-INDEX(DSS_Calc!$JD:$JD,MATCH(W$4+$B$6,DSS_Calc!$A:$A,0))</f>
        <v>-314.03834954253307</v>
      </c>
      <c r="X17" s="775">
        <f>INDEX(DSS_Calc!$JM:$JM,MATCH(W$4+$B17,DSS_Calc!$A:$A,0))/INDEX(DSS_Calc!$JM:$JM,MATCH(W$4+$B$6,DSS_Calc!$A:$A,0))-1</f>
        <v>-7.9944513171285259E-2</v>
      </c>
      <c r="Y17" s="787">
        <f>ABS(INDEX(DSS_Calc!$KU:$KU,MATCH(W$4+$B17,DSS_Calc!$A:$A,0)))</f>
        <v>15.009332799580351</v>
      </c>
      <c r="Z17" s="772" t="e">
        <f t="shared" ref="Z17:Z18" si="40">RANK(Y17,Y$7:Y$16,0)</f>
        <v>#N/A</v>
      </c>
      <c r="AA17" s="807">
        <f t="shared" ref="AA17:AA18" si="41">IF(W17&gt;QUARTILE(W$7:W$16,3),1+COUNTIFS(W$7:W$16,"&gt;"&amp;QUARTILE(W$7:W$16,3),Y$7:Y$16,"&gt;"&amp;Y17),100)</f>
        <v>100</v>
      </c>
      <c r="AB17" s="807">
        <f t="shared" ref="AB17:AB18" si="42">IF(W17&lt;QUARTILE(W$7:W$16,1),1+COUNTIFS(W$7:W$16,"&lt;"&amp;QUARTILE(W$7:W$16,1),Y$7:Y$16,"&gt;"&amp;Y17),100)</f>
        <v>4</v>
      </c>
      <c r="AC17" s="807">
        <f>INDEX(DSS_Calc!$JM:$JM,MATCH(W$4+$B17,DSS_Calc!$A:$A,0))</f>
        <v>1895.3824719489148</v>
      </c>
      <c r="AD17" s="772"/>
      <c r="AE17" s="776">
        <f>INDEX(DSS_Calc!$JD:$JD,MATCH(AE$4+$B17,DSS_Calc!$A:$A,0))-INDEX(DSS_Calc!$JD:$JD,MATCH(AE$4+$B$6,DSS_Calc!$A:$A,0))</f>
        <v>-324.96324853868646</v>
      </c>
      <c r="AF17" s="775">
        <f>INDEX(DSS_Calc!$JM:$JM,MATCH(AE$4+$B17,DSS_Calc!$A:$A,0))/INDEX(DSS_Calc!$JM:$JM,MATCH(AE$4+$B$6,DSS_Calc!$A:$A,0))-1</f>
        <v>-5.8630953217568837E-2</v>
      </c>
      <c r="AG17" s="787">
        <f>ABS(INDEX(DSS_Calc!$KU:$KU,MATCH(AE$4+$B17,DSS_Calc!$A:$A,0)))</f>
        <v>6.4903230764839268</v>
      </c>
      <c r="AH17" s="772" t="e">
        <f t="shared" ref="AH17:AH18" si="43">RANK(AG17,AG$7:AG$16,0)</f>
        <v>#N/A</v>
      </c>
      <c r="AI17" s="807">
        <f t="shared" ref="AI17:AI18" si="44">IF(AE17&gt;QUARTILE(AE$7:AE$16,3),1+COUNTIFS(AE$7:AE$16,"&gt;"&amp;QUARTILE(AE$7:AE$16,3),AG$7:AG$16,"&gt;"&amp;AG17),100)</f>
        <v>100</v>
      </c>
      <c r="AJ17" s="807">
        <f t="shared" ref="AJ17:AJ18" si="45">IF(AE17&lt;QUARTILE(AE$7:AE$16,1),1+COUNTIFS(AE$7:AE$16,"&lt;"&amp;QUARTILE(AE$7:AE$16,1),AG$7:AG$16,"&gt;"&amp;AG17),100)</f>
        <v>2</v>
      </c>
      <c r="AK17" s="807">
        <f>INDEX(DSS_Calc!$JM:$JM,MATCH(AE$4+$B17,DSS_Calc!$A:$A,0))</f>
        <v>1880.516234203134</v>
      </c>
      <c r="AL17" s="772"/>
      <c r="AM17" s="776">
        <f>INDEX(DSS_Calc!$JD:$JD,MATCH(AM$4+$B17,DSS_Calc!$A:$A,0))-INDEX(DSS_Calc!$JD:$JD,MATCH(AM$4+$B$6,DSS_Calc!$A:$A,0))</f>
        <v>-310.98508953241708</v>
      </c>
      <c r="AN17" s="775">
        <f>INDEX(DSS_Calc!$JM:$JM,MATCH(AM$4+$B17,DSS_Calc!$A:$A,0))/INDEX(DSS_Calc!$JM:$JM,MATCH(AM$4+$B$6,DSS_Calc!$A:$A,0))-1</f>
        <v>-5.8504264909713166E-2</v>
      </c>
      <c r="AO17" s="787">
        <f>ABS(INDEX(DSS_Calc!$KU:$KU,MATCH(AM$4+$B17,DSS_Calc!$A:$A,0)))</f>
        <v>7.1958634729680782</v>
      </c>
      <c r="AP17" s="772" t="e">
        <f t="shared" ref="AP17:AP18" si="46">RANK(AO17,AO$7:AO$16,0)</f>
        <v>#N/A</v>
      </c>
      <c r="AQ17" s="807">
        <f t="shared" ref="AQ17:AQ18" si="47">IF(AM17&gt;QUARTILE(AM$7:AM$16,3),1+COUNTIFS(AM$7:AM$16,"&gt;"&amp;QUARTILE(AM$7:AM$16,3),AO$7:AO$16,"&gt;"&amp;AO17),100)</f>
        <v>100</v>
      </c>
      <c r="AR17" s="807">
        <f t="shared" ref="AR17:AR18" si="48">IF(AM17&lt;QUARTILE(AM$7:AM$16,1),1+COUNTIFS(AM$7:AM$16,"&lt;"&amp;QUARTILE(AM$7:AM$16,1),AO$7:AO$16,"&gt;"&amp;AO17),100)</f>
        <v>2</v>
      </c>
      <c r="AS17" s="807">
        <f>INDEX(DSS_Calc!$JM:$JM,MATCH(AM$4+$B17,DSS_Calc!$A:$A,0))</f>
        <v>751.83177578783182</v>
      </c>
      <c r="AT17" s="772"/>
      <c r="AU17" s="776">
        <f>INDEX(DSS_Calc!$JD:$JD,MATCH(AU$4+$B17,DSS_Calc!$A:$A,0))-INDEX(DSS_Calc!$JD:$JD,MATCH(AU$4+$B$6,DSS_Calc!$A:$A,0))</f>
        <v>-283.57474494135477</v>
      </c>
      <c r="AV17" s="775">
        <f>INDEX(DSS_Calc!$JM:$JM,MATCH(AU$4+$B17,DSS_Calc!$A:$A,0))/INDEX(DSS_Calc!$JM:$JM,MATCH(AU$4+$B$6,DSS_Calc!$A:$A,0))-1</f>
        <v>-6.2167878946889354E-2</v>
      </c>
      <c r="AX17" s="833" t="str">
        <f t="shared" ref="AX17:AX18" si="49">+C17</f>
        <v>K</v>
      </c>
      <c r="AY17" s="879" t="str">
        <f t="shared" ref="AY17:AY18" si="50">+D17</f>
        <v>Plan A</v>
      </c>
      <c r="AZ17" s="833" t="str">
        <f t="shared" ref="AZ17:AZ18" si="51">+E17</f>
        <v>MY20 Forte</v>
      </c>
      <c r="BA17" s="769"/>
      <c r="BB17" s="834">
        <f t="shared" ref="BB17:BB18" si="52">+G17</f>
        <v>-194.15751479979917</v>
      </c>
      <c r="BC17" s="880">
        <f t="shared" ref="BC17:BC18" si="53">+H17</f>
        <v>-4.8786844871320012E-2</v>
      </c>
      <c r="BD17" s="769"/>
      <c r="BE17" s="834">
        <f t="shared" ref="BE17:BE18" si="54">+O17</f>
        <v>-251.37930047550844</v>
      </c>
      <c r="BF17" s="880">
        <f t="shared" ref="BF17:BF18" si="55">+P17</f>
        <v>-5.4949567968846313E-2</v>
      </c>
      <c r="BG17" s="769"/>
      <c r="BH17" s="834">
        <f t="shared" ref="BH17:BH18" si="56">+W17</f>
        <v>-314.03834954253307</v>
      </c>
      <c r="BI17" s="880">
        <f t="shared" ref="BI17:BI18" si="57">+X17</f>
        <v>-7.9944513171285259E-2</v>
      </c>
      <c r="BJ17" s="769"/>
      <c r="BK17" s="834">
        <f t="shared" ref="BK17:BK18" si="58">+AE17</f>
        <v>-324.96324853868646</v>
      </c>
      <c r="BL17" s="880">
        <f t="shared" ref="BL17:BL18" si="59">+AF17</f>
        <v>-5.8630953217568837E-2</v>
      </c>
      <c r="BM17" s="769"/>
      <c r="BN17" s="834">
        <f t="shared" ref="BN17:BN18" si="60">+AM17</f>
        <v>-310.98508953241708</v>
      </c>
      <c r="BO17" s="880">
        <f t="shared" ref="BO17:BO18" si="61">+AN17</f>
        <v>-5.8504264909713166E-2</v>
      </c>
      <c r="BP17" s="769"/>
      <c r="BQ17" s="834">
        <f t="shared" ref="BQ17:BQ18" si="62">+AU17</f>
        <v>-283.57474494135477</v>
      </c>
      <c r="BR17" s="880">
        <f t="shared" ref="BR17:BR18" si="63">+AV17</f>
        <v>-6.2167878946889354E-2</v>
      </c>
    </row>
    <row r="18" spans="2:70" ht="20.100000000000001" customHeight="1">
      <c r="B18" s="831">
        <v>81</v>
      </c>
      <c r="C18" s="777" t="str">
        <f t="shared" si="33"/>
        <v>L</v>
      </c>
      <c r="D18" s="778" t="str">
        <f>LEFT(INDEX(DSS_Calc!$D:$D,MATCH(G$4+$B18,DSS_Calc!$A:$A,0)),LEN(INDEX(DSS_Calc!$D:$D,MATCH(G$4+$B18,DSS_Calc!$A:$A,0)))-2)</f>
        <v>-500 Trim BC</v>
      </c>
      <c r="E18" s="777" t="str">
        <f>"MY"&amp;RIGHT(Input!$H$9,2)&amp;" "&amp;Input!$H$3</f>
        <v>MY20 Forte</v>
      </c>
      <c r="F18" s="772"/>
      <c r="G18" s="779">
        <f>INDEX(DSS_Calc!$JD:$JD,MATCH(G$4+$B18,DSS_Calc!$A:$A,0))-INDEX(DSS_Calc!$JD:$JD,MATCH(G$4+$B$6,DSS_Calc!$A:$A,0))</f>
        <v>-554.94584596203094</v>
      </c>
      <c r="H18" s="780">
        <f>INDEX(DSS_Calc!$JM:$JM,MATCH(G$4+$B18,DSS_Calc!$A:$A,0))/INDEX(DSS_Calc!$JM:$JM,MATCH(G$4+$B$6,DSS_Calc!$A:$A,0))-1</f>
        <v>-0.10851112148212905</v>
      </c>
      <c r="I18" s="788">
        <f>ABS(INDEX(DSS_Calc!$KU:$KU,MATCH(G$4+$B18,DSS_Calc!$A:$A,0)))</f>
        <v>51.130777691160233</v>
      </c>
      <c r="J18" s="777" t="e">
        <f t="shared" si="34"/>
        <v>#N/A</v>
      </c>
      <c r="K18" s="808">
        <f t="shared" si="35"/>
        <v>100</v>
      </c>
      <c r="L18" s="808">
        <f t="shared" si="36"/>
        <v>4</v>
      </c>
      <c r="M18" s="808">
        <f>INDEX(DSS_Calc!$JM:$JM,MATCH(G$4+$B18,DSS_Calc!$A:$A,0))</f>
        <v>943.29282936012169</v>
      </c>
      <c r="N18" s="772"/>
      <c r="O18" s="779">
        <f>INDEX(DSS_Calc!$JD:$JD,MATCH(O$4+$B18,DSS_Calc!$A:$A,0))-INDEX(DSS_Calc!$JD:$JD,MATCH(O$4+$B$6,DSS_Calc!$A:$A,0))</f>
        <v>-541.94093728369535</v>
      </c>
      <c r="P18" s="780">
        <f>INDEX(DSS_Calc!$JM:$JM,MATCH(O$4+$B18,DSS_Calc!$A:$A,0))/INDEX(DSS_Calc!$JM:$JM,MATCH(O$4+$B$6,DSS_Calc!$A:$A,0))-1</f>
        <v>-9.9216500656843842E-2</v>
      </c>
      <c r="Q18" s="788">
        <f>ABS(INDEX(DSS_Calc!$KU:$KU,MATCH(O$4+$B18,DSS_Calc!$A:$A,0)))</f>
        <v>12.028141318291341</v>
      </c>
      <c r="R18" s="777" t="e">
        <f t="shared" si="37"/>
        <v>#N/A</v>
      </c>
      <c r="S18" s="808">
        <f t="shared" si="38"/>
        <v>100</v>
      </c>
      <c r="T18" s="808">
        <f t="shared" si="39"/>
        <v>4</v>
      </c>
      <c r="U18" s="808">
        <f>INDEX(DSS_Calc!$JM:$JM,MATCH(O$4+$B18,DSS_Calc!$A:$A,0))</f>
        <v>1556.3366835616998</v>
      </c>
      <c r="V18" s="772"/>
      <c r="W18" s="779">
        <f>INDEX(DSS_Calc!$JD:$JD,MATCH(W$4+$B18,DSS_Calc!$A:$A,0))-INDEX(DSS_Calc!$JD:$JD,MATCH(W$4+$B$6,DSS_Calc!$A:$A,0))</f>
        <v>-518.51386345948322</v>
      </c>
      <c r="X18" s="780">
        <f>INDEX(DSS_Calc!$JM:$JM,MATCH(W$4+$B18,DSS_Calc!$A:$A,0))/INDEX(DSS_Calc!$JM:$JM,MATCH(W$4+$B$6,DSS_Calc!$A:$A,0))-1</f>
        <v>-0.10487827135144712</v>
      </c>
      <c r="Y18" s="788">
        <f>ABS(INDEX(DSS_Calc!$KU:$KU,MATCH(W$4+$B18,DSS_Calc!$A:$A,0)))</f>
        <v>15.368313147213421</v>
      </c>
      <c r="Z18" s="777" t="e">
        <f t="shared" si="40"/>
        <v>#N/A</v>
      </c>
      <c r="AA18" s="808">
        <f t="shared" si="41"/>
        <v>100</v>
      </c>
      <c r="AB18" s="808">
        <f t="shared" si="42"/>
        <v>3</v>
      </c>
      <c r="AC18" s="808">
        <f>INDEX(DSS_Calc!$JM:$JM,MATCH(W$4+$B18,DSS_Calc!$A:$A,0))</f>
        <v>1844.0170826968099</v>
      </c>
      <c r="AD18" s="772"/>
      <c r="AE18" s="779">
        <f>INDEX(DSS_Calc!$JD:$JD,MATCH(AE$4+$B18,DSS_Calc!$A:$A,0))-INDEX(DSS_Calc!$JD:$JD,MATCH(AE$4+$B$6,DSS_Calc!$A:$A,0))</f>
        <v>-512.30542875331003</v>
      </c>
      <c r="AF18" s="780">
        <f>INDEX(DSS_Calc!$JM:$JM,MATCH(AE$4+$B18,DSS_Calc!$A:$A,0))/INDEX(DSS_Calc!$JM:$JM,MATCH(AE$4+$B$6,DSS_Calc!$A:$A,0))-1</f>
        <v>-8.8306330210626283E-2</v>
      </c>
      <c r="AG18" s="788">
        <f>ABS(INDEX(DSS_Calc!$KU:$KU,MATCH(AE$4+$B18,DSS_Calc!$A:$A,0)))</f>
        <v>6.537532686401649</v>
      </c>
      <c r="AH18" s="777" t="e">
        <f t="shared" si="43"/>
        <v>#N/A</v>
      </c>
      <c r="AI18" s="808">
        <f t="shared" si="44"/>
        <v>100</v>
      </c>
      <c r="AJ18" s="808">
        <f t="shared" si="45"/>
        <v>1</v>
      </c>
      <c r="AK18" s="808">
        <f>INDEX(DSS_Calc!$JM:$JM,MATCH(AE$4+$B18,DSS_Calc!$A:$A,0))</f>
        <v>1821.2355213070787</v>
      </c>
      <c r="AL18" s="772"/>
      <c r="AM18" s="779">
        <f>INDEX(DSS_Calc!$JD:$JD,MATCH(AM$4+$B18,DSS_Calc!$A:$A,0))-INDEX(DSS_Calc!$JD:$JD,MATCH(AM$4+$B$6,DSS_Calc!$A:$A,0))</f>
        <v>-515.09580791994495</v>
      </c>
      <c r="AN18" s="780">
        <f>INDEX(DSS_Calc!$JM:$JM,MATCH(AM$4+$B18,DSS_Calc!$A:$A,0))/INDEX(DSS_Calc!$JM:$JM,MATCH(AM$4+$B$6,DSS_Calc!$A:$A,0))-1</f>
        <v>-9.1221747232274941E-2</v>
      </c>
      <c r="AO18" s="788">
        <f>ABS(INDEX(DSS_Calc!$KU:$KU,MATCH(AM$4+$B18,DSS_Calc!$A:$A,0)))</f>
        <v>7.2587493407346892</v>
      </c>
      <c r="AP18" s="777" t="e">
        <f t="shared" si="46"/>
        <v>#N/A</v>
      </c>
      <c r="AQ18" s="808">
        <f t="shared" si="47"/>
        <v>100</v>
      </c>
      <c r="AR18" s="808">
        <f t="shared" si="48"/>
        <v>1</v>
      </c>
      <c r="AS18" s="808">
        <f>INDEX(DSS_Calc!$JM:$JM,MATCH(AM$4+$B18,DSS_Calc!$A:$A,0))</f>
        <v>725.70521788948963</v>
      </c>
      <c r="AT18" s="772"/>
      <c r="AU18" s="779">
        <f>INDEX(DSS_Calc!$JD:$JD,MATCH(AU$4+$B18,DSS_Calc!$A:$A,0))-INDEX(DSS_Calc!$JD:$JD,MATCH(AU$4+$B$6,DSS_Calc!$A:$A,0))</f>
        <v>-532.9565371597173</v>
      </c>
      <c r="AV18" s="780">
        <f>INDEX(DSS_Calc!$JM:$JM,MATCH(AU$4+$B18,DSS_Calc!$A:$A,0))/INDEX(DSS_Calc!$JM:$JM,MATCH(AU$4+$B$6,DSS_Calc!$A:$A,0))-1</f>
        <v>-9.8342345430836864E-2</v>
      </c>
      <c r="AX18" s="848" t="str">
        <f t="shared" si="49"/>
        <v>L</v>
      </c>
      <c r="AY18" s="881" t="str">
        <f t="shared" si="50"/>
        <v>-500 Trim BC</v>
      </c>
      <c r="AZ18" s="848" t="str">
        <f t="shared" si="51"/>
        <v>MY20 Forte</v>
      </c>
      <c r="BA18" s="769"/>
      <c r="BB18" s="882">
        <f t="shared" si="52"/>
        <v>-554.94584596203094</v>
      </c>
      <c r="BC18" s="883">
        <f t="shared" si="53"/>
        <v>-0.10851112148212905</v>
      </c>
      <c r="BD18" s="769"/>
      <c r="BE18" s="882">
        <f t="shared" si="54"/>
        <v>-541.94093728369535</v>
      </c>
      <c r="BF18" s="883">
        <f t="shared" si="55"/>
        <v>-9.9216500656843842E-2</v>
      </c>
      <c r="BG18" s="769"/>
      <c r="BH18" s="882">
        <f t="shared" si="56"/>
        <v>-518.51386345948322</v>
      </c>
      <c r="BI18" s="883">
        <f t="shared" si="57"/>
        <v>-0.10487827135144712</v>
      </c>
      <c r="BJ18" s="769"/>
      <c r="BK18" s="882">
        <f t="shared" si="58"/>
        <v>-512.30542875331003</v>
      </c>
      <c r="BL18" s="883">
        <f t="shared" si="59"/>
        <v>-8.8306330210626283E-2</v>
      </c>
      <c r="BM18" s="769"/>
      <c r="BN18" s="882">
        <f t="shared" si="60"/>
        <v>-515.09580791994495</v>
      </c>
      <c r="BO18" s="883">
        <f t="shared" si="61"/>
        <v>-9.1221747232274941E-2</v>
      </c>
      <c r="BP18" s="769"/>
      <c r="BQ18" s="882">
        <f t="shared" si="62"/>
        <v>-532.9565371597173</v>
      </c>
      <c r="BR18" s="883">
        <f t="shared" si="63"/>
        <v>-9.8342345430836864E-2</v>
      </c>
    </row>
    <row r="20" spans="2:70">
      <c r="B20" s="831">
        <v>6</v>
      </c>
      <c r="C20" s="772"/>
      <c r="D20" s="774" t="str">
        <f>LEFT(INDEX(DSS_Calc!$D:$D,MATCH(G$4+$B20,DSS_Calc!$A:$A,0)),LEN(INDEX(DSS_Calc!$D:$D,MATCH(G$4+$B20,DSS_Calc!$A:$A,0)))-2)</f>
        <v>Reference - Bonus Cash (vs Base</v>
      </c>
      <c r="E20" s="772" t="str">
        <f>"MY"&amp;RIGHT(Input!$H$9,2)&amp;" "&amp;Input!$H$3</f>
        <v>MY20 Forte</v>
      </c>
      <c r="F20" s="772"/>
      <c r="G20" s="776">
        <f>INDEX(DSS_Calc!$JD:$JD,MATCH(G$4+$B20,DSS_Calc!$A:$A,0))-INDEX(DSS_Calc!$JD:$JD,MATCH(G$4+$B$6,DSS_Calc!$A:$A,0))</f>
        <v>194.46724578771136</v>
      </c>
      <c r="H20" s="775">
        <f>INDEX(DSS_Calc!$JM:$JM,MATCH(G$4+$B20,DSS_Calc!$A:$A,0))/INDEX(DSS_Calc!$JM:$JM,MATCH(G$4+$B$6,DSS_Calc!$A:$A,0))-1</f>
        <v>3.5796155459892898E-2</v>
      </c>
      <c r="I20" s="787">
        <f>ABS(INDEX(DSS_Calc!$KU:$KU,MATCH(G$4+$B20,DSS_Calc!$A:$A,0)))</f>
        <v>50.809657501049905</v>
      </c>
      <c r="J20" s="809">
        <f t="shared" ref="J20:J51" si="64">RANK(I20,I$20:I$100,0)</f>
        <v>39</v>
      </c>
      <c r="K20" s="835">
        <f>IF(G20&gt;QUARTILE(G$20:G$100,2),1+COUNTIFS(G$20:G$100,"&gt;"&amp;QUARTILE(G$20:G$100,2),I$20:I$100,"&gt;"&amp;I20),100)</f>
        <v>20</v>
      </c>
      <c r="L20" s="835">
        <f>IF(G20&lt;QUARTILE(G$20:G$100,2),1+COUNTIFS(G$20:G$100,"&lt;"&amp;QUARTILE(G$20:G$100,2),I$20:I$100,"&gt;"&amp;I20),100)</f>
        <v>100</v>
      </c>
      <c r="M20" s="835">
        <f>INDEX(DSS_Calc!$JM:$JM,MATCH(G$4+$B20,DSS_Calc!$A:$A,0))</f>
        <v>1095.9857264271104</v>
      </c>
      <c r="N20" s="772"/>
      <c r="O20" s="776">
        <f>INDEX(DSS_Calc!$JD:$JD,MATCH(O$4+$B20,DSS_Calc!$A:$A,0))-INDEX(DSS_Calc!$JD:$JD,MATCH(O$4+$B$6,DSS_Calc!$A:$A,0))</f>
        <v>161.58414376052042</v>
      </c>
      <c r="P20" s="775">
        <f>INDEX(DSS_Calc!$JM:$JM,MATCH(O$4+$B20,DSS_Calc!$A:$A,0))/INDEX(DSS_Calc!$JM:$JM,MATCH(O$4+$B$6,DSS_Calc!$A:$A,0))-1</f>
        <v>2.6934779622878269E-2</v>
      </c>
      <c r="Q20" s="787">
        <f>ABS(INDEX(DSS_Calc!$KU:$KU,MATCH(O$4+$B20,DSS_Calc!$A:$A,0)))</f>
        <v>11.940341035856495</v>
      </c>
      <c r="R20" s="809">
        <f t="shared" ref="R20:R51" si="65">RANK(Q20,Q$20:Q$100,0)</f>
        <v>40</v>
      </c>
      <c r="S20" s="807">
        <f>IF(O20&gt;QUARTILE(O$20:O$100,2),1+COUNTIFS(O$20:O$100,"&gt;"&amp;QUARTILE(O$20:O$100,2),Q$20:Q$100,"&gt;"&amp;Q20),100)</f>
        <v>20</v>
      </c>
      <c r="T20" s="807">
        <f>IF(O20&lt;QUARTILE(O$20:O$100,2),1+COUNTIFS(O$20:O$100,"&lt;"&amp;QUARTILE(O$20:O$100,2),Q$20:Q$100,"&gt;"&amp;Q20),100)</f>
        <v>100</v>
      </c>
      <c r="U20" s="835">
        <f>INDEX(DSS_Calc!$JM:$JM,MATCH(O$4+$B20,DSS_Calc!$A:$A,0))</f>
        <v>1774.2956773940359</v>
      </c>
      <c r="V20" s="772"/>
      <c r="W20" s="776">
        <f>INDEX(DSS_Calc!$JD:$JD,MATCH(W$4+$B20,DSS_Calc!$A:$A,0))-INDEX(DSS_Calc!$JD:$JD,MATCH(W$4+$B$6,DSS_Calc!$A:$A,0))</f>
        <v>293.98330779825847</v>
      </c>
      <c r="X20" s="775">
        <f>INDEX(DSS_Calc!$JM:$JM,MATCH(W$4+$B20,DSS_Calc!$A:$A,0))/INDEX(DSS_Calc!$JM:$JM,MATCH(W$4+$B$6,DSS_Calc!$A:$A,0))-1</f>
        <v>4.2094996684709729E-2</v>
      </c>
      <c r="Y20" s="787">
        <f>ABS(INDEX(DSS_Calc!$KU:$KU,MATCH(W$4+$B20,DSS_Calc!$A:$A,0)))</f>
        <v>15.07643611908119</v>
      </c>
      <c r="Z20" s="809">
        <f t="shared" ref="Z20:Z51" si="66">RANK(Y20,Y$20:Y$100,0)</f>
        <v>42</v>
      </c>
      <c r="AA20" s="807">
        <f>IF(W20&gt;QUARTILE(W$20:W$100,2),1+COUNTIFS(W$20:W$100,"&gt;"&amp;QUARTILE(W$20:W$100,2),Y$20:Y$100,"&gt;"&amp;Y20),100)</f>
        <v>22</v>
      </c>
      <c r="AB20" s="807">
        <f>IF(W20&lt;QUARTILE(W$20:W$100,2),1+COUNTIFS(W$20:W$100,"&lt;"&amp;QUARTILE(W$20:W$100,2),Y$20:Y$100,"&gt;"&amp;Y20),100)</f>
        <v>100</v>
      </c>
      <c r="AC20" s="835">
        <f>INDEX(DSS_Calc!$JM:$JM,MATCH(W$4+$B20,DSS_Calc!$A:$A,0))</f>
        <v>2146.7929044474849</v>
      </c>
      <c r="AD20" s="772"/>
      <c r="AE20" s="776">
        <f>INDEX(DSS_Calc!$JD:$JD,MATCH(AE$4+$B20,DSS_Calc!$A:$A,0))-INDEX(DSS_Calc!$JD:$JD,MATCH(AE$4+$B$6,DSS_Calc!$A:$A,0))</f>
        <v>116.06160749494211</v>
      </c>
      <c r="AF20" s="775">
        <f>INDEX(DSS_Calc!$JM:$JM,MATCH(AE$4+$B20,DSS_Calc!$A:$A,0))/INDEX(DSS_Calc!$JM:$JM,MATCH(AE$4+$B$6,DSS_Calc!$A:$A,0))-1</f>
        <v>1.9569814020431453E-2</v>
      </c>
      <c r="AG20" s="787">
        <f>ABS(INDEX(DSS_Calc!$KU:$KU,MATCH(AE$4+$B20,DSS_Calc!$A:$A,0)))</f>
        <v>6.5139124170048115</v>
      </c>
      <c r="AH20" s="809">
        <f t="shared" ref="AH20:AH51" si="67">RANK(AG20,AG$20:AG$100,0)</f>
        <v>37</v>
      </c>
      <c r="AI20" s="807">
        <f>IF(AE20&gt;QUARTILE(AE$20:AE$100,2),1+COUNTIFS(AE$20:AE$100,"&gt;"&amp;QUARTILE(AE$20:AE$100,2),AG$20:AG$100,"&gt;"&amp;AG20),100)</f>
        <v>100</v>
      </c>
      <c r="AJ20" s="807">
        <f>IF(AE20&lt;QUARTILE(AE$20:AE$100,2),1+COUNTIFS(AE$20:AE$100,"&lt;"&amp;QUARTILE(AE$20:AE$100,2),AG$20:AG$100,"&gt;"&amp;AG20),100)</f>
        <v>16</v>
      </c>
      <c r="AK20" s="835">
        <f>INDEX(DSS_Calc!$JM:$JM,MATCH(AE$4+$B20,DSS_Calc!$A:$A,0))</f>
        <v>2036.7331958940235</v>
      </c>
      <c r="AL20" s="772"/>
      <c r="AM20" s="776">
        <f>INDEX(DSS_Calc!$JD:$JD,MATCH(AM$4+$B20,DSS_Calc!$A:$A,0))-INDEX(DSS_Calc!$JD:$JD,MATCH(AM$4+$B$6,DSS_Calc!$A:$A,0))</f>
        <v>122.88180392574213</v>
      </c>
      <c r="AN20" s="775">
        <f>INDEX(DSS_Calc!$JM:$JM,MATCH(AM$4+$B20,DSS_Calc!$A:$A,0))/INDEX(DSS_Calc!$JM:$JM,MATCH(AM$4+$B$6,DSS_Calc!$A:$A,0))-1</f>
        <v>2.1132259386339003E-2</v>
      </c>
      <c r="AO20" s="787">
        <f>ABS(INDEX(DSS_Calc!$KU:$KU,MATCH(AM$4+$B20,DSS_Calc!$A:$A,0)))</f>
        <v>7.2275794267914595</v>
      </c>
      <c r="AP20" s="809">
        <f t="shared" ref="AP20:AP51" si="68">RANK(AO20,AO$20:AO$100,0)</f>
        <v>38</v>
      </c>
      <c r="AQ20" s="807">
        <f>IF(AM20&gt;QUARTILE(AM$20:AM$100,2),1+COUNTIFS(AM$20:AM$100,"&gt;"&amp;QUARTILE(AM$20:AM$100,2),AO$20:AO$100,"&gt;"&amp;AO20),100)</f>
        <v>100</v>
      </c>
      <c r="AR20" s="807">
        <f>IF(AM20&lt;QUARTILE(AM$20:AM$100,2),1+COUNTIFS(AM$20:AM$100,"&lt;"&amp;QUARTILE(AM$20:AM$100,2),AO$20:AO$100,"&gt;"&amp;AO20),100)</f>
        <v>16</v>
      </c>
      <c r="AS20" s="835">
        <f>INDEX(DSS_Calc!$JM:$JM,MATCH(AM$4+$B20,DSS_Calc!$A:$A,0))</f>
        <v>815.42555242170044</v>
      </c>
      <c r="AT20" s="772"/>
      <c r="AU20" s="776">
        <f>INDEX(DSS_Calc!$JD:$JD,MATCH(AU$4+$B20,DSS_Calc!$A:$A,0))-INDEX(DSS_Calc!$JD:$JD,MATCH(AU$4+$B$6,DSS_Calc!$A:$A,0))</f>
        <v>191.14349603628489</v>
      </c>
      <c r="AV20" s="775">
        <f>INDEX(DSS_Calc!$JM:$JM,MATCH(AU$4+$B20,DSS_Calc!$A:$A,0))/INDEX(DSS_Calc!$JM:$JM,MATCH(AU$4+$B$6,DSS_Calc!$A:$A,0))-1</f>
        <v>2.9716898762486732E-2</v>
      </c>
    </row>
    <row r="21" spans="2:70">
      <c r="B21" s="831">
        <f>B20+1</f>
        <v>7</v>
      </c>
      <c r="C21" s="777"/>
      <c r="D21" s="778" t="str">
        <f>LEFT(INDEX(DSS_Calc!$D:$D,MATCH(G$4+$B21,DSS_Calc!$A:$A,0)),LEN(INDEX(DSS_Calc!$D:$D,MATCH(G$4+$B21,DSS_Calc!$A:$A,0)))-2)</f>
        <v>Baseline1 for Co</v>
      </c>
      <c r="E21" s="777" t="str">
        <f>"MY"&amp;RIGHT(Input!$H$9,2)&amp;" "&amp;Input!$H$3</f>
        <v>MY20 Forte</v>
      </c>
      <c r="F21" s="772"/>
      <c r="G21" s="779">
        <f>INDEX(DSS_Calc!$JD:$JD,MATCH(G$4+$B21,DSS_Calc!$A:$A,0))-INDEX(DSS_Calc!$JD:$JD,MATCH(G$4+$B$6,DSS_Calc!$A:$A,0))</f>
        <v>-361.1599698519658</v>
      </c>
      <c r="H21" s="780">
        <f>INDEX(DSS_Calc!$JM:$JM,MATCH(G$4+$B21,DSS_Calc!$A:$A,0))/INDEX(DSS_Calc!$JM:$JM,MATCH(G$4+$B$6,DSS_Calc!$A:$A,0))-1</f>
        <v>-7.5710006423020393E-2</v>
      </c>
      <c r="I21" s="788">
        <f>ABS(INDEX(DSS_Calc!$KU:$KU,MATCH(G$4+$B21,DSS_Calc!$A:$A,0)))</f>
        <v>50.809656501049901</v>
      </c>
      <c r="J21" s="777">
        <f t="shared" si="64"/>
        <v>40</v>
      </c>
      <c r="K21" s="808">
        <f t="shared" ref="K21:K69" si="69">IF(G21&gt;QUARTILE(G$20:G$100,2),1+COUNTIFS(G$20:G$100,"&gt;"&amp;QUARTILE(G$20:G$100,2),I$20:I$100,"&gt;"&amp;I21),100)</f>
        <v>100</v>
      </c>
      <c r="L21" s="808">
        <f t="shared" ref="L21:L69" si="70">IF(G21&lt;QUARTILE(G$20:G$100,2),1+COUNTIFS(G$20:G$100,"&lt;"&amp;QUARTILE(G$20:G$100,2),I$20:I$100,"&gt;"&amp;I21),100)</f>
        <v>20</v>
      </c>
      <c r="M21" s="808">
        <f>INDEX(DSS_Calc!$JM:$JM,MATCH(G$4+$B21,DSS_Calc!$A:$A,0))</f>
        <v>978</v>
      </c>
      <c r="N21" s="772"/>
      <c r="O21" s="779">
        <f>INDEX(DSS_Calc!$JD:$JD,MATCH(O$4+$B21,DSS_Calc!$A:$A,0))-INDEX(DSS_Calc!$JD:$JD,MATCH(O$4+$B$6,DSS_Calc!$A:$A,0))</f>
        <v>-379.1800618944867</v>
      </c>
      <c r="P21" s="780">
        <f>INDEX(DSS_Calc!$JM:$JM,MATCH(O$4+$B21,DSS_Calc!$A:$A,0))/INDEX(DSS_Calc!$JM:$JM,MATCH(O$4+$B$6,DSS_Calc!$A:$A,0))-1</f>
        <v>-7.336606681531066E-2</v>
      </c>
      <c r="Q21" s="788">
        <f>ABS(INDEX(DSS_Calc!$KU:$KU,MATCH(O$4+$B21,DSS_Calc!$A:$A,0)))</f>
        <v>11.940342035856492</v>
      </c>
      <c r="R21" s="777">
        <f t="shared" si="65"/>
        <v>39</v>
      </c>
      <c r="S21" s="808">
        <f t="shared" ref="S21:S69" si="71">IF(O21&gt;QUARTILE(O$20:O$100,2),1+COUNTIFS(O$20:O$100,"&gt;"&amp;QUARTILE(O$20:O$100,2),Q$20:Q$100,"&gt;"&amp;Q21),100)</f>
        <v>100</v>
      </c>
      <c r="T21" s="808">
        <f t="shared" ref="T21:T69" si="72">IF(O21&lt;QUARTILE(O$20:O$100,2),1+COUNTIFS(O$20:O$100,"&lt;"&amp;QUARTILE(O$20:O$100,2),Q$20:Q$100,"&gt;"&amp;Q21),100)</f>
        <v>20</v>
      </c>
      <c r="U21" s="808">
        <f>INDEX(DSS_Calc!$JM:$JM,MATCH(O$4+$B21,DSS_Calc!$A:$A,0))</f>
        <v>1601</v>
      </c>
      <c r="V21" s="772"/>
      <c r="W21" s="779">
        <f>INDEX(DSS_Calc!$JD:$JD,MATCH(W$4+$B21,DSS_Calc!$A:$A,0))-INDEX(DSS_Calc!$JD:$JD,MATCH(W$4+$B$6,DSS_Calc!$A:$A,0))</f>
        <v>-253.3117679485822</v>
      </c>
      <c r="X21" s="780">
        <f>INDEX(DSS_Calc!$JM:$JM,MATCH(W$4+$B21,DSS_Calc!$A:$A,0))/INDEX(DSS_Calc!$JM:$JM,MATCH(W$4+$B$6,DSS_Calc!$A:$A,0))-1</f>
        <v>-6.5082170032927711E-2</v>
      </c>
      <c r="Y21" s="788">
        <f>ABS(INDEX(DSS_Calc!$KU:$KU,MATCH(W$4+$B21,DSS_Calc!$A:$A,0)))</f>
        <v>15.076437119081193</v>
      </c>
      <c r="Z21" s="777">
        <f t="shared" si="66"/>
        <v>41</v>
      </c>
      <c r="AA21" s="808">
        <f t="shared" ref="AA21:AA69" si="73">IF(W21&gt;QUARTILE(W$20:W$100,2),1+COUNTIFS(W$20:W$100,"&gt;"&amp;QUARTILE(W$20:W$100,2),Y$20:Y$100,"&gt;"&amp;Y21),100)</f>
        <v>100</v>
      </c>
      <c r="AB21" s="808">
        <f t="shared" ref="AB21:AB69" si="74">IF(W21&lt;QUARTILE(W$20:W$100,2),1+COUNTIFS(W$20:W$100,"&lt;"&amp;QUARTILE(W$20:W$100,2),Y$20:Y$100,"&gt;"&amp;Y21),100)</f>
        <v>20</v>
      </c>
      <c r="AC21" s="808">
        <f>INDEX(DSS_Calc!$JM:$JM,MATCH(W$4+$B21,DSS_Calc!$A:$A,0))</f>
        <v>1926</v>
      </c>
      <c r="AD21" s="772"/>
      <c r="AE21" s="779">
        <f>INDEX(DSS_Calc!$JD:$JD,MATCH(AE$4+$B21,DSS_Calc!$A:$A,0))-INDEX(DSS_Calc!$JD:$JD,MATCH(AE$4+$B$6,DSS_Calc!$A:$A,0))</f>
        <v>-395.5957529641355</v>
      </c>
      <c r="AF21" s="780">
        <f>INDEX(DSS_Calc!$JM:$JM,MATCH(AE$4+$B21,DSS_Calc!$A:$A,0))/INDEX(DSS_Calc!$JM:$JM,MATCH(AE$4+$B$6,DSS_Calc!$A:$A,0))-1</f>
        <v>-6.9401781202861335E-2</v>
      </c>
      <c r="AG21" s="788">
        <f>ABS(INDEX(DSS_Calc!$KU:$KU,MATCH(AE$4+$B21,DSS_Calc!$A:$A,0)))</f>
        <v>6.5139134170048107</v>
      </c>
      <c r="AH21" s="777">
        <f t="shared" si="67"/>
        <v>36</v>
      </c>
      <c r="AI21" s="808">
        <f t="shared" ref="AI21:AI69" si="75">IF(AE21&gt;QUARTILE(AE$20:AE$100,2),1+COUNTIFS(AE$20:AE$100,"&gt;"&amp;QUARTILE(AE$20:AE$100,2),AG$20:AG$100,"&gt;"&amp;AG21),100)</f>
        <v>100</v>
      </c>
      <c r="AJ21" s="808">
        <f t="shared" ref="AJ21:AJ69" si="76">IF(AE21&lt;QUARTILE(AE$20:AE$100,2),1+COUNTIFS(AE$20:AE$100,"&lt;"&amp;QUARTILE(AE$20:AE$100,2),AG$20:AG$100,"&gt;"&amp;AG21),100)</f>
        <v>15</v>
      </c>
      <c r="AK21" s="808">
        <f>INDEX(DSS_Calc!$JM:$JM,MATCH(AE$4+$B21,DSS_Calc!$A:$A,0))</f>
        <v>1859</v>
      </c>
      <c r="AL21" s="772"/>
      <c r="AM21" s="779">
        <f>INDEX(DSS_Calc!$JD:$JD,MATCH(AM$4+$B21,DSS_Calc!$A:$A,0))-INDEX(DSS_Calc!$JD:$JD,MATCH(AM$4+$B$6,DSS_Calc!$A:$A,0))</f>
        <v>-390.97607283387424</v>
      </c>
      <c r="AN21" s="780">
        <f>INDEX(DSS_Calc!$JM:$JM,MATCH(AM$4+$B21,DSS_Calc!$A:$A,0))/INDEX(DSS_Calc!$JM:$JM,MATCH(AM$4+$B$6,DSS_Calc!$A:$A,0))-1</f>
        <v>-7.0816294369904331E-2</v>
      </c>
      <c r="AO21" s="788">
        <f>ABS(INDEX(DSS_Calc!$KU:$KU,MATCH(AM$4+$B21,DSS_Calc!$A:$A,0)))</f>
        <v>7.227580426791457</v>
      </c>
      <c r="AP21" s="777">
        <f t="shared" si="68"/>
        <v>37</v>
      </c>
      <c r="AQ21" s="808">
        <f t="shared" ref="AQ21:AQ69" si="77">IF(AM21&gt;QUARTILE(AM$20:AM$100,2),1+COUNTIFS(AM$20:AM$100,"&gt;"&amp;QUARTILE(AM$20:AM$100,2),AO$20:AO$100,"&gt;"&amp;AO21),100)</f>
        <v>100</v>
      </c>
      <c r="AR21" s="808">
        <f t="shared" ref="AR21:AR69" si="78">IF(AM21&lt;QUARTILE(AM$20:AM$100,2),1+COUNTIFS(AM$20:AM$100,"&lt;"&amp;QUARTILE(AM$20:AM$100,2),AO$20:AO$100,"&gt;"&amp;AO21),100)</f>
        <v>15</v>
      </c>
      <c r="AS21" s="808">
        <f>INDEX(DSS_Calc!$JM:$JM,MATCH(AM$4+$B21,DSS_Calc!$A:$A,0))</f>
        <v>742</v>
      </c>
      <c r="AT21" s="772"/>
      <c r="AU21" s="779">
        <f>INDEX(DSS_Calc!$JD:$JD,MATCH(AU$4+$B21,DSS_Calc!$A:$A,0))-INDEX(DSS_Calc!$JD:$JD,MATCH(AU$4+$B$6,DSS_Calc!$A:$A,0))</f>
        <v>-349.61269592586996</v>
      </c>
      <c r="AV21" s="780">
        <f>INDEX(DSS_Calc!$JM:$JM,MATCH(AU$4+$B21,DSS_Calc!$A:$A,0))/INDEX(DSS_Calc!$JM:$JM,MATCH(AU$4+$B$6,DSS_Calc!$A:$A,0))-1</f>
        <v>-7.0154838471355285E-2</v>
      </c>
    </row>
    <row r="22" spans="2:70">
      <c r="B22" s="831">
        <f t="shared" ref="B22:B39" si="79">B21+1</f>
        <v>8</v>
      </c>
      <c r="C22" s="772"/>
      <c r="D22" s="774" t="str">
        <f>LEFT(INDEX(DSS_Calc!$D:$D,MATCH(G$4+$B22,DSS_Calc!$A:$A,0)),LEN(INDEX(DSS_Calc!$D:$D,MATCH(G$4+$B22,DSS_Calc!$A:$A,0)))-2)</f>
        <v>Baseline2 for Co</v>
      </c>
      <c r="E22" s="772" t="str">
        <f>"MY"&amp;RIGHT(Input!$H$9,2)&amp;" "&amp;Input!$H$3</f>
        <v>MY20 Forte</v>
      </c>
      <c r="F22" s="772"/>
      <c r="G22" s="776">
        <f>INDEX(DSS_Calc!$JD:$JD,MATCH(G$4+$B22,DSS_Calc!$A:$A,0))-INDEX(DSS_Calc!$JD:$JD,MATCH(G$4+$B$6,DSS_Calc!$A:$A,0))</f>
        <v>0</v>
      </c>
      <c r="H22" s="775">
        <f>INDEX(DSS_Calc!$JM:$JM,MATCH(G$4+$B22,DSS_Calc!$A:$A,0))/INDEX(DSS_Calc!$JM:$JM,MATCH(G$4+$B$6,DSS_Calc!$A:$A,0))-1</f>
        <v>0</v>
      </c>
      <c r="I22" s="787">
        <f>ABS(INDEX(DSS_Calc!$KU:$KU,MATCH(G$4+$B22,DSS_Calc!$A:$A,0)))</f>
        <v>50.962409081217736</v>
      </c>
      <c r="J22" s="772">
        <f t="shared" si="64"/>
        <v>35</v>
      </c>
      <c r="K22" s="807">
        <f t="shared" si="69"/>
        <v>100</v>
      </c>
      <c r="L22" s="807">
        <f t="shared" si="70"/>
        <v>19</v>
      </c>
      <c r="M22" s="807">
        <f>INDEX(DSS_Calc!$JM:$JM,MATCH(G$4+$B22,DSS_Calc!$A:$A,0))</f>
        <v>1058.1094751606734</v>
      </c>
      <c r="N22" s="772"/>
      <c r="O22" s="776">
        <f>INDEX(DSS_Calc!$JD:$JD,MATCH(O$4+$B22,DSS_Calc!$A:$A,0))-INDEX(DSS_Calc!$JD:$JD,MATCH(O$4+$B$6,DSS_Calc!$A:$A,0))</f>
        <v>0</v>
      </c>
      <c r="P22" s="775">
        <f>INDEX(DSS_Calc!$JM:$JM,MATCH(O$4+$B22,DSS_Calc!$A:$A,0))/INDEX(DSS_Calc!$JM:$JM,MATCH(O$4+$B$6,DSS_Calc!$A:$A,0))-1</f>
        <v>0</v>
      </c>
      <c r="Q22" s="787">
        <f>ABS(INDEX(DSS_Calc!$KU:$KU,MATCH(O$4+$B22,DSS_Calc!$A:$A,0)))</f>
        <v>11.992799490518733</v>
      </c>
      <c r="R22" s="772">
        <f t="shared" si="65"/>
        <v>38</v>
      </c>
      <c r="S22" s="807">
        <f t="shared" si="71"/>
        <v>100</v>
      </c>
      <c r="T22" s="807">
        <f t="shared" si="72"/>
        <v>19</v>
      </c>
      <c r="U22" s="807">
        <f>INDEX(DSS_Calc!$JM:$JM,MATCH(O$4+$B22,DSS_Calc!$A:$A,0))</f>
        <v>1727.7588729107133</v>
      </c>
      <c r="V22" s="772"/>
      <c r="W22" s="776">
        <f>INDEX(DSS_Calc!$JD:$JD,MATCH(W$4+$B22,DSS_Calc!$A:$A,0))-INDEX(DSS_Calc!$JD:$JD,MATCH(W$4+$B$6,DSS_Calc!$A:$A,0))</f>
        <v>29.412831102348719</v>
      </c>
      <c r="X22" s="775">
        <f>INDEX(DSS_Calc!$JM:$JM,MATCH(W$4+$B22,DSS_Calc!$A:$A,0))/INDEX(DSS_Calc!$JM:$JM,MATCH(W$4+$B$6,DSS_Calc!$A:$A,0))-1</f>
        <v>0</v>
      </c>
      <c r="Y22" s="787">
        <f>ABS(INDEX(DSS_Calc!$KU:$KU,MATCH(W$4+$B22,DSS_Calc!$A:$A,0)))</f>
        <v>15.275880610035951</v>
      </c>
      <c r="Z22" s="772">
        <f t="shared" si="66"/>
        <v>37</v>
      </c>
      <c r="AA22" s="807">
        <f t="shared" si="73"/>
        <v>100</v>
      </c>
      <c r="AB22" s="807">
        <f t="shared" si="74"/>
        <v>19</v>
      </c>
      <c r="AC22" s="807">
        <f>INDEX(DSS_Calc!$JM:$JM,MATCH(W$4+$B22,DSS_Calc!$A:$A,0))</f>
        <v>2060.0740923593612</v>
      </c>
      <c r="AD22" s="772"/>
      <c r="AE22" s="776">
        <f>INDEX(DSS_Calc!$JD:$JD,MATCH(AE$4+$B22,DSS_Calc!$A:$A,0))-INDEX(DSS_Calc!$JD:$JD,MATCH(AE$4+$B$6,DSS_Calc!$A:$A,0))</f>
        <v>0</v>
      </c>
      <c r="AF22" s="775">
        <f>INDEX(DSS_Calc!$JM:$JM,MATCH(AE$4+$B22,DSS_Calc!$A:$A,0))/INDEX(DSS_Calc!$JM:$JM,MATCH(AE$4+$B$6,DSS_Calc!$A:$A,0))-1</f>
        <v>0</v>
      </c>
      <c r="AG22" s="787">
        <f>ABS(INDEX(DSS_Calc!$KU:$KU,MATCH(AE$4+$B22,DSS_Calc!$A:$A,0)))</f>
        <v>6.5223317041712452</v>
      </c>
      <c r="AH22" s="772">
        <f t="shared" si="67"/>
        <v>32</v>
      </c>
      <c r="AI22" s="807">
        <f t="shared" si="75"/>
        <v>100</v>
      </c>
      <c r="AJ22" s="807">
        <f t="shared" si="76"/>
        <v>14</v>
      </c>
      <c r="AK22" s="807">
        <f>INDEX(DSS_Calc!$JM:$JM,MATCH(AE$4+$B22,DSS_Calc!$A:$A,0))</f>
        <v>1997.6397573626173</v>
      </c>
      <c r="AL22" s="772"/>
      <c r="AM22" s="776">
        <f>INDEX(DSS_Calc!$JD:$JD,MATCH(AM$4+$B22,DSS_Calc!$A:$A,0))-INDEX(DSS_Calc!$JD:$JD,MATCH(AM$4+$B$6,DSS_Calc!$A:$A,0))</f>
        <v>0</v>
      </c>
      <c r="AN22" s="775">
        <f>INDEX(DSS_Calc!$JM:$JM,MATCH(AM$4+$B22,DSS_Calc!$A:$A,0))/INDEX(DSS_Calc!$JM:$JM,MATCH(AM$4+$B$6,DSS_Calc!$A:$A,0))-1</f>
        <v>0</v>
      </c>
      <c r="AO22" s="787">
        <f>ABS(INDEX(DSS_Calc!$KU:$KU,MATCH(AM$4+$B22,DSS_Calc!$A:$A,0)))</f>
        <v>7.2396748467032479</v>
      </c>
      <c r="AP22" s="772">
        <f t="shared" si="68"/>
        <v>36</v>
      </c>
      <c r="AQ22" s="807">
        <f t="shared" si="77"/>
        <v>100</v>
      </c>
      <c r="AR22" s="807">
        <f t="shared" si="78"/>
        <v>14</v>
      </c>
      <c r="AS22" s="807">
        <f>INDEX(DSS_Calc!$JM:$JM,MATCH(AM$4+$B22,DSS_Calc!$A:$A,0))</f>
        <v>798.55037868624356</v>
      </c>
      <c r="AT22" s="772"/>
      <c r="AU22" s="776">
        <f>INDEX(DSS_Calc!$JD:$JD,MATCH(AU$4+$B22,DSS_Calc!$A:$A,0))-INDEX(DSS_Calc!$JD:$JD,MATCH(AU$4+$B$6,DSS_Calc!$A:$A,0))</f>
        <v>7.9287568922031824</v>
      </c>
      <c r="AV22" s="775">
        <f>INDEX(DSS_Calc!$JM:$JM,MATCH(AU$4+$B22,DSS_Calc!$A:$A,0))/INDEX(DSS_Calc!$JM:$JM,MATCH(AU$4+$B$6,DSS_Calc!$A:$A,0))-1</f>
        <v>0</v>
      </c>
    </row>
    <row r="23" spans="2:70">
      <c r="B23" s="831">
        <f t="shared" si="79"/>
        <v>9</v>
      </c>
      <c r="C23" s="777"/>
      <c r="D23" s="778" t="str">
        <f>LEFT(INDEX(DSS_Calc!$D:$D,MATCH(G$4+$B23,DSS_Calc!$A:$A,0)),LEN(INDEX(DSS_Calc!$D:$D,MATCH(G$4+$B23,DSS_Calc!$A:$A,0)))-2)</f>
        <v>250 CC</v>
      </c>
      <c r="E23" s="777" t="str">
        <f>"MY"&amp;RIGHT(Input!$H$9,2)&amp;" "&amp;Input!$H$3</f>
        <v>MY20 Forte</v>
      </c>
      <c r="F23" s="772"/>
      <c r="G23" s="779">
        <f>INDEX(DSS_Calc!$JD:$JD,MATCH(G$4+$B23,DSS_Calc!$A:$A,0))-INDEX(DSS_Calc!$JD:$JD,MATCH(G$4+$B$6,DSS_Calc!$A:$A,0))</f>
        <v>-12.744188018910791</v>
      </c>
      <c r="H23" s="780">
        <f>INDEX(DSS_Calc!$JM:$JM,MATCH(G$4+$B23,DSS_Calc!$A:$A,0))/INDEX(DSS_Calc!$JM:$JM,MATCH(G$4+$B$6,DSS_Calc!$A:$A,0))-1</f>
        <v>7.5979204301508396E-3</v>
      </c>
      <c r="I23" s="788">
        <f>ABS(INDEX(DSS_Calc!$KU:$KU,MATCH(G$4+$B23,DSS_Calc!$A:$A,0)))</f>
        <v>51.444112103810632</v>
      </c>
      <c r="J23" s="777">
        <f t="shared" si="64"/>
        <v>27</v>
      </c>
      <c r="K23" s="808">
        <f t="shared" si="69"/>
        <v>100</v>
      </c>
      <c r="L23" s="808">
        <f t="shared" si="70"/>
        <v>18</v>
      </c>
      <c r="M23" s="808">
        <f>INDEX(DSS_Calc!$JM:$JM,MATCH(G$4+$B23,DSS_Calc!$A:$A,0))</f>
        <v>1066.1489067593329</v>
      </c>
      <c r="N23" s="772"/>
      <c r="O23" s="779">
        <f>INDEX(DSS_Calc!$JD:$JD,MATCH(O$4+$B23,DSS_Calc!$A:$A,0))-INDEX(DSS_Calc!$JD:$JD,MATCH(O$4+$B$6,DSS_Calc!$A:$A,0))</f>
        <v>34.726608051515541</v>
      </c>
      <c r="P23" s="780">
        <f>INDEX(DSS_Calc!$JM:$JM,MATCH(O$4+$B23,DSS_Calc!$A:$A,0))/INDEX(DSS_Calc!$JM:$JM,MATCH(O$4+$B$6,DSS_Calc!$A:$A,0))-1</f>
        <v>1.5212596407188306E-2</v>
      </c>
      <c r="Q23" s="788">
        <f>ABS(INDEX(DSS_Calc!$KU:$KU,MATCH(O$4+$B23,DSS_Calc!$A:$A,0)))</f>
        <v>12.142480912659899</v>
      </c>
      <c r="R23" s="777">
        <f t="shared" si="65"/>
        <v>26</v>
      </c>
      <c r="S23" s="808">
        <f t="shared" si="71"/>
        <v>100</v>
      </c>
      <c r="T23" s="808">
        <f t="shared" si="72"/>
        <v>15</v>
      </c>
      <c r="U23" s="808">
        <f>INDEX(DSS_Calc!$JM:$JM,MATCH(O$4+$B23,DSS_Calc!$A:$A,0))</f>
        <v>1754.0425713332424</v>
      </c>
      <c r="V23" s="772"/>
      <c r="W23" s="779">
        <f>INDEX(DSS_Calc!$JD:$JD,MATCH(W$4+$B23,DSS_Calc!$A:$A,0))-INDEX(DSS_Calc!$JD:$JD,MATCH(W$4+$B$6,DSS_Calc!$A:$A,0))</f>
        <v>51.759500654389285</v>
      </c>
      <c r="X23" s="780">
        <f>INDEX(DSS_Calc!$JM:$JM,MATCH(W$4+$B23,DSS_Calc!$A:$A,0))/INDEX(DSS_Calc!$JM:$JM,MATCH(W$4+$B$6,DSS_Calc!$A:$A,0))-1</f>
        <v>1.2290310196265475E-2</v>
      </c>
      <c r="Y23" s="788">
        <f>ABS(INDEX(DSS_Calc!$KU:$KU,MATCH(W$4+$B23,DSS_Calc!$A:$A,0)))</f>
        <v>15.436193197724279</v>
      </c>
      <c r="Z23" s="777">
        <f t="shared" si="66"/>
        <v>28</v>
      </c>
      <c r="AA23" s="808">
        <f t="shared" si="73"/>
        <v>100</v>
      </c>
      <c r="AB23" s="808">
        <f t="shared" si="74"/>
        <v>18</v>
      </c>
      <c r="AC23" s="808">
        <f>INDEX(DSS_Calc!$JM:$JM,MATCH(W$4+$B23,DSS_Calc!$A:$A,0))</f>
        <v>2085.393041981748</v>
      </c>
      <c r="AD23" s="772"/>
      <c r="AE23" s="779">
        <f>INDEX(DSS_Calc!$JD:$JD,MATCH(AE$4+$B23,DSS_Calc!$A:$A,0))-INDEX(DSS_Calc!$JD:$JD,MATCH(AE$4+$B$6,DSS_Calc!$A:$A,0))</f>
        <v>92.261207072292564</v>
      </c>
      <c r="AF23" s="780">
        <f>INDEX(DSS_Calc!$JM:$JM,MATCH(AE$4+$B23,DSS_Calc!$A:$A,0))/INDEX(DSS_Calc!$JM:$JM,MATCH(AE$4+$B$6,DSS_Calc!$A:$A,0))-1</f>
        <v>1.8769448459088789E-2</v>
      </c>
      <c r="AG23" s="788">
        <f>ABS(INDEX(DSS_Calc!$KU:$KU,MATCH(AE$4+$B23,DSS_Calc!$A:$A,0)))</f>
        <v>6.5583229331769752</v>
      </c>
      <c r="AH23" s="777">
        <f t="shared" si="67"/>
        <v>25</v>
      </c>
      <c r="AI23" s="808">
        <f t="shared" si="75"/>
        <v>100</v>
      </c>
      <c r="AJ23" s="808">
        <f t="shared" si="76"/>
        <v>9</v>
      </c>
      <c r="AK23" s="808">
        <f>INDEX(DSS_Calc!$JM:$JM,MATCH(AE$4+$B23,DSS_Calc!$A:$A,0))</f>
        <v>2035.1343538282615</v>
      </c>
      <c r="AL23" s="772"/>
      <c r="AM23" s="779">
        <f>INDEX(DSS_Calc!$JD:$JD,MATCH(AM$4+$B23,DSS_Calc!$A:$A,0))-INDEX(DSS_Calc!$JD:$JD,MATCH(AM$4+$B$6,DSS_Calc!$A:$A,0))</f>
        <v>90.163392477378693</v>
      </c>
      <c r="AN23" s="780">
        <f>INDEX(DSS_Calc!$JM:$JM,MATCH(AM$4+$B23,DSS_Calc!$A:$A,0))/INDEX(DSS_Calc!$JM:$JM,MATCH(AM$4+$B$6,DSS_Calc!$A:$A,0))-1</f>
        <v>1.971028235695016E-2</v>
      </c>
      <c r="AO23" s="788">
        <f>ABS(INDEX(DSS_Calc!$KU:$KU,MATCH(AM$4+$B23,DSS_Calc!$A:$A,0)))</f>
        <v>7.2882954637322444</v>
      </c>
      <c r="AP23" s="777">
        <f t="shared" si="68"/>
        <v>33</v>
      </c>
      <c r="AQ23" s="808">
        <f t="shared" si="77"/>
        <v>100</v>
      </c>
      <c r="AR23" s="808">
        <f t="shared" si="78"/>
        <v>13</v>
      </c>
      <c r="AS23" s="808">
        <f>INDEX(DSS_Calc!$JM:$JM,MATCH(AM$4+$B23,DSS_Calc!$A:$A,0))</f>
        <v>814.29003212639896</v>
      </c>
      <c r="AT23" s="772"/>
      <c r="AU23" s="779">
        <f>INDEX(DSS_Calc!$JD:$JD,MATCH(AU$4+$B23,DSS_Calc!$A:$A,0))-INDEX(DSS_Calc!$JD:$JD,MATCH(AU$4+$B$6,DSS_Calc!$A:$A,0))</f>
        <v>50.636305435615213</v>
      </c>
      <c r="AV23" s="780">
        <f>INDEX(DSS_Calc!$JM:$JM,MATCH(AU$4+$B23,DSS_Calc!$A:$A,0))/INDEX(DSS_Calc!$JM:$JM,MATCH(AU$4+$B$6,DSS_Calc!$A:$A,0))-1</f>
        <v>1.4770265815170047E-2</v>
      </c>
    </row>
    <row r="24" spans="2:70">
      <c r="B24" s="831">
        <f t="shared" si="79"/>
        <v>10</v>
      </c>
      <c r="C24" s="772"/>
      <c r="D24" s="774" t="str">
        <f>LEFT(INDEX(DSS_Calc!$D:$D,MATCH(G$4+$B24,DSS_Calc!$A:$A,0)),LEN(INDEX(DSS_Calc!$D:$D,MATCH(G$4+$B24,DSS_Calc!$A:$A,0)))-2)</f>
        <v>500 CC</v>
      </c>
      <c r="E24" s="772" t="str">
        <f>"MY"&amp;RIGHT(Input!$H$9,2)&amp;" "&amp;Input!$H$3</f>
        <v>MY20 Forte</v>
      </c>
      <c r="F24" s="772"/>
      <c r="G24" s="776">
        <f>INDEX(DSS_Calc!$JD:$JD,MATCH(G$4+$B24,DSS_Calc!$A:$A,0))-INDEX(DSS_Calc!$JD:$JD,MATCH(G$4+$B$6,DSS_Calc!$A:$A,0))</f>
        <v>-20.5968785023706</v>
      </c>
      <c r="H24" s="775">
        <f>INDEX(DSS_Calc!$JM:$JM,MATCH(G$4+$B24,DSS_Calc!$A:$A,0))/INDEX(DSS_Calc!$JM:$JM,MATCH(G$4+$B$6,DSS_Calc!$A:$A,0))-1</f>
        <v>1.5706915590796067E-2</v>
      </c>
      <c r="I24" s="787">
        <f>ABS(INDEX(DSS_Calc!$KU:$KU,MATCH(G$4+$B24,DSS_Calc!$A:$A,0)))</f>
        <v>51.904756664376833</v>
      </c>
      <c r="J24" s="772">
        <f t="shared" si="64"/>
        <v>20</v>
      </c>
      <c r="K24" s="807">
        <f t="shared" si="69"/>
        <v>100</v>
      </c>
      <c r="L24" s="807">
        <f t="shared" si="70"/>
        <v>16</v>
      </c>
      <c r="M24" s="807">
        <f>INDEX(DSS_Calc!$JM:$JM,MATCH(G$4+$B24,DSS_Calc!$A:$A,0))</f>
        <v>1074.7291113728436</v>
      </c>
      <c r="N24" s="772"/>
      <c r="O24" s="776">
        <f>INDEX(DSS_Calc!$JD:$JD,MATCH(O$4+$B24,DSS_Calc!$A:$A,0))-INDEX(DSS_Calc!$JD:$JD,MATCH(O$4+$B$6,DSS_Calc!$A:$A,0))</f>
        <v>79.369809931579766</v>
      </c>
      <c r="P24" s="775">
        <f>INDEX(DSS_Calc!$JM:$JM,MATCH(O$4+$B24,DSS_Calc!$A:$A,0))/INDEX(DSS_Calc!$JM:$JM,MATCH(O$4+$B$6,DSS_Calc!$A:$A,0))-1</f>
        <v>3.1236519399443496E-2</v>
      </c>
      <c r="Q24" s="787">
        <f>ABS(INDEX(DSS_Calc!$KU:$KU,MATCH(O$4+$B24,DSS_Calc!$A:$A,0)))</f>
        <v>12.271120766880983</v>
      </c>
      <c r="R24" s="772">
        <f t="shared" si="65"/>
        <v>20</v>
      </c>
      <c r="S24" s="807">
        <f t="shared" si="71"/>
        <v>100</v>
      </c>
      <c r="T24" s="807">
        <f t="shared" si="72"/>
        <v>12</v>
      </c>
      <c r="U24" s="807">
        <f>INDEX(DSS_Calc!$JM:$JM,MATCH(O$4+$B24,DSS_Calc!$A:$A,0))</f>
        <v>1781.7280464619494</v>
      </c>
      <c r="V24" s="772"/>
      <c r="W24" s="776">
        <f>INDEX(DSS_Calc!$JD:$JD,MATCH(W$4+$B24,DSS_Calc!$A:$A,0))-INDEX(DSS_Calc!$JD:$JD,MATCH(W$4+$B$6,DSS_Calc!$A:$A,0))</f>
        <v>82.515643258189357</v>
      </c>
      <c r="X24" s="775">
        <f>INDEX(DSS_Calc!$JM:$JM,MATCH(W$4+$B24,DSS_Calc!$A:$A,0))/INDEX(DSS_Calc!$JM:$JM,MATCH(W$4+$B$6,DSS_Calc!$A:$A,0))-1</f>
        <v>2.5520546896286911E-2</v>
      </c>
      <c r="Y24" s="787">
        <f>ABS(INDEX(DSS_Calc!$KU:$KU,MATCH(W$4+$B24,DSS_Calc!$A:$A,0)))</f>
        <v>15.579164046354373</v>
      </c>
      <c r="Z24" s="772">
        <f t="shared" si="66"/>
        <v>22</v>
      </c>
      <c r="AA24" s="807">
        <f t="shared" si="73"/>
        <v>100</v>
      </c>
      <c r="AB24" s="807">
        <f t="shared" si="74"/>
        <v>13</v>
      </c>
      <c r="AC24" s="807">
        <f>INDEX(DSS_Calc!$JM:$JM,MATCH(W$4+$B24,DSS_Calc!$A:$A,0))</f>
        <v>2112.6483098432441</v>
      </c>
      <c r="AD24" s="772"/>
      <c r="AE24" s="776">
        <f>INDEX(DSS_Calc!$JD:$JD,MATCH(AE$4+$B24,DSS_Calc!$A:$A,0))-INDEX(DSS_Calc!$JD:$JD,MATCH(AE$4+$B$6,DSS_Calc!$A:$A,0))</f>
        <v>192.25037986371035</v>
      </c>
      <c r="AF24" s="775">
        <f>INDEX(DSS_Calc!$JM:$JM,MATCH(AE$4+$B24,DSS_Calc!$A:$A,0))/INDEX(DSS_Calc!$JM:$JM,MATCH(AE$4+$B$6,DSS_Calc!$A:$A,0))-1</f>
        <v>3.8351495505623667E-2</v>
      </c>
      <c r="AG24" s="787">
        <f>ABS(INDEX(DSS_Calc!$KU:$KU,MATCH(AE$4+$B24,DSS_Calc!$A:$A,0)))</f>
        <v>6.5849994974670256</v>
      </c>
      <c r="AH24" s="772">
        <f t="shared" si="67"/>
        <v>17</v>
      </c>
      <c r="AI24" s="807">
        <f t="shared" si="75"/>
        <v>100</v>
      </c>
      <c r="AJ24" s="807">
        <f t="shared" si="76"/>
        <v>6</v>
      </c>
      <c r="AK24" s="807">
        <f>INDEX(DSS_Calc!$JM:$JM,MATCH(AE$4+$B24,DSS_Calc!$A:$A,0))</f>
        <v>2074.2522295389649</v>
      </c>
      <c r="AL24" s="772"/>
      <c r="AM24" s="776">
        <f>INDEX(DSS_Calc!$JD:$JD,MATCH(AM$4+$B24,DSS_Calc!$A:$A,0))-INDEX(DSS_Calc!$JD:$JD,MATCH(AM$4+$B$6,DSS_Calc!$A:$A,0))</f>
        <v>188.91213298942148</v>
      </c>
      <c r="AN24" s="775">
        <f>INDEX(DSS_Calc!$JM:$JM,MATCH(AM$4+$B24,DSS_Calc!$A:$A,0))/INDEX(DSS_Calc!$JM:$JM,MATCH(AM$4+$B$6,DSS_Calc!$A:$A,0))-1</f>
        <v>4.0340170472378256E-2</v>
      </c>
      <c r="AO24" s="787">
        <f>ABS(INDEX(DSS_Calc!$KU:$KU,MATCH(AM$4+$B24,DSS_Calc!$A:$A,0)))</f>
        <v>7.3255589342901226</v>
      </c>
      <c r="AP24" s="772">
        <f t="shared" si="68"/>
        <v>28</v>
      </c>
      <c r="AQ24" s="807">
        <f t="shared" si="77"/>
        <v>100</v>
      </c>
      <c r="AR24" s="807">
        <f t="shared" si="78"/>
        <v>10</v>
      </c>
      <c r="AS24" s="807">
        <f>INDEX(DSS_Calc!$JM:$JM,MATCH(AM$4+$B24,DSS_Calc!$A:$A,0))</f>
        <v>830.76403709322892</v>
      </c>
      <c r="AT24" s="772"/>
      <c r="AU24" s="776">
        <f>INDEX(DSS_Calc!$JD:$JD,MATCH(AU$4+$B24,DSS_Calc!$A:$A,0))-INDEX(DSS_Calc!$JD:$JD,MATCH(AU$4+$B$6,DSS_Calc!$A:$A,0))</f>
        <v>101.75204987396864</v>
      </c>
      <c r="AV24" s="775">
        <f>INDEX(DSS_Calc!$JM:$JM,MATCH(AU$4+$B24,DSS_Calc!$A:$A,0))/INDEX(DSS_Calc!$JM:$JM,MATCH(AU$4+$B$6,DSS_Calc!$A:$A,0))-1</f>
        <v>3.035659948436642E-2</v>
      </c>
    </row>
    <row r="25" spans="2:70">
      <c r="B25" s="831">
        <f t="shared" si="79"/>
        <v>11</v>
      </c>
      <c r="C25" s="777"/>
      <c r="D25" s="778" t="str">
        <f>LEFT(INDEX(DSS_Calc!$D:$D,MATCH(G$4+$B25,DSS_Calc!$A:$A,0)),LEN(INDEX(DSS_Calc!$D:$D,MATCH(G$4+$B25,DSS_Calc!$A:$A,0)))-2)</f>
        <v>750 CC</v>
      </c>
      <c r="E25" s="777" t="str">
        <f>"MY"&amp;RIGHT(Input!$H$9,2)&amp;" "&amp;Input!$H$3</f>
        <v>MY20 Forte</v>
      </c>
      <c r="F25" s="772"/>
      <c r="G25" s="779">
        <f>INDEX(DSS_Calc!$JD:$JD,MATCH(G$4+$B25,DSS_Calc!$A:$A,0))-INDEX(DSS_Calc!$JD:$JD,MATCH(G$4+$B$6,DSS_Calc!$A:$A,0))</f>
        <v>-23.088097162765735</v>
      </c>
      <c r="H25" s="780">
        <f>INDEX(DSS_Calc!$JM:$JM,MATCH(G$4+$B25,DSS_Calc!$A:$A,0))/INDEX(DSS_Calc!$JM:$JM,MATCH(G$4+$B$6,DSS_Calc!$A:$A,0))-1</f>
        <v>2.4355162012575704E-2</v>
      </c>
      <c r="I25" s="788">
        <f>ABS(INDEX(DSS_Calc!$KU:$KU,MATCH(G$4+$B25,DSS_Calc!$A:$A,0)))</f>
        <v>52.339705568966302</v>
      </c>
      <c r="J25" s="777">
        <f t="shared" si="64"/>
        <v>14</v>
      </c>
      <c r="K25" s="808">
        <f t="shared" si="69"/>
        <v>100</v>
      </c>
      <c r="L25" s="808">
        <f t="shared" si="70"/>
        <v>12</v>
      </c>
      <c r="M25" s="808">
        <f>INDEX(DSS_Calc!$JM:$JM,MATCH(G$4+$B25,DSS_Calc!$A:$A,0))</f>
        <v>1083.879902855253</v>
      </c>
      <c r="N25" s="772"/>
      <c r="O25" s="779">
        <f>INDEX(DSS_Calc!$JD:$JD,MATCH(O$4+$B25,DSS_Calc!$A:$A,0))-INDEX(DSS_Calc!$JD:$JD,MATCH(O$4+$B$6,DSS_Calc!$A:$A,0))</f>
        <v>134.00760065644636</v>
      </c>
      <c r="P25" s="780">
        <f>INDEX(DSS_Calc!$JM:$JM,MATCH(O$4+$B25,DSS_Calc!$A:$A,0))/INDEX(DSS_Calc!$JM:$JM,MATCH(O$4+$B$6,DSS_Calc!$A:$A,0))-1</f>
        <v>4.8092149129586037E-2</v>
      </c>
      <c r="Q25" s="788">
        <f>ABS(INDEX(DSS_Calc!$KU:$KU,MATCH(O$4+$B25,DSS_Calc!$A:$A,0)))</f>
        <v>12.378547433245725</v>
      </c>
      <c r="R25" s="777">
        <f t="shared" si="65"/>
        <v>15</v>
      </c>
      <c r="S25" s="808">
        <f t="shared" si="71"/>
        <v>100</v>
      </c>
      <c r="T25" s="808">
        <f t="shared" si="72"/>
        <v>9</v>
      </c>
      <c r="U25" s="808">
        <f>INDEX(DSS_Calc!$JM:$JM,MATCH(O$4+$B25,DSS_Calc!$A:$A,0))</f>
        <v>1810.8505102867009</v>
      </c>
      <c r="V25" s="772"/>
      <c r="W25" s="779">
        <f>INDEX(DSS_Calc!$JD:$JD,MATCH(W$4+$B25,DSS_Calc!$A:$A,0))-INDEX(DSS_Calc!$JD:$JD,MATCH(W$4+$B$6,DSS_Calc!$A:$A,0))</f>
        <v>121.97954024336059</v>
      </c>
      <c r="X25" s="780">
        <f>INDEX(DSS_Calc!$JM:$JM,MATCH(W$4+$B25,DSS_Calc!$A:$A,0))/INDEX(DSS_Calc!$JM:$JM,MATCH(W$4+$B$6,DSS_Calc!$A:$A,0))-1</f>
        <v>3.9718689272630225E-2</v>
      </c>
      <c r="Y25" s="788">
        <f>ABS(INDEX(DSS_Calc!$KU:$KU,MATCH(W$4+$B25,DSS_Calc!$A:$A,0)))</f>
        <v>15.703612530024341</v>
      </c>
      <c r="Z25" s="777">
        <f t="shared" si="66"/>
        <v>16</v>
      </c>
      <c r="AA25" s="808">
        <f t="shared" si="73"/>
        <v>100</v>
      </c>
      <c r="AB25" s="808">
        <f t="shared" si="74"/>
        <v>10</v>
      </c>
      <c r="AC25" s="808">
        <f>INDEX(DSS_Calc!$JM:$JM,MATCH(W$4+$B25,DSS_Calc!$A:$A,0))</f>
        <v>2141.8975351123786</v>
      </c>
      <c r="AD25" s="772"/>
      <c r="AE25" s="779">
        <f>INDEX(DSS_Calc!$JD:$JD,MATCH(AE$4+$B25,DSS_Calc!$A:$A,0))-INDEX(DSS_Calc!$JD:$JD,MATCH(AE$4+$B$6,DSS_Calc!$A:$A,0))</f>
        <v>299.81191451295808</v>
      </c>
      <c r="AF25" s="780">
        <f>INDEX(DSS_Calc!$JM:$JM,MATCH(AE$4+$B25,DSS_Calc!$A:$A,0))/INDEX(DSS_Calc!$JM:$JM,MATCH(AE$4+$B$6,DSS_Calc!$A:$A,0))-1</f>
        <v>5.8761132272970196E-2</v>
      </c>
      <c r="AG25" s="788">
        <f>ABS(INDEX(DSS_Calc!$KU:$KU,MATCH(AE$4+$B25,DSS_Calc!$A:$A,0)))</f>
        <v>6.6036064790244744</v>
      </c>
      <c r="AH25" s="777">
        <f t="shared" si="67"/>
        <v>12</v>
      </c>
      <c r="AI25" s="808">
        <f t="shared" si="75"/>
        <v>9</v>
      </c>
      <c r="AJ25" s="808">
        <f t="shared" si="76"/>
        <v>100</v>
      </c>
      <c r="AK25" s="808">
        <f>INDEX(DSS_Calc!$JM:$JM,MATCH(AE$4+$B25,DSS_Calc!$A:$A,0))</f>
        <v>2115.0233313787462</v>
      </c>
      <c r="AL25" s="772"/>
      <c r="AM25" s="779">
        <f>INDEX(DSS_Calc!$JD:$JD,MATCH(AM$4+$B25,DSS_Calc!$A:$A,0))-INDEX(DSS_Calc!$JD:$JD,MATCH(AM$4+$B$6,DSS_Calc!$A:$A,0))</f>
        <v>296.06462996741448</v>
      </c>
      <c r="AN25" s="780">
        <f>INDEX(DSS_Calc!$JM:$JM,MATCH(AM$4+$B25,DSS_Calc!$A:$A,0))/INDEX(DSS_Calc!$JM:$JM,MATCH(AM$4+$B$6,DSS_Calc!$A:$A,0))-1</f>
        <v>6.1908614264103656E-2</v>
      </c>
      <c r="AO25" s="788">
        <f>ABS(INDEX(DSS_Calc!$KU:$KU,MATCH(AM$4+$B25,DSS_Calc!$A:$A,0)))</f>
        <v>7.3528932740370614</v>
      </c>
      <c r="AP25" s="777">
        <f t="shared" si="68"/>
        <v>18</v>
      </c>
      <c r="AQ25" s="808">
        <f t="shared" si="77"/>
        <v>13</v>
      </c>
      <c r="AR25" s="808">
        <f t="shared" si="78"/>
        <v>100</v>
      </c>
      <c r="AS25" s="808">
        <f>INDEX(DSS_Calc!$JM:$JM,MATCH(AM$4+$B25,DSS_Calc!$A:$A,0))</f>
        <v>847.98752605078414</v>
      </c>
      <c r="AT25" s="772"/>
      <c r="AU25" s="779">
        <f>INDEX(DSS_Calc!$JD:$JD,MATCH(AU$4+$B25,DSS_Calc!$A:$A,0))-INDEX(DSS_Calc!$JD:$JD,MATCH(AU$4+$B$6,DSS_Calc!$A:$A,0))</f>
        <v>161.38801154943212</v>
      </c>
      <c r="AV25" s="780">
        <f>INDEX(DSS_Calc!$JM:$JM,MATCH(AU$4+$B25,DSS_Calc!$A:$A,0))/INDEX(DSS_Calc!$JM:$JM,MATCH(AU$4+$B$6,DSS_Calc!$A:$A,0))-1</f>
        <v>4.6780950948765332E-2</v>
      </c>
    </row>
    <row r="26" spans="2:70">
      <c r="B26" s="831">
        <f t="shared" si="79"/>
        <v>12</v>
      </c>
      <c r="C26" s="772"/>
      <c r="D26" s="774" t="str">
        <f>LEFT(INDEX(DSS_Calc!$D:$D,MATCH(G$4+$B26,DSS_Calc!$A:$A,0)),LEN(INDEX(DSS_Calc!$D:$D,MATCH(G$4+$B26,DSS_Calc!$A:$A,0)))-2)</f>
        <v>1000 CC</v>
      </c>
      <c r="E26" s="772" t="str">
        <f>"MY"&amp;RIGHT(Input!$H$9,2)&amp;" "&amp;Input!$H$3</f>
        <v>MY20 Forte</v>
      </c>
      <c r="F26" s="772"/>
      <c r="G26" s="776">
        <f>INDEX(DSS_Calc!$JD:$JD,MATCH(G$4+$B26,DSS_Calc!$A:$A,0))-INDEX(DSS_Calc!$JD:$JD,MATCH(G$4+$B$6,DSS_Calc!$A:$A,0))</f>
        <v>-19.74410346656623</v>
      </c>
      <c r="H26" s="775">
        <f>INDEX(DSS_Calc!$JM:$JM,MATCH(G$4+$B26,DSS_Calc!$A:$A,0))/INDEX(DSS_Calc!$JM:$JM,MATCH(G$4+$B$6,DSS_Calc!$A:$A,0))-1</f>
        <v>3.3571645530584782E-2</v>
      </c>
      <c r="I26" s="787">
        <f>ABS(INDEX(DSS_Calc!$KU:$KU,MATCH(G$4+$B26,DSS_Calc!$A:$A,0)))</f>
        <v>52.744302777831408</v>
      </c>
      <c r="J26" s="772">
        <f t="shared" si="64"/>
        <v>7</v>
      </c>
      <c r="K26" s="807">
        <f t="shared" si="69"/>
        <v>100</v>
      </c>
      <c r="L26" s="807">
        <f t="shared" si="70"/>
        <v>6</v>
      </c>
      <c r="M26" s="807">
        <f>INDEX(DSS_Calc!$JM:$JM,MATCH(G$4+$B26,DSS_Calc!$A:$A,0))</f>
        <v>1093.6319513933206</v>
      </c>
      <c r="N26" s="772"/>
      <c r="O26" s="776">
        <f>INDEX(DSS_Calc!$JD:$JD,MATCH(O$4+$B26,DSS_Calc!$A:$A,0))-INDEX(DSS_Calc!$JD:$JD,MATCH(O$4+$B$6,DSS_Calc!$A:$A,0))</f>
        <v>198.66505262579221</v>
      </c>
      <c r="P26" s="775">
        <f>INDEX(DSS_Calc!$JM:$JM,MATCH(O$4+$B26,DSS_Calc!$A:$A,0))/INDEX(DSS_Calc!$JM:$JM,MATCH(O$4+$B$6,DSS_Calc!$A:$A,0))-1</f>
        <v>6.579950614696628E-2</v>
      </c>
      <c r="Q26" s="787">
        <f>ABS(INDEX(DSS_Calc!$KU:$KU,MATCH(O$4+$B26,DSS_Calc!$A:$A,0)))</f>
        <v>12.465074959699296</v>
      </c>
      <c r="R26" s="772">
        <f t="shared" si="65"/>
        <v>8</v>
      </c>
      <c r="S26" s="807">
        <f t="shared" si="71"/>
        <v>4</v>
      </c>
      <c r="T26" s="807">
        <f t="shared" si="72"/>
        <v>100</v>
      </c>
      <c r="U26" s="807">
        <f>INDEX(DSS_Calc!$JM:$JM,MATCH(O$4+$B26,DSS_Calc!$A:$A,0))</f>
        <v>1841.4445534892773</v>
      </c>
      <c r="V26" s="772"/>
      <c r="W26" s="776">
        <f>INDEX(DSS_Calc!$JD:$JD,MATCH(W$4+$B26,DSS_Calc!$A:$A,0))-INDEX(DSS_Calc!$JD:$JD,MATCH(W$4+$B$6,DSS_Calc!$A:$A,0))</f>
        <v>170.39530697660757</v>
      </c>
      <c r="X26" s="775">
        <f>INDEX(DSS_Calc!$JM:$JM,MATCH(W$4+$B26,DSS_Calc!$A:$A,0))/INDEX(DSS_Calc!$JM:$JM,MATCH(W$4+$B$6,DSS_Calc!$A:$A,0))-1</f>
        <v>5.4912853208212153E-2</v>
      </c>
      <c r="Y26" s="787">
        <f>ABS(INDEX(DSS_Calc!$KU:$KU,MATCH(W$4+$B26,DSS_Calc!$A:$A,0)))</f>
        <v>15.808831238781776</v>
      </c>
      <c r="Z26" s="772">
        <f t="shared" si="66"/>
        <v>12</v>
      </c>
      <c r="AA26" s="807">
        <f t="shared" si="73"/>
        <v>5</v>
      </c>
      <c r="AB26" s="807">
        <f t="shared" si="74"/>
        <v>100</v>
      </c>
      <c r="AC26" s="807">
        <f>INDEX(DSS_Calc!$JM:$JM,MATCH(W$4+$B26,DSS_Calc!$A:$A,0))</f>
        <v>2173.1986385911318</v>
      </c>
      <c r="AD26" s="772"/>
      <c r="AE26" s="776">
        <f>INDEX(DSS_Calc!$JD:$JD,MATCH(AE$4+$B26,DSS_Calc!$A:$A,0))-INDEX(DSS_Calc!$JD:$JD,MATCH(AE$4+$B$6,DSS_Calc!$A:$A,0))</f>
        <v>414.77359278323456</v>
      </c>
      <c r="AF26" s="775">
        <f>INDEX(DSS_Calc!$JM:$JM,MATCH(AE$4+$B26,DSS_Calc!$A:$A,0))/INDEX(DSS_Calc!$JM:$JM,MATCH(AE$4+$B$6,DSS_Calc!$A:$A,0))-1</f>
        <v>8.0013371036830039E-2</v>
      </c>
      <c r="AG26" s="787">
        <f>ABS(INDEX(DSS_Calc!$KU:$KU,MATCH(AE$4+$B26,DSS_Calc!$A:$A,0)))</f>
        <v>6.615380988331518</v>
      </c>
      <c r="AH26" s="772">
        <f t="shared" si="67"/>
        <v>9</v>
      </c>
      <c r="AI26" s="807">
        <f t="shared" si="75"/>
        <v>7</v>
      </c>
      <c r="AJ26" s="807">
        <f t="shared" si="76"/>
        <v>100</v>
      </c>
      <c r="AK26" s="807">
        <f>INDEX(DSS_Calc!$JM:$JM,MATCH(AE$4+$B26,DSS_Calc!$A:$A,0))</f>
        <v>2157.4776484663953</v>
      </c>
      <c r="AL26" s="772"/>
      <c r="AM26" s="776">
        <f>INDEX(DSS_Calc!$JD:$JD,MATCH(AM$4+$B26,DSS_Calc!$A:$A,0))-INDEX(DSS_Calc!$JD:$JD,MATCH(AM$4+$B$6,DSS_Calc!$A:$A,0))</f>
        <v>411.41490796111157</v>
      </c>
      <c r="AN26" s="775">
        <f>INDEX(DSS_Calc!$JM:$JM,MATCH(AM$4+$B26,DSS_Calc!$A:$A,0))/INDEX(DSS_Calc!$JM:$JM,MATCH(AM$4+$B$6,DSS_Calc!$A:$A,0))-1</f>
        <v>8.4434579062389714E-2</v>
      </c>
      <c r="AO26" s="787">
        <f>ABS(INDEX(DSS_Calc!$KU:$KU,MATCH(AM$4+$B26,DSS_Calc!$A:$A,0)))</f>
        <v>7.3717622592406986</v>
      </c>
      <c r="AP26" s="772">
        <f t="shared" si="68"/>
        <v>15</v>
      </c>
      <c r="AQ26" s="807">
        <f t="shared" si="77"/>
        <v>12</v>
      </c>
      <c r="AR26" s="807">
        <f t="shared" si="78"/>
        <v>100</v>
      </c>
      <c r="AS26" s="807">
        <f>INDEX(DSS_Calc!$JM:$JM,MATCH(AM$4+$B26,DSS_Calc!$A:$A,0))</f>
        <v>865.97564377072842</v>
      </c>
      <c r="AT26" s="772"/>
      <c r="AU26" s="776">
        <f>INDEX(DSS_Calc!$JD:$JD,MATCH(AU$4+$B26,DSS_Calc!$A:$A,0))-INDEX(DSS_Calc!$JD:$JD,MATCH(AU$4+$B$6,DSS_Calc!$A:$A,0))</f>
        <v>229.61818042251116</v>
      </c>
      <c r="AV26" s="775">
        <f>INDEX(DSS_Calc!$JM:$JM,MATCH(AU$4+$B26,DSS_Calc!$A:$A,0))/INDEX(DSS_Calc!$JM:$JM,MATCH(AU$4+$B$6,DSS_Calc!$A:$A,0))-1</f>
        <v>6.4065344893136977E-2</v>
      </c>
    </row>
    <row r="27" spans="2:70">
      <c r="B27" s="831">
        <f t="shared" si="79"/>
        <v>13</v>
      </c>
      <c r="C27" s="777"/>
      <c r="D27" s="778" t="str">
        <f>LEFT(INDEX(DSS_Calc!$D:$D,MATCH(G$4+$B27,DSS_Calc!$A:$A,0)),LEN(INDEX(DSS_Calc!$D:$D,MATCH(G$4+$B27,DSS_Calc!$A:$A,0)))-2)</f>
        <v>0/0/0.9/3.9</v>
      </c>
      <c r="E27" s="777" t="str">
        <f>"MY"&amp;RIGHT(Input!$H$9,2)&amp;" "&amp;Input!$H$3</f>
        <v>MY20 Forte</v>
      </c>
      <c r="F27" s="772"/>
      <c r="G27" s="779">
        <f>INDEX(DSS_Calc!$JD:$JD,MATCH(G$4+$B27,DSS_Calc!$A:$A,0))-INDEX(DSS_Calc!$JD:$JD,MATCH(G$4+$B$6,DSS_Calc!$A:$A,0))</f>
        <v>17.739891495085431</v>
      </c>
      <c r="H27" s="780">
        <f>INDEX(DSS_Calc!$JM:$JM,MATCH(G$4+$B27,DSS_Calc!$A:$A,0))/INDEX(DSS_Calc!$JM:$JM,MATCH(G$4+$B$6,DSS_Calc!$A:$A,0))-1</f>
        <v>1.0809592871655171E-2</v>
      </c>
      <c r="I27" s="788">
        <f>ABS(INDEX(DSS_Calc!$KU:$KU,MATCH(G$4+$B27,DSS_Calc!$A:$A,0)))</f>
        <v>51.303552392882487</v>
      </c>
      <c r="J27" s="777">
        <f t="shared" si="64"/>
        <v>30</v>
      </c>
      <c r="K27" s="808">
        <f t="shared" si="69"/>
        <v>12</v>
      </c>
      <c r="L27" s="808">
        <f t="shared" si="70"/>
        <v>100</v>
      </c>
      <c r="M27" s="808">
        <f>INDEX(DSS_Calc!$JM:$JM,MATCH(G$4+$B27,DSS_Calc!$A:$A,0))</f>
        <v>1069.5472078008011</v>
      </c>
      <c r="N27" s="772"/>
      <c r="O27" s="779">
        <f>INDEX(DSS_Calc!$JD:$JD,MATCH(O$4+$B27,DSS_Calc!$A:$A,0))-INDEX(DSS_Calc!$JD:$JD,MATCH(O$4+$B$6,DSS_Calc!$A:$A,0))</f>
        <v>87.583312851234041</v>
      </c>
      <c r="P27" s="780">
        <f>INDEX(DSS_Calc!$JM:$JM,MATCH(O$4+$B27,DSS_Calc!$A:$A,0))/INDEX(DSS_Calc!$JM:$JM,MATCH(O$4+$B$6,DSS_Calc!$A:$A,0))-1</f>
        <v>2.3836840613892463E-2</v>
      </c>
      <c r="Q27" s="788">
        <f>ABS(INDEX(DSS_Calc!$KU:$KU,MATCH(O$4+$B27,DSS_Calc!$A:$A,0)))</f>
        <v>12.119768481791775</v>
      </c>
      <c r="R27" s="777">
        <f t="shared" si="65"/>
        <v>30</v>
      </c>
      <c r="S27" s="808">
        <f t="shared" si="71"/>
        <v>100</v>
      </c>
      <c r="T27" s="808">
        <f t="shared" si="72"/>
        <v>18</v>
      </c>
      <c r="U27" s="808">
        <f>INDEX(DSS_Calc!$JM:$JM,MATCH(O$4+$B27,DSS_Calc!$A:$A,0))</f>
        <v>1768.9431857835243</v>
      </c>
      <c r="V27" s="772"/>
      <c r="W27" s="779">
        <f>INDEX(DSS_Calc!$JD:$JD,MATCH(W$4+$B27,DSS_Calc!$A:$A,0))-INDEX(DSS_Calc!$JD:$JD,MATCH(W$4+$B$6,DSS_Calc!$A:$A,0))</f>
        <v>142.36994134126417</v>
      </c>
      <c r="X27" s="780">
        <f>INDEX(DSS_Calc!$JM:$JM,MATCH(W$4+$B27,DSS_Calc!$A:$A,0))/INDEX(DSS_Calc!$JM:$JM,MATCH(W$4+$B$6,DSS_Calc!$A:$A,0))-1</f>
        <v>3.2666237579329183E-2</v>
      </c>
      <c r="Y27" s="788">
        <f>ABS(INDEX(DSS_Calc!$KU:$KU,MATCH(W$4+$B27,DSS_Calc!$A:$A,0)))</f>
        <v>15.480200208056322</v>
      </c>
      <c r="Z27" s="777">
        <f t="shared" si="66"/>
        <v>27</v>
      </c>
      <c r="AA27" s="808">
        <f t="shared" si="73"/>
        <v>100</v>
      </c>
      <c r="AB27" s="808">
        <f t="shared" si="74"/>
        <v>17</v>
      </c>
      <c r="AC27" s="808">
        <f>INDEX(DSS_Calc!$JM:$JM,MATCH(W$4+$B27,DSS_Calc!$A:$A,0))</f>
        <v>2127.3689620913929</v>
      </c>
      <c r="AD27" s="772"/>
      <c r="AE27" s="779">
        <f>INDEX(DSS_Calc!$JD:$JD,MATCH(AE$4+$B27,DSS_Calc!$A:$A,0))-INDEX(DSS_Calc!$JD:$JD,MATCH(AE$4+$B$6,DSS_Calc!$A:$A,0))</f>
        <v>199.49942587609667</v>
      </c>
      <c r="AF27" s="780">
        <f>INDEX(DSS_Calc!$JM:$JM,MATCH(AE$4+$B27,DSS_Calc!$A:$A,0))/INDEX(DSS_Calc!$JM:$JM,MATCH(AE$4+$B$6,DSS_Calc!$A:$A,0))-1</f>
        <v>3.7098553308665405E-2</v>
      </c>
      <c r="AG27" s="788">
        <f>ABS(INDEX(DSS_Calc!$KU:$KU,MATCH(AE$4+$B27,DSS_Calc!$A:$A,0)))</f>
        <v>6.5526171368040709</v>
      </c>
      <c r="AH27" s="777">
        <f t="shared" si="67"/>
        <v>30</v>
      </c>
      <c r="AI27" s="808">
        <f t="shared" si="75"/>
        <v>100</v>
      </c>
      <c r="AJ27" s="808">
        <f t="shared" si="76"/>
        <v>12</v>
      </c>
      <c r="AK27" s="808">
        <f>INDEX(DSS_Calc!$JM:$JM,MATCH(AE$4+$B27,DSS_Calc!$A:$A,0))</f>
        <v>2071.7493023926436</v>
      </c>
      <c r="AL27" s="772"/>
      <c r="AM27" s="779">
        <f>INDEX(DSS_Calc!$JD:$JD,MATCH(AM$4+$B27,DSS_Calc!$A:$A,0))-INDEX(DSS_Calc!$JD:$JD,MATCH(AM$4+$B$6,DSS_Calc!$A:$A,0))</f>
        <v>157.55183315151635</v>
      </c>
      <c r="AN27" s="780">
        <f>INDEX(DSS_Calc!$JM:$JM,MATCH(AM$4+$B27,DSS_Calc!$A:$A,0))/INDEX(DSS_Calc!$JM:$JM,MATCH(AM$4+$B$6,DSS_Calc!$A:$A,0))-1</f>
        <v>3.4779531988410994E-2</v>
      </c>
      <c r="AO27" s="788">
        <f>ABS(INDEX(DSS_Calc!$KU:$KU,MATCH(AM$4+$B27,DSS_Calc!$A:$A,0)))</f>
        <v>7.3272621982731732</v>
      </c>
      <c r="AP27" s="777">
        <f t="shared" si="68"/>
        <v>27</v>
      </c>
      <c r="AQ27" s="808">
        <f t="shared" si="77"/>
        <v>100</v>
      </c>
      <c r="AR27" s="808">
        <f t="shared" si="78"/>
        <v>9</v>
      </c>
      <c r="AS27" s="808">
        <f>INDEX(DSS_Calc!$JM:$JM,MATCH(AM$4+$B27,DSS_Calc!$A:$A,0))</f>
        <v>826.32358712611949</v>
      </c>
      <c r="AT27" s="772"/>
      <c r="AU27" s="779">
        <f>INDEX(DSS_Calc!$JD:$JD,MATCH(AU$4+$B27,DSS_Calc!$A:$A,0))-INDEX(DSS_Calc!$JD:$JD,MATCH(AU$4+$B$6,DSS_Calc!$A:$A,0))</f>
        <v>123.18357017603194</v>
      </c>
      <c r="AV27" s="780">
        <f>INDEX(DSS_Calc!$JM:$JM,MATCH(AU$4+$B27,DSS_Calc!$A:$A,0))/INDEX(DSS_Calc!$JM:$JM,MATCH(AU$4+$B$6,DSS_Calc!$A:$A,0))-1</f>
        <v>2.9023268897154564E-2</v>
      </c>
    </row>
    <row r="28" spans="2:70">
      <c r="B28" s="831">
        <f t="shared" si="79"/>
        <v>14</v>
      </c>
      <c r="C28" s="772"/>
      <c r="D28" s="774" t="str">
        <f>LEFT(INDEX(DSS_Calc!$D:$D,MATCH(G$4+$B28,DSS_Calc!$A:$A,0)),LEN(INDEX(DSS_Calc!$D:$D,MATCH(G$4+$B28,DSS_Calc!$A:$A,0)))-2)</f>
        <v>0/0/0/3.9</v>
      </c>
      <c r="E28" s="772" t="str">
        <f>"MY"&amp;RIGHT(Input!$H$9,2)&amp;" "&amp;Input!$H$3</f>
        <v>MY20 Forte</v>
      </c>
      <c r="F28" s="772"/>
      <c r="G28" s="776">
        <f>INDEX(DSS_Calc!$JD:$JD,MATCH(G$4+$B28,DSS_Calc!$A:$A,0))-INDEX(DSS_Calc!$JD:$JD,MATCH(G$4+$B$6,DSS_Calc!$A:$A,0))</f>
        <v>44.324731344535394</v>
      </c>
      <c r="H28" s="775">
        <f>INDEX(DSS_Calc!$JM:$JM,MATCH(G$4+$B28,DSS_Calc!$A:$A,0))/INDEX(DSS_Calc!$JM:$JM,MATCH(G$4+$B$6,DSS_Calc!$A:$A,0))-1</f>
        <v>2.3209882469307441E-2</v>
      </c>
      <c r="I28" s="787">
        <f>ABS(INDEX(DSS_Calc!$KU:$KU,MATCH(G$4+$B28,DSS_Calc!$A:$A,0)))</f>
        <v>51.632444220695618</v>
      </c>
      <c r="J28" s="772">
        <f t="shared" si="64"/>
        <v>22</v>
      </c>
      <c r="K28" s="807">
        <f t="shared" si="69"/>
        <v>5</v>
      </c>
      <c r="L28" s="807">
        <f t="shared" si="70"/>
        <v>100</v>
      </c>
      <c r="M28" s="807">
        <f>INDEX(DSS_Calc!$JM:$JM,MATCH(G$4+$B28,DSS_Calc!$A:$A,0))</f>
        <v>1082.6680717188133</v>
      </c>
      <c r="N28" s="772"/>
      <c r="O28" s="776">
        <f>INDEX(DSS_Calc!$JD:$JD,MATCH(O$4+$B28,DSS_Calc!$A:$A,0))-INDEX(DSS_Calc!$JD:$JD,MATCH(O$4+$B$6,DSS_Calc!$A:$A,0))</f>
        <v>200.8270308068868</v>
      </c>
      <c r="P28" s="775">
        <f>INDEX(DSS_Calc!$JM:$JM,MATCH(O$4+$B28,DSS_Calc!$A:$A,0))/INDEX(DSS_Calc!$JM:$JM,MATCH(O$4+$B$6,DSS_Calc!$A:$A,0))-1</f>
        <v>5.1342667103106088E-2</v>
      </c>
      <c r="Q28" s="787">
        <f>ABS(INDEX(DSS_Calc!$KU:$KU,MATCH(O$4+$B28,DSS_Calc!$A:$A,0)))</f>
        <v>12.221187815491009</v>
      </c>
      <c r="R28" s="772">
        <f t="shared" si="65"/>
        <v>23</v>
      </c>
      <c r="S28" s="807">
        <f t="shared" si="71"/>
        <v>10</v>
      </c>
      <c r="T28" s="807">
        <f t="shared" si="72"/>
        <v>100</v>
      </c>
      <c r="U28" s="807">
        <f>INDEX(DSS_Calc!$JM:$JM,MATCH(O$4+$B28,DSS_Calc!$A:$A,0))</f>
        <v>1816.466621557006</v>
      </c>
      <c r="V28" s="772"/>
      <c r="W28" s="776">
        <f>INDEX(DSS_Calc!$JD:$JD,MATCH(W$4+$B28,DSS_Calc!$A:$A,0))-INDEX(DSS_Calc!$JD:$JD,MATCH(W$4+$B$6,DSS_Calc!$A:$A,0))</f>
        <v>284.9212927682911</v>
      </c>
      <c r="X28" s="775">
        <f>INDEX(DSS_Calc!$JM:$JM,MATCH(W$4+$B28,DSS_Calc!$A:$A,0))/INDEX(DSS_Calc!$JM:$JM,MATCH(W$4+$B$6,DSS_Calc!$A:$A,0))-1</f>
        <v>6.9814524107611575E-2</v>
      </c>
      <c r="Y28" s="787">
        <f>ABS(INDEX(DSS_Calc!$KU:$KU,MATCH(W$4+$B28,DSS_Calc!$A:$A,0)))</f>
        <v>15.643260542530248</v>
      </c>
      <c r="Z28" s="772">
        <f t="shared" si="66"/>
        <v>20</v>
      </c>
      <c r="AA28" s="807">
        <f t="shared" si="73"/>
        <v>9</v>
      </c>
      <c r="AB28" s="807">
        <f t="shared" si="74"/>
        <v>100</v>
      </c>
      <c r="AC28" s="807">
        <f>INDEX(DSS_Calc!$JM:$JM,MATCH(W$4+$B28,DSS_Calc!$A:$A,0))</f>
        <v>2203.8971847438497</v>
      </c>
      <c r="AD28" s="772"/>
      <c r="AE28" s="776">
        <f>INDEX(DSS_Calc!$JD:$JD,MATCH(AE$4+$B28,DSS_Calc!$A:$A,0))-INDEX(DSS_Calc!$JD:$JD,MATCH(AE$4+$B$6,DSS_Calc!$A:$A,0))</f>
        <v>425.86268848798409</v>
      </c>
      <c r="AF28" s="775">
        <f>INDEX(DSS_Calc!$JM:$JM,MATCH(AE$4+$B28,DSS_Calc!$A:$A,0))/INDEX(DSS_Calc!$JM:$JM,MATCH(AE$4+$B$6,DSS_Calc!$A:$A,0))-1</f>
        <v>7.6856278485451179E-2</v>
      </c>
      <c r="AG28" s="787">
        <f>ABS(INDEX(DSS_Calc!$KU:$KU,MATCH(AE$4+$B28,DSS_Calc!$A:$A,0)))</f>
        <v>6.5545425007488562</v>
      </c>
      <c r="AH28" s="772">
        <f t="shared" si="67"/>
        <v>27</v>
      </c>
      <c r="AI28" s="807">
        <f t="shared" si="75"/>
        <v>18</v>
      </c>
      <c r="AJ28" s="807">
        <f t="shared" si="76"/>
        <v>100</v>
      </c>
      <c r="AK28" s="807">
        <f>INDEX(DSS_Calc!$JM:$JM,MATCH(AE$4+$B28,DSS_Calc!$A:$A,0))</f>
        <v>2151.1709148680875</v>
      </c>
      <c r="AL28" s="772"/>
      <c r="AM28" s="776">
        <f>INDEX(DSS_Calc!$JD:$JD,MATCH(AM$4+$B28,DSS_Calc!$A:$A,0))-INDEX(DSS_Calc!$JD:$JD,MATCH(AM$4+$B$6,DSS_Calc!$A:$A,0))</f>
        <v>354.01095501367399</v>
      </c>
      <c r="AN28" s="775">
        <f>INDEX(DSS_Calc!$JM:$JM,MATCH(AM$4+$B28,DSS_Calc!$A:$A,0))/INDEX(DSS_Calc!$JM:$JM,MATCH(AM$4+$B$6,DSS_Calc!$A:$A,0))-1</f>
        <v>7.5157284821611769E-2</v>
      </c>
      <c r="AO28" s="787">
        <f>ABS(INDEX(DSS_Calc!$KU:$KU,MATCH(AM$4+$B28,DSS_Calc!$A:$A,0)))</f>
        <v>7.386842529722963</v>
      </c>
      <c r="AP28" s="772">
        <f t="shared" si="68"/>
        <v>12</v>
      </c>
      <c r="AQ28" s="807">
        <f t="shared" si="77"/>
        <v>11</v>
      </c>
      <c r="AR28" s="807">
        <f t="shared" si="78"/>
        <v>100</v>
      </c>
      <c r="AS28" s="807">
        <f>INDEX(DSS_Calc!$JM:$JM,MATCH(AM$4+$B28,DSS_Calc!$A:$A,0))</f>
        <v>858.56725694157149</v>
      </c>
      <c r="AT28" s="772"/>
      <c r="AU28" s="776">
        <f>INDEX(DSS_Calc!$JD:$JD,MATCH(AU$4+$B28,DSS_Calc!$A:$A,0))-INDEX(DSS_Calc!$JD:$JD,MATCH(AU$4+$B$6,DSS_Calc!$A:$A,0))</f>
        <v>265.58039402193117</v>
      </c>
      <c r="AV28" s="775">
        <f>INDEX(DSS_Calc!$JM:$JM,MATCH(AU$4+$B28,DSS_Calc!$A:$A,0))/INDEX(DSS_Calc!$JM:$JM,MATCH(AU$4+$B$6,DSS_Calc!$A:$A,0))-1</f>
        <v>6.15845732378697E-2</v>
      </c>
    </row>
    <row r="29" spans="2:70">
      <c r="B29" s="831">
        <f t="shared" si="79"/>
        <v>15</v>
      </c>
      <c r="C29" s="777"/>
      <c r="D29" s="778" t="str">
        <f>LEFT(INDEX(DSS_Calc!$D:$D,MATCH(G$4+$B29,DSS_Calc!$A:$A,0)),LEN(INDEX(DSS_Calc!$D:$D,MATCH(G$4+$B29,DSS_Calc!$A:$A,0)))-2)</f>
        <v>500 Combo</v>
      </c>
      <c r="E29" s="777" t="str">
        <f>"MY"&amp;RIGHT(Input!$H$9,2)&amp;" "&amp;Input!$H$3</f>
        <v>MY20 Forte</v>
      </c>
      <c r="F29" s="772"/>
      <c r="G29" s="779">
        <f>INDEX(DSS_Calc!$JD:$JD,MATCH(G$4+$B29,DSS_Calc!$A:$A,0))-INDEX(DSS_Calc!$JD:$JD,MATCH(G$4+$B$6,DSS_Calc!$A:$A,0))</f>
        <v>41.344352332939707</v>
      </c>
      <c r="H29" s="780">
        <f>INDEX(DSS_Calc!$JM:$JM,MATCH(G$4+$B29,DSS_Calc!$A:$A,0))/INDEX(DSS_Calc!$JM:$JM,MATCH(G$4+$B$6,DSS_Calc!$A:$A,0))-1</f>
        <v>1.3983090219887639E-2</v>
      </c>
      <c r="I29" s="788">
        <f>ABS(INDEX(DSS_Calc!$KU:$KU,MATCH(G$4+$B29,DSS_Calc!$A:$A,0)))</f>
        <v>51.228024210209483</v>
      </c>
      <c r="J29" s="777">
        <f t="shared" si="64"/>
        <v>33</v>
      </c>
      <c r="K29" s="808">
        <f t="shared" si="69"/>
        <v>15</v>
      </c>
      <c r="L29" s="808">
        <f t="shared" si="70"/>
        <v>100</v>
      </c>
      <c r="M29" s="808">
        <f>INDEX(DSS_Calc!$JM:$JM,MATCH(G$4+$B29,DSS_Calc!$A:$A,0))</f>
        <v>1072.9051154143631</v>
      </c>
      <c r="N29" s="772"/>
      <c r="O29" s="779">
        <f>INDEX(DSS_Calc!$JD:$JD,MATCH(O$4+$B29,DSS_Calc!$A:$A,0))-INDEX(DSS_Calc!$JD:$JD,MATCH(O$4+$B$6,DSS_Calc!$A:$A,0))</f>
        <v>137.3747848347507</v>
      </c>
      <c r="P29" s="780">
        <f>INDEX(DSS_Calc!$JM:$JM,MATCH(O$4+$B29,DSS_Calc!$A:$A,0))/INDEX(DSS_Calc!$JM:$JM,MATCH(O$4+$B$6,DSS_Calc!$A:$A,0))-1</f>
        <v>2.828524861179571E-2</v>
      </c>
      <c r="Q29" s="788">
        <f>ABS(INDEX(DSS_Calc!$KU:$KU,MATCH(O$4+$B29,DSS_Calc!$A:$A,0)))</f>
        <v>12.037685507388581</v>
      </c>
      <c r="R29" s="777">
        <f t="shared" si="65"/>
        <v>32</v>
      </c>
      <c r="S29" s="808">
        <f t="shared" si="71"/>
        <v>14</v>
      </c>
      <c r="T29" s="808">
        <f t="shared" si="72"/>
        <v>100</v>
      </c>
      <c r="U29" s="808">
        <f>INDEX(DSS_Calc!$JM:$JM,MATCH(O$4+$B29,DSS_Calc!$A:$A,0))</f>
        <v>1776.6289621722287</v>
      </c>
      <c r="V29" s="772"/>
      <c r="W29" s="779">
        <f>INDEX(DSS_Calc!$JD:$JD,MATCH(W$4+$B29,DSS_Calc!$A:$A,0))-INDEX(DSS_Calc!$JD:$JD,MATCH(W$4+$B$6,DSS_Calc!$A:$A,0))</f>
        <v>203.77487269235507</v>
      </c>
      <c r="X29" s="780">
        <f>INDEX(DSS_Calc!$JM:$JM,MATCH(W$4+$B29,DSS_Calc!$A:$A,0))/INDEX(DSS_Calc!$JM:$JM,MATCH(W$4+$B$6,DSS_Calc!$A:$A,0))-1</f>
        <v>3.812366274418566E-2</v>
      </c>
      <c r="Y29" s="788">
        <f>ABS(INDEX(DSS_Calc!$KU:$KU,MATCH(W$4+$B29,DSS_Calc!$A:$A,0)))</f>
        <v>15.345061287977598</v>
      </c>
      <c r="Z29" s="777">
        <f t="shared" si="66"/>
        <v>35</v>
      </c>
      <c r="AA29" s="808">
        <f t="shared" si="73"/>
        <v>17</v>
      </c>
      <c r="AB29" s="808">
        <f t="shared" si="74"/>
        <v>100</v>
      </c>
      <c r="AC29" s="808">
        <f>INDEX(DSS_Calc!$JM:$JM,MATCH(W$4+$B29,DSS_Calc!$A:$A,0))</f>
        <v>2138.6116622845038</v>
      </c>
      <c r="AD29" s="772"/>
      <c r="AE29" s="779">
        <f>INDEX(DSS_Calc!$JD:$JD,MATCH(AE$4+$B29,DSS_Calc!$A:$A,0))-INDEX(DSS_Calc!$JD:$JD,MATCH(AE$4+$B$6,DSS_Calc!$A:$A,0))</f>
        <v>255.0855026954664</v>
      </c>
      <c r="AF29" s="780">
        <f>INDEX(DSS_Calc!$JM:$JM,MATCH(AE$4+$B29,DSS_Calc!$A:$A,0))/INDEX(DSS_Calc!$JM:$JM,MATCH(AE$4+$B$6,DSS_Calc!$A:$A,0))-1</f>
        <v>4.3115212606379849E-2</v>
      </c>
      <c r="AG29" s="788">
        <f>ABS(INDEX(DSS_Calc!$KU:$KU,MATCH(AE$4+$B29,DSS_Calc!$A:$A,0)))</f>
        <v>6.5060073067308668</v>
      </c>
      <c r="AH29" s="777">
        <f t="shared" si="67"/>
        <v>38</v>
      </c>
      <c r="AI29" s="808">
        <f t="shared" si="75"/>
        <v>22</v>
      </c>
      <c r="AJ29" s="808">
        <f t="shared" si="76"/>
        <v>100</v>
      </c>
      <c r="AK29" s="808">
        <f>INDEX(DSS_Calc!$JM:$JM,MATCH(AE$4+$B29,DSS_Calc!$A:$A,0))</f>
        <v>2083.7684202122637</v>
      </c>
      <c r="AL29" s="772"/>
      <c r="AM29" s="779">
        <f>INDEX(DSS_Calc!$JD:$JD,MATCH(AM$4+$B29,DSS_Calc!$A:$A,0))-INDEX(DSS_Calc!$JD:$JD,MATCH(AM$4+$B$6,DSS_Calc!$A:$A,0))</f>
        <v>220.85843668383677</v>
      </c>
      <c r="AN29" s="780">
        <f>INDEX(DSS_Calc!$JM:$JM,MATCH(AM$4+$B29,DSS_Calc!$A:$A,0))/INDEX(DSS_Calc!$JM:$JM,MATCH(AM$4+$B$6,DSS_Calc!$A:$A,0))-1</f>
        <v>3.8318433998391965E-2</v>
      </c>
      <c r="AO29" s="788">
        <f>ABS(INDEX(DSS_Calc!$KU:$KU,MATCH(AM$4+$B29,DSS_Calc!$A:$A,0)))</f>
        <v>7.2230564217699191</v>
      </c>
      <c r="AP29" s="777">
        <f t="shared" si="68"/>
        <v>39</v>
      </c>
      <c r="AQ29" s="808">
        <f t="shared" si="77"/>
        <v>100</v>
      </c>
      <c r="AR29" s="808">
        <f t="shared" si="78"/>
        <v>17</v>
      </c>
      <c r="AS29" s="808">
        <f>INDEX(DSS_Calc!$JM:$JM,MATCH(AM$4+$B29,DSS_Calc!$A:$A,0))</f>
        <v>829.14957866632335</v>
      </c>
      <c r="AT29" s="772"/>
      <c r="AU29" s="779">
        <f>INDEX(DSS_Calc!$JD:$JD,MATCH(AU$4+$B29,DSS_Calc!$A:$A,0))-INDEX(DSS_Calc!$JD:$JD,MATCH(AU$4+$B$6,DSS_Calc!$A:$A,0))</f>
        <v>175.03928576578983</v>
      </c>
      <c r="AV29" s="780">
        <f>INDEX(DSS_Calc!$JM:$JM,MATCH(AU$4+$B29,DSS_Calc!$A:$A,0))/INDEX(DSS_Calc!$JM:$JM,MATCH(AU$4+$B$6,DSS_Calc!$A:$A,0))-1</f>
        <v>3.3882055784663079E-2</v>
      </c>
    </row>
    <row r="30" spans="2:70">
      <c r="B30" s="831">
        <f t="shared" si="79"/>
        <v>16</v>
      </c>
      <c r="C30" s="772"/>
      <c r="D30" s="774" t="str">
        <f>LEFT(INDEX(DSS_Calc!$D:$D,MATCH(G$4+$B30,DSS_Calc!$A:$A,0)),LEN(INDEX(DSS_Calc!$D:$D,MATCH(G$4+$B30,DSS_Calc!$A:$A,0)))-2)</f>
        <v>-360 Lease</v>
      </c>
      <c r="E30" s="772" t="str">
        <f>"MY"&amp;RIGHT(Input!$H$9,2)&amp;" "&amp;Input!$H$3</f>
        <v>MY20 Forte</v>
      </c>
      <c r="F30" s="772"/>
      <c r="G30" s="776">
        <f>INDEX(DSS_Calc!$JD:$JD,MATCH(G$4+$B30,DSS_Calc!$A:$A,0))-INDEX(DSS_Calc!$JD:$JD,MATCH(G$4+$B$6,DSS_Calc!$A:$A,0))</f>
        <v>-389.84630029258915</v>
      </c>
      <c r="H30" s="775">
        <f>INDEX(DSS_Calc!$JM:$JM,MATCH(G$4+$B30,DSS_Calc!$A:$A,0))/INDEX(DSS_Calc!$JM:$JM,MATCH(G$4+$B$6,DSS_Calc!$A:$A,0))-1</f>
        <v>-5.8142746448686999E-2</v>
      </c>
      <c r="I30" s="787">
        <f>ABS(INDEX(DSS_Calc!$KU:$KU,MATCH(G$4+$B30,DSS_Calc!$A:$A,0)))</f>
        <v>51.999114663463786</v>
      </c>
      <c r="J30" s="809">
        <f t="shared" si="64"/>
        <v>18</v>
      </c>
      <c r="K30" s="807">
        <f t="shared" si="69"/>
        <v>100</v>
      </c>
      <c r="L30" s="807">
        <f t="shared" si="70"/>
        <v>15</v>
      </c>
      <c r="M30" s="807">
        <f>INDEX(DSS_Calc!$JM:$JM,MATCH(G$4+$B30,DSS_Calc!$A:$A,0))</f>
        <v>996.58808423145308</v>
      </c>
      <c r="N30" s="772"/>
      <c r="O30" s="776">
        <f>INDEX(DSS_Calc!$JD:$JD,MATCH(O$4+$B30,DSS_Calc!$A:$A,0))-INDEX(DSS_Calc!$JD:$JD,MATCH(O$4+$B$6,DSS_Calc!$A:$A,0))</f>
        <v>-243.37683050857731</v>
      </c>
      <c r="P30" s="775">
        <f>INDEX(DSS_Calc!$JM:$JM,MATCH(O$4+$B30,DSS_Calc!$A:$A,0))/INDEX(DSS_Calc!$JM:$JM,MATCH(O$4+$B$6,DSS_Calc!$A:$A,0))-1</f>
        <v>-3.0463122407685339E-2</v>
      </c>
      <c r="Q30" s="787">
        <f>ABS(INDEX(DSS_Calc!$KU:$KU,MATCH(O$4+$B30,DSS_Calc!$A:$A,0)))</f>
        <v>12.267830446379396</v>
      </c>
      <c r="R30" s="809">
        <f t="shared" si="65"/>
        <v>21</v>
      </c>
      <c r="S30" s="807">
        <f t="shared" si="71"/>
        <v>100</v>
      </c>
      <c r="T30" s="807">
        <f t="shared" si="72"/>
        <v>13</v>
      </c>
      <c r="U30" s="807">
        <f>INDEX(DSS_Calc!$JM:$JM,MATCH(O$4+$B30,DSS_Calc!$A:$A,0))</f>
        <v>1675.1259428742699</v>
      </c>
      <c r="V30" s="772"/>
      <c r="W30" s="776">
        <f>INDEX(DSS_Calc!$JD:$JD,MATCH(W$4+$B30,DSS_Calc!$A:$A,0))-INDEX(DSS_Calc!$JD:$JD,MATCH(W$4+$B$6,DSS_Calc!$A:$A,0))</f>
        <v>-208.99539376825032</v>
      </c>
      <c r="X30" s="775">
        <f>INDEX(DSS_Calc!$JM:$JM,MATCH(W$4+$B30,DSS_Calc!$A:$A,0))/INDEX(DSS_Calc!$JM:$JM,MATCH(W$4+$B$6,DSS_Calc!$A:$A,0))-1</f>
        <v>-3.2031235227351851E-2</v>
      </c>
      <c r="Y30" s="787">
        <f>ABS(INDEX(DSS_Calc!$KU:$KU,MATCH(W$4+$B30,DSS_Calc!$A:$A,0)))</f>
        <v>15.610704672078711</v>
      </c>
      <c r="Z30" s="809">
        <f t="shared" si="66"/>
        <v>21</v>
      </c>
      <c r="AA30" s="807">
        <f t="shared" si="73"/>
        <v>100</v>
      </c>
      <c r="AB30" s="807">
        <f t="shared" si="74"/>
        <v>12</v>
      </c>
      <c r="AC30" s="807">
        <f>INDEX(DSS_Calc!$JM:$JM,MATCH(W$4+$B30,DSS_Calc!$A:$A,0))</f>
        <v>1994.0873745212252</v>
      </c>
      <c r="AD30" s="772"/>
      <c r="AE30" s="776">
        <f>INDEX(DSS_Calc!$JD:$JD,MATCH(AE$4+$B30,DSS_Calc!$A:$A,0))-INDEX(DSS_Calc!$JD:$JD,MATCH(AE$4+$B$6,DSS_Calc!$A:$A,0))</f>
        <v>-61.167870070033132</v>
      </c>
      <c r="AF30" s="775">
        <f>INDEX(DSS_Calc!$JM:$JM,MATCH(AE$4+$B30,DSS_Calc!$A:$A,0))/INDEX(DSS_Calc!$JM:$JM,MATCH(AE$4+$B$6,DSS_Calc!$A:$A,0))-1</f>
        <v>-7.1151070957390372E-3</v>
      </c>
      <c r="AG30" s="787">
        <f>ABS(INDEX(DSS_Calc!$KU:$KU,MATCH(AE$4+$B30,DSS_Calc!$A:$A,0)))</f>
        <v>6.5720749140820613</v>
      </c>
      <c r="AH30" s="809">
        <f t="shared" si="67"/>
        <v>21</v>
      </c>
      <c r="AI30" s="807">
        <f t="shared" si="75"/>
        <v>100</v>
      </c>
      <c r="AJ30" s="807">
        <f t="shared" si="76"/>
        <v>7</v>
      </c>
      <c r="AK30" s="807">
        <f>INDEX(DSS_Calc!$JM:$JM,MATCH(AE$4+$B30,DSS_Calc!$A:$A,0))</f>
        <v>1983.4263365502761</v>
      </c>
      <c r="AL30" s="772"/>
      <c r="AM30" s="776">
        <f>INDEX(DSS_Calc!$JD:$JD,MATCH(AM$4+$B30,DSS_Calc!$A:$A,0))-INDEX(DSS_Calc!$JD:$JD,MATCH(AM$4+$B$6,DSS_Calc!$A:$A,0))</f>
        <v>-91.105283769176822</v>
      </c>
      <c r="AN30" s="775">
        <f>INDEX(DSS_Calc!$JM:$JM,MATCH(AM$4+$B30,DSS_Calc!$A:$A,0))/INDEX(DSS_Calc!$JM:$JM,MATCH(AM$4+$B$6,DSS_Calc!$A:$A,0))-1</f>
        <v>-1.1627831499914754E-2</v>
      </c>
      <c r="AO30" s="787">
        <f>ABS(INDEX(DSS_Calc!$KU:$KU,MATCH(AM$4+$B30,DSS_Calc!$A:$A,0)))</f>
        <v>7.3082986290397365</v>
      </c>
      <c r="AP30" s="809">
        <f t="shared" si="68"/>
        <v>29</v>
      </c>
      <c r="AQ30" s="807">
        <f t="shared" si="77"/>
        <v>100</v>
      </c>
      <c r="AR30" s="807">
        <f t="shared" si="78"/>
        <v>11</v>
      </c>
      <c r="AS30" s="807">
        <f>INDEX(DSS_Calc!$JM:$JM,MATCH(AM$4+$B30,DSS_Calc!$A:$A,0))</f>
        <v>789.26496943868676</v>
      </c>
      <c r="AT30" s="772"/>
      <c r="AU30" s="776">
        <f>INDEX(DSS_Calc!$JD:$JD,MATCH(AU$4+$B30,DSS_Calc!$A:$A,0))-INDEX(DSS_Calc!$JD:$JD,MATCH(AU$4+$B$6,DSS_Calc!$A:$A,0))</f>
        <v>-202.98544290049176</v>
      </c>
      <c r="AV30" s="775">
        <f>INDEX(DSS_Calc!$JM:$JM,MATCH(AU$4+$B30,DSS_Calc!$A:$A,0))/INDEX(DSS_Calc!$JM:$JM,MATCH(AU$4+$B$6,DSS_Calc!$A:$A,0))-1</f>
        <v>-2.6646995040421895E-2</v>
      </c>
    </row>
    <row r="31" spans="2:70">
      <c r="B31" s="831">
        <f t="shared" si="79"/>
        <v>17</v>
      </c>
      <c r="C31" s="777"/>
      <c r="D31" s="778" t="str">
        <f>LEFT(INDEX(DSS_Calc!$D:$D,MATCH(G$4+$B31,DSS_Calc!$A:$A,0)),LEN(INDEX(DSS_Calc!$D:$D,MATCH(G$4+$B31,DSS_Calc!$A:$A,0)))-2)</f>
        <v>360 Lease</v>
      </c>
      <c r="E31" s="777" t="str">
        <f>"MY"&amp;RIGHT(Input!$H$9,2)&amp;" "&amp;Input!$H$3</f>
        <v>MY20 Forte</v>
      </c>
      <c r="F31" s="772"/>
      <c r="G31" s="779">
        <f>INDEX(DSS_Calc!$JD:$JD,MATCH(G$4+$B31,DSS_Calc!$A:$A,0))-INDEX(DSS_Calc!$JD:$JD,MATCH(G$4+$B$6,DSS_Calc!$A:$A,0))</f>
        <v>404.00401182793212</v>
      </c>
      <c r="H31" s="780">
        <f>INDEX(DSS_Calc!$JM:$JM,MATCH(G$4+$B31,DSS_Calc!$A:$A,0))/INDEX(DSS_Calc!$JM:$JM,MATCH(G$4+$B$6,DSS_Calc!$A:$A,0))-1</f>
        <v>6.3448534145597479E-2</v>
      </c>
      <c r="I31" s="788">
        <f>ABS(INDEX(DSS_Calc!$KU:$KU,MATCH(G$4+$B31,DSS_Calc!$A:$A,0)))</f>
        <v>50.176588458404808</v>
      </c>
      <c r="J31" s="777">
        <f t="shared" si="64"/>
        <v>47</v>
      </c>
      <c r="K31" s="808">
        <f t="shared" si="69"/>
        <v>23</v>
      </c>
      <c r="L31" s="808">
        <f t="shared" si="70"/>
        <v>100</v>
      </c>
      <c r="M31" s="808">
        <f>INDEX(DSS_Calc!$JM:$JM,MATCH(G$4+$B31,DSS_Calc!$A:$A,0))</f>
        <v>1125.2449703251855</v>
      </c>
      <c r="N31" s="772"/>
      <c r="O31" s="779">
        <f>INDEX(DSS_Calc!$JD:$JD,MATCH(O$4+$B31,DSS_Calc!$A:$A,0))-INDEX(DSS_Calc!$JD:$JD,MATCH(O$4+$B$6,DSS_Calc!$A:$A,0))</f>
        <v>267.31835305330105</v>
      </c>
      <c r="P31" s="780">
        <f>INDEX(DSS_Calc!$JM:$JM,MATCH(O$4+$B31,DSS_Calc!$A:$A,0))/INDEX(DSS_Calc!$JM:$JM,MATCH(O$4+$B$6,DSS_Calc!$A:$A,0))-1</f>
        <v>3.2142171859677271E-2</v>
      </c>
      <c r="Q31" s="788">
        <f>ABS(INDEX(DSS_Calc!$KU:$KU,MATCH(O$4+$B31,DSS_Calc!$A:$A,0)))</f>
        <v>11.708122603200986</v>
      </c>
      <c r="R31" s="777">
        <f t="shared" si="65"/>
        <v>47</v>
      </c>
      <c r="S31" s="808">
        <f t="shared" si="71"/>
        <v>23</v>
      </c>
      <c r="T31" s="808">
        <f t="shared" si="72"/>
        <v>100</v>
      </c>
      <c r="U31" s="808">
        <f>INDEX(DSS_Calc!$JM:$JM,MATCH(O$4+$B31,DSS_Calc!$A:$A,0))</f>
        <v>1783.2927955358919</v>
      </c>
      <c r="V31" s="772"/>
      <c r="W31" s="779">
        <f>INDEX(DSS_Calc!$JD:$JD,MATCH(W$4+$B31,DSS_Calc!$A:$A,0))-INDEX(DSS_Calc!$JD:$JD,MATCH(W$4+$B$6,DSS_Calc!$A:$A,0))</f>
        <v>293.8956114249786</v>
      </c>
      <c r="X31" s="780">
        <f>INDEX(DSS_Calc!$JM:$JM,MATCH(W$4+$B31,DSS_Calc!$A:$A,0))/INDEX(DSS_Calc!$JM:$JM,MATCH(W$4+$B$6,DSS_Calc!$A:$A,0))-1</f>
        <v>3.4200383047422012E-2</v>
      </c>
      <c r="Y31" s="788">
        <f>ABS(INDEX(DSS_Calc!$KU:$KU,MATCH(W$4+$B31,DSS_Calc!$A:$A,0)))</f>
        <v>14.925397425682986</v>
      </c>
      <c r="Z31" s="777">
        <f t="shared" si="66"/>
        <v>47</v>
      </c>
      <c r="AA31" s="808">
        <f t="shared" si="73"/>
        <v>23</v>
      </c>
      <c r="AB31" s="808">
        <f t="shared" si="74"/>
        <v>100</v>
      </c>
      <c r="AC31" s="808">
        <f>INDEX(DSS_Calc!$JM:$JM,MATCH(W$4+$B31,DSS_Calc!$A:$A,0))</f>
        <v>2130.5294154241215</v>
      </c>
      <c r="AD31" s="772"/>
      <c r="AE31" s="779">
        <f>INDEX(DSS_Calc!$JD:$JD,MATCH(AE$4+$B31,DSS_Calc!$A:$A,0))-INDEX(DSS_Calc!$JD:$JD,MATCH(AE$4+$B$6,DSS_Calc!$A:$A,0))</f>
        <v>70.760526968600971</v>
      </c>
      <c r="AF31" s="780">
        <f>INDEX(DSS_Calc!$JM:$JM,MATCH(AE$4+$B31,DSS_Calc!$A:$A,0))/INDEX(DSS_Calc!$JM:$JM,MATCH(AE$4+$B$6,DSS_Calc!$A:$A,0))-1</f>
        <v>7.4745663514874661E-3</v>
      </c>
      <c r="AG31" s="788">
        <f>ABS(INDEX(DSS_Calc!$KU:$KU,MATCH(AE$4+$B31,DSS_Calc!$A:$A,0)))</f>
        <v>6.4573829243264749</v>
      </c>
      <c r="AH31" s="777">
        <f t="shared" si="67"/>
        <v>45</v>
      </c>
      <c r="AI31" s="808">
        <f t="shared" si="75"/>
        <v>100</v>
      </c>
      <c r="AJ31" s="808">
        <f t="shared" si="76"/>
        <v>20</v>
      </c>
      <c r="AK31" s="808">
        <f>INDEX(DSS_Calc!$JM:$JM,MATCH(AE$4+$B31,DSS_Calc!$A:$A,0))</f>
        <v>2012.5712482753934</v>
      </c>
      <c r="AL31" s="772"/>
      <c r="AM31" s="779">
        <f>INDEX(DSS_Calc!$JD:$JD,MATCH(AM$4+$B31,DSS_Calc!$A:$A,0))-INDEX(DSS_Calc!$JD:$JD,MATCH(AM$4+$B$6,DSS_Calc!$A:$A,0))</f>
        <v>102.65198782790412</v>
      </c>
      <c r="AN31" s="780">
        <f>INDEX(DSS_Calc!$JM:$JM,MATCH(AM$4+$B31,DSS_Calc!$A:$A,0))/INDEX(DSS_Calc!$JM:$JM,MATCH(AM$4+$B$6,DSS_Calc!$A:$A,0))-1</f>
        <v>1.1980079287952528E-2</v>
      </c>
      <c r="AO31" s="788">
        <f>ABS(INDEX(DSS_Calc!$KU:$KU,MATCH(AM$4+$B31,DSS_Calc!$A:$A,0)))</f>
        <v>7.1521340522594707</v>
      </c>
      <c r="AP31" s="777">
        <f t="shared" si="68"/>
        <v>44</v>
      </c>
      <c r="AQ31" s="808">
        <f t="shared" si="77"/>
        <v>100</v>
      </c>
      <c r="AR31" s="808">
        <f t="shared" si="78"/>
        <v>20</v>
      </c>
      <c r="AS31" s="808">
        <f>INDEX(DSS_Calc!$JM:$JM,MATCH(AM$4+$B31,DSS_Calc!$A:$A,0))</f>
        <v>808.11707553832935</v>
      </c>
      <c r="AT31" s="772"/>
      <c r="AU31" s="779">
        <f>INDEX(DSS_Calc!$JD:$JD,MATCH(AU$4+$B31,DSS_Calc!$A:$A,0))-INDEX(DSS_Calc!$JD:$JD,MATCH(AU$4+$B$6,DSS_Calc!$A:$A,0))</f>
        <v>241.29269736555807</v>
      </c>
      <c r="AV31" s="780">
        <f>INDEX(DSS_Calc!$JM:$JM,MATCH(AU$4+$B31,DSS_Calc!$A:$A,0))/INDEX(DSS_Calc!$JM:$JM,MATCH(AU$4+$B$6,DSS_Calc!$A:$A,0))-1</f>
        <v>2.8476727725071926E-2</v>
      </c>
    </row>
    <row r="32" spans="2:70">
      <c r="B32" s="831">
        <f t="shared" si="79"/>
        <v>18</v>
      </c>
      <c r="C32" s="772"/>
      <c r="D32" s="774" t="str">
        <f>LEFT(INDEX(DSS_Calc!$D:$D,MATCH(G$4+$B32,DSS_Calc!$A:$A,0)),LEN(INDEX(DSS_Calc!$D:$D,MATCH(G$4+$B32,DSS_Calc!$A:$A,0)))-2)</f>
        <v>720 Lease</v>
      </c>
      <c r="E32" s="772" t="str">
        <f>"MY"&amp;RIGHT(Input!$H$9,2)&amp;" "&amp;Input!$H$3</f>
        <v>MY20 Forte</v>
      </c>
      <c r="F32" s="772"/>
      <c r="G32" s="776">
        <f>INDEX(DSS_Calc!$JD:$JD,MATCH(G$4+$B32,DSS_Calc!$A:$A,0))-INDEX(DSS_Calc!$JD:$JD,MATCH(G$4+$B$6,DSS_Calc!$A:$A,0))</f>
        <v>819.80679949814748</v>
      </c>
      <c r="H32" s="775">
        <f>INDEX(DSS_Calc!$JM:$JM,MATCH(G$4+$B32,DSS_Calc!$A:$A,0))/INDEX(DSS_Calc!$JM:$JM,MATCH(G$4+$B$6,DSS_Calc!$A:$A,0))-1</f>
        <v>0.13297802379576029</v>
      </c>
      <c r="I32" s="787">
        <f>ABS(INDEX(DSS_Calc!$KU:$KU,MATCH(G$4+$B32,DSS_Calc!$A:$A,0)))</f>
        <v>49.648583714876558</v>
      </c>
      <c r="J32" s="772">
        <f t="shared" si="64"/>
        <v>49</v>
      </c>
      <c r="K32" s="807">
        <f t="shared" si="69"/>
        <v>24</v>
      </c>
      <c r="L32" s="807">
        <f t="shared" si="70"/>
        <v>100</v>
      </c>
      <c r="M32" s="807">
        <f>INDEX(DSS_Calc!$JM:$JM,MATCH(G$4+$B32,DSS_Calc!$A:$A,0))</f>
        <v>1198.8147821271089</v>
      </c>
      <c r="N32" s="772"/>
      <c r="O32" s="776">
        <f>INDEX(DSS_Calc!$JD:$JD,MATCH(O$4+$B32,DSS_Calc!$A:$A,0))-INDEX(DSS_Calc!$JD:$JD,MATCH(O$4+$B$6,DSS_Calc!$A:$A,0))</f>
        <v>558.6181285153375</v>
      </c>
      <c r="P32" s="775">
        <f>INDEX(DSS_Calc!$JM:$JM,MATCH(O$4+$B32,DSS_Calc!$A:$A,0))/INDEX(DSS_Calc!$JM:$JM,MATCH(O$4+$B$6,DSS_Calc!$A:$A,0))-1</f>
        <v>6.6191473837531989E-2</v>
      </c>
      <c r="Q32" s="787">
        <f>ABS(INDEX(DSS_Calc!$KU:$KU,MATCH(O$4+$B32,DSS_Calc!$A:$A,0)))</f>
        <v>11.423677178430975</v>
      </c>
      <c r="R32" s="772">
        <f t="shared" si="65"/>
        <v>49</v>
      </c>
      <c r="S32" s="807">
        <f t="shared" si="71"/>
        <v>24</v>
      </c>
      <c r="T32" s="807">
        <f t="shared" si="72"/>
        <v>100</v>
      </c>
      <c r="U32" s="807">
        <f>INDEX(DSS_Calc!$JM:$JM,MATCH(O$4+$B32,DSS_Calc!$A:$A,0))</f>
        <v>1842.1217791445465</v>
      </c>
      <c r="V32" s="772"/>
      <c r="W32" s="776">
        <f>INDEX(DSS_Calc!$JD:$JD,MATCH(W$4+$B32,DSS_Calc!$A:$A,0))-INDEX(DSS_Calc!$JD:$JD,MATCH(W$4+$B$6,DSS_Calc!$A:$A,0))</f>
        <v>584.97641672623831</v>
      </c>
      <c r="X32" s="775">
        <f>INDEX(DSS_Calc!$JM:$JM,MATCH(W$4+$B32,DSS_Calc!$A:$A,0))/INDEX(DSS_Calc!$JM:$JM,MATCH(W$4+$B$6,DSS_Calc!$A:$A,0))-1</f>
        <v>7.093000604914601E-2</v>
      </c>
      <c r="Y32" s="787">
        <f>ABS(INDEX(DSS_Calc!$KU:$KU,MATCH(W$4+$B32,DSS_Calc!$A:$A,0)))</f>
        <v>14.573153785685699</v>
      </c>
      <c r="Z32" s="772">
        <f t="shared" si="66"/>
        <v>49</v>
      </c>
      <c r="AA32" s="807">
        <f t="shared" si="73"/>
        <v>24</v>
      </c>
      <c r="AB32" s="807">
        <f t="shared" si="74"/>
        <v>100</v>
      </c>
      <c r="AC32" s="807">
        <f>INDEX(DSS_Calc!$JM:$JM,MATCH(W$4+$B32,DSS_Calc!$A:$A,0))</f>
        <v>2206.1951601920996</v>
      </c>
      <c r="AD32" s="772"/>
      <c r="AE32" s="776">
        <f>INDEX(DSS_Calc!$JD:$JD,MATCH(AE$4+$B32,DSS_Calc!$A:$A,0))-INDEX(DSS_Calc!$JD:$JD,MATCH(AE$4+$B$6,DSS_Calc!$A:$A,0))</f>
        <v>151.93217232227562</v>
      </c>
      <c r="AF32" s="775">
        <f>INDEX(DSS_Calc!$JM:$JM,MATCH(AE$4+$B32,DSS_Calc!$A:$A,0))/INDEX(DSS_Calc!$JM:$JM,MATCH(AE$4+$B$6,DSS_Calc!$A:$A,0))-1</f>
        <v>1.5355904456964886E-2</v>
      </c>
      <c r="AG32" s="787">
        <f>ABS(INDEX(DSS_Calc!$KU:$KU,MATCH(AE$4+$B32,DSS_Calc!$A:$A,0)))</f>
        <v>6.3777786311045439</v>
      </c>
      <c r="AH32" s="772">
        <f t="shared" si="67"/>
        <v>48</v>
      </c>
      <c r="AI32" s="807">
        <f t="shared" si="75"/>
        <v>100</v>
      </c>
      <c r="AJ32" s="807">
        <f t="shared" si="76"/>
        <v>23</v>
      </c>
      <c r="AK32" s="807">
        <f>INDEX(DSS_Calc!$JM:$JM,MATCH(AE$4+$B32,DSS_Calc!$A:$A,0))</f>
        <v>2028.3153226161123</v>
      </c>
      <c r="AL32" s="772"/>
      <c r="AM32" s="776">
        <f>INDEX(DSS_Calc!$JD:$JD,MATCH(AM$4+$B32,DSS_Calc!$A:$A,0))-INDEX(DSS_Calc!$JD:$JD,MATCH(AM$4+$B$6,DSS_Calc!$A:$A,0))</f>
        <v>217.38416793555643</v>
      </c>
      <c r="AN32" s="775">
        <f>INDEX(DSS_Calc!$JM:$JM,MATCH(AM$4+$B32,DSS_Calc!$A:$A,0))/INDEX(DSS_Calc!$JM:$JM,MATCH(AM$4+$B$6,DSS_Calc!$A:$A,0))-1</f>
        <v>2.435517819514299E-2</v>
      </c>
      <c r="AO32" s="787">
        <f>ABS(INDEX(DSS_Calc!$KU:$KU,MATCH(AM$4+$B32,DSS_Calc!$A:$A,0)))</f>
        <v>7.0478723404519821</v>
      </c>
      <c r="AP32" s="772">
        <f t="shared" si="68"/>
        <v>48</v>
      </c>
      <c r="AQ32" s="807">
        <f t="shared" si="77"/>
        <v>100</v>
      </c>
      <c r="AR32" s="807">
        <f t="shared" si="78"/>
        <v>24</v>
      </c>
      <c r="AS32" s="807">
        <f>INDEX(DSS_Calc!$JM:$JM,MATCH(AM$4+$B32,DSS_Calc!$A:$A,0))</f>
        <v>817.99921545694599</v>
      </c>
      <c r="AT32" s="772"/>
      <c r="AU32" s="776">
        <f>INDEX(DSS_Calc!$JD:$JD,MATCH(AU$4+$B32,DSS_Calc!$A:$A,0))-INDEX(DSS_Calc!$JD:$JD,MATCH(AU$4+$B$6,DSS_Calc!$A:$A,0))</f>
        <v>497.58425644909585</v>
      </c>
      <c r="AV32" s="775">
        <f>INDEX(DSS_Calc!$JM:$JM,MATCH(AU$4+$B32,DSS_Calc!$A:$A,0))/INDEX(DSS_Calc!$JM:$JM,MATCH(AU$4+$B$6,DSS_Calc!$A:$A,0))-1</f>
        <v>5.9055987126711784E-2</v>
      </c>
    </row>
    <row r="33" spans="2:48">
      <c r="B33" s="831">
        <f t="shared" si="79"/>
        <v>19</v>
      </c>
      <c r="C33" s="777"/>
      <c r="D33" s="778" t="str">
        <f>LEFT(INDEX(DSS_Calc!$D:$D,MATCH(G$4+$B33,DSS_Calc!$A:$A,0)),LEN(INDEX(DSS_Calc!$D:$D,MATCH(G$4+$B33,DSS_Calc!$A:$A,0)))-2)</f>
        <v>Plan A</v>
      </c>
      <c r="E33" s="777" t="str">
        <f>"MY"&amp;RIGHT(Input!$H$9,2)&amp;" "&amp;Input!$H$3</f>
        <v>MY20 Forte</v>
      </c>
      <c r="F33" s="772"/>
      <c r="G33" s="779">
        <f>INDEX(DSS_Calc!$JD:$JD,MATCH(G$4+$B33,DSS_Calc!$A:$A,0))-INDEX(DSS_Calc!$JD:$JD,MATCH(G$4+$B$6,DSS_Calc!$A:$A,0))</f>
        <v>-194.15751479979917</v>
      </c>
      <c r="H33" s="780">
        <f>INDEX(DSS_Calc!$JM:$JM,MATCH(G$4+$B33,DSS_Calc!$A:$A,0))/INDEX(DSS_Calc!$JM:$JM,MATCH(G$4+$B$6,DSS_Calc!$A:$A,0))-1</f>
        <v>-4.8786844871320012E-2</v>
      </c>
      <c r="I33" s="788">
        <f>ABS(INDEX(DSS_Calc!$KU:$KU,MATCH(G$4+$B33,DSS_Calc!$A:$A,0)))</f>
        <v>50.486231309081511</v>
      </c>
      <c r="J33" s="777">
        <f t="shared" si="64"/>
        <v>46</v>
      </c>
      <c r="K33" s="808">
        <f t="shared" si="69"/>
        <v>100</v>
      </c>
      <c r="L33" s="808">
        <f t="shared" si="70"/>
        <v>24</v>
      </c>
      <c r="M33" s="808">
        <f>INDEX(DSS_Calc!$JM:$JM,MATCH(G$4+$B33,DSS_Calc!$A:$A,0))</f>
        <v>1006.4876523391357</v>
      </c>
      <c r="N33" s="772"/>
      <c r="O33" s="779">
        <f>INDEX(DSS_Calc!$JD:$JD,MATCH(O$4+$B33,DSS_Calc!$A:$A,0))-INDEX(DSS_Calc!$JD:$JD,MATCH(O$4+$B$6,DSS_Calc!$A:$A,0))</f>
        <v>-251.37930047550844</v>
      </c>
      <c r="P33" s="780">
        <f>INDEX(DSS_Calc!$JM:$JM,MATCH(O$4+$B33,DSS_Calc!$A:$A,0))/INDEX(DSS_Calc!$JM:$JM,MATCH(O$4+$B$6,DSS_Calc!$A:$A,0))-1</f>
        <v>-5.4949567968846313E-2</v>
      </c>
      <c r="Q33" s="788">
        <f>ABS(INDEX(DSS_Calc!$KU:$KU,MATCH(O$4+$B33,DSS_Calc!$A:$A,0)))</f>
        <v>11.842371106544068</v>
      </c>
      <c r="R33" s="777">
        <f t="shared" si="65"/>
        <v>44</v>
      </c>
      <c r="S33" s="808">
        <f t="shared" si="71"/>
        <v>100</v>
      </c>
      <c r="T33" s="808">
        <f t="shared" si="72"/>
        <v>22</v>
      </c>
      <c r="U33" s="808">
        <f>INDEX(DSS_Calc!$JM:$JM,MATCH(O$4+$B33,DSS_Calc!$A:$A,0))</f>
        <v>1632.8192692899288</v>
      </c>
      <c r="V33" s="772"/>
      <c r="W33" s="779">
        <f>INDEX(DSS_Calc!$JD:$JD,MATCH(W$4+$B33,DSS_Calc!$A:$A,0))-INDEX(DSS_Calc!$JD:$JD,MATCH(W$4+$B$6,DSS_Calc!$A:$A,0))</f>
        <v>-314.03834954253307</v>
      </c>
      <c r="X33" s="780">
        <f>INDEX(DSS_Calc!$JM:$JM,MATCH(W$4+$B33,DSS_Calc!$A:$A,0))/INDEX(DSS_Calc!$JM:$JM,MATCH(W$4+$B$6,DSS_Calc!$A:$A,0))-1</f>
        <v>-7.9944513171285259E-2</v>
      </c>
      <c r="Y33" s="788">
        <f>ABS(INDEX(DSS_Calc!$KU:$KU,MATCH(W$4+$B33,DSS_Calc!$A:$A,0)))</f>
        <v>15.009332799580351</v>
      </c>
      <c r="Z33" s="777">
        <f t="shared" si="66"/>
        <v>44</v>
      </c>
      <c r="AA33" s="808">
        <f t="shared" si="73"/>
        <v>100</v>
      </c>
      <c r="AB33" s="808">
        <f t="shared" si="74"/>
        <v>22</v>
      </c>
      <c r="AC33" s="808">
        <f>INDEX(DSS_Calc!$JM:$JM,MATCH(W$4+$B33,DSS_Calc!$A:$A,0))</f>
        <v>1895.3824719489148</v>
      </c>
      <c r="AD33" s="772"/>
      <c r="AE33" s="779">
        <f>INDEX(DSS_Calc!$JD:$JD,MATCH(AE$4+$B33,DSS_Calc!$A:$A,0))-INDEX(DSS_Calc!$JD:$JD,MATCH(AE$4+$B$6,DSS_Calc!$A:$A,0))</f>
        <v>-324.96324853868646</v>
      </c>
      <c r="AF33" s="780">
        <f>INDEX(DSS_Calc!$JM:$JM,MATCH(AE$4+$B33,DSS_Calc!$A:$A,0))/INDEX(DSS_Calc!$JM:$JM,MATCH(AE$4+$B$6,DSS_Calc!$A:$A,0))-1</f>
        <v>-5.8630953217568837E-2</v>
      </c>
      <c r="AG33" s="788">
        <f>ABS(INDEX(DSS_Calc!$KU:$KU,MATCH(AE$4+$B33,DSS_Calc!$A:$A,0)))</f>
        <v>6.4903230764839268</v>
      </c>
      <c r="AH33" s="777">
        <f t="shared" si="67"/>
        <v>41</v>
      </c>
      <c r="AI33" s="808">
        <f t="shared" si="75"/>
        <v>100</v>
      </c>
      <c r="AJ33" s="808">
        <f t="shared" si="76"/>
        <v>18</v>
      </c>
      <c r="AK33" s="808">
        <f>INDEX(DSS_Calc!$JM:$JM,MATCH(AE$4+$B33,DSS_Calc!$A:$A,0))</f>
        <v>1880.516234203134</v>
      </c>
      <c r="AL33" s="772"/>
      <c r="AM33" s="779">
        <f>INDEX(DSS_Calc!$JD:$JD,MATCH(AM$4+$B33,DSS_Calc!$A:$A,0))-INDEX(DSS_Calc!$JD:$JD,MATCH(AM$4+$B$6,DSS_Calc!$A:$A,0))</f>
        <v>-310.98508953241708</v>
      </c>
      <c r="AN33" s="780">
        <f>INDEX(DSS_Calc!$JM:$JM,MATCH(AM$4+$B33,DSS_Calc!$A:$A,0))/INDEX(DSS_Calc!$JM:$JM,MATCH(AM$4+$B$6,DSS_Calc!$A:$A,0))-1</f>
        <v>-5.8504264909713166E-2</v>
      </c>
      <c r="AO33" s="788">
        <f>ABS(INDEX(DSS_Calc!$KU:$KU,MATCH(AM$4+$B33,DSS_Calc!$A:$A,0)))</f>
        <v>7.1958634729680782</v>
      </c>
      <c r="AP33" s="777">
        <f t="shared" si="68"/>
        <v>41</v>
      </c>
      <c r="AQ33" s="808">
        <f t="shared" si="77"/>
        <v>100</v>
      </c>
      <c r="AR33" s="808">
        <f t="shared" si="78"/>
        <v>19</v>
      </c>
      <c r="AS33" s="808">
        <f>INDEX(DSS_Calc!$JM:$JM,MATCH(AM$4+$B33,DSS_Calc!$A:$A,0))</f>
        <v>751.83177578783182</v>
      </c>
      <c r="AT33" s="772"/>
      <c r="AU33" s="779">
        <f>INDEX(DSS_Calc!$JD:$JD,MATCH(AU$4+$B33,DSS_Calc!$A:$A,0))-INDEX(DSS_Calc!$JD:$JD,MATCH(AU$4+$B$6,DSS_Calc!$A:$A,0))</f>
        <v>-283.57474494135477</v>
      </c>
      <c r="AV33" s="780">
        <f>INDEX(DSS_Calc!$JM:$JM,MATCH(AU$4+$B33,DSS_Calc!$A:$A,0))/INDEX(DSS_Calc!$JM:$JM,MATCH(AU$4+$B$6,DSS_Calc!$A:$A,0))-1</f>
        <v>-6.2167878946889354E-2</v>
      </c>
    </row>
    <row r="34" spans="2:48">
      <c r="B34" s="831">
        <f t="shared" si="79"/>
        <v>20</v>
      </c>
      <c r="C34" s="772"/>
      <c r="D34" s="774" t="str">
        <f>LEFT(INDEX(DSS_Calc!$D:$D,MATCH(G$4+$B34,DSS_Calc!$A:$A,0)),LEN(INDEX(DSS_Calc!$D:$D,MATCH(G$4+$B34,DSS_Calc!$A:$A,0)))-2)</f>
        <v>Plan B: 0.9/1.9/2.9/3.9</v>
      </c>
      <c r="E34" s="772" t="str">
        <f>"MY"&amp;RIGHT(Input!$H$9,2)&amp;" "&amp;Input!$H$3</f>
        <v>MY20 Forte</v>
      </c>
      <c r="F34" s="772"/>
      <c r="G34" s="776">
        <f>INDEX(DSS_Calc!$JD:$JD,MATCH(G$4+$B34,DSS_Calc!$A:$A,0))-INDEX(DSS_Calc!$JD:$JD,MATCH(G$4+$B$6,DSS_Calc!$A:$A,0))</f>
        <v>-14.320816990112689</v>
      </c>
      <c r="H34" s="775">
        <f>INDEX(DSS_Calc!$JM:$JM,MATCH(G$4+$B34,DSS_Calc!$A:$A,0))/INDEX(DSS_Calc!$JM:$JM,MATCH(G$4+$B$6,DSS_Calc!$A:$A,0))-1</f>
        <v>-1.2236993492110493E-2</v>
      </c>
      <c r="I34" s="787">
        <f>ABS(INDEX(DSS_Calc!$KU:$KU,MATCH(G$4+$B34,DSS_Calc!$A:$A,0)))</f>
        <v>50.51889694775727</v>
      </c>
      <c r="J34" s="772">
        <f t="shared" si="64"/>
        <v>44</v>
      </c>
      <c r="K34" s="807">
        <f t="shared" si="69"/>
        <v>100</v>
      </c>
      <c r="L34" s="807">
        <f t="shared" si="70"/>
        <v>22</v>
      </c>
      <c r="M34" s="807">
        <f>INDEX(DSS_Calc!$JM:$JM,MATCH(G$4+$B34,DSS_Calc!$A:$A,0))</f>
        <v>1045.1613963991917</v>
      </c>
      <c r="N34" s="772"/>
      <c r="O34" s="776">
        <f>INDEX(DSS_Calc!$JD:$JD,MATCH(O$4+$B34,DSS_Calc!$A:$A,0))-INDEX(DSS_Calc!$JD:$JD,MATCH(O$4+$B$6,DSS_Calc!$A:$A,0))</f>
        <v>-84.321586106452287</v>
      </c>
      <c r="P34" s="775">
        <f>INDEX(DSS_Calc!$JM:$JM,MATCH(O$4+$B34,DSS_Calc!$A:$A,0))/INDEX(DSS_Calc!$JM:$JM,MATCH(O$4+$B$6,DSS_Calc!$A:$A,0))-1</f>
        <v>-2.6072491841524603E-2</v>
      </c>
      <c r="Q34" s="787">
        <f>ABS(INDEX(DSS_Calc!$KU:$KU,MATCH(O$4+$B34,DSS_Calc!$A:$A,0)))</f>
        <v>11.809586035807856</v>
      </c>
      <c r="R34" s="772">
        <f t="shared" si="65"/>
        <v>45</v>
      </c>
      <c r="S34" s="807">
        <f t="shared" si="71"/>
        <v>100</v>
      </c>
      <c r="T34" s="807">
        <f t="shared" si="72"/>
        <v>23</v>
      </c>
      <c r="U34" s="807">
        <f>INDEX(DSS_Calc!$JM:$JM,MATCH(O$4+$B34,DSS_Calc!$A:$A,0))</f>
        <v>1682.7118937926271</v>
      </c>
      <c r="V34" s="772"/>
      <c r="W34" s="776">
        <f>INDEX(DSS_Calc!$JD:$JD,MATCH(W$4+$B34,DSS_Calc!$A:$A,0))-INDEX(DSS_Calc!$JD:$JD,MATCH(W$4+$B$6,DSS_Calc!$A:$A,0))</f>
        <v>-79.48094382258023</v>
      </c>
      <c r="X34" s="775">
        <f>INDEX(DSS_Calc!$JM:$JM,MATCH(W$4+$B34,DSS_Calc!$A:$A,0))/INDEX(DSS_Calc!$JM:$JM,MATCH(W$4+$B$6,DSS_Calc!$A:$A,0))-1</f>
        <v>-3.5658318117969046E-2</v>
      </c>
      <c r="Y34" s="787">
        <f>ABS(INDEX(DSS_Calc!$KU:$KU,MATCH(W$4+$B34,DSS_Calc!$A:$A,0)))</f>
        <v>14.978830358939437</v>
      </c>
      <c r="Z34" s="772">
        <f t="shared" si="66"/>
        <v>45</v>
      </c>
      <c r="AA34" s="807">
        <f t="shared" si="73"/>
        <v>100</v>
      </c>
      <c r="AB34" s="807">
        <f t="shared" si="74"/>
        <v>23</v>
      </c>
      <c r="AC34" s="807">
        <f>INDEX(DSS_Calc!$JM:$JM,MATCH(W$4+$B34,DSS_Calc!$A:$A,0))</f>
        <v>1986.6153150274247</v>
      </c>
      <c r="AD34" s="772"/>
      <c r="AE34" s="776">
        <f>INDEX(DSS_Calc!$JD:$JD,MATCH(AE$4+$B34,DSS_Calc!$A:$A,0))-INDEX(DSS_Calc!$JD:$JD,MATCH(AE$4+$B$6,DSS_Calc!$A:$A,0))</f>
        <v>-193.65342640906692</v>
      </c>
      <c r="AF34" s="775">
        <f>INDEX(DSS_Calc!$JM:$JM,MATCH(AE$4+$B34,DSS_Calc!$A:$A,0))/INDEX(DSS_Calc!$JM:$JM,MATCH(AE$4+$B$6,DSS_Calc!$A:$A,0))-1</f>
        <v>-3.8712988756110844E-2</v>
      </c>
      <c r="AG34" s="787">
        <f>ABS(INDEX(DSS_Calc!$KU:$KU,MATCH(AE$4+$B34,DSS_Calc!$A:$A,0)))</f>
        <v>6.4483844669082551</v>
      </c>
      <c r="AH34" s="772">
        <f t="shared" si="67"/>
        <v>46</v>
      </c>
      <c r="AI34" s="807">
        <f t="shared" si="75"/>
        <v>100</v>
      </c>
      <c r="AJ34" s="807">
        <f t="shared" si="76"/>
        <v>21</v>
      </c>
      <c r="AK34" s="807">
        <f>INDEX(DSS_Calc!$JM:$JM,MATCH(AE$4+$B34,DSS_Calc!$A:$A,0))</f>
        <v>1920.3051518970783</v>
      </c>
      <c r="AL34" s="772"/>
      <c r="AM34" s="776">
        <f>INDEX(DSS_Calc!$JD:$JD,MATCH(AM$4+$B34,DSS_Calc!$A:$A,0))-INDEX(DSS_Calc!$JD:$JD,MATCH(AM$4+$B$6,DSS_Calc!$A:$A,0))</f>
        <v>-157.15988205983467</v>
      </c>
      <c r="AN34" s="775">
        <f>INDEX(DSS_Calc!$JM:$JM,MATCH(AM$4+$B34,DSS_Calc!$A:$A,0))/INDEX(DSS_Calc!$JM:$JM,MATCH(AM$4+$B$6,DSS_Calc!$A:$A,0))-1</f>
        <v>-3.7607166834506156E-2</v>
      </c>
      <c r="AO34" s="787">
        <f>ABS(INDEX(DSS_Calc!$KU:$KU,MATCH(AM$4+$B34,DSS_Calc!$A:$A,0)))</f>
        <v>7.0985759573408531</v>
      </c>
      <c r="AP34" s="772">
        <f t="shared" si="68"/>
        <v>46</v>
      </c>
      <c r="AQ34" s="807">
        <f t="shared" si="77"/>
        <v>100</v>
      </c>
      <c r="AR34" s="807">
        <f t="shared" si="78"/>
        <v>22</v>
      </c>
      <c r="AS34" s="807">
        <f>INDEX(DSS_Calc!$JM:$JM,MATCH(AM$4+$B34,DSS_Calc!$A:$A,0))</f>
        <v>768.51916136923194</v>
      </c>
      <c r="AT34" s="772"/>
      <c r="AU34" s="776">
        <f>INDEX(DSS_Calc!$JD:$JD,MATCH(AU$4+$B34,DSS_Calc!$A:$A,0))-INDEX(DSS_Calc!$JD:$JD,MATCH(AU$4+$B$6,DSS_Calc!$A:$A,0))</f>
        <v>-102.01681447227293</v>
      </c>
      <c r="AV34" s="775">
        <f>INDEX(DSS_Calc!$JM:$JM,MATCH(AU$4+$B34,DSS_Calc!$A:$A,0))/INDEX(DSS_Calc!$JM:$JM,MATCH(AU$4+$B$6,DSS_Calc!$A:$A,0))-1</f>
        <v>-3.1250394520644154E-2</v>
      </c>
    </row>
    <row r="35" spans="2:48">
      <c r="B35" s="831">
        <f t="shared" si="79"/>
        <v>21</v>
      </c>
      <c r="C35" s="777"/>
      <c r="D35" s="778" t="str">
        <f>LEFT(INDEX(DSS_Calc!$D:$D,MATCH(G$4+$B35,DSS_Calc!$A:$A,0)),LEN(INDEX(DSS_Calc!$D:$D,MATCH(G$4+$B35,DSS_Calc!$A:$A,0)))-2)</f>
        <v>0/0/0.9/3.9</v>
      </c>
      <c r="E35" s="777" t="str">
        <f>"MY"&amp;RIGHT(Input!$H$9,2)&amp;" "&amp;Input!$H$3</f>
        <v>MY20 Forte</v>
      </c>
      <c r="F35" s="772"/>
      <c r="G35" s="779">
        <f>INDEX(DSS_Calc!$JD:$JD,MATCH(G$4+$B35,DSS_Calc!$A:$A,0))-INDEX(DSS_Calc!$JD:$JD,MATCH(G$4+$B$6,DSS_Calc!$A:$A,0))</f>
        <v>17.739891495085431</v>
      </c>
      <c r="H35" s="780">
        <f>INDEX(DSS_Calc!$JM:$JM,MATCH(G$4+$B35,DSS_Calc!$A:$A,0))/INDEX(DSS_Calc!$JM:$JM,MATCH(G$4+$B$6,DSS_Calc!$A:$A,0))-1</f>
        <v>1.0809592871655171E-2</v>
      </c>
      <c r="I35" s="788">
        <f>ABS(INDEX(DSS_Calc!$KU:$KU,MATCH(G$4+$B35,DSS_Calc!$A:$A,0)))</f>
        <v>51.303544392882493</v>
      </c>
      <c r="J35" s="777">
        <f t="shared" si="64"/>
        <v>31</v>
      </c>
      <c r="K35" s="808">
        <f t="shared" si="69"/>
        <v>13</v>
      </c>
      <c r="L35" s="808">
        <f t="shared" si="70"/>
        <v>100</v>
      </c>
      <c r="M35" s="808">
        <f>INDEX(DSS_Calc!$JM:$JM,MATCH(G$4+$B35,DSS_Calc!$A:$A,0))</f>
        <v>1069.5472078008011</v>
      </c>
      <c r="N35" s="772"/>
      <c r="O35" s="779">
        <f>INDEX(DSS_Calc!$JD:$JD,MATCH(O$4+$B35,DSS_Calc!$A:$A,0))-INDEX(DSS_Calc!$JD:$JD,MATCH(O$4+$B$6,DSS_Calc!$A:$A,0))</f>
        <v>87.583312851234041</v>
      </c>
      <c r="P35" s="780">
        <f>INDEX(DSS_Calc!$JM:$JM,MATCH(O$4+$B35,DSS_Calc!$A:$A,0))/INDEX(DSS_Calc!$JM:$JM,MATCH(O$4+$B$6,DSS_Calc!$A:$A,0))-1</f>
        <v>2.3836840613892463E-2</v>
      </c>
      <c r="Q35" s="788">
        <f>ABS(INDEX(DSS_Calc!$KU:$KU,MATCH(O$4+$B35,DSS_Calc!$A:$A,0)))</f>
        <v>12.119776481791776</v>
      </c>
      <c r="R35" s="777">
        <f t="shared" si="65"/>
        <v>29</v>
      </c>
      <c r="S35" s="808">
        <f t="shared" si="71"/>
        <v>100</v>
      </c>
      <c r="T35" s="808">
        <f t="shared" si="72"/>
        <v>17</v>
      </c>
      <c r="U35" s="808">
        <f>INDEX(DSS_Calc!$JM:$JM,MATCH(O$4+$B35,DSS_Calc!$A:$A,0))</f>
        <v>1768.9431857835243</v>
      </c>
      <c r="V35" s="772"/>
      <c r="W35" s="779">
        <f>INDEX(DSS_Calc!$JD:$JD,MATCH(W$4+$B35,DSS_Calc!$A:$A,0))-INDEX(DSS_Calc!$JD:$JD,MATCH(W$4+$B$6,DSS_Calc!$A:$A,0))</f>
        <v>142.36994134126417</v>
      </c>
      <c r="X35" s="780">
        <f>INDEX(DSS_Calc!$JM:$JM,MATCH(W$4+$B35,DSS_Calc!$A:$A,0))/INDEX(DSS_Calc!$JM:$JM,MATCH(W$4+$B$6,DSS_Calc!$A:$A,0))-1</f>
        <v>3.2666237579329183E-2</v>
      </c>
      <c r="Y35" s="788">
        <f>ABS(INDEX(DSS_Calc!$KU:$KU,MATCH(W$4+$B35,DSS_Calc!$A:$A,0)))</f>
        <v>15.480208208056323</v>
      </c>
      <c r="Z35" s="777">
        <f t="shared" si="66"/>
        <v>26</v>
      </c>
      <c r="AA35" s="808">
        <f t="shared" si="73"/>
        <v>100</v>
      </c>
      <c r="AB35" s="808">
        <f t="shared" si="74"/>
        <v>16</v>
      </c>
      <c r="AC35" s="808">
        <f>INDEX(DSS_Calc!$JM:$JM,MATCH(W$4+$B35,DSS_Calc!$A:$A,0))</f>
        <v>2127.3689620913929</v>
      </c>
      <c r="AD35" s="772"/>
      <c r="AE35" s="779">
        <f>INDEX(DSS_Calc!$JD:$JD,MATCH(AE$4+$B35,DSS_Calc!$A:$A,0))-INDEX(DSS_Calc!$JD:$JD,MATCH(AE$4+$B$6,DSS_Calc!$A:$A,0))</f>
        <v>199.49942587609667</v>
      </c>
      <c r="AF35" s="780">
        <f>INDEX(DSS_Calc!$JM:$JM,MATCH(AE$4+$B35,DSS_Calc!$A:$A,0))/INDEX(DSS_Calc!$JM:$JM,MATCH(AE$4+$B$6,DSS_Calc!$A:$A,0))-1</f>
        <v>3.7098553308665405E-2</v>
      </c>
      <c r="AG35" s="788">
        <f>ABS(INDEX(DSS_Calc!$KU:$KU,MATCH(AE$4+$B35,DSS_Calc!$A:$A,0)))</f>
        <v>6.5526251368040711</v>
      </c>
      <c r="AH35" s="777">
        <f t="shared" si="67"/>
        <v>29</v>
      </c>
      <c r="AI35" s="808">
        <f t="shared" si="75"/>
        <v>100</v>
      </c>
      <c r="AJ35" s="808">
        <f t="shared" si="76"/>
        <v>11</v>
      </c>
      <c r="AK35" s="808">
        <f>INDEX(DSS_Calc!$JM:$JM,MATCH(AE$4+$B35,DSS_Calc!$A:$A,0))</f>
        <v>2071.7493023926436</v>
      </c>
      <c r="AL35" s="772"/>
      <c r="AM35" s="779">
        <f>INDEX(DSS_Calc!$JD:$JD,MATCH(AM$4+$B35,DSS_Calc!$A:$A,0))-INDEX(DSS_Calc!$JD:$JD,MATCH(AM$4+$B$6,DSS_Calc!$A:$A,0))</f>
        <v>157.55183315151635</v>
      </c>
      <c r="AN35" s="780">
        <f>INDEX(DSS_Calc!$JM:$JM,MATCH(AM$4+$B35,DSS_Calc!$A:$A,0))/INDEX(DSS_Calc!$JM:$JM,MATCH(AM$4+$B$6,DSS_Calc!$A:$A,0))-1</f>
        <v>3.4779531988410994E-2</v>
      </c>
      <c r="AO35" s="788">
        <f>ABS(INDEX(DSS_Calc!$KU:$KU,MATCH(AM$4+$B35,DSS_Calc!$A:$A,0)))</f>
        <v>7.3272701982731734</v>
      </c>
      <c r="AP35" s="777">
        <f t="shared" si="68"/>
        <v>26</v>
      </c>
      <c r="AQ35" s="808">
        <f t="shared" si="77"/>
        <v>100</v>
      </c>
      <c r="AR35" s="808">
        <f t="shared" si="78"/>
        <v>8</v>
      </c>
      <c r="AS35" s="808">
        <f>INDEX(DSS_Calc!$JM:$JM,MATCH(AM$4+$B35,DSS_Calc!$A:$A,0))</f>
        <v>826.32358712611949</v>
      </c>
      <c r="AT35" s="772"/>
      <c r="AU35" s="779">
        <f>INDEX(DSS_Calc!$JD:$JD,MATCH(AU$4+$B35,DSS_Calc!$A:$A,0))-INDEX(DSS_Calc!$JD:$JD,MATCH(AU$4+$B$6,DSS_Calc!$A:$A,0))</f>
        <v>123.18357017603194</v>
      </c>
      <c r="AV35" s="780">
        <f>INDEX(DSS_Calc!$JM:$JM,MATCH(AU$4+$B35,DSS_Calc!$A:$A,0))/INDEX(DSS_Calc!$JM:$JM,MATCH(AU$4+$B$6,DSS_Calc!$A:$A,0))-1</f>
        <v>2.9023268897154564E-2</v>
      </c>
    </row>
    <row r="36" spans="2:48">
      <c r="B36" s="831">
        <f t="shared" si="79"/>
        <v>22</v>
      </c>
      <c r="C36" s="772"/>
      <c r="D36" s="774" t="str">
        <f>LEFT(INDEX(DSS_Calc!$D:$D,MATCH(G$4+$B36,DSS_Calc!$A:$A,0)),LEN(INDEX(DSS_Calc!$D:$D,MATCH(G$4+$B36,DSS_Calc!$A:$A,0)))-2)</f>
        <v>0/1.9/2.9/3.9</v>
      </c>
      <c r="E36" s="772" t="str">
        <f>"MY"&amp;RIGHT(Input!$H$9,2)&amp;" "&amp;Input!$H$3</f>
        <v>MY20 Forte</v>
      </c>
      <c r="F36" s="772"/>
      <c r="G36" s="776">
        <f>INDEX(DSS_Calc!$JD:$JD,MATCH(G$4+$B36,DSS_Calc!$A:$A,0))-INDEX(DSS_Calc!$JD:$JD,MATCH(G$4+$B$6,DSS_Calc!$A:$A,0))</f>
        <v>-7.5689483102651138</v>
      </c>
      <c r="H36" s="775">
        <f>INDEX(DSS_Calc!$JM:$JM,MATCH(G$4+$B36,DSS_Calc!$A:$A,0))/INDEX(DSS_Calc!$JM:$JM,MATCH(G$4+$B$6,DSS_Calc!$A:$A,0))-1</f>
        <v>-7.4256374027842353E-3</v>
      </c>
      <c r="I36" s="787">
        <f>ABS(INDEX(DSS_Calc!$KU:$KU,MATCH(G$4+$B36,DSS_Calc!$A:$A,0)))</f>
        <v>50.68292436709141</v>
      </c>
      <c r="J36" s="772">
        <f t="shared" si="64"/>
        <v>41</v>
      </c>
      <c r="K36" s="807">
        <f t="shared" si="69"/>
        <v>100</v>
      </c>
      <c r="L36" s="807">
        <f t="shared" si="70"/>
        <v>21</v>
      </c>
      <c r="M36" s="807">
        <f>INDEX(DSS_Calc!$JM:$JM,MATCH(G$4+$B36,DSS_Calc!$A:$A,0))</f>
        <v>1050.2523378656799</v>
      </c>
      <c r="N36" s="772"/>
      <c r="O36" s="776">
        <f>INDEX(DSS_Calc!$JD:$JD,MATCH(O$4+$B36,DSS_Calc!$A:$A,0))-INDEX(DSS_Calc!$JD:$JD,MATCH(O$4+$B$6,DSS_Calc!$A:$A,0))</f>
        <v>-51.296962115091446</v>
      </c>
      <c r="P36" s="775">
        <f>INDEX(DSS_Calc!$JM:$JM,MATCH(O$4+$B36,DSS_Calc!$A:$A,0))/INDEX(DSS_Calc!$JM:$JM,MATCH(O$4+$B$6,DSS_Calc!$A:$A,0))-1</f>
        <v>-1.6466705264668757E-2</v>
      </c>
      <c r="Q36" s="787">
        <f>ABS(INDEX(DSS_Calc!$KU:$KU,MATCH(O$4+$B36,DSS_Calc!$A:$A,0)))</f>
        <v>11.871741190979865</v>
      </c>
      <c r="R36" s="772">
        <f t="shared" si="65"/>
        <v>42</v>
      </c>
      <c r="S36" s="807">
        <f t="shared" si="71"/>
        <v>100</v>
      </c>
      <c r="T36" s="807">
        <f t="shared" si="72"/>
        <v>21</v>
      </c>
      <c r="U36" s="807">
        <f>INDEX(DSS_Calc!$JM:$JM,MATCH(O$4+$B36,DSS_Calc!$A:$A,0))</f>
        <v>1699.3083767820763</v>
      </c>
      <c r="V36" s="772"/>
      <c r="W36" s="776">
        <f>INDEX(DSS_Calc!$JD:$JD,MATCH(W$4+$B36,DSS_Calc!$A:$A,0))-INDEX(DSS_Calc!$JD:$JD,MATCH(W$4+$B$6,DSS_Calc!$A:$A,0))</f>
        <v>-38.981928973911181</v>
      </c>
      <c r="X36" s="775">
        <f>INDEX(DSS_Calc!$JM:$JM,MATCH(W$4+$B36,DSS_Calc!$A:$A,0))/INDEX(DSS_Calc!$JM:$JM,MATCH(W$4+$B$6,DSS_Calc!$A:$A,0))-1</f>
        <v>-2.3196420418918118E-2</v>
      </c>
      <c r="Y36" s="787">
        <f>ABS(INDEX(DSS_Calc!$KU:$KU,MATCH(W$4+$B36,DSS_Calc!$A:$A,0)))</f>
        <v>15.074641268802493</v>
      </c>
      <c r="Z36" s="772">
        <f t="shared" si="66"/>
        <v>43</v>
      </c>
      <c r="AA36" s="807">
        <f t="shared" si="73"/>
        <v>100</v>
      </c>
      <c r="AB36" s="807">
        <f t="shared" si="74"/>
        <v>21</v>
      </c>
      <c r="AC36" s="807">
        <f>INDEX(DSS_Calc!$JM:$JM,MATCH(W$4+$B36,DSS_Calc!$A:$A,0))</f>
        <v>2012.2877476188723</v>
      </c>
      <c r="AD36" s="772"/>
      <c r="AE36" s="776">
        <f>INDEX(DSS_Calc!$JD:$JD,MATCH(AE$4+$B36,DSS_Calc!$A:$A,0))-INDEX(DSS_Calc!$JD:$JD,MATCH(AE$4+$B$6,DSS_Calc!$A:$A,0))</f>
        <v>-140.33348656900489</v>
      </c>
      <c r="AF36" s="775">
        <f>INDEX(DSS_Calc!$JM:$JM,MATCH(AE$4+$B36,DSS_Calc!$A:$A,0))/INDEX(DSS_Calc!$JM:$JM,MATCH(AE$4+$B$6,DSS_Calc!$A:$A,0))-1</f>
        <v>-2.8091429525060163E-2</v>
      </c>
      <c r="AG36" s="787">
        <f>ABS(INDEX(DSS_Calc!$KU:$KU,MATCH(AE$4+$B36,DSS_Calc!$A:$A,0)))</f>
        <v>6.46931177842177</v>
      </c>
      <c r="AH36" s="772">
        <f t="shared" si="67"/>
        <v>43</v>
      </c>
      <c r="AI36" s="807">
        <f t="shared" si="75"/>
        <v>100</v>
      </c>
      <c r="AJ36" s="807">
        <f t="shared" si="76"/>
        <v>19</v>
      </c>
      <c r="AK36" s="807">
        <f>INDEX(DSS_Calc!$JM:$JM,MATCH(AE$4+$B36,DSS_Calc!$A:$A,0))</f>
        <v>1941.523200902207</v>
      </c>
      <c r="AL36" s="772"/>
      <c r="AM36" s="776">
        <f>INDEX(DSS_Calc!$JD:$JD,MATCH(AM$4+$B36,DSS_Calc!$A:$A,0))-INDEX(DSS_Calc!$JD:$JD,MATCH(AM$4+$B$6,DSS_Calc!$A:$A,0))</f>
        <v>-98.594465442645742</v>
      </c>
      <c r="AN36" s="775">
        <f>INDEX(DSS_Calc!$JM:$JM,MATCH(AM$4+$B36,DSS_Calc!$A:$A,0))/INDEX(DSS_Calc!$JM:$JM,MATCH(AM$4+$B$6,DSS_Calc!$A:$A,0))-1</f>
        <v>-2.4394474277710687E-2</v>
      </c>
      <c r="AO36" s="787">
        <f>ABS(INDEX(DSS_Calc!$KU:$KU,MATCH(AM$4+$B36,DSS_Calc!$A:$A,0)))</f>
        <v>7.1413112083492249</v>
      </c>
      <c r="AP36" s="772">
        <f t="shared" si="68"/>
        <v>45</v>
      </c>
      <c r="AQ36" s="807">
        <f t="shared" si="77"/>
        <v>100</v>
      </c>
      <c r="AR36" s="807">
        <f t="shared" si="78"/>
        <v>21</v>
      </c>
      <c r="AS36" s="807">
        <f>INDEX(DSS_Calc!$JM:$JM,MATCH(AM$4+$B36,DSS_Calc!$A:$A,0))</f>
        <v>779.07016201392582</v>
      </c>
      <c r="AT36" s="772"/>
      <c r="AU36" s="776">
        <f>INDEX(DSS_Calc!$JD:$JD,MATCH(AU$4+$B36,DSS_Calc!$A:$A,0))-INDEX(DSS_Calc!$JD:$JD,MATCH(AU$4+$B$6,DSS_Calc!$A:$A,0))</f>
        <v>-64.520973487427</v>
      </c>
      <c r="AV36" s="775">
        <f>INDEX(DSS_Calc!$JM:$JM,MATCH(AU$4+$B36,DSS_Calc!$A:$A,0))/INDEX(DSS_Calc!$JM:$JM,MATCH(AU$4+$B$6,DSS_Calc!$A:$A,0))-1</f>
        <v>-2.0896098006508379E-2</v>
      </c>
    </row>
    <row r="37" spans="2:48">
      <c r="B37" s="831">
        <f t="shared" si="79"/>
        <v>23</v>
      </c>
      <c r="C37" s="777"/>
      <c r="D37" s="778" t="str">
        <f>LEFT(INDEX(DSS_Calc!$D:$D,MATCH(G$4+$B37,DSS_Calc!$A:$A,0)),LEN(INDEX(DSS_Calc!$D:$D,MATCH(G$4+$B37,DSS_Calc!$A:$A,0)))-2)</f>
        <v>0/0/0.9/3.9</v>
      </c>
      <c r="E37" s="777" t="str">
        <f>"MY"&amp;RIGHT(Input!$H$9,2)&amp;" "&amp;Input!$H$3</f>
        <v>MY20 Forte</v>
      </c>
      <c r="F37" s="772"/>
      <c r="G37" s="779">
        <f>INDEX(DSS_Calc!$JD:$JD,MATCH(G$4+$B37,DSS_Calc!$A:$A,0))-INDEX(DSS_Calc!$JD:$JD,MATCH(G$4+$B$6,DSS_Calc!$A:$A,0))</f>
        <v>17.739891495085431</v>
      </c>
      <c r="H37" s="780">
        <f>INDEX(DSS_Calc!$JM:$JM,MATCH(G$4+$B37,DSS_Calc!$A:$A,0))/INDEX(DSS_Calc!$JM:$JM,MATCH(G$4+$B$6,DSS_Calc!$A:$A,0))-1</f>
        <v>1.0809592871655171E-2</v>
      </c>
      <c r="I37" s="788">
        <f>ABS(INDEX(DSS_Calc!$KU:$KU,MATCH(G$4+$B37,DSS_Calc!$A:$A,0)))</f>
        <v>51.303542392882491</v>
      </c>
      <c r="J37" s="777">
        <f t="shared" si="64"/>
        <v>32</v>
      </c>
      <c r="K37" s="808">
        <f t="shared" si="69"/>
        <v>14</v>
      </c>
      <c r="L37" s="808">
        <f t="shared" si="70"/>
        <v>100</v>
      </c>
      <c r="M37" s="808">
        <f>INDEX(DSS_Calc!$JM:$JM,MATCH(G$4+$B37,DSS_Calc!$A:$A,0))</f>
        <v>1069.5472078008011</v>
      </c>
      <c r="N37" s="772"/>
      <c r="O37" s="779">
        <f>INDEX(DSS_Calc!$JD:$JD,MATCH(O$4+$B37,DSS_Calc!$A:$A,0))-INDEX(DSS_Calc!$JD:$JD,MATCH(O$4+$B$6,DSS_Calc!$A:$A,0))</f>
        <v>87.583312851234041</v>
      </c>
      <c r="P37" s="780">
        <f>INDEX(DSS_Calc!$JM:$JM,MATCH(O$4+$B37,DSS_Calc!$A:$A,0))/INDEX(DSS_Calc!$JM:$JM,MATCH(O$4+$B$6,DSS_Calc!$A:$A,0))-1</f>
        <v>2.3836840613892463E-2</v>
      </c>
      <c r="Q37" s="788">
        <f>ABS(INDEX(DSS_Calc!$KU:$KU,MATCH(O$4+$B37,DSS_Calc!$A:$A,0)))</f>
        <v>12.119778481791776</v>
      </c>
      <c r="R37" s="777">
        <f t="shared" si="65"/>
        <v>28</v>
      </c>
      <c r="S37" s="808">
        <f t="shared" si="71"/>
        <v>100</v>
      </c>
      <c r="T37" s="808">
        <f t="shared" si="72"/>
        <v>16</v>
      </c>
      <c r="U37" s="808">
        <f>INDEX(DSS_Calc!$JM:$JM,MATCH(O$4+$B37,DSS_Calc!$A:$A,0))</f>
        <v>1768.9431857835243</v>
      </c>
      <c r="V37" s="772"/>
      <c r="W37" s="779">
        <f>INDEX(DSS_Calc!$JD:$JD,MATCH(W$4+$B37,DSS_Calc!$A:$A,0))-INDEX(DSS_Calc!$JD:$JD,MATCH(W$4+$B$6,DSS_Calc!$A:$A,0))</f>
        <v>142.36994134126417</v>
      </c>
      <c r="X37" s="780">
        <f>INDEX(DSS_Calc!$JM:$JM,MATCH(W$4+$B37,DSS_Calc!$A:$A,0))/INDEX(DSS_Calc!$JM:$JM,MATCH(W$4+$B$6,DSS_Calc!$A:$A,0))-1</f>
        <v>3.2666237579329183E-2</v>
      </c>
      <c r="Y37" s="788">
        <f>ABS(INDEX(DSS_Calc!$KU:$KU,MATCH(W$4+$B37,DSS_Calc!$A:$A,0)))</f>
        <v>15.480210208056324</v>
      </c>
      <c r="Z37" s="777">
        <f t="shared" si="66"/>
        <v>25</v>
      </c>
      <c r="AA37" s="808">
        <f t="shared" si="73"/>
        <v>100</v>
      </c>
      <c r="AB37" s="808">
        <f t="shared" si="74"/>
        <v>15</v>
      </c>
      <c r="AC37" s="808">
        <f>INDEX(DSS_Calc!$JM:$JM,MATCH(W$4+$B37,DSS_Calc!$A:$A,0))</f>
        <v>2127.3689620913929</v>
      </c>
      <c r="AD37" s="772"/>
      <c r="AE37" s="779">
        <f>INDEX(DSS_Calc!$JD:$JD,MATCH(AE$4+$B37,DSS_Calc!$A:$A,0))-INDEX(DSS_Calc!$JD:$JD,MATCH(AE$4+$B$6,DSS_Calc!$A:$A,0))</f>
        <v>199.49942587609667</v>
      </c>
      <c r="AF37" s="780">
        <f>INDEX(DSS_Calc!$JM:$JM,MATCH(AE$4+$B37,DSS_Calc!$A:$A,0))/INDEX(DSS_Calc!$JM:$JM,MATCH(AE$4+$B$6,DSS_Calc!$A:$A,0))-1</f>
        <v>3.7098553308665405E-2</v>
      </c>
      <c r="AG37" s="788">
        <f>ABS(INDEX(DSS_Calc!$KU:$KU,MATCH(AE$4+$B37,DSS_Calc!$A:$A,0)))</f>
        <v>6.5526271368040705</v>
      </c>
      <c r="AH37" s="777">
        <f t="shared" si="67"/>
        <v>28</v>
      </c>
      <c r="AI37" s="808">
        <f t="shared" si="75"/>
        <v>100</v>
      </c>
      <c r="AJ37" s="808">
        <f t="shared" si="76"/>
        <v>10</v>
      </c>
      <c r="AK37" s="808">
        <f>INDEX(DSS_Calc!$JM:$JM,MATCH(AE$4+$B37,DSS_Calc!$A:$A,0))</f>
        <v>2071.7493023926436</v>
      </c>
      <c r="AL37" s="772"/>
      <c r="AM37" s="779">
        <f>INDEX(DSS_Calc!$JD:$JD,MATCH(AM$4+$B37,DSS_Calc!$A:$A,0))-INDEX(DSS_Calc!$JD:$JD,MATCH(AM$4+$B$6,DSS_Calc!$A:$A,0))</f>
        <v>157.55183315151635</v>
      </c>
      <c r="AN37" s="780">
        <f>INDEX(DSS_Calc!$JM:$JM,MATCH(AM$4+$B37,DSS_Calc!$A:$A,0))/INDEX(DSS_Calc!$JM:$JM,MATCH(AM$4+$B$6,DSS_Calc!$A:$A,0))-1</f>
        <v>3.4779531988410994E-2</v>
      </c>
      <c r="AO37" s="788">
        <f>ABS(INDEX(DSS_Calc!$KU:$KU,MATCH(AM$4+$B37,DSS_Calc!$A:$A,0)))</f>
        <v>7.3272721982731728</v>
      </c>
      <c r="AP37" s="777">
        <f t="shared" si="68"/>
        <v>25</v>
      </c>
      <c r="AQ37" s="808">
        <f t="shared" si="77"/>
        <v>100</v>
      </c>
      <c r="AR37" s="808">
        <f t="shared" si="78"/>
        <v>7</v>
      </c>
      <c r="AS37" s="808">
        <f>INDEX(DSS_Calc!$JM:$JM,MATCH(AM$4+$B37,DSS_Calc!$A:$A,0))</f>
        <v>826.32358712611949</v>
      </c>
      <c r="AT37" s="772"/>
      <c r="AU37" s="779">
        <f>INDEX(DSS_Calc!$JD:$JD,MATCH(AU$4+$B37,DSS_Calc!$A:$A,0))-INDEX(DSS_Calc!$JD:$JD,MATCH(AU$4+$B$6,DSS_Calc!$A:$A,0))</f>
        <v>123.18357017603194</v>
      </c>
      <c r="AV37" s="780">
        <f>INDEX(DSS_Calc!$JM:$JM,MATCH(AU$4+$B37,DSS_Calc!$A:$A,0))/INDEX(DSS_Calc!$JM:$JM,MATCH(AU$4+$B$6,DSS_Calc!$A:$A,0))-1</f>
        <v>2.9023268897154564E-2</v>
      </c>
    </row>
    <row r="38" spans="2:48">
      <c r="B38" s="831">
        <f t="shared" si="79"/>
        <v>24</v>
      </c>
      <c r="C38" s="772"/>
      <c r="D38" s="774" t="str">
        <f>LEFT(INDEX(DSS_Calc!$D:$D,MATCH(G$4+$B38,DSS_Calc!$A:$A,0)),LEN(INDEX(DSS_Calc!$D:$D,MATCH(G$4+$B38,DSS_Calc!$A:$A,0)))-2)</f>
        <v>0/0/0/3.9</v>
      </c>
      <c r="E38" s="772" t="str">
        <f>"MY"&amp;RIGHT(Input!$H$9,2)&amp;" "&amp;Input!$H$3</f>
        <v>MY20 Forte</v>
      </c>
      <c r="F38" s="772"/>
      <c r="G38" s="776">
        <f>INDEX(DSS_Calc!$JD:$JD,MATCH(G$4+$B38,DSS_Calc!$A:$A,0))-INDEX(DSS_Calc!$JD:$JD,MATCH(G$4+$B$6,DSS_Calc!$A:$A,0))</f>
        <v>44.324731344535394</v>
      </c>
      <c r="H38" s="775">
        <f>INDEX(DSS_Calc!$JM:$JM,MATCH(G$4+$B38,DSS_Calc!$A:$A,0))/INDEX(DSS_Calc!$JM:$JM,MATCH(G$4+$B$6,DSS_Calc!$A:$A,0))-1</f>
        <v>2.3209882469307441E-2</v>
      </c>
      <c r="I38" s="787">
        <f>ABS(INDEX(DSS_Calc!$KU:$KU,MATCH(G$4+$B38,DSS_Calc!$A:$A,0)))</f>
        <v>51.632434220695615</v>
      </c>
      <c r="J38" s="772">
        <f t="shared" si="64"/>
        <v>23</v>
      </c>
      <c r="K38" s="807">
        <f t="shared" si="69"/>
        <v>6</v>
      </c>
      <c r="L38" s="807">
        <f t="shared" si="70"/>
        <v>100</v>
      </c>
      <c r="M38" s="807">
        <f>INDEX(DSS_Calc!$JM:$JM,MATCH(G$4+$B38,DSS_Calc!$A:$A,0))</f>
        <v>1082.6680717188133</v>
      </c>
      <c r="N38" s="772"/>
      <c r="O38" s="776">
        <f>INDEX(DSS_Calc!$JD:$JD,MATCH(O$4+$B38,DSS_Calc!$A:$A,0))-INDEX(DSS_Calc!$JD:$JD,MATCH(O$4+$B$6,DSS_Calc!$A:$A,0))</f>
        <v>200.8270308068868</v>
      </c>
      <c r="P38" s="775">
        <f>INDEX(DSS_Calc!$JM:$JM,MATCH(O$4+$B38,DSS_Calc!$A:$A,0))/INDEX(DSS_Calc!$JM:$JM,MATCH(O$4+$B$6,DSS_Calc!$A:$A,0))-1</f>
        <v>5.1342667103106088E-2</v>
      </c>
      <c r="Q38" s="787">
        <f>ABS(INDEX(DSS_Calc!$KU:$KU,MATCH(O$4+$B38,DSS_Calc!$A:$A,0)))</f>
        <v>12.221197815491008</v>
      </c>
      <c r="R38" s="772">
        <f t="shared" si="65"/>
        <v>22</v>
      </c>
      <c r="S38" s="807">
        <f t="shared" si="71"/>
        <v>9</v>
      </c>
      <c r="T38" s="807">
        <f t="shared" si="72"/>
        <v>100</v>
      </c>
      <c r="U38" s="807">
        <f>INDEX(DSS_Calc!$JM:$JM,MATCH(O$4+$B38,DSS_Calc!$A:$A,0))</f>
        <v>1816.466621557006</v>
      </c>
      <c r="V38" s="772"/>
      <c r="W38" s="776">
        <f>INDEX(DSS_Calc!$JD:$JD,MATCH(W$4+$B38,DSS_Calc!$A:$A,0))-INDEX(DSS_Calc!$JD:$JD,MATCH(W$4+$B$6,DSS_Calc!$A:$A,0))</f>
        <v>284.9212927682911</v>
      </c>
      <c r="X38" s="775">
        <f>INDEX(DSS_Calc!$JM:$JM,MATCH(W$4+$B38,DSS_Calc!$A:$A,0))/INDEX(DSS_Calc!$JM:$JM,MATCH(W$4+$B$6,DSS_Calc!$A:$A,0))-1</f>
        <v>6.9814524107611575E-2</v>
      </c>
      <c r="Y38" s="787">
        <f>ABS(INDEX(DSS_Calc!$KU:$KU,MATCH(W$4+$B38,DSS_Calc!$A:$A,0)))</f>
        <v>15.643270542530248</v>
      </c>
      <c r="Z38" s="772">
        <f t="shared" si="66"/>
        <v>19</v>
      </c>
      <c r="AA38" s="807">
        <f t="shared" si="73"/>
        <v>8</v>
      </c>
      <c r="AB38" s="807">
        <f t="shared" si="74"/>
        <v>100</v>
      </c>
      <c r="AC38" s="807">
        <f>INDEX(DSS_Calc!$JM:$JM,MATCH(W$4+$B38,DSS_Calc!$A:$A,0))</f>
        <v>2203.8971847438497</v>
      </c>
      <c r="AD38" s="772"/>
      <c r="AE38" s="776">
        <f>INDEX(DSS_Calc!$JD:$JD,MATCH(AE$4+$B38,DSS_Calc!$A:$A,0))-INDEX(DSS_Calc!$JD:$JD,MATCH(AE$4+$B$6,DSS_Calc!$A:$A,0))</f>
        <v>425.86268848798409</v>
      </c>
      <c r="AF38" s="775">
        <f>INDEX(DSS_Calc!$JM:$JM,MATCH(AE$4+$B38,DSS_Calc!$A:$A,0))/INDEX(DSS_Calc!$JM:$JM,MATCH(AE$4+$B$6,DSS_Calc!$A:$A,0))-1</f>
        <v>7.6856278485451179E-2</v>
      </c>
      <c r="AG38" s="787">
        <f>ABS(INDEX(DSS_Calc!$KU:$KU,MATCH(AE$4+$B38,DSS_Calc!$A:$A,0)))</f>
        <v>6.5545525007488559</v>
      </c>
      <c r="AH38" s="772">
        <f t="shared" si="67"/>
        <v>26</v>
      </c>
      <c r="AI38" s="807">
        <f t="shared" si="75"/>
        <v>17</v>
      </c>
      <c r="AJ38" s="807">
        <f t="shared" si="76"/>
        <v>100</v>
      </c>
      <c r="AK38" s="807">
        <f>INDEX(DSS_Calc!$JM:$JM,MATCH(AE$4+$B38,DSS_Calc!$A:$A,0))</f>
        <v>2151.1709148680875</v>
      </c>
      <c r="AL38" s="772"/>
      <c r="AM38" s="776">
        <f>INDEX(DSS_Calc!$JD:$JD,MATCH(AM$4+$B38,DSS_Calc!$A:$A,0))-INDEX(DSS_Calc!$JD:$JD,MATCH(AM$4+$B$6,DSS_Calc!$A:$A,0))</f>
        <v>354.01095501367399</v>
      </c>
      <c r="AN38" s="775">
        <f>INDEX(DSS_Calc!$JM:$JM,MATCH(AM$4+$B38,DSS_Calc!$A:$A,0))/INDEX(DSS_Calc!$JM:$JM,MATCH(AM$4+$B$6,DSS_Calc!$A:$A,0))-1</f>
        <v>7.5157284821611769E-2</v>
      </c>
      <c r="AO38" s="787">
        <f>ABS(INDEX(DSS_Calc!$KU:$KU,MATCH(AM$4+$B38,DSS_Calc!$A:$A,0)))</f>
        <v>7.3868525297229626</v>
      </c>
      <c r="AP38" s="772">
        <f t="shared" si="68"/>
        <v>11</v>
      </c>
      <c r="AQ38" s="807">
        <f t="shared" si="77"/>
        <v>10</v>
      </c>
      <c r="AR38" s="807">
        <f t="shared" si="78"/>
        <v>100</v>
      </c>
      <c r="AS38" s="807">
        <f>INDEX(DSS_Calc!$JM:$JM,MATCH(AM$4+$B38,DSS_Calc!$A:$A,0))</f>
        <v>858.56725694157149</v>
      </c>
      <c r="AT38" s="772"/>
      <c r="AU38" s="776">
        <f>INDEX(DSS_Calc!$JD:$JD,MATCH(AU$4+$B38,DSS_Calc!$A:$A,0))-INDEX(DSS_Calc!$JD:$JD,MATCH(AU$4+$B$6,DSS_Calc!$A:$A,0))</f>
        <v>265.58039402193117</v>
      </c>
      <c r="AV38" s="775">
        <f>INDEX(DSS_Calc!$JM:$JM,MATCH(AU$4+$B38,DSS_Calc!$A:$A,0))/INDEX(DSS_Calc!$JM:$JM,MATCH(AU$4+$B$6,DSS_Calc!$A:$A,0))-1</f>
        <v>6.15845732378697E-2</v>
      </c>
    </row>
    <row r="39" spans="2:48">
      <c r="B39" s="831">
        <f t="shared" si="79"/>
        <v>25</v>
      </c>
      <c r="C39" s="777"/>
      <c r="D39" s="778" t="str">
        <f>LEFT(INDEX(DSS_Calc!$D:$D,MATCH(G$4+$B39,DSS_Calc!$A:$A,0)),LEN(INDEX(DSS_Calc!$D:$D,MATCH(G$4+$B39,DSS_Calc!$A:$A,0)))-2)</f>
        <v>0.9/1.9/2.9/3.9</v>
      </c>
      <c r="E39" s="777" t="str">
        <f>"MY"&amp;RIGHT(Input!$H$9,2)&amp;" "&amp;Input!$H$3</f>
        <v>MY20 Forte</v>
      </c>
      <c r="F39" s="772"/>
      <c r="G39" s="779">
        <f>INDEX(DSS_Calc!$JD:$JD,MATCH(G$4+$B39,DSS_Calc!$A:$A,0))-INDEX(DSS_Calc!$JD:$JD,MATCH(G$4+$B$6,DSS_Calc!$A:$A,0))</f>
        <v>-14.80045239492938</v>
      </c>
      <c r="H39" s="780">
        <f>INDEX(DSS_Calc!$JM:$JM,MATCH(G$4+$B39,DSS_Calc!$A:$A,0))/INDEX(DSS_Calc!$JM:$JM,MATCH(G$4+$B$6,DSS_Calc!$A:$A,0))-1</f>
        <v>-1.2790160012448482E-2</v>
      </c>
      <c r="I39" s="788">
        <f>ABS(INDEX(DSS_Calc!$KU:$KU,MATCH(G$4+$B39,DSS_Calc!$A:$A,0)))</f>
        <v>50.49720129974861</v>
      </c>
      <c r="J39" s="777">
        <f t="shared" si="64"/>
        <v>45</v>
      </c>
      <c r="K39" s="808">
        <f t="shared" si="69"/>
        <v>100</v>
      </c>
      <c r="L39" s="808">
        <f t="shared" si="70"/>
        <v>23</v>
      </c>
      <c r="M39" s="808">
        <f>INDEX(DSS_Calc!$JM:$JM,MATCH(G$4+$B39,DSS_Calc!$A:$A,0))</f>
        <v>1044.5760856626805</v>
      </c>
      <c r="N39" s="772"/>
      <c r="O39" s="779">
        <f>INDEX(DSS_Calc!$JD:$JD,MATCH(O$4+$B39,DSS_Calc!$A:$A,0))-INDEX(DSS_Calc!$JD:$JD,MATCH(O$4+$B$6,DSS_Calc!$A:$A,0))</f>
        <v>-86.938311477505977</v>
      </c>
      <c r="P39" s="780">
        <f>INDEX(DSS_Calc!$JM:$JM,MATCH(O$4+$B39,DSS_Calc!$A:$A,0))/INDEX(DSS_Calc!$JM:$JM,MATCH(O$4+$B$6,DSS_Calc!$A:$A,0))-1</f>
        <v>-2.6960855102518666E-2</v>
      </c>
      <c r="Q39" s="788">
        <f>ABS(INDEX(DSS_Calc!$KU:$KU,MATCH(O$4+$B39,DSS_Calc!$A:$A,0)))</f>
        <v>11.80236686550912</v>
      </c>
      <c r="R39" s="777">
        <f t="shared" si="65"/>
        <v>46</v>
      </c>
      <c r="S39" s="808">
        <f t="shared" si="71"/>
        <v>100</v>
      </c>
      <c r="T39" s="808">
        <f t="shared" si="72"/>
        <v>24</v>
      </c>
      <c r="U39" s="808">
        <f>INDEX(DSS_Calc!$JM:$JM,MATCH(O$4+$B39,DSS_Calc!$A:$A,0))</f>
        <v>1681.1770162860767</v>
      </c>
      <c r="V39" s="772"/>
      <c r="W39" s="779">
        <f>INDEX(DSS_Calc!$JD:$JD,MATCH(W$4+$B39,DSS_Calc!$A:$A,0))-INDEX(DSS_Calc!$JD:$JD,MATCH(W$4+$B$6,DSS_Calc!$A:$A,0))</f>
        <v>-81.938523049517244</v>
      </c>
      <c r="X39" s="780">
        <f>INDEX(DSS_Calc!$JM:$JM,MATCH(W$4+$B39,DSS_Calc!$A:$A,0))/INDEX(DSS_Calc!$JM:$JM,MATCH(W$4+$B$6,DSS_Calc!$A:$A,0))-1</f>
        <v>-3.6534930478962613E-2</v>
      </c>
      <c r="Y39" s="788">
        <f>ABS(INDEX(DSS_Calc!$KU:$KU,MATCH(W$4+$B39,DSS_Calc!$A:$A,0)))</f>
        <v>14.970405845179691</v>
      </c>
      <c r="Z39" s="777">
        <f t="shared" si="66"/>
        <v>46</v>
      </c>
      <c r="AA39" s="808">
        <f t="shared" si="73"/>
        <v>100</v>
      </c>
      <c r="AB39" s="808">
        <f t="shared" si="74"/>
        <v>24</v>
      </c>
      <c r="AC39" s="808">
        <f>INDEX(DSS_Calc!$JM:$JM,MATCH(W$4+$B39,DSS_Calc!$A:$A,0))</f>
        <v>1984.8094286134999</v>
      </c>
      <c r="AD39" s="772"/>
      <c r="AE39" s="779">
        <f>INDEX(DSS_Calc!$JD:$JD,MATCH(AE$4+$B39,DSS_Calc!$A:$A,0))-INDEX(DSS_Calc!$JD:$JD,MATCH(AE$4+$B$6,DSS_Calc!$A:$A,0))</f>
        <v>-198.50881202704977</v>
      </c>
      <c r="AF39" s="780">
        <f>INDEX(DSS_Calc!$JM:$JM,MATCH(AE$4+$B39,DSS_Calc!$A:$A,0))/INDEX(DSS_Calc!$JM:$JM,MATCH(AE$4+$B$6,DSS_Calc!$A:$A,0))-1</f>
        <v>-3.9728289737945288E-2</v>
      </c>
      <c r="AG39" s="788">
        <f>ABS(INDEX(DSS_Calc!$KU:$KU,MATCH(AE$4+$B39,DSS_Calc!$A:$A,0)))</f>
        <v>6.4457267370437732</v>
      </c>
      <c r="AH39" s="777">
        <f t="shared" si="67"/>
        <v>47</v>
      </c>
      <c r="AI39" s="808">
        <f t="shared" si="75"/>
        <v>100</v>
      </c>
      <c r="AJ39" s="808">
        <f t="shared" si="76"/>
        <v>22</v>
      </c>
      <c r="AK39" s="808">
        <f>INDEX(DSS_Calc!$JM:$JM,MATCH(AE$4+$B39,DSS_Calc!$A:$A,0))</f>
        <v>1918.2769462900765</v>
      </c>
      <c r="AL39" s="772"/>
      <c r="AM39" s="779">
        <f>INDEX(DSS_Calc!$JD:$JD,MATCH(AM$4+$B39,DSS_Calc!$A:$A,0))-INDEX(DSS_Calc!$JD:$JD,MATCH(AM$4+$B$6,DSS_Calc!$A:$A,0))</f>
        <v>-160.82120752979517</v>
      </c>
      <c r="AN39" s="780">
        <f>INDEX(DSS_Calc!$JM:$JM,MATCH(AM$4+$B39,DSS_Calc!$A:$A,0))/INDEX(DSS_Calc!$JM:$JM,MATCH(AM$4+$B$6,DSS_Calc!$A:$A,0))-1</f>
        <v>-3.8534721835993047E-2</v>
      </c>
      <c r="AO39" s="788">
        <f>ABS(INDEX(DSS_Calc!$KU:$KU,MATCH(AM$4+$B39,DSS_Calc!$A:$A,0)))</f>
        <v>7.0943276299647255</v>
      </c>
      <c r="AP39" s="777">
        <f t="shared" si="68"/>
        <v>47</v>
      </c>
      <c r="AQ39" s="808">
        <f t="shared" si="77"/>
        <v>100</v>
      </c>
      <c r="AR39" s="808">
        <f t="shared" si="78"/>
        <v>23</v>
      </c>
      <c r="AS39" s="808">
        <f>INDEX(DSS_Calc!$JM:$JM,MATCH(AM$4+$B39,DSS_Calc!$A:$A,0))</f>
        <v>767.77846197154224</v>
      </c>
      <c r="AT39" s="772"/>
      <c r="AU39" s="779">
        <f>INDEX(DSS_Calc!$JD:$JD,MATCH(AU$4+$B39,DSS_Calc!$A:$A,0))-INDEX(DSS_Calc!$JD:$JD,MATCH(AU$4+$B$6,DSS_Calc!$A:$A,0))</f>
        <v>-104.84577485408681</v>
      </c>
      <c r="AV39" s="780">
        <f>INDEX(DSS_Calc!$JM:$JM,MATCH(AU$4+$B39,DSS_Calc!$A:$A,0))/INDEX(DSS_Calc!$JM:$JM,MATCH(AU$4+$B$6,DSS_Calc!$A:$A,0))-1</f>
        <v>-3.2126456221311828E-2</v>
      </c>
    </row>
    <row r="40" spans="2:48">
      <c r="B40" s="831">
        <f t="shared" ref="B40:B57" si="80">B39+1</f>
        <v>26</v>
      </c>
      <c r="C40" s="772"/>
      <c r="D40" s="774" t="str">
        <f>LEFT(INDEX(DSS_Calc!$D:$D,MATCH(G$4+$B40,DSS_Calc!$A:$A,0)),LEN(INDEX(DSS_Calc!$D:$D,MATCH(G$4+$B40,DSS_Calc!$A:$A,0)))-2)</f>
        <v>1.9/2.9/3.9/3.9</v>
      </c>
      <c r="E40" s="772" t="str">
        <f>"MY"&amp;RIGHT(Input!$H$9,2)&amp;" "&amp;Input!$H$3</f>
        <v>MY20 Forte</v>
      </c>
      <c r="F40" s="772"/>
      <c r="G40" s="776">
        <f>INDEX(DSS_Calc!$JD:$JD,MATCH(G$4+$B40,DSS_Calc!$A:$A,0))-INDEX(DSS_Calc!$JD:$JD,MATCH(G$4+$B$6,DSS_Calc!$A:$A,0))</f>
        <v>-20.454208106060833</v>
      </c>
      <c r="H40" s="775">
        <f>INDEX(DSS_Calc!$JM:$JM,MATCH(G$4+$B40,DSS_Calc!$A:$A,0))/INDEX(DSS_Calc!$JM:$JM,MATCH(G$4+$B$6,DSS_Calc!$A:$A,0))-1</f>
        <v>-2.4887152827735237E-2</v>
      </c>
      <c r="I40" s="787">
        <f>ABS(INDEX(DSS_Calc!$KU:$KU,MATCH(G$4+$B40,DSS_Calc!$A:$A,0)))</f>
        <v>49.976534971088093</v>
      </c>
      <c r="J40" s="772">
        <f t="shared" si="64"/>
        <v>48</v>
      </c>
      <c r="K40" s="807">
        <f t="shared" si="69"/>
        <v>100</v>
      </c>
      <c r="L40" s="807">
        <f t="shared" si="70"/>
        <v>25</v>
      </c>
      <c r="M40" s="807">
        <f>INDEX(DSS_Calc!$JM:$JM,MATCH(G$4+$B40,DSS_Calc!$A:$A,0))</f>
        <v>1031.7761429438749</v>
      </c>
      <c r="N40" s="772"/>
      <c r="O40" s="776">
        <f>INDEX(DSS_Calc!$JD:$JD,MATCH(O$4+$B40,DSS_Calc!$A:$A,0))-INDEX(DSS_Calc!$JD:$JD,MATCH(O$4+$B$6,DSS_Calc!$A:$A,0))</f>
        <v>-151.62704208210653</v>
      </c>
      <c r="P40" s="775">
        <f>INDEX(DSS_Calc!$JM:$JM,MATCH(O$4+$B40,DSS_Calc!$A:$A,0))/INDEX(DSS_Calc!$JM:$JM,MATCH(O$4+$B$6,DSS_Calc!$A:$A,0))-1</f>
        <v>-5.1970449801345464E-2</v>
      </c>
      <c r="Q40" s="787">
        <f>ABS(INDEX(DSS_Calc!$KU:$KU,MATCH(O$4+$B40,DSS_Calc!$A:$A,0)))</f>
        <v>11.565510177023913</v>
      </c>
      <c r="R40" s="772">
        <f t="shared" si="65"/>
        <v>48</v>
      </c>
      <c r="S40" s="807">
        <f t="shared" si="71"/>
        <v>100</v>
      </c>
      <c r="T40" s="807">
        <f t="shared" si="72"/>
        <v>25</v>
      </c>
      <c r="U40" s="807">
        <f>INDEX(DSS_Calc!$JM:$JM,MATCH(O$4+$B40,DSS_Calc!$A:$A,0))</f>
        <v>1637.966467137278</v>
      </c>
      <c r="V40" s="772"/>
      <c r="W40" s="776">
        <f>INDEX(DSS_Calc!$JD:$JD,MATCH(W$4+$B40,DSS_Calc!$A:$A,0))-INDEX(DSS_Calc!$JD:$JD,MATCH(W$4+$B$6,DSS_Calc!$A:$A,0))</f>
        <v>-164.56426874696217</v>
      </c>
      <c r="X40" s="775">
        <f>INDEX(DSS_Calc!$JM:$JM,MATCH(W$4+$B40,DSS_Calc!$A:$A,0))/INDEX(DSS_Calc!$JM:$JM,MATCH(W$4+$B$6,DSS_Calc!$A:$A,0))-1</f>
        <v>-7.0438054571518194E-2</v>
      </c>
      <c r="Y40" s="787">
        <f>ABS(INDEX(DSS_Calc!$KU:$KU,MATCH(W$4+$B40,DSS_Calc!$A:$A,0)))</f>
        <v>14.584309069303625</v>
      </c>
      <c r="Z40" s="772">
        <f t="shared" si="66"/>
        <v>48</v>
      </c>
      <c r="AA40" s="807">
        <f t="shared" si="73"/>
        <v>100</v>
      </c>
      <c r="AB40" s="807">
        <f t="shared" si="74"/>
        <v>25</v>
      </c>
      <c r="AC40" s="807">
        <f>INDEX(DSS_Calc!$JM:$JM,MATCH(W$4+$B40,DSS_Calc!$A:$A,0))</f>
        <v>1914.9664810203817</v>
      </c>
      <c r="AD40" s="772"/>
      <c r="AE40" s="776">
        <f>INDEX(DSS_Calc!$JD:$JD,MATCH(AE$4+$B40,DSS_Calc!$A:$A,0))-INDEX(DSS_Calc!$JD:$JD,MATCH(AE$4+$B$6,DSS_Calc!$A:$A,0))</f>
        <v>-364.36725730386206</v>
      </c>
      <c r="AF40" s="775">
        <f>INDEX(DSS_Calc!$JM:$JM,MATCH(AE$4+$B40,DSS_Calc!$A:$A,0))/INDEX(DSS_Calc!$JM:$JM,MATCH(AE$4+$B$6,DSS_Calc!$A:$A,0))-1</f>
        <v>-7.6575450856528282E-2</v>
      </c>
      <c r="AG40" s="787">
        <f>ABS(INDEX(DSS_Calc!$KU:$KU,MATCH(AE$4+$B40,DSS_Calc!$A:$A,0)))</f>
        <v>6.3138176041028045</v>
      </c>
      <c r="AH40" s="772">
        <f t="shared" si="67"/>
        <v>49</v>
      </c>
      <c r="AI40" s="807">
        <f t="shared" si="75"/>
        <v>100</v>
      </c>
      <c r="AJ40" s="807">
        <f t="shared" si="76"/>
        <v>24</v>
      </c>
      <c r="AK40" s="807">
        <f>INDEX(DSS_Calc!$JM:$JM,MATCH(AE$4+$B40,DSS_Calc!$A:$A,0))</f>
        <v>1844.6695922936492</v>
      </c>
      <c r="AL40" s="772"/>
      <c r="AM40" s="776">
        <f>INDEX(DSS_Calc!$JD:$JD,MATCH(AM$4+$B40,DSS_Calc!$A:$A,0))-INDEX(DSS_Calc!$JD:$JD,MATCH(AM$4+$B$6,DSS_Calc!$A:$A,0))</f>
        <v>-288.82934785621455</v>
      </c>
      <c r="AN40" s="775">
        <f>INDEX(DSS_Calc!$JM:$JM,MATCH(AM$4+$B40,DSS_Calc!$A:$A,0))/INDEX(DSS_Calc!$JM:$JM,MATCH(AM$4+$B$6,DSS_Calc!$A:$A,0))-1</f>
        <v>-7.3974324801400315E-2</v>
      </c>
      <c r="AO40" s="787">
        <f>ABS(INDEX(DSS_Calc!$KU:$KU,MATCH(AM$4+$B40,DSS_Calc!$A:$A,0)))</f>
        <v>6.8906928502878397</v>
      </c>
      <c r="AP40" s="772">
        <f t="shared" si="68"/>
        <v>50</v>
      </c>
      <c r="AQ40" s="807">
        <f t="shared" si="77"/>
        <v>100</v>
      </c>
      <c r="AR40" s="807">
        <f t="shared" si="78"/>
        <v>25</v>
      </c>
      <c r="AS40" s="807">
        <f>INDEX(DSS_Calc!$JM:$JM,MATCH(AM$4+$B40,DSS_Calc!$A:$A,0))</f>
        <v>739.47815360302616</v>
      </c>
      <c r="AT40" s="772"/>
      <c r="AU40" s="776">
        <f>INDEX(DSS_Calc!$JD:$JD,MATCH(AU$4+$B40,DSS_Calc!$A:$A,0))-INDEX(DSS_Calc!$JD:$JD,MATCH(AU$4+$B$6,DSS_Calc!$A:$A,0))</f>
        <v>-190.92982920925806</v>
      </c>
      <c r="AV40" s="775">
        <f>INDEX(DSS_Calc!$JM:$JM,MATCH(AU$4+$B40,DSS_Calc!$A:$A,0))/INDEX(DSS_Calc!$JM:$JM,MATCH(AU$4+$B$6,DSS_Calc!$A:$A,0))-1</f>
        <v>-6.1929799665869867E-2</v>
      </c>
    </row>
    <row r="41" spans="2:48">
      <c r="B41" s="831">
        <f t="shared" si="80"/>
        <v>27</v>
      </c>
      <c r="C41" s="777"/>
      <c r="D41" s="778" t="str">
        <f>LEFT(INDEX(DSS_Calc!$D:$D,MATCH(G$4+$B41,DSS_Calc!$A:$A,0)),LEN(INDEX(DSS_Calc!$D:$D,MATCH(G$4+$B41,DSS_Calc!$A:$A,0)))-2)</f>
        <v>750 Combo</v>
      </c>
      <c r="E41" s="777" t="str">
        <f>"MY"&amp;RIGHT(Input!$H$9,2)&amp;" "&amp;Input!$H$3</f>
        <v>MY20 Forte</v>
      </c>
      <c r="F41" s="772"/>
      <c r="G41" s="779">
        <f>INDEX(DSS_Calc!$JD:$JD,MATCH(G$4+$B41,DSS_Calc!$A:$A,0))-INDEX(DSS_Calc!$JD:$JD,MATCH(G$4+$B$6,DSS_Calc!$A:$A,0))</f>
        <v>67.042638279806852</v>
      </c>
      <c r="H41" s="780">
        <f>INDEX(DSS_Calc!$JM:$JM,MATCH(G$4+$B41,DSS_Calc!$A:$A,0))/INDEX(DSS_Calc!$JM:$JM,MATCH(G$4+$B$6,DSS_Calc!$A:$A,0))-1</f>
        <v>2.1024803250548452E-2</v>
      </c>
      <c r="I41" s="788">
        <f>ABS(INDEX(DSS_Calc!$KU:$KU,MATCH(G$4+$B41,DSS_Calc!$A:$A,0)))</f>
        <v>51.314031730837982</v>
      </c>
      <c r="J41" s="777">
        <f t="shared" si="64"/>
        <v>29</v>
      </c>
      <c r="K41" s="808">
        <f t="shared" si="69"/>
        <v>11</v>
      </c>
      <c r="L41" s="808">
        <f t="shared" si="70"/>
        <v>100</v>
      </c>
      <c r="M41" s="808">
        <f>INDEX(DSS_Calc!$JM:$JM,MATCH(G$4+$B41,DSS_Calc!$A:$A,0))</f>
        <v>1080.3560186934676</v>
      </c>
      <c r="N41" s="772"/>
      <c r="O41" s="779">
        <f>INDEX(DSS_Calc!$JD:$JD,MATCH(O$4+$B41,DSS_Calc!$A:$A,0))-INDEX(DSS_Calc!$JD:$JD,MATCH(O$4+$B$6,DSS_Calc!$A:$A,0))</f>
        <v>214.71362130651869</v>
      </c>
      <c r="P41" s="780">
        <f>INDEX(DSS_Calc!$JM:$JM,MATCH(O$4+$B41,DSS_Calc!$A:$A,0))/INDEX(DSS_Calc!$JM:$JM,MATCH(O$4+$B$6,DSS_Calc!$A:$A,0))-1</f>
        <v>4.254453282732551E-2</v>
      </c>
      <c r="Q41" s="788">
        <f>ABS(INDEX(DSS_Calc!$KU:$KU,MATCH(O$4+$B41,DSS_Calc!$A:$A,0)))</f>
        <v>12.03439003425056</v>
      </c>
      <c r="R41" s="777">
        <f t="shared" si="65"/>
        <v>33</v>
      </c>
      <c r="S41" s="808">
        <f t="shared" si="71"/>
        <v>15</v>
      </c>
      <c r="T41" s="808">
        <f t="shared" si="72"/>
        <v>100</v>
      </c>
      <c r="U41" s="808">
        <f>INDEX(DSS_Calc!$JM:$JM,MATCH(O$4+$B41,DSS_Calc!$A:$A,0))</f>
        <v>1801.2655669969661</v>
      </c>
      <c r="V41" s="772"/>
      <c r="W41" s="779">
        <f>INDEX(DSS_Calc!$JD:$JD,MATCH(W$4+$B41,DSS_Calc!$A:$A,0))-INDEX(DSS_Calc!$JD:$JD,MATCH(W$4+$B$6,DSS_Calc!$A:$A,0))</f>
        <v>301.28217768364129</v>
      </c>
      <c r="X41" s="780">
        <f>INDEX(DSS_Calc!$JM:$JM,MATCH(W$4+$B41,DSS_Calc!$A:$A,0))/INDEX(DSS_Calc!$JM:$JM,MATCH(W$4+$B$6,DSS_Calc!$A:$A,0))-1</f>
        <v>5.7349353999458508E-2</v>
      </c>
      <c r="Y41" s="788">
        <f>ABS(INDEX(DSS_Calc!$KU:$KU,MATCH(W$4+$B41,DSS_Calc!$A:$A,0)))</f>
        <v>15.341064579302387</v>
      </c>
      <c r="Z41" s="777">
        <f t="shared" si="66"/>
        <v>36</v>
      </c>
      <c r="AA41" s="808">
        <f t="shared" si="73"/>
        <v>18</v>
      </c>
      <c r="AB41" s="808">
        <f t="shared" si="74"/>
        <v>100</v>
      </c>
      <c r="AC41" s="808">
        <f>INDEX(DSS_Calc!$JM:$JM,MATCH(W$4+$B41,DSS_Calc!$A:$A,0))</f>
        <v>2178.2180107471913</v>
      </c>
      <c r="AD41" s="772"/>
      <c r="AE41" s="779">
        <f>INDEX(DSS_Calc!$JD:$JD,MATCH(AE$4+$B41,DSS_Calc!$A:$A,0))-INDEX(DSS_Calc!$JD:$JD,MATCH(AE$4+$B$6,DSS_Calc!$A:$A,0))</f>
        <v>391.39589162675156</v>
      </c>
      <c r="AF41" s="780">
        <f>INDEX(DSS_Calc!$JM:$JM,MATCH(AE$4+$B41,DSS_Calc!$A:$A,0))/INDEX(DSS_Calc!$JM:$JM,MATCH(AE$4+$B$6,DSS_Calc!$A:$A,0))-1</f>
        <v>6.4770726202531215E-2</v>
      </c>
      <c r="AG41" s="788">
        <f>ABS(INDEX(DSS_Calc!$KU:$KU,MATCH(AE$4+$B41,DSS_Calc!$A:$A,0)))</f>
        <v>6.4817456482027458</v>
      </c>
      <c r="AH41" s="777">
        <f t="shared" si="67"/>
        <v>42</v>
      </c>
      <c r="AI41" s="808">
        <f t="shared" si="75"/>
        <v>24</v>
      </c>
      <c r="AJ41" s="808">
        <f t="shared" si="76"/>
        <v>100</v>
      </c>
      <c r="AK41" s="808">
        <f>INDEX(DSS_Calc!$JM:$JM,MATCH(AE$4+$B41,DSS_Calc!$A:$A,0))</f>
        <v>2127.0283351380422</v>
      </c>
      <c r="AL41" s="772"/>
      <c r="AM41" s="779">
        <f>INDEX(DSS_Calc!$JD:$JD,MATCH(AM$4+$B41,DSS_Calc!$A:$A,0))-INDEX(DSS_Calc!$JD:$JD,MATCH(AM$4+$B$6,DSS_Calc!$A:$A,0))</f>
        <v>341.42832316880049</v>
      </c>
      <c r="AN41" s="780">
        <f>INDEX(DSS_Calc!$JM:$JM,MATCH(AM$4+$B41,DSS_Calc!$A:$A,0))/INDEX(DSS_Calc!$JM:$JM,MATCH(AM$4+$B$6,DSS_Calc!$A:$A,0))-1</f>
        <v>5.7700432031413396E-2</v>
      </c>
      <c r="AO41" s="788">
        <f>ABS(INDEX(DSS_Calc!$KU:$KU,MATCH(AM$4+$B41,DSS_Calc!$A:$A,0)))</f>
        <v>7.1955663516745609</v>
      </c>
      <c r="AP41" s="777">
        <f t="shared" si="68"/>
        <v>42</v>
      </c>
      <c r="AQ41" s="808">
        <f t="shared" si="77"/>
        <v>23</v>
      </c>
      <c r="AR41" s="808">
        <f t="shared" si="78"/>
        <v>100</v>
      </c>
      <c r="AS41" s="808">
        <f>INDEX(DSS_Calc!$JM:$JM,MATCH(AM$4+$B41,DSS_Calc!$A:$A,0))</f>
        <v>844.62708053528866</v>
      </c>
      <c r="AT41" s="772"/>
      <c r="AU41" s="779">
        <f>INDEX(DSS_Calc!$JD:$JD,MATCH(AU$4+$B41,DSS_Calc!$A:$A,0))-INDEX(DSS_Calc!$JD:$JD,MATCH(AU$4+$B$6,DSS_Calc!$A:$A,0))</f>
        <v>267.99058052825421</v>
      </c>
      <c r="AV41" s="780">
        <f>INDEX(DSS_Calc!$JM:$JM,MATCH(AU$4+$B41,DSS_Calc!$A:$A,0))/INDEX(DSS_Calc!$JM:$JM,MATCH(AU$4+$B$6,DSS_Calc!$A:$A,0))-1</f>
        <v>5.0949447910612955E-2</v>
      </c>
    </row>
    <row r="42" spans="2:48">
      <c r="B42" s="831">
        <f t="shared" si="80"/>
        <v>28</v>
      </c>
      <c r="C42" s="772"/>
      <c r="D42" s="774" t="str">
        <f>LEFT(INDEX(DSS_Calc!$D:$D,MATCH(G$4+$B42,DSS_Calc!$A:$A,0)),LEN(INDEX(DSS_Calc!$D:$D,MATCH(G$4+$B42,DSS_Calc!$A:$A,0)))-2)</f>
        <v>1000 Combo</v>
      </c>
      <c r="E42" s="772" t="str">
        <f>"MY"&amp;RIGHT(Input!$H$9,2)&amp;" "&amp;Input!$H$3</f>
        <v>MY20 Forte</v>
      </c>
      <c r="F42" s="772"/>
      <c r="G42" s="776">
        <f>INDEX(DSS_Calc!$JD:$JD,MATCH(G$4+$B42,DSS_Calc!$A:$A,0))-INDEX(DSS_Calc!$JD:$JD,MATCH(G$4+$B$6,DSS_Calc!$A:$A,0))</f>
        <v>81.763889906539589</v>
      </c>
      <c r="H42" s="775">
        <f>INDEX(DSS_Calc!$JM:$JM,MATCH(G$4+$B42,DSS_Calc!$A:$A,0))/INDEX(DSS_Calc!$JM:$JM,MATCH(G$4+$B$6,DSS_Calc!$A:$A,0))-1</f>
        <v>2.866245274824486E-2</v>
      </c>
      <c r="I42" s="787">
        <f>ABS(INDEX(DSS_Calc!$KU:$KU,MATCH(G$4+$B42,DSS_Calc!$A:$A,0)))</f>
        <v>51.530780674853993</v>
      </c>
      <c r="J42" s="772">
        <f t="shared" si="64"/>
        <v>26</v>
      </c>
      <c r="K42" s="807">
        <f t="shared" si="69"/>
        <v>9</v>
      </c>
      <c r="L42" s="807">
        <f t="shared" si="70"/>
        <v>100</v>
      </c>
      <c r="M42" s="807">
        <f>INDEX(DSS_Calc!$JM:$JM,MATCH(G$4+$B42,DSS_Calc!$A:$A,0))</f>
        <v>1088.4374879949364</v>
      </c>
      <c r="N42" s="772"/>
      <c r="O42" s="776">
        <f>INDEX(DSS_Calc!$JD:$JD,MATCH(O$4+$B42,DSS_Calc!$A:$A,0))-INDEX(DSS_Calc!$JD:$JD,MATCH(O$4+$B$6,DSS_Calc!$A:$A,0))</f>
        <v>293.00509712421353</v>
      </c>
      <c r="P42" s="775">
        <f>INDEX(DSS_Calc!$JM:$JM,MATCH(O$4+$B42,DSS_Calc!$A:$A,0))/INDEX(DSS_Calc!$JM:$JM,MATCH(O$4+$B$6,DSS_Calc!$A:$A,0))-1</f>
        <v>5.9215570507575421E-2</v>
      </c>
      <c r="Q42" s="787">
        <f>ABS(INDEX(DSS_Calc!$KU:$KU,MATCH(O$4+$B42,DSS_Calc!$A:$A,0)))</f>
        <v>12.066993476559251</v>
      </c>
      <c r="R42" s="772">
        <f t="shared" si="65"/>
        <v>31</v>
      </c>
      <c r="S42" s="807">
        <f t="shared" si="71"/>
        <v>13</v>
      </c>
      <c r="T42" s="807">
        <f t="shared" si="72"/>
        <v>100</v>
      </c>
      <c r="U42" s="807">
        <f>INDEX(DSS_Calc!$JM:$JM,MATCH(O$4+$B42,DSS_Calc!$A:$A,0))</f>
        <v>1830.0691002696467</v>
      </c>
      <c r="V42" s="772"/>
      <c r="W42" s="776">
        <f>INDEX(DSS_Calc!$JD:$JD,MATCH(W$4+$B42,DSS_Calc!$A:$A,0))-INDEX(DSS_Calc!$JD:$JD,MATCH(W$4+$B$6,DSS_Calc!$A:$A,0))</f>
        <v>392.94936893818885</v>
      </c>
      <c r="X42" s="775">
        <f>INDEX(DSS_Calc!$JM:$JM,MATCH(W$4+$B42,DSS_Calc!$A:$A,0))/INDEX(DSS_Calc!$JM:$JM,MATCH(W$4+$B$6,DSS_Calc!$A:$A,0))-1</f>
        <v>7.7922160848783673E-2</v>
      </c>
      <c r="Y42" s="787">
        <f>ABS(INDEX(DSS_Calc!$KU:$KU,MATCH(W$4+$B42,DSS_Calc!$A:$A,0)))</f>
        <v>15.384227699150955</v>
      </c>
      <c r="Z42" s="772">
        <f t="shared" si="66"/>
        <v>34</v>
      </c>
      <c r="AA42" s="807">
        <f t="shared" si="73"/>
        <v>16</v>
      </c>
      <c r="AB42" s="807">
        <f t="shared" si="74"/>
        <v>100</v>
      </c>
      <c r="AC42" s="807">
        <f>INDEX(DSS_Calc!$JM:$JM,MATCH(W$4+$B42,DSS_Calc!$A:$A,0))</f>
        <v>2220.5995171445993</v>
      </c>
      <c r="AD42" s="772"/>
      <c r="AE42" s="776">
        <f>INDEX(DSS_Calc!$JD:$JD,MATCH(AE$4+$B42,DSS_Calc!$A:$A,0))-INDEX(DSS_Calc!$JD:$JD,MATCH(AE$4+$B$6,DSS_Calc!$A:$A,0))</f>
        <v>514.64449970999112</v>
      </c>
      <c r="AF42" s="775">
        <f>INDEX(DSS_Calc!$JM:$JM,MATCH(AE$4+$B42,DSS_Calc!$A:$A,0))/INDEX(DSS_Calc!$JM:$JM,MATCH(AE$4+$B$6,DSS_Calc!$A:$A,0))-1</f>
        <v>8.4624435425989963E-2</v>
      </c>
      <c r="AG42" s="787">
        <f>ABS(INDEX(DSS_Calc!$KU:$KU,MATCH(AE$4+$B42,DSS_Calc!$A:$A,0)))</f>
        <v>6.4647196184039348</v>
      </c>
      <c r="AH42" s="772">
        <f t="shared" si="67"/>
        <v>44</v>
      </c>
      <c r="AI42" s="807">
        <f t="shared" si="75"/>
        <v>25</v>
      </c>
      <c r="AJ42" s="807">
        <f t="shared" si="76"/>
        <v>100</v>
      </c>
      <c r="AK42" s="807">
        <f>INDEX(DSS_Calc!$JM:$JM,MATCH(AE$4+$B42,DSS_Calc!$A:$A,0))</f>
        <v>2166.6888940139402</v>
      </c>
      <c r="AL42" s="772"/>
      <c r="AM42" s="776">
        <f>INDEX(DSS_Calc!$JD:$JD,MATCH(AM$4+$B42,DSS_Calc!$A:$A,0))-INDEX(DSS_Calc!$JD:$JD,MATCH(AM$4+$B$6,DSS_Calc!$A:$A,0))</f>
        <v>489.11024444632221</v>
      </c>
      <c r="AN42" s="775">
        <f>INDEX(DSS_Calc!$JM:$JM,MATCH(AM$4+$B42,DSS_Calc!$A:$A,0))/INDEX(DSS_Calc!$JM:$JM,MATCH(AM$4+$B$6,DSS_Calc!$A:$A,0))-1</f>
        <v>8.2479409916388358E-2</v>
      </c>
      <c r="AO42" s="787">
        <f>ABS(INDEX(DSS_Calc!$KU:$KU,MATCH(AM$4+$B42,DSS_Calc!$A:$A,0)))</f>
        <v>7.1771110593490777</v>
      </c>
      <c r="AP42" s="772">
        <f t="shared" si="68"/>
        <v>43</v>
      </c>
      <c r="AQ42" s="807">
        <f t="shared" si="77"/>
        <v>24</v>
      </c>
      <c r="AR42" s="807">
        <f t="shared" si="78"/>
        <v>100</v>
      </c>
      <c r="AS42" s="807">
        <f>INDEX(DSS_Calc!$JM:$JM,MATCH(AM$4+$B42,DSS_Calc!$A:$A,0))</f>
        <v>864.41434270879336</v>
      </c>
      <c r="AT42" s="772"/>
      <c r="AU42" s="776">
        <f>INDEX(DSS_Calc!$JD:$JD,MATCH(AU$4+$B42,DSS_Calc!$A:$A,0))-INDEX(DSS_Calc!$JD:$JD,MATCH(AU$4+$B$6,DSS_Calc!$A:$A,0))</f>
        <v>358.07639737821137</v>
      </c>
      <c r="AV42" s="775">
        <f>INDEX(DSS_Calc!$JM:$JM,MATCH(AU$4+$B42,DSS_Calc!$A:$A,0))/INDEX(DSS_Calc!$JM:$JM,MATCH(AU$4+$B$6,DSS_Calc!$A:$A,0))-1</f>
        <v>6.9100707213269441E-2</v>
      </c>
    </row>
    <row r="43" spans="2:48">
      <c r="B43" s="831">
        <f t="shared" si="80"/>
        <v>29</v>
      </c>
      <c r="C43" s="777"/>
      <c r="D43" s="778" t="str">
        <f>LEFT(INDEX(DSS_Calc!$D:$D,MATCH(G$4+$B43,DSS_Calc!$A:$A,0)),LEN(INDEX(DSS_Calc!$D:$D,MATCH(G$4+$B43,DSS_Calc!$A:$A,0)))-2)</f>
        <v>-720 Lease</v>
      </c>
      <c r="E43" s="777" t="str">
        <f>"MY"&amp;RIGHT(Input!$H$9,2)&amp;" "&amp;Input!$H$3</f>
        <v>MY20 Forte</v>
      </c>
      <c r="F43" s="772"/>
      <c r="G43" s="779">
        <f>INDEX(DSS_Calc!$JD:$JD,MATCH(G$4+$B43,DSS_Calc!$A:$A,0))-INDEX(DSS_Calc!$JD:$JD,MATCH(G$4+$B$6,DSS_Calc!$A:$A,0))</f>
        <v>-763.16373527353517</v>
      </c>
      <c r="H43" s="780">
        <f>INDEX(DSS_Calc!$JM:$JM,MATCH(G$4+$B43,DSS_Calc!$A:$A,0))/INDEX(DSS_Calc!$JM:$JM,MATCH(G$4+$B$6,DSS_Calc!$A:$A,0))-1</f>
        <v>-0.11164077241893255</v>
      </c>
      <c r="I43" s="788">
        <f>ABS(INDEX(DSS_Calc!$KU:$KU,MATCH(G$4+$B43,DSS_Calc!$A:$A,0)))</f>
        <v>53.277065550941174</v>
      </c>
      <c r="J43" s="777">
        <f t="shared" si="64"/>
        <v>3</v>
      </c>
      <c r="K43" s="808">
        <f t="shared" si="69"/>
        <v>100</v>
      </c>
      <c r="L43" s="808">
        <f t="shared" si="70"/>
        <v>3</v>
      </c>
      <c r="M43" s="808">
        <f>INDEX(DSS_Calc!$JM:$JM,MATCH(G$4+$B43,DSS_Calc!$A:$A,0))</f>
        <v>939.98131604994444</v>
      </c>
      <c r="N43" s="772"/>
      <c r="O43" s="779">
        <f>INDEX(DSS_Calc!$JD:$JD,MATCH(O$4+$B43,DSS_Calc!$A:$A,0))-INDEX(DSS_Calc!$JD:$JD,MATCH(O$4+$B$6,DSS_Calc!$A:$A,0))</f>
        <v>-462.87157654917382</v>
      </c>
      <c r="P43" s="780">
        <f>INDEX(DSS_Calc!$JM:$JM,MATCH(O$4+$B43,DSS_Calc!$A:$A,0))/INDEX(DSS_Calc!$JM:$JM,MATCH(O$4+$B$6,DSS_Calc!$A:$A,0))-1</f>
        <v>-5.9445438656453242E-2</v>
      </c>
      <c r="Q43" s="788">
        <f>ABS(INDEX(DSS_Calc!$KU:$KU,MATCH(O$4+$B43,DSS_Calc!$A:$A,0)))</f>
        <v>12.521303735621247</v>
      </c>
      <c r="R43" s="777">
        <f t="shared" si="65"/>
        <v>5</v>
      </c>
      <c r="S43" s="808">
        <f t="shared" si="71"/>
        <v>100</v>
      </c>
      <c r="T43" s="808">
        <f t="shared" si="72"/>
        <v>3</v>
      </c>
      <c r="U43" s="808">
        <f>INDEX(DSS_Calc!$JM:$JM,MATCH(O$4+$B43,DSS_Calc!$A:$A,0))</f>
        <v>1625.0514888179566</v>
      </c>
      <c r="V43" s="772"/>
      <c r="W43" s="779">
        <f>INDEX(DSS_Calc!$JD:$JD,MATCH(W$4+$B43,DSS_Calc!$A:$A,0))-INDEX(DSS_Calc!$JD:$JD,MATCH(W$4+$B$6,DSS_Calc!$A:$A,0))</f>
        <v>-421.84200864486274</v>
      </c>
      <c r="X43" s="780">
        <f>INDEX(DSS_Calc!$JM:$JM,MATCH(W$4+$B43,DSS_Calc!$A:$A,0))/INDEX(DSS_Calc!$JM:$JM,MATCH(W$4+$B$6,DSS_Calc!$A:$A,0))-1</f>
        <v>-6.2196311420746331E-2</v>
      </c>
      <c r="Y43" s="788">
        <f>ABS(INDEX(DSS_Calc!$KU:$KU,MATCH(W$4+$B43,DSS_Calc!$A:$A,0)))</f>
        <v>15.913927401386053</v>
      </c>
      <c r="Z43" s="777">
        <f t="shared" si="66"/>
        <v>6</v>
      </c>
      <c r="AA43" s="808">
        <f t="shared" si="73"/>
        <v>100</v>
      </c>
      <c r="AB43" s="808">
        <f t="shared" si="74"/>
        <v>3</v>
      </c>
      <c r="AC43" s="808">
        <f>INDEX(DSS_Calc!$JM:$JM,MATCH(W$4+$B43,DSS_Calc!$A:$A,0))</f>
        <v>1931.9450825611671</v>
      </c>
      <c r="AD43" s="772"/>
      <c r="AE43" s="779">
        <f>INDEX(DSS_Calc!$JD:$JD,MATCH(AE$4+$B43,DSS_Calc!$A:$A,0))-INDEX(DSS_Calc!$JD:$JD,MATCH(AE$4+$B$6,DSS_Calc!$A:$A,0))</f>
        <v>-113.46436794094188</v>
      </c>
      <c r="AF43" s="780">
        <f>INDEX(DSS_Calc!$JM:$JM,MATCH(AE$4+$B43,DSS_Calc!$A:$A,0))/INDEX(DSS_Calc!$JM:$JM,MATCH(AE$4+$B$6,DSS_Calc!$A:$A,0))-1</f>
        <v>-1.3911844823872643E-2</v>
      </c>
      <c r="AG43" s="788">
        <f>ABS(INDEX(DSS_Calc!$KU:$KU,MATCH(AE$4+$B43,DSS_Calc!$A:$A,0)))</f>
        <v>6.6062179555902141</v>
      </c>
      <c r="AH43" s="777">
        <f t="shared" si="67"/>
        <v>10</v>
      </c>
      <c r="AI43" s="808">
        <f t="shared" si="75"/>
        <v>100</v>
      </c>
      <c r="AJ43" s="808">
        <f t="shared" si="76"/>
        <v>3</v>
      </c>
      <c r="AK43" s="808">
        <f>INDEX(DSS_Calc!$JM:$JM,MATCH(AE$4+$B43,DSS_Calc!$A:$A,0))</f>
        <v>1969.8489030441899</v>
      </c>
      <c r="AL43" s="772"/>
      <c r="AM43" s="779">
        <f>INDEX(DSS_Calc!$JD:$JD,MATCH(AM$4+$B43,DSS_Calc!$A:$A,0))-INDEX(DSS_Calc!$JD:$JD,MATCH(AM$4+$B$6,DSS_Calc!$A:$A,0))</f>
        <v>-171.12536740333462</v>
      </c>
      <c r="AN43" s="780">
        <f>INDEX(DSS_Calc!$JM:$JM,MATCH(AM$4+$B43,DSS_Calc!$A:$A,0))/INDEX(DSS_Calc!$JM:$JM,MATCH(AM$4+$B$6,DSS_Calc!$A:$A,0))-1</f>
        <v>-2.2940930782275992E-2</v>
      </c>
      <c r="AO43" s="788">
        <f>ABS(INDEX(DSS_Calc!$KU:$KU,MATCH(AM$4+$B43,DSS_Calc!$A:$A,0)))</f>
        <v>7.3558832237704648</v>
      </c>
      <c r="AP43" s="777">
        <f t="shared" si="68"/>
        <v>17</v>
      </c>
      <c r="AQ43" s="808">
        <f t="shared" si="77"/>
        <v>100</v>
      </c>
      <c r="AR43" s="808">
        <f t="shared" si="78"/>
        <v>5</v>
      </c>
      <c r="AS43" s="808">
        <f>INDEX(DSS_Calc!$JM:$JM,MATCH(AM$4+$B43,DSS_Calc!$A:$A,0))</f>
        <v>780.23088972264213</v>
      </c>
      <c r="AT43" s="772"/>
      <c r="AU43" s="779">
        <f>INDEX(DSS_Calc!$JD:$JD,MATCH(AU$4+$B43,DSS_Calc!$A:$A,0))-INDEX(DSS_Calc!$JD:$JD,MATCH(AU$4+$B$6,DSS_Calc!$A:$A,0))</f>
        <v>-391.92352646853351</v>
      </c>
      <c r="AV43" s="780">
        <f>INDEX(DSS_Calc!$JM:$JM,MATCH(AU$4+$B43,DSS_Calc!$A:$A,0))/INDEX(DSS_Calc!$JM:$JM,MATCH(AU$4+$B$6,DSS_Calc!$A:$A,0))-1</f>
        <v>-5.1696943533751538E-2</v>
      </c>
    </row>
    <row r="44" spans="2:48">
      <c r="B44" s="831">
        <f t="shared" si="80"/>
        <v>30</v>
      </c>
      <c r="C44" s="772"/>
      <c r="D44" s="774" t="str">
        <f>LEFT(INDEX(DSS_Calc!$D:$D,MATCH(G$4+$B44,DSS_Calc!$A:$A,0)),LEN(INDEX(DSS_Calc!$D:$D,MATCH(G$4+$B44,DSS_Calc!$A:$A,0)))-2)</f>
        <v>1080 Lease</v>
      </c>
      <c r="E44" s="772" t="str">
        <f>"MY"&amp;RIGHT(Input!$H$9,2)&amp;" "&amp;Input!$H$3</f>
        <v>MY20 Forte</v>
      </c>
      <c r="F44" s="772"/>
      <c r="G44" s="776">
        <f>INDEX(DSS_Calc!$JD:$JD,MATCH(G$4+$B44,DSS_Calc!$A:$A,0))-INDEX(DSS_Calc!$JD:$JD,MATCH(G$4+$B$6,DSS_Calc!$A:$A,0))</f>
        <v>1245.0839427616729</v>
      </c>
      <c r="H44" s="775">
        <f>INDEX(DSS_Calc!$JM:$JM,MATCH(G$4+$B44,DSS_Calc!$A:$A,0))/INDEX(DSS_Calc!$JM:$JM,MATCH(G$4+$B$6,DSS_Calc!$A:$A,0))-1</f>
        <v>0.20950314219811195</v>
      </c>
      <c r="I44" s="787">
        <f>ABS(INDEX(DSS_Calc!$KU:$KU,MATCH(G$4+$B44,DSS_Calc!$A:$A,0)))</f>
        <v>49.384959896979879</v>
      </c>
      <c r="J44" s="772">
        <f t="shared" si="64"/>
        <v>50</v>
      </c>
      <c r="K44" s="807">
        <f t="shared" si="69"/>
        <v>25</v>
      </c>
      <c r="L44" s="807">
        <f t="shared" si="70"/>
        <v>100</v>
      </c>
      <c r="M44" s="807">
        <f>INDEX(DSS_Calc!$JM:$JM,MATCH(G$4+$B44,DSS_Calc!$A:$A,0))</f>
        <v>1279.7867349964295</v>
      </c>
      <c r="N44" s="772"/>
      <c r="O44" s="776">
        <f>INDEX(DSS_Calc!$JD:$JD,MATCH(O$4+$B44,DSS_Calc!$A:$A,0))-INDEX(DSS_Calc!$JD:$JD,MATCH(O$4+$B$6,DSS_Calc!$A:$A,0))</f>
        <v>873.88562586841226</v>
      </c>
      <c r="P44" s="775">
        <f>INDEX(DSS_Calc!$JM:$JM,MATCH(O$4+$B44,DSS_Calc!$A:$A,0))/INDEX(DSS_Calc!$JM:$JM,MATCH(O$4+$B$6,DSS_Calc!$A:$A,0))-1</f>
        <v>0.10241081098433913</v>
      </c>
      <c r="Q44" s="787">
        <f>ABS(INDEX(DSS_Calc!$KU:$KU,MATCH(O$4+$B44,DSS_Calc!$A:$A,0)))</f>
        <v>11.147598824905208</v>
      </c>
      <c r="R44" s="772">
        <f t="shared" si="65"/>
        <v>50</v>
      </c>
      <c r="S44" s="807">
        <f t="shared" si="71"/>
        <v>25</v>
      </c>
      <c r="T44" s="807">
        <f t="shared" si="72"/>
        <v>100</v>
      </c>
      <c r="U44" s="807">
        <f>INDEX(DSS_Calc!$JM:$JM,MATCH(O$4+$B44,DSS_Calc!$A:$A,0))</f>
        <v>1904.7000602708872</v>
      </c>
      <c r="V44" s="772"/>
      <c r="W44" s="776">
        <f>INDEX(DSS_Calc!$JD:$JD,MATCH(W$4+$B44,DSS_Calc!$A:$A,0))-INDEX(DSS_Calc!$JD:$JD,MATCH(W$4+$B$6,DSS_Calc!$A:$A,0))</f>
        <v>903.13897400777023</v>
      </c>
      <c r="X44" s="775">
        <f>INDEX(DSS_Calc!$JM:$JM,MATCH(W$4+$B44,DSS_Calc!$A:$A,0))/INDEX(DSS_Calc!$JM:$JM,MATCH(W$4+$B$6,DSS_Calc!$A:$A,0))-1</f>
        <v>0.11061846478730164</v>
      </c>
      <c r="Y44" s="787">
        <f>ABS(INDEX(DSS_Calc!$KU:$KU,MATCH(W$4+$B44,DSS_Calc!$A:$A,0)))</f>
        <v>14.231242616114573</v>
      </c>
      <c r="Z44" s="772">
        <f t="shared" si="66"/>
        <v>50</v>
      </c>
      <c r="AA44" s="807">
        <f t="shared" si="73"/>
        <v>25</v>
      </c>
      <c r="AB44" s="807">
        <f t="shared" si="74"/>
        <v>100</v>
      </c>
      <c r="AC44" s="807">
        <f>INDEX(DSS_Calc!$JM:$JM,MATCH(W$4+$B44,DSS_Calc!$A:$A,0))</f>
        <v>2287.9563258042476</v>
      </c>
      <c r="AD44" s="772"/>
      <c r="AE44" s="776">
        <f>INDEX(DSS_Calc!$JD:$JD,MATCH(AE$4+$B44,DSS_Calc!$A:$A,0))-INDEX(DSS_Calc!$JD:$JD,MATCH(AE$4+$B$6,DSS_Calc!$A:$A,0))</f>
        <v>244.44271982802184</v>
      </c>
      <c r="AF44" s="775">
        <f>INDEX(DSS_Calc!$JM:$JM,MATCH(AE$4+$B44,DSS_Calc!$A:$A,0))/INDEX(DSS_Calc!$JM:$JM,MATCH(AE$4+$B$6,DSS_Calc!$A:$A,0))-1</f>
        <v>2.3698639590694182E-2</v>
      </c>
      <c r="AG44" s="787">
        <f>ABS(INDEX(DSS_Calc!$KU:$KU,MATCH(AE$4+$B44,DSS_Calc!$A:$A,0)))</f>
        <v>6.2843025212503845</v>
      </c>
      <c r="AH44" s="772">
        <f t="shared" si="67"/>
        <v>50</v>
      </c>
      <c r="AI44" s="807">
        <f t="shared" si="75"/>
        <v>100</v>
      </c>
      <c r="AJ44" s="807">
        <f t="shared" si="76"/>
        <v>25</v>
      </c>
      <c r="AK44" s="807">
        <f>INDEX(DSS_Calc!$JM:$JM,MATCH(AE$4+$B44,DSS_Calc!$A:$A,0))</f>
        <v>2044.9811020043958</v>
      </c>
      <c r="AL44" s="772"/>
      <c r="AM44" s="776">
        <f>INDEX(DSS_Calc!$JD:$JD,MATCH(AM$4+$B44,DSS_Calc!$A:$A,0))-INDEX(DSS_Calc!$JD:$JD,MATCH(AM$4+$B$6,DSS_Calc!$A:$A,0))</f>
        <v>344.80814296449262</v>
      </c>
      <c r="AN44" s="775">
        <f>INDEX(DSS_Calc!$JM:$JM,MATCH(AM$4+$B44,DSS_Calc!$A:$A,0))/INDEX(DSS_Calc!$JM:$JM,MATCH(AM$4+$B$6,DSS_Calc!$A:$A,0))-1</f>
        <v>3.7174163362718726E-2</v>
      </c>
      <c r="AO44" s="787">
        <f>ABS(INDEX(DSS_Calc!$KU:$KU,MATCH(AM$4+$B44,DSS_Calc!$A:$A,0)))</f>
        <v>6.9291775387715271</v>
      </c>
      <c r="AP44" s="772">
        <f t="shared" si="68"/>
        <v>49</v>
      </c>
      <c r="AQ44" s="807">
        <f t="shared" si="77"/>
        <v>25</v>
      </c>
      <c r="AR44" s="807">
        <f t="shared" si="78"/>
        <v>100</v>
      </c>
      <c r="AS44" s="807">
        <f>INDEX(DSS_Calc!$JM:$JM,MATCH(AM$4+$B44,DSS_Calc!$A:$A,0))</f>
        <v>828.23582091688684</v>
      </c>
      <c r="AT44" s="772"/>
      <c r="AU44" s="776">
        <f>INDEX(DSS_Calc!$JD:$JD,MATCH(AU$4+$B44,DSS_Calc!$A:$A,0))-INDEX(DSS_Calc!$JD:$JD,MATCH(AU$4+$B$6,DSS_Calc!$A:$A,0))</f>
        <v>777.26447987872689</v>
      </c>
      <c r="AV44" s="775">
        <f>INDEX(DSS_Calc!$JM:$JM,MATCH(AU$4+$B44,DSS_Calc!$A:$A,0))/INDEX(DSS_Calc!$JM:$JM,MATCH(AU$4+$B$6,DSS_Calc!$A:$A,0))-1</f>
        <v>9.2059050333476833E-2</v>
      </c>
    </row>
    <row r="45" spans="2:48">
      <c r="B45" s="831">
        <f t="shared" si="80"/>
        <v>31</v>
      </c>
      <c r="C45" s="777"/>
      <c r="D45" s="778" t="str">
        <f>LEFT(INDEX(DSS_Calc!$D:$D,MATCH(G$4+$B45,DSS_Calc!$A:$A,0)),LEN(INDEX(DSS_Calc!$D:$D,MATCH(G$4+$B45,DSS_Calc!$A:$A,0)))-2)</f>
        <v>250 CC, 250 Combo</v>
      </c>
      <c r="E45" s="777" t="str">
        <f>"MY"&amp;RIGHT(Input!$H$9,2)&amp;" "&amp;Input!$H$3</f>
        <v>MY20 Forte</v>
      </c>
      <c r="F45" s="772"/>
      <c r="G45" s="779">
        <f>INDEX(DSS_Calc!$JD:$JD,MATCH(G$4+$B45,DSS_Calc!$A:$A,0))-INDEX(DSS_Calc!$JD:$JD,MATCH(G$4+$B$6,DSS_Calc!$A:$A,0))</f>
        <v>5.7572529543522251</v>
      </c>
      <c r="H45" s="780">
        <f>INDEX(DSS_Calc!$JM:$JM,MATCH(G$4+$B45,DSS_Calc!$A:$A,0))/INDEX(DSS_Calc!$JM:$JM,MATCH(G$4+$B$6,DSS_Calc!$A:$A,0))-1</f>
        <v>1.4568935703354491E-2</v>
      </c>
      <c r="I45" s="788">
        <f>ABS(INDEX(DSS_Calc!$KU:$KU,MATCH(G$4+$B45,DSS_Calc!$A:$A,0)))</f>
        <v>51.595788911457525</v>
      </c>
      <c r="J45" s="777">
        <f t="shared" si="64"/>
        <v>24</v>
      </c>
      <c r="K45" s="808">
        <f t="shared" si="69"/>
        <v>7</v>
      </c>
      <c r="L45" s="808">
        <f t="shared" si="70"/>
        <v>100</v>
      </c>
      <c r="M45" s="808">
        <f>INDEX(DSS_Calc!$JM:$JM,MATCH(G$4+$B45,DSS_Calc!$A:$A,0))</f>
        <v>1073.5250040713993</v>
      </c>
      <c r="N45" s="772"/>
      <c r="O45" s="779">
        <f>INDEX(DSS_Calc!$JD:$JD,MATCH(O$4+$B45,DSS_Calc!$A:$A,0))-INDEX(DSS_Calc!$JD:$JD,MATCH(O$4+$B$6,DSS_Calc!$A:$A,0))</f>
        <v>98.208460033684332</v>
      </c>
      <c r="P45" s="780">
        <f>INDEX(DSS_Calc!$JM:$JM,MATCH(O$4+$B45,DSS_Calc!$A:$A,0))/INDEX(DSS_Calc!$JM:$JM,MATCH(O$4+$B$6,DSS_Calc!$A:$A,0))-1</f>
        <v>2.9289822196498116E-2</v>
      </c>
      <c r="Q45" s="788">
        <f>ABS(INDEX(DSS_Calc!$KU:$KU,MATCH(O$4+$B45,DSS_Calc!$A:$A,0)))</f>
        <v>12.17791266870349</v>
      </c>
      <c r="R45" s="777">
        <f t="shared" si="65"/>
        <v>24</v>
      </c>
      <c r="S45" s="808">
        <f t="shared" si="71"/>
        <v>100</v>
      </c>
      <c r="T45" s="808">
        <f t="shared" si="72"/>
        <v>14</v>
      </c>
      <c r="U45" s="808">
        <f>INDEX(DSS_Calc!$JM:$JM,MATCH(O$4+$B45,DSS_Calc!$A:$A,0))</f>
        <v>1778.3646230966901</v>
      </c>
      <c r="V45" s="772"/>
      <c r="W45" s="779">
        <f>INDEX(DSS_Calc!$JD:$JD,MATCH(W$4+$B45,DSS_Calc!$A:$A,0))-INDEX(DSS_Calc!$JD:$JD,MATCH(W$4+$B$6,DSS_Calc!$A:$A,0))</f>
        <v>133.1465060300452</v>
      </c>
      <c r="X45" s="780">
        <f>INDEX(DSS_Calc!$JM:$JM,MATCH(W$4+$B45,DSS_Calc!$A:$A,0))/INDEX(DSS_Calc!$JM:$JM,MATCH(W$4+$B$6,DSS_Calc!$A:$A,0))-1</f>
        <v>3.1264579831218997E-2</v>
      </c>
      <c r="Y45" s="788">
        <f>ABS(INDEX(DSS_Calc!$KU:$KU,MATCH(W$4+$B45,DSS_Calc!$A:$A,0)))</f>
        <v>15.489265671151658</v>
      </c>
      <c r="Z45" s="777">
        <f t="shared" si="66"/>
        <v>24</v>
      </c>
      <c r="AA45" s="808">
        <f t="shared" si="73"/>
        <v>100</v>
      </c>
      <c r="AB45" s="808">
        <f t="shared" si="74"/>
        <v>14</v>
      </c>
      <c r="AC45" s="808">
        <f>INDEX(DSS_Calc!$JM:$JM,MATCH(W$4+$B45,DSS_Calc!$A:$A,0))</f>
        <v>2124.4814432781563</v>
      </c>
      <c r="AD45" s="772"/>
      <c r="AE45" s="779">
        <f>INDEX(DSS_Calc!$JD:$JD,MATCH(AE$4+$B45,DSS_Calc!$A:$A,0))-INDEX(DSS_Calc!$JD:$JD,MATCH(AE$4+$B$6,DSS_Calc!$A:$A,0))</f>
        <v>211.87073672054385</v>
      </c>
      <c r="AF45" s="780">
        <f>INDEX(DSS_Calc!$JM:$JM,MATCH(AE$4+$B45,DSS_Calc!$A:$A,0))/INDEX(DSS_Calc!$JM:$JM,MATCH(AE$4+$B$6,DSS_Calc!$A:$A,0))-1</f>
        <v>4.0262779470029875E-2</v>
      </c>
      <c r="AG45" s="788">
        <f>ABS(INDEX(DSS_Calc!$KU:$KU,MATCH(AE$4+$B45,DSS_Calc!$A:$A,0)))</f>
        <v>6.5653984087121016</v>
      </c>
      <c r="AH45" s="777">
        <f t="shared" si="67"/>
        <v>24</v>
      </c>
      <c r="AI45" s="808">
        <f t="shared" si="75"/>
        <v>100</v>
      </c>
      <c r="AJ45" s="808">
        <f t="shared" si="76"/>
        <v>8</v>
      </c>
      <c r="AK45" s="808">
        <f>INDEX(DSS_Calc!$JM:$JM,MATCH(AE$4+$B45,DSS_Calc!$A:$A,0))</f>
        <v>2078.0702863738725</v>
      </c>
      <c r="AL45" s="772"/>
      <c r="AM45" s="779">
        <f>INDEX(DSS_Calc!$JD:$JD,MATCH(AM$4+$B45,DSS_Calc!$A:$A,0))-INDEX(DSS_Calc!$JD:$JD,MATCH(AM$4+$B$6,DSS_Calc!$A:$A,0))</f>
        <v>192.16170759634542</v>
      </c>
      <c r="AN45" s="780">
        <f>INDEX(DSS_Calc!$JM:$JM,MATCH(AM$4+$B45,DSS_Calc!$A:$A,0))/INDEX(DSS_Calc!$JM:$JM,MATCH(AM$4+$B$6,DSS_Calc!$A:$A,0))-1</f>
        <v>3.8730248190832262E-2</v>
      </c>
      <c r="AO45" s="788">
        <f>ABS(INDEX(DSS_Calc!$KU:$KU,MATCH(AM$4+$B45,DSS_Calc!$A:$A,0)))</f>
        <v>7.296463543730856</v>
      </c>
      <c r="AP45" s="777">
        <f t="shared" si="68"/>
        <v>32</v>
      </c>
      <c r="AQ45" s="808">
        <f t="shared" si="77"/>
        <v>100</v>
      </c>
      <c r="AR45" s="808">
        <f t="shared" si="78"/>
        <v>12</v>
      </c>
      <c r="AS45" s="808">
        <f>INDEX(DSS_Calc!$JM:$JM,MATCH(AM$4+$B45,DSS_Calc!$A:$A,0))</f>
        <v>829.47843304564481</v>
      </c>
      <c r="AT45" s="772"/>
      <c r="AU45" s="779">
        <f>INDEX(DSS_Calc!$JD:$JD,MATCH(AU$4+$B45,DSS_Calc!$A:$A,0))-INDEX(DSS_Calc!$JD:$JD,MATCH(AU$4+$B$6,DSS_Calc!$A:$A,0))</f>
        <v>128.33585765031694</v>
      </c>
      <c r="AV45" s="780">
        <f>INDEX(DSS_Calc!$JM:$JM,MATCH(AU$4+$B45,DSS_Calc!$A:$A,0))/INDEX(DSS_Calc!$JM:$JM,MATCH(AU$4+$B$6,DSS_Calc!$A:$A,0))-1</f>
        <v>3.1638709609711491E-2</v>
      </c>
    </row>
    <row r="46" spans="2:48">
      <c r="B46" s="831">
        <f t="shared" si="80"/>
        <v>32</v>
      </c>
      <c r="C46" s="772"/>
      <c r="D46" s="774" t="str">
        <f>LEFT(INDEX(DSS_Calc!$D:$D,MATCH(G$4+$B46,DSS_Calc!$A:$A,0)),LEN(INDEX(DSS_Calc!$D:$D,MATCH(G$4+$B46,DSS_Calc!$A:$A,0)))-2)</f>
        <v>500 CC, 500 Combo</v>
      </c>
      <c r="E46" s="772" t="str">
        <f>"MY"&amp;RIGHT(Input!$H$9,2)&amp;" "&amp;Input!$H$3</f>
        <v>MY20 Forte</v>
      </c>
      <c r="F46" s="772"/>
      <c r="G46" s="776">
        <f>INDEX(DSS_Calc!$JD:$JD,MATCH(G$4+$B46,DSS_Calc!$A:$A,0))-INDEX(DSS_Calc!$JD:$JD,MATCH(G$4+$B$6,DSS_Calc!$A:$A,0))</f>
        <v>18.667560103694996</v>
      </c>
      <c r="H46" s="775">
        <f>INDEX(DSS_Calc!$JM:$JM,MATCH(G$4+$B46,DSS_Calc!$A:$A,0))/INDEX(DSS_Calc!$JM:$JM,MATCH(G$4+$B$6,DSS_Calc!$A:$A,0))-1</f>
        <v>2.9670265417032216E-2</v>
      </c>
      <c r="I46" s="787">
        <f>ABS(INDEX(DSS_Calc!$KU:$KU,MATCH(G$4+$B46,DSS_Calc!$A:$A,0)))</f>
        <v>52.183388728520953</v>
      </c>
      <c r="J46" s="772">
        <f t="shared" si="64"/>
        <v>17</v>
      </c>
      <c r="K46" s="807">
        <f t="shared" si="69"/>
        <v>3</v>
      </c>
      <c r="L46" s="807">
        <f t="shared" si="70"/>
        <v>100</v>
      </c>
      <c r="M46" s="807">
        <f>INDEX(DSS_Calc!$JM:$JM,MATCH(G$4+$B46,DSS_Calc!$A:$A,0))</f>
        <v>1089.5038641289673</v>
      </c>
      <c r="N46" s="772"/>
      <c r="O46" s="776">
        <f>INDEX(DSS_Calc!$JD:$JD,MATCH(O$4+$B46,DSS_Calc!$A:$A,0))-INDEX(DSS_Calc!$JD:$JD,MATCH(O$4+$B$6,DSS_Calc!$A:$A,0))</f>
        <v>207.24550877449428</v>
      </c>
      <c r="P46" s="775">
        <f>INDEX(DSS_Calc!$JM:$JM,MATCH(O$4+$B46,DSS_Calc!$A:$A,0))/INDEX(DSS_Calc!$JM:$JM,MATCH(O$4+$B$6,DSS_Calc!$A:$A,0))-1</f>
        <v>5.9404554823387024E-2</v>
      </c>
      <c r="Q46" s="787">
        <f>ABS(INDEX(DSS_Calc!$KU:$KU,MATCH(O$4+$B46,DSS_Calc!$A:$A,0)))</f>
        <v>12.33322277736479</v>
      </c>
      <c r="R46" s="772">
        <f t="shared" si="65"/>
        <v>17</v>
      </c>
      <c r="S46" s="807">
        <f t="shared" si="71"/>
        <v>7</v>
      </c>
      <c r="T46" s="807">
        <f t="shared" si="72"/>
        <v>100</v>
      </c>
      <c r="U46" s="807">
        <f>INDEX(DSS_Calc!$JM:$JM,MATCH(O$4+$B46,DSS_Calc!$A:$A,0))</f>
        <v>1830.3956195981311</v>
      </c>
      <c r="V46" s="772"/>
      <c r="W46" s="776">
        <f>INDEX(DSS_Calc!$JD:$JD,MATCH(W$4+$B46,DSS_Calc!$A:$A,0))-INDEX(DSS_Calc!$JD:$JD,MATCH(W$4+$B$6,DSS_Calc!$A:$A,0))</f>
        <v>247.33722301876787</v>
      </c>
      <c r="X46" s="775">
        <f>INDEX(DSS_Calc!$JM:$JM,MATCH(W$4+$B46,DSS_Calc!$A:$A,0))/INDEX(DSS_Calc!$JM:$JM,MATCH(W$4+$B$6,DSS_Calc!$A:$A,0))-1</f>
        <v>6.3497328088800931E-2</v>
      </c>
      <c r="Y46" s="787">
        <f>ABS(INDEX(DSS_Calc!$KU:$KU,MATCH(W$4+$B46,DSS_Calc!$A:$A,0)))</f>
        <v>15.668879285706188</v>
      </c>
      <c r="Z46" s="772">
        <f t="shared" si="66"/>
        <v>17</v>
      </c>
      <c r="AA46" s="807">
        <f t="shared" si="73"/>
        <v>7</v>
      </c>
      <c r="AB46" s="807">
        <f t="shared" si="74"/>
        <v>100</v>
      </c>
      <c r="AC46" s="807">
        <f>INDEX(DSS_Calc!$JM:$JM,MATCH(W$4+$B46,DSS_Calc!$A:$A,0))</f>
        <v>2190.8832928891425</v>
      </c>
      <c r="AD46" s="772"/>
      <c r="AE46" s="776">
        <f>INDEX(DSS_Calc!$JD:$JD,MATCH(AE$4+$B46,DSS_Calc!$A:$A,0))-INDEX(DSS_Calc!$JD:$JD,MATCH(AE$4+$B$6,DSS_Calc!$A:$A,0))</f>
        <v>427.61913969718944</v>
      </c>
      <c r="AF46" s="775">
        <f>INDEX(DSS_Calc!$JM:$JM,MATCH(AE$4+$B46,DSS_Calc!$A:$A,0))/INDEX(DSS_Calc!$JM:$JM,MATCH(AE$4+$B$6,DSS_Calc!$A:$A,0))-1</f>
        <v>8.1331255853772433E-2</v>
      </c>
      <c r="AG46" s="787">
        <f>ABS(INDEX(DSS_Calc!$KU:$KU,MATCH(AE$4+$B46,DSS_Calc!$A:$A,0)))</f>
        <v>6.6041011507637739</v>
      </c>
      <c r="AH46" s="772">
        <f t="shared" si="67"/>
        <v>11</v>
      </c>
      <c r="AI46" s="807">
        <f t="shared" si="75"/>
        <v>8</v>
      </c>
      <c r="AJ46" s="807">
        <f t="shared" si="76"/>
        <v>100</v>
      </c>
      <c r="AK46" s="807">
        <f>INDEX(DSS_Calc!$JM:$JM,MATCH(AE$4+$B46,DSS_Calc!$A:$A,0))</f>
        <v>2160.110307572344</v>
      </c>
      <c r="AL46" s="772"/>
      <c r="AM46" s="776">
        <f>INDEX(DSS_Calc!$JD:$JD,MATCH(AM$4+$B46,DSS_Calc!$A:$A,0))-INDEX(DSS_Calc!$JD:$JD,MATCH(AM$4+$B$6,DSS_Calc!$A:$A,0))</f>
        <v>389.65036635414799</v>
      </c>
      <c r="AN46" s="775">
        <f>INDEX(DSS_Calc!$JM:$JM,MATCH(AM$4+$B46,DSS_Calc!$A:$A,0))/INDEX(DSS_Calc!$JM:$JM,MATCH(AM$4+$B$6,DSS_Calc!$A:$A,0))-1</f>
        <v>7.8379144069851359E-2</v>
      </c>
      <c r="AO46" s="787">
        <f>ABS(INDEX(DSS_Calc!$KU:$KU,MATCH(AM$4+$B46,DSS_Calc!$A:$A,0)))</f>
        <v>7.345878703558383</v>
      </c>
      <c r="AP46" s="772">
        <f t="shared" si="68"/>
        <v>19</v>
      </c>
      <c r="AQ46" s="807">
        <f t="shared" si="77"/>
        <v>14</v>
      </c>
      <c r="AR46" s="807">
        <f t="shared" si="78"/>
        <v>100</v>
      </c>
      <c r="AS46" s="807">
        <f>INDEX(DSS_Calc!$JM:$JM,MATCH(AM$4+$B46,DSS_Calc!$A:$A,0))</f>
        <v>861.14007386432695</v>
      </c>
      <c r="AT46" s="772"/>
      <c r="AU46" s="776">
        <f>INDEX(DSS_Calc!$JD:$JD,MATCH(AU$4+$B46,DSS_Calc!$A:$A,0))-INDEX(DSS_Calc!$JD:$JD,MATCH(AU$4+$B$6,DSS_Calc!$A:$A,0))</f>
        <v>257.88331865016789</v>
      </c>
      <c r="AV46" s="775">
        <f>INDEX(DSS_Calc!$JM:$JM,MATCH(AU$4+$B46,DSS_Calc!$A:$A,0))/INDEX(DSS_Calc!$JM:$JM,MATCH(AU$4+$B$6,DSS_Calc!$A:$A,0))-1</f>
        <v>6.4105218886293835E-2</v>
      </c>
    </row>
    <row r="47" spans="2:48">
      <c r="B47" s="831">
        <f t="shared" si="80"/>
        <v>33</v>
      </c>
      <c r="C47" s="777"/>
      <c r="D47" s="778" t="str">
        <f>LEFT(INDEX(DSS_Calc!$D:$D,MATCH(G$4+$B47,DSS_Calc!$A:$A,0)),LEN(INDEX(DSS_Calc!$D:$D,MATCH(G$4+$B47,DSS_Calc!$A:$A,0)))-2)</f>
        <v>750 CC, 750 Combo</v>
      </c>
      <c r="E47" s="777" t="str">
        <f>"MY"&amp;RIGHT(Input!$H$9,2)&amp;" "&amp;Input!$H$3</f>
        <v>MY20 Forte</v>
      </c>
      <c r="F47" s="772"/>
      <c r="G47" s="779">
        <f>INDEX(DSS_Calc!$JD:$JD,MATCH(G$4+$B47,DSS_Calc!$A:$A,0))-INDEX(DSS_Calc!$JD:$JD,MATCH(G$4+$B$6,DSS_Calc!$A:$A,0))</f>
        <v>38.983141356638953</v>
      </c>
      <c r="H47" s="780">
        <f>INDEX(DSS_Calc!$JM:$JM,MATCH(G$4+$B47,DSS_Calc!$A:$A,0))/INDEX(DSS_Calc!$JM:$JM,MATCH(G$4+$B$6,DSS_Calc!$A:$A,0))-1</f>
        <v>4.5332707267047079E-2</v>
      </c>
      <c r="I47" s="788">
        <f>ABS(INDEX(DSS_Calc!$KU:$KU,MATCH(G$4+$B47,DSS_Calc!$A:$A,0)))</f>
        <v>52.722059966573298</v>
      </c>
      <c r="J47" s="777">
        <f t="shared" si="64"/>
        <v>8</v>
      </c>
      <c r="K47" s="808">
        <f t="shared" si="69"/>
        <v>2</v>
      </c>
      <c r="L47" s="808">
        <f t="shared" si="70"/>
        <v>100</v>
      </c>
      <c r="M47" s="808">
        <f>INDEX(DSS_Calc!$JM:$JM,MATCH(G$4+$B47,DSS_Calc!$A:$A,0))</f>
        <v>1106.076442254621</v>
      </c>
      <c r="N47" s="772"/>
      <c r="O47" s="779">
        <f>INDEX(DSS_Calc!$JD:$JD,MATCH(O$4+$B47,DSS_Calc!$A:$A,0))-INDEX(DSS_Calc!$JD:$JD,MATCH(O$4+$B$6,DSS_Calc!$A:$A,0))</f>
        <v>326.56364767105788</v>
      </c>
      <c r="P47" s="780">
        <f>INDEX(DSS_Calc!$JM:$JM,MATCH(O$4+$B47,DSS_Calc!$A:$A,0))/INDEX(DSS_Calc!$JM:$JM,MATCH(O$4+$B$6,DSS_Calc!$A:$A,0))-1</f>
        <v>9.0363671150655023E-2</v>
      </c>
      <c r="Q47" s="788">
        <f>ABS(INDEX(DSS_Calc!$KU:$KU,MATCH(O$4+$B47,DSS_Calc!$A:$A,0)))</f>
        <v>12.461903491519525</v>
      </c>
      <c r="R47" s="777">
        <f t="shared" si="65"/>
        <v>9</v>
      </c>
      <c r="S47" s="808">
        <f t="shared" si="71"/>
        <v>5</v>
      </c>
      <c r="T47" s="808">
        <f t="shared" si="72"/>
        <v>100</v>
      </c>
      <c r="U47" s="808">
        <f>INDEX(DSS_Calc!$JM:$JM,MATCH(O$4+$B47,DSS_Calc!$A:$A,0))</f>
        <v>1883.8855075300432</v>
      </c>
      <c r="V47" s="772"/>
      <c r="W47" s="779">
        <f>INDEX(DSS_Calc!$JD:$JD,MATCH(W$4+$B47,DSS_Calc!$A:$A,0))-INDEX(DSS_Calc!$JD:$JD,MATCH(W$4+$B$6,DSS_Calc!$A:$A,0))</f>
        <v>371.41551160127983</v>
      </c>
      <c r="X47" s="780">
        <f>INDEX(DSS_Calc!$JM:$JM,MATCH(W$4+$B47,DSS_Calc!$A:$A,0))/INDEX(DSS_Calc!$JM:$JM,MATCH(W$4+$B$6,DSS_Calc!$A:$A,0))-1</f>
        <v>9.6725523044113304E-2</v>
      </c>
      <c r="Y47" s="788">
        <f>ABS(INDEX(DSS_Calc!$KU:$KU,MATCH(W$4+$B47,DSS_Calc!$A:$A,0)))</f>
        <v>15.818905474185142</v>
      </c>
      <c r="Z47" s="777">
        <f t="shared" si="66"/>
        <v>11</v>
      </c>
      <c r="AA47" s="808">
        <f t="shared" si="73"/>
        <v>4</v>
      </c>
      <c r="AB47" s="808">
        <f t="shared" si="74"/>
        <v>100</v>
      </c>
      <c r="AC47" s="808">
        <f>INDEX(DSS_Calc!$JM:$JM,MATCH(W$4+$B47,DSS_Calc!$A:$A,0))</f>
        <v>2259.3358364524474</v>
      </c>
      <c r="AD47" s="772"/>
      <c r="AE47" s="779">
        <f>INDEX(DSS_Calc!$JD:$JD,MATCH(AE$4+$B47,DSS_Calc!$A:$A,0))-INDEX(DSS_Calc!$JD:$JD,MATCH(AE$4+$B$6,DSS_Calc!$A:$A,0))</f>
        <v>646.83314735209979</v>
      </c>
      <c r="AF47" s="780">
        <f>INDEX(DSS_Calc!$JM:$JM,MATCH(AE$4+$B47,DSS_Calc!$A:$A,0))/INDEX(DSS_Calc!$JM:$JM,MATCH(AE$4+$B$6,DSS_Calc!$A:$A,0))-1</f>
        <v>0.1232206172003345</v>
      </c>
      <c r="AG47" s="788">
        <f>ABS(INDEX(DSS_Calc!$KU:$KU,MATCH(AE$4+$B47,DSS_Calc!$A:$A,0)))</f>
        <v>6.6401424988142894</v>
      </c>
      <c r="AH47" s="777">
        <f t="shared" si="67"/>
        <v>5</v>
      </c>
      <c r="AI47" s="808">
        <f t="shared" si="75"/>
        <v>5</v>
      </c>
      <c r="AJ47" s="808">
        <f t="shared" si="76"/>
        <v>100</v>
      </c>
      <c r="AK47" s="808">
        <f>INDEX(DSS_Calc!$JM:$JM,MATCH(AE$4+$B47,DSS_Calc!$A:$A,0))</f>
        <v>2243.7901612087653</v>
      </c>
      <c r="AL47" s="772"/>
      <c r="AM47" s="779">
        <f>INDEX(DSS_Calc!$JD:$JD,MATCH(AM$4+$B47,DSS_Calc!$A:$A,0))-INDEX(DSS_Calc!$JD:$JD,MATCH(AM$4+$B$6,DSS_Calc!$A:$A,0))</f>
        <v>591.95430074624983</v>
      </c>
      <c r="AN47" s="780">
        <f>INDEX(DSS_Calc!$JM:$JM,MATCH(AM$4+$B47,DSS_Calc!$A:$A,0))/INDEX(DSS_Calc!$JM:$JM,MATCH(AM$4+$B$6,DSS_Calc!$A:$A,0))-1</f>
        <v>0.11896534888953059</v>
      </c>
      <c r="AO47" s="788">
        <f>ABS(INDEX(DSS_Calc!$KU:$KU,MATCH(AM$4+$B47,DSS_Calc!$A:$A,0)))</f>
        <v>7.390289607008131</v>
      </c>
      <c r="AP47" s="777">
        <f t="shared" si="68"/>
        <v>9</v>
      </c>
      <c r="AQ47" s="808">
        <f t="shared" si="77"/>
        <v>9</v>
      </c>
      <c r="AR47" s="808">
        <f t="shared" si="78"/>
        <v>100</v>
      </c>
      <c r="AS47" s="808">
        <f>INDEX(DSS_Calc!$JM:$JM,MATCH(AM$4+$B47,DSS_Calc!$A:$A,0))</f>
        <v>893.55020309251938</v>
      </c>
      <c r="AT47" s="772"/>
      <c r="AU47" s="779">
        <f>INDEX(DSS_Calc!$JD:$JD,MATCH(AU$4+$B47,DSS_Calc!$A:$A,0))-INDEX(DSS_Calc!$JD:$JD,MATCH(AU$4+$B$6,DSS_Calc!$A:$A,0))</f>
        <v>396.04224139068538</v>
      </c>
      <c r="AV47" s="780">
        <f>INDEX(DSS_Calc!$JM:$JM,MATCH(AU$4+$B47,DSS_Calc!$A:$A,0))/INDEX(DSS_Calc!$JM:$JM,MATCH(AU$4+$B$6,DSS_Calc!$A:$A,0))-1</f>
        <v>9.7421180097054361E-2</v>
      </c>
    </row>
    <row r="48" spans="2:48">
      <c r="B48" s="831">
        <f t="shared" si="80"/>
        <v>34</v>
      </c>
      <c r="C48" s="772"/>
      <c r="D48" s="774" t="str">
        <f>LEFT(INDEX(DSS_Calc!$D:$D,MATCH(G$4+$B48,DSS_Calc!$A:$A,0)),LEN(INDEX(DSS_Calc!$D:$D,MATCH(G$4+$B48,DSS_Calc!$A:$A,0)))-2)</f>
        <v>1000 CC, 1000 Combo</v>
      </c>
      <c r="E48" s="772" t="str">
        <f>"MY"&amp;RIGHT(Input!$H$9,2)&amp;" "&amp;Input!$H$3</f>
        <v>MY20 Forte</v>
      </c>
      <c r="F48" s="772"/>
      <c r="G48" s="776">
        <f>INDEX(DSS_Calc!$JD:$JD,MATCH(G$4+$B48,DSS_Calc!$A:$A,0))-INDEX(DSS_Calc!$JD:$JD,MATCH(G$4+$B$6,DSS_Calc!$A:$A,0))</f>
        <v>66.950127790327315</v>
      </c>
      <c r="H48" s="775">
        <f>INDEX(DSS_Calc!$JM:$JM,MATCH(G$4+$B48,DSS_Calc!$A:$A,0))/INDEX(DSS_Calc!$JM:$JM,MATCH(G$4+$B$6,DSS_Calc!$A:$A,0))-1</f>
        <v>6.1585735279061193E-2</v>
      </c>
      <c r="I48" s="787">
        <f>ABS(INDEX(DSS_Calc!$KU:$KU,MATCH(G$4+$B48,DSS_Calc!$A:$A,0)))</f>
        <v>53.209105937630483</v>
      </c>
      <c r="J48" s="809">
        <f t="shared" si="64"/>
        <v>4</v>
      </c>
      <c r="K48" s="807">
        <f t="shared" si="69"/>
        <v>1</v>
      </c>
      <c r="L48" s="807">
        <f t="shared" si="70"/>
        <v>100</v>
      </c>
      <c r="M48" s="807">
        <f>INDEX(DSS_Calc!$JM:$JM,MATCH(G$4+$B48,DSS_Calc!$A:$A,0))</f>
        <v>1123.273925194185</v>
      </c>
      <c r="N48" s="772"/>
      <c r="O48" s="776">
        <f>INDEX(DSS_Calc!$JD:$JD,MATCH(O$4+$B48,DSS_Calc!$A:$A,0))-INDEX(DSS_Calc!$JD:$JD,MATCH(O$4+$B$6,DSS_Calc!$A:$A,0))</f>
        <v>455.62299323088473</v>
      </c>
      <c r="P48" s="775">
        <f>INDEX(DSS_Calc!$JM:$JM,MATCH(O$4+$B48,DSS_Calc!$A:$A,0))/INDEX(DSS_Calc!$JM:$JM,MATCH(O$4+$B$6,DSS_Calc!$A:$A,0))-1</f>
        <v>0.12218628621504957</v>
      </c>
      <c r="Q48" s="787">
        <f>ABS(INDEX(DSS_Calc!$KU:$KU,MATCH(O$4+$B48,DSS_Calc!$A:$A,0)))</f>
        <v>12.567201896026846</v>
      </c>
      <c r="R48" s="809">
        <f t="shared" si="65"/>
        <v>4</v>
      </c>
      <c r="S48" s="807">
        <f t="shared" si="71"/>
        <v>2</v>
      </c>
      <c r="T48" s="807">
        <f t="shared" si="72"/>
        <v>100</v>
      </c>
      <c r="U48" s="807">
        <f>INDEX(DSS_Calc!$JM:$JM,MATCH(O$4+$B48,DSS_Calc!$A:$A,0))</f>
        <v>1938.867313066773</v>
      </c>
      <c r="V48" s="772"/>
      <c r="W48" s="776">
        <f>INDEX(DSS_Calc!$JD:$JD,MATCH(W$4+$B48,DSS_Calc!$A:$A,0))-INDEX(DSS_Calc!$JD:$JD,MATCH(W$4+$B$6,DSS_Calc!$A:$A,0))</f>
        <v>504.82602217567819</v>
      </c>
      <c r="X48" s="775">
        <f>INDEX(DSS_Calc!$JM:$JM,MATCH(W$4+$B48,DSS_Calc!$A:$A,0))/INDEX(DSS_Calc!$JM:$JM,MATCH(W$4+$B$6,DSS_Calc!$A:$A,0))-1</f>
        <v>0.13097657418552133</v>
      </c>
      <c r="Y48" s="787">
        <f>ABS(INDEX(DSS_Calc!$KU:$KU,MATCH(W$4+$B48,DSS_Calc!$A:$A,0)))</f>
        <v>15.943491365707825</v>
      </c>
      <c r="Z48" s="809">
        <f t="shared" si="66"/>
        <v>4</v>
      </c>
      <c r="AA48" s="807">
        <f t="shared" si="73"/>
        <v>2</v>
      </c>
      <c r="AB48" s="807">
        <f t="shared" si="74"/>
        <v>100</v>
      </c>
      <c r="AC48" s="807">
        <f>INDEX(DSS_Calc!$JM:$JM,MATCH(W$4+$B48,DSS_Calc!$A:$A,0))</f>
        <v>2329.8955395449375</v>
      </c>
      <c r="AD48" s="772"/>
      <c r="AE48" s="776">
        <f>INDEX(DSS_Calc!$JD:$JD,MATCH(AE$4+$B48,DSS_Calc!$A:$A,0))-INDEX(DSS_Calc!$JD:$JD,MATCH(AE$4+$B$6,DSS_Calc!$A:$A,0))</f>
        <v>869.14564716763743</v>
      </c>
      <c r="AF48" s="775">
        <f>INDEX(DSS_Calc!$JM:$JM,MATCH(AE$4+$B48,DSS_Calc!$A:$A,0))/INDEX(DSS_Calc!$JM:$JM,MATCH(AE$4+$B$6,DSS_Calc!$A:$A,0))-1</f>
        <v>0.16594608727649307</v>
      </c>
      <c r="AG48" s="787">
        <f>ABS(INDEX(DSS_Calc!$KU:$KU,MATCH(AE$4+$B48,DSS_Calc!$A:$A,0)))</f>
        <v>6.6747459098149875</v>
      </c>
      <c r="AH48" s="809">
        <f t="shared" si="67"/>
        <v>3</v>
      </c>
      <c r="AI48" s="807">
        <f t="shared" si="75"/>
        <v>3</v>
      </c>
      <c r="AJ48" s="807">
        <f t="shared" si="76"/>
        <v>100</v>
      </c>
      <c r="AK48" s="807">
        <f>INDEX(DSS_Calc!$JM:$JM,MATCH(AE$4+$B48,DSS_Calc!$A:$A,0))</f>
        <v>2329.1402588849064</v>
      </c>
      <c r="AL48" s="772"/>
      <c r="AM48" s="776">
        <f>INDEX(DSS_Calc!$JD:$JD,MATCH(AM$4+$B48,DSS_Calc!$A:$A,0))-INDEX(DSS_Calc!$JD:$JD,MATCH(AM$4+$B$6,DSS_Calc!$A:$A,0))</f>
        <v>798.61109220861817</v>
      </c>
      <c r="AN48" s="775">
        <f>INDEX(DSS_Calc!$JM:$JM,MATCH(AM$4+$B48,DSS_Calc!$A:$A,0))/INDEX(DSS_Calc!$JM:$JM,MATCH(AM$4+$B$6,DSS_Calc!$A:$A,0))-1</f>
        <v>0.16050762939382079</v>
      </c>
      <c r="AO48" s="787">
        <f>ABS(INDEX(DSS_Calc!$KU:$KU,MATCH(AM$4+$B48,DSS_Calc!$A:$A,0)))</f>
        <v>7.4314978798138061</v>
      </c>
      <c r="AP48" s="809">
        <f t="shared" si="68"/>
        <v>4</v>
      </c>
      <c r="AQ48" s="807">
        <f t="shared" si="77"/>
        <v>4</v>
      </c>
      <c r="AR48" s="807">
        <f t="shared" si="78"/>
        <v>100</v>
      </c>
      <c r="AS48" s="807">
        <f>INDEX(DSS_Calc!$JM:$JM,MATCH(AM$4+$B48,DSS_Calc!$A:$A,0))</f>
        <v>926.72380692071044</v>
      </c>
      <c r="AT48" s="772"/>
      <c r="AU48" s="776">
        <f>INDEX(DSS_Calc!$JD:$JD,MATCH(AU$4+$B48,DSS_Calc!$A:$A,0))-INDEX(DSS_Calc!$JD:$JD,MATCH(AU$4+$B$6,DSS_Calc!$A:$A,0))</f>
        <v>542.30931676511227</v>
      </c>
      <c r="AV48" s="775">
        <f>INDEX(DSS_Calc!$JM:$JM,MATCH(AU$4+$B48,DSS_Calc!$A:$A,0))/INDEX(DSS_Calc!$JM:$JM,MATCH(AU$4+$B$6,DSS_Calc!$A:$A,0))-1</f>
        <v>0.13160832491016738</v>
      </c>
    </row>
    <row r="49" spans="2:48">
      <c r="B49" s="831">
        <f t="shared" si="80"/>
        <v>35</v>
      </c>
      <c r="C49" s="777"/>
      <c r="D49" s="778" t="str">
        <f>LEFT(INDEX(DSS_Calc!$D:$D,MATCH(G$4+$B49,DSS_Calc!$A:$A,0)),LEN(INDEX(DSS_Calc!$D:$D,MATCH(G$4+$B49,DSS_Calc!$A:$A,0)))-2)</f>
        <v>250 CC, 0/0/0.9/3.9</v>
      </c>
      <c r="E49" s="777" t="str">
        <f>"MY"&amp;RIGHT(Input!$H$9,2)&amp;" "&amp;Input!$H$3</f>
        <v>MY20 Forte</v>
      </c>
      <c r="F49" s="772"/>
      <c r="G49" s="779">
        <f>INDEX(DSS_Calc!$JD:$JD,MATCH(G$4+$B49,DSS_Calc!$A:$A,0))-INDEX(DSS_Calc!$JD:$JD,MATCH(G$4+$B$6,DSS_Calc!$A:$A,0))</f>
        <v>4.5461979524689013</v>
      </c>
      <c r="H49" s="780">
        <f>INDEX(DSS_Calc!$JM:$JM,MATCH(G$4+$B49,DSS_Calc!$A:$A,0))/INDEX(DSS_Calc!$JM:$JM,MATCH(G$4+$B$6,DSS_Calc!$A:$A,0))-1</f>
        <v>1.8383596582329131E-2</v>
      </c>
      <c r="I49" s="788">
        <f>ABS(INDEX(DSS_Calc!$KU:$KU,MATCH(G$4+$B49,DSS_Calc!$A:$A,0)))</f>
        <v>51.787664866804519</v>
      </c>
      <c r="J49" s="777">
        <f t="shared" si="64"/>
        <v>21</v>
      </c>
      <c r="K49" s="808">
        <f t="shared" si="69"/>
        <v>100</v>
      </c>
      <c r="L49" s="808">
        <f t="shared" si="70"/>
        <v>17</v>
      </c>
      <c r="M49" s="808">
        <f>INDEX(DSS_Calc!$JM:$JM,MATCH(G$4+$B49,DSS_Calc!$A:$A,0))</f>
        <v>1077.5613328919671</v>
      </c>
      <c r="N49" s="772"/>
      <c r="O49" s="779">
        <f>INDEX(DSS_Calc!$JD:$JD,MATCH(O$4+$B49,DSS_Calc!$A:$A,0))-INDEX(DSS_Calc!$JD:$JD,MATCH(O$4+$B$6,DSS_Calc!$A:$A,0))</f>
        <v>118.696897517661</v>
      </c>
      <c r="P49" s="780">
        <f>INDEX(DSS_Calc!$JM:$JM,MATCH(O$4+$B49,DSS_Calc!$A:$A,0))/INDEX(DSS_Calc!$JM:$JM,MATCH(O$4+$B$6,DSS_Calc!$A:$A,0))-1</f>
        <v>3.888199946242743E-2</v>
      </c>
      <c r="Q49" s="788">
        <f>ABS(INDEX(DSS_Calc!$KU:$KU,MATCH(O$4+$B49,DSS_Calc!$A:$A,0)))</f>
        <v>12.273641328524933</v>
      </c>
      <c r="R49" s="777">
        <f t="shared" si="65"/>
        <v>19</v>
      </c>
      <c r="S49" s="808">
        <f t="shared" si="71"/>
        <v>100</v>
      </c>
      <c r="T49" s="808">
        <f t="shared" si="72"/>
        <v>11</v>
      </c>
      <c r="U49" s="808">
        <f>INDEX(DSS_Calc!$JM:$JM,MATCH(O$4+$B49,DSS_Calc!$A:$A,0))</f>
        <v>1794.937592478432</v>
      </c>
      <c r="V49" s="772"/>
      <c r="W49" s="779">
        <f>INDEX(DSS_Calc!$JD:$JD,MATCH(W$4+$B49,DSS_Calc!$A:$A,0))-INDEX(DSS_Calc!$JD:$JD,MATCH(W$4+$B$6,DSS_Calc!$A:$A,0))</f>
        <v>161.02446105907347</v>
      </c>
      <c r="X49" s="780">
        <f>INDEX(DSS_Calc!$JM:$JM,MATCH(W$4+$B49,DSS_Calc!$A:$A,0))/INDEX(DSS_Calc!$JM:$JM,MATCH(W$4+$B$6,DSS_Calc!$A:$A,0))-1</f>
        <v>4.4742743995423995E-2</v>
      </c>
      <c r="Y49" s="788">
        <f>ABS(INDEX(DSS_Calc!$KU:$KU,MATCH(W$4+$B49,DSS_Calc!$A:$A,0)))</f>
        <v>15.645328321097079</v>
      </c>
      <c r="Z49" s="777">
        <f t="shared" si="66"/>
        <v>18</v>
      </c>
      <c r="AA49" s="808">
        <f t="shared" si="73"/>
        <v>100</v>
      </c>
      <c r="AB49" s="808">
        <f t="shared" si="74"/>
        <v>11</v>
      </c>
      <c r="AC49" s="808">
        <f>INDEX(DSS_Calc!$JM:$JM,MATCH(W$4+$B49,DSS_Calc!$A:$A,0))</f>
        <v>2152.2474600854016</v>
      </c>
      <c r="AD49" s="772"/>
      <c r="AE49" s="779">
        <f>INDEX(DSS_Calc!$JD:$JD,MATCH(AE$4+$B49,DSS_Calc!$A:$A,0))-INDEX(DSS_Calc!$JD:$JD,MATCH(AE$4+$B$6,DSS_Calc!$A:$A,0))</f>
        <v>282.46617491390953</v>
      </c>
      <c r="AF49" s="780">
        <f>INDEX(DSS_Calc!$JM:$JM,MATCH(AE$4+$B49,DSS_Calc!$A:$A,0))/INDEX(DSS_Calc!$JM:$JM,MATCH(AE$4+$B$6,DSS_Calc!$A:$A,0))-1</f>
        <v>5.5639541086105249E-2</v>
      </c>
      <c r="AG49" s="788">
        <f>ABS(INDEX(DSS_Calc!$KU:$KU,MATCH(AE$4+$B49,DSS_Calc!$A:$A,0)))</f>
        <v>6.6028351298165315</v>
      </c>
      <c r="AH49" s="777">
        <f t="shared" si="67"/>
        <v>13</v>
      </c>
      <c r="AI49" s="808">
        <f t="shared" si="75"/>
        <v>10</v>
      </c>
      <c r="AJ49" s="808">
        <f t="shared" si="76"/>
        <v>100</v>
      </c>
      <c r="AK49" s="808">
        <f>INDEX(DSS_Calc!$JM:$JM,MATCH(AE$4+$B49,DSS_Calc!$A:$A,0))</f>
        <v>2108.7875167176321</v>
      </c>
      <c r="AL49" s="772"/>
      <c r="AM49" s="779">
        <f>INDEX(DSS_Calc!$JD:$JD,MATCH(AM$4+$B49,DSS_Calc!$A:$A,0))-INDEX(DSS_Calc!$JD:$JD,MATCH(AM$4+$B$6,DSS_Calc!$A:$A,0))</f>
        <v>238.1819108758018</v>
      </c>
      <c r="AN49" s="780">
        <f>INDEX(DSS_Calc!$JM:$JM,MATCH(AM$4+$B49,DSS_Calc!$A:$A,0))/INDEX(DSS_Calc!$JM:$JM,MATCH(AM$4+$B$6,DSS_Calc!$A:$A,0))-1</f>
        <v>5.4099040191478487E-2</v>
      </c>
      <c r="AO49" s="788">
        <f>ABS(INDEX(DSS_Calc!$KU:$KU,MATCH(AM$4+$B49,DSS_Calc!$A:$A,0)))</f>
        <v>7.3884889764151414</v>
      </c>
      <c r="AP49" s="777">
        <f t="shared" si="68"/>
        <v>10</v>
      </c>
      <c r="AQ49" s="808">
        <f t="shared" si="77"/>
        <v>100</v>
      </c>
      <c r="AR49" s="808">
        <f t="shared" si="78"/>
        <v>1</v>
      </c>
      <c r="AS49" s="808">
        <f>INDEX(DSS_Calc!$JM:$JM,MATCH(AM$4+$B49,DSS_Calc!$A:$A,0))</f>
        <v>841.75118771771099</v>
      </c>
      <c r="AT49" s="772"/>
      <c r="AU49" s="779">
        <f>INDEX(DSS_Calc!$JD:$JD,MATCH(AU$4+$B49,DSS_Calc!$A:$A,0))-INDEX(DSS_Calc!$JD:$JD,MATCH(AU$4+$B$6,DSS_Calc!$A:$A,0))</f>
        <v>161.22659743563509</v>
      </c>
      <c r="AV49" s="780">
        <f>INDEX(DSS_Calc!$JM:$JM,MATCH(AU$4+$B49,DSS_Calc!$A:$A,0))/INDEX(DSS_Calc!$JM:$JM,MATCH(AU$4+$B$6,DSS_Calc!$A:$A,0))-1</f>
        <v>4.3594181346302108E-2</v>
      </c>
    </row>
    <row r="50" spans="2:48">
      <c r="B50" s="831">
        <f t="shared" si="80"/>
        <v>36</v>
      </c>
      <c r="C50" s="772"/>
      <c r="D50" s="774" t="str">
        <f>LEFT(INDEX(DSS_Calc!$D:$D,MATCH(G$4+$B50,DSS_Calc!$A:$A,0)),LEN(INDEX(DSS_Calc!$D:$D,MATCH(G$4+$B50,DSS_Calc!$A:$A,0)))-2)</f>
        <v>500 CC, 0/0/0.9/3.9</v>
      </c>
      <c r="E50" s="772" t="str">
        <f>"MY"&amp;RIGHT(Input!$H$9,2)&amp;" "&amp;Input!$H$3</f>
        <v>MY20 Forte</v>
      </c>
      <c r="F50" s="772"/>
      <c r="G50" s="776">
        <f>INDEX(DSS_Calc!$JD:$JD,MATCH(G$4+$B50,DSS_Calc!$A:$A,0))-INDEX(DSS_Calc!$JD:$JD,MATCH(G$4+$B$6,DSS_Calc!$A:$A,0))</f>
        <v>-3.8195377444080805</v>
      </c>
      <c r="H50" s="775">
        <f>INDEX(DSS_Calc!$JM:$JM,MATCH(G$4+$B50,DSS_Calc!$A:$A,0))/INDEX(DSS_Calc!$JM:$JM,MATCH(G$4+$B$6,DSS_Calc!$A:$A,0))-1</f>
        <v>2.6467518518209054E-2</v>
      </c>
      <c r="I50" s="787">
        <f>ABS(INDEX(DSS_Calc!$KU:$KU,MATCH(G$4+$B50,DSS_Calc!$A:$A,0)))</f>
        <v>52.251148526197355</v>
      </c>
      <c r="J50" s="772">
        <f t="shared" si="64"/>
        <v>16</v>
      </c>
      <c r="K50" s="807">
        <f t="shared" si="69"/>
        <v>100</v>
      </c>
      <c r="L50" s="807">
        <f t="shared" si="70"/>
        <v>14</v>
      </c>
      <c r="M50" s="807">
        <f>INDEX(DSS_Calc!$JM:$JM,MATCH(G$4+$B50,DSS_Calc!$A:$A,0))</f>
        <v>1086.115007288781</v>
      </c>
      <c r="N50" s="772"/>
      <c r="O50" s="776">
        <f>INDEX(DSS_Calc!$JD:$JD,MATCH(O$4+$B50,DSS_Calc!$A:$A,0))-INDEX(DSS_Calc!$JD:$JD,MATCH(O$4+$B$6,DSS_Calc!$A:$A,0))</f>
        <v>159.5294769612442</v>
      </c>
      <c r="P50" s="775">
        <f>INDEX(DSS_Calc!$JM:$JM,MATCH(O$4+$B50,DSS_Calc!$A:$A,0))/INDEX(DSS_Calc!$JM:$JM,MATCH(O$4+$B$6,DSS_Calc!$A:$A,0))-1</f>
        <v>5.4738651878738942E-2</v>
      </c>
      <c r="Q50" s="787">
        <f>ABS(INDEX(DSS_Calc!$KU:$KU,MATCH(O$4+$B50,DSS_Calc!$A:$A,0)))</f>
        <v>12.407386815791138</v>
      </c>
      <c r="R50" s="772">
        <f t="shared" si="65"/>
        <v>13</v>
      </c>
      <c r="S50" s="807">
        <f t="shared" si="71"/>
        <v>6</v>
      </c>
      <c r="T50" s="807">
        <f t="shared" si="72"/>
        <v>100</v>
      </c>
      <c r="U50" s="807">
        <f>INDEX(DSS_Calc!$JM:$JM,MATCH(O$4+$B50,DSS_Calc!$A:$A,0))</f>
        <v>1822.3340643853753</v>
      </c>
      <c r="V50" s="772"/>
      <c r="W50" s="776">
        <f>INDEX(DSS_Calc!$JD:$JD,MATCH(W$4+$B50,DSS_Calc!$A:$A,0))-INDEX(DSS_Calc!$JD:$JD,MATCH(W$4+$B$6,DSS_Calc!$A:$A,0))</f>
        <v>187.79702867512424</v>
      </c>
      <c r="X50" s="775">
        <f>INDEX(DSS_Calc!$JM:$JM,MATCH(W$4+$B50,DSS_Calc!$A:$A,0))/INDEX(DSS_Calc!$JM:$JM,MATCH(W$4+$B$6,DSS_Calc!$A:$A,0))-1</f>
        <v>5.7758997819944424E-2</v>
      </c>
      <c r="Y50" s="787">
        <f>ABS(INDEX(DSS_Calc!$KU:$KU,MATCH(W$4+$B50,DSS_Calc!$A:$A,0)))</f>
        <v>15.794532884206129</v>
      </c>
      <c r="Z50" s="772">
        <f t="shared" si="66"/>
        <v>13</v>
      </c>
      <c r="AA50" s="807">
        <f t="shared" si="73"/>
        <v>6</v>
      </c>
      <c r="AB50" s="807">
        <f t="shared" si="74"/>
        <v>100</v>
      </c>
      <c r="AC50" s="807">
        <f>INDEX(DSS_Calc!$JM:$JM,MATCH(W$4+$B50,DSS_Calc!$A:$A,0))</f>
        <v>2179.0619073688695</v>
      </c>
      <c r="AD50" s="772"/>
      <c r="AE50" s="776">
        <f>INDEX(DSS_Calc!$JD:$JD,MATCH(AE$4+$B50,DSS_Calc!$A:$A,0))-INDEX(DSS_Calc!$JD:$JD,MATCH(AE$4+$B$6,DSS_Calc!$A:$A,0))</f>
        <v>373.21891131466509</v>
      </c>
      <c r="AF50" s="775">
        <f>INDEX(DSS_Calc!$JM:$JM,MATCH(AE$4+$B50,DSS_Calc!$A:$A,0))/INDEX(DSS_Calc!$JM:$JM,MATCH(AE$4+$B$6,DSS_Calc!$A:$A,0))-1</f>
        <v>7.4999922109608486E-2</v>
      </c>
      <c r="AG50" s="787">
        <f>ABS(INDEX(DSS_Calc!$KU:$KU,MATCH(AE$4+$B50,DSS_Calc!$A:$A,0)))</f>
        <v>6.6435277270571591</v>
      </c>
      <c r="AH50" s="772">
        <f t="shared" si="67"/>
        <v>4</v>
      </c>
      <c r="AI50" s="807">
        <f t="shared" si="75"/>
        <v>4</v>
      </c>
      <c r="AJ50" s="807">
        <f t="shared" si="76"/>
        <v>100</v>
      </c>
      <c r="AK50" s="807">
        <f>INDEX(DSS_Calc!$JM:$JM,MATCH(AE$4+$B50,DSS_Calc!$A:$A,0))</f>
        <v>2147.4625835678708</v>
      </c>
      <c r="AL50" s="772"/>
      <c r="AM50" s="776">
        <f>INDEX(DSS_Calc!$JD:$JD,MATCH(AM$4+$B50,DSS_Calc!$A:$A,0))-INDEX(DSS_Calc!$JD:$JD,MATCH(AM$4+$B$6,DSS_Calc!$A:$A,0))</f>
        <v>327.48986827507542</v>
      </c>
      <c r="AN50" s="775">
        <f>INDEX(DSS_Calc!$JM:$JM,MATCH(AM$4+$B50,DSS_Calc!$A:$A,0))/INDEX(DSS_Calc!$JM:$JM,MATCH(AM$4+$B$6,DSS_Calc!$A:$A,0))-1</f>
        <v>7.4345587277784952E-2</v>
      </c>
      <c r="AO50" s="787">
        <f>ABS(INDEX(DSS_Calc!$KU:$KU,MATCH(AM$4+$B50,DSS_Calc!$A:$A,0)))</f>
        <v>7.4380596210047774</v>
      </c>
      <c r="AP50" s="772">
        <f t="shared" si="68"/>
        <v>3</v>
      </c>
      <c r="AQ50" s="807">
        <f t="shared" si="77"/>
        <v>3</v>
      </c>
      <c r="AR50" s="807">
        <f t="shared" si="78"/>
        <v>100</v>
      </c>
      <c r="AS50" s="807">
        <f>INDEX(DSS_Calc!$JM:$JM,MATCH(AM$4+$B50,DSS_Calc!$A:$A,0))</f>
        <v>857.91907556056992</v>
      </c>
      <c r="AT50" s="772"/>
      <c r="AU50" s="776">
        <f>INDEX(DSS_Calc!$JD:$JD,MATCH(AU$4+$B50,DSS_Calc!$A:$A,0))-INDEX(DSS_Calc!$JD:$JD,MATCH(AU$4+$B$6,DSS_Calc!$A:$A,0))</f>
        <v>207.52828407549123</v>
      </c>
      <c r="AV50" s="775">
        <f>INDEX(DSS_Calc!$JM:$JM,MATCH(AU$4+$B50,DSS_Calc!$A:$A,0))/INDEX(DSS_Calc!$JM:$JM,MATCH(AU$4+$B$6,DSS_Calc!$A:$A,0))-1</f>
        <v>5.8983543818537321E-2</v>
      </c>
    </row>
    <row r="51" spans="2:48">
      <c r="B51" s="831">
        <f t="shared" si="80"/>
        <v>37</v>
      </c>
      <c r="C51" s="777"/>
      <c r="D51" s="778" t="str">
        <f>LEFT(INDEX(DSS_Calc!$D:$D,MATCH(G$4+$B51,DSS_Calc!$A:$A,0)),LEN(INDEX(DSS_Calc!$D:$D,MATCH(G$4+$B51,DSS_Calc!$A:$A,0)))-2)</f>
        <v>750 CC, 0/0/0.9/3.9</v>
      </c>
      <c r="E51" s="777" t="str">
        <f>"MY"&amp;RIGHT(Input!$H$9,2)&amp;" "&amp;Input!$H$3</f>
        <v>MY20 Forte</v>
      </c>
      <c r="F51" s="772"/>
      <c r="G51" s="779">
        <f>INDEX(DSS_Calc!$JD:$JD,MATCH(G$4+$B51,DSS_Calc!$A:$A,0))-INDEX(DSS_Calc!$JD:$JD,MATCH(G$4+$B$6,DSS_Calc!$A:$A,0))</f>
        <v>-6.8908617897695876</v>
      </c>
      <c r="H51" s="780">
        <f>INDEX(DSS_Calc!$JM:$JM,MATCH(G$4+$B51,DSS_Calc!$A:$A,0))/INDEX(DSS_Calc!$JM:$JM,MATCH(G$4+$B$6,DSS_Calc!$A:$A,0))-1</f>
        <v>3.508952559802947E-2</v>
      </c>
      <c r="I51" s="788">
        <f>ABS(INDEX(DSS_Calc!$KU:$KU,MATCH(G$4+$B51,DSS_Calc!$A:$A,0)))</f>
        <v>52.68936731456386</v>
      </c>
      <c r="J51" s="777">
        <f t="shared" si="64"/>
        <v>9</v>
      </c>
      <c r="K51" s="808">
        <f t="shared" si="69"/>
        <v>100</v>
      </c>
      <c r="L51" s="808">
        <f t="shared" si="70"/>
        <v>7</v>
      </c>
      <c r="M51" s="808">
        <f>INDEX(DSS_Calc!$JM:$JM,MATCH(G$4+$B51,DSS_Calc!$A:$A,0))</f>
        <v>1095.2380346748414</v>
      </c>
      <c r="N51" s="772"/>
      <c r="O51" s="779">
        <f>INDEX(DSS_Calc!$JD:$JD,MATCH(O$4+$B51,DSS_Calc!$A:$A,0))-INDEX(DSS_Calc!$JD:$JD,MATCH(O$4+$B$6,DSS_Calc!$A:$A,0))</f>
        <v>210.1841934952422</v>
      </c>
      <c r="P51" s="780">
        <f>INDEX(DSS_Calc!$JM:$JM,MATCH(O$4+$B51,DSS_Calc!$A:$A,0))/INDEX(DSS_Calc!$JM:$JM,MATCH(O$4+$B$6,DSS_Calc!$A:$A,0))-1</f>
        <v>7.142747451812026E-2</v>
      </c>
      <c r="Q51" s="788">
        <f>ABS(INDEX(DSS_Calc!$KU:$KU,MATCH(O$4+$B51,DSS_Calc!$A:$A,0)))</f>
        <v>12.520671001067646</v>
      </c>
      <c r="R51" s="777">
        <f t="shared" si="65"/>
        <v>6</v>
      </c>
      <c r="S51" s="808">
        <f t="shared" si="71"/>
        <v>3</v>
      </c>
      <c r="T51" s="808">
        <f t="shared" si="72"/>
        <v>100</v>
      </c>
      <c r="U51" s="808">
        <f>INDEX(DSS_Calc!$JM:$JM,MATCH(O$4+$B51,DSS_Calc!$A:$A,0))</f>
        <v>1851.1683257789994</v>
      </c>
      <c r="V51" s="772"/>
      <c r="W51" s="779">
        <f>INDEX(DSS_Calc!$JD:$JD,MATCH(W$4+$B51,DSS_Calc!$A:$A,0))-INDEX(DSS_Calc!$JD:$JD,MATCH(W$4+$B$6,DSS_Calc!$A:$A,0))</f>
        <v>223.00688703527339</v>
      </c>
      <c r="X51" s="780">
        <f>INDEX(DSS_Calc!$JM:$JM,MATCH(W$4+$B51,DSS_Calc!$A:$A,0))/INDEX(DSS_Calc!$JM:$JM,MATCH(W$4+$B$6,DSS_Calc!$A:$A,0))-1</f>
        <v>7.1743313020743882E-2</v>
      </c>
      <c r="Y51" s="788">
        <f>ABS(INDEX(DSS_Calc!$KU:$KU,MATCH(W$4+$B51,DSS_Calc!$A:$A,0)))</f>
        <v>15.926500876763686</v>
      </c>
      <c r="Z51" s="777">
        <f t="shared" si="66"/>
        <v>5</v>
      </c>
      <c r="AA51" s="808">
        <f t="shared" si="73"/>
        <v>3</v>
      </c>
      <c r="AB51" s="808">
        <f t="shared" si="74"/>
        <v>100</v>
      </c>
      <c r="AC51" s="808">
        <f>INDEX(DSS_Calc!$JM:$JM,MATCH(W$4+$B51,DSS_Calc!$A:$A,0))</f>
        <v>2207.8706328134235</v>
      </c>
      <c r="AD51" s="772"/>
      <c r="AE51" s="779">
        <f>INDEX(DSS_Calc!$JD:$JD,MATCH(AE$4+$B51,DSS_Calc!$A:$A,0))-INDEX(DSS_Calc!$JD:$JD,MATCH(AE$4+$B$6,DSS_Calc!$A:$A,0))</f>
        <v>471.6258681503723</v>
      </c>
      <c r="AF51" s="780">
        <f>INDEX(DSS_Calc!$JM:$JM,MATCH(AE$4+$B51,DSS_Calc!$A:$A,0))/INDEX(DSS_Calc!$JM:$JM,MATCH(AE$4+$B$6,DSS_Calc!$A:$A,0))-1</f>
        <v>9.5194652259056545E-2</v>
      </c>
      <c r="AG51" s="788">
        <f>ABS(INDEX(DSS_Calc!$KU:$KU,MATCH(AE$4+$B51,DSS_Calc!$A:$A,0)))</f>
        <v>6.6756788620159186</v>
      </c>
      <c r="AH51" s="777">
        <f t="shared" si="67"/>
        <v>2</v>
      </c>
      <c r="AI51" s="808">
        <f t="shared" si="75"/>
        <v>2</v>
      </c>
      <c r="AJ51" s="808">
        <f t="shared" si="76"/>
        <v>100</v>
      </c>
      <c r="AK51" s="808">
        <f>INDEX(DSS_Calc!$JM:$JM,MATCH(AE$4+$B51,DSS_Calc!$A:$A,0))</f>
        <v>2187.8043794036175</v>
      </c>
      <c r="AL51" s="772"/>
      <c r="AM51" s="779">
        <f>INDEX(DSS_Calc!$JD:$JD,MATCH(AM$4+$B51,DSS_Calc!$A:$A,0))-INDEX(DSS_Calc!$JD:$JD,MATCH(AM$4+$B$6,DSS_Calc!$A:$A,0))</f>
        <v>425.33248944369325</v>
      </c>
      <c r="AN51" s="780">
        <f>INDEX(DSS_Calc!$JM:$JM,MATCH(AM$4+$B51,DSS_Calc!$A:$A,0))/INDEX(DSS_Calc!$JM:$JM,MATCH(AM$4+$B$6,DSS_Calc!$A:$A,0))-1</f>
        <v>9.5538432476859114E-2</v>
      </c>
      <c r="AO51" s="788">
        <f>ABS(INDEX(DSS_Calc!$KU:$KU,MATCH(AM$4+$B51,DSS_Calc!$A:$A,0)))</f>
        <v>7.4771142918480349</v>
      </c>
      <c r="AP51" s="777">
        <f t="shared" si="68"/>
        <v>2</v>
      </c>
      <c r="AQ51" s="808">
        <f t="shared" si="77"/>
        <v>2</v>
      </c>
      <c r="AR51" s="808">
        <f t="shared" si="78"/>
        <v>100</v>
      </c>
      <c r="AS51" s="808">
        <f>INDEX(DSS_Calc!$JM:$JM,MATCH(AM$4+$B51,DSS_Calc!$A:$A,0))</f>
        <v>874.84263011972951</v>
      </c>
      <c r="AT51" s="772"/>
      <c r="AU51" s="779">
        <f>INDEX(DSS_Calc!$JD:$JD,MATCH(AU$4+$B51,DSS_Calc!$A:$A,0))-INDEX(DSS_Calc!$JD:$JD,MATCH(AU$4+$B$6,DSS_Calc!$A:$A,0))</f>
        <v>262.22145531669048</v>
      </c>
      <c r="AV51" s="780">
        <f>INDEX(DSS_Calc!$JM:$JM,MATCH(AU$4+$B51,DSS_Calc!$A:$A,0))/INDEX(DSS_Calc!$JM:$JM,MATCH(AU$4+$B$6,DSS_Calc!$A:$A,0))-1</f>
        <v>7.5213485314302497E-2</v>
      </c>
    </row>
    <row r="52" spans="2:48">
      <c r="B52" s="831">
        <f t="shared" si="80"/>
        <v>38</v>
      </c>
      <c r="C52" s="772"/>
      <c r="D52" s="774" t="str">
        <f>LEFT(INDEX(DSS_Calc!$D:$D,MATCH(G$4+$B52,DSS_Calc!$A:$A,0)),LEN(INDEX(DSS_Calc!$D:$D,MATCH(G$4+$B52,DSS_Calc!$A:$A,0)))-2)</f>
        <v>1000 CC, 0/0/0.9/3.9</v>
      </c>
      <c r="E52" s="772" t="str">
        <f>"MY"&amp;RIGHT(Input!$H$9,2)&amp;" "&amp;Input!$H$3</f>
        <v>MY20 Forte</v>
      </c>
      <c r="F52" s="772"/>
      <c r="G52" s="776">
        <f>INDEX(DSS_Calc!$JD:$JD,MATCH(G$4+$B52,DSS_Calc!$A:$A,0))-INDEX(DSS_Calc!$JD:$JD,MATCH(G$4+$B$6,DSS_Calc!$A:$A,0))</f>
        <v>-4.19706909011893</v>
      </c>
      <c r="H52" s="775">
        <f>INDEX(DSS_Calc!$JM:$JM,MATCH(G$4+$B52,DSS_Calc!$A:$A,0))/INDEX(DSS_Calc!$JM:$JM,MATCH(G$4+$B$6,DSS_Calc!$A:$A,0))-1</f>
        <v>4.4278599663542195E-2</v>
      </c>
      <c r="I52" s="787">
        <f>ABS(INDEX(DSS_Calc!$KU:$KU,MATCH(G$4+$B52,DSS_Calc!$A:$A,0)))</f>
        <v>53.097676400771824</v>
      </c>
      <c r="J52" s="772">
        <f t="shared" ref="J52:J69" si="81">RANK(I52,I$20:I$100,0)</f>
        <v>5</v>
      </c>
      <c r="K52" s="807">
        <f t="shared" si="69"/>
        <v>100</v>
      </c>
      <c r="L52" s="807">
        <f t="shared" si="70"/>
        <v>4</v>
      </c>
      <c r="M52" s="807">
        <f>INDEX(DSS_Calc!$JM:$JM,MATCH(G$4+$B52,DSS_Calc!$A:$A,0))</f>
        <v>1104.9610810115134</v>
      </c>
      <c r="N52" s="772"/>
      <c r="O52" s="776">
        <f>INDEX(DSS_Calc!$JD:$JD,MATCH(O$4+$B52,DSS_Calc!$A:$A,0))-INDEX(DSS_Calc!$JD:$JD,MATCH(O$4+$B$6,DSS_Calc!$A:$A,0))</f>
        <v>270.71199010879491</v>
      </c>
      <c r="P52" s="775">
        <f>INDEX(DSS_Calc!$JM:$JM,MATCH(O$4+$B52,DSS_Calc!$A:$A,0))/INDEX(DSS_Calc!$JM:$JM,MATCH(O$4+$B$6,DSS_Calc!$A:$A,0))-1</f>
        <v>8.8968777990001469E-2</v>
      </c>
      <c r="Q52" s="787">
        <f>ABS(INDEX(DSS_Calc!$KU:$KU,MATCH(O$4+$B52,DSS_Calc!$A:$A,0)))</f>
        <v>12.613603052816046</v>
      </c>
      <c r="R52" s="772">
        <f t="shared" ref="R52:R69" si="82">RANK(Q52,Q$20:Q$100,0)</f>
        <v>2</v>
      </c>
      <c r="S52" s="807">
        <f t="shared" si="71"/>
        <v>1</v>
      </c>
      <c r="T52" s="807">
        <f t="shared" si="72"/>
        <v>100</v>
      </c>
      <c r="U52" s="807">
        <f>INDEX(DSS_Calc!$JM:$JM,MATCH(O$4+$B52,DSS_Calc!$A:$A,0))</f>
        <v>1881.4754684949619</v>
      </c>
      <c r="V52" s="772"/>
      <c r="W52" s="776">
        <f>INDEX(DSS_Calc!$JD:$JD,MATCH(W$4+$B52,DSS_Calc!$A:$A,0))-INDEX(DSS_Calc!$JD:$JD,MATCH(W$4+$B$6,DSS_Calc!$A:$A,0))</f>
        <v>266.92181291642009</v>
      </c>
      <c r="X52" s="775">
        <f>INDEX(DSS_Calc!$JM:$JM,MATCH(W$4+$B52,DSS_Calc!$A:$A,0))/INDEX(DSS_Calc!$JM:$JM,MATCH(W$4+$B$6,DSS_Calc!$A:$A,0))-1</f>
        <v>8.6724136598317347E-2</v>
      </c>
      <c r="Y52" s="787">
        <f>ABS(INDEX(DSS_Calc!$KU:$KU,MATCH(W$4+$B52,DSS_Calc!$A:$A,0)))</f>
        <v>16.040323310458891</v>
      </c>
      <c r="Z52" s="772">
        <f t="shared" ref="Z52:Z69" si="83">RANK(Y52,Y$20:Y$100,0)</f>
        <v>1</v>
      </c>
      <c r="AA52" s="807">
        <f t="shared" si="73"/>
        <v>1</v>
      </c>
      <c r="AB52" s="807">
        <f t="shared" si="74"/>
        <v>100</v>
      </c>
      <c r="AC52" s="807">
        <f>INDEX(DSS_Calc!$JM:$JM,MATCH(W$4+$B52,DSS_Calc!$A:$A,0))</f>
        <v>2238.7322393477889</v>
      </c>
      <c r="AD52" s="772"/>
      <c r="AE52" s="776">
        <f>INDEX(DSS_Calc!$JD:$JD,MATCH(AE$4+$B52,DSS_Calc!$A:$A,0))-INDEX(DSS_Calc!$JD:$JD,MATCH(AE$4+$B$6,DSS_Calc!$A:$A,0))</f>
        <v>577.53671083528252</v>
      </c>
      <c r="AF52" s="775">
        <f>INDEX(DSS_Calc!$JM:$JM,MATCH(AE$4+$B52,DSS_Calc!$A:$A,0))/INDEX(DSS_Calc!$JM:$JM,MATCH(AE$4+$B$6,DSS_Calc!$A:$A,0))-1</f>
        <v>0.1162386925101484</v>
      </c>
      <c r="AG52" s="787">
        <f>ABS(INDEX(DSS_Calc!$KU:$KU,MATCH(AE$4+$B52,DSS_Calc!$A:$A,0)))</f>
        <v>6.7003035756011764</v>
      </c>
      <c r="AH52" s="772">
        <f t="shared" ref="AH52:AH69" si="84">RANK(AG52,AG$20:AG$100,0)</f>
        <v>1</v>
      </c>
      <c r="AI52" s="807">
        <f t="shared" si="75"/>
        <v>1</v>
      </c>
      <c r="AJ52" s="807">
        <f t="shared" si="76"/>
        <v>100</v>
      </c>
      <c r="AK52" s="807">
        <f>INDEX(DSS_Calc!$JM:$JM,MATCH(AE$4+$B52,DSS_Calc!$A:$A,0))</f>
        <v>2229.8427908647382</v>
      </c>
      <c r="AL52" s="772"/>
      <c r="AM52" s="776">
        <f>INDEX(DSS_Calc!$JD:$JD,MATCH(AM$4+$B52,DSS_Calc!$A:$A,0))-INDEX(DSS_Calc!$JD:$JD,MATCH(AM$4+$B$6,DSS_Calc!$A:$A,0))</f>
        <v>531.5382245103483</v>
      </c>
      <c r="AN52" s="775">
        <f>INDEX(DSS_Calc!$JM:$JM,MATCH(AM$4+$B52,DSS_Calc!$A:$A,0))/INDEX(DSS_Calc!$JM:$JM,MATCH(AM$4+$B$6,DSS_Calc!$A:$A,0))-1</f>
        <v>0.11769681015121747</v>
      </c>
      <c r="AO52" s="787">
        <f>ABS(INDEX(DSS_Calc!$KU:$KU,MATCH(AM$4+$B52,DSS_Calc!$A:$A,0)))</f>
        <v>7.5068774474255502</v>
      </c>
      <c r="AP52" s="772">
        <f t="shared" ref="AP52:AP69" si="85">RANK(AO52,AO$20:AO$100,0)</f>
        <v>1</v>
      </c>
      <c r="AQ52" s="807">
        <f t="shared" si="77"/>
        <v>1</v>
      </c>
      <c r="AR52" s="807">
        <f t="shared" si="78"/>
        <v>100</v>
      </c>
      <c r="AS52" s="807">
        <f>INDEX(DSS_Calc!$JM:$JM,MATCH(AM$4+$B52,DSS_Calc!$A:$A,0))</f>
        <v>892.53721100266125</v>
      </c>
      <c r="AT52" s="772"/>
      <c r="AU52" s="776">
        <f>INDEX(DSS_Calc!$JD:$JD,MATCH(AU$4+$B52,DSS_Calc!$A:$A,0))-INDEX(DSS_Calc!$JD:$JD,MATCH(AU$4+$B$6,DSS_Calc!$A:$A,0))</f>
        <v>325.40137806533403</v>
      </c>
      <c r="AV52" s="775">
        <f>INDEX(DSS_Calc!$JM:$JM,MATCH(AU$4+$B52,DSS_Calc!$A:$A,0))/INDEX(DSS_Calc!$JM:$JM,MATCH(AU$4+$B$6,DSS_Calc!$A:$A,0))-1</f>
        <v>9.2306199504197606E-2</v>
      </c>
    </row>
    <row r="53" spans="2:48">
      <c r="B53" s="831">
        <f t="shared" si="80"/>
        <v>39</v>
      </c>
      <c r="C53" s="777"/>
      <c r="D53" s="778" t="str">
        <f>LEFT(INDEX(DSS_Calc!$D:$D,MATCH(G$4+$B53,DSS_Calc!$A:$A,0)),LEN(INDEX(DSS_Calc!$D:$D,MATCH(G$4+$B53,DSS_Calc!$A:$A,0)))-2)</f>
        <v>250 CC, 360 Lease</v>
      </c>
      <c r="E53" s="777" t="str">
        <f>"MY"&amp;RIGHT(Input!$H$9,2)&amp;" "&amp;Input!$H$3</f>
        <v>MY20 Forte</v>
      </c>
      <c r="F53" s="772"/>
      <c r="G53" s="779">
        <f>INDEX(DSS_Calc!$JD:$JD,MATCH(G$4+$B53,DSS_Calc!$A:$A,0))-INDEX(DSS_Calc!$JD:$JD,MATCH(G$4+$B$6,DSS_Calc!$A:$A,0))</f>
        <v>386.25871149112936</v>
      </c>
      <c r="H53" s="780">
        <f>INDEX(DSS_Calc!$JM:$JM,MATCH(G$4+$B53,DSS_Calc!$A:$A,0))/INDEX(DSS_Calc!$JM:$JM,MATCH(G$4+$B$6,DSS_Calc!$A:$A,0))-1</f>
        <v>7.0525762958333127E-2</v>
      </c>
      <c r="I53" s="788">
        <f>ABS(INDEX(DSS_Calc!$KU:$KU,MATCH(G$4+$B53,DSS_Calc!$A:$A,0)))</f>
        <v>50.643793851035838</v>
      </c>
      <c r="J53" s="777">
        <f t="shared" si="81"/>
        <v>42</v>
      </c>
      <c r="K53" s="808">
        <f t="shared" si="69"/>
        <v>21</v>
      </c>
      <c r="L53" s="808">
        <f t="shared" si="70"/>
        <v>100</v>
      </c>
      <c r="M53" s="808">
        <f>INDEX(DSS_Calc!$JM:$JM,MATCH(G$4+$B53,DSS_Calc!$A:$A,0))</f>
        <v>1132.7334531898214</v>
      </c>
      <c r="N53" s="772"/>
      <c r="O53" s="779">
        <f>INDEX(DSS_Calc!$JD:$JD,MATCH(O$4+$B53,DSS_Calc!$A:$A,0))-INDEX(DSS_Calc!$JD:$JD,MATCH(O$4+$B$6,DSS_Calc!$A:$A,0))</f>
        <v>290.78205812432088</v>
      </c>
      <c r="P53" s="780">
        <f>INDEX(DSS_Calc!$JM:$JM,MATCH(O$4+$B53,DSS_Calc!$A:$A,0))/INDEX(DSS_Calc!$JM:$JM,MATCH(O$4+$B$6,DSS_Calc!$A:$A,0))-1</f>
        <v>4.693137931450031E-2</v>
      </c>
      <c r="Q53" s="788">
        <f>ABS(INDEX(DSS_Calc!$KU:$KU,MATCH(O$4+$B53,DSS_Calc!$A:$A,0)))</f>
        <v>11.876790115904731</v>
      </c>
      <c r="R53" s="777">
        <f t="shared" si="82"/>
        <v>41</v>
      </c>
      <c r="S53" s="808">
        <f t="shared" si="71"/>
        <v>21</v>
      </c>
      <c r="T53" s="808">
        <f t="shared" si="72"/>
        <v>100</v>
      </c>
      <c r="U53" s="808">
        <f>INDEX(DSS_Calc!$JM:$JM,MATCH(O$4+$B53,DSS_Calc!$A:$A,0))</f>
        <v>1808.8449799392795</v>
      </c>
      <c r="V53" s="772"/>
      <c r="W53" s="779">
        <f>INDEX(DSS_Calc!$JD:$JD,MATCH(W$4+$B53,DSS_Calc!$A:$A,0))-INDEX(DSS_Calc!$JD:$JD,MATCH(W$4+$B$6,DSS_Calc!$A:$A,0))</f>
        <v>306.39944731076821</v>
      </c>
      <c r="X53" s="780">
        <f>INDEX(DSS_Calc!$JM:$JM,MATCH(W$4+$B53,DSS_Calc!$A:$A,0))/INDEX(DSS_Calc!$JM:$JM,MATCH(W$4+$B$6,DSS_Calc!$A:$A,0))-1</f>
        <v>4.6053487126303638E-2</v>
      </c>
      <c r="Y53" s="788">
        <f>ABS(INDEX(DSS_Calc!$KU:$KU,MATCH(W$4+$B53,DSS_Calc!$A:$A,0)))</f>
        <v>15.105658959603177</v>
      </c>
      <c r="Z53" s="777">
        <f t="shared" si="83"/>
        <v>40</v>
      </c>
      <c r="AA53" s="808">
        <f t="shared" si="73"/>
        <v>21</v>
      </c>
      <c r="AB53" s="808">
        <f t="shared" si="74"/>
        <v>100</v>
      </c>
      <c r="AC53" s="808">
        <f>INDEX(DSS_Calc!$JM:$JM,MATCH(W$4+$B53,DSS_Calc!$A:$A,0))</f>
        <v>2154.9476880510647</v>
      </c>
      <c r="AD53" s="772"/>
      <c r="AE53" s="779">
        <f>INDEX(DSS_Calc!$JD:$JD,MATCH(AE$4+$B53,DSS_Calc!$A:$A,0))-INDEX(DSS_Calc!$JD:$JD,MATCH(AE$4+$B$6,DSS_Calc!$A:$A,0))</f>
        <v>158.42033480133705</v>
      </c>
      <c r="AF53" s="780">
        <f>INDEX(DSS_Calc!$JM:$JM,MATCH(AE$4+$B53,DSS_Calc!$A:$A,0))/INDEX(DSS_Calc!$JM:$JM,MATCH(AE$4+$B$6,DSS_Calc!$A:$A,0))-1</f>
        <v>2.611598335722265E-2</v>
      </c>
      <c r="AG53" s="788">
        <f>ABS(INDEX(DSS_Calc!$KU:$KU,MATCH(AE$4+$B53,DSS_Calc!$A:$A,0)))</f>
        <v>6.5032935646962455</v>
      </c>
      <c r="AH53" s="777">
        <f t="shared" si="84"/>
        <v>39</v>
      </c>
      <c r="AI53" s="808">
        <f t="shared" si="75"/>
        <v>100</v>
      </c>
      <c r="AJ53" s="808">
        <f t="shared" si="76"/>
        <v>17</v>
      </c>
      <c r="AK53" s="808">
        <f>INDEX(DSS_Calc!$JM:$JM,MATCH(AE$4+$B53,DSS_Calc!$A:$A,0))</f>
        <v>2049.8100840196257</v>
      </c>
      <c r="AL53" s="772"/>
      <c r="AM53" s="779">
        <f>INDEX(DSS_Calc!$JD:$JD,MATCH(AM$4+$B53,DSS_Calc!$A:$A,0))-INDEX(DSS_Calc!$JD:$JD,MATCH(AM$4+$B$6,DSS_Calc!$A:$A,0))</f>
        <v>187.08438067214547</v>
      </c>
      <c r="AN53" s="780">
        <f>INDEX(DSS_Calc!$JM:$JM,MATCH(AM$4+$B53,DSS_Calc!$A:$A,0))/INDEX(DSS_Calc!$JM:$JM,MATCH(AM$4+$B$6,DSS_Calc!$A:$A,0))-1</f>
        <v>3.1555737161157893E-2</v>
      </c>
      <c r="AO53" s="788">
        <f>ABS(INDEX(DSS_Calc!$KU:$KU,MATCH(AM$4+$B53,DSS_Calc!$A:$A,0)))</f>
        <v>7.2134921607811018</v>
      </c>
      <c r="AP53" s="777">
        <f t="shared" si="85"/>
        <v>40</v>
      </c>
      <c r="AQ53" s="808">
        <f t="shared" si="77"/>
        <v>100</v>
      </c>
      <c r="AR53" s="808">
        <f t="shared" si="78"/>
        <v>18</v>
      </c>
      <c r="AS53" s="808">
        <f>INDEX(DSS_Calc!$JM:$JM,MATCH(AM$4+$B53,DSS_Calc!$A:$A,0))</f>
        <v>823.74922454600971</v>
      </c>
      <c r="AT53" s="772"/>
      <c r="AU53" s="779">
        <f>INDEX(DSS_Calc!$JD:$JD,MATCH(AU$4+$B53,DSS_Calc!$A:$A,0))-INDEX(DSS_Calc!$JD:$JD,MATCH(AU$4+$B$6,DSS_Calc!$A:$A,0))</f>
        <v>274.98643515775984</v>
      </c>
      <c r="AV53" s="780">
        <f>INDEX(DSS_Calc!$JM:$JM,MATCH(AU$4+$B53,DSS_Calc!$A:$A,0))/INDEX(DSS_Calc!$JM:$JM,MATCH(AU$4+$B$6,DSS_Calc!$A:$A,0))-1</f>
        <v>4.2913787478058296E-2</v>
      </c>
    </row>
    <row r="54" spans="2:48">
      <c r="B54" s="831">
        <f t="shared" si="80"/>
        <v>40</v>
      </c>
      <c r="C54" s="772"/>
      <c r="D54" s="774" t="str">
        <f>LEFT(INDEX(DSS_Calc!$D:$D,MATCH(G$4+$B54,DSS_Calc!$A:$A,0)),LEN(INDEX(DSS_Calc!$D:$D,MATCH(G$4+$B54,DSS_Calc!$A:$A,0)))-2)</f>
        <v>500 CC, 360 Lease</v>
      </c>
      <c r="E54" s="772" t="str">
        <f>"MY"&amp;RIGHT(Input!$H$9,2)&amp;" "&amp;Input!$H$3</f>
        <v>MY20 Forte</v>
      </c>
      <c r="F54" s="772"/>
      <c r="G54" s="776">
        <f>INDEX(DSS_Calc!$JD:$JD,MATCH(G$4+$B54,DSS_Calc!$A:$A,0))-INDEX(DSS_Calc!$JD:$JD,MATCH(G$4+$B$6,DSS_Calc!$A:$A,0))</f>
        <v>372.53038267336524</v>
      </c>
      <c r="H54" s="775">
        <f>INDEX(DSS_Calc!$JM:$JM,MATCH(G$4+$B54,DSS_Calc!$A:$A,0))/INDEX(DSS_Calc!$JM:$JM,MATCH(G$4+$B$6,DSS_Calc!$A:$A,0))-1</f>
        <v>7.8088053979502581E-2</v>
      </c>
      <c r="I54" s="787">
        <f>ABS(INDEX(DSS_Calc!$KU:$KU,MATCH(G$4+$B54,DSS_Calc!$A:$A,0)))</f>
        <v>51.099509648125377</v>
      </c>
      <c r="J54" s="772">
        <f t="shared" si="81"/>
        <v>34</v>
      </c>
      <c r="K54" s="807">
        <f t="shared" si="69"/>
        <v>16</v>
      </c>
      <c r="L54" s="807">
        <f t="shared" si="70"/>
        <v>100</v>
      </c>
      <c r="M54" s="807">
        <f>INDEX(DSS_Calc!$JM:$JM,MATCH(G$4+$B54,DSS_Calc!$A:$A,0))</f>
        <v>1140.7351849732431</v>
      </c>
      <c r="N54" s="772"/>
      <c r="O54" s="776">
        <f>INDEX(DSS_Calc!$JD:$JD,MATCH(O$4+$B54,DSS_Calc!$A:$A,0))-INDEX(DSS_Calc!$JD:$JD,MATCH(O$4+$B$6,DSS_Calc!$A:$A,0))</f>
        <v>323.88348214508187</v>
      </c>
      <c r="P54" s="775">
        <f>INDEX(DSS_Calc!$JM:$JM,MATCH(O$4+$B54,DSS_Calc!$A:$A,0))/INDEX(DSS_Calc!$JM:$JM,MATCH(O$4+$B$6,DSS_Calc!$A:$A,0))-1</f>
        <v>6.2529868270650324E-2</v>
      </c>
      <c r="Q54" s="787">
        <f>ABS(INDEX(DSS_Calc!$KU:$KU,MATCH(O$4+$B54,DSS_Calc!$A:$A,0)))</f>
        <v>12.027679704396867</v>
      </c>
      <c r="R54" s="772">
        <f t="shared" si="82"/>
        <v>34</v>
      </c>
      <c r="S54" s="807">
        <f t="shared" si="71"/>
        <v>16</v>
      </c>
      <c r="T54" s="807">
        <f t="shared" si="72"/>
        <v>100</v>
      </c>
      <c r="U54" s="807">
        <f>INDEX(DSS_Calc!$JM:$JM,MATCH(O$4+$B54,DSS_Calc!$A:$A,0))</f>
        <v>1835.7954076372673</v>
      </c>
      <c r="V54" s="772"/>
      <c r="W54" s="776">
        <f>INDEX(DSS_Calc!$JD:$JD,MATCH(W$4+$B54,DSS_Calc!$A:$A,0))-INDEX(DSS_Calc!$JD:$JD,MATCH(W$4+$B$6,DSS_Calc!$A:$A,0))</f>
        <v>326.95999110993307</v>
      </c>
      <c r="X54" s="775">
        <f>INDEX(DSS_Calc!$JM:$JM,MATCH(W$4+$B54,DSS_Calc!$A:$A,0))/INDEX(DSS_Calc!$JM:$JM,MATCH(W$4+$B$6,DSS_Calc!$A:$A,0))-1</f>
        <v>5.8844819825465189E-2</v>
      </c>
      <c r="Y54" s="787">
        <f>ABS(INDEX(DSS_Calc!$KU:$KU,MATCH(W$4+$B54,DSS_Calc!$A:$A,0)))</f>
        <v>15.272206548824945</v>
      </c>
      <c r="Z54" s="772">
        <f t="shared" si="83"/>
        <v>38</v>
      </c>
      <c r="AA54" s="807">
        <f t="shared" si="73"/>
        <v>19</v>
      </c>
      <c r="AB54" s="807">
        <f t="shared" si="74"/>
        <v>100</v>
      </c>
      <c r="AC54" s="807">
        <f>INDEX(DSS_Calc!$JM:$JM,MATCH(W$4+$B54,DSS_Calc!$A:$A,0))</f>
        <v>2181.2987811513567</v>
      </c>
      <c r="AD54" s="772"/>
      <c r="AE54" s="776">
        <f>INDEX(DSS_Calc!$JD:$JD,MATCH(AE$4+$B54,DSS_Calc!$A:$A,0))-INDEX(DSS_Calc!$JD:$JD,MATCH(AE$4+$B$6,DSS_Calc!$A:$A,0))</f>
        <v>253.9583751416003</v>
      </c>
      <c r="AF54" s="775">
        <f>INDEX(DSS_Calc!$JM:$JM,MATCH(AE$4+$B54,DSS_Calc!$A:$A,0))/INDEX(DSS_Calc!$JM:$JM,MATCH(AE$4+$B$6,DSS_Calc!$A:$A,0))-1</f>
        <v>4.5572584737627153E-2</v>
      </c>
      <c r="AG54" s="787">
        <f>ABS(INDEX(DSS_Calc!$KU:$KU,MATCH(AE$4+$B54,DSS_Calc!$A:$A,0)))</f>
        <v>6.5394092472317897</v>
      </c>
      <c r="AH54" s="772">
        <f t="shared" si="84"/>
        <v>31</v>
      </c>
      <c r="AI54" s="807">
        <f t="shared" si="75"/>
        <v>100</v>
      </c>
      <c r="AJ54" s="807">
        <f t="shared" si="76"/>
        <v>13</v>
      </c>
      <c r="AK54" s="807">
        <f>INDEX(DSS_Calc!$JM:$JM,MATCH(AE$4+$B54,DSS_Calc!$A:$A,0))</f>
        <v>2088.6773644802779</v>
      </c>
      <c r="AL54" s="772"/>
      <c r="AM54" s="776">
        <f>INDEX(DSS_Calc!$JD:$JD,MATCH(AM$4+$B54,DSS_Calc!$A:$A,0))-INDEX(DSS_Calc!$JD:$JD,MATCH(AM$4+$B$6,DSS_Calc!$A:$A,0))</f>
        <v>280.21818765315948</v>
      </c>
      <c r="AN54" s="775">
        <f>INDEX(DSS_Calc!$JM:$JM,MATCH(AM$4+$B54,DSS_Calc!$A:$A,0))/INDEX(DSS_Calc!$JM:$JM,MATCH(AM$4+$B$6,DSS_Calc!$A:$A,0))-1</f>
        <v>5.2053505199735728E-2</v>
      </c>
      <c r="AO54" s="787">
        <f>ABS(INDEX(DSS_Calc!$KU:$KU,MATCH(AM$4+$B54,DSS_Calc!$A:$A,0)))</f>
        <v>7.263229045187952</v>
      </c>
      <c r="AP54" s="772">
        <f t="shared" si="85"/>
        <v>34</v>
      </c>
      <c r="AQ54" s="807">
        <f t="shared" si="77"/>
        <v>21</v>
      </c>
      <c r="AR54" s="807">
        <f t="shared" si="78"/>
        <v>100</v>
      </c>
      <c r="AS54" s="807">
        <f>INDEX(DSS_Calc!$JM:$JM,MATCH(AM$4+$B54,DSS_Calc!$A:$A,0))</f>
        <v>840.11772497543893</v>
      </c>
      <c r="AT54" s="772"/>
      <c r="AU54" s="776">
        <f>INDEX(DSS_Calc!$JD:$JD,MATCH(AU$4+$B54,DSS_Calc!$A:$A,0))-INDEX(DSS_Calc!$JD:$JD,MATCH(AU$4+$B$6,DSS_Calc!$A:$A,0))</f>
        <v>316.86334913305291</v>
      </c>
      <c r="AV54" s="775">
        <f>INDEX(DSS_Calc!$JM:$JM,MATCH(AU$4+$B54,DSS_Calc!$A:$A,0))/INDEX(DSS_Calc!$JM:$JM,MATCH(AU$4+$B$6,DSS_Calc!$A:$A,0))-1</f>
        <v>5.8163331019144948E-2</v>
      </c>
    </row>
    <row r="55" spans="2:48">
      <c r="B55" s="831">
        <f t="shared" si="80"/>
        <v>41</v>
      </c>
      <c r="C55" s="777"/>
      <c r="D55" s="778" t="str">
        <f>LEFT(INDEX(DSS_Calc!$D:$D,MATCH(G$4+$B55,DSS_Calc!$A:$A,0)),LEN(INDEX(DSS_Calc!$D:$D,MATCH(G$4+$B55,DSS_Calc!$A:$A,0)))-2)</f>
        <v>750 CC, 360 Lease</v>
      </c>
      <c r="E55" s="777" t="str">
        <f>"MY"&amp;RIGHT(Input!$H$9,2)&amp;" "&amp;Input!$H$3</f>
        <v>MY20 Forte</v>
      </c>
      <c r="F55" s="772"/>
      <c r="G55" s="779">
        <f>INDEX(DSS_Calc!$JD:$JD,MATCH(G$4+$B55,DSS_Calc!$A:$A,0))-INDEX(DSS_Calc!$JD:$JD,MATCH(G$4+$B$6,DSS_Calc!$A:$A,0))</f>
        <v>363.26355435256301</v>
      </c>
      <c r="H55" s="780">
        <f>INDEX(DSS_Calc!$JM:$JM,MATCH(G$4+$B55,DSS_Calc!$A:$A,0))/INDEX(DSS_Calc!$JM:$JM,MATCH(G$4+$B$6,DSS_Calc!$A:$A,0))-1</f>
        <v>8.6163262497929827E-2</v>
      </c>
      <c r="I55" s="788">
        <f>ABS(INDEX(DSS_Calc!$KU:$KU,MATCH(G$4+$B55,DSS_Calc!$A:$A,0)))</f>
        <v>51.539897568785982</v>
      </c>
      <c r="J55" s="777">
        <f t="shared" si="81"/>
        <v>25</v>
      </c>
      <c r="K55" s="808">
        <f t="shared" si="69"/>
        <v>8</v>
      </c>
      <c r="L55" s="808">
        <f t="shared" si="70"/>
        <v>100</v>
      </c>
      <c r="M55" s="808">
        <f>INDEX(DSS_Calc!$JM:$JM,MATCH(G$4+$B55,DSS_Calc!$A:$A,0))</f>
        <v>1149.2796396204892</v>
      </c>
      <c r="N55" s="772"/>
      <c r="O55" s="779">
        <f>INDEX(DSS_Calc!$JD:$JD,MATCH(O$4+$B55,DSS_Calc!$A:$A,0))-INDEX(DSS_Calc!$JD:$JD,MATCH(O$4+$B$6,DSS_Calc!$A:$A,0))</f>
        <v>366.76783549283073</v>
      </c>
      <c r="P55" s="780">
        <f>INDEX(DSS_Calc!$JM:$JM,MATCH(O$4+$B55,DSS_Calc!$A:$A,0))/INDEX(DSS_Calc!$JM:$JM,MATCH(O$4+$B$6,DSS_Calc!$A:$A,0))-1</f>
        <v>7.8958821554190983E-2</v>
      </c>
      <c r="Q55" s="788">
        <f>ABS(INDEX(DSS_Calc!$KU:$KU,MATCH(O$4+$B55,DSS_Calc!$A:$A,0)))</f>
        <v>12.16007891995843</v>
      </c>
      <c r="R55" s="777">
        <f t="shared" si="82"/>
        <v>25</v>
      </c>
      <c r="S55" s="808">
        <f t="shared" si="71"/>
        <v>11</v>
      </c>
      <c r="T55" s="808">
        <f t="shared" si="72"/>
        <v>100</v>
      </c>
      <c r="U55" s="808">
        <f>INDEX(DSS_Calc!$JM:$JM,MATCH(O$4+$B55,DSS_Calc!$A:$A,0))</f>
        <v>1864.1806774455406</v>
      </c>
      <c r="V55" s="772"/>
      <c r="W55" s="779">
        <f>INDEX(DSS_Calc!$JD:$JD,MATCH(W$4+$B55,DSS_Calc!$A:$A,0))-INDEX(DSS_Calc!$JD:$JD,MATCH(W$4+$B$6,DSS_Calc!$A:$A,0))</f>
        <v>355.93031428736322</v>
      </c>
      <c r="X55" s="780">
        <f>INDEX(DSS_Calc!$JM:$JM,MATCH(W$4+$B55,DSS_Calc!$A:$A,0))/INDEX(DSS_Calc!$JM:$JM,MATCH(W$4+$B$6,DSS_Calc!$A:$A,0))-1</f>
        <v>7.2603079813746252E-2</v>
      </c>
      <c r="Y55" s="788">
        <f>ABS(INDEX(DSS_Calc!$KU:$KU,MATCH(W$4+$B55,DSS_Calc!$A:$A,0)))</f>
        <v>15.423487109851305</v>
      </c>
      <c r="Z55" s="777">
        <f t="shared" si="83"/>
        <v>29</v>
      </c>
      <c r="AA55" s="808">
        <f t="shared" si="73"/>
        <v>11</v>
      </c>
      <c r="AB55" s="808">
        <f t="shared" si="74"/>
        <v>100</v>
      </c>
      <c r="AC55" s="808">
        <f>INDEX(DSS_Calc!$JM:$JM,MATCH(W$4+$B55,DSS_Calc!$A:$A,0))</f>
        <v>2209.6418161091588</v>
      </c>
      <c r="AD55" s="772"/>
      <c r="AE55" s="779">
        <f>INDEX(DSS_Calc!$JD:$JD,MATCH(AE$4+$B55,DSS_Calc!$A:$A,0))-INDEX(DSS_Calc!$JD:$JD,MATCH(AE$4+$B$6,DSS_Calc!$A:$A,0))</f>
        <v>357.22572326713362</v>
      </c>
      <c r="AF55" s="780">
        <f>INDEX(DSS_Calc!$JM:$JM,MATCH(AE$4+$B55,DSS_Calc!$A:$A,0))/INDEX(DSS_Calc!$JM:$JM,MATCH(AE$4+$B$6,DSS_Calc!$A:$A,0))-1</f>
        <v>6.5859419646233874E-2</v>
      </c>
      <c r="AG55" s="788">
        <f>ABS(INDEX(DSS_Calc!$KU:$KU,MATCH(AE$4+$B55,DSS_Calc!$A:$A,0)))</f>
        <v>6.5668835163706234</v>
      </c>
      <c r="AH55" s="777">
        <f t="shared" si="84"/>
        <v>23</v>
      </c>
      <c r="AI55" s="808">
        <f t="shared" si="75"/>
        <v>16</v>
      </c>
      <c r="AJ55" s="808">
        <f t="shared" si="76"/>
        <v>100</v>
      </c>
      <c r="AK55" s="808">
        <f>INDEX(DSS_Calc!$JM:$JM,MATCH(AE$4+$B55,DSS_Calc!$A:$A,0))</f>
        <v>2129.2031524447625</v>
      </c>
      <c r="AL55" s="772"/>
      <c r="AM55" s="779">
        <f>INDEX(DSS_Calc!$JD:$JD,MATCH(AM$4+$B55,DSS_Calc!$A:$A,0))-INDEX(DSS_Calc!$JD:$JD,MATCH(AM$4+$B$6,DSS_Calc!$A:$A,0))</f>
        <v>381.88751656624254</v>
      </c>
      <c r="AN55" s="780">
        <f>INDEX(DSS_Calc!$JM:$JM,MATCH(AM$4+$B55,DSS_Calc!$A:$A,0))/INDEX(DSS_Calc!$JM:$JM,MATCH(AM$4+$B$6,DSS_Calc!$A:$A,0))-1</f>
        <v>7.3492448263222876E-2</v>
      </c>
      <c r="AO55" s="788">
        <f>ABS(INDEX(DSS_Calc!$KU:$KU,MATCH(AM$4+$B55,DSS_Calc!$A:$A,0)))</f>
        <v>7.3025765988892228</v>
      </c>
      <c r="AP55" s="777">
        <f t="shared" si="85"/>
        <v>30</v>
      </c>
      <c r="AQ55" s="808">
        <f t="shared" si="77"/>
        <v>19</v>
      </c>
      <c r="AR55" s="808">
        <f t="shared" si="78"/>
        <v>100</v>
      </c>
      <c r="AS55" s="808">
        <f>INDEX(DSS_Calc!$JM:$JM,MATCH(AM$4+$B55,DSS_Calc!$A:$A,0))</f>
        <v>857.23780107741936</v>
      </c>
      <c r="AT55" s="772"/>
      <c r="AU55" s="779">
        <f>INDEX(DSS_Calc!$JD:$JD,MATCH(AU$4+$B55,DSS_Calc!$A:$A,0))-INDEX(DSS_Calc!$JD:$JD,MATCH(AU$4+$B$6,DSS_Calc!$A:$A,0))</f>
        <v>367.07627333686105</v>
      </c>
      <c r="AV55" s="780">
        <f>INDEX(DSS_Calc!$JM:$JM,MATCH(AU$4+$B55,DSS_Calc!$A:$A,0))/INDEX(DSS_Calc!$JM:$JM,MATCH(AU$4+$B$6,DSS_Calc!$A:$A,0))-1</f>
        <v>7.4247666412395885E-2</v>
      </c>
    </row>
    <row r="56" spans="2:48">
      <c r="B56" s="831">
        <f t="shared" si="80"/>
        <v>42</v>
      </c>
      <c r="C56" s="772"/>
      <c r="D56" s="774" t="str">
        <f>LEFT(INDEX(DSS_Calc!$D:$D,MATCH(G$4+$B56,DSS_Calc!$A:$A,0)),LEN(INDEX(DSS_Calc!$D:$D,MATCH(G$4+$B56,DSS_Calc!$A:$A,0)))-2)</f>
        <v>1000 CC, 360 Lease</v>
      </c>
      <c r="E56" s="772" t="str">
        <f>"MY"&amp;RIGHT(Input!$H$9,2)&amp;" "&amp;Input!$H$3</f>
        <v>MY20 Forte</v>
      </c>
      <c r="F56" s="772"/>
      <c r="G56" s="776">
        <f>INDEX(DSS_Calc!$JD:$JD,MATCH(G$4+$B56,DSS_Calc!$A:$A,0))-INDEX(DSS_Calc!$JD:$JD,MATCH(G$4+$B$6,DSS_Calc!$A:$A,0))</f>
        <v>358.91403982826796</v>
      </c>
      <c r="H56" s="775">
        <f>INDEX(DSS_Calc!$JM:$JM,MATCH(G$4+$B56,DSS_Calc!$A:$A,0))/INDEX(DSS_Calc!$JM:$JM,MATCH(G$4+$B$6,DSS_Calc!$A:$A,0))-1</f>
        <v>9.4780170637841055E-2</v>
      </c>
      <c r="I56" s="787">
        <f>ABS(INDEX(DSS_Calc!$KU:$KU,MATCH(G$4+$B56,DSS_Calc!$A:$A,0)))</f>
        <v>51.960981015982313</v>
      </c>
      <c r="J56" s="772">
        <f t="shared" si="81"/>
        <v>19</v>
      </c>
      <c r="K56" s="807">
        <f t="shared" si="69"/>
        <v>4</v>
      </c>
      <c r="L56" s="807">
        <f t="shared" si="70"/>
        <v>100</v>
      </c>
      <c r="M56" s="807">
        <f>INDEX(DSS_Calc!$JM:$JM,MATCH(G$4+$B56,DSS_Calc!$A:$A,0))</f>
        <v>1158.3972717699185</v>
      </c>
      <c r="N56" s="772"/>
      <c r="O56" s="776">
        <f>INDEX(DSS_Calc!$JD:$JD,MATCH(O$4+$B56,DSS_Calc!$A:$A,0))-INDEX(DSS_Calc!$JD:$JD,MATCH(O$4+$B$6,DSS_Calc!$A:$A,0))</f>
        <v>419.52750216379673</v>
      </c>
      <c r="P56" s="775">
        <f>INDEX(DSS_Calc!$JM:$JM,MATCH(O$4+$B56,DSS_Calc!$A:$A,0))/INDEX(DSS_Calc!$JM:$JM,MATCH(O$4+$B$6,DSS_Calc!$A:$A,0))-1</f>
        <v>9.6239062063420144E-2</v>
      </c>
      <c r="Q56" s="787">
        <f>ABS(INDEX(DSS_Calc!$KU:$KU,MATCH(O$4+$B56,DSS_Calc!$A:$A,0)))</f>
        <v>12.273674064879906</v>
      </c>
      <c r="R56" s="772">
        <f t="shared" si="82"/>
        <v>18</v>
      </c>
      <c r="S56" s="807">
        <f t="shared" si="71"/>
        <v>8</v>
      </c>
      <c r="T56" s="807">
        <f t="shared" si="72"/>
        <v>100</v>
      </c>
      <c r="U56" s="807">
        <f>INDEX(DSS_Calc!$JM:$JM,MATCH(O$4+$B56,DSS_Calc!$A:$A,0))</f>
        <v>1894.0367663113923</v>
      </c>
      <c r="V56" s="772"/>
      <c r="W56" s="776">
        <f>INDEX(DSS_Calc!$JD:$JD,MATCH(W$4+$B56,DSS_Calc!$A:$A,0))-INDEX(DSS_Calc!$JD:$JD,MATCH(W$4+$B$6,DSS_Calc!$A:$A,0))</f>
        <v>393.61178111262689</v>
      </c>
      <c r="X56" s="775">
        <f>INDEX(DSS_Calc!$JM:$JM,MATCH(W$4+$B56,DSS_Calc!$A:$A,0))/INDEX(DSS_Calc!$JM:$JM,MATCH(W$4+$B$6,DSS_Calc!$A:$A,0))-1</f>
        <v>8.735710300298849E-2</v>
      </c>
      <c r="Y56" s="787">
        <f>ABS(INDEX(DSS_Calc!$KU:$KU,MATCH(W$4+$B56,DSS_Calc!$A:$A,0)))</f>
        <v>15.558295477796044</v>
      </c>
      <c r="Z56" s="772">
        <f t="shared" si="83"/>
        <v>23</v>
      </c>
      <c r="AA56" s="807">
        <f t="shared" si="73"/>
        <v>10</v>
      </c>
      <c r="AB56" s="807">
        <f t="shared" si="74"/>
        <v>100</v>
      </c>
      <c r="AC56" s="807">
        <f>INDEX(DSS_Calc!$JM:$JM,MATCH(W$4+$B56,DSS_Calc!$A:$A,0))</f>
        <v>2240.036197039386</v>
      </c>
      <c r="AD56" s="772"/>
      <c r="AE56" s="776">
        <f>INDEX(DSS_Calc!$JD:$JD,MATCH(AE$4+$B56,DSS_Calc!$A:$A,0))-INDEX(DSS_Calc!$JD:$JD,MATCH(AE$4+$B$6,DSS_Calc!$A:$A,0))</f>
        <v>468.05552263541449</v>
      </c>
      <c r="AF56" s="775">
        <f>INDEX(DSS_Calc!$JM:$JM,MATCH(AE$4+$B56,DSS_Calc!$A:$A,0))/INDEX(DSS_Calc!$JM:$JM,MATCH(AE$4+$B$6,DSS_Calc!$A:$A,0))-1</f>
        <v>8.6991552171913789E-2</v>
      </c>
      <c r="AG56" s="787">
        <f>ABS(INDEX(DSS_Calc!$KU:$KU,MATCH(AE$4+$B56,DSS_Calc!$A:$A,0)))</f>
        <v>6.5868766096688978</v>
      </c>
      <c r="AH56" s="772">
        <f t="shared" si="84"/>
        <v>16</v>
      </c>
      <c r="AI56" s="807">
        <f t="shared" si="75"/>
        <v>11</v>
      </c>
      <c r="AJ56" s="807">
        <f t="shared" si="76"/>
        <v>100</v>
      </c>
      <c r="AK56" s="807">
        <f>INDEX(DSS_Calc!$JM:$JM,MATCH(AE$4+$B56,DSS_Calc!$A:$A,0))</f>
        <v>2171.4175405359165</v>
      </c>
      <c r="AL56" s="772"/>
      <c r="AM56" s="776">
        <f>INDEX(DSS_Calc!$JD:$JD,MATCH(AM$4+$B56,DSS_Calc!$A:$A,0))-INDEX(DSS_Calc!$JD:$JD,MATCH(AM$4+$B$6,DSS_Calc!$A:$A,0))</f>
        <v>491.90002077478175</v>
      </c>
      <c r="AN56" s="775">
        <f>INDEX(DSS_Calc!$JM:$JM,MATCH(AM$4+$B56,DSS_Calc!$A:$A,0))/INDEX(DSS_Calc!$JM:$JM,MATCH(AM$4+$B$6,DSS_Calc!$A:$A,0))-1</f>
        <v>9.5891632128603854E-2</v>
      </c>
      <c r="AO56" s="787">
        <f>ABS(INDEX(DSS_Calc!$KU:$KU,MATCH(AM$4+$B56,DSS_Calc!$A:$A,0)))</f>
        <v>7.3328305567653862</v>
      </c>
      <c r="AP56" s="772">
        <f t="shared" si="85"/>
        <v>21</v>
      </c>
      <c r="AQ56" s="807">
        <f t="shared" si="77"/>
        <v>15</v>
      </c>
      <c r="AR56" s="807">
        <f t="shared" si="78"/>
        <v>100</v>
      </c>
      <c r="AS56" s="807">
        <f>INDEX(DSS_Calc!$JM:$JM,MATCH(AM$4+$B56,DSS_Calc!$A:$A,0))</f>
        <v>875.12467783538204</v>
      </c>
      <c r="AT56" s="772"/>
      <c r="AU56" s="776">
        <f>INDEX(DSS_Calc!$JD:$JD,MATCH(AU$4+$B56,DSS_Calc!$A:$A,0))-INDEX(DSS_Calc!$JD:$JD,MATCH(AU$4+$B$6,DSS_Calc!$A:$A,0))</f>
        <v>425.74090070933335</v>
      </c>
      <c r="AV56" s="775">
        <f>INDEX(DSS_Calc!$JM:$JM,MATCH(AU$4+$B56,DSS_Calc!$A:$A,0))/INDEX(DSS_Calc!$JM:$JM,MATCH(AU$4+$B$6,DSS_Calc!$A:$A,0))-1</f>
        <v>9.1189189671635917E-2</v>
      </c>
    </row>
    <row r="57" spans="2:48">
      <c r="B57" s="831">
        <f t="shared" si="80"/>
        <v>43</v>
      </c>
      <c r="C57" s="777"/>
      <c r="D57" s="778" t="str">
        <f>LEFT(INDEX(DSS_Calc!$D:$D,MATCH(G$4+$B57,DSS_Calc!$A:$A,0)),LEN(INDEX(DSS_Calc!$D:$D,MATCH(G$4+$B57,DSS_Calc!$A:$A,0)))-2)</f>
        <v>0/0/0.9/3.9, 360 Lease</v>
      </c>
      <c r="E57" s="777" t="str">
        <f>"MY"&amp;RIGHT(Input!$H$9,2)&amp;" "&amp;Input!$H$3</f>
        <v>MY20 Forte</v>
      </c>
      <c r="F57" s="772"/>
      <c r="G57" s="779">
        <f>INDEX(DSS_Calc!$JD:$JD,MATCH(G$4+$B57,DSS_Calc!$A:$A,0))-INDEX(DSS_Calc!$JD:$JD,MATCH(G$4+$B$6,DSS_Calc!$A:$A,0))</f>
        <v>416.09541103481479</v>
      </c>
      <c r="H57" s="780">
        <f>INDEX(DSS_Calc!$JM:$JM,MATCH(G$4+$B57,DSS_Calc!$A:$A,0))/INDEX(DSS_Calc!$JM:$JM,MATCH(G$4+$B$6,DSS_Calc!$A:$A,0))-1</f>
        <v>7.4114270656011172E-2</v>
      </c>
      <c r="I57" s="788">
        <f>ABS(INDEX(DSS_Calc!$KU:$KU,MATCH(G$4+$B57,DSS_Calc!$A:$A,0)))</f>
        <v>50.539379830910583</v>
      </c>
      <c r="J57" s="777">
        <f t="shared" si="81"/>
        <v>43</v>
      </c>
      <c r="K57" s="808">
        <f t="shared" si="69"/>
        <v>22</v>
      </c>
      <c r="L57" s="808">
        <f t="shared" si="70"/>
        <v>100</v>
      </c>
      <c r="M57" s="808">
        <f>INDEX(DSS_Calc!$JM:$JM,MATCH(G$4+$B57,DSS_Calc!$A:$A,0))</f>
        <v>1136.5304871864214</v>
      </c>
      <c r="N57" s="772"/>
      <c r="O57" s="779">
        <f>INDEX(DSS_Calc!$JD:$JD,MATCH(O$4+$B57,DSS_Calc!$A:$A,0))-INDEX(DSS_Calc!$JD:$JD,MATCH(O$4+$B$6,DSS_Calc!$A:$A,0))</f>
        <v>344.42668022495127</v>
      </c>
      <c r="P57" s="780">
        <f>INDEX(DSS_Calc!$JM:$JM,MATCH(O$4+$B57,DSS_Calc!$A:$A,0))/INDEX(DSS_Calc!$JM:$JM,MATCH(O$4+$B$6,DSS_Calc!$A:$A,0))-1</f>
        <v>5.5843953493639464E-2</v>
      </c>
      <c r="Q57" s="788">
        <f>ABS(INDEX(DSS_Calc!$KU:$KU,MATCH(O$4+$B57,DSS_Calc!$A:$A,0)))</f>
        <v>11.861223368071379</v>
      </c>
      <c r="R57" s="777">
        <f t="shared" si="82"/>
        <v>43</v>
      </c>
      <c r="S57" s="808">
        <f t="shared" si="71"/>
        <v>22</v>
      </c>
      <c r="T57" s="808">
        <f t="shared" si="72"/>
        <v>100</v>
      </c>
      <c r="U57" s="808">
        <f>INDEX(DSS_Calc!$JM:$JM,MATCH(O$4+$B57,DSS_Calc!$A:$A,0))</f>
        <v>1824.243759057762</v>
      </c>
      <c r="V57" s="772"/>
      <c r="W57" s="779">
        <f>INDEX(DSS_Calc!$JD:$JD,MATCH(W$4+$B57,DSS_Calc!$A:$A,0))-INDEX(DSS_Calc!$JD:$JD,MATCH(W$4+$B$6,DSS_Calc!$A:$A,0))</f>
        <v>392.92383987063658</v>
      </c>
      <c r="X57" s="780">
        <f>INDEX(DSS_Calc!$JM:$JM,MATCH(W$4+$B57,DSS_Calc!$A:$A,0))/INDEX(DSS_Calc!$JM:$JM,MATCH(W$4+$B$6,DSS_Calc!$A:$A,0))-1</f>
        <v>6.6672559961061584E-2</v>
      </c>
      <c r="Y57" s="788">
        <f>ABS(INDEX(DSS_Calc!$KU:$KU,MATCH(W$4+$B57,DSS_Calc!$A:$A,0)))</f>
        <v>15.173819754383379</v>
      </c>
      <c r="Z57" s="777">
        <f t="shared" si="83"/>
        <v>39</v>
      </c>
      <c r="AA57" s="808">
        <f t="shared" si="73"/>
        <v>20</v>
      </c>
      <c r="AB57" s="808">
        <f t="shared" si="74"/>
        <v>100</v>
      </c>
      <c r="AC57" s="808">
        <f>INDEX(DSS_Calc!$JM:$JM,MATCH(W$4+$B57,DSS_Calc!$A:$A,0))</f>
        <v>2197.4245058064203</v>
      </c>
      <c r="AD57" s="772"/>
      <c r="AE57" s="779">
        <f>INDEX(DSS_Calc!$JD:$JD,MATCH(AE$4+$B57,DSS_Calc!$A:$A,0))-INDEX(DSS_Calc!$JD:$JD,MATCH(AE$4+$B$6,DSS_Calc!$A:$A,0))</f>
        <v>265.80876276107074</v>
      </c>
      <c r="AF57" s="780">
        <f>INDEX(DSS_Calc!$JM:$JM,MATCH(AE$4+$B57,DSS_Calc!$A:$A,0))/INDEX(DSS_Calc!$JM:$JM,MATCH(AE$4+$B$6,DSS_Calc!$A:$A,0))-1</f>
        <v>4.4551277851541116E-2</v>
      </c>
      <c r="AG57" s="788">
        <f>ABS(INDEX(DSS_Calc!$KU:$KU,MATCH(AE$4+$B57,DSS_Calc!$A:$A,0)))</f>
        <v>6.5006932873743972</v>
      </c>
      <c r="AH57" s="777">
        <f t="shared" si="84"/>
        <v>40</v>
      </c>
      <c r="AI57" s="808">
        <f t="shared" si="75"/>
        <v>23</v>
      </c>
      <c r="AJ57" s="808">
        <f t="shared" si="76"/>
        <v>100</v>
      </c>
      <c r="AK57" s="808">
        <f>INDEX(DSS_Calc!$JM:$JM,MATCH(AE$4+$B57,DSS_Calc!$A:$A,0))</f>
        <v>2086.6371612401645</v>
      </c>
      <c r="AL57" s="772"/>
      <c r="AM57" s="779">
        <f>INDEX(DSS_Calc!$JD:$JD,MATCH(AM$4+$B57,DSS_Calc!$A:$A,0))-INDEX(DSS_Calc!$JD:$JD,MATCH(AM$4+$B$6,DSS_Calc!$A:$A,0))</f>
        <v>253.76919171997042</v>
      </c>
      <c r="AN57" s="780">
        <f>INDEX(DSS_Calc!$JM:$JM,MATCH(AM$4+$B57,DSS_Calc!$A:$A,0))/INDEX(DSS_Calc!$JM:$JM,MATCH(AM$4+$B$6,DSS_Calc!$A:$A,0))-1</f>
        <v>4.6694040539468906E-2</v>
      </c>
      <c r="AO57" s="788">
        <f>ABS(INDEX(DSS_Calc!$KU:$KU,MATCH(AM$4+$B57,DSS_Calc!$A:$A,0)))</f>
        <v>7.2554014410546976</v>
      </c>
      <c r="AP57" s="777">
        <f t="shared" si="85"/>
        <v>35</v>
      </c>
      <c r="AQ57" s="808">
        <f t="shared" si="77"/>
        <v>22</v>
      </c>
      <c r="AR57" s="808">
        <f t="shared" si="78"/>
        <v>100</v>
      </c>
      <c r="AS57" s="808">
        <f>INDEX(DSS_Calc!$JM:$JM,MATCH(AM$4+$B57,DSS_Calc!$A:$A,0))</f>
        <v>835.83792244142728</v>
      </c>
      <c r="AT57" s="772"/>
      <c r="AU57" s="779">
        <f>INDEX(DSS_Calc!$JD:$JD,MATCH(AU$4+$B57,DSS_Calc!$A:$A,0))-INDEX(DSS_Calc!$JD:$JD,MATCH(AU$4+$B$6,DSS_Calc!$A:$A,0))</f>
        <v>345.66813626574049</v>
      </c>
      <c r="AV57" s="780">
        <f>INDEX(DSS_Calc!$JM:$JM,MATCH(AU$4+$B57,DSS_Calc!$A:$A,0))/INDEX(DSS_Calc!$JM:$JM,MATCH(AU$4+$B$6,DSS_Calc!$A:$A,0))-1</f>
        <v>5.7384670425935314E-2</v>
      </c>
    </row>
    <row r="58" spans="2:48">
      <c r="B58" s="831">
        <f t="shared" ref="B58:B69" si="86">B57+1</f>
        <v>44</v>
      </c>
      <c r="C58" s="772"/>
      <c r="D58" s="774" t="str">
        <f>LEFT(INDEX(DSS_Calc!$D:$D,MATCH(G$4+$B58,DSS_Calc!$A:$A,0)),LEN(INDEX(DSS_Calc!$D:$D,MATCH(G$4+$B58,DSS_Calc!$A:$A,0)))-2)</f>
        <v>0/0/0/3.9, 360 Lease</v>
      </c>
      <c r="E58" s="772" t="str">
        <f>"MY"&amp;RIGHT(Input!$H$9,2)&amp;" "&amp;Input!$H$3</f>
        <v>MY20 Forte</v>
      </c>
      <c r="F58" s="772"/>
      <c r="G58" s="776">
        <f>INDEX(DSS_Calc!$JD:$JD,MATCH(G$4+$B58,DSS_Calc!$A:$A,0))-INDEX(DSS_Calc!$JD:$JD,MATCH(G$4+$B$6,DSS_Calc!$A:$A,0))</f>
        <v>435.66673175832329</v>
      </c>
      <c r="H58" s="775">
        <f>INDEX(DSS_Calc!$JM:$JM,MATCH(G$4+$B58,DSS_Calc!$A:$A,0))/INDEX(DSS_Calc!$JM:$JM,MATCH(G$4+$B$6,DSS_Calc!$A:$A,0))-1</f>
        <v>8.631707104623576E-2</v>
      </c>
      <c r="I58" s="787">
        <f>ABS(INDEX(DSS_Calc!$KU:$KU,MATCH(G$4+$B58,DSS_Calc!$A:$A,0)))</f>
        <v>50.902133430137432</v>
      </c>
      <c r="J58" s="772">
        <f t="shared" si="81"/>
        <v>36</v>
      </c>
      <c r="K58" s="807">
        <f t="shared" si="69"/>
        <v>17</v>
      </c>
      <c r="L58" s="807">
        <f t="shared" si="70"/>
        <v>100</v>
      </c>
      <c r="M58" s="807">
        <f>INDEX(DSS_Calc!$JM:$JM,MATCH(G$4+$B58,DSS_Calc!$A:$A,0))</f>
        <v>1149.4423859028125</v>
      </c>
      <c r="N58" s="772"/>
      <c r="O58" s="776">
        <f>INDEX(DSS_Calc!$JD:$JD,MATCH(O$4+$B58,DSS_Calc!$A:$A,0))-INDEX(DSS_Calc!$JD:$JD,MATCH(O$4+$B$6,DSS_Calc!$A:$A,0))</f>
        <v>445.26922504693312</v>
      </c>
      <c r="P58" s="775">
        <f>INDEX(DSS_Calc!$JM:$JM,MATCH(O$4+$B58,DSS_Calc!$A:$A,0))/INDEX(DSS_Calc!$JM:$JM,MATCH(O$4+$B$6,DSS_Calc!$A:$A,0))-1</f>
        <v>8.3163059108673165E-2</v>
      </c>
      <c r="Q58" s="787">
        <f>ABS(INDEX(DSS_Calc!$KU:$KU,MATCH(O$4+$B58,DSS_Calc!$A:$A,0)))</f>
        <v>11.996104141790665</v>
      </c>
      <c r="R58" s="772">
        <f t="shared" si="82"/>
        <v>37</v>
      </c>
      <c r="S58" s="807">
        <f t="shared" si="71"/>
        <v>19</v>
      </c>
      <c r="T58" s="807">
        <f t="shared" si="72"/>
        <v>100</v>
      </c>
      <c r="U58" s="807">
        <f>INDEX(DSS_Calc!$JM:$JM,MATCH(O$4+$B58,DSS_Calc!$A:$A,0))</f>
        <v>1871.4445861841214</v>
      </c>
      <c r="V58" s="772"/>
      <c r="W58" s="776">
        <f>INDEX(DSS_Calc!$JD:$JD,MATCH(W$4+$B58,DSS_Calc!$A:$A,0))-INDEX(DSS_Calc!$JD:$JD,MATCH(W$4+$B$6,DSS_Calc!$A:$A,0))</f>
        <v>519.58927740732361</v>
      </c>
      <c r="X58" s="775">
        <f>INDEX(DSS_Calc!$JM:$JM,MATCH(W$4+$B58,DSS_Calc!$A:$A,0))/INDEX(DSS_Calc!$JM:$JM,MATCH(W$4+$B$6,DSS_Calc!$A:$A,0))-1</f>
        <v>0.10355526981195595</v>
      </c>
      <c r="Y58" s="787">
        <f>ABS(INDEX(DSS_Calc!$KU:$KU,MATCH(W$4+$B58,DSS_Calc!$A:$A,0)))</f>
        <v>15.390177735993733</v>
      </c>
      <c r="Z58" s="772">
        <f t="shared" si="83"/>
        <v>33</v>
      </c>
      <c r="AA58" s="807">
        <f t="shared" si="73"/>
        <v>15</v>
      </c>
      <c r="AB58" s="807">
        <f t="shared" si="74"/>
        <v>100</v>
      </c>
      <c r="AC58" s="807">
        <f>INDEX(DSS_Calc!$JM:$JM,MATCH(W$4+$B58,DSS_Calc!$A:$A,0))</f>
        <v>2273.405620826255</v>
      </c>
      <c r="AD58" s="772"/>
      <c r="AE58" s="776">
        <f>INDEX(DSS_Calc!$JD:$JD,MATCH(AE$4+$B58,DSS_Calc!$A:$A,0))-INDEX(DSS_Calc!$JD:$JD,MATCH(AE$4+$B$6,DSS_Calc!$A:$A,0))</f>
        <v>487.4495594404184</v>
      </c>
      <c r="AF58" s="775">
        <f>INDEX(DSS_Calc!$JM:$JM,MATCH(AE$4+$B58,DSS_Calc!$A:$A,0))/INDEX(DSS_Calc!$JM:$JM,MATCH(AE$4+$B$6,DSS_Calc!$A:$A,0))-1</f>
        <v>8.4271433259506034E-2</v>
      </c>
      <c r="AG58" s="787">
        <f>ABS(INDEX(DSS_Calc!$KU:$KU,MATCH(AE$4+$B58,DSS_Calc!$A:$A,0)))</f>
        <v>6.515365831757217</v>
      </c>
      <c r="AH58" s="772">
        <f t="shared" si="84"/>
        <v>35</v>
      </c>
      <c r="AI58" s="807">
        <f t="shared" si="75"/>
        <v>21</v>
      </c>
      <c r="AJ58" s="807">
        <f t="shared" si="76"/>
        <v>100</v>
      </c>
      <c r="AK58" s="807">
        <f>INDEX(DSS_Calc!$JM:$JM,MATCH(AE$4+$B58,DSS_Calc!$A:$A,0))</f>
        <v>2165.9837228517367</v>
      </c>
      <c r="AL58" s="772"/>
      <c r="AM58" s="776">
        <f>INDEX(DSS_Calc!$JD:$JD,MATCH(AM$4+$B58,DSS_Calc!$A:$A,0))-INDEX(DSS_Calc!$JD:$JD,MATCH(AM$4+$B$6,DSS_Calc!$A:$A,0))</f>
        <v>442.90624927238787</v>
      </c>
      <c r="AN58" s="775">
        <f>INDEX(DSS_Calc!$JM:$JM,MATCH(AM$4+$B58,DSS_Calc!$A:$A,0))/INDEX(DSS_Calc!$JM:$JM,MATCH(AM$4+$B$6,DSS_Calc!$A:$A,0))-1</f>
        <v>8.6984875895352198E-2</v>
      </c>
      <c r="AO58" s="787">
        <f>ABS(INDEX(DSS_Calc!$KU:$KU,MATCH(AM$4+$B58,DSS_Calc!$A:$A,0)))</f>
        <v>7.3326820840156968</v>
      </c>
      <c r="AP58" s="772">
        <f t="shared" si="85"/>
        <v>24</v>
      </c>
      <c r="AQ58" s="807">
        <f t="shared" si="77"/>
        <v>18</v>
      </c>
      <c r="AR58" s="807">
        <f t="shared" si="78"/>
        <v>100</v>
      </c>
      <c r="AS58" s="807">
        <f>INDEX(DSS_Calc!$JM:$JM,MATCH(AM$4+$B58,DSS_Calc!$A:$A,0))</f>
        <v>868.01218427245294</v>
      </c>
      <c r="AT58" s="772"/>
      <c r="AU58" s="776">
        <f>INDEX(DSS_Calc!$JD:$JD,MATCH(AU$4+$B58,DSS_Calc!$A:$A,0))-INDEX(DSS_Calc!$JD:$JD,MATCH(AU$4+$B$6,DSS_Calc!$A:$A,0))</f>
        <v>475.77986905861781</v>
      </c>
      <c r="AV58" s="775">
        <f>INDEX(DSS_Calc!$JM:$JM,MATCH(AU$4+$B58,DSS_Calc!$A:$A,0))/INDEX(DSS_Calc!$JM:$JM,MATCH(AU$4+$B$6,DSS_Calc!$A:$A,0))-1</f>
        <v>8.9785922540727592E-2</v>
      </c>
    </row>
    <row r="59" spans="2:48">
      <c r="B59" s="831">
        <f t="shared" si="86"/>
        <v>45</v>
      </c>
      <c r="C59" s="777"/>
      <c r="D59" s="778" t="str">
        <f>LEFT(INDEX(DSS_Calc!$D:$D,MATCH(G$4+$B59,DSS_Calc!$A:$A,0)),LEN(INDEX(DSS_Calc!$D:$D,MATCH(G$4+$B59,DSS_Calc!$A:$A,0)))-2)</f>
        <v>0/0/0/3.9, 360 Lease</v>
      </c>
      <c r="E59" s="777" t="str">
        <f>"MY"&amp;RIGHT(Input!$H$9,2)&amp;" "&amp;Input!$H$3</f>
        <v>MY20 Forte</v>
      </c>
      <c r="F59" s="772"/>
      <c r="G59" s="779">
        <f>INDEX(DSS_Calc!$JD:$JD,MATCH(G$4+$B59,DSS_Calc!$A:$A,0))-INDEX(DSS_Calc!$JD:$JD,MATCH(G$4+$B$6,DSS_Calc!$A:$A,0))</f>
        <v>435.66673175832329</v>
      </c>
      <c r="H59" s="780">
        <f>INDEX(DSS_Calc!$JM:$JM,MATCH(G$4+$B59,DSS_Calc!$A:$A,0))/INDEX(DSS_Calc!$JM:$JM,MATCH(G$4+$B$6,DSS_Calc!$A:$A,0))-1</f>
        <v>8.631707104623576E-2</v>
      </c>
      <c r="I59" s="788">
        <f>ABS(INDEX(DSS_Calc!$KU:$KU,MATCH(G$4+$B59,DSS_Calc!$A:$A,0)))</f>
        <v>50.902132430137435</v>
      </c>
      <c r="J59" s="777">
        <f t="shared" si="81"/>
        <v>37</v>
      </c>
      <c r="K59" s="808">
        <f t="shared" si="69"/>
        <v>18</v>
      </c>
      <c r="L59" s="808">
        <f t="shared" si="70"/>
        <v>100</v>
      </c>
      <c r="M59" s="808">
        <f>INDEX(DSS_Calc!$JM:$JM,MATCH(G$4+$B59,DSS_Calc!$A:$A,0))</f>
        <v>1149.4423859028125</v>
      </c>
      <c r="N59" s="772"/>
      <c r="O59" s="779">
        <f>INDEX(DSS_Calc!$JD:$JD,MATCH(O$4+$B59,DSS_Calc!$A:$A,0))-INDEX(DSS_Calc!$JD:$JD,MATCH(O$4+$B$6,DSS_Calc!$A:$A,0))</f>
        <v>445.26922504693312</v>
      </c>
      <c r="P59" s="780">
        <f>INDEX(DSS_Calc!$JM:$JM,MATCH(O$4+$B59,DSS_Calc!$A:$A,0))/INDEX(DSS_Calc!$JM:$JM,MATCH(O$4+$B$6,DSS_Calc!$A:$A,0))-1</f>
        <v>8.3163059108673165E-2</v>
      </c>
      <c r="Q59" s="788">
        <f>ABS(INDEX(DSS_Calc!$KU:$KU,MATCH(O$4+$B59,DSS_Calc!$A:$A,0)))</f>
        <v>11.996105141790665</v>
      </c>
      <c r="R59" s="777">
        <f t="shared" si="82"/>
        <v>36</v>
      </c>
      <c r="S59" s="808">
        <f t="shared" si="71"/>
        <v>18</v>
      </c>
      <c r="T59" s="808">
        <f t="shared" si="72"/>
        <v>100</v>
      </c>
      <c r="U59" s="808">
        <f>INDEX(DSS_Calc!$JM:$JM,MATCH(O$4+$B59,DSS_Calc!$A:$A,0))</f>
        <v>1871.4445861841214</v>
      </c>
      <c r="V59" s="772"/>
      <c r="W59" s="779">
        <f>INDEX(DSS_Calc!$JD:$JD,MATCH(W$4+$B59,DSS_Calc!$A:$A,0))-INDEX(DSS_Calc!$JD:$JD,MATCH(W$4+$B$6,DSS_Calc!$A:$A,0))</f>
        <v>519.58927740732361</v>
      </c>
      <c r="X59" s="780">
        <f>INDEX(DSS_Calc!$JM:$JM,MATCH(W$4+$B59,DSS_Calc!$A:$A,0))/INDEX(DSS_Calc!$JM:$JM,MATCH(W$4+$B$6,DSS_Calc!$A:$A,0))-1</f>
        <v>0.10355526981195595</v>
      </c>
      <c r="Y59" s="788">
        <f>ABS(INDEX(DSS_Calc!$KU:$KU,MATCH(W$4+$B59,DSS_Calc!$A:$A,0)))</f>
        <v>15.390178735993732</v>
      </c>
      <c r="Z59" s="777">
        <f t="shared" si="83"/>
        <v>32</v>
      </c>
      <c r="AA59" s="808">
        <f t="shared" si="73"/>
        <v>14</v>
      </c>
      <c r="AB59" s="808">
        <f t="shared" si="74"/>
        <v>100</v>
      </c>
      <c r="AC59" s="808">
        <f>INDEX(DSS_Calc!$JM:$JM,MATCH(W$4+$B59,DSS_Calc!$A:$A,0))</f>
        <v>2273.405620826255</v>
      </c>
      <c r="AD59" s="772"/>
      <c r="AE59" s="779">
        <f>INDEX(DSS_Calc!$JD:$JD,MATCH(AE$4+$B59,DSS_Calc!$A:$A,0))-INDEX(DSS_Calc!$JD:$JD,MATCH(AE$4+$B$6,DSS_Calc!$A:$A,0))</f>
        <v>487.4495594404184</v>
      </c>
      <c r="AF59" s="780">
        <f>INDEX(DSS_Calc!$JM:$JM,MATCH(AE$4+$B59,DSS_Calc!$A:$A,0))/INDEX(DSS_Calc!$JM:$JM,MATCH(AE$4+$B$6,DSS_Calc!$A:$A,0))-1</f>
        <v>8.4271433259506034E-2</v>
      </c>
      <c r="AG59" s="788">
        <f>ABS(INDEX(DSS_Calc!$KU:$KU,MATCH(AE$4+$B59,DSS_Calc!$A:$A,0)))</f>
        <v>6.5153668317572171</v>
      </c>
      <c r="AH59" s="777">
        <f t="shared" si="84"/>
        <v>34</v>
      </c>
      <c r="AI59" s="808">
        <f t="shared" si="75"/>
        <v>20</v>
      </c>
      <c r="AJ59" s="808">
        <f t="shared" si="76"/>
        <v>100</v>
      </c>
      <c r="AK59" s="808">
        <f>INDEX(DSS_Calc!$JM:$JM,MATCH(AE$4+$B59,DSS_Calc!$A:$A,0))</f>
        <v>2165.9837228517367</v>
      </c>
      <c r="AL59" s="772"/>
      <c r="AM59" s="779">
        <f>INDEX(DSS_Calc!$JD:$JD,MATCH(AM$4+$B59,DSS_Calc!$A:$A,0))-INDEX(DSS_Calc!$JD:$JD,MATCH(AM$4+$B$6,DSS_Calc!$A:$A,0))</f>
        <v>442.90624927238787</v>
      </c>
      <c r="AN59" s="780">
        <f>INDEX(DSS_Calc!$JM:$JM,MATCH(AM$4+$B59,DSS_Calc!$A:$A,0))/INDEX(DSS_Calc!$JM:$JM,MATCH(AM$4+$B$6,DSS_Calc!$A:$A,0))-1</f>
        <v>8.6984875895352198E-2</v>
      </c>
      <c r="AO59" s="788">
        <f>ABS(INDEX(DSS_Calc!$KU:$KU,MATCH(AM$4+$B59,DSS_Calc!$A:$A,0)))</f>
        <v>7.3326830840156969</v>
      </c>
      <c r="AP59" s="777">
        <f t="shared" si="85"/>
        <v>23</v>
      </c>
      <c r="AQ59" s="808">
        <f t="shared" si="77"/>
        <v>17</v>
      </c>
      <c r="AR59" s="808">
        <f t="shared" si="78"/>
        <v>100</v>
      </c>
      <c r="AS59" s="808">
        <f>INDEX(DSS_Calc!$JM:$JM,MATCH(AM$4+$B59,DSS_Calc!$A:$A,0))</f>
        <v>868.01218427245294</v>
      </c>
      <c r="AT59" s="772"/>
      <c r="AU59" s="779">
        <f>INDEX(DSS_Calc!$JD:$JD,MATCH(AU$4+$B59,DSS_Calc!$A:$A,0))-INDEX(DSS_Calc!$JD:$JD,MATCH(AU$4+$B$6,DSS_Calc!$A:$A,0))</f>
        <v>475.77986905861781</v>
      </c>
      <c r="AV59" s="780">
        <f>INDEX(DSS_Calc!$JM:$JM,MATCH(AU$4+$B59,DSS_Calc!$A:$A,0))/INDEX(DSS_Calc!$JM:$JM,MATCH(AU$4+$B$6,DSS_Calc!$A:$A,0))-1</f>
        <v>8.9785922540727592E-2</v>
      </c>
    </row>
    <row r="60" spans="2:48">
      <c r="B60" s="831">
        <f t="shared" si="86"/>
        <v>46</v>
      </c>
      <c r="C60" s="772"/>
      <c r="D60" s="774" t="str">
        <f>LEFT(INDEX(DSS_Calc!$D:$D,MATCH(G$4+$B60,DSS_Calc!$A:$A,0)),LEN(INDEX(DSS_Calc!$D:$D,MATCH(G$4+$B60,DSS_Calc!$A:$A,0)))-2)</f>
        <v>0/0/0/3.9, 360 Lease</v>
      </c>
      <c r="E60" s="772" t="str">
        <f>"MY"&amp;RIGHT(Input!$H$9,2)&amp;" "&amp;Input!$H$3</f>
        <v>MY20 Forte</v>
      </c>
      <c r="F60" s="772"/>
      <c r="G60" s="776">
        <f>INDEX(DSS_Calc!$JD:$JD,MATCH(G$4+$B60,DSS_Calc!$A:$A,0))-INDEX(DSS_Calc!$JD:$JD,MATCH(G$4+$B$6,DSS_Calc!$A:$A,0))</f>
        <v>435.66673175832329</v>
      </c>
      <c r="H60" s="775">
        <f>INDEX(DSS_Calc!$JM:$JM,MATCH(G$4+$B60,DSS_Calc!$A:$A,0))/INDEX(DSS_Calc!$JM:$JM,MATCH(G$4+$B$6,DSS_Calc!$A:$A,0))-1</f>
        <v>8.631707104623576E-2</v>
      </c>
      <c r="I60" s="787">
        <f>ABS(INDEX(DSS_Calc!$KU:$KU,MATCH(G$4+$B60,DSS_Calc!$A:$A,0)))</f>
        <v>50.902131430137437</v>
      </c>
      <c r="J60" s="772">
        <f t="shared" si="81"/>
        <v>38</v>
      </c>
      <c r="K60" s="807">
        <f t="shared" si="69"/>
        <v>19</v>
      </c>
      <c r="L60" s="807">
        <f t="shared" si="70"/>
        <v>100</v>
      </c>
      <c r="M60" s="807">
        <f>INDEX(DSS_Calc!$JM:$JM,MATCH(G$4+$B60,DSS_Calc!$A:$A,0))</f>
        <v>1149.4423859028125</v>
      </c>
      <c r="N60" s="772"/>
      <c r="O60" s="776">
        <f>INDEX(DSS_Calc!$JD:$JD,MATCH(O$4+$B60,DSS_Calc!$A:$A,0))-INDEX(DSS_Calc!$JD:$JD,MATCH(O$4+$B$6,DSS_Calc!$A:$A,0))</f>
        <v>445.26922504693312</v>
      </c>
      <c r="P60" s="775">
        <f>INDEX(DSS_Calc!$JM:$JM,MATCH(O$4+$B60,DSS_Calc!$A:$A,0))/INDEX(DSS_Calc!$JM:$JM,MATCH(O$4+$B$6,DSS_Calc!$A:$A,0))-1</f>
        <v>8.3163059108673165E-2</v>
      </c>
      <c r="Q60" s="787">
        <f>ABS(INDEX(DSS_Calc!$KU:$KU,MATCH(O$4+$B60,DSS_Calc!$A:$A,0)))</f>
        <v>11.996106141790664</v>
      </c>
      <c r="R60" s="772">
        <f t="shared" si="82"/>
        <v>35</v>
      </c>
      <c r="S60" s="807">
        <f t="shared" si="71"/>
        <v>17</v>
      </c>
      <c r="T60" s="807">
        <f t="shared" si="72"/>
        <v>100</v>
      </c>
      <c r="U60" s="807">
        <f>INDEX(DSS_Calc!$JM:$JM,MATCH(O$4+$B60,DSS_Calc!$A:$A,0))</f>
        <v>1871.4445861841214</v>
      </c>
      <c r="V60" s="772"/>
      <c r="W60" s="776">
        <f>INDEX(DSS_Calc!$JD:$JD,MATCH(W$4+$B60,DSS_Calc!$A:$A,0))-INDEX(DSS_Calc!$JD:$JD,MATCH(W$4+$B$6,DSS_Calc!$A:$A,0))</f>
        <v>519.58927740732361</v>
      </c>
      <c r="X60" s="775">
        <f>INDEX(DSS_Calc!$JM:$JM,MATCH(W$4+$B60,DSS_Calc!$A:$A,0))/INDEX(DSS_Calc!$JM:$JM,MATCH(W$4+$B$6,DSS_Calc!$A:$A,0))-1</f>
        <v>0.10355526981195595</v>
      </c>
      <c r="Y60" s="787">
        <f>ABS(INDEX(DSS_Calc!$KU:$KU,MATCH(W$4+$B60,DSS_Calc!$A:$A,0)))</f>
        <v>15.390179735993732</v>
      </c>
      <c r="Z60" s="772">
        <f t="shared" si="83"/>
        <v>31</v>
      </c>
      <c r="AA60" s="807">
        <f t="shared" si="73"/>
        <v>13</v>
      </c>
      <c r="AB60" s="807">
        <f t="shared" si="74"/>
        <v>100</v>
      </c>
      <c r="AC60" s="807">
        <f>INDEX(DSS_Calc!$JM:$JM,MATCH(W$4+$B60,DSS_Calc!$A:$A,0))</f>
        <v>2273.405620826255</v>
      </c>
      <c r="AD60" s="772"/>
      <c r="AE60" s="776">
        <f>INDEX(DSS_Calc!$JD:$JD,MATCH(AE$4+$B60,DSS_Calc!$A:$A,0))-INDEX(DSS_Calc!$JD:$JD,MATCH(AE$4+$B$6,DSS_Calc!$A:$A,0))</f>
        <v>487.4495594404184</v>
      </c>
      <c r="AF60" s="775">
        <f>INDEX(DSS_Calc!$JM:$JM,MATCH(AE$4+$B60,DSS_Calc!$A:$A,0))/INDEX(DSS_Calc!$JM:$JM,MATCH(AE$4+$B$6,DSS_Calc!$A:$A,0))-1</f>
        <v>8.4271433259506034E-2</v>
      </c>
      <c r="AG60" s="787">
        <f>ABS(INDEX(DSS_Calc!$KU:$KU,MATCH(AE$4+$B60,DSS_Calc!$A:$A,0)))</f>
        <v>6.5153678317572172</v>
      </c>
      <c r="AH60" s="772">
        <f t="shared" si="84"/>
        <v>33</v>
      </c>
      <c r="AI60" s="807">
        <f t="shared" si="75"/>
        <v>19</v>
      </c>
      <c r="AJ60" s="807">
        <f t="shared" si="76"/>
        <v>100</v>
      </c>
      <c r="AK60" s="807">
        <f>INDEX(DSS_Calc!$JM:$JM,MATCH(AE$4+$B60,DSS_Calc!$A:$A,0))</f>
        <v>2165.9837228517367</v>
      </c>
      <c r="AL60" s="772"/>
      <c r="AM60" s="776">
        <f>INDEX(DSS_Calc!$JD:$JD,MATCH(AM$4+$B60,DSS_Calc!$A:$A,0))-INDEX(DSS_Calc!$JD:$JD,MATCH(AM$4+$B$6,DSS_Calc!$A:$A,0))</f>
        <v>442.90624927238787</v>
      </c>
      <c r="AN60" s="775">
        <f>INDEX(DSS_Calc!$JM:$JM,MATCH(AM$4+$B60,DSS_Calc!$A:$A,0))/INDEX(DSS_Calc!$JM:$JM,MATCH(AM$4+$B$6,DSS_Calc!$A:$A,0))-1</f>
        <v>8.6984875895352198E-2</v>
      </c>
      <c r="AO60" s="787">
        <f>ABS(INDEX(DSS_Calc!$KU:$KU,MATCH(AM$4+$B60,DSS_Calc!$A:$A,0)))</f>
        <v>7.332684084015697</v>
      </c>
      <c r="AP60" s="772">
        <f t="shared" si="85"/>
        <v>22</v>
      </c>
      <c r="AQ60" s="807">
        <f t="shared" si="77"/>
        <v>16</v>
      </c>
      <c r="AR60" s="807">
        <f t="shared" si="78"/>
        <v>100</v>
      </c>
      <c r="AS60" s="807">
        <f>INDEX(DSS_Calc!$JM:$JM,MATCH(AM$4+$B60,DSS_Calc!$A:$A,0))</f>
        <v>868.01218427245294</v>
      </c>
      <c r="AT60" s="772"/>
      <c r="AU60" s="776">
        <f>INDEX(DSS_Calc!$JD:$JD,MATCH(AU$4+$B60,DSS_Calc!$A:$A,0))-INDEX(DSS_Calc!$JD:$JD,MATCH(AU$4+$B$6,DSS_Calc!$A:$A,0))</f>
        <v>475.77986905861781</v>
      </c>
      <c r="AV60" s="775">
        <f>INDEX(DSS_Calc!$JM:$JM,MATCH(AU$4+$B60,DSS_Calc!$A:$A,0))/INDEX(DSS_Calc!$JM:$JM,MATCH(AU$4+$B$6,DSS_Calc!$A:$A,0))-1</f>
        <v>8.9785922540727592E-2</v>
      </c>
    </row>
    <row r="61" spans="2:48">
      <c r="B61" s="831">
        <f t="shared" si="86"/>
        <v>47</v>
      </c>
      <c r="C61" s="777"/>
      <c r="D61" s="778" t="str">
        <f>LEFT(INDEX(DSS_Calc!$D:$D,MATCH(G$4+$B61,DSS_Calc!$A:$A,0)),LEN(INDEX(DSS_Calc!$D:$D,MATCH(G$4+$B61,DSS_Calc!$A:$A,0)))-2)</f>
        <v>250 CC, -360 Lease</v>
      </c>
      <c r="E61" s="777" t="str">
        <f>"MY"&amp;RIGHT(Input!$H$9,2)&amp;" "&amp;Input!$H$3</f>
        <v>MY20 Forte</v>
      </c>
      <c r="F61" s="772"/>
      <c r="G61" s="779">
        <f>INDEX(DSS_Calc!$JD:$JD,MATCH(G$4+$B61,DSS_Calc!$A:$A,0))-INDEX(DSS_Calc!$JD:$JD,MATCH(G$4+$B$6,DSS_Calc!$A:$A,0))</f>
        <v>-396.22724323314651</v>
      </c>
      <c r="H61" s="780">
        <f>INDEX(DSS_Calc!$JM:$JM,MATCH(G$4+$B61,DSS_Calc!$A:$A,0))/INDEX(DSS_Calc!$JM:$JM,MATCH(G$4+$B$6,DSS_Calc!$A:$A,0))-1</f>
        <v>-5.003219442782425E-2</v>
      </c>
      <c r="I61" s="788">
        <f>ABS(INDEX(DSS_Calc!$KU:$KU,MATCH(G$4+$B61,DSS_Calc!$A:$A,0)))</f>
        <v>52.480150911001651</v>
      </c>
      <c r="J61" s="777">
        <f t="shared" si="81"/>
        <v>13</v>
      </c>
      <c r="K61" s="808">
        <f t="shared" si="69"/>
        <v>100</v>
      </c>
      <c r="L61" s="808">
        <f t="shared" si="70"/>
        <v>11</v>
      </c>
      <c r="M61" s="808">
        <f>INDEX(DSS_Calc!$JM:$JM,MATCH(G$4+$B61,DSS_Calc!$A:$A,0))</f>
        <v>1005.1699361735115</v>
      </c>
      <c r="N61" s="772"/>
      <c r="O61" s="779">
        <f>INDEX(DSS_Calc!$JD:$JD,MATCH(O$4+$B61,DSS_Calc!$A:$A,0))-INDEX(DSS_Calc!$JD:$JD,MATCH(O$4+$B$6,DSS_Calc!$A:$A,0))</f>
        <v>-197.35659861430804</v>
      </c>
      <c r="P61" s="780">
        <f>INDEX(DSS_Calc!$JM:$JM,MATCH(O$4+$B61,DSS_Calc!$A:$A,0))/INDEX(DSS_Calc!$JM:$JM,MATCH(O$4+$B$6,DSS_Calc!$A:$A,0))-1</f>
        <v>-1.485744575502268E-2</v>
      </c>
      <c r="Q61" s="788">
        <f>ABS(INDEX(DSS_Calc!$KU:$KU,MATCH(O$4+$B61,DSS_Calc!$A:$A,0)))</f>
        <v>12.392584519587095</v>
      </c>
      <c r="R61" s="777">
        <f t="shared" si="82"/>
        <v>14</v>
      </c>
      <c r="S61" s="808">
        <f t="shared" si="71"/>
        <v>100</v>
      </c>
      <c r="T61" s="808">
        <f t="shared" si="72"/>
        <v>8</v>
      </c>
      <c r="U61" s="808">
        <f>INDEX(DSS_Calc!$JM:$JM,MATCH(O$4+$B61,DSS_Calc!$A:$A,0))</f>
        <v>1702.0887891786833</v>
      </c>
      <c r="V61" s="772"/>
      <c r="W61" s="779">
        <f>INDEX(DSS_Calc!$JD:$JD,MATCH(W$4+$B61,DSS_Calc!$A:$A,0))-INDEX(DSS_Calc!$JD:$JD,MATCH(W$4+$B$6,DSS_Calc!$A:$A,0))</f>
        <v>-176.88570904265362</v>
      </c>
      <c r="X61" s="780">
        <f>INDEX(DSS_Calc!$JM:$JM,MATCH(W$4+$B61,DSS_Calc!$A:$A,0))/INDEX(DSS_Calc!$JM:$JM,MATCH(W$4+$B$6,DSS_Calc!$A:$A,0))-1</f>
        <v>-1.9342457964728554E-2</v>
      </c>
      <c r="Y61" s="788">
        <f>ABS(INDEX(DSS_Calc!$KU:$KU,MATCH(W$4+$B61,DSS_Calc!$A:$A,0)))</f>
        <v>15.744931847739922</v>
      </c>
      <c r="Z61" s="777">
        <f t="shared" si="83"/>
        <v>15</v>
      </c>
      <c r="AA61" s="808">
        <f t="shared" si="73"/>
        <v>100</v>
      </c>
      <c r="AB61" s="808">
        <f t="shared" si="74"/>
        <v>9</v>
      </c>
      <c r="AC61" s="808">
        <f>INDEX(DSS_Calc!$JM:$JM,MATCH(W$4+$B61,DSS_Calc!$A:$A,0))</f>
        <v>2020.227195823674</v>
      </c>
      <c r="AD61" s="772"/>
      <c r="AE61" s="779">
        <f>INDEX(DSS_Calc!$JD:$JD,MATCH(AE$4+$B61,DSS_Calc!$A:$A,0))-INDEX(DSS_Calc!$JD:$JD,MATCH(AE$4+$B$6,DSS_Calc!$A:$A,0))</f>
        <v>35.280948168382565</v>
      </c>
      <c r="AF61" s="780">
        <f>INDEX(DSS_Calc!$JM:$JM,MATCH(AE$4+$B61,DSS_Calc!$A:$A,0))/INDEX(DSS_Calc!$JM:$JM,MATCH(AE$4+$B$6,DSS_Calc!$A:$A,0))-1</f>
        <v>1.1771374718311245E-2</v>
      </c>
      <c r="AG61" s="788">
        <f>ABS(INDEX(DSS_Calc!$KU:$KU,MATCH(AE$4+$B61,DSS_Calc!$A:$A,0)))</f>
        <v>6.5987903034323612</v>
      </c>
      <c r="AH61" s="777">
        <f t="shared" si="84"/>
        <v>14</v>
      </c>
      <c r="AI61" s="808">
        <f t="shared" si="75"/>
        <v>100</v>
      </c>
      <c r="AJ61" s="808">
        <f t="shared" si="76"/>
        <v>4</v>
      </c>
      <c r="AK61" s="808">
        <f>INDEX(DSS_Calc!$JM:$JM,MATCH(AE$4+$B61,DSS_Calc!$A:$A,0))</f>
        <v>2021.154723498729</v>
      </c>
      <c r="AL61" s="772"/>
      <c r="AM61" s="779">
        <f>INDEX(DSS_Calc!$JD:$JD,MATCH(AM$4+$B61,DSS_Calc!$A:$A,0))-INDEX(DSS_Calc!$JD:$JD,MATCH(AM$4+$B$6,DSS_Calc!$A:$A,0))</f>
        <v>4.4022956479439017</v>
      </c>
      <c r="AN61" s="780">
        <f>INDEX(DSS_Calc!$JM:$JM,MATCH(AM$4+$B61,DSS_Calc!$A:$A,0))/INDEX(DSS_Calc!$JM:$JM,MATCH(AM$4+$B$6,DSS_Calc!$A:$A,0))-1</f>
        <v>8.2060439496063342E-3</v>
      </c>
      <c r="AO61" s="788">
        <f>ABS(INDEX(DSS_Calc!$KU:$KU,MATCH(AM$4+$B61,DSS_Calc!$A:$A,0)))</f>
        <v>7.3443472660869276</v>
      </c>
      <c r="AP61" s="777">
        <f t="shared" si="85"/>
        <v>20</v>
      </c>
      <c r="AQ61" s="808">
        <f t="shared" si="77"/>
        <v>100</v>
      </c>
      <c r="AR61" s="808">
        <f t="shared" si="78"/>
        <v>6</v>
      </c>
      <c r="AS61" s="808">
        <f>INDEX(DSS_Calc!$JM:$JM,MATCH(AM$4+$B61,DSS_Calc!$A:$A,0))</f>
        <v>805.10331818971758</v>
      </c>
      <c r="AT61" s="772"/>
      <c r="AU61" s="779">
        <f>INDEX(DSS_Calc!$JD:$JD,MATCH(AU$4+$B61,DSS_Calc!$A:$A,0))-INDEX(DSS_Calc!$JD:$JD,MATCH(AU$4+$B$6,DSS_Calc!$A:$A,0))</f>
        <v>-151.35643521602015</v>
      </c>
      <c r="AV61" s="780">
        <f>INDEX(DSS_Calc!$JM:$JM,MATCH(AU$4+$B61,DSS_Calc!$A:$A,0))/INDEX(DSS_Calc!$JM:$JM,MATCH(AU$4+$B$6,DSS_Calc!$A:$A,0))-1</f>
        <v>-1.15659618216164E-2</v>
      </c>
    </row>
    <row r="62" spans="2:48">
      <c r="B62" s="831">
        <f t="shared" si="86"/>
        <v>48</v>
      </c>
      <c r="C62" s="772"/>
      <c r="D62" s="774" t="str">
        <f>LEFT(INDEX(DSS_Calc!$D:$D,MATCH(G$4+$B62,DSS_Calc!$A:$A,0)),LEN(INDEX(DSS_Calc!$D:$D,MATCH(G$4+$B62,DSS_Calc!$A:$A,0)))-2)</f>
        <v>500 CC, -360 Lease</v>
      </c>
      <c r="E62" s="772" t="str">
        <f>"MY"&amp;RIGHT(Input!$H$9,2)&amp;" "&amp;Input!$H$3</f>
        <v>MY20 Forte</v>
      </c>
      <c r="F62" s="772"/>
      <c r="G62" s="776">
        <f>INDEX(DSS_Calc!$JD:$JD,MATCH(G$4+$B62,DSS_Calc!$A:$A,0))-INDEX(DSS_Calc!$JD:$JD,MATCH(G$4+$B$6,DSS_Calc!$A:$A,0))</f>
        <v>-396.80128717687239</v>
      </c>
      <c r="H62" s="775">
        <f>INDEX(DSS_Calc!$JM:$JM,MATCH(G$4+$B62,DSS_Calc!$A:$A,0))/INDEX(DSS_Calc!$JM:$JM,MATCH(G$4+$B$6,DSS_Calc!$A:$A,0))-1</f>
        <v>-4.1386660256377494E-2</v>
      </c>
      <c r="I62" s="787">
        <f>ABS(INDEX(DSS_Calc!$KU:$KU,MATCH(G$4+$B62,DSS_Calc!$A:$A,0)))</f>
        <v>52.927742823828943</v>
      </c>
      <c r="J62" s="772">
        <f t="shared" si="81"/>
        <v>6</v>
      </c>
      <c r="K62" s="807">
        <f t="shared" si="69"/>
        <v>100</v>
      </c>
      <c r="L62" s="807">
        <f t="shared" si="70"/>
        <v>5</v>
      </c>
      <c r="M62" s="807">
        <f>INDEX(DSS_Calc!$JM:$JM,MATCH(G$4+$B62,DSS_Calc!$A:$A,0))</f>
        <v>1014.3178577981447</v>
      </c>
      <c r="N62" s="772"/>
      <c r="O62" s="776">
        <f>INDEX(DSS_Calc!$JD:$JD,MATCH(O$4+$B62,DSS_Calc!$A:$A,0))-INDEX(DSS_Calc!$JD:$JD,MATCH(O$4+$B$6,DSS_Calc!$A:$A,0))</f>
        <v>-141.21894454038693</v>
      </c>
      <c r="P62" s="775">
        <f>INDEX(DSS_Calc!$JM:$JM,MATCH(O$4+$B62,DSS_Calc!$A:$A,0))/INDEX(DSS_Calc!$JM:$JM,MATCH(O$4+$B$6,DSS_Calc!$A:$A,0))-1</f>
        <v>1.5605042770332478E-3</v>
      </c>
      <c r="Q62" s="787">
        <f>ABS(INDEX(DSS_Calc!$KU:$KU,MATCH(O$4+$B62,DSS_Calc!$A:$A,0)))</f>
        <v>12.493362622907016</v>
      </c>
      <c r="R62" s="772">
        <f t="shared" si="82"/>
        <v>7</v>
      </c>
      <c r="S62" s="807">
        <f t="shared" si="71"/>
        <v>100</v>
      </c>
      <c r="T62" s="807">
        <f t="shared" si="72"/>
        <v>4</v>
      </c>
      <c r="U62" s="807">
        <f>INDEX(DSS_Calc!$JM:$JM,MATCH(O$4+$B62,DSS_Calc!$A:$A,0))</f>
        <v>1730.4550480215728</v>
      </c>
      <c r="V62" s="772"/>
      <c r="W62" s="776">
        <f>INDEX(DSS_Calc!$JD:$JD,MATCH(W$4+$B62,DSS_Calc!$A:$A,0))-INDEX(DSS_Calc!$JD:$JD,MATCH(W$4+$B$6,DSS_Calc!$A:$A,0))</f>
        <v>-136.08457561526393</v>
      </c>
      <c r="X62" s="775">
        <f>INDEX(DSS_Calc!$JM:$JM,MATCH(W$4+$B62,DSS_Calc!$A:$A,0))/INDEX(DSS_Calc!$JM:$JM,MATCH(W$4+$B$6,DSS_Calc!$A:$A,0))-1</f>
        <v>-5.7131446299143462E-3</v>
      </c>
      <c r="Y62" s="787">
        <f>ABS(INDEX(DSS_Calc!$KU:$KU,MATCH(W$4+$B62,DSS_Calc!$A:$A,0)))</f>
        <v>15.858425769385567</v>
      </c>
      <c r="Z62" s="772">
        <f t="shared" si="83"/>
        <v>10</v>
      </c>
      <c r="AA62" s="807">
        <f t="shared" si="73"/>
        <v>100</v>
      </c>
      <c r="AB62" s="807">
        <f t="shared" si="74"/>
        <v>7</v>
      </c>
      <c r="AC62" s="807">
        <f>INDEX(DSS_Calc!$JM:$JM,MATCH(W$4+$B62,DSS_Calc!$A:$A,0))</f>
        <v>2048.3045911213726</v>
      </c>
      <c r="AD62" s="772"/>
      <c r="AE62" s="776">
        <f>INDEX(DSS_Calc!$JD:$JD,MATCH(AE$4+$B62,DSS_Calc!$A:$A,0))-INDEX(DSS_Calc!$JD:$JD,MATCH(AE$4+$B$6,DSS_Calc!$A:$A,0))</f>
        <v>139.31322116451611</v>
      </c>
      <c r="AF62" s="775">
        <f>INDEX(DSS_Calc!$JM:$JM,MATCH(AE$4+$B62,DSS_Calc!$A:$A,0))/INDEX(DSS_Calc!$JM:$JM,MATCH(AE$4+$B$6,DSS_Calc!$A:$A,0))-1</f>
        <v>3.1467990025624504E-2</v>
      </c>
      <c r="AG62" s="787">
        <f>ABS(INDEX(DSS_Calc!$KU:$KU,MATCH(AE$4+$B62,DSS_Calc!$A:$A,0)))</f>
        <v>6.6167286518083426</v>
      </c>
      <c r="AH62" s="772">
        <f t="shared" si="84"/>
        <v>8</v>
      </c>
      <c r="AI62" s="807">
        <f t="shared" si="75"/>
        <v>100</v>
      </c>
      <c r="AJ62" s="807">
        <f t="shared" si="76"/>
        <v>2</v>
      </c>
      <c r="AK62" s="807">
        <f>INDEX(DSS_Calc!$JM:$JM,MATCH(AE$4+$B62,DSS_Calc!$A:$A,0))</f>
        <v>2060.5014653220951</v>
      </c>
      <c r="AL62" s="772"/>
      <c r="AM62" s="776">
        <f>INDEX(DSS_Calc!$JD:$JD,MATCH(AM$4+$B62,DSS_Calc!$A:$A,0))-INDEX(DSS_Calc!$JD:$JD,MATCH(AM$4+$B$6,DSS_Calc!$A:$A,0))</f>
        <v>108.37867422292356</v>
      </c>
      <c r="AN62" s="775">
        <f>INDEX(DSS_Calc!$JM:$JM,MATCH(AM$4+$B62,DSS_Calc!$A:$A,0))/INDEX(DSS_Calc!$JM:$JM,MATCH(AM$4+$B$6,DSS_Calc!$A:$A,0))-1</f>
        <v>2.8957125240796078E-2</v>
      </c>
      <c r="AO62" s="787">
        <f>ABS(INDEX(DSS_Calc!$KU:$KU,MATCH(AM$4+$B62,DSS_Calc!$A:$A,0)))</f>
        <v>7.3694682546780923</v>
      </c>
      <c r="AP62" s="772">
        <f t="shared" si="85"/>
        <v>16</v>
      </c>
      <c r="AQ62" s="807">
        <f t="shared" si="77"/>
        <v>100</v>
      </c>
      <c r="AR62" s="807">
        <f t="shared" si="78"/>
        <v>4</v>
      </c>
      <c r="AS62" s="807">
        <f>INDEX(DSS_Calc!$JM:$JM,MATCH(AM$4+$B62,DSS_Calc!$A:$A,0))</f>
        <v>821.67410201294626</v>
      </c>
      <c r="AT62" s="772"/>
      <c r="AU62" s="776">
        <f>INDEX(DSS_Calc!$JD:$JD,MATCH(AU$4+$B62,DSS_Calc!$A:$A,0))-INDEX(DSS_Calc!$JD:$JD,MATCH(AU$4+$B$6,DSS_Calc!$A:$A,0))</f>
        <v>-91.143116216275303</v>
      </c>
      <c r="AV62" s="775">
        <f>INDEX(DSS_Calc!$JM:$JM,MATCH(AU$4+$B62,DSS_Calc!$A:$A,0))/INDEX(DSS_Calc!$JM:$JM,MATCH(AU$4+$B$6,DSS_Calc!$A:$A,0))-1</f>
        <v>4.3339326379208121E-3</v>
      </c>
    </row>
    <row r="63" spans="2:48">
      <c r="B63" s="831">
        <f t="shared" si="86"/>
        <v>49</v>
      </c>
      <c r="C63" s="777"/>
      <c r="D63" s="778" t="str">
        <f>LEFT(INDEX(DSS_Calc!$D:$D,MATCH(G$4+$B63,DSS_Calc!$A:$A,0)),LEN(INDEX(DSS_Calc!$D:$D,MATCH(G$4+$B63,DSS_Calc!$A:$A,0)))-2)</f>
        <v>750 CC, -360 Lease</v>
      </c>
      <c r="E63" s="777" t="str">
        <f>"MY"&amp;RIGHT(Input!$H$9,2)&amp;" "&amp;Input!$H$3</f>
        <v>MY20 Forte</v>
      </c>
      <c r="F63" s="772"/>
      <c r="G63" s="779">
        <f>INDEX(DSS_Calc!$JD:$JD,MATCH(G$4+$B63,DSS_Calc!$A:$A,0))-INDEX(DSS_Calc!$JD:$JD,MATCH(G$4+$B$6,DSS_Calc!$A:$A,0))</f>
        <v>-391.08707105747999</v>
      </c>
      <c r="H63" s="780">
        <f>INDEX(DSS_Calc!$JM:$JM,MATCH(G$4+$B63,DSS_Calc!$A:$A,0))/INDEX(DSS_Calc!$JM:$JM,MATCH(G$4+$B$6,DSS_Calc!$A:$A,0))-1</f>
        <v>-3.2177878106316449E-2</v>
      </c>
      <c r="I63" s="788">
        <f>ABS(INDEX(DSS_Calc!$KU:$KU,MATCH(G$4+$B63,DSS_Calc!$A:$A,0)))</f>
        <v>53.33654639254857</v>
      </c>
      <c r="J63" s="777">
        <f t="shared" si="81"/>
        <v>2</v>
      </c>
      <c r="K63" s="808">
        <f t="shared" si="69"/>
        <v>100</v>
      </c>
      <c r="L63" s="808">
        <f t="shared" si="70"/>
        <v>2</v>
      </c>
      <c r="M63" s="808">
        <f>INDEX(DSS_Calc!$JM:$JM,MATCH(G$4+$B63,DSS_Calc!$A:$A,0))</f>
        <v>1024.0617574458147</v>
      </c>
      <c r="N63" s="772"/>
      <c r="O63" s="779">
        <f>INDEX(DSS_Calc!$JD:$JD,MATCH(O$4+$B63,DSS_Calc!$A:$A,0))-INDEX(DSS_Calc!$JD:$JD,MATCH(O$4+$B$6,DSS_Calc!$A:$A,0))</f>
        <v>-74.952447374331769</v>
      </c>
      <c r="P63" s="780">
        <f>INDEX(DSS_Calc!$JM:$JM,MATCH(O$4+$B63,DSS_Calc!$A:$A,0))/INDEX(DSS_Calc!$JM:$JM,MATCH(O$4+$B$6,DSS_Calc!$A:$A,0))-1</f>
        <v>1.8810369096935009E-2</v>
      </c>
      <c r="Q63" s="788">
        <f>ABS(INDEX(DSS_Calc!$KU:$KU,MATCH(O$4+$B63,DSS_Calc!$A:$A,0)))</f>
        <v>12.570768587932687</v>
      </c>
      <c r="R63" s="777">
        <f t="shared" si="82"/>
        <v>3</v>
      </c>
      <c r="S63" s="808">
        <f t="shared" si="71"/>
        <v>100</v>
      </c>
      <c r="T63" s="808">
        <f t="shared" si="72"/>
        <v>2</v>
      </c>
      <c r="U63" s="808">
        <f>INDEX(DSS_Calc!$JM:$JM,MATCH(O$4+$B63,DSS_Calc!$A:$A,0))</f>
        <v>1760.2586550206684</v>
      </c>
      <c r="V63" s="772"/>
      <c r="W63" s="779">
        <f>INDEX(DSS_Calc!$JD:$JD,MATCH(W$4+$B63,DSS_Calc!$A:$A,0))-INDEX(DSS_Calc!$JD:$JD,MATCH(W$4+$B$6,DSS_Calc!$A:$A,0))</f>
        <v>-86.348567963319965</v>
      </c>
      <c r="X63" s="780">
        <f>INDEX(DSS_Calc!$JM:$JM,MATCH(W$4+$B63,DSS_Calc!$A:$A,0))/INDEX(DSS_Calc!$JM:$JM,MATCH(W$4+$B$6,DSS_Calc!$A:$A,0))-1</f>
        <v>8.8840334651791864E-3</v>
      </c>
      <c r="Y63" s="788">
        <f>ABS(INDEX(DSS_Calc!$KU:$KU,MATCH(W$4+$B63,DSS_Calc!$A:$A,0)))</f>
        <v>15.950610045594127</v>
      </c>
      <c r="Z63" s="777">
        <f t="shared" si="83"/>
        <v>3</v>
      </c>
      <c r="AA63" s="808">
        <f t="shared" si="73"/>
        <v>100</v>
      </c>
      <c r="AB63" s="808">
        <f t="shared" si="74"/>
        <v>2</v>
      </c>
      <c r="AC63" s="808">
        <f>INDEX(DSS_Calc!$JM:$JM,MATCH(W$4+$B63,DSS_Calc!$A:$A,0))</f>
        <v>2078.3758595366303</v>
      </c>
      <c r="AD63" s="772"/>
      <c r="AE63" s="779">
        <f>INDEX(DSS_Calc!$JD:$JD,MATCH(AE$4+$B63,DSS_Calc!$A:$A,0))-INDEX(DSS_Calc!$JD:$JD,MATCH(AE$4+$B$6,DSS_Calc!$A:$A,0))</f>
        <v>250.76786596534475</v>
      </c>
      <c r="AF63" s="780">
        <f>INDEX(DSS_Calc!$JM:$JM,MATCH(AE$4+$B63,DSS_Calc!$A:$A,0))/INDEX(DSS_Calc!$JM:$JM,MATCH(AE$4+$B$6,DSS_Calc!$A:$A,0))-1</f>
        <v>5.1989680833872898E-2</v>
      </c>
      <c r="AG63" s="788">
        <f>ABS(INDEX(DSS_Calc!$KU:$KU,MATCH(AE$4+$B63,DSS_Calc!$A:$A,0)))</f>
        <v>6.6272475341976955</v>
      </c>
      <c r="AH63" s="777">
        <f t="shared" si="84"/>
        <v>7</v>
      </c>
      <c r="AI63" s="808">
        <f t="shared" si="75"/>
        <v>100</v>
      </c>
      <c r="AJ63" s="808">
        <f t="shared" si="76"/>
        <v>1</v>
      </c>
      <c r="AK63" s="808">
        <f>INDEX(DSS_Calc!$JM:$JM,MATCH(AE$4+$B63,DSS_Calc!$A:$A,0))</f>
        <v>2101.4964107689552</v>
      </c>
      <c r="AL63" s="772"/>
      <c r="AM63" s="779">
        <f>INDEX(DSS_Calc!$JD:$JD,MATCH(AM$4+$B63,DSS_Calc!$A:$A,0))-INDEX(DSS_Calc!$JD:$JD,MATCH(AM$4+$B$6,DSS_Calc!$A:$A,0))</f>
        <v>220.62831601871858</v>
      </c>
      <c r="AN63" s="780">
        <f>INDEX(DSS_Calc!$JM:$JM,MATCH(AM$4+$B63,DSS_Calc!$A:$A,0))/INDEX(DSS_Calc!$JM:$JM,MATCH(AM$4+$B$6,DSS_Calc!$A:$A,0))-1</f>
        <v>5.0644264799443173E-2</v>
      </c>
      <c r="AO63" s="788">
        <f>ABS(INDEX(DSS_Calc!$KU:$KU,MATCH(AM$4+$B63,DSS_Calc!$A:$A,0)))</f>
        <v>7.3853043540466192</v>
      </c>
      <c r="AP63" s="777">
        <f t="shared" si="85"/>
        <v>13</v>
      </c>
      <c r="AQ63" s="808">
        <f t="shared" si="77"/>
        <v>100</v>
      </c>
      <c r="AR63" s="808">
        <f t="shared" si="78"/>
        <v>2</v>
      </c>
      <c r="AS63" s="808">
        <f>INDEX(DSS_Calc!$JM:$JM,MATCH(AM$4+$B63,DSS_Calc!$A:$A,0))</f>
        <v>838.99237552012528</v>
      </c>
      <c r="AT63" s="772"/>
      <c r="AU63" s="779">
        <f>INDEX(DSS_Calc!$JD:$JD,MATCH(AU$4+$B63,DSS_Calc!$A:$A,0))-INDEX(DSS_Calc!$JD:$JD,MATCH(AU$4+$B$6,DSS_Calc!$A:$A,0))</f>
        <v>-22.274553124226259</v>
      </c>
      <c r="AV63" s="780">
        <f>INDEX(DSS_Calc!$JM:$JM,MATCH(AU$4+$B63,DSS_Calc!$A:$A,0))/INDEX(DSS_Calc!$JM:$JM,MATCH(AU$4+$B$6,DSS_Calc!$A:$A,0))-1</f>
        <v>2.1074285247060454E-2</v>
      </c>
    </row>
    <row r="64" spans="2:48">
      <c r="B64" s="831">
        <f t="shared" si="86"/>
        <v>50</v>
      </c>
      <c r="C64" s="772"/>
      <c r="D64" s="774" t="str">
        <f>LEFT(INDEX(DSS_Calc!$D:$D,MATCH(G$4+$B64,DSS_Calc!$A:$A,0)),LEN(INDEX(DSS_Calc!$D:$D,MATCH(G$4+$B64,DSS_Calc!$A:$A,0)))-2)</f>
        <v>1000 CC, -360 Lease</v>
      </c>
      <c r="E64" s="772" t="str">
        <f>"MY"&amp;RIGHT(Input!$H$9,2)&amp;" "&amp;Input!$H$3</f>
        <v>MY20 Forte</v>
      </c>
      <c r="F64" s="772"/>
      <c r="G64" s="776">
        <f>INDEX(DSS_Calc!$JD:$JD,MATCH(G$4+$B64,DSS_Calc!$A:$A,0))-INDEX(DSS_Calc!$JD:$JD,MATCH(G$4+$B$6,DSS_Calc!$A:$A,0))</f>
        <v>-378.60868912908518</v>
      </c>
      <c r="H64" s="775">
        <f>INDEX(DSS_Calc!$JM:$JM,MATCH(G$4+$B64,DSS_Calc!$A:$A,0))/INDEX(DSS_Calc!$JM:$JM,MATCH(G$4+$B$6,DSS_Calc!$A:$A,0))-1</f>
        <v>-2.2376896748274588E-2</v>
      </c>
      <c r="I64" s="787">
        <f>ABS(INDEX(DSS_Calc!$KU:$KU,MATCH(G$4+$B64,DSS_Calc!$A:$A,0)))</f>
        <v>53.701481784751167</v>
      </c>
      <c r="J64" s="809">
        <f t="shared" si="81"/>
        <v>1</v>
      </c>
      <c r="K64" s="807">
        <f t="shared" si="69"/>
        <v>100</v>
      </c>
      <c r="L64" s="807">
        <f t="shared" si="70"/>
        <v>1</v>
      </c>
      <c r="M64" s="807">
        <f>INDEX(DSS_Calc!$JM:$JM,MATCH(G$4+$B64,DSS_Calc!$A:$A,0))</f>
        <v>1034.4322686866319</v>
      </c>
      <c r="N64" s="772"/>
      <c r="O64" s="776">
        <f>INDEX(DSS_Calc!$JD:$JD,MATCH(O$4+$B64,DSS_Calc!$A:$A,0))-INDEX(DSS_Calc!$JD:$JD,MATCH(O$4+$B$6,DSS_Calc!$A:$A,0))</f>
        <v>1.4024503894734153</v>
      </c>
      <c r="P64" s="775">
        <f>INDEX(DSS_Calc!$JM:$JM,MATCH(O$4+$B64,DSS_Calc!$A:$A,0))/INDEX(DSS_Calc!$JM:$JM,MATCH(O$4+$B$6,DSS_Calc!$A:$A,0))-1</f>
        <v>3.6911437961851368E-2</v>
      </c>
      <c r="Q64" s="787">
        <f>ABS(INDEX(DSS_Calc!$KU:$KU,MATCH(O$4+$B64,DSS_Calc!$A:$A,0)))</f>
        <v>12.625888173800426</v>
      </c>
      <c r="R64" s="809">
        <f t="shared" si="82"/>
        <v>1</v>
      </c>
      <c r="S64" s="807">
        <f t="shared" si="71"/>
        <v>100</v>
      </c>
      <c r="T64" s="807">
        <f t="shared" si="72"/>
        <v>1</v>
      </c>
      <c r="U64" s="807">
        <f>INDEX(DSS_Calc!$JM:$JM,MATCH(O$4+$B64,DSS_Calc!$A:$A,0))</f>
        <v>1791.5329373611953</v>
      </c>
      <c r="V64" s="772"/>
      <c r="W64" s="776">
        <f>INDEX(DSS_Calc!$JD:$JD,MATCH(W$4+$B64,DSS_Calc!$A:$A,0))-INDEX(DSS_Calc!$JD:$JD,MATCH(W$4+$B$6,DSS_Calc!$A:$A,0))</f>
        <v>-27.489856023075845</v>
      </c>
      <c r="X64" s="775">
        <f>INDEX(DSS_Calc!$JM:$JM,MATCH(W$4+$B64,DSS_Calc!$A:$A,0))/INDEX(DSS_Calc!$JM:$JM,MATCH(W$4+$B$6,DSS_Calc!$A:$A,0))-1</f>
        <v>2.4476547728623954E-2</v>
      </c>
      <c r="Y64" s="787">
        <f>ABS(INDEX(DSS_Calc!$KU:$KU,MATCH(W$4+$B64,DSS_Calc!$A:$A,0)))</f>
        <v>16.021434391493582</v>
      </c>
      <c r="Z64" s="809">
        <f t="shared" si="83"/>
        <v>2</v>
      </c>
      <c r="AA64" s="807">
        <f t="shared" si="73"/>
        <v>100</v>
      </c>
      <c r="AB64" s="807">
        <f t="shared" si="74"/>
        <v>1</v>
      </c>
      <c r="AC64" s="807">
        <f>INDEX(DSS_Calc!$JM:$JM,MATCH(W$4+$B64,DSS_Calc!$A:$A,0))</f>
        <v>2110.4975942054966</v>
      </c>
      <c r="AD64" s="772"/>
      <c r="AE64" s="776">
        <f>INDEX(DSS_Calc!$JD:$JD,MATCH(AE$4+$B64,DSS_Calc!$A:$A,0))-INDEX(DSS_Calc!$JD:$JD,MATCH(AE$4+$B$6,DSS_Calc!$A:$A,0))</f>
        <v>369.46840686151018</v>
      </c>
      <c r="AF64" s="775">
        <f>INDEX(DSS_Calc!$JM:$JM,MATCH(AE$4+$B64,DSS_Calc!$A:$A,0))/INDEX(DSS_Calc!$JM:$JM,MATCH(AE$4+$B$6,DSS_Calc!$A:$A,0))-1</f>
        <v>7.3351416363662159E-2</v>
      </c>
      <c r="AG64" s="787">
        <f>ABS(INDEX(DSS_Calc!$KU:$KU,MATCH(AE$4+$B64,DSS_Calc!$A:$A,0)))</f>
        <v>6.6316328095693988</v>
      </c>
      <c r="AH64" s="809">
        <f t="shared" si="84"/>
        <v>6</v>
      </c>
      <c r="AI64" s="807">
        <f t="shared" si="75"/>
        <v>6</v>
      </c>
      <c r="AJ64" s="807">
        <f t="shared" si="76"/>
        <v>100</v>
      </c>
      <c r="AK64" s="807">
        <f>INDEX(DSS_Calc!$JM:$JM,MATCH(AE$4+$B64,DSS_Calc!$A:$A,0))</f>
        <v>2144.1694629495278</v>
      </c>
      <c r="AL64" s="772"/>
      <c r="AM64" s="776">
        <f>INDEX(DSS_Calc!$JD:$JD,MATCH(AM$4+$B64,DSS_Calc!$A:$A,0))-INDEX(DSS_Calc!$JD:$JD,MATCH(AM$4+$B$6,DSS_Calc!$A:$A,0))</f>
        <v>340.93325309905913</v>
      </c>
      <c r="AN64" s="775">
        <f>INDEX(DSS_Calc!$JM:$JM,MATCH(AM$4+$B64,DSS_Calc!$A:$A,0))/INDEX(DSS_Calc!$JM:$JM,MATCH(AM$4+$B$6,DSS_Calc!$A:$A,0))-1</f>
        <v>7.3286343740801119E-2</v>
      </c>
      <c r="AO64" s="787">
        <f>ABS(INDEX(DSS_Calc!$KU:$KU,MATCH(AM$4+$B64,DSS_Calc!$A:$A,0)))</f>
        <v>7.3934517944143465</v>
      </c>
      <c r="AP64" s="809">
        <f t="shared" si="85"/>
        <v>8</v>
      </c>
      <c r="AQ64" s="807">
        <f t="shared" si="77"/>
        <v>8</v>
      </c>
      <c r="AR64" s="807">
        <f t="shared" si="78"/>
        <v>100</v>
      </c>
      <c r="AS64" s="807">
        <f>INDEX(DSS_Calc!$JM:$JM,MATCH(AM$4+$B64,DSS_Calc!$A:$A,0))</f>
        <v>857.07321623299049</v>
      </c>
      <c r="AT64" s="772"/>
      <c r="AU64" s="776">
        <f>INDEX(DSS_Calc!$JD:$JD,MATCH(AU$4+$B64,DSS_Calc!$A:$A,0))-INDEX(DSS_Calc!$JD:$JD,MATCH(AU$4+$B$6,DSS_Calc!$A:$A,0))</f>
        <v>55.28180580503431</v>
      </c>
      <c r="AV64" s="775">
        <f>INDEX(DSS_Calc!$JM:$JM,MATCH(AU$4+$B64,DSS_Calc!$A:$A,0))/INDEX(DSS_Calc!$JM:$JM,MATCH(AU$4+$B$6,DSS_Calc!$A:$A,0))-1</f>
        <v>3.8676756781991228E-2</v>
      </c>
    </row>
    <row r="65" spans="2:48">
      <c r="B65" s="831">
        <f t="shared" si="86"/>
        <v>51</v>
      </c>
      <c r="C65" s="777"/>
      <c r="D65" s="778" t="str">
        <f>LEFT(INDEX(DSS_Calc!$D:$D,MATCH(G$4+$B65,DSS_Calc!$A:$A,0)),LEN(INDEX(DSS_Calc!$D:$D,MATCH(G$4+$B65,DSS_Calc!$A:$A,0)))-2)</f>
        <v>0/0/0.9/3.9, -360 Lease</v>
      </c>
      <c r="E65" s="777" t="str">
        <f>"MY"&amp;RIGHT(Input!$H$9,2)&amp;" "&amp;Input!$H$3</f>
        <v>MY20 Forte</v>
      </c>
      <c r="F65" s="772"/>
      <c r="G65" s="779">
        <f>INDEX(DSS_Calc!$JD:$JD,MATCH(G$4+$B65,DSS_Calc!$A:$A,0))-INDEX(DSS_Calc!$JD:$JD,MATCH(G$4+$B$6,DSS_Calc!$A:$A,0))</f>
        <v>-365.7765157174108</v>
      </c>
      <c r="H65" s="780">
        <f>INDEX(DSS_Calc!$JM:$JM,MATCH(G$4+$B65,DSS_Calc!$A:$A,0))/INDEX(DSS_Calc!$JM:$JM,MATCH(G$4+$B$6,DSS_Calc!$A:$A,0))-1</f>
        <v>-4.7191364705745475E-2</v>
      </c>
      <c r="I65" s="788">
        <f>ABS(INDEX(DSS_Calc!$KU:$KU,MATCH(G$4+$B65,DSS_Calc!$A:$A,0)))</f>
        <v>52.303984718809325</v>
      </c>
      <c r="J65" s="777">
        <f t="shared" si="81"/>
        <v>15</v>
      </c>
      <c r="K65" s="808">
        <f t="shared" si="69"/>
        <v>100</v>
      </c>
      <c r="L65" s="808">
        <f t="shared" si="70"/>
        <v>13</v>
      </c>
      <c r="M65" s="808">
        <f>INDEX(DSS_Calc!$JM:$JM,MATCH(G$4+$B65,DSS_Calc!$A:$A,0))</f>
        <v>1008.175845019761</v>
      </c>
      <c r="N65" s="772"/>
      <c r="O65" s="779">
        <f>INDEX(DSS_Calc!$JD:$JD,MATCH(O$4+$B65,DSS_Calc!$A:$A,0))-INDEX(DSS_Calc!$JD:$JD,MATCH(O$4+$B$6,DSS_Calc!$A:$A,0))</f>
        <v>-145.43197853111587</v>
      </c>
      <c r="P65" s="780">
        <f>INDEX(DSS_Calc!$JM:$JM,MATCH(O$4+$B65,DSS_Calc!$A:$A,0))/INDEX(DSS_Calc!$JM:$JM,MATCH(O$4+$B$6,DSS_Calc!$A:$A,0))-1</f>
        <v>-6.5008878467518461E-3</v>
      </c>
      <c r="Q65" s="788">
        <f>ABS(INDEX(DSS_Calc!$KU:$KU,MATCH(O$4+$B65,DSS_Calc!$A:$A,0)))</f>
        <v>12.3631147495056</v>
      </c>
      <c r="R65" s="777">
        <f t="shared" si="82"/>
        <v>16</v>
      </c>
      <c r="S65" s="808">
        <f t="shared" si="71"/>
        <v>100</v>
      </c>
      <c r="T65" s="808">
        <f t="shared" si="72"/>
        <v>10</v>
      </c>
      <c r="U65" s="808">
        <f>INDEX(DSS_Calc!$JM:$JM,MATCH(O$4+$B65,DSS_Calc!$A:$A,0))</f>
        <v>1716.5269062516904</v>
      </c>
      <c r="V65" s="772"/>
      <c r="W65" s="779">
        <f>INDEX(DSS_Calc!$JD:$JD,MATCH(W$4+$B65,DSS_Calc!$A:$A,0))-INDEX(DSS_Calc!$JD:$JD,MATCH(W$4+$B$6,DSS_Calc!$A:$A,0))</f>
        <v>-82.355877447284911</v>
      </c>
      <c r="X65" s="780">
        <f>INDEX(DSS_Calc!$JM:$JM,MATCH(W$4+$B65,DSS_Calc!$A:$A,0))/INDEX(DSS_Calc!$JM:$JM,MATCH(W$4+$B$6,DSS_Calc!$A:$A,0))-1</f>
        <v>8.1322779361570063E-4</v>
      </c>
      <c r="Y65" s="788">
        <f>ABS(INDEX(DSS_Calc!$KU:$KU,MATCH(W$4+$B65,DSS_Calc!$A:$A,0)))</f>
        <v>15.762350150184872</v>
      </c>
      <c r="Z65" s="777">
        <f t="shared" si="83"/>
        <v>14</v>
      </c>
      <c r="AA65" s="808">
        <f t="shared" si="73"/>
        <v>100</v>
      </c>
      <c r="AB65" s="808">
        <f t="shared" si="74"/>
        <v>8</v>
      </c>
      <c r="AC65" s="808">
        <f>INDEX(DSS_Calc!$JM:$JM,MATCH(W$4+$B65,DSS_Calc!$A:$A,0))</f>
        <v>2061.7494018681755</v>
      </c>
      <c r="AD65" s="772"/>
      <c r="AE65" s="779">
        <f>INDEX(DSS_Calc!$JD:$JD,MATCH(AE$4+$B65,DSS_Calc!$A:$A,0))-INDEX(DSS_Calc!$JD:$JD,MATCH(AE$4+$B$6,DSS_Calc!$A:$A,0))</f>
        <v>142.38140776345608</v>
      </c>
      <c r="AF65" s="780">
        <f>INDEX(DSS_Calc!$JM:$JM,MATCH(AE$4+$B65,DSS_Calc!$A:$A,0))/INDEX(DSS_Calc!$JM:$JM,MATCH(AE$4+$B$6,DSS_Calc!$A:$A,0))-1</f>
        <v>3.0003323596943243E-2</v>
      </c>
      <c r="AG65" s="788">
        <f>ABS(INDEX(DSS_Calc!$KU:$KU,MATCH(AE$4+$B65,DSS_Calc!$A:$A,0)))</f>
        <v>6.5905053647226435</v>
      </c>
      <c r="AH65" s="777">
        <f t="shared" si="84"/>
        <v>15</v>
      </c>
      <c r="AI65" s="808">
        <f t="shared" si="75"/>
        <v>100</v>
      </c>
      <c r="AJ65" s="808">
        <f t="shared" si="76"/>
        <v>5</v>
      </c>
      <c r="AK65" s="808">
        <f>INDEX(DSS_Calc!$JM:$JM,MATCH(AE$4+$B65,DSS_Calc!$A:$A,0))</f>
        <v>2057.5755894328872</v>
      </c>
      <c r="AL65" s="772"/>
      <c r="AM65" s="779">
        <f>INDEX(DSS_Calc!$JD:$JD,MATCH(AM$4+$B65,DSS_Calc!$A:$A,0))-INDEX(DSS_Calc!$JD:$JD,MATCH(AM$4+$B$6,DSS_Calc!$A:$A,0))</f>
        <v>72.473069109771131</v>
      </c>
      <c r="AN65" s="780">
        <f>INDEX(DSS_Calc!$JM:$JM,MATCH(AM$4+$B65,DSS_Calc!$A:$A,0))/INDEX(DSS_Calc!$JM:$JM,MATCH(AM$4+$B$6,DSS_Calc!$A:$A,0))-1</f>
        <v>2.3211966766381043E-2</v>
      </c>
      <c r="AO65" s="788">
        <f>ABS(INDEX(DSS_Calc!$KU:$KU,MATCH(AM$4+$B65,DSS_Calc!$A:$A,0)))</f>
        <v>7.3805749236135849</v>
      </c>
      <c r="AP65" s="777">
        <f t="shared" si="85"/>
        <v>14</v>
      </c>
      <c r="AQ65" s="808">
        <f t="shared" si="77"/>
        <v>100</v>
      </c>
      <c r="AR65" s="808">
        <f t="shared" si="78"/>
        <v>3</v>
      </c>
      <c r="AS65" s="808">
        <f>INDEX(DSS_Calc!$JM:$JM,MATCH(AM$4+$B65,DSS_Calc!$A:$A,0))</f>
        <v>817.08630353758963</v>
      </c>
      <c r="AT65" s="772"/>
      <c r="AU65" s="779">
        <f>INDEX(DSS_Calc!$JD:$JD,MATCH(AU$4+$B65,DSS_Calc!$A:$A,0))-INDEX(DSS_Calc!$JD:$JD,MATCH(AU$4+$B$6,DSS_Calc!$A:$A,0))</f>
        <v>-77.149238704248091</v>
      </c>
      <c r="AV65" s="780">
        <f>INDEX(DSS_Calc!$JM:$JM,MATCH(AU$4+$B65,DSS_Calc!$A:$A,0))/INDEX(DSS_Calc!$JM:$JM,MATCH(AU$4+$B$6,DSS_Calc!$A:$A,0))-1</f>
        <v>2.483792245231875E-3</v>
      </c>
    </row>
    <row r="66" spans="2:48">
      <c r="B66" s="831">
        <f t="shared" si="86"/>
        <v>52</v>
      </c>
      <c r="C66" s="772"/>
      <c r="D66" s="774" t="str">
        <f>LEFT(INDEX(DSS_Calc!$D:$D,MATCH(G$4+$B66,DSS_Calc!$A:$A,0)),LEN(INDEX(DSS_Calc!$D:$D,MATCH(G$4+$B66,DSS_Calc!$A:$A,0)))-2)</f>
        <v>0/0/0/3.9, -360 Lease</v>
      </c>
      <c r="E66" s="772" t="str">
        <f>"MY"&amp;RIGHT(Input!$H$9,2)&amp;" "&amp;Input!$H$3</f>
        <v>MY20 Forte</v>
      </c>
      <c r="F66" s="772"/>
      <c r="G66" s="776">
        <f>INDEX(DSS_Calc!$JD:$JD,MATCH(G$4+$B66,DSS_Calc!$A:$A,0))-INDEX(DSS_Calc!$JD:$JD,MATCH(G$4+$B$6,DSS_Calc!$A:$A,0))</f>
        <v>-331.34436916735194</v>
      </c>
      <c r="H66" s="775">
        <f>INDEX(DSS_Calc!$JM:$JM,MATCH(G$4+$B66,DSS_Calc!$A:$A,0))/INDEX(DSS_Calc!$JM:$JM,MATCH(G$4+$B$6,DSS_Calc!$A:$A,0))-1</f>
        <v>-3.4596622613287442E-2</v>
      </c>
      <c r="I66" s="787">
        <f>ABS(INDEX(DSS_Calc!$KU:$KU,MATCH(G$4+$B66,DSS_Calc!$A:$A,0)))</f>
        <v>52.580268372583127</v>
      </c>
      <c r="J66" s="772">
        <f t="shared" si="81"/>
        <v>10</v>
      </c>
      <c r="K66" s="807">
        <f t="shared" si="69"/>
        <v>100</v>
      </c>
      <c r="L66" s="807">
        <f t="shared" si="70"/>
        <v>8</v>
      </c>
      <c r="M66" s="807">
        <f>INDEX(DSS_Calc!$JM:$JM,MATCH(G$4+$B66,DSS_Calc!$A:$A,0))</f>
        <v>1021.5024609649959</v>
      </c>
      <c r="N66" s="772"/>
      <c r="O66" s="776">
        <f>INDEX(DSS_Calc!$JD:$JD,MATCH(O$4+$B66,DSS_Calc!$A:$A,0))-INDEX(DSS_Calc!$JD:$JD,MATCH(O$4+$B$6,DSS_Calc!$A:$A,0))</f>
        <v>-19.945324159517895</v>
      </c>
      <c r="P66" s="775">
        <f>INDEX(DSS_Calc!$JM:$JM,MATCH(O$4+$B66,DSS_Calc!$A:$A,0))/INDEX(DSS_Calc!$JM:$JM,MATCH(O$4+$B$6,DSS_Calc!$A:$A,0))-1</f>
        <v>2.1178106291828147E-2</v>
      </c>
      <c r="Q66" s="787">
        <f>ABS(INDEX(DSS_Calc!$KU:$KU,MATCH(O$4+$B66,DSS_Calc!$A:$A,0)))</f>
        <v>12.425303472173734</v>
      </c>
      <c r="R66" s="772">
        <f t="shared" si="82"/>
        <v>12</v>
      </c>
      <c r="S66" s="807">
        <f t="shared" si="71"/>
        <v>100</v>
      </c>
      <c r="T66" s="807">
        <f t="shared" si="72"/>
        <v>7</v>
      </c>
      <c r="U66" s="807">
        <f>INDEX(DSS_Calc!$JM:$JM,MATCH(O$4+$B66,DSS_Calc!$A:$A,0))</f>
        <v>1764.3495339678655</v>
      </c>
      <c r="V66" s="772"/>
      <c r="W66" s="776">
        <f>INDEX(DSS_Calc!$JD:$JD,MATCH(W$4+$B66,DSS_Calc!$A:$A,0))-INDEX(DSS_Calc!$JD:$JD,MATCH(W$4+$B$6,DSS_Calc!$A:$A,0))</f>
        <v>75.742121584090455</v>
      </c>
      <c r="X66" s="775">
        <f>INDEX(DSS_Calc!$JM:$JM,MATCH(W$4+$B66,DSS_Calc!$A:$A,0))/INDEX(DSS_Calc!$JM:$JM,MATCH(W$4+$B$6,DSS_Calc!$A:$A,0))-1</f>
        <v>3.8204883885209373E-2</v>
      </c>
      <c r="Y66" s="787">
        <f>ABS(INDEX(DSS_Calc!$KU:$KU,MATCH(W$4+$B66,DSS_Calc!$A:$A,0)))</f>
        <v>15.864195779038372</v>
      </c>
      <c r="Z66" s="772">
        <f t="shared" si="83"/>
        <v>9</v>
      </c>
      <c r="AA66" s="807">
        <f t="shared" si="73"/>
        <v>100</v>
      </c>
      <c r="AB66" s="807">
        <f t="shared" si="74"/>
        <v>6</v>
      </c>
      <c r="AC66" s="807">
        <f>INDEX(DSS_Calc!$JM:$JM,MATCH(W$4+$B66,DSS_Calc!$A:$A,0))</f>
        <v>2138.7789838528788</v>
      </c>
      <c r="AD66" s="772"/>
      <c r="AE66" s="776">
        <f>INDEX(DSS_Calc!$JD:$JD,MATCH(AE$4+$B66,DSS_Calc!$A:$A,0))-INDEX(DSS_Calc!$JD:$JD,MATCH(AE$4+$B$6,DSS_Calc!$A:$A,0))</f>
        <v>373.04490184013093</v>
      </c>
      <c r="AF66" s="775">
        <f>INDEX(DSS_Calc!$JM:$JM,MATCH(AE$4+$B66,DSS_Calc!$A:$A,0))/INDEX(DSS_Calc!$JM:$JM,MATCH(AE$4+$B$6,DSS_Calc!$A:$A,0))-1</f>
        <v>6.9795415721866538E-2</v>
      </c>
      <c r="AG66" s="787">
        <f>ABS(INDEX(DSS_Calc!$KU:$KU,MATCH(AE$4+$B66,DSS_Calc!$A:$A,0)))</f>
        <v>6.5809609917152505</v>
      </c>
      <c r="AH66" s="772">
        <f t="shared" si="84"/>
        <v>20</v>
      </c>
      <c r="AI66" s="807">
        <f t="shared" si="75"/>
        <v>14</v>
      </c>
      <c r="AJ66" s="807">
        <f t="shared" si="76"/>
        <v>100</v>
      </c>
      <c r="AK66" s="807">
        <f>INDEX(DSS_Calc!$JM:$JM,MATCH(AE$4+$B66,DSS_Calc!$A:$A,0))</f>
        <v>2137.0658546902696</v>
      </c>
      <c r="AL66" s="772"/>
      <c r="AM66" s="776">
        <f>INDEX(DSS_Calc!$JD:$JD,MATCH(AM$4+$B66,DSS_Calc!$A:$A,0))-INDEX(DSS_Calc!$JD:$JD,MATCH(AM$4+$B$6,DSS_Calc!$A:$A,0))</f>
        <v>275.78388770235142</v>
      </c>
      <c r="AN66" s="775">
        <f>INDEX(DSS_Calc!$JM:$JM,MATCH(AM$4+$B66,DSS_Calc!$A:$A,0))/INDEX(DSS_Calc!$JM:$JM,MATCH(AM$4+$B$6,DSS_Calc!$A:$A,0))-1</f>
        <v>6.3669552673186747E-2</v>
      </c>
      <c r="AO66" s="787">
        <f>ABS(INDEX(DSS_Calc!$KU:$KU,MATCH(AM$4+$B66,DSS_Calc!$A:$A,0)))</f>
        <v>7.4231990695714121</v>
      </c>
      <c r="AP66" s="772">
        <f t="shared" si="85"/>
        <v>7</v>
      </c>
      <c r="AQ66" s="807">
        <f t="shared" si="77"/>
        <v>7</v>
      </c>
      <c r="AR66" s="807">
        <f t="shared" si="78"/>
        <v>100</v>
      </c>
      <c r="AS66" s="807">
        <f>INDEX(DSS_Calc!$JM:$JM,MATCH(AM$4+$B66,DSS_Calc!$A:$A,0))</f>
        <v>849.39372408420058</v>
      </c>
      <c r="AT66" s="772"/>
      <c r="AU66" s="776">
        <f>INDEX(DSS_Calc!$JD:$JD,MATCH(AU$4+$B66,DSS_Calc!$A:$A,0))-INDEX(DSS_Calc!$JD:$JD,MATCH(AU$4+$B$6,DSS_Calc!$A:$A,0))</f>
        <v>77.174404078410589</v>
      </c>
      <c r="AV66" s="775">
        <f>INDEX(DSS_Calc!$JM:$JM,MATCH(AU$4+$B66,DSS_Calc!$A:$A,0))/INDEX(DSS_Calc!$JM:$JM,MATCH(AU$4+$B$6,DSS_Calc!$A:$A,0))-1</f>
        <v>3.5194100388729055E-2</v>
      </c>
    </row>
    <row r="67" spans="2:48">
      <c r="B67" s="831">
        <f t="shared" si="86"/>
        <v>53</v>
      </c>
      <c r="C67" s="777"/>
      <c r="D67" s="778" t="str">
        <f>LEFT(INDEX(DSS_Calc!$D:$D,MATCH(G$4+$B67,DSS_Calc!$A:$A,0)),LEN(INDEX(DSS_Calc!$D:$D,MATCH(G$4+$B67,DSS_Calc!$A:$A,0)))-2)</f>
        <v>0/0/0/3.9, -360 Lease</v>
      </c>
      <c r="E67" s="777" t="str">
        <f>"MY"&amp;RIGHT(Input!$H$9,2)&amp;" "&amp;Input!$H$3</f>
        <v>MY20 Forte</v>
      </c>
      <c r="F67" s="772"/>
      <c r="G67" s="779">
        <f>INDEX(DSS_Calc!$JD:$JD,MATCH(G$4+$B67,DSS_Calc!$A:$A,0))-INDEX(DSS_Calc!$JD:$JD,MATCH(G$4+$B$6,DSS_Calc!$A:$A,0))</f>
        <v>-331.34436916735194</v>
      </c>
      <c r="H67" s="780">
        <f>INDEX(DSS_Calc!$JM:$JM,MATCH(G$4+$B67,DSS_Calc!$A:$A,0))/INDEX(DSS_Calc!$JM:$JM,MATCH(G$4+$B$6,DSS_Calc!$A:$A,0))-1</f>
        <v>-3.4596622613287442E-2</v>
      </c>
      <c r="I67" s="788">
        <f>ABS(INDEX(DSS_Calc!$KU:$KU,MATCH(G$4+$B67,DSS_Calc!$A:$A,0)))</f>
        <v>52.580267372583123</v>
      </c>
      <c r="J67" s="777">
        <f t="shared" si="81"/>
        <v>11</v>
      </c>
      <c r="K67" s="808">
        <f t="shared" si="69"/>
        <v>100</v>
      </c>
      <c r="L67" s="808">
        <f t="shared" si="70"/>
        <v>9</v>
      </c>
      <c r="M67" s="808">
        <f>INDEX(DSS_Calc!$JM:$JM,MATCH(G$4+$B67,DSS_Calc!$A:$A,0))</f>
        <v>1021.5024609649959</v>
      </c>
      <c r="N67" s="772"/>
      <c r="O67" s="779">
        <f>INDEX(DSS_Calc!$JD:$JD,MATCH(O$4+$B67,DSS_Calc!$A:$A,0))-INDEX(DSS_Calc!$JD:$JD,MATCH(O$4+$B$6,DSS_Calc!$A:$A,0))</f>
        <v>-19.945324159517895</v>
      </c>
      <c r="P67" s="780">
        <f>INDEX(DSS_Calc!$JM:$JM,MATCH(O$4+$B67,DSS_Calc!$A:$A,0))/INDEX(DSS_Calc!$JM:$JM,MATCH(O$4+$B$6,DSS_Calc!$A:$A,0))-1</f>
        <v>2.1178106291828147E-2</v>
      </c>
      <c r="Q67" s="788">
        <f>ABS(INDEX(DSS_Calc!$KU:$KU,MATCH(O$4+$B67,DSS_Calc!$A:$A,0)))</f>
        <v>12.425304472173734</v>
      </c>
      <c r="R67" s="777">
        <f t="shared" si="82"/>
        <v>11</v>
      </c>
      <c r="S67" s="808">
        <f t="shared" si="71"/>
        <v>100</v>
      </c>
      <c r="T67" s="808">
        <f t="shared" si="72"/>
        <v>6</v>
      </c>
      <c r="U67" s="808">
        <f>INDEX(DSS_Calc!$JM:$JM,MATCH(O$4+$B67,DSS_Calc!$A:$A,0))</f>
        <v>1764.3495339678655</v>
      </c>
      <c r="V67" s="772"/>
      <c r="W67" s="779">
        <f>INDEX(DSS_Calc!$JD:$JD,MATCH(W$4+$B67,DSS_Calc!$A:$A,0))-INDEX(DSS_Calc!$JD:$JD,MATCH(W$4+$B$6,DSS_Calc!$A:$A,0))</f>
        <v>75.742121584090455</v>
      </c>
      <c r="X67" s="780">
        <f>INDEX(DSS_Calc!$JM:$JM,MATCH(W$4+$B67,DSS_Calc!$A:$A,0))/INDEX(DSS_Calc!$JM:$JM,MATCH(W$4+$B$6,DSS_Calc!$A:$A,0))-1</f>
        <v>3.8204883885209373E-2</v>
      </c>
      <c r="Y67" s="788">
        <f>ABS(INDEX(DSS_Calc!$KU:$KU,MATCH(W$4+$B67,DSS_Calc!$A:$A,0)))</f>
        <v>15.864196779038371</v>
      </c>
      <c r="Z67" s="777">
        <f t="shared" si="83"/>
        <v>8</v>
      </c>
      <c r="AA67" s="808">
        <f t="shared" si="73"/>
        <v>100</v>
      </c>
      <c r="AB67" s="808">
        <f t="shared" si="74"/>
        <v>5</v>
      </c>
      <c r="AC67" s="808">
        <f>INDEX(DSS_Calc!$JM:$JM,MATCH(W$4+$B67,DSS_Calc!$A:$A,0))</f>
        <v>2138.7789838528788</v>
      </c>
      <c r="AD67" s="772"/>
      <c r="AE67" s="779">
        <f>INDEX(DSS_Calc!$JD:$JD,MATCH(AE$4+$B67,DSS_Calc!$A:$A,0))-INDEX(DSS_Calc!$JD:$JD,MATCH(AE$4+$B$6,DSS_Calc!$A:$A,0))</f>
        <v>373.04490184013093</v>
      </c>
      <c r="AF67" s="780">
        <f>INDEX(DSS_Calc!$JM:$JM,MATCH(AE$4+$B67,DSS_Calc!$A:$A,0))/INDEX(DSS_Calc!$JM:$JM,MATCH(AE$4+$B$6,DSS_Calc!$A:$A,0))-1</f>
        <v>6.9795415721866538E-2</v>
      </c>
      <c r="AG67" s="788">
        <f>ABS(INDEX(DSS_Calc!$KU:$KU,MATCH(AE$4+$B67,DSS_Calc!$A:$A,0)))</f>
        <v>6.5809619917152506</v>
      </c>
      <c r="AH67" s="777">
        <f t="shared" si="84"/>
        <v>19</v>
      </c>
      <c r="AI67" s="808">
        <f t="shared" si="75"/>
        <v>13</v>
      </c>
      <c r="AJ67" s="808">
        <f t="shared" si="76"/>
        <v>100</v>
      </c>
      <c r="AK67" s="808">
        <f>INDEX(DSS_Calc!$JM:$JM,MATCH(AE$4+$B67,DSS_Calc!$A:$A,0))</f>
        <v>2137.0658546902696</v>
      </c>
      <c r="AL67" s="772"/>
      <c r="AM67" s="779">
        <f>INDEX(DSS_Calc!$JD:$JD,MATCH(AM$4+$B67,DSS_Calc!$A:$A,0))-INDEX(DSS_Calc!$JD:$JD,MATCH(AM$4+$B$6,DSS_Calc!$A:$A,0))</f>
        <v>275.78388770235142</v>
      </c>
      <c r="AN67" s="780">
        <f>INDEX(DSS_Calc!$JM:$JM,MATCH(AM$4+$B67,DSS_Calc!$A:$A,0))/INDEX(DSS_Calc!$JM:$JM,MATCH(AM$4+$B$6,DSS_Calc!$A:$A,0))-1</f>
        <v>6.3669552673186747E-2</v>
      </c>
      <c r="AO67" s="788">
        <f>ABS(INDEX(DSS_Calc!$KU:$KU,MATCH(AM$4+$B67,DSS_Calc!$A:$A,0)))</f>
        <v>7.4232000695714122</v>
      </c>
      <c r="AP67" s="777">
        <f t="shared" si="85"/>
        <v>6</v>
      </c>
      <c r="AQ67" s="808">
        <f t="shared" si="77"/>
        <v>6</v>
      </c>
      <c r="AR67" s="808">
        <f t="shared" si="78"/>
        <v>100</v>
      </c>
      <c r="AS67" s="808">
        <f>INDEX(DSS_Calc!$JM:$JM,MATCH(AM$4+$B67,DSS_Calc!$A:$A,0))</f>
        <v>849.39372408420058</v>
      </c>
      <c r="AT67" s="772"/>
      <c r="AU67" s="779">
        <f>INDEX(DSS_Calc!$JD:$JD,MATCH(AU$4+$B67,DSS_Calc!$A:$A,0))-INDEX(DSS_Calc!$JD:$JD,MATCH(AU$4+$B$6,DSS_Calc!$A:$A,0))</f>
        <v>77.174404078410589</v>
      </c>
      <c r="AV67" s="780">
        <f>INDEX(DSS_Calc!$JM:$JM,MATCH(AU$4+$B67,DSS_Calc!$A:$A,0))/INDEX(DSS_Calc!$JM:$JM,MATCH(AU$4+$B$6,DSS_Calc!$A:$A,0))-1</f>
        <v>3.5194100388729055E-2</v>
      </c>
    </row>
    <row r="68" spans="2:48">
      <c r="B68" s="831">
        <f t="shared" si="86"/>
        <v>54</v>
      </c>
      <c r="C68" s="772"/>
      <c r="D68" s="774" t="str">
        <f>LEFT(INDEX(DSS_Calc!$D:$D,MATCH(G$4+$B68,DSS_Calc!$A:$A,0)),LEN(INDEX(DSS_Calc!$D:$D,MATCH(G$4+$B68,DSS_Calc!$A:$A,0)))-2)</f>
        <v>0/0/0/3.9, -360 Lease</v>
      </c>
      <c r="E68" s="772" t="str">
        <f>"MY"&amp;RIGHT(Input!$H$9,2)&amp;" "&amp;Input!$H$3</f>
        <v>MY20 Forte</v>
      </c>
      <c r="F68" s="772"/>
      <c r="G68" s="776">
        <f>INDEX(DSS_Calc!$JD:$JD,MATCH(G$4+$B68,DSS_Calc!$A:$A,0))-INDEX(DSS_Calc!$JD:$JD,MATCH(G$4+$B$6,DSS_Calc!$A:$A,0))</f>
        <v>-331.34436916735194</v>
      </c>
      <c r="H68" s="775">
        <f>INDEX(DSS_Calc!$JM:$JM,MATCH(G$4+$B68,DSS_Calc!$A:$A,0))/INDEX(DSS_Calc!$JM:$JM,MATCH(G$4+$B$6,DSS_Calc!$A:$A,0))-1</f>
        <v>-3.4596622613287442E-2</v>
      </c>
      <c r="I68" s="787">
        <f>ABS(INDEX(DSS_Calc!$KU:$KU,MATCH(G$4+$B68,DSS_Calc!$A:$A,0)))</f>
        <v>52.580266372583125</v>
      </c>
      <c r="J68" s="772">
        <f t="shared" si="81"/>
        <v>12</v>
      </c>
      <c r="K68" s="807">
        <f t="shared" si="69"/>
        <v>100</v>
      </c>
      <c r="L68" s="807">
        <f t="shared" si="70"/>
        <v>10</v>
      </c>
      <c r="M68" s="807">
        <f>INDEX(DSS_Calc!$JM:$JM,MATCH(G$4+$B68,DSS_Calc!$A:$A,0))</f>
        <v>1021.5024609649959</v>
      </c>
      <c r="N68" s="772"/>
      <c r="O68" s="776">
        <f>INDEX(DSS_Calc!$JD:$JD,MATCH(O$4+$B68,DSS_Calc!$A:$A,0))-INDEX(DSS_Calc!$JD:$JD,MATCH(O$4+$B$6,DSS_Calc!$A:$A,0))</f>
        <v>-19.945324159517895</v>
      </c>
      <c r="P68" s="775">
        <f>INDEX(DSS_Calc!$JM:$JM,MATCH(O$4+$B68,DSS_Calc!$A:$A,0))/INDEX(DSS_Calc!$JM:$JM,MATCH(O$4+$B$6,DSS_Calc!$A:$A,0))-1</f>
        <v>2.1178106291828147E-2</v>
      </c>
      <c r="Q68" s="787">
        <f>ABS(INDEX(DSS_Calc!$KU:$KU,MATCH(O$4+$B68,DSS_Calc!$A:$A,0)))</f>
        <v>12.425305472173735</v>
      </c>
      <c r="R68" s="772">
        <f t="shared" si="82"/>
        <v>10</v>
      </c>
      <c r="S68" s="807">
        <f t="shared" si="71"/>
        <v>100</v>
      </c>
      <c r="T68" s="807">
        <f t="shared" si="72"/>
        <v>5</v>
      </c>
      <c r="U68" s="807">
        <f>INDEX(DSS_Calc!$JM:$JM,MATCH(O$4+$B68,DSS_Calc!$A:$A,0))</f>
        <v>1764.3495339678655</v>
      </c>
      <c r="V68" s="772"/>
      <c r="W68" s="776">
        <f>INDEX(DSS_Calc!$JD:$JD,MATCH(W$4+$B68,DSS_Calc!$A:$A,0))-INDEX(DSS_Calc!$JD:$JD,MATCH(W$4+$B$6,DSS_Calc!$A:$A,0))</f>
        <v>75.742121584090455</v>
      </c>
      <c r="X68" s="775">
        <f>INDEX(DSS_Calc!$JM:$JM,MATCH(W$4+$B68,DSS_Calc!$A:$A,0))/INDEX(DSS_Calc!$JM:$JM,MATCH(W$4+$B$6,DSS_Calc!$A:$A,0))-1</f>
        <v>3.8204883885209373E-2</v>
      </c>
      <c r="Y68" s="787">
        <f>ABS(INDEX(DSS_Calc!$KU:$KU,MATCH(W$4+$B68,DSS_Calc!$A:$A,0)))</f>
        <v>15.864197779038372</v>
      </c>
      <c r="Z68" s="772">
        <f t="shared" si="83"/>
        <v>7</v>
      </c>
      <c r="AA68" s="807">
        <f t="shared" si="73"/>
        <v>100</v>
      </c>
      <c r="AB68" s="807">
        <f t="shared" si="74"/>
        <v>4</v>
      </c>
      <c r="AC68" s="807">
        <f>INDEX(DSS_Calc!$JM:$JM,MATCH(W$4+$B68,DSS_Calc!$A:$A,0))</f>
        <v>2138.7789838528788</v>
      </c>
      <c r="AD68" s="772"/>
      <c r="AE68" s="776">
        <f>INDEX(DSS_Calc!$JD:$JD,MATCH(AE$4+$B68,DSS_Calc!$A:$A,0))-INDEX(DSS_Calc!$JD:$JD,MATCH(AE$4+$B$6,DSS_Calc!$A:$A,0))</f>
        <v>373.04490184013093</v>
      </c>
      <c r="AF68" s="775">
        <f>INDEX(DSS_Calc!$JM:$JM,MATCH(AE$4+$B68,DSS_Calc!$A:$A,0))/INDEX(DSS_Calc!$JM:$JM,MATCH(AE$4+$B$6,DSS_Calc!$A:$A,0))-1</f>
        <v>6.9795415721866538E-2</v>
      </c>
      <c r="AG68" s="787">
        <f>ABS(INDEX(DSS_Calc!$KU:$KU,MATCH(AE$4+$B68,DSS_Calc!$A:$A,0)))</f>
        <v>6.5809629917152508</v>
      </c>
      <c r="AH68" s="772">
        <f t="shared" si="84"/>
        <v>18</v>
      </c>
      <c r="AI68" s="807">
        <f t="shared" si="75"/>
        <v>12</v>
      </c>
      <c r="AJ68" s="807">
        <f t="shared" si="76"/>
        <v>100</v>
      </c>
      <c r="AK68" s="807">
        <f>INDEX(DSS_Calc!$JM:$JM,MATCH(AE$4+$B68,DSS_Calc!$A:$A,0))</f>
        <v>2137.0658546902696</v>
      </c>
      <c r="AL68" s="772"/>
      <c r="AM68" s="776">
        <f>INDEX(DSS_Calc!$JD:$JD,MATCH(AM$4+$B68,DSS_Calc!$A:$A,0))-INDEX(DSS_Calc!$JD:$JD,MATCH(AM$4+$B$6,DSS_Calc!$A:$A,0))</f>
        <v>275.78388770235142</v>
      </c>
      <c r="AN68" s="775">
        <f>INDEX(DSS_Calc!$JM:$JM,MATCH(AM$4+$B68,DSS_Calc!$A:$A,0))/INDEX(DSS_Calc!$JM:$JM,MATCH(AM$4+$B$6,DSS_Calc!$A:$A,0))-1</f>
        <v>6.3669552673186747E-2</v>
      </c>
      <c r="AO68" s="787">
        <f>ABS(INDEX(DSS_Calc!$KU:$KU,MATCH(AM$4+$B68,DSS_Calc!$A:$A,0)))</f>
        <v>7.4232010695714123</v>
      </c>
      <c r="AP68" s="772">
        <f t="shared" si="85"/>
        <v>5</v>
      </c>
      <c r="AQ68" s="807">
        <f t="shared" si="77"/>
        <v>5</v>
      </c>
      <c r="AR68" s="807">
        <f t="shared" si="78"/>
        <v>100</v>
      </c>
      <c r="AS68" s="807">
        <f>INDEX(DSS_Calc!$JM:$JM,MATCH(AM$4+$B68,DSS_Calc!$A:$A,0))</f>
        <v>849.39372408420058</v>
      </c>
      <c r="AT68" s="772"/>
      <c r="AU68" s="776">
        <f>INDEX(DSS_Calc!$JD:$JD,MATCH(AU$4+$B68,DSS_Calc!$A:$A,0))-INDEX(DSS_Calc!$JD:$JD,MATCH(AU$4+$B$6,DSS_Calc!$A:$A,0))</f>
        <v>77.174404078410589</v>
      </c>
      <c r="AV68" s="775">
        <f>INDEX(DSS_Calc!$JM:$JM,MATCH(AU$4+$B68,DSS_Calc!$A:$A,0))/INDEX(DSS_Calc!$JM:$JM,MATCH(AU$4+$B$6,DSS_Calc!$A:$A,0))-1</f>
        <v>3.5194100388729055E-2</v>
      </c>
    </row>
    <row r="69" spans="2:48">
      <c r="B69" s="831">
        <f t="shared" si="86"/>
        <v>55</v>
      </c>
      <c r="C69" s="777"/>
      <c r="D69" s="778" t="str">
        <f>LEFT(INDEX(DSS_Calc!$D:$D,MATCH(G$4+$B69,DSS_Calc!$A:$A,0)),LEN(INDEX(DSS_Calc!$D:$D,MATCH(G$4+$B69,DSS_Calc!$A:$A,0)))-2)</f>
        <v>500 CC, 500 Combo, 360 Lease</v>
      </c>
      <c r="E69" s="777" t="str">
        <f>"MY"&amp;RIGHT(Input!$H$9,2)&amp;" "&amp;Input!$H$3</f>
        <v>MY20 Forte</v>
      </c>
      <c r="F69" s="772"/>
      <c r="G69" s="779">
        <f>INDEX(DSS_Calc!$JD:$JD,MATCH(G$4+$B69,DSS_Calc!$A:$A,0))-INDEX(DSS_Calc!$JD:$JD,MATCH(G$4+$B$6,DSS_Calc!$A:$A,0))</f>
        <v>404.06259040385885</v>
      </c>
      <c r="H69" s="780">
        <f>INDEX(DSS_Calc!$JM:$JM,MATCH(G$4+$B69,DSS_Calc!$A:$A,0))/INDEX(DSS_Calc!$JM:$JM,MATCH(G$4+$B$6,DSS_Calc!$A:$A,0))-1</f>
        <v>9.199692914889912E-2</v>
      </c>
      <c r="I69" s="788">
        <f>ABS(INDEX(DSS_Calc!$KU:$KU,MATCH(G$4+$B69,DSS_Calc!$A:$A,0)))</f>
        <v>51.431208571572569</v>
      </c>
      <c r="J69" s="777">
        <f t="shared" si="81"/>
        <v>28</v>
      </c>
      <c r="K69" s="808">
        <f t="shared" si="69"/>
        <v>10</v>
      </c>
      <c r="L69" s="808">
        <f t="shared" si="70"/>
        <v>100</v>
      </c>
      <c r="M69" s="808">
        <f>INDEX(DSS_Calc!$JM:$JM,MATCH(G$4+$B69,DSS_Calc!$A:$A,0))</f>
        <v>1155.4522975788086</v>
      </c>
      <c r="N69" s="772"/>
      <c r="O69" s="779">
        <f>INDEX(DSS_Calc!$JD:$JD,MATCH(O$4+$B69,DSS_Calc!$A:$A,0))-INDEX(DSS_Calc!$JD:$JD,MATCH(O$4+$B$6,DSS_Calc!$A:$A,0))</f>
        <v>441.04984133347762</v>
      </c>
      <c r="P69" s="780">
        <f>INDEX(DSS_Calc!$JM:$JM,MATCH(O$4+$B69,DSS_Calc!$A:$A,0))/INDEX(DSS_Calc!$JM:$JM,MATCH(O$4+$B$6,DSS_Calc!$A:$A,0))-1</f>
        <v>9.0654555286002303E-2</v>
      </c>
      <c r="Q69" s="788">
        <f>ABS(INDEX(DSS_Calc!$KU:$KU,MATCH(O$4+$B69,DSS_Calc!$A:$A,0)))</f>
        <v>12.12400769537126</v>
      </c>
      <c r="R69" s="777">
        <f t="shared" si="82"/>
        <v>27</v>
      </c>
      <c r="S69" s="808">
        <f t="shared" si="71"/>
        <v>12</v>
      </c>
      <c r="T69" s="808">
        <f t="shared" si="72"/>
        <v>100</v>
      </c>
      <c r="U69" s="808">
        <f>INDEX(DSS_Calc!$JM:$JM,MATCH(O$4+$B69,DSS_Calc!$A:$A,0))</f>
        <v>1884.3880851758786</v>
      </c>
      <c r="V69" s="772"/>
      <c r="W69" s="779">
        <f>INDEX(DSS_Calc!$JD:$JD,MATCH(W$4+$B69,DSS_Calc!$A:$A,0))-INDEX(DSS_Calc!$JD:$JD,MATCH(W$4+$B$6,DSS_Calc!$A:$A,0))</f>
        <v>477.31863603177044</v>
      </c>
      <c r="X69" s="780">
        <f>INDEX(DSS_Calc!$JM:$JM,MATCH(W$4+$B69,DSS_Calc!$A:$A,0))/INDEX(DSS_Calc!$JM:$JM,MATCH(W$4+$B$6,DSS_Calc!$A:$A,0))-1</f>
        <v>9.6754860473563964E-2</v>
      </c>
      <c r="Y69" s="788">
        <f>ABS(INDEX(DSS_Calc!$KU:$KU,MATCH(W$4+$B69,DSS_Calc!$A:$A,0)))</f>
        <v>15.420440080105106</v>
      </c>
      <c r="Z69" s="777">
        <f t="shared" si="83"/>
        <v>30</v>
      </c>
      <c r="AA69" s="808">
        <f t="shared" si="73"/>
        <v>12</v>
      </c>
      <c r="AB69" s="808">
        <f t="shared" si="74"/>
        <v>100</v>
      </c>
      <c r="AC69" s="808">
        <f>INDEX(DSS_Calc!$JM:$JM,MATCH(W$4+$B69,DSS_Calc!$A:$A,0))</f>
        <v>2259.3962737307952</v>
      </c>
      <c r="AD69" s="772"/>
      <c r="AE69" s="779">
        <f>INDEX(DSS_Calc!$JD:$JD,MATCH(AE$4+$B69,DSS_Calc!$A:$A,0))-INDEX(DSS_Calc!$JD:$JD,MATCH(AE$4+$B$6,DSS_Calc!$A:$A,0))</f>
        <v>485.14352609676644</v>
      </c>
      <c r="AF69" s="780">
        <f>INDEX(DSS_Calc!$JM:$JM,MATCH(AE$4+$B69,DSS_Calc!$A:$A,0))/INDEX(DSS_Calc!$JM:$JM,MATCH(AE$4+$B$6,DSS_Calc!$A:$A,0))-1</f>
        <v>8.8543449606636182E-2</v>
      </c>
      <c r="AG69" s="788">
        <f>ABS(INDEX(DSS_Calc!$KU:$KU,MATCH(AE$4+$B69,DSS_Calc!$A:$A,0)))</f>
        <v>6.569929972167345</v>
      </c>
      <c r="AH69" s="777">
        <f t="shared" si="84"/>
        <v>22</v>
      </c>
      <c r="AI69" s="808">
        <f t="shared" si="75"/>
        <v>15</v>
      </c>
      <c r="AJ69" s="808">
        <f t="shared" si="76"/>
        <v>100</v>
      </c>
      <c r="AK69" s="808">
        <f>INDEX(DSS_Calc!$JM:$JM,MATCH(AE$4+$B69,DSS_Calc!$A:$A,0))</f>
        <v>2174.5176725508672</v>
      </c>
      <c r="AL69" s="772"/>
      <c r="AM69" s="779">
        <f>INDEX(DSS_Calc!$JD:$JD,MATCH(AM$4+$B69,DSS_Calc!$A:$A,0))-INDEX(DSS_Calc!$JD:$JD,MATCH(AM$4+$B$6,DSS_Calc!$A:$A,0))</f>
        <v>475.1816248680575</v>
      </c>
      <c r="AN69" s="780">
        <f>INDEX(DSS_Calc!$JM:$JM,MATCH(AM$4+$B69,DSS_Calc!$A:$A,0))/INDEX(DSS_Calc!$JM:$JM,MATCH(AM$4+$B$6,DSS_Calc!$A:$A,0))-1</f>
        <v>9.0071462504113242E-2</v>
      </c>
      <c r="AO69" s="788">
        <f>ABS(INDEX(DSS_Calc!$KU:$KU,MATCH(AM$4+$B69,DSS_Calc!$A:$A,0)))</f>
        <v>7.2991018594908912</v>
      </c>
      <c r="AP69" s="777">
        <f t="shared" si="85"/>
        <v>31</v>
      </c>
      <c r="AQ69" s="808">
        <f t="shared" si="77"/>
        <v>20</v>
      </c>
      <c r="AR69" s="808">
        <f t="shared" si="78"/>
        <v>100</v>
      </c>
      <c r="AS69" s="808">
        <f>INDEX(DSS_Calc!$JM:$JM,MATCH(AM$4+$B69,DSS_Calc!$A:$A,0))</f>
        <v>870.476979177727</v>
      </c>
      <c r="AT69" s="772"/>
      <c r="AU69" s="779">
        <f>INDEX(DSS_Calc!$JD:$JD,MATCH(AU$4+$B69,DSS_Calc!$A:$A,0))-INDEX(DSS_Calc!$JD:$JD,MATCH(AU$4+$B$6,DSS_Calc!$A:$A,0))</f>
        <v>461.76833238651761</v>
      </c>
      <c r="AV69" s="780">
        <f>INDEX(DSS_Calc!$JM:$JM,MATCH(AU$4+$B69,DSS_Calc!$A:$A,0))/INDEX(DSS_Calc!$JM:$JM,MATCH(AU$4+$B$6,DSS_Calc!$A:$A,0))-1</f>
        <v>9.1872095217941263E-2</v>
      </c>
    </row>
  </sheetData>
  <mergeCells count="12">
    <mergeCell ref="G5:M5"/>
    <mergeCell ref="AU5:AV5"/>
    <mergeCell ref="AM5:AS5"/>
    <mergeCell ref="AE5:AK5"/>
    <mergeCell ref="W5:AC5"/>
    <mergeCell ref="O5:U5"/>
    <mergeCell ref="BQ5:BR5"/>
    <mergeCell ref="BB5:BC5"/>
    <mergeCell ref="BE5:BF5"/>
    <mergeCell ref="BH5:BI5"/>
    <mergeCell ref="BK5:BL5"/>
    <mergeCell ref="BN5:BO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826</v>
      </c>
      <c r="O5" s="433" t="s">
        <v>586</v>
      </c>
      <c r="P5" s="434" t="s">
        <v>825</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1600</v>
      </c>
      <c r="E6" s="438">
        <f>VLOOKUP($C6,DSS_Calc!$A:$KL,DSS_Calc!JB$92,FALSE)</f>
        <v>2503.5492916397525</v>
      </c>
      <c r="F6" s="439">
        <f>VLOOKUP($C6,DSS_Calc!$A:$KL,DSS_Calc!JC$92,FALSE)</f>
        <v>6273.7109265464023</v>
      </c>
      <c r="G6" s="435">
        <v>0</v>
      </c>
      <c r="H6" s="436"/>
      <c r="I6" s="440">
        <f>VLOOKUP($C6,DSS_Calc!$A:$KL,DSS_Calc!IE$92,FALSE)</f>
        <v>0.15848670756646216</v>
      </c>
      <c r="J6" s="441">
        <f>VLOOKUP($C6,DSS_Calc!$A:$KL,DSS_Calc!IF$92,FALSE)</f>
        <v>0.14314928425357873</v>
      </c>
      <c r="K6" s="442">
        <f>VLOOKUP($C6,DSS_Calc!$A:$KL,DSS_Calc!IG$92,FALSE)</f>
        <v>0.69836400817995914</v>
      </c>
      <c r="M6" s="631">
        <f>IF(AND(D6=0,E6=0,F6=0),#N/A,E6/1000-D6/1000)</f>
        <v>0.90354929163975228</v>
      </c>
      <c r="N6" s="443">
        <f>IF(AND(D6=0,E6=0,F6=0),#N/A,J6/(I6+J6))</f>
        <v>0.47457627118644075</v>
      </c>
      <c r="O6" s="634">
        <f>IF(AND(D6=0,E6=0,F6=0),#N/A,F6/1000-((D6/1000*I6+E6/1000*J6)/(I6+J6)))</f>
        <v>4.2449078728868592</v>
      </c>
      <c r="P6" s="444">
        <f>IF(AND(D6=0,E6=0,F6=0),#N/A,K6)</f>
        <v>0.69836400817995914</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1999.9999999999998</v>
      </c>
      <c r="E7" s="438">
        <f>VLOOKUP($C7,DSS_Calc!$A:$KL,DSS_Calc!JB$92,FALSE)</f>
        <v>2903.549291639752</v>
      </c>
      <c r="F7" s="439">
        <f>VLOOKUP($C7,DSS_Calc!$A:$KL,DSS_Calc!JC$92,FALSE)</f>
        <v>6598.7109265464014</v>
      </c>
      <c r="G7" s="435">
        <v>0</v>
      </c>
      <c r="H7" s="436"/>
      <c r="I7" s="440">
        <f>VLOOKUP($C7,DSS_Calc!$A:$KL,DSS_Calc!IE$92,FALSE)</f>
        <v>0.1572391033170549</v>
      </c>
      <c r="J7" s="441">
        <f>VLOOKUP($C7,DSS_Calc!$A:$KL,DSS_Calc!IF$92,FALSE)</f>
        <v>0.14103844312066949</v>
      </c>
      <c r="K7" s="442">
        <f>VLOOKUP($C7,DSS_Calc!$A:$KL,DSS_Calc!IG$92,FALSE)</f>
        <v>0.70172245356227558</v>
      </c>
      <c r="M7" s="632">
        <f t="shared" ref="M7:M55" si="0">IF(AND(D7=0,E7=0,F7=0),#N/A,E7/1000-D7/1000)</f>
        <v>0.90354929163975206</v>
      </c>
      <c r="N7" s="447">
        <f t="shared" ref="N7:N55" si="1">IF(AND(D7=0,E7=0,F7=0),#N/A,J7/(I7+J7))</f>
        <v>0.47284297730441488</v>
      </c>
      <c r="O7" s="635">
        <f t="shared" ref="O7:O55" si="2">IF(AND(D7=0,E7=0,F7=0),#N/A,F7/1000-((D7/1000*I7+E7/1000*J7)/(I7+J7)))</f>
        <v>4.1714739893461665</v>
      </c>
      <c r="P7" s="448">
        <f t="shared" ref="P7:P55" si="3">IF(AND(D7=0,E7=0,F7=0),#N/A,K7)</f>
        <v>0.70172245356227558</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2100</v>
      </c>
      <c r="E8" s="438">
        <f>VLOOKUP($C8,DSS_Calc!$A:$KL,DSS_Calc!JB$92,FALSE)</f>
        <v>2503.5492916397525</v>
      </c>
      <c r="F8" s="439">
        <f>VLOOKUP($C8,DSS_Calc!$A:$KL,DSS_Calc!JC$92,FALSE)</f>
        <v>6273.7109265464023</v>
      </c>
      <c r="G8" s="435">
        <v>0</v>
      </c>
      <c r="H8" s="436"/>
      <c r="I8" s="440">
        <f>VLOOKUP($C8,DSS_Calc!$A:$KL,DSS_Calc!IE$92,FALSE)</f>
        <v>0.18843116545261382</v>
      </c>
      <c r="J8" s="441">
        <f>VLOOKUP($C8,DSS_Calc!$A:$KL,DSS_Calc!IF$92,FALSE)</f>
        <v>0.13732601941044267</v>
      </c>
      <c r="K8" s="442">
        <f>VLOOKUP($C8,DSS_Calc!$A:$KL,DSS_Calc!IG$92,FALSE)</f>
        <v>0.67424281513694351</v>
      </c>
      <c r="M8" s="632">
        <f t="shared" si="0"/>
        <v>0.40354929163975228</v>
      </c>
      <c r="N8" s="447">
        <f t="shared" si="1"/>
        <v>0.42155944915895716</v>
      </c>
      <c r="O8" s="635">
        <f t="shared" si="2"/>
        <v>4.0035909094542612</v>
      </c>
      <c r="P8" s="448">
        <f t="shared" si="3"/>
        <v>0.67424281513694351</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1600</v>
      </c>
      <c r="E9" s="438">
        <f>VLOOKUP($C9,DSS_Calc!$A:$KL,DSS_Calc!JB$92,FALSE)</f>
        <v>3003.5492916397525</v>
      </c>
      <c r="F9" s="439">
        <f>VLOOKUP($C9,DSS_Calc!$A:$KL,DSS_Calc!JC$92,FALSE)</f>
        <v>6273.7109265464023</v>
      </c>
      <c r="G9" s="435">
        <v>0</v>
      </c>
      <c r="H9" s="436"/>
      <c r="I9" s="440">
        <f>VLOOKUP($C9,DSS_Calc!$A:$KL,DSS_Calc!IE$92,FALSE)</f>
        <v>0.15544858721188964</v>
      </c>
      <c r="J9" s="441">
        <f>VLOOKUP($C9,DSS_Calc!$A:$KL,DSS_Calc!IF$92,FALSE)</f>
        <v>0.15727017006543445</v>
      </c>
      <c r="K9" s="442">
        <f>VLOOKUP($C9,DSS_Calc!$A:$KL,DSS_Calc!IG$92,FALSE)</f>
        <v>0.68728124272267588</v>
      </c>
      <c r="M9" s="632">
        <f t="shared" si="0"/>
        <v>1.4035492916397523</v>
      </c>
      <c r="N9" s="447">
        <f t="shared" si="1"/>
        <v>0.50291249375222058</v>
      </c>
      <c r="O9" s="635">
        <f t="shared" si="2"/>
        <v>3.9678484521836923</v>
      </c>
      <c r="P9" s="448">
        <f t="shared" si="3"/>
        <v>0.68728124272267588</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1600</v>
      </c>
      <c r="E10" s="438">
        <f>VLOOKUP($C10,DSS_Calc!$A:$KL,DSS_Calc!JB$92,FALSE)</f>
        <v>2503.5492916397525</v>
      </c>
      <c r="F10" s="439">
        <f>VLOOKUP($C10,DSS_Calc!$A:$KL,DSS_Calc!JC$92,FALSE)</f>
        <v>6773.7109265464023</v>
      </c>
      <c r="G10" s="435">
        <v>0</v>
      </c>
      <c r="H10" s="436"/>
      <c r="I10" s="440">
        <f>VLOOKUP($C10,DSS_Calc!$A:$KL,DSS_Calc!IE$92,FALSE)</f>
        <v>0.1270512415413895</v>
      </c>
      <c r="J10" s="441">
        <f>VLOOKUP($C10,DSS_Calc!$A:$KL,DSS_Calc!IF$92,FALSE)</f>
        <v>0.13014439686980339</v>
      </c>
      <c r="K10" s="442">
        <f>VLOOKUP($C10,DSS_Calc!$A:$KL,DSS_Calc!IG$92,FALSE)</f>
        <v>0.74280436158880714</v>
      </c>
      <c r="M10" s="632">
        <f t="shared" si="0"/>
        <v>0.90354929163975228</v>
      </c>
      <c r="N10" s="447">
        <f t="shared" si="1"/>
        <v>0.50601323441470791</v>
      </c>
      <c r="O10" s="635">
        <f t="shared" si="2"/>
        <v>4.7165030270306527</v>
      </c>
      <c r="P10" s="448">
        <f t="shared" si="3"/>
        <v>0.74280436158880714</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2100</v>
      </c>
      <c r="E11" s="438">
        <f>VLOOKUP($C11,DSS_Calc!$A:$KL,DSS_Calc!JB$92,FALSE)</f>
        <v>3003.5492916397529</v>
      </c>
      <c r="F11" s="439">
        <f>VLOOKUP($C11,DSS_Calc!$A:$KL,DSS_Calc!JC$92,FALSE)</f>
        <v>6773.7109265464023</v>
      </c>
      <c r="G11" s="435">
        <v>0</v>
      </c>
      <c r="H11" s="436"/>
      <c r="I11" s="440">
        <f>VLOOKUP($C11,DSS_Calc!$A:$KL,DSS_Calc!IE$92,FALSE)</f>
        <v>0.15069737565967442</v>
      </c>
      <c r="J11" s="441">
        <f>VLOOKUP($C11,DSS_Calc!$A:$KL,DSS_Calc!IF$92,FALSE)</f>
        <v>0.13805079462425995</v>
      </c>
      <c r="K11" s="442">
        <f>VLOOKUP($C11,DSS_Calc!$A:$KL,DSS_Calc!IG$92,FALSE)</f>
        <v>0.7112518297160656</v>
      </c>
      <c r="M11" s="632">
        <f t="shared" si="0"/>
        <v>0.90354929163975273</v>
      </c>
      <c r="N11" s="447">
        <f t="shared" si="1"/>
        <v>0.47810101961342516</v>
      </c>
      <c r="O11" s="635">
        <f t="shared" si="2"/>
        <v>4.2417230889424484</v>
      </c>
      <c r="P11" s="448">
        <f t="shared" si="3"/>
        <v>0.7112518297160656</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1600</v>
      </c>
      <c r="E12" s="438">
        <f>VLOOKUP($C12,DSS_Calc!$A:$KL,DSS_Calc!JB$92,FALSE)</f>
        <v>2503.5492916397525</v>
      </c>
      <c r="F12" s="439">
        <f>VLOOKUP($C12,DSS_Calc!$A:$KL,DSS_Calc!JC$92,FALSE)</f>
        <v>6273.7109265464023</v>
      </c>
      <c r="G12" s="435">
        <v>0</v>
      </c>
      <c r="H12" s="436"/>
      <c r="I12" s="440">
        <f>VLOOKUP($C12,DSS_Calc!$A:$KL,DSS_Calc!IE$92,FALSE)</f>
        <v>0.15848670756646216</v>
      </c>
      <c r="J12" s="441">
        <f>VLOOKUP($C12,DSS_Calc!$A:$KL,DSS_Calc!IF$92,FALSE)</f>
        <v>0.14314928425357873</v>
      </c>
      <c r="K12" s="442">
        <f>VLOOKUP($C12,DSS_Calc!$A:$KL,DSS_Calc!IG$92,FALSE)</f>
        <v>0.69836400817995914</v>
      </c>
      <c r="M12" s="632">
        <f t="shared" si="0"/>
        <v>0.90354929163975228</v>
      </c>
      <c r="N12" s="447">
        <f t="shared" si="1"/>
        <v>0.47457627118644075</v>
      </c>
      <c r="O12" s="635">
        <f t="shared" si="2"/>
        <v>4.2449078728868592</v>
      </c>
      <c r="P12" s="448">
        <f t="shared" si="3"/>
        <v>0.69836400817995914</v>
      </c>
      <c r="Q12" s="445"/>
      <c r="S12" s="484" t="s">
        <v>721</v>
      </c>
      <c r="T12" s="56" t="s" vm="27">
        <v>953</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1999.9999999999998</v>
      </c>
      <c r="E13" s="438">
        <f>VLOOKUP($C13,DSS_Calc!$A:$KL,DSS_Calc!JB$92,FALSE)</f>
        <v>2903.549291639752</v>
      </c>
      <c r="F13" s="439">
        <f>VLOOKUP($C13,DSS_Calc!$A:$KL,DSS_Calc!JC$92,FALSE)</f>
        <v>6598.7109265464014</v>
      </c>
      <c r="G13" s="435">
        <v>0</v>
      </c>
      <c r="H13" s="436"/>
      <c r="I13" s="440">
        <f>VLOOKUP($C13,DSS_Calc!$A:$KL,DSS_Calc!IE$92,FALSE)</f>
        <v>0.1572391033170549</v>
      </c>
      <c r="J13" s="441">
        <f>VLOOKUP($C13,DSS_Calc!$A:$KL,DSS_Calc!IF$92,FALSE)</f>
        <v>0.14103844312066949</v>
      </c>
      <c r="K13" s="442">
        <f>VLOOKUP($C13,DSS_Calc!$A:$KL,DSS_Calc!IG$92,FALSE)</f>
        <v>0.70172245356227558</v>
      </c>
      <c r="M13" s="632">
        <f t="shared" si="0"/>
        <v>0.90354929163975206</v>
      </c>
      <c r="N13" s="447">
        <f t="shared" si="1"/>
        <v>0.47284297730441488</v>
      </c>
      <c r="O13" s="635">
        <f t="shared" si="2"/>
        <v>4.1714739893461665</v>
      </c>
      <c r="P13" s="448">
        <f t="shared" si="3"/>
        <v>0.70172245356227558</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2250</v>
      </c>
      <c r="E14" s="438">
        <f>VLOOKUP($C14,DSS_Calc!$A:$KL,DSS_Calc!JB$92,FALSE)</f>
        <v>2903.5492916397525</v>
      </c>
      <c r="F14" s="439">
        <f>VLOOKUP($C14,DSS_Calc!$A:$KL,DSS_Calc!JC$92,FALSE)</f>
        <v>6598.7109265464014</v>
      </c>
      <c r="G14" s="435">
        <v>0</v>
      </c>
      <c r="H14" s="436"/>
      <c r="I14" s="440">
        <f>VLOOKUP($C14,DSS_Calc!$A:$KL,DSS_Calc!IE$92,FALSE)</f>
        <v>0.17151461518690828</v>
      </c>
      <c r="J14" s="441">
        <f>VLOOKUP($C14,DSS_Calc!$A:$KL,DSS_Calc!IF$92,FALSE)</f>
        <v>0.13832513539751454</v>
      </c>
      <c r="K14" s="442">
        <f>VLOOKUP($C14,DSS_Calc!$A:$KL,DSS_Calc!IG$92,FALSE)</f>
        <v>0.6901602494155773</v>
      </c>
      <c r="M14" s="632">
        <f t="shared" si="0"/>
        <v>0.65354929163975228</v>
      </c>
      <c r="N14" s="447">
        <f t="shared" si="1"/>
        <v>0.44644089448369456</v>
      </c>
      <c r="O14" s="635">
        <f t="shared" si="2"/>
        <v>4.0569397961975646</v>
      </c>
      <c r="P14" s="448">
        <f t="shared" si="3"/>
        <v>0.6901602494155773</v>
      </c>
      <c r="Q14" s="445"/>
      <c r="S14" s="484" t="s">
        <v>4</v>
      </c>
      <c r="T14" s="56" t="s" vm="26">
        <v>962</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2500.0000000000005</v>
      </c>
      <c r="E15" s="438">
        <f>VLOOKUP($C15,DSS_Calc!$A:$KL,DSS_Calc!JB$92,FALSE)</f>
        <v>2903.5492916397525</v>
      </c>
      <c r="F15" s="439">
        <f>VLOOKUP($C15,DSS_Calc!$A:$KL,DSS_Calc!JC$92,FALSE)</f>
        <v>6598.7109265464014</v>
      </c>
      <c r="G15" s="435">
        <v>0</v>
      </c>
      <c r="H15" s="436"/>
      <c r="I15" s="440">
        <f>VLOOKUP($C15,DSS_Calc!$A:$KL,DSS_Calc!IE$92,FALSE)</f>
        <v>0.18636925933749426</v>
      </c>
      <c r="J15" s="441">
        <f>VLOOKUP($C15,DSS_Calc!$A:$KL,DSS_Calc!IF$92,FALSE)</f>
        <v>0.13557734003347346</v>
      </c>
      <c r="K15" s="442">
        <f>VLOOKUP($C15,DSS_Calc!$A:$KL,DSS_Calc!IG$92,FALSE)</f>
        <v>0.6780534006290323</v>
      </c>
      <c r="M15" s="632">
        <f t="shared" si="0"/>
        <v>0.40354929163975184</v>
      </c>
      <c r="N15" s="447">
        <f t="shared" si="1"/>
        <v>0.42111747817299505</v>
      </c>
      <c r="O15" s="635">
        <f t="shared" si="2"/>
        <v>3.9287692665325697</v>
      </c>
      <c r="P15" s="448">
        <f t="shared" si="3"/>
        <v>0.6780534006290323</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2750</v>
      </c>
      <c r="E16" s="438">
        <f>VLOOKUP($C16,DSS_Calc!$A:$KL,DSS_Calc!JB$92,FALSE)</f>
        <v>2903.5492916397525</v>
      </c>
      <c r="F16" s="439">
        <f>VLOOKUP($C16,DSS_Calc!$A:$KL,DSS_Calc!JC$92,FALSE)</f>
        <v>6598.7109265464014</v>
      </c>
      <c r="G16" s="435">
        <v>0</v>
      </c>
      <c r="H16" s="436"/>
      <c r="I16" s="440">
        <f>VLOOKUP($C16,DSS_Calc!$A:$KL,DSS_Calc!IE$92,FALSE)</f>
        <v>0.20179261325514311</v>
      </c>
      <c r="J16" s="441">
        <f>VLOOKUP($C16,DSS_Calc!$A:$KL,DSS_Calc!IF$92,FALSE)</f>
        <v>0.13279627163446153</v>
      </c>
      <c r="K16" s="442">
        <f>VLOOKUP($C16,DSS_Calc!$A:$KL,DSS_Calc!IG$92,FALSE)</f>
        <v>0.6654111151103953</v>
      </c>
      <c r="M16" s="632">
        <f t="shared" si="0"/>
        <v>0.15354929163975228</v>
      </c>
      <c r="N16" s="447">
        <f t="shared" si="1"/>
        <v>0.39689385281963796</v>
      </c>
      <c r="O16" s="635">
        <f t="shared" si="2"/>
        <v>3.7877681565897734</v>
      </c>
      <c r="P16" s="448">
        <f t="shared" si="3"/>
        <v>0.6654111151103953</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2999.9999999999995</v>
      </c>
      <c r="E17" s="438">
        <f>VLOOKUP($C17,DSS_Calc!$A:$KL,DSS_Calc!JB$92,FALSE)</f>
        <v>2903.5492916397516</v>
      </c>
      <c r="F17" s="439">
        <f>VLOOKUP($C17,DSS_Calc!$A:$KL,DSS_Calc!JC$92,FALSE)</f>
        <v>6598.7109265464014</v>
      </c>
      <c r="G17" s="435">
        <v>0</v>
      </c>
      <c r="H17" s="436"/>
      <c r="I17" s="440">
        <f>VLOOKUP($C17,DSS_Calc!$A:$KL,DSS_Calc!IE$92,FALSE)</f>
        <v>0.21777000781412975</v>
      </c>
      <c r="J17" s="441">
        <f>VLOOKUP($C17,DSS_Calc!$A:$KL,DSS_Calc!IF$92,FALSE)</f>
        <v>0.12998344075274998</v>
      </c>
      <c r="K17" s="442">
        <f>VLOOKUP($C17,DSS_Calc!$A:$KL,DSS_Calc!IG$92,FALSE)</f>
        <v>0.65224655143312027</v>
      </c>
      <c r="M17" s="632">
        <f t="shared" si="0"/>
        <v>-9.6450708360248161E-2</v>
      </c>
      <c r="N17" s="447">
        <f t="shared" si="1"/>
        <v>0.3737804507429684</v>
      </c>
      <c r="O17" s="635">
        <f t="shared" si="2"/>
        <v>3.6347623157917734</v>
      </c>
      <c r="P17" s="448">
        <f t="shared" si="3"/>
        <v>0.65224655143312027</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2000.0000000000002</v>
      </c>
      <c r="E18" s="438">
        <f>VLOOKUP($C18,DSS_Calc!$A:$KL,DSS_Calc!JB$92,FALSE)</f>
        <v>3235.2568656145409</v>
      </c>
      <c r="F18" s="439">
        <f>VLOOKUP($C18,DSS_Calc!$A:$KL,DSS_Calc!JC$92,FALSE)</f>
        <v>6598.7109265464014</v>
      </c>
      <c r="G18" s="435">
        <v>0</v>
      </c>
      <c r="H18" s="436"/>
      <c r="I18" s="440">
        <f>VLOOKUP($C18,DSS_Calc!$A:$KL,DSS_Calc!IE$92,FALSE)</f>
        <v>0.15477631859961941</v>
      </c>
      <c r="J18" s="441">
        <f>VLOOKUP($C18,DSS_Calc!$A:$KL,DSS_Calc!IF$92,FALSE)</f>
        <v>0.15304076649661963</v>
      </c>
      <c r="K18" s="442">
        <f>VLOOKUP($C18,DSS_Calc!$A:$KL,DSS_Calc!IG$92,FALSE)</f>
        <v>0.69218291490376105</v>
      </c>
      <c r="M18" s="632">
        <f t="shared" si="0"/>
        <v>1.2352568656145406</v>
      </c>
      <c r="N18" s="447">
        <f t="shared" si="1"/>
        <v>0.49718087106429265</v>
      </c>
      <c r="O18" s="635">
        <f t="shared" si="2"/>
        <v>3.9845648421120154</v>
      </c>
      <c r="P18" s="448">
        <f t="shared" si="3"/>
        <v>0.69218291490376105</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2000</v>
      </c>
      <c r="E19" s="438">
        <f>VLOOKUP($C19,DSS_Calc!$A:$KL,DSS_Calc!JB$92,FALSE)</f>
        <v>3597.2986957288549</v>
      </c>
      <c r="F19" s="439">
        <f>VLOOKUP($C19,DSS_Calc!$A:$KL,DSS_Calc!JC$92,FALSE)</f>
        <v>6598.7109265464014</v>
      </c>
      <c r="G19" s="435"/>
      <c r="H19" s="436"/>
      <c r="I19" s="440">
        <f>VLOOKUP($C19,DSS_Calc!$A:$KL,DSS_Calc!IE$92,FALSE)</f>
        <v>0.15181711608527743</v>
      </c>
      <c r="J19" s="441">
        <f>VLOOKUP($C19,DSS_Calc!$A:$KL,DSS_Calc!IF$92,FALSE)</f>
        <v>0.16717772370495793</v>
      </c>
      <c r="K19" s="442">
        <f>VLOOKUP($C19,DSS_Calc!$A:$KL,DSS_Calc!IG$92,FALSE)</f>
        <v>0.68100516020976465</v>
      </c>
      <c r="M19" s="632">
        <f t="shared" si="0"/>
        <v>1.5972986957288549</v>
      </c>
      <c r="N19" s="447">
        <f t="shared" si="1"/>
        <v>0.52407657695933474</v>
      </c>
      <c r="O19" s="635">
        <f t="shared" si="2"/>
        <v>3.7616040937072128</v>
      </c>
      <c r="P19" s="448">
        <f t="shared" si="3"/>
        <v>0.68100516020976465</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1999.9999999999998</v>
      </c>
      <c r="E20" s="438">
        <f>VLOOKUP($C20,DSS_Calc!$A:$KL,DSS_Calc!JB$92,FALSE)</f>
        <v>3403.5492916397529</v>
      </c>
      <c r="F20" s="439">
        <f>VLOOKUP($C20,DSS_Calc!$A:$KL,DSS_Calc!JC$92,FALSE)</f>
        <v>6598.7109265464014</v>
      </c>
      <c r="G20" s="435"/>
      <c r="H20" s="436"/>
      <c r="I20" s="440">
        <f>VLOOKUP($C20,DSS_Calc!$A:$KL,DSS_Calc!IE$92,FALSE)</f>
        <v>0.15441612457464846</v>
      </c>
      <c r="J20" s="441">
        <f>VLOOKUP($C20,DSS_Calc!$A:$KL,DSS_Calc!IF$92,FALSE)</f>
        <v>0.15423243367030259</v>
      </c>
      <c r="K20" s="442">
        <f>VLOOKUP($C20,DSS_Calc!$A:$KL,DSS_Calc!IG$92,FALSE)</f>
        <v>0.69135144175504892</v>
      </c>
      <c r="M20" s="632">
        <f t="shared" si="0"/>
        <v>1.4035492916397529</v>
      </c>
      <c r="N20" s="447">
        <f t="shared" si="1"/>
        <v>0.49970242708180723</v>
      </c>
      <c r="O20" s="635">
        <f t="shared" si="2"/>
        <v>3.8973539389850655</v>
      </c>
      <c r="P20" s="448">
        <f t="shared" si="3"/>
        <v>0.69135144175504892</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1999.9999999999998</v>
      </c>
      <c r="E21" s="438">
        <f>VLOOKUP($C21,DSS_Calc!$A:$KL,DSS_Calc!JB$92,FALSE)</f>
        <v>2903.5492916397525</v>
      </c>
      <c r="F21" s="439">
        <f>VLOOKUP($C21,DSS_Calc!$A:$KL,DSS_Calc!JC$92,FALSE)</f>
        <v>6238.7109265464014</v>
      </c>
      <c r="G21" s="435"/>
      <c r="H21" s="436"/>
      <c r="I21" s="440">
        <f>VLOOKUP($C21,DSS_Calc!$A:$KL,DSS_Calc!IE$92,FALSE)</f>
        <v>0.18205723985825611</v>
      </c>
      <c r="J21" s="441">
        <f>VLOOKUP($C21,DSS_Calc!$A:$KL,DSS_Calc!IF$92,FALSE)</f>
        <v>0.15064196882126302</v>
      </c>
      <c r="K21" s="442">
        <f>VLOOKUP($C21,DSS_Calc!$A:$KL,DSS_Calc!IG$92,FALSE)</f>
        <v>0.66730079132048081</v>
      </c>
      <c r="M21" s="632">
        <f t="shared" si="0"/>
        <v>0.90354929163975251</v>
      </c>
      <c r="N21" s="447">
        <f t="shared" si="1"/>
        <v>0.45278727718998779</v>
      </c>
      <c r="O21" s="635">
        <f t="shared" si="2"/>
        <v>3.829595302977896</v>
      </c>
      <c r="P21" s="448">
        <f t="shared" si="3"/>
        <v>0.66730079132048081</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2000</v>
      </c>
      <c r="E22" s="438">
        <f>VLOOKUP($C22,DSS_Calc!$A:$KL,DSS_Calc!JB$92,FALSE)</f>
        <v>2903.5492916397525</v>
      </c>
      <c r="F22" s="439">
        <f>VLOOKUP($C22,DSS_Calc!$A:$KL,DSS_Calc!JC$92,FALSE)</f>
        <v>6958.7109265464014</v>
      </c>
      <c r="G22" s="435"/>
      <c r="H22" s="436"/>
      <c r="I22" s="440">
        <f>VLOOKUP($C22,DSS_Calc!$A:$KL,DSS_Calc!IE$92,FALSE)</f>
        <v>0.13425210966659953</v>
      </c>
      <c r="J22" s="441">
        <f>VLOOKUP($C22,DSS_Calc!$A:$KL,DSS_Calc!IF$92,FALSE)</f>
        <v>0.13181610494291951</v>
      </c>
      <c r="K22" s="442">
        <f>VLOOKUP($C22,DSS_Calc!$A:$KL,DSS_Calc!IG$92,FALSE)</f>
        <v>0.73393178539048098</v>
      </c>
      <c r="M22" s="632">
        <f t="shared" si="0"/>
        <v>0.90354929163975228</v>
      </c>
      <c r="N22" s="447">
        <f t="shared" si="1"/>
        <v>0.49542221770598366</v>
      </c>
      <c r="O22" s="635">
        <f t="shared" si="2"/>
        <v>4.5110725326755645</v>
      </c>
      <c r="P22" s="448">
        <f t="shared" si="3"/>
        <v>0.73393178539048098</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2000</v>
      </c>
      <c r="E23" s="438">
        <f>VLOOKUP($C23,DSS_Calc!$A:$KL,DSS_Calc!JB$92,FALSE)</f>
        <v>2903.5492916397529</v>
      </c>
      <c r="F23" s="439">
        <f>VLOOKUP($C23,DSS_Calc!$A:$KL,DSS_Calc!JC$92,FALSE)</f>
        <v>7318.7109265464014</v>
      </c>
      <c r="G23" s="435"/>
      <c r="H23" s="436"/>
      <c r="I23" s="440">
        <f>VLOOKUP($C23,DSS_Calc!$A:$KL,DSS_Calc!IE$92,FALSE)</f>
        <v>0.11310262580769648</v>
      </c>
      <c r="J23" s="441">
        <f>VLOOKUP($C23,DSS_Calc!$A:$KL,DSS_Calc!IF$92,FALSE)</f>
        <v>0.1229604033238996</v>
      </c>
      <c r="K23" s="442">
        <f>VLOOKUP($C23,DSS_Calc!$A:$KL,DSS_Calc!IG$92,FALSE)</f>
        <v>0.76393697086840395</v>
      </c>
      <c r="M23" s="632">
        <f t="shared" si="0"/>
        <v>0.90354929163975273</v>
      </c>
      <c r="N23" s="447">
        <f t="shared" si="1"/>
        <v>0.52087954550203575</v>
      </c>
      <c r="O23" s="635">
        <f t="shared" si="2"/>
        <v>4.8480705821784005</v>
      </c>
      <c r="P23" s="448">
        <f t="shared" si="3"/>
        <v>0.76393697086840395</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1649.9999999999998</v>
      </c>
      <c r="E24" s="438">
        <f>VLOOKUP($C24,DSS_Calc!$A:$KL,DSS_Calc!JB$92,FALSE)</f>
        <v>2553.5492916397525</v>
      </c>
      <c r="F24" s="439">
        <f>VLOOKUP($C24,DSS_Calc!$A:$KL,DSS_Calc!JC$92,FALSE)</f>
        <v>6423.7109265464014</v>
      </c>
      <c r="G24" s="435"/>
      <c r="H24" s="436"/>
      <c r="I24" s="440">
        <f>VLOOKUP($C24,DSS_Calc!$A:$KL,DSS_Calc!IE$92,FALSE)</f>
        <v>0.15116584827741619</v>
      </c>
      <c r="J24" s="441">
        <f>VLOOKUP($C24,DSS_Calc!$A:$KL,DSS_Calc!IF$92,FALSE)</f>
        <v>0.13999220984507338</v>
      </c>
      <c r="K24" s="442">
        <f>VLOOKUP($C24,DSS_Calc!$A:$KL,DSS_Calc!IG$92,FALSE)</f>
        <v>0.70884194187751048</v>
      </c>
      <c r="M24" s="632">
        <f t="shared" si="0"/>
        <v>0.90354929163975295</v>
      </c>
      <c r="N24" s="447">
        <f t="shared" si="1"/>
        <v>0.48081173074103606</v>
      </c>
      <c r="O24" s="635">
        <f t="shared" si="2"/>
        <v>4.3392738278232548</v>
      </c>
      <c r="P24" s="448">
        <f t="shared" si="3"/>
        <v>0.70884194187751048</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2000.0000000000002</v>
      </c>
      <c r="E25" s="438">
        <f>VLOOKUP($C25,DSS_Calc!$A:$KL,DSS_Calc!JB$92,FALSE)</f>
        <v>2507.2977084841341</v>
      </c>
      <c r="F25" s="439">
        <f>VLOOKUP($C25,DSS_Calc!$A:$KL,DSS_Calc!JC$92,FALSE)</f>
        <v>6598.7109265464014</v>
      </c>
      <c r="G25" s="435"/>
      <c r="H25" s="436"/>
      <c r="I25" s="440">
        <f>VLOOKUP($C25,DSS_Calc!$A:$KL,DSS_Calc!IE$92,FALSE)</f>
        <v>0.15982172556490848</v>
      </c>
      <c r="J25" s="441">
        <f>VLOOKUP($C25,DSS_Calc!$A:$KL,DSS_Calc!IF$92,FALSE)</f>
        <v>0.12797630060798737</v>
      </c>
      <c r="K25" s="442">
        <f>VLOOKUP($C25,DSS_Calc!$A:$KL,DSS_Calc!IG$92,FALSE)</f>
        <v>0.71220197382710426</v>
      </c>
      <c r="M25" s="632">
        <f t="shared" si="0"/>
        <v>0.50729770848413347</v>
      </c>
      <c r="N25" s="447">
        <f t="shared" si="1"/>
        <v>0.44467400388321315</v>
      </c>
      <c r="O25" s="635">
        <f t="shared" si="2"/>
        <v>4.3731288233539818</v>
      </c>
      <c r="P25" s="448">
        <f t="shared" si="3"/>
        <v>0.71220197382710426</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2000.0000000000002</v>
      </c>
      <c r="E26" s="438">
        <f>VLOOKUP($C26,DSS_Calc!$A:$KL,DSS_Calc!JB$92,FALSE)</f>
        <v>3235.2568656145409</v>
      </c>
      <c r="F26" s="439">
        <f>VLOOKUP($C26,DSS_Calc!$A:$KL,DSS_Calc!JC$92,FALSE)</f>
        <v>6598.7109265464014</v>
      </c>
      <c r="G26" s="435"/>
      <c r="H26" s="436"/>
      <c r="I26" s="440">
        <f>VLOOKUP($C26,DSS_Calc!$A:$KL,DSS_Calc!IE$92,FALSE)</f>
        <v>0.15477631859961941</v>
      </c>
      <c r="J26" s="441">
        <f>VLOOKUP($C26,DSS_Calc!$A:$KL,DSS_Calc!IF$92,FALSE)</f>
        <v>0.15304076649661963</v>
      </c>
      <c r="K26" s="442">
        <f>VLOOKUP($C26,DSS_Calc!$A:$KL,DSS_Calc!IG$92,FALSE)</f>
        <v>0.69218291490376105</v>
      </c>
      <c r="M26" s="632">
        <f t="shared" si="0"/>
        <v>1.2352568656145406</v>
      </c>
      <c r="N26" s="447">
        <f t="shared" si="1"/>
        <v>0.49718087106429265</v>
      </c>
      <c r="O26" s="635">
        <f t="shared" si="2"/>
        <v>3.9845648421120154</v>
      </c>
      <c r="P26" s="448">
        <f t="shared" si="3"/>
        <v>0.69218291490376105</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2000</v>
      </c>
      <c r="E27" s="438">
        <f>VLOOKUP($C27,DSS_Calc!$A:$KL,DSS_Calc!JB$92,FALSE)</f>
        <v>2673.4578339160535</v>
      </c>
      <c r="F27" s="439">
        <f>VLOOKUP($C27,DSS_Calc!$A:$KL,DSS_Calc!JC$92,FALSE)</f>
        <v>6598.7109265464014</v>
      </c>
      <c r="G27" s="435"/>
      <c r="H27" s="436"/>
      <c r="I27" s="440">
        <f>VLOOKUP($C27,DSS_Calc!$A:$KL,DSS_Calc!IE$92,FALSE)</f>
        <v>0.15885990172024056</v>
      </c>
      <c r="J27" s="441">
        <f>VLOOKUP($C27,DSS_Calc!$A:$KL,DSS_Calc!IF$92,FALSE)</f>
        <v>0.13280040719640768</v>
      </c>
      <c r="K27" s="442">
        <f>VLOOKUP($C27,DSS_Calc!$A:$KL,DSS_Calc!IG$92,FALSE)</f>
        <v>0.70833969108335182</v>
      </c>
      <c r="M27" s="632">
        <f t="shared" si="0"/>
        <v>0.67345783391605352</v>
      </c>
      <c r="N27" s="447">
        <f t="shared" si="1"/>
        <v>0.45532560700386515</v>
      </c>
      <c r="O27" s="635">
        <f t="shared" si="2"/>
        <v>4.2920683295270656</v>
      </c>
      <c r="P27" s="448">
        <f t="shared" si="3"/>
        <v>0.70833969108335182</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2000.0000000000002</v>
      </c>
      <c r="E28" s="438">
        <f>VLOOKUP($C28,DSS_Calc!$A:$KL,DSS_Calc!JB$92,FALSE)</f>
        <v>3235.2568656145409</v>
      </c>
      <c r="F28" s="439">
        <f>VLOOKUP($C28,DSS_Calc!$A:$KL,DSS_Calc!JC$92,FALSE)</f>
        <v>6598.7109265464014</v>
      </c>
      <c r="G28" s="435"/>
      <c r="H28" s="436"/>
      <c r="I28" s="440">
        <f>VLOOKUP($C28,DSS_Calc!$A:$KL,DSS_Calc!IE$92,FALSE)</f>
        <v>0.15477631859961941</v>
      </c>
      <c r="J28" s="441">
        <f>VLOOKUP($C28,DSS_Calc!$A:$KL,DSS_Calc!IF$92,FALSE)</f>
        <v>0.15304076649661963</v>
      </c>
      <c r="K28" s="442">
        <f>VLOOKUP($C28,DSS_Calc!$A:$KL,DSS_Calc!IG$92,FALSE)</f>
        <v>0.69218291490376105</v>
      </c>
      <c r="M28" s="632">
        <f t="shared" si="0"/>
        <v>1.2352568656145406</v>
      </c>
      <c r="N28" s="447">
        <f t="shared" si="1"/>
        <v>0.49718087106429265</v>
      </c>
      <c r="O28" s="635">
        <f t="shared" si="2"/>
        <v>3.9845648421120154</v>
      </c>
      <c r="P28" s="448">
        <f t="shared" si="3"/>
        <v>0.69218291490376105</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2000</v>
      </c>
      <c r="E29" s="438">
        <f>VLOOKUP($C29,DSS_Calc!$A:$KL,DSS_Calc!JB$92,FALSE)</f>
        <v>3597.2986957288549</v>
      </c>
      <c r="F29" s="439">
        <f>VLOOKUP($C29,DSS_Calc!$A:$KL,DSS_Calc!JC$92,FALSE)</f>
        <v>6598.7109265464014</v>
      </c>
      <c r="G29" s="435"/>
      <c r="H29" s="436"/>
      <c r="I29" s="440">
        <f>VLOOKUP($C29,DSS_Calc!$A:$KL,DSS_Calc!IE$92,FALSE)</f>
        <v>0.15181711608527743</v>
      </c>
      <c r="J29" s="441">
        <f>VLOOKUP($C29,DSS_Calc!$A:$KL,DSS_Calc!IF$92,FALSE)</f>
        <v>0.16717772370495793</v>
      </c>
      <c r="K29" s="442">
        <f>VLOOKUP($C29,DSS_Calc!$A:$KL,DSS_Calc!IG$92,FALSE)</f>
        <v>0.68100516020976465</v>
      </c>
      <c r="M29" s="632">
        <f t="shared" si="0"/>
        <v>1.5972986957288549</v>
      </c>
      <c r="N29" s="447">
        <f t="shared" si="1"/>
        <v>0.52407657695933474</v>
      </c>
      <c r="O29" s="635">
        <f t="shared" si="2"/>
        <v>3.7616040937072128</v>
      </c>
      <c r="P29" s="448">
        <f t="shared" si="3"/>
        <v>0.68100516020976465</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2000</v>
      </c>
      <c r="E30" s="438">
        <f>VLOOKUP($C30,DSS_Calc!$A:$KL,DSS_Calc!JB$92,FALSE)</f>
        <v>2488.9462095652079</v>
      </c>
      <c r="F30" s="439">
        <f>VLOOKUP($C30,DSS_Calc!$A:$KL,DSS_Calc!JC$92,FALSE)</f>
        <v>6598.7109265464014</v>
      </c>
      <c r="G30" s="435"/>
      <c r="H30" s="436"/>
      <c r="I30" s="440">
        <f>VLOOKUP($C30,DSS_Calc!$A:$KL,DSS_Calc!IE$92,FALSE)</f>
        <v>0.15993035250130222</v>
      </c>
      <c r="J30" s="441">
        <f>VLOOKUP($C30,DSS_Calc!$A:$KL,DSS_Calc!IF$92,FALSE)</f>
        <v>0.12739999865888438</v>
      </c>
      <c r="K30" s="442">
        <f>VLOOKUP($C30,DSS_Calc!$A:$KL,DSS_Calc!IG$92,FALSE)</f>
        <v>0.71266964883981343</v>
      </c>
      <c r="M30" s="632">
        <f t="shared" si="0"/>
        <v>0.48894620956520773</v>
      </c>
      <c r="N30" s="447">
        <f t="shared" si="1"/>
        <v>0.44339206820465316</v>
      </c>
      <c r="O30" s="635">
        <f t="shared" si="2"/>
        <v>4.3819160554464585</v>
      </c>
      <c r="P30" s="448">
        <f t="shared" si="3"/>
        <v>0.71266964883981343</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826</v>
      </c>
      <c r="AQ30" s="433" t="s">
        <v>586</v>
      </c>
      <c r="AR30" s="434" t="s">
        <v>825</v>
      </c>
    </row>
    <row r="31" spans="3:44">
      <c r="C31" s="446">
        <f t="shared" si="4"/>
        <v>1026</v>
      </c>
      <c r="D31" s="437">
        <f>VLOOKUP($C31,DSS_Calc!$A:$KL,DSS_Calc!JA$92,FALSE)</f>
        <v>1999.9999999999998</v>
      </c>
      <c r="E31" s="438">
        <f>VLOOKUP($C31,DSS_Calc!$A:$KL,DSS_Calc!JB$92,FALSE)</f>
        <v>2083.25201306289</v>
      </c>
      <c r="F31" s="439">
        <f>VLOOKUP($C31,DSS_Calc!$A:$KL,DSS_Calc!JC$92,FALSE)</f>
        <v>6598.7109265464014</v>
      </c>
      <c r="G31" s="435"/>
      <c r="H31" s="436"/>
      <c r="I31" s="440">
        <f>VLOOKUP($C31,DSS_Calc!$A:$KL,DSS_Calc!IE$92,FALSE)</f>
        <v>0.16230504173165741</v>
      </c>
      <c r="J31" s="441">
        <f>VLOOKUP($C31,DSS_Calc!$A:$KL,DSS_Calc!IF$92,FALSE)</f>
        <v>0.1147872842524031</v>
      </c>
      <c r="K31" s="442">
        <f>VLOOKUP($C31,DSS_Calc!$A:$KL,DSS_Calc!IG$92,FALSE)</f>
        <v>0.72290767401593947</v>
      </c>
      <c r="M31" s="632">
        <f t="shared" si="0"/>
        <v>8.3252013062890429E-2</v>
      </c>
      <c r="N31" s="447">
        <f t="shared" si="1"/>
        <v>0.41425645349343282</v>
      </c>
      <c r="O31" s="635">
        <f t="shared" si="2"/>
        <v>4.5642232428687795</v>
      </c>
      <c r="P31" s="448">
        <f t="shared" si="3"/>
        <v>0.72290767401593947</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2000</v>
      </c>
      <c r="E32" s="438">
        <f>VLOOKUP($C32,DSS_Calc!$A:$KL,DSS_Calc!JB$92,FALSE)</f>
        <v>3653.5492916397529</v>
      </c>
      <c r="F32" s="439">
        <f>VLOOKUP($C32,DSS_Calc!$A:$KL,DSS_Calc!JC$92,FALSE)</f>
        <v>6598.7109265464014</v>
      </c>
      <c r="G32" s="435"/>
      <c r="H32" s="436"/>
      <c r="I32" s="440">
        <f>VLOOKUP($C32,DSS_Calc!$A:$KL,DSS_Calc!IE$92,FALSE)</f>
        <v>0.1529971995208767</v>
      </c>
      <c r="J32" s="441">
        <f>VLOOKUP($C32,DSS_Calc!$A:$KL,DSS_Calc!IF$92,FALSE)</f>
        <v>0.16081443188380745</v>
      </c>
      <c r="K32" s="442">
        <f>VLOOKUP($C32,DSS_Calc!$A:$KL,DSS_Calc!IG$92,FALSE)</f>
        <v>0.68618836859531585</v>
      </c>
      <c r="M32" s="632">
        <f t="shared" si="0"/>
        <v>1.6535492916397527</v>
      </c>
      <c r="N32" s="447">
        <f t="shared" si="1"/>
        <v>0.51245529416474978</v>
      </c>
      <c r="O32" s="635">
        <f t="shared" si="2"/>
        <v>3.7513408378832378</v>
      </c>
      <c r="P32" s="448">
        <f t="shared" si="3"/>
        <v>0.68618836859531585</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2000</v>
      </c>
      <c r="E33" s="438">
        <f>VLOOKUP($C33,DSS_Calc!$A:$KL,DSS_Calc!JB$92,FALSE)</f>
        <v>3788.0082146587056</v>
      </c>
      <c r="F33" s="439">
        <f>VLOOKUP($C33,DSS_Calc!$A:$KL,DSS_Calc!JC$92,FALSE)</f>
        <v>6598.7109265464014</v>
      </c>
      <c r="G33" s="435"/>
      <c r="H33" s="436"/>
      <c r="I33" s="440">
        <f>VLOOKUP($C33,DSS_Calc!$A:$KL,DSS_Calc!IE$92,FALSE)</f>
        <v>0.14244275979942753</v>
      </c>
      <c r="J33" s="441">
        <f>VLOOKUP($C33,DSS_Calc!$A:$KL,DSS_Calc!IF$92,FALSE)</f>
        <v>0.18053850327933393</v>
      </c>
      <c r="K33" s="442">
        <f>VLOOKUP($C33,DSS_Calc!$A:$KL,DSS_Calc!IG$92,FALSE)</f>
        <v>0.67701873692123848</v>
      </c>
      <c r="M33" s="632">
        <f t="shared" si="0"/>
        <v>1.7880082146587055</v>
      </c>
      <c r="N33" s="447">
        <f t="shared" si="1"/>
        <v>0.5589751602256513</v>
      </c>
      <c r="O33" s="635">
        <f t="shared" si="2"/>
        <v>3.5992587482727703</v>
      </c>
      <c r="P33" s="448">
        <f t="shared" si="3"/>
        <v>0.67701873692123848</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2000</v>
      </c>
      <c r="E34" s="438">
        <f>VLOOKUP($C34,DSS_Calc!$A:$KL,DSS_Calc!JB$92,FALSE)</f>
        <v>2903.5492916397534</v>
      </c>
      <c r="F34" s="439">
        <f>VLOOKUP($C34,DSS_Calc!$A:$KL,DSS_Calc!JC$92,FALSE)</f>
        <v>5878.7109265464014</v>
      </c>
      <c r="G34" s="435"/>
      <c r="H34" s="436"/>
      <c r="I34" s="440">
        <f>VLOOKUP($C34,DSS_Calc!$A:$KL,DSS_Calc!IE$92,FALSE)</f>
        <v>0.20869769183075215</v>
      </c>
      <c r="J34" s="441">
        <f>VLOOKUP($C34,DSS_Calc!$A:$KL,DSS_Calc!IF$92,FALSE)</f>
        <v>0.16064429528399063</v>
      </c>
      <c r="K34" s="442">
        <f>VLOOKUP($C34,DSS_Calc!$A:$KL,DSS_Calc!IG$92,FALSE)</f>
        <v>0.63065801288525725</v>
      </c>
      <c r="M34" s="632">
        <f t="shared" si="0"/>
        <v>0.90354929163975317</v>
      </c>
      <c r="N34" s="447">
        <f t="shared" si="1"/>
        <v>0.43494728703585922</v>
      </c>
      <c r="O34" s="635">
        <f t="shared" si="2"/>
        <v>3.4857146134445185</v>
      </c>
      <c r="P34" s="448">
        <f t="shared" si="3"/>
        <v>0.63065801288525725</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2000</v>
      </c>
      <c r="E35" s="438">
        <f>VLOOKUP($C35,DSS_Calc!$A:$KL,DSS_Calc!JB$92,FALSE)</f>
        <v>2903.5492916397525</v>
      </c>
      <c r="F35" s="439">
        <f>VLOOKUP($C35,DSS_Calc!$A:$KL,DSS_Calc!JC$92,FALSE)</f>
        <v>7678.7109265464014</v>
      </c>
      <c r="G35" s="435"/>
      <c r="H35" s="436"/>
      <c r="I35" s="440">
        <f>VLOOKUP($C35,DSS_Calc!$A:$KL,DSS_Calc!IE$92,FALSE)</f>
        <v>9.3790974092128929E-2</v>
      </c>
      <c r="J35" s="441">
        <f>VLOOKUP($C35,DSS_Calc!$A:$KL,DSS_Calc!IF$92,FALSE)</f>
        <v>0.11445921545890668</v>
      </c>
      <c r="K35" s="442">
        <f>VLOOKUP($C35,DSS_Calc!$A:$KL,DSS_Calc!IG$92,FALSE)</f>
        <v>0.79174981044896442</v>
      </c>
      <c r="M35" s="632">
        <f t="shared" si="0"/>
        <v>0.90354929163975228</v>
      </c>
      <c r="N35" s="447">
        <f t="shared" si="1"/>
        <v>0.54962358356392427</v>
      </c>
      <c r="O35" s="635">
        <f t="shared" si="2"/>
        <v>5.182098926948715</v>
      </c>
      <c r="P35" s="448">
        <f t="shared" si="3"/>
        <v>0.79174981044896442</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2250</v>
      </c>
      <c r="E36" s="438">
        <f>VLOOKUP($C36,DSS_Calc!$A:$KL,DSS_Calc!JB$92,FALSE)</f>
        <v>3153.5492916397529</v>
      </c>
      <c r="F36" s="439">
        <f>VLOOKUP($C36,DSS_Calc!$A:$KL,DSS_Calc!JC$92,FALSE)</f>
        <v>6598.7109265464014</v>
      </c>
      <c r="G36" s="435"/>
      <c r="H36" s="436"/>
      <c r="I36" s="440">
        <f>VLOOKUP($C36,DSS_Calc!$A:$KL,DSS_Calc!IE$92,FALSE)</f>
        <v>0.17001306271430749</v>
      </c>
      <c r="J36" s="441">
        <f>VLOOKUP($C36,DSS_Calc!$A:$KL,DSS_Calc!IF$92,FALSE)</f>
        <v>0.14488786391841005</v>
      </c>
      <c r="K36" s="442">
        <f>VLOOKUP($C36,DSS_Calc!$A:$KL,DSS_Calc!IG$92,FALSE)</f>
        <v>0.68509907336728249</v>
      </c>
      <c r="M36" s="632">
        <f t="shared" si="0"/>
        <v>0.90354929163975273</v>
      </c>
      <c r="N36" s="447">
        <f t="shared" si="1"/>
        <v>0.46010618472202525</v>
      </c>
      <c r="O36" s="635">
        <f t="shared" si="2"/>
        <v>3.9329823092617455</v>
      </c>
      <c r="P36" s="448">
        <f t="shared" si="3"/>
        <v>0.68509907336728249</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2499.9999999999995</v>
      </c>
      <c r="E37" s="438">
        <f>VLOOKUP($C37,DSS_Calc!$A:$KL,DSS_Calc!JB$92,FALSE)</f>
        <v>3403.5492916397525</v>
      </c>
      <c r="F37" s="439">
        <f>VLOOKUP($C37,DSS_Calc!$A:$KL,DSS_Calc!JC$92,FALSE)</f>
        <v>6598.7109265464014</v>
      </c>
      <c r="G37" s="435"/>
      <c r="H37" s="436"/>
      <c r="I37" s="440">
        <f>VLOOKUP($C37,DSS_Calc!$A:$KL,DSS_Calc!IE$92,FALSE)</f>
        <v>0.18317590571786754</v>
      </c>
      <c r="J37" s="441">
        <f>VLOOKUP($C37,DSS_Calc!$A:$KL,DSS_Calc!IF$92,FALSE)</f>
        <v>0.14860105198880821</v>
      </c>
      <c r="K37" s="442">
        <f>VLOOKUP($C37,DSS_Calc!$A:$KL,DSS_Calc!IG$92,FALSE)</f>
        <v>0.66822304229332419</v>
      </c>
      <c r="M37" s="632">
        <f t="shared" si="0"/>
        <v>0.90354929163975273</v>
      </c>
      <c r="N37" s="447">
        <f t="shared" si="1"/>
        <v>0.44789443189778871</v>
      </c>
      <c r="O37" s="635">
        <f t="shared" si="2"/>
        <v>3.6940162298757651</v>
      </c>
      <c r="P37" s="448">
        <f t="shared" si="3"/>
        <v>0.66822304229332419</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2750.0000000000005</v>
      </c>
      <c r="E38" s="438">
        <f>VLOOKUP($C38,DSS_Calc!$A:$KL,DSS_Calc!JB$92,FALSE)</f>
        <v>3653.5492916397525</v>
      </c>
      <c r="F38" s="439">
        <f>VLOOKUP($C38,DSS_Calc!$A:$KL,DSS_Calc!JC$92,FALSE)</f>
        <v>6598.7109265464014</v>
      </c>
      <c r="G38" s="435"/>
      <c r="H38" s="436"/>
      <c r="I38" s="440">
        <f>VLOOKUP($C38,DSS_Calc!$A:$KL,DSS_Calc!IE$92,FALSE)</f>
        <v>0.19671312561123208</v>
      </c>
      <c r="J38" s="441">
        <f>VLOOKUP($C38,DSS_Calc!$A:$KL,DSS_Calc!IF$92,FALSE)</f>
        <v>0.15217566464513704</v>
      </c>
      <c r="K38" s="442">
        <f>VLOOKUP($C38,DSS_Calc!$A:$KL,DSS_Calc!IG$92,FALSE)</f>
        <v>0.65111120974363079</v>
      </c>
      <c r="M38" s="632">
        <f t="shared" si="0"/>
        <v>0.90354929163975184</v>
      </c>
      <c r="N38" s="447">
        <f t="shared" si="1"/>
        <v>0.43617241050741673</v>
      </c>
      <c r="O38" s="635">
        <f t="shared" si="2"/>
        <v>3.4546076539996209</v>
      </c>
      <c r="P38" s="448">
        <f t="shared" si="3"/>
        <v>0.65111120974363079</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3000.0000000000005</v>
      </c>
      <c r="E39" s="438">
        <f>VLOOKUP($C39,DSS_Calc!$A:$KL,DSS_Calc!JB$92,FALSE)</f>
        <v>3903.5492916397525</v>
      </c>
      <c r="F39" s="439">
        <f>VLOOKUP($C39,DSS_Calc!$A:$KL,DSS_Calc!JC$92,FALSE)</f>
        <v>6598.7109265464014</v>
      </c>
      <c r="G39" s="435"/>
      <c r="H39" s="436"/>
      <c r="I39" s="440">
        <f>VLOOKUP($C39,DSS_Calc!$A:$KL,DSS_Calc!IE$92,FALSE)</f>
        <v>0.21060722138614382</v>
      </c>
      <c r="J39" s="441">
        <f>VLOOKUP($C39,DSS_Calc!$A:$KL,DSS_Calc!IF$92,FALSE)</f>
        <v>0.15560936477313275</v>
      </c>
      <c r="K39" s="442">
        <f>VLOOKUP($C39,DSS_Calc!$A:$KL,DSS_Calc!IG$92,FALSE)</f>
        <v>0.63378341384072345</v>
      </c>
      <c r="M39" s="632">
        <f t="shared" si="0"/>
        <v>0.90354929163975184</v>
      </c>
      <c r="N39" s="447">
        <f t="shared" si="1"/>
        <v>0.42491075132641437</v>
      </c>
      <c r="O39" s="635">
        <f t="shared" si="2"/>
        <v>3.2147831181753044</v>
      </c>
      <c r="P39" s="448">
        <f t="shared" si="3"/>
        <v>0.63378341384072345</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2250</v>
      </c>
      <c r="E40" s="438">
        <f>VLOOKUP($C40,DSS_Calc!$A:$KL,DSS_Calc!JB$92,FALSE)</f>
        <v>3235.2568656145404</v>
      </c>
      <c r="F40" s="439">
        <f>VLOOKUP($C40,DSS_Calc!$A:$KL,DSS_Calc!JC$92,FALSE)</f>
        <v>6598.7109265464014</v>
      </c>
      <c r="G40" s="435"/>
      <c r="H40" s="436"/>
      <c r="I40" s="440">
        <f>VLOOKUP($C40,DSS_Calc!$A:$KL,DSS_Calc!IE$92,FALSE)</f>
        <v>0.16889008193068414</v>
      </c>
      <c r="J40" s="441">
        <f>VLOOKUP($C40,DSS_Calc!$A:$KL,DSS_Calc!IF$92,FALSE)</f>
        <v>0.15021958819358017</v>
      </c>
      <c r="K40" s="442">
        <f>VLOOKUP($C40,DSS_Calc!$A:$KL,DSS_Calc!IG$92,FALSE)</f>
        <v>0.68089032987573572</v>
      </c>
      <c r="M40" s="632">
        <f t="shared" si="0"/>
        <v>0.98525686561454062</v>
      </c>
      <c r="N40" s="447">
        <f t="shared" si="1"/>
        <v>0.47074596058177509</v>
      </c>
      <c r="O40" s="635">
        <f t="shared" si="2"/>
        <v>3.8849052369228949</v>
      </c>
      <c r="P40" s="448">
        <f t="shared" si="3"/>
        <v>0.68089032987573572</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2500.0000000000005</v>
      </c>
      <c r="E41" s="438">
        <f>VLOOKUP($C41,DSS_Calc!$A:$KL,DSS_Calc!JB$92,FALSE)</f>
        <v>3235.2568656145404</v>
      </c>
      <c r="F41" s="439">
        <f>VLOOKUP($C41,DSS_Calc!$A:$KL,DSS_Calc!JC$92,FALSE)</f>
        <v>6598.7109265464014</v>
      </c>
      <c r="G41" s="435"/>
      <c r="H41" s="436"/>
      <c r="I41" s="440">
        <f>VLOOKUP($C41,DSS_Calc!$A:$KL,DSS_Calc!IE$92,FALSE)</f>
        <v>0.18358117146426198</v>
      </c>
      <c r="J41" s="441">
        <f>VLOOKUP($C41,DSS_Calc!$A:$KL,DSS_Calc!IF$92,FALSE)</f>
        <v>0.14735756812724063</v>
      </c>
      <c r="K41" s="442">
        <f>VLOOKUP($C41,DSS_Calc!$A:$KL,DSS_Calc!IG$92,FALSE)</f>
        <v>0.66906126040849745</v>
      </c>
      <c r="M41" s="632">
        <f t="shared" si="0"/>
        <v>0.73525686561454018</v>
      </c>
      <c r="N41" s="447">
        <f t="shared" si="1"/>
        <v>0.44527143697088123</v>
      </c>
      <c r="O41" s="635">
        <f t="shared" si="2"/>
        <v>3.7713220454515084</v>
      </c>
      <c r="P41" s="448">
        <f t="shared" si="3"/>
        <v>0.66906126040849745</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2750.0000000000005</v>
      </c>
      <c r="E42" s="438">
        <f>VLOOKUP($C42,DSS_Calc!$A:$KL,DSS_Calc!JB$92,FALSE)</f>
        <v>3235.2568656145404</v>
      </c>
      <c r="F42" s="439">
        <f>VLOOKUP($C42,DSS_Calc!$A:$KL,DSS_Calc!JC$92,FALSE)</f>
        <v>6598.7109265464014</v>
      </c>
      <c r="G42" s="435"/>
      <c r="H42" s="436"/>
      <c r="I42" s="440">
        <f>VLOOKUP($C42,DSS_Calc!$A:$KL,DSS_Calc!IE$92,FALSE)</f>
        <v>0.19883987549306392</v>
      </c>
      <c r="J42" s="441">
        <f>VLOOKUP($C42,DSS_Calc!$A:$KL,DSS_Calc!IF$92,FALSE)</f>
        <v>0.14445587129049053</v>
      </c>
      <c r="K42" s="442">
        <f>VLOOKUP($C42,DSS_Calc!$A:$KL,DSS_Calc!IG$92,FALSE)</f>
        <v>0.65670425321644565</v>
      </c>
      <c r="M42" s="632">
        <f t="shared" si="0"/>
        <v>0.48525686561454018</v>
      </c>
      <c r="N42" s="447">
        <f t="shared" si="1"/>
        <v>0.42079132247906625</v>
      </c>
      <c r="O42" s="635">
        <f t="shared" si="2"/>
        <v>3.6445190483224117</v>
      </c>
      <c r="P42" s="448">
        <f t="shared" si="3"/>
        <v>0.65670425321644565</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2999.9999999999995</v>
      </c>
      <c r="E43" s="438">
        <f>VLOOKUP($C43,DSS_Calc!$A:$KL,DSS_Calc!JB$92,FALSE)</f>
        <v>3235.2568656145404</v>
      </c>
      <c r="F43" s="439">
        <f>VLOOKUP($C43,DSS_Calc!$A:$KL,DSS_Calc!JC$92,FALSE)</f>
        <v>6598.7109265464014</v>
      </c>
      <c r="G43" s="435"/>
      <c r="H43" s="436"/>
      <c r="I43" s="440">
        <f>VLOOKUP($C43,DSS_Calc!$A:$KL,DSS_Calc!IE$92,FALSE)</f>
        <v>0.21465229554705553</v>
      </c>
      <c r="J43" s="441">
        <f>VLOOKUP($C43,DSS_Calc!$A:$KL,DSS_Calc!IF$92,FALSE)</f>
        <v>0.14151599089649827</v>
      </c>
      <c r="K43" s="442">
        <f>VLOOKUP($C43,DSS_Calc!$A:$KL,DSS_Calc!IG$92,FALSE)</f>
        <v>0.64383171355644619</v>
      </c>
      <c r="M43" s="632">
        <f t="shared" si="0"/>
        <v>0.23525686561454107</v>
      </c>
      <c r="N43" s="447">
        <f t="shared" si="1"/>
        <v>0.39732900508795294</v>
      </c>
      <c r="O43" s="635">
        <f t="shared" si="2"/>
        <v>3.5052365501916656</v>
      </c>
      <c r="P43" s="448">
        <f t="shared" si="3"/>
        <v>0.64383171355644619</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2250</v>
      </c>
      <c r="E44" s="438">
        <f>VLOOKUP($C44,DSS_Calc!$A:$KL,DSS_Calc!JB$92,FALSE)</f>
        <v>2903.5492916397525</v>
      </c>
      <c r="F44" s="439">
        <f>VLOOKUP($C44,DSS_Calc!$A:$KL,DSS_Calc!JC$92,FALSE)</f>
        <v>6958.7109265464014</v>
      </c>
      <c r="G44" s="435"/>
      <c r="H44" s="436"/>
      <c r="I44" s="440">
        <f>VLOOKUP($C44,DSS_Calc!$A:$KL,DSS_Calc!IE$92,FALSE)</f>
        <v>0.14721793144640274</v>
      </c>
      <c r="J44" s="441">
        <f>VLOOKUP($C44,DSS_Calc!$A:$KL,DSS_Calc!IF$92,FALSE)</f>
        <v>0.12941324660827652</v>
      </c>
      <c r="K44" s="442">
        <f>VLOOKUP($C44,DSS_Calc!$A:$KL,DSS_Calc!IG$92,FALSE)</f>
        <v>0.72336882194532071</v>
      </c>
      <c r="M44" s="632">
        <f t="shared" si="0"/>
        <v>0.65354929163975228</v>
      </c>
      <c r="N44" s="447">
        <f t="shared" si="1"/>
        <v>0.46781873076756564</v>
      </c>
      <c r="O44" s="635">
        <f t="shared" si="2"/>
        <v>4.4029683264374508</v>
      </c>
      <c r="P44" s="448">
        <f t="shared" si="3"/>
        <v>0.72336882194532071</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2500</v>
      </c>
      <c r="E45" s="438">
        <f>VLOOKUP($C45,DSS_Calc!$A:$KL,DSS_Calc!JB$92,FALSE)</f>
        <v>2903.5492916397525</v>
      </c>
      <c r="F45" s="439">
        <f>VLOOKUP($C45,DSS_Calc!$A:$KL,DSS_Calc!JC$92,FALSE)</f>
        <v>6958.7109265464014</v>
      </c>
      <c r="G45" s="435"/>
      <c r="H45" s="436"/>
      <c r="I45" s="440">
        <f>VLOOKUP($C45,DSS_Calc!$A:$KL,DSS_Calc!IE$92,FALSE)</f>
        <v>0.1607653478050268</v>
      </c>
      <c r="J45" s="441">
        <f>VLOOKUP($C45,DSS_Calc!$A:$KL,DSS_Calc!IF$92,FALSE)</f>
        <v>0.12697901523748845</v>
      </c>
      <c r="K45" s="442">
        <f>VLOOKUP($C45,DSS_Calc!$A:$KL,DSS_Calc!IG$92,FALSE)</f>
        <v>0.71225563695748484</v>
      </c>
      <c r="M45" s="632">
        <f t="shared" si="0"/>
        <v>0.40354929163975228</v>
      </c>
      <c r="N45" s="447">
        <f t="shared" si="1"/>
        <v>0.44129106090855663</v>
      </c>
      <c r="O45" s="635">
        <f t="shared" si="2"/>
        <v>4.280628231509799</v>
      </c>
      <c r="P45" s="448">
        <f t="shared" si="3"/>
        <v>0.71225563695748484</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2750.0000000000005</v>
      </c>
      <c r="E46" s="438">
        <f>VLOOKUP($C46,DSS_Calc!$A:$KL,DSS_Calc!JB$92,FALSE)</f>
        <v>2903.5492916397525</v>
      </c>
      <c r="F46" s="439">
        <f>VLOOKUP($C46,DSS_Calc!$A:$KL,DSS_Calc!JC$92,FALSE)</f>
        <v>6958.7109265464014</v>
      </c>
      <c r="G46" s="435"/>
      <c r="H46" s="436"/>
      <c r="I46" s="440">
        <f>VLOOKUP($C46,DSS_Calc!$A:$KL,DSS_Calc!IE$92,FALSE)</f>
        <v>0.17489177943075526</v>
      </c>
      <c r="J46" s="441">
        <f>VLOOKUP($C46,DSS_Calc!$A:$KL,DSS_Calc!IF$92,FALSE)</f>
        <v>0.1245140328855618</v>
      </c>
      <c r="K46" s="442">
        <f>VLOOKUP($C46,DSS_Calc!$A:$KL,DSS_Calc!IG$92,FALSE)</f>
        <v>0.70059418768368298</v>
      </c>
      <c r="M46" s="632">
        <f t="shared" si="0"/>
        <v>0.15354929163975184</v>
      </c>
      <c r="N46" s="447">
        <f t="shared" si="1"/>
        <v>0.41587045996961097</v>
      </c>
      <c r="O46" s="635">
        <f t="shared" si="2"/>
        <v>4.1448543120041688</v>
      </c>
      <c r="P46" s="448">
        <f t="shared" si="3"/>
        <v>0.70059418768368298</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3000</v>
      </c>
      <c r="E47" s="438">
        <f>VLOOKUP($C47,DSS_Calc!$A:$KL,DSS_Calc!JB$92,FALSE)</f>
        <v>2903.5492916397529</v>
      </c>
      <c r="F47" s="439">
        <f>VLOOKUP($C47,DSS_Calc!$A:$KL,DSS_Calc!JC$92,FALSE)</f>
        <v>6958.7109265464014</v>
      </c>
      <c r="G47" s="435"/>
      <c r="H47" s="436"/>
      <c r="I47" s="440">
        <f>VLOOKUP($C47,DSS_Calc!$A:$KL,DSS_Calc!IE$92,FALSE)</f>
        <v>0.18959090183464208</v>
      </c>
      <c r="J47" s="441">
        <f>VLOOKUP($C47,DSS_Calc!$A:$KL,DSS_Calc!IF$92,FALSE)</f>
        <v>0.12201915894469632</v>
      </c>
      <c r="K47" s="442">
        <f>VLOOKUP($C47,DSS_Calc!$A:$KL,DSS_Calc!IG$92,FALSE)</f>
        <v>0.68838993922066161</v>
      </c>
      <c r="M47" s="632">
        <f t="shared" si="0"/>
        <v>-9.6450708360247273E-2</v>
      </c>
      <c r="N47" s="447">
        <f t="shared" si="1"/>
        <v>0.39157644217110887</v>
      </c>
      <c r="O47" s="635">
        <f t="shared" si="2"/>
        <v>3.9964787517709901</v>
      </c>
      <c r="P47" s="448">
        <f t="shared" si="3"/>
        <v>0.68838993922066161</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2000</v>
      </c>
      <c r="E48" s="438">
        <f>VLOOKUP($C48,DSS_Calc!$A:$KL,DSS_Calc!JB$92,FALSE)</f>
        <v>3235.2568656145409</v>
      </c>
      <c r="F48" s="439">
        <f>VLOOKUP($C48,DSS_Calc!$A:$KL,DSS_Calc!JC$92,FALSE)</f>
        <v>6958.7109265464014</v>
      </c>
      <c r="G48" s="435"/>
      <c r="H48" s="436"/>
      <c r="I48" s="440">
        <f>VLOOKUP($C48,DSS_Calc!$A:$KL,DSS_Calc!IE$92,FALSE)</f>
        <v>0.13228459603861428</v>
      </c>
      <c r="J48" s="441">
        <f>VLOOKUP($C48,DSS_Calc!$A:$KL,DSS_Calc!IF$92,FALSE)</f>
        <v>0.14293194841042287</v>
      </c>
      <c r="K48" s="442">
        <f>VLOOKUP($C48,DSS_Calc!$A:$KL,DSS_Calc!IG$92,FALSE)</f>
        <v>0.7247834555509628</v>
      </c>
      <c r="M48" s="632">
        <f t="shared" si="0"/>
        <v>1.2352568656145411</v>
      </c>
      <c r="N48" s="447">
        <f t="shared" si="1"/>
        <v>0.5193435906862427</v>
      </c>
      <c r="O48" s="635">
        <f t="shared" si="2"/>
        <v>4.317188190538312</v>
      </c>
      <c r="P48" s="448">
        <f t="shared" si="3"/>
        <v>0.7247834555509628</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2000.0000000000002</v>
      </c>
      <c r="E49" s="438">
        <f>VLOOKUP($C49,DSS_Calc!$A:$KL,DSS_Calc!JB$92,FALSE)</f>
        <v>3597.2986957288554</v>
      </c>
      <c r="F49" s="439">
        <f>VLOOKUP($C49,DSS_Calc!$A:$KL,DSS_Calc!JC$92,FALSE)</f>
        <v>6958.7109265464014</v>
      </c>
      <c r="G49" s="435"/>
      <c r="H49" s="436"/>
      <c r="I49" s="440">
        <f>VLOOKUP($C49,DSS_Calc!$A:$KL,DSS_Calc!IE$92,FALSE)</f>
        <v>0.12991740455365738</v>
      </c>
      <c r="J49" s="441">
        <f>VLOOKUP($C49,DSS_Calc!$A:$KL,DSS_Calc!IF$92,FALSE)</f>
        <v>0.15599617223274456</v>
      </c>
      <c r="K49" s="442">
        <f>VLOOKUP($C49,DSS_Calc!$A:$KL,DSS_Calc!IG$92,FALSE)</f>
        <v>0.71408642321359805</v>
      </c>
      <c r="M49" s="632">
        <f t="shared" si="0"/>
        <v>1.5972986957288549</v>
      </c>
      <c r="N49" s="447">
        <f t="shared" si="1"/>
        <v>0.54560603237559768</v>
      </c>
      <c r="O49" s="635">
        <f t="shared" si="2"/>
        <v>4.0872151226510631</v>
      </c>
      <c r="P49" s="448">
        <f t="shared" si="3"/>
        <v>0.71408642321359805</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2000.0000000000002</v>
      </c>
      <c r="E50" s="438">
        <f>VLOOKUP($C50,DSS_Calc!$A:$KL,DSS_Calc!JB$92,FALSE)</f>
        <v>3597.2986957288554</v>
      </c>
      <c r="F50" s="439">
        <f>VLOOKUP($C50,DSS_Calc!$A:$KL,DSS_Calc!JC$92,FALSE)</f>
        <v>6958.7109265464014</v>
      </c>
      <c r="G50" s="435"/>
      <c r="H50" s="436"/>
      <c r="I50" s="440">
        <f>VLOOKUP($C50,DSS_Calc!$A:$KL,DSS_Calc!IE$92,FALSE)</f>
        <v>0.12991740455365738</v>
      </c>
      <c r="J50" s="441">
        <f>VLOOKUP($C50,DSS_Calc!$A:$KL,DSS_Calc!IF$92,FALSE)</f>
        <v>0.15599617223274456</v>
      </c>
      <c r="K50" s="442">
        <f>VLOOKUP($C50,DSS_Calc!$A:$KL,DSS_Calc!IG$92,FALSE)</f>
        <v>0.71408642321359805</v>
      </c>
      <c r="M50" s="632">
        <f t="shared" si="0"/>
        <v>1.5972986957288549</v>
      </c>
      <c r="N50" s="447">
        <f t="shared" si="1"/>
        <v>0.54560603237559768</v>
      </c>
      <c r="O50" s="635">
        <f t="shared" si="2"/>
        <v>4.0872151226510631</v>
      </c>
      <c r="P50" s="448">
        <f t="shared" si="3"/>
        <v>0.71408642321359805</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2000.0000000000002</v>
      </c>
      <c r="E51" s="438">
        <f>VLOOKUP($C51,DSS_Calc!$A:$KL,DSS_Calc!JB$92,FALSE)</f>
        <v>3597.2986957288554</v>
      </c>
      <c r="F51" s="439">
        <f>VLOOKUP($C51,DSS_Calc!$A:$KL,DSS_Calc!JC$92,FALSE)</f>
        <v>6958.7109265464014</v>
      </c>
      <c r="G51" s="435"/>
      <c r="H51" s="436"/>
      <c r="I51" s="440">
        <f>VLOOKUP($C51,DSS_Calc!$A:$KL,DSS_Calc!IE$92,FALSE)</f>
        <v>0.12991740455365738</v>
      </c>
      <c r="J51" s="441">
        <f>VLOOKUP($C51,DSS_Calc!$A:$KL,DSS_Calc!IF$92,FALSE)</f>
        <v>0.15599617223274456</v>
      </c>
      <c r="K51" s="442">
        <f>VLOOKUP($C51,DSS_Calc!$A:$KL,DSS_Calc!IG$92,FALSE)</f>
        <v>0.71408642321359805</v>
      </c>
      <c r="M51" s="632">
        <f t="shared" si="0"/>
        <v>1.5972986957288549</v>
      </c>
      <c r="N51" s="447">
        <f t="shared" si="1"/>
        <v>0.54560603237559768</v>
      </c>
      <c r="O51" s="635">
        <f t="shared" si="2"/>
        <v>4.0872151226510631</v>
      </c>
      <c r="P51" s="448">
        <f t="shared" si="3"/>
        <v>0.71408642321359805</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2250</v>
      </c>
      <c r="E52" s="438">
        <f>VLOOKUP($C52,DSS_Calc!$A:$KL,DSS_Calc!JB$92,FALSE)</f>
        <v>2903.5492916397525</v>
      </c>
      <c r="F52" s="439">
        <f>VLOOKUP($C52,DSS_Calc!$A:$KL,DSS_Calc!JC$92,FALSE)</f>
        <v>6238.7109265464014</v>
      </c>
      <c r="G52" s="435"/>
      <c r="H52" s="436"/>
      <c r="I52" s="440">
        <f>VLOOKUP($C52,DSS_Calc!$A:$KL,DSS_Calc!IE$92,FALSE)</f>
        <v>0.19762838571616348</v>
      </c>
      <c r="J52" s="441">
        <f>VLOOKUP($C52,DSS_Calc!$A:$KL,DSS_Calc!IF$92,FALSE)</f>
        <v>0.14757958449473965</v>
      </c>
      <c r="K52" s="442">
        <f>VLOOKUP($C52,DSS_Calc!$A:$KL,DSS_Calc!IG$92,FALSE)</f>
        <v>0.6547920297890969</v>
      </c>
      <c r="M52" s="632">
        <f t="shared" si="0"/>
        <v>0.65354929163975228</v>
      </c>
      <c r="N52" s="447">
        <f t="shared" si="1"/>
        <v>0.42750920381292656</v>
      </c>
      <c r="O52" s="635">
        <f t="shared" si="2"/>
        <v>3.7093125892249885</v>
      </c>
      <c r="P52" s="448">
        <f t="shared" si="3"/>
        <v>0.6547920297890969</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2500</v>
      </c>
      <c r="E53" s="438">
        <f>VLOOKUP($C53,DSS_Calc!$A:$KL,DSS_Calc!JB$92,FALSE)</f>
        <v>2903.5492916397529</v>
      </c>
      <c r="F53" s="439">
        <f>VLOOKUP($C53,DSS_Calc!$A:$KL,DSS_Calc!JC$92,FALSE)</f>
        <v>6238.7109265464014</v>
      </c>
      <c r="G53" s="435"/>
      <c r="H53" s="436"/>
      <c r="I53" s="440">
        <f>VLOOKUP($C53,DSS_Calc!$A:$KL,DSS_Calc!IE$92,FALSE)</f>
        <v>0.21376157653603819</v>
      </c>
      <c r="J53" s="441">
        <f>VLOOKUP($C53,DSS_Calc!$A:$KL,DSS_Calc!IF$92,FALSE)</f>
        <v>0.14448042542629269</v>
      </c>
      <c r="K53" s="442">
        <f>VLOOKUP($C53,DSS_Calc!$A:$KL,DSS_Calc!IG$92,FALSE)</f>
        <v>0.64175799803766909</v>
      </c>
      <c r="M53" s="632">
        <f t="shared" si="0"/>
        <v>0.40354929163975273</v>
      </c>
      <c r="N53" s="447">
        <f t="shared" si="1"/>
        <v>0.40330398064681644</v>
      </c>
      <c r="O53" s="635">
        <f t="shared" si="2"/>
        <v>3.5759578908408867</v>
      </c>
      <c r="P53" s="448">
        <f t="shared" si="3"/>
        <v>0.64175799803766909</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2750</v>
      </c>
      <c r="E54" s="438">
        <f>VLOOKUP($C54,DSS_Calc!$A:$KL,DSS_Calc!JB$92,FALSE)</f>
        <v>2903.5492916397525</v>
      </c>
      <c r="F54" s="439">
        <f>VLOOKUP($C54,DSS_Calc!$A:$KL,DSS_Calc!JC$92,FALSE)</f>
        <v>6238.7109265464014</v>
      </c>
      <c r="G54" s="435"/>
      <c r="H54" s="436"/>
      <c r="I54" s="440">
        <f>VLOOKUP($C54,DSS_Calc!$A:$KL,DSS_Calc!IE$92,FALSE)</f>
        <v>0.23043776021094509</v>
      </c>
      <c r="J54" s="441">
        <f>VLOOKUP($C54,DSS_Calc!$A:$KL,DSS_Calc!IF$92,FALSE)</f>
        <v>0.14134648250858539</v>
      </c>
      <c r="K54" s="442">
        <f>VLOOKUP($C54,DSS_Calc!$A:$KL,DSS_Calc!IG$92,FALSE)</f>
        <v>0.62821575728046952</v>
      </c>
      <c r="M54" s="632">
        <f t="shared" si="0"/>
        <v>0.15354929163975228</v>
      </c>
      <c r="N54" s="447">
        <f t="shared" si="1"/>
        <v>0.38018416669480926</v>
      </c>
      <c r="O54" s="635">
        <f t="shared" si="2"/>
        <v>3.430333917057764</v>
      </c>
      <c r="P54" s="448">
        <f t="shared" si="3"/>
        <v>0.62821575728046952</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885</v>
      </c>
    </row>
    <row r="2" spans="1:44">
      <c r="A2" s="303" t="s">
        <v>886</v>
      </c>
    </row>
    <row r="3" spans="1:44">
      <c r="A3" s="303" t="s">
        <v>887</v>
      </c>
    </row>
    <row r="4" spans="1:44">
      <c r="AH4" s="303" t="s">
        <v>883</v>
      </c>
      <c r="AL4" s="707" t="s">
        <v>871</v>
      </c>
      <c r="AP4" s="707"/>
    </row>
    <row r="5" spans="1:44" s="707" customFormat="1">
      <c r="A5" s="707" t="s">
        <v>120</v>
      </c>
      <c r="E5" s="707" t="s">
        <v>873</v>
      </c>
      <c r="F5" s="708"/>
      <c r="G5" s="709" t="s">
        <v>874</v>
      </c>
      <c r="I5" s="707" t="s">
        <v>584</v>
      </c>
      <c r="L5" s="707" t="s">
        <v>856</v>
      </c>
      <c r="Q5" s="707" t="s">
        <v>868</v>
      </c>
      <c r="V5" s="707" t="s">
        <v>871</v>
      </c>
      <c r="Y5" s="707" t="s">
        <v>856</v>
      </c>
      <c r="AH5" s="739">
        <f>PRODUCT(AH7:AH16)</f>
        <v>0.97359189698786308</v>
      </c>
      <c r="AL5" s="707" t="s">
        <v>881</v>
      </c>
      <c r="AP5" s="707" t="s">
        <v>882</v>
      </c>
    </row>
    <row r="6" spans="1:44" s="710" customFormat="1" ht="28.9" customHeight="1">
      <c r="A6" s="710" t="s">
        <v>870</v>
      </c>
      <c r="B6" s="710" t="s">
        <v>309</v>
      </c>
      <c r="C6" s="710" t="s">
        <v>872</v>
      </c>
      <c r="E6" s="710" t="s">
        <v>854</v>
      </c>
      <c r="F6" s="710" t="s">
        <v>855</v>
      </c>
      <c r="G6" s="710" t="s">
        <v>825</v>
      </c>
      <c r="I6" s="710" t="s">
        <v>854</v>
      </c>
      <c r="J6" s="710" t="s">
        <v>855</v>
      </c>
      <c r="K6" s="710" t="s">
        <v>825</v>
      </c>
      <c r="L6" s="710" t="s">
        <v>854</v>
      </c>
      <c r="M6" s="710" t="s">
        <v>855</v>
      </c>
      <c r="N6" s="710" t="s">
        <v>825</v>
      </c>
      <c r="O6" s="710" t="s">
        <v>803</v>
      </c>
      <c r="Q6" s="710" t="s">
        <v>854</v>
      </c>
      <c r="R6" s="710" t="s">
        <v>855</v>
      </c>
      <c r="S6" s="710" t="s">
        <v>825</v>
      </c>
      <c r="T6" s="711" t="s">
        <v>803</v>
      </c>
      <c r="V6" s="710" t="s">
        <v>854</v>
      </c>
      <c r="W6" s="710" t="s">
        <v>855</v>
      </c>
      <c r="X6" s="710" t="s">
        <v>825</v>
      </c>
      <c r="Y6" s="710" t="s">
        <v>854</v>
      </c>
      <c r="Z6" s="710" t="s">
        <v>855</v>
      </c>
      <c r="AA6" s="710" t="s">
        <v>825</v>
      </c>
      <c r="AB6" s="710" t="s">
        <v>803</v>
      </c>
      <c r="AD6" s="710" t="s">
        <v>310</v>
      </c>
      <c r="AF6" s="710" t="s">
        <v>857</v>
      </c>
      <c r="AH6" s="710" t="s">
        <v>867</v>
      </c>
      <c r="AJ6" s="710" t="s">
        <v>869</v>
      </c>
      <c r="AL6" s="710" t="s">
        <v>854</v>
      </c>
      <c r="AM6" s="710" t="s">
        <v>855</v>
      </c>
      <c r="AN6" s="710" t="s">
        <v>825</v>
      </c>
      <c r="AP6" s="710" t="s">
        <v>854</v>
      </c>
      <c r="AQ6" s="710" t="s">
        <v>855</v>
      </c>
      <c r="AR6" s="710" t="s">
        <v>825</v>
      </c>
    </row>
    <row r="7" spans="1:44">
      <c r="A7" s="703">
        <v>1</v>
      </c>
      <c r="B7" s="703">
        <v>1</v>
      </c>
      <c r="C7" s="706">
        <v>0</v>
      </c>
      <c r="E7" s="693">
        <f>IF($G$5="Scenarios 3-5",INDEX(DSS_Calc!KR:KR,MATCH('Scenario Rec'!A7*1000+3,DSS_Calc!A:A,0)),MAX(F7-1.5,1.8))</f>
        <v>3.4093035909893583</v>
      </c>
      <c r="F7" s="693">
        <f>IF($G$5="Scenarios 3-5",INDEX(DSS_Calc!KR:KR,MATCH('Scenario Rec'!A7*1000+4,DSS_Calc!A:A,0)),VLOOKUP(INDEX(DSS_Calc!$AZ:$AZ,MATCH($A7*1000+1,DSS_Calc!$A:$A,0)),Lookup!$B:$E,4,FALSE))</f>
        <v>3.2825911372443253</v>
      </c>
      <c r="G7" s="693">
        <f>IF($G$5="Scenarios 3-5",INDEX(DSS_Calc!KR:KR,MATCH('Scenario Rec'!A7*1000+5,DSS_Calc!A:A,0)),E7+3)</f>
        <v>4.3698649844417492</v>
      </c>
      <c r="I7" s="705">
        <f>INDEX(DSS_Calc!IE:IE,MATCH($A7*1000+$B7,DSS_Calc!$A:$A,0))</f>
        <v>0.15848670756646216</v>
      </c>
      <c r="J7" s="705">
        <f>INDEX(DSS_Calc!IF:IF,MATCH($A7*1000+$B7,DSS_Calc!$A:$A,0))</f>
        <v>0.14314928425357873</v>
      </c>
      <c r="K7" s="705">
        <f>INDEX(DSS_Calc!IG:IG,MATCH($A7*1000+$B7,DSS_Calc!$A:$A,0))</f>
        <v>0.69836400817995914</v>
      </c>
      <c r="L7" s="467">
        <f>INDEX(DSS_Calc!JA:JA,MATCH($A7*1000+$B7,DSS_Calc!$A:$A,0))</f>
        <v>1600</v>
      </c>
      <c r="M7" s="467">
        <f>INDEX(DSS_Calc!JB:JB,MATCH($A7*1000+$B7,DSS_Calc!$A:$A,0))</f>
        <v>2503.5492916397525</v>
      </c>
      <c r="N7" s="467">
        <f>INDEX(DSS_Calc!JC:JC,MATCH($A7*1000+$B7,DSS_Calc!$A:$A,0))</f>
        <v>6273.7109265464023</v>
      </c>
      <c r="O7" s="467">
        <f t="shared" ref="O7:O11" si="0">IFERROR(SUMPRODUCT(I7:K7,L7:N7),0)</f>
        <v>4993.2939301234746</v>
      </c>
      <c r="P7" s="388"/>
      <c r="Q7" s="738">
        <v>-56.82311138518223</v>
      </c>
      <c r="R7" s="738">
        <v>197.46480708831845</v>
      </c>
      <c r="S7" s="738">
        <v>-407.674588463367</v>
      </c>
      <c r="T7" s="689">
        <f>AB7-O7</f>
        <v>-434.58184778345003</v>
      </c>
      <c r="U7" s="388"/>
      <c r="V7" s="388">
        <f>IF($G$5="Scenarios 3-5",AP7,AL7)</f>
        <v>0.17068147740656009</v>
      </c>
      <c r="W7" s="388">
        <f t="shared" ref="W7:W16" si="1">IF($G$5="Scenarios 3-5",AQ7,AM7)</f>
        <v>0.15103437115680432</v>
      </c>
      <c r="X7" s="388">
        <f t="shared" ref="X7:X16" si="2">IF($G$5="Scenarios 3-5",AR7,AN7)</f>
        <v>0.60832057945609141</v>
      </c>
      <c r="Y7" s="467">
        <f>L7+Q7</f>
        <v>1543.1768886148177</v>
      </c>
      <c r="Z7" s="467">
        <f>M7+R7</f>
        <v>2701.0140987280711</v>
      </c>
      <c r="AA7" s="467">
        <f>N7+S7</f>
        <v>5866.0363380830349</v>
      </c>
      <c r="AB7" s="467">
        <f>IFERROR(SUMPRODUCT(Y7:AA7,V7:X7)/SUM(V7:X7),0)</f>
        <v>4558.7120823400246</v>
      </c>
      <c r="AC7" s="467"/>
      <c r="AD7" s="690">
        <f>SUM(V7:X7)-1</f>
        <v>-6.9963571980544148E-2</v>
      </c>
      <c r="AE7" s="692"/>
      <c r="AF7" s="689">
        <f>INDEX(DSS_Calc!$BX:$BX,MATCH($A7*1000+3,DSS_Calc!$A:$A,0))-O7</f>
        <v>14701.706069876525</v>
      </c>
      <c r="AH7" s="691">
        <f>IFERROR(AD7+1,1)</f>
        <v>0.93003642801945585</v>
      </c>
      <c r="AJ7" s="467">
        <f>(-PMT(2%/12,60,AF7*90%)*60+PMT(1%/12,60,AF7*90%)*60)*25%+(-PMT(2%/12,72,AF7*90%)*72+PMT(1%/12,72,AF7*90%)*72)*75%</f>
        <v>396.90242178255903</v>
      </c>
      <c r="AK7" s="688"/>
      <c r="AL7" s="705">
        <f>E7*Q7/AF7*1.3*MAX(I7,10%)+I7
-F7*R7/AF7*0.2*MAX(J7,10%)
-G7*S7/AF7*0.1*MAX(K7,10%)</f>
        <v>0.16297193120928016</v>
      </c>
      <c r="AM7" s="705">
        <f>F7*R7/AF7*1.3*MAX(J7,10%)+J7
-E7*Q7/AF7*0.2*MAX(I7,10%)
-G7*S7/AF7*0.1*MAX(K7,10%)</f>
        <v>0.16023427188720182</v>
      </c>
      <c r="AN7" s="705">
        <f>G7*S7/$AF7*1.2*MAX(K7,10%)+K7</f>
        <v>0.59681468819975603</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0.17068147740656009</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0.15103437115680432</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0.60832057945609141</v>
      </c>
    </row>
    <row r="8" spans="1:44">
      <c r="A8" s="703">
        <f>A7+1</f>
        <v>2</v>
      </c>
      <c r="B8" s="703">
        <f>B7</f>
        <v>1</v>
      </c>
      <c r="C8" s="706">
        <f>C7</f>
        <v>0</v>
      </c>
      <c r="E8" s="693">
        <f>IF($G$5="Scenarios 3-5",INDEX(DSS_Calc!KR:KR,MATCH('Scenario Rec'!A8*1000+3,DSS_Calc!A:A,0)),MAX(F8-1.5,1.8))</f>
        <v>3.8455357430054846</v>
      </c>
      <c r="F8" s="693">
        <f>IF($G$5="Scenarios 3-5",INDEX(DSS_Calc!KR:KR,MATCH('Scenario Rec'!A8*1000+4,DSS_Calc!A:A,0)),VLOOKUP(INDEX(DSS_Calc!$AZ:$AZ,MATCH($A8*1000+1,DSS_Calc!$A:$A,0)),Lookup!$B:$E,4,FALSE))</f>
        <v>3.3968909392565068</v>
      </c>
      <c r="G8" s="693">
        <f>IF($G$5="Scenarios 3-5",INDEX(DSS_Calc!KR:KR,MATCH('Scenario Rec'!A8*1000+5,DSS_Calc!A:A,0)),E8+3)</f>
        <v>2.7784146295126111</v>
      </c>
      <c r="I8" s="705">
        <f>INDEX(DSS_Calc!IE:IE,MATCH($A8*1000+$B8,DSS_Calc!$A:$A,0))</f>
        <v>0.34665833853841349</v>
      </c>
      <c r="J8" s="705">
        <f>INDEX(DSS_Calc!IF:IF,MATCH($A8*1000+$B8,DSS_Calc!$A:$A,0))</f>
        <v>0.29981261711430357</v>
      </c>
      <c r="K8" s="705">
        <f>INDEX(DSS_Calc!IG:IG,MATCH($A8*1000+$B8,DSS_Calc!$A:$A,0))</f>
        <v>0.35352904434728294</v>
      </c>
      <c r="L8" s="467">
        <f>INDEX(DSS_Calc!JA:JA,MATCH($A8*1000+$B8,DSS_Calc!$A:$A,0))</f>
        <v>1600</v>
      </c>
      <c r="M8" s="467">
        <f>INDEX(DSS_Calc!JB:JB,MATCH($A8*1000+$B8,DSS_Calc!$A:$A,0))</f>
        <v>2503.5492916397525</v>
      </c>
      <c r="N8" s="467">
        <f>INDEX(DSS_Calc!JC:JC,MATCH($A8*1000+$B8,DSS_Calc!$A:$A,0))</f>
        <v>5773.7109265464023</v>
      </c>
      <c r="O8" s="467">
        <f t="shared" si="0"/>
        <v>3346.4235130620518</v>
      </c>
      <c r="P8" s="388"/>
      <c r="Q8" s="738">
        <v>722.87542198868266</v>
      </c>
      <c r="R8" s="738">
        <v>-69.739369090834131</v>
      </c>
      <c r="S8" s="738">
        <v>-495.95596181261601</v>
      </c>
      <c r="T8" s="689">
        <f t="shared" ref="T8:T16" si="3">AB8-O8</f>
        <v>-199.97255605859527</v>
      </c>
      <c r="U8" s="388"/>
      <c r="V8" s="388">
        <f t="shared" ref="V8:V16" si="4">IF($G$5="Scenarios 3-5",AP8,AL8)</f>
        <v>0.44014553163583592</v>
      </c>
      <c r="W8" s="388">
        <f t="shared" si="1"/>
        <v>0.28817981712681373</v>
      </c>
      <c r="X8" s="388">
        <f t="shared" si="2"/>
        <v>0.26643869322624036</v>
      </c>
      <c r="Y8" s="467">
        <f t="shared" ref="Y8:Y11" si="5">L8+Q8</f>
        <v>2322.8754219886828</v>
      </c>
      <c r="Z8" s="467">
        <f t="shared" ref="Z8:Z11" si="6">M8+R8</f>
        <v>2433.8099225489182</v>
      </c>
      <c r="AA8" s="467">
        <f t="shared" ref="AA8:AA11" si="7">N8+S8</f>
        <v>5277.7549647337864</v>
      </c>
      <c r="AB8" s="467">
        <f t="shared" ref="AB8:AB16" si="8">IFERROR(SUMPRODUCT(Y8:AA8,V8:X8)/SUM(V8:X8),0)</f>
        <v>3146.4509570034566</v>
      </c>
      <c r="AC8" s="467"/>
      <c r="AD8" s="690">
        <f t="shared" ref="AD8:AD11" si="9">SUM(V8:X8)-1</f>
        <v>-5.2359580111099868E-3</v>
      </c>
      <c r="AE8" s="692"/>
      <c r="AF8" s="689">
        <f>INDEX(DSS_Calc!$BX:$BX,MATCH($A8*1000+3,DSS_Calc!$A:$A,0))-O8</f>
        <v>16348.576486937949</v>
      </c>
      <c r="AH8" s="691">
        <f t="shared" ref="AH8:AH16" si="10">IFERROR(AD8+1,1)</f>
        <v>0.99476404198889001</v>
      </c>
      <c r="AJ8" s="467">
        <f t="shared" ref="AJ8:AJ11" si="11">(-PMT(2%/12,60,AF8*90%)*60+PMT(1%/12,60,AF8*90%)*60)*25%+(-PMT(2%/12,72,AF8*90%)*72+PMT(1%/12,72,AF8*90%)*72)*75%</f>
        <v>441.36303429834379</v>
      </c>
      <c r="AK8" s="688"/>
      <c r="AL8" s="388">
        <f t="shared" ref="AL8:AL16" si="12">E8*Q8/AF8*1.3*MAX(I8,10%)+I8
-F8*R8/AF8*0.2*MAX(J8,10%)
-G8*S8/AF8*0.1*MAX(K8,10%)</f>
        <v>0.42713463187426759</v>
      </c>
      <c r="AM8" s="388">
        <f t="shared" ref="AM8:AM16" si="13">F8*R8/AF8*1.3*MAX(J8,10%)+J8
-E8*Q8/AF8*0.2*MAX(I8,10%)
-G8*S8/AF8*0.1*MAX(K8,10%)</f>
        <v>0.28535582223135852</v>
      </c>
      <c r="AN8" s="388">
        <f t="shared" ref="AN8:AN16" si="14">G8*S8/$AF8*1.2*MAX(K8,10%)+K8</f>
        <v>0.31777159154308626</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0.44014553163583592</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0.28817981712681373</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0.26643869322624036</v>
      </c>
    </row>
    <row r="9" spans="1:44">
      <c r="A9" s="703">
        <f t="shared" ref="A9:A11" si="15">A8+1</f>
        <v>3</v>
      </c>
      <c r="B9" s="703">
        <f t="shared" ref="B9:C16" si="16">B8</f>
        <v>1</v>
      </c>
      <c r="C9" s="706">
        <f t="shared" si="16"/>
        <v>0</v>
      </c>
      <c r="E9" s="693">
        <f>IF($G$5="Scenarios 3-5",INDEX(DSS_Calc!KR:KR,MATCH('Scenario Rec'!A9*1000+3,DSS_Calc!A:A,0)),MAX(F9-1.5,1.8))</f>
        <v>3.7032284642298356</v>
      </c>
      <c r="F9" s="693">
        <f>IF($G$5="Scenarios 3-5",INDEX(DSS_Calc!KR:KR,MATCH('Scenario Rec'!A9*1000+4,DSS_Calc!A:A,0)),VLOOKUP(INDEX(DSS_Calc!$AZ:$AZ,MATCH($A9*1000+1,DSS_Calc!$A:$A,0)),Lookup!$B:$E,4,FALSE))</f>
        <v>3.6128847700391118</v>
      </c>
      <c r="G9" s="693">
        <f>IF($G$5="Scenarios 3-5",INDEX(DSS_Calc!KR:KR,MATCH('Scenario Rec'!A9*1000+5,DSS_Calc!A:A,0)),E9+3)</f>
        <v>2.7111325808901583</v>
      </c>
      <c r="I9" s="705">
        <f>INDEX(DSS_Calc!IE:IE,MATCH($A9*1000+$B9,DSS_Calc!$A:$A,0))</f>
        <v>0.25389408099688471</v>
      </c>
      <c r="J9" s="705">
        <f>INDEX(DSS_Calc!IF:IF,MATCH($A9*1000+$B9,DSS_Calc!$A:$A,0))</f>
        <v>0.38110072689511942</v>
      </c>
      <c r="K9" s="705">
        <f>INDEX(DSS_Calc!IG:IG,MATCH($A9*1000+$B9,DSS_Calc!$A:$A,0))</f>
        <v>0.36500519210799587</v>
      </c>
      <c r="L9" s="467">
        <f>INDEX(DSS_Calc!JA:JA,MATCH($A9*1000+$B9,DSS_Calc!$A:$A,0))</f>
        <v>1600</v>
      </c>
      <c r="M9" s="467">
        <f>INDEX(DSS_Calc!JB:JB,MATCH($A9*1000+$B9,DSS_Calc!$A:$A,0))</f>
        <v>2503.5492916397525</v>
      </c>
      <c r="N9" s="467">
        <f>INDEX(DSS_Calc!JC:JC,MATCH($A9*1000+$B9,DSS_Calc!$A:$A,0))</f>
        <v>5773.7109265464023</v>
      </c>
      <c r="O9" s="467">
        <f t="shared" si="0"/>
        <v>3467.7694503767907</v>
      </c>
      <c r="P9" s="388"/>
      <c r="Q9" s="738">
        <v>20.336621335416833</v>
      </c>
      <c r="R9" s="738">
        <v>23.311442641971642</v>
      </c>
      <c r="S9" s="738">
        <v>-195.35890323501206</v>
      </c>
      <c r="T9" s="689">
        <f t="shared" si="3"/>
        <v>-137.36266233688548</v>
      </c>
      <c r="U9" s="388"/>
      <c r="V9" s="388">
        <f t="shared" si="4"/>
        <v>0.26255459996652314</v>
      </c>
      <c r="W9" s="388">
        <f t="shared" si="1"/>
        <v>0.3836195942710342</v>
      </c>
      <c r="X9" s="388">
        <f t="shared" si="2"/>
        <v>0.33685998563178254</v>
      </c>
      <c r="Y9" s="467">
        <f t="shared" si="5"/>
        <v>1620.3366213354168</v>
      </c>
      <c r="Z9" s="467">
        <f t="shared" si="6"/>
        <v>2526.860734281724</v>
      </c>
      <c r="AA9" s="467">
        <f t="shared" si="7"/>
        <v>5578.3520233113904</v>
      </c>
      <c r="AB9" s="467">
        <f t="shared" si="8"/>
        <v>3330.4067880399052</v>
      </c>
      <c r="AC9" s="467"/>
      <c r="AD9" s="690">
        <f t="shared" si="9"/>
        <v>-1.6965820130660059E-2</v>
      </c>
      <c r="AE9" s="692"/>
      <c r="AF9" s="689">
        <f>INDEX(DSS_Calc!$BX:$BX,MATCH($A9*1000+3,DSS_Calc!$A:$A,0))-O9</f>
        <v>16227.230549623209</v>
      </c>
      <c r="AH9" s="691">
        <f t="shared" si="10"/>
        <v>0.98303417986933994</v>
      </c>
      <c r="AJ9" s="467">
        <f t="shared" si="11"/>
        <v>438.08705420700107</v>
      </c>
      <c r="AK9" s="688"/>
      <c r="AL9" s="388">
        <f t="shared" si="12"/>
        <v>0.25622166677680441</v>
      </c>
      <c r="AM9" s="388">
        <f t="shared" si="13"/>
        <v>0.38462776316533598</v>
      </c>
      <c r="AN9" s="388">
        <f t="shared" si="14"/>
        <v>0.35070901741635646</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0.26255459996652314</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0.3836195942710342</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0.33685998563178254</v>
      </c>
    </row>
    <row r="10" spans="1:44">
      <c r="A10" s="703">
        <f t="shared" si="15"/>
        <v>4</v>
      </c>
      <c r="B10" s="703">
        <f t="shared" si="16"/>
        <v>1</v>
      </c>
      <c r="C10" s="706">
        <f t="shared" si="16"/>
        <v>0</v>
      </c>
      <c r="E10" s="693">
        <f>IF($G$5="Scenarios 3-5",INDEX(DSS_Calc!KR:KR,MATCH('Scenario Rec'!A10*1000+3,DSS_Calc!A:A,0)),MAX(F10-1.5,1.8))</f>
        <v>3.6945675077903166</v>
      </c>
      <c r="F10" s="693">
        <f>IF($G$5="Scenarios 3-5",INDEX(DSS_Calc!KR:KR,MATCH('Scenario Rec'!A10*1000+4,DSS_Calc!A:A,0)),VLOOKUP(INDEX(DSS_Calc!$AZ:$AZ,MATCH($A10*1000+1,DSS_Calc!$A:$A,0)),Lookup!$B:$E,4,FALSE))</f>
        <v>3.0162593488552742</v>
      </c>
      <c r="G10" s="693">
        <f>IF($G$5="Scenarios 3-5",INDEX(DSS_Calc!KR:KR,MATCH('Scenario Rec'!A10*1000+5,DSS_Calc!A:A,0)),E10+3)</f>
        <v>2.9115506981363266</v>
      </c>
      <c r="I10" s="705">
        <f>INDEX(DSS_Calc!IE:IE,MATCH($A10*1000+$B10,DSS_Calc!$A:$A,0))</f>
        <v>0.45400753093060786</v>
      </c>
      <c r="J10" s="705">
        <f>INDEX(DSS_Calc!IF:IF,MATCH($A10*1000+$B10,DSS_Calc!$A:$A,0))</f>
        <v>0.46530392684238836</v>
      </c>
      <c r="K10" s="705">
        <f>INDEX(DSS_Calc!IG:IG,MATCH($A10*1000+$B10,DSS_Calc!$A:$A,0))</f>
        <v>8.0688542227003765E-2</v>
      </c>
      <c r="L10" s="467">
        <f>INDEX(DSS_Calc!JA:JA,MATCH($A10*1000+$B10,DSS_Calc!$A:$A,0))</f>
        <v>1600</v>
      </c>
      <c r="M10" s="467">
        <f>INDEX(DSS_Calc!JB:JB,MATCH($A10*1000+$B10,DSS_Calc!$A:$A,0))</f>
        <v>2503.549291639752</v>
      </c>
      <c r="N10" s="467">
        <f>INDEX(DSS_Calc!JC:JC,MATCH($A10*1000+$B10,DSS_Calc!$A:$A,0))</f>
        <v>5413.7109265464023</v>
      </c>
      <c r="O10" s="467">
        <f t="shared" si="0"/>
        <v>2328.1478086338602</v>
      </c>
      <c r="P10" s="388"/>
      <c r="Q10" s="738">
        <v>262.09032215303552</v>
      </c>
      <c r="R10" s="738">
        <v>60.687626641737793</v>
      </c>
      <c r="S10" s="738">
        <v>-548.7963863191618</v>
      </c>
      <c r="T10" s="689">
        <f t="shared" si="3"/>
        <v>33.923914362970663</v>
      </c>
      <c r="U10" s="388"/>
      <c r="V10" s="388">
        <f t="shared" si="4"/>
        <v>0.48515587744032684</v>
      </c>
      <c r="W10" s="388">
        <f t="shared" si="1"/>
        <v>0.46965581570194681</v>
      </c>
      <c r="X10" s="388">
        <f t="shared" si="2"/>
        <v>5.8981273021215627E-2</v>
      </c>
      <c r="Y10" s="467">
        <f t="shared" si="5"/>
        <v>1862.0903221530355</v>
      </c>
      <c r="Z10" s="467">
        <f t="shared" si="6"/>
        <v>2564.23691828149</v>
      </c>
      <c r="AA10" s="467">
        <f t="shared" si="7"/>
        <v>4864.9145402272406</v>
      </c>
      <c r="AB10" s="467">
        <f t="shared" si="8"/>
        <v>2362.0717229968309</v>
      </c>
      <c r="AC10" s="467"/>
      <c r="AD10" s="690">
        <f t="shared" si="9"/>
        <v>1.379296616348924E-2</v>
      </c>
      <c r="AE10" s="692"/>
      <c r="AF10" s="689">
        <f>INDEX(DSS_Calc!$BX:$BX,MATCH($A10*1000+3,DSS_Calc!$A:$A,0))-O10</f>
        <v>17366.852191366139</v>
      </c>
      <c r="AH10" s="691">
        <f t="shared" si="10"/>
        <v>1.0137929661634892</v>
      </c>
      <c r="AJ10" s="467">
        <f t="shared" si="11"/>
        <v>468.85345556026732</v>
      </c>
      <c r="AK10" s="688"/>
      <c r="AL10" s="388">
        <f t="shared" si="12"/>
        <v>0.48685458970530016</v>
      </c>
      <c r="AM10" s="388">
        <f t="shared" si="13"/>
        <v>0.46753693157469473</v>
      </c>
      <c r="AN10" s="388">
        <f t="shared" si="14"/>
        <v>6.9647864383151695E-2</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0.48515587744032684</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0.46965581570194681</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5.8981273021215627E-2</v>
      </c>
    </row>
    <row r="11" spans="1:44">
      <c r="A11" s="703">
        <f t="shared" si="15"/>
        <v>5</v>
      </c>
      <c r="B11" s="703">
        <f t="shared" si="16"/>
        <v>1</v>
      </c>
      <c r="C11" s="706">
        <f t="shared" si="16"/>
        <v>0</v>
      </c>
      <c r="E11" s="693">
        <f>IF($G$5="Scenarios 3-5",INDEX(DSS_Calc!KR:KR,MATCH('Scenario Rec'!A11*1000+3,DSS_Calc!A:A,0)),MAX(F11-1.5,1.8))</f>
        <v>3.899397986261584</v>
      </c>
      <c r="F11" s="693">
        <f>IF($G$5="Scenarios 3-5",INDEX(DSS_Calc!KR:KR,MATCH('Scenario Rec'!A11*1000+4,DSS_Calc!A:A,0)),VLOOKUP(INDEX(DSS_Calc!$AZ:$AZ,MATCH($A11*1000+1,DSS_Calc!$A:$A,0)),Lookup!$B:$E,4,FALSE))</f>
        <v>3.1566870486578877</v>
      </c>
      <c r="G11" s="693">
        <f>IF($G$5="Scenarios 3-5",INDEX(DSS_Calc!KR:KR,MATCH('Scenario Rec'!A11*1000+5,DSS_Calc!A:A,0)),E11+3)</f>
        <v>2.9281453554456398</v>
      </c>
      <c r="I11" s="705">
        <f>INDEX(DSS_Calc!IE:IE,MATCH($A11*1000+$B11,DSS_Calc!$A:$A,0))</f>
        <v>0.46495956873315364</v>
      </c>
      <c r="J11" s="705">
        <f>INDEX(DSS_Calc!IF:IF,MATCH($A11*1000+$B11,DSS_Calc!$A:$A,0))</f>
        <v>0.40296495956873313</v>
      </c>
      <c r="K11" s="705">
        <f>INDEX(DSS_Calc!IG:IG,MATCH($A11*1000+$B11,DSS_Calc!$A:$A,0))</f>
        <v>0.13207547169811321</v>
      </c>
      <c r="L11" s="467">
        <f>INDEX(DSS_Calc!JA:JA,MATCH($A11*1000+$B11,DSS_Calc!$A:$A,0))</f>
        <v>1600</v>
      </c>
      <c r="M11" s="467">
        <f>INDEX(DSS_Calc!JB:JB,MATCH($A11*1000+$B11,DSS_Calc!$A:$A,0))</f>
        <v>2503.5492916397525</v>
      </c>
      <c r="N11" s="467">
        <f>INDEX(DSS_Calc!JC:JC,MATCH($A11*1000+$B11,DSS_Calc!$A:$A,0))</f>
        <v>5413.7109265464023</v>
      </c>
      <c r="O11" s="467">
        <f t="shared" si="0"/>
        <v>2467.7963733178349</v>
      </c>
      <c r="P11" s="388"/>
      <c r="Q11" s="738">
        <v>829.75330270001541</v>
      </c>
      <c r="R11" s="738">
        <v>68.143776731884927</v>
      </c>
      <c r="S11" s="738">
        <v>-484.29563233068984</v>
      </c>
      <c r="T11" s="689">
        <f t="shared" si="3"/>
        <v>248.78602853462098</v>
      </c>
      <c r="U11" s="388"/>
      <c r="V11" s="388">
        <f t="shared" si="4"/>
        <v>0.55735155572789807</v>
      </c>
      <c r="W11" s="388">
        <f t="shared" si="1"/>
        <v>0.40014343745532965</v>
      </c>
      <c r="X11" s="388">
        <f t="shared" si="2"/>
        <v>9.844446968502038E-2</v>
      </c>
      <c r="Y11" s="467">
        <f t="shared" si="5"/>
        <v>2429.7533027000154</v>
      </c>
      <c r="Z11" s="467">
        <f t="shared" si="6"/>
        <v>2571.6930683716373</v>
      </c>
      <c r="AA11" s="467">
        <f t="shared" si="7"/>
        <v>4929.4152942157125</v>
      </c>
      <c r="AB11" s="467">
        <f t="shared" si="8"/>
        <v>2716.5824018524559</v>
      </c>
      <c r="AC11" s="467"/>
      <c r="AD11" s="690">
        <f t="shared" si="9"/>
        <v>5.5939462868248135E-2</v>
      </c>
      <c r="AE11" s="692"/>
      <c r="AF11" s="689">
        <f>INDEX(DSS_Calc!$BX:$BX,MATCH($A11*1000+3,DSS_Calc!$A:$A,0))-O11</f>
        <v>17227.203626682167</v>
      </c>
      <c r="AH11" s="691">
        <f t="shared" si="10"/>
        <v>1.0559394628682481</v>
      </c>
      <c r="AJ11" s="467">
        <f t="shared" si="11"/>
        <v>465.08335886141822</v>
      </c>
      <c r="AK11" s="688"/>
      <c r="AL11" s="388">
        <f t="shared" si="12"/>
        <v>0.57856512759282364</v>
      </c>
      <c r="AM11" s="388">
        <f t="shared" si="13"/>
        <v>0.39312796812595885</v>
      </c>
      <c r="AN11" s="388">
        <f t="shared" si="14"/>
        <v>0.11902903794673408</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0.55735155572789807</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0.40014343745532965</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9.844446968502038E-2</v>
      </c>
    </row>
    <row r="12" spans="1:44">
      <c r="A12" s="703">
        <f t="shared" ref="A12:A16" si="17">A11+1</f>
        <v>6</v>
      </c>
      <c r="B12" s="703">
        <f t="shared" si="16"/>
        <v>1</v>
      </c>
      <c r="C12" s="706">
        <f t="shared" si="16"/>
        <v>0</v>
      </c>
      <c r="E12" s="693">
        <f>IF($G$5="Scenarios 3-5",INDEX(DSS_Calc!KR:KR,MATCH('Scenario Rec'!A12*1000+3,DSS_Calc!A:A,0)),MAX(F12-1.5,1.8))</f>
        <v>3.9005139851216346</v>
      </c>
      <c r="F12" s="693">
        <f>IF($G$5="Scenarios 3-5",INDEX(DSS_Calc!KR:KR,MATCH('Scenario Rec'!A12*1000+4,DSS_Calc!A:A,0)),VLOOKUP(INDEX(DSS_Calc!$AZ:$AZ,MATCH($A12*1000+1,DSS_Calc!$A:$A,0)),Lookup!$B:$E,4,FALSE))</f>
        <v>3.4992050584684149</v>
      </c>
      <c r="G12" s="693">
        <f>IF($G$5="Scenarios 3-5",INDEX(DSS_Calc!KR:KR,MATCH('Scenario Rec'!A12*1000+5,DSS_Calc!A:A,0)),E12+3)</f>
        <v>2.8746445904589302</v>
      </c>
      <c r="I12" s="705">
        <f>INDEX(DSS_Calc!IE:IE,MATCH($A12*1000+$B12,DSS_Calc!$A:$A,0))</f>
        <v>0.33605403884041657</v>
      </c>
      <c r="J12" s="705">
        <f>INDEX(DSS_Calc!IF:IF,MATCH($A12*1000+$B12,DSS_Calc!$A:$A,0))</f>
        <v>0.35434843793976922</v>
      </c>
      <c r="K12" s="705">
        <f>INDEX(DSS_Calc!IG:IG,MATCH($A12*1000+$B12,DSS_Calc!$A:$A,0))</f>
        <v>0.30959752321981426</v>
      </c>
      <c r="L12" s="467">
        <f>INDEX(DSS_Calc!JA:JA,MATCH($A12*1000+$B12,DSS_Calc!$A:$A,0))</f>
        <v>1600</v>
      </c>
      <c r="M12" s="467">
        <f>INDEX(DSS_Calc!JB:JB,MATCH($A12*1000+$B12,DSS_Calc!$A:$A,0))</f>
        <v>2503.549291639752</v>
      </c>
      <c r="N12" s="467">
        <f>INDEX(DSS_Calc!JC:JC,MATCH($A12*1000+$B12,DSS_Calc!$A:$A,0))</f>
        <v>5888.3563810918577</v>
      </c>
      <c r="O12" s="467">
        <f>IFERROR(SUMPRODUCT(I12:K12,L12:N12),0)</f>
        <v>3247.8357943640567</v>
      </c>
      <c r="P12" s="388"/>
      <c r="Q12" s="738">
        <v>0</v>
      </c>
      <c r="R12" s="738">
        <v>0</v>
      </c>
      <c r="S12" s="738">
        <v>0</v>
      </c>
      <c r="T12" s="689">
        <f t="shared" si="3"/>
        <v>0</v>
      </c>
      <c r="U12" s="388"/>
      <c r="V12" s="388">
        <f t="shared" si="4"/>
        <v>0.33605403884041657</v>
      </c>
      <c r="W12" s="388">
        <f t="shared" si="1"/>
        <v>0.35434843793976922</v>
      </c>
      <c r="X12" s="388">
        <f t="shared" si="2"/>
        <v>0.30959752321981426</v>
      </c>
      <c r="Y12" s="467">
        <f t="shared" ref="Y12:Y16" si="18">L12+Q12</f>
        <v>1600</v>
      </c>
      <c r="Z12" s="467">
        <f t="shared" ref="Z12:Z16" si="19">M12+R12</f>
        <v>2503.549291639752</v>
      </c>
      <c r="AA12" s="467">
        <f t="shared" ref="AA12:AA16" si="20">N12+S12</f>
        <v>5888.3563810918577</v>
      </c>
      <c r="AB12" s="467">
        <f t="shared" si="8"/>
        <v>3247.8357943640567</v>
      </c>
      <c r="AC12" s="467"/>
      <c r="AD12" s="690">
        <f t="shared" ref="AD12:AD16" si="21">SUM(V12:X12)-1</f>
        <v>0</v>
      </c>
      <c r="AE12" s="692"/>
      <c r="AF12" s="689">
        <f>INDEX(DSS_Calc!$BX:$BX,MATCH($A12*1000+3,DSS_Calc!$A:$A,0))-O12</f>
        <v>16447.164205635941</v>
      </c>
      <c r="AH12" s="691">
        <f t="shared" si="10"/>
        <v>1</v>
      </c>
      <c r="AJ12" s="467">
        <f t="shared" ref="AJ12:AJ16" si="22">(-PMT(2%/12,60,AF12*90%)*60+PMT(1%/12,60,AF12*90%)*60)*25%+(-PMT(2%/12,72,AF12*90%)*72+PMT(1%/12,72,AF12*90%)*72)*75%</f>
        <v>444.02461004494489</v>
      </c>
      <c r="AK12" s="688"/>
      <c r="AL12" s="388">
        <f t="shared" si="12"/>
        <v>0.33605403884041657</v>
      </c>
      <c r="AM12" s="388">
        <f t="shared" si="13"/>
        <v>0.35434843793976922</v>
      </c>
      <c r="AN12" s="388">
        <f t="shared" si="14"/>
        <v>0.30959752321981426</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0.33605403884041657</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0.35434843793976922</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0.30959752321981426</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815</v>
      </c>
      <c r="E1" s="627">
        <v>2</v>
      </c>
    </row>
    <row r="2" spans="1:29">
      <c r="D2" s="54" t="s">
        <v>816</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781</v>
      </c>
      <c r="F3" s="588" t="s">
        <v>781</v>
      </c>
      <c r="G3" s="588" t="s">
        <v>781</v>
      </c>
      <c r="H3" s="588" t="s">
        <v>781</v>
      </c>
      <c r="L3" s="51" t="s">
        <v>94</v>
      </c>
      <c r="M3" s="588" t="s">
        <v>781</v>
      </c>
      <c r="N3" s="588" t="s">
        <v>781</v>
      </c>
      <c r="O3" s="588" t="s">
        <v>781</v>
      </c>
      <c r="P3" s="588" t="s">
        <v>781</v>
      </c>
      <c r="R3" s="52" t="s">
        <v>782</v>
      </c>
    </row>
    <row r="4" spans="1:29">
      <c r="C4" s="51">
        <v>2</v>
      </c>
      <c r="D4" s="626" t="str">
        <f>W21</f>
        <v>Central</v>
      </c>
      <c r="E4" s="590">
        <f>INDEX(DSS_Calc!$JK:$JK,MATCH($C4*1000+E$2,DSS_Calc!$A:$A,0))</f>
        <v>7.9174811312125698E-2</v>
      </c>
      <c r="F4" s="590">
        <f>INDEX(DSS_Calc!$JK:$JK,MATCH($C4*1000+F$2,DSS_Calc!$A:$A,0))</f>
        <v>7.9174811312125698E-2</v>
      </c>
      <c r="G4" s="590">
        <f>INDEX(DSS_Calc!$JK:$JK,MATCH($C4*1000+G$2,DSS_Calc!$A:$A,0))</f>
        <v>7.9174811312125698E-2</v>
      </c>
      <c r="H4" s="590">
        <f>INDEX(DSS_Calc!$JK:$JK,MATCH($C4*1000+H$2,DSS_Calc!$A:$A,0))</f>
        <v>7.9174811312125698E-2</v>
      </c>
      <c r="K4" s="51">
        <v>2</v>
      </c>
      <c r="L4" s="589" t="str">
        <f>D4</f>
        <v>Central</v>
      </c>
      <c r="M4" s="591">
        <f>INDEX(DSS_Calc!$JD:$JD,MATCH($C4*1000+M$2,DSS_Calc!$A:$A,0))</f>
        <v>3725.6035749565385</v>
      </c>
      <c r="N4" s="591">
        <f>INDEX(DSS_Calc!$JD:$JD,MATCH($C4*1000+N$2,DSS_Calc!$A:$A,0))</f>
        <v>3725.6035749565385</v>
      </c>
      <c r="O4" s="591">
        <f>INDEX(DSS_Calc!$JD:$JD,MATCH($C4*1000+O$2,DSS_Calc!$A:$A,0))</f>
        <v>3725.6035749565385</v>
      </c>
      <c r="P4" s="591">
        <f>INDEX(DSS_Calc!$JD:$JD,MATCH($C4*1000+P$2,DSS_Calc!$A:$A,0))</f>
        <v>3725.6035749565385</v>
      </c>
      <c r="Q4" s="592">
        <f>INDEX(Input!$1:$1048576,Input!$A$20,C4*2+6)</f>
        <v>3346.4235130620518</v>
      </c>
      <c r="R4" s="593">
        <f>P4-Q4</f>
        <v>379.1800618944867</v>
      </c>
    </row>
    <row r="5" spans="1:29">
      <c r="C5" s="51">
        <f>C4+1</f>
        <v>3</v>
      </c>
      <c r="D5" s="626" t="str">
        <f t="shared" ref="D5:D11" si="2">W22</f>
        <v>Mid-Atlantic</v>
      </c>
      <c r="E5" s="590">
        <f>INDEX(DSS_Calc!$JK:$JK,MATCH($C5*1000+E$2,DSS_Calc!$A:$A,0))</f>
        <v>6.9612716697487739E-2</v>
      </c>
      <c r="F5" s="590">
        <f>INDEX(DSS_Calc!$JK:$JK,MATCH($C5*1000+F$2,DSS_Calc!$A:$A,0))</f>
        <v>6.9612716697487739E-2</v>
      </c>
      <c r="G5" s="590">
        <f>INDEX(DSS_Calc!$JK:$JK,MATCH($C5*1000+G$2,DSS_Calc!$A:$A,0))</f>
        <v>6.9612716697487739E-2</v>
      </c>
      <c r="H5" s="590">
        <f>INDEX(DSS_Calc!$JK:$JK,MATCH($C5*1000+H$2,DSS_Calc!$A:$A,0))</f>
        <v>6.9612716697487739E-2</v>
      </c>
      <c r="K5" s="51">
        <f>K4+1</f>
        <v>3</v>
      </c>
      <c r="L5" s="589" t="str">
        <f t="shared" ref="L5:L11" si="3">D5</f>
        <v>Mid-Atlantic</v>
      </c>
      <c r="M5" s="591">
        <f>INDEX(DSS_Calc!$JD:$JD,MATCH($C5*1000+M$2,DSS_Calc!$A:$A,0))</f>
        <v>3721.0812183253729</v>
      </c>
      <c r="N5" s="591">
        <f>INDEX(DSS_Calc!$JD:$JD,MATCH($C5*1000+N$2,DSS_Calc!$A:$A,0))</f>
        <v>3721.0812183253729</v>
      </c>
      <c r="O5" s="591">
        <f>INDEX(DSS_Calc!$JD:$JD,MATCH($C5*1000+O$2,DSS_Calc!$A:$A,0))</f>
        <v>3721.0812183253729</v>
      </c>
      <c r="P5" s="591">
        <f>INDEX(DSS_Calc!$JD:$JD,MATCH($C5*1000+P$2,DSS_Calc!$A:$A,0))</f>
        <v>3721.0812183253729</v>
      </c>
      <c r="Q5" s="592">
        <f>INDEX(Input!$1:$1048576,Input!$A$20,C5*2+6)</f>
        <v>3467.7694503767912</v>
      </c>
      <c r="R5" s="593">
        <f t="shared" ref="R5:R11" si="4">P5-Q5</f>
        <v>253.31176794858175</v>
      </c>
    </row>
    <row r="6" spans="1:29">
      <c r="C6" s="51">
        <f t="shared" ref="C6:C11" si="5">C5+1</f>
        <v>4</v>
      </c>
      <c r="D6" s="626" t="str">
        <f t="shared" si="2"/>
        <v>Midwest</v>
      </c>
      <c r="E6" s="590">
        <f>INDEX(DSS_Calc!$JK:$JK,MATCH($C6*1000+E$2,DSS_Calc!$A:$A,0))</f>
        <v>7.4577599441967374E-2</v>
      </c>
      <c r="F6" s="590">
        <f>INDEX(DSS_Calc!$JK:$JK,MATCH($C6*1000+F$2,DSS_Calc!$A:$A,0))</f>
        <v>7.4577599441967374E-2</v>
      </c>
      <c r="G6" s="590">
        <f>INDEX(DSS_Calc!$JK:$JK,MATCH($C6*1000+G$2,DSS_Calc!$A:$A,0))</f>
        <v>7.4577599441967374E-2</v>
      </c>
      <c r="H6" s="590">
        <f>INDEX(DSS_Calc!$JK:$JK,MATCH($C6*1000+H$2,DSS_Calc!$A:$A,0))</f>
        <v>7.4577599441967374E-2</v>
      </c>
      <c r="K6" s="51">
        <f t="shared" ref="K6:K11" si="6">K5+1</f>
        <v>4</v>
      </c>
      <c r="L6" s="589" t="str">
        <f t="shared" si="3"/>
        <v>Midwest</v>
      </c>
      <c r="M6" s="591">
        <f>INDEX(DSS_Calc!$JD:$JD,MATCH($C6*1000+M$2,DSS_Calc!$A:$A,0))</f>
        <v>2723.7435615979957</v>
      </c>
      <c r="N6" s="591">
        <f>INDEX(DSS_Calc!$JD:$JD,MATCH($C6*1000+N$2,DSS_Calc!$A:$A,0))</f>
        <v>2723.7435615979957</v>
      </c>
      <c r="O6" s="591">
        <f>INDEX(DSS_Calc!$JD:$JD,MATCH($C6*1000+O$2,DSS_Calc!$A:$A,0))</f>
        <v>2723.7435615979957</v>
      </c>
      <c r="P6" s="591">
        <f>INDEX(DSS_Calc!$JD:$JD,MATCH($C6*1000+P$2,DSS_Calc!$A:$A,0))</f>
        <v>2723.7435615979957</v>
      </c>
      <c r="Q6" s="592">
        <f>INDEX(Input!$1:$1048576,Input!$A$20,C6*2+6)</f>
        <v>2328.1478086338602</v>
      </c>
      <c r="R6" s="593">
        <f t="shared" si="4"/>
        <v>395.5957529641355</v>
      </c>
    </row>
    <row r="7" spans="1:29">
      <c r="C7" s="51">
        <f t="shared" si="5"/>
        <v>5</v>
      </c>
      <c r="D7" s="626" t="str">
        <f t="shared" si="2"/>
        <v>Mountain</v>
      </c>
      <c r="E7" s="590">
        <f>INDEX(DSS_Calc!$JK:$JK,MATCH($C7*1000+E$2,DSS_Calc!$A:$A,0))</f>
        <v>7.6213448364209652E-2</v>
      </c>
      <c r="F7" s="590">
        <f>INDEX(DSS_Calc!$JK:$JK,MATCH($C7*1000+F$2,DSS_Calc!$A:$A,0))</f>
        <v>7.6213448364209652E-2</v>
      </c>
      <c r="G7" s="590">
        <f>INDEX(DSS_Calc!$JK:$JK,MATCH($C7*1000+G$2,DSS_Calc!$A:$A,0))</f>
        <v>7.6213448364209652E-2</v>
      </c>
      <c r="H7" s="590">
        <f>INDEX(DSS_Calc!$JK:$JK,MATCH($C7*1000+H$2,DSS_Calc!$A:$A,0))</f>
        <v>7.6213448364209652E-2</v>
      </c>
      <c r="K7" s="51">
        <f t="shared" si="6"/>
        <v>5</v>
      </c>
      <c r="L7" s="589" t="str">
        <f t="shared" si="3"/>
        <v>Mountain</v>
      </c>
      <c r="M7" s="591">
        <f>INDEX(DSS_Calc!$JD:$JD,MATCH($C7*1000+M$2,DSS_Calc!$A:$A,0))</f>
        <v>2858.7724461517091</v>
      </c>
      <c r="N7" s="591">
        <f>INDEX(DSS_Calc!$JD:$JD,MATCH($C7*1000+N$2,DSS_Calc!$A:$A,0))</f>
        <v>2858.7724461517091</v>
      </c>
      <c r="O7" s="591">
        <f>INDEX(DSS_Calc!$JD:$JD,MATCH($C7*1000+O$2,DSS_Calc!$A:$A,0))</f>
        <v>2858.7724461517091</v>
      </c>
      <c r="P7" s="591">
        <f>INDEX(DSS_Calc!$JD:$JD,MATCH($C7*1000+P$2,DSS_Calc!$A:$A,0))</f>
        <v>2858.7724461517091</v>
      </c>
      <c r="Q7" s="592">
        <f>INDEX(Input!$1:$1048576,Input!$A$20,C7*2+6)</f>
        <v>2467.7963733178344</v>
      </c>
      <c r="R7" s="593">
        <f t="shared" si="4"/>
        <v>390.9760728338747</v>
      </c>
      <c r="W7" s="303" t="s">
        <v>93</v>
      </c>
      <c r="X7" s="303" t="s" vm="1">
        <v>588</v>
      </c>
      <c r="AC7" s="51"/>
    </row>
    <row r="8" spans="1:29">
      <c r="C8" s="51">
        <f t="shared" si="5"/>
        <v>6</v>
      </c>
      <c r="D8" s="626" t="str">
        <f t="shared" si="2"/>
        <v>Northeast</v>
      </c>
      <c r="E8" s="590">
        <f>INDEX(DSS_Calc!$JK:$JK,MATCH($C8*1000+E$2,DSS_Calc!$A:$A,0))</f>
        <v>7.5447871725247515E-2</v>
      </c>
      <c r="F8" s="590">
        <f>INDEX(DSS_Calc!$JK:$JK,MATCH($C8*1000+F$2,DSS_Calc!$A:$A,0))</f>
        <v>7.5447871725247515E-2</v>
      </c>
      <c r="G8" s="590">
        <f>INDEX(DSS_Calc!$JK:$JK,MATCH($C8*1000+G$2,DSS_Calc!$A:$A,0))</f>
        <v>7.5447871725247515E-2</v>
      </c>
      <c r="H8" s="590">
        <f>INDEX(DSS_Calc!$JK:$JK,MATCH($C8*1000+H$2,DSS_Calc!$A:$A,0))</f>
        <v>7.5447871725247515E-2</v>
      </c>
      <c r="K8" s="51">
        <f t="shared" si="6"/>
        <v>6</v>
      </c>
      <c r="L8" s="589" t="str">
        <f t="shared" si="3"/>
        <v>Northeast</v>
      </c>
      <c r="M8" s="591">
        <f>INDEX(DSS_Calc!$JD:$JD,MATCH($C8*1000+M$2,DSS_Calc!$A:$A,0))</f>
        <v>3597.4484902899267</v>
      </c>
      <c r="N8" s="591">
        <f>INDEX(DSS_Calc!$JD:$JD,MATCH($C8*1000+N$2,DSS_Calc!$A:$A,0))</f>
        <v>3597.4484902899267</v>
      </c>
      <c r="O8" s="591">
        <f>INDEX(DSS_Calc!$JD:$JD,MATCH($C8*1000+O$2,DSS_Calc!$A:$A,0))</f>
        <v>3597.4484902899267</v>
      </c>
      <c r="P8" s="591">
        <f>INDEX(DSS_Calc!$JD:$JD,MATCH($C8*1000+P$2,DSS_Calc!$A:$A,0))</f>
        <v>3597.4484902899267</v>
      </c>
      <c r="Q8" s="592">
        <f>INDEX(Input!$1:$1048576,Input!$A$20,C8*2+6)</f>
        <v>2747.8357943640567</v>
      </c>
      <c r="R8" s="593">
        <f t="shared" si="4"/>
        <v>849.61269592586996</v>
      </c>
      <c r="W8" s="303" t="s">
        <v>788</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791</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793</v>
      </c>
      <c r="X12" s="303" t="s" vm="6">
        <v>794</v>
      </c>
      <c r="AC12" s="51"/>
    </row>
    <row r="13" spans="1:29">
      <c r="W13" s="303" t="s">
        <v>605</v>
      </c>
      <c r="X13" s="303" t="s" vm="7">
        <v>588</v>
      </c>
      <c r="AC13" s="51"/>
    </row>
    <row r="14" spans="1:29">
      <c r="A14" s="51" t="s">
        <v>795</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796</v>
      </c>
      <c r="F15" s="588" t="s">
        <v>797</v>
      </c>
      <c r="G15" s="588" t="s">
        <v>798</v>
      </c>
      <c r="H15" s="588" t="s">
        <v>799</v>
      </c>
      <c r="L15" s="51" t="s">
        <v>94</v>
      </c>
      <c r="M15" s="588" t="s">
        <v>796</v>
      </c>
      <c r="N15" s="588" t="s">
        <v>797</v>
      </c>
      <c r="O15" s="588" t="s">
        <v>798</v>
      </c>
      <c r="P15" s="588" t="s">
        <v>799</v>
      </c>
      <c r="W15" s="496" t="s">
        <v>587</v>
      </c>
      <c r="X15" s="303" t="s" vm="9">
        <v>800</v>
      </c>
      <c r="AC15" s="51"/>
    </row>
    <row r="16" spans="1:29">
      <c r="C16" s="51">
        <f t="shared" ref="C16:D23" si="10">C4</f>
        <v>2</v>
      </c>
      <c r="D16" s="51" t="str">
        <f t="shared" si="10"/>
        <v>Central</v>
      </c>
      <c r="E16" s="590">
        <f>INDEX(DSS_Calc!$JK:$JK,MATCH($C16*1000+E$14,DSS_Calc!$A:$A,0))</f>
        <v>9.5591862169420644E-2</v>
      </c>
      <c r="F16" s="590">
        <f>INDEX(DSS_Calc!$JK:$JK,MATCH($C16*1000+F$14,DSS_Calc!$A:$A,0))</f>
        <v>0.11288447624106768</v>
      </c>
      <c r="G16" s="590">
        <f>INDEX(DSS_Calc!$JK:$JK,MATCH($C16*1000+G$14,DSS_Calc!$A:$A,0))</f>
        <v>0.13107464727464138</v>
      </c>
      <c r="H16" s="590">
        <f>INDEX(DSS_Calc!$JK:$JK,MATCH($C16*1000+H$14,DSS_Calc!$A:$A,0))</f>
        <v>0.15018398094270916</v>
      </c>
      <c r="K16" s="51">
        <f t="shared" ref="K16:L23" si="11">K4</f>
        <v>2</v>
      </c>
      <c r="L16" s="51" t="str">
        <f t="shared" si="11"/>
        <v>Central</v>
      </c>
      <c r="M16" s="591">
        <f>INDEX(DSS_Calc!$JD:$JD,MATCH($C16*1000+M$14,DSS_Calc!$A:$A,0))</f>
        <v>3760.3301830080541</v>
      </c>
      <c r="N16" s="591">
        <f>INDEX(DSS_Calc!$JD:$JD,MATCH($C16*1000+N$14,DSS_Calc!$A:$A,0))</f>
        <v>3804.9733848881183</v>
      </c>
      <c r="O16" s="591">
        <f>INDEX(DSS_Calc!$JD:$JD,MATCH($C16*1000+O$14,DSS_Calc!$A:$A,0))</f>
        <v>3859.6111756129849</v>
      </c>
      <c r="P16" s="591">
        <f>INDEX(DSS_Calc!$JD:$JD,MATCH($C16*1000+P$14,DSS_Calc!$A:$A,0))</f>
        <v>3924.2686275823307</v>
      </c>
      <c r="W16" s="303" t="s">
        <v>801</v>
      </c>
      <c r="X16" s="303" t="s" vm="10">
        <v>588</v>
      </c>
      <c r="AC16" s="51"/>
    </row>
    <row r="17" spans="3:29">
      <c r="C17" s="51">
        <f t="shared" si="10"/>
        <v>3</v>
      </c>
      <c r="D17" s="51" t="str">
        <f t="shared" si="10"/>
        <v>Mid-Atlantic</v>
      </c>
      <c r="E17" s="590">
        <f>INDEX(DSS_Calc!$JK:$JK,MATCH($C17*1000+E$14,DSS_Calc!$A:$A,0))</f>
        <v>8.2758588775569991E-2</v>
      </c>
      <c r="F17" s="590">
        <f>INDEX(DSS_Calc!$JK:$JK,MATCH($C17*1000+F$14,DSS_Calc!$A:$A,0))</f>
        <v>9.6909818194830799E-2</v>
      </c>
      <c r="G17" s="590">
        <f>INDEX(DSS_Calc!$JK:$JK,MATCH($C17*1000+G$14,DSS_Calc!$A:$A,0))</f>
        <v>0.11209633183404918</v>
      </c>
      <c r="H17" s="590">
        <f>INDEX(DSS_Calc!$JK:$JK,MATCH($C17*1000+H$14,DSS_Calc!$A:$A,0))</f>
        <v>0.12834820279913389</v>
      </c>
      <c r="K17" s="51">
        <f t="shared" si="11"/>
        <v>3</v>
      </c>
      <c r="L17" s="51" t="str">
        <f t="shared" si="11"/>
        <v>Mid-Atlantic</v>
      </c>
      <c r="M17" s="591">
        <f>INDEX(DSS_Calc!$JD:$JD,MATCH($C17*1000+M$14,DSS_Calc!$A:$A,0))</f>
        <v>3772.8407189797622</v>
      </c>
      <c r="N17" s="591">
        <f>INDEX(DSS_Calc!$JD:$JD,MATCH($C17*1000+N$14,DSS_Calc!$A:$A,0))</f>
        <v>3803.5968615835623</v>
      </c>
      <c r="O17" s="591">
        <f>INDEX(DSS_Calc!$JD:$JD,MATCH($C17*1000+O$14,DSS_Calc!$A:$A,0))</f>
        <v>3843.0607585687335</v>
      </c>
      <c r="P17" s="591">
        <f>INDEX(DSS_Calc!$JD:$JD,MATCH($C17*1000+P$14,DSS_Calc!$A:$A,0))</f>
        <v>3891.4765253019805</v>
      </c>
      <c r="W17" s="303" t="s">
        <v>95</v>
      </c>
      <c r="X17" s="303" t="s" vm="11">
        <v>630</v>
      </c>
      <c r="AC17" s="51"/>
    </row>
    <row r="18" spans="3:29">
      <c r="C18" s="51">
        <f t="shared" si="10"/>
        <v>4</v>
      </c>
      <c r="D18" s="51" t="str">
        <f t="shared" si="10"/>
        <v>Midwest</v>
      </c>
      <c r="E18" s="590">
        <f>INDEX(DSS_Calc!$JK:$JK,MATCH($C18*1000+E$14,DSS_Calc!$A:$A,0))</f>
        <v>9.4746828309984682E-2</v>
      </c>
      <c r="F18" s="590">
        <f>INDEX(DSS_Calc!$JK:$JK,MATCH($C18*1000+F$14,DSS_Calc!$A:$A,0))</f>
        <v>0.11578925741740981</v>
      </c>
      <c r="G18" s="590">
        <f>INDEX(DSS_Calc!$JK:$JK,MATCH($C18*1000+G$14,DSS_Calc!$A:$A,0))</f>
        <v>0.13772099590034767</v>
      </c>
      <c r="H18" s="590">
        <f>INDEX(DSS_Calc!$JK:$JK,MATCH($C18*1000+H$14,DSS_Calc!$A:$A,0))</f>
        <v>0.16055817561398361</v>
      </c>
      <c r="K18" s="51">
        <f t="shared" si="11"/>
        <v>4</v>
      </c>
      <c r="L18" s="51" t="str">
        <f t="shared" si="11"/>
        <v>Midwest</v>
      </c>
      <c r="M18" s="591">
        <f>INDEX(DSS_Calc!$JD:$JD,MATCH($C18*1000+M$14,DSS_Calc!$A:$A,0))</f>
        <v>2816.0047686702883</v>
      </c>
      <c r="N18" s="591">
        <f>INDEX(DSS_Calc!$JD:$JD,MATCH($C18*1000+N$14,DSS_Calc!$A:$A,0))</f>
        <v>2915.9939414617061</v>
      </c>
      <c r="O18" s="591">
        <f>INDEX(DSS_Calc!$JD:$JD,MATCH($C18*1000+O$14,DSS_Calc!$A:$A,0))</f>
        <v>3023.5554761109538</v>
      </c>
      <c r="P18" s="591">
        <f>INDEX(DSS_Calc!$JD:$JD,MATCH($C18*1000+P$14,DSS_Calc!$A:$A,0))</f>
        <v>3138.5171543812303</v>
      </c>
      <c r="W18" s="303"/>
      <c r="X18" s="303"/>
      <c r="AC18" s="51"/>
    </row>
    <row r="19" spans="3:29" ht="30">
      <c r="C19" s="51">
        <f t="shared" si="10"/>
        <v>5</v>
      </c>
      <c r="D19" s="51" t="str">
        <f t="shared" si="10"/>
        <v>Mountain</v>
      </c>
      <c r="E19" s="590">
        <f>INDEX(DSS_Calc!$JK:$JK,MATCH($C19*1000+E$14,DSS_Calc!$A:$A,0))</f>
        <v>9.7425919307815245E-2</v>
      </c>
      <c r="F19" s="590">
        <f>INDEX(DSS_Calc!$JK:$JK,MATCH($C19*1000+F$14,DSS_Calc!$A:$A,0))</f>
        <v>0.11962808233588806</v>
      </c>
      <c r="G19" s="590">
        <f>INDEX(DSS_Calc!$JK:$JK,MATCH($C19*1000+G$14,DSS_Calc!$A:$A,0))</f>
        <v>0.14284033160483037</v>
      </c>
      <c r="H19" s="590">
        <f>INDEX(DSS_Calc!$JK:$JK,MATCH($C19*1000+H$14,DSS_Calc!$A:$A,0))</f>
        <v>0.16708307785812457</v>
      </c>
      <c r="K19" s="51">
        <f t="shared" si="11"/>
        <v>5</v>
      </c>
      <c r="L19" s="51" t="str">
        <f t="shared" si="11"/>
        <v>Mountain</v>
      </c>
      <c r="M19" s="591">
        <f>INDEX(DSS_Calc!$JD:$JD,MATCH($C19*1000+M$14,DSS_Calc!$A:$A,0))</f>
        <v>2948.9358386290878</v>
      </c>
      <c r="N19" s="591">
        <f>INDEX(DSS_Calc!$JD:$JD,MATCH($C19*1000+N$14,DSS_Calc!$A:$A,0))</f>
        <v>3047.6845791411306</v>
      </c>
      <c r="O19" s="591">
        <f>INDEX(DSS_Calc!$JD:$JD,MATCH($C19*1000+O$14,DSS_Calc!$A:$A,0))</f>
        <v>3154.8370761191236</v>
      </c>
      <c r="P19" s="591">
        <f>INDEX(DSS_Calc!$JD:$JD,MATCH($C19*1000+P$14,DSS_Calc!$A:$A,0))</f>
        <v>3270.1873541128207</v>
      </c>
      <c r="W19" s="496" t="s">
        <v>802</v>
      </c>
      <c r="X19" s="496"/>
      <c r="AC19" s="51"/>
    </row>
    <row r="20" spans="3:29">
      <c r="C20" s="51">
        <f t="shared" si="10"/>
        <v>6</v>
      </c>
      <c r="D20" s="51" t="str">
        <f t="shared" si="10"/>
        <v>Northeast</v>
      </c>
      <c r="E20" s="590">
        <f>INDEX(DSS_Calc!$JK:$JK,MATCH($C20*1000+E$14,DSS_Calc!$A:$A,0))</f>
        <v>9.1332522660988402E-2</v>
      </c>
      <c r="F20" s="590">
        <f>INDEX(DSS_Calc!$JK:$JK,MATCH($C20*1000+F$14,DSS_Calc!$A:$A,0))</f>
        <v>0.10809481203352528</v>
      </c>
      <c r="G20" s="590">
        <f>INDEX(DSS_Calc!$JK:$JK,MATCH($C20*1000+G$14,DSS_Calc!$A:$A,0))</f>
        <v>0.1257583458603804</v>
      </c>
      <c r="H20" s="590">
        <f>INDEX(DSS_Calc!$JK:$JK,MATCH($C20*1000+H$14,DSS_Calc!$A:$A,0))</f>
        <v>0.14434681054191581</v>
      </c>
      <c r="K20" s="51">
        <f t="shared" si="11"/>
        <v>6</v>
      </c>
      <c r="L20" s="51" t="str">
        <f t="shared" si="11"/>
        <v>Northeast</v>
      </c>
      <c r="M20" s="591">
        <f>INDEX(DSS_Calc!$JD:$JD,MATCH($C20*1000+M$14,DSS_Calc!$A:$A,0))</f>
        <v>3648.0847957255419</v>
      </c>
      <c r="N20" s="591">
        <f>INDEX(DSS_Calc!$JD:$JD,MATCH($C20*1000+N$14,DSS_Calc!$A:$A,0))</f>
        <v>3699.2005401638953</v>
      </c>
      <c r="O20" s="591">
        <f>INDEX(DSS_Calc!$JD:$JD,MATCH($C20*1000+O$14,DSS_Calc!$A:$A,0))</f>
        <v>3758.8365018393588</v>
      </c>
      <c r="P20" s="591">
        <f>INDEX(DSS_Calc!$JD:$JD,MATCH($C20*1000+P$14,DSS_Calc!$A:$A,0))</f>
        <v>3827.0666707124378</v>
      </c>
      <c r="W20" s="303" t="s">
        <v>597</v>
      </c>
      <c r="X20" s="303" t="s">
        <v>803</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783</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784</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785</v>
      </c>
      <c r="X23" s="594">
        <v>8.5536837985879188E-2</v>
      </c>
      <c r="AC23" s="51"/>
    </row>
    <row r="24" spans="3:29">
      <c r="W24" s="303" t="s">
        <v>786</v>
      </c>
      <c r="X24" s="594">
        <v>8.6198489235582682E-2</v>
      </c>
      <c r="AC24" s="51"/>
    </row>
    <row r="25" spans="3:29">
      <c r="W25" s="303" t="s">
        <v>787</v>
      </c>
      <c r="X25" s="594">
        <v>0.18233035748668419</v>
      </c>
      <c r="AC25" s="51"/>
    </row>
    <row r="26" spans="3:29">
      <c r="D26" s="51" t="s">
        <v>804</v>
      </c>
      <c r="E26" s="51">
        <v>1</v>
      </c>
      <c r="F26" s="51">
        <f>E26+1</f>
        <v>2</v>
      </c>
      <c r="G26" s="51">
        <f>F26+1</f>
        <v>3</v>
      </c>
      <c r="H26" s="51">
        <f>G26+1</f>
        <v>4</v>
      </c>
      <c r="I26" s="51" t="s">
        <v>657</v>
      </c>
      <c r="L26" s="51" t="s">
        <v>805</v>
      </c>
      <c r="M26" s="51">
        <v>1</v>
      </c>
      <c r="N26" s="51">
        <f>M26+1</f>
        <v>2</v>
      </c>
      <c r="O26" s="51">
        <f>N26+1</f>
        <v>3</v>
      </c>
      <c r="P26" s="51">
        <f>O26+1</f>
        <v>4</v>
      </c>
      <c r="Q26" s="51" t="s">
        <v>657</v>
      </c>
      <c r="W26" s="303" t="s">
        <v>789</v>
      </c>
      <c r="X26" s="594">
        <v>1.4030815063852686E-2</v>
      </c>
      <c r="AC26" s="51"/>
    </row>
    <row r="27" spans="3:29">
      <c r="D27" s="51" t="s">
        <v>94</v>
      </c>
      <c r="E27" s="588" t="s">
        <v>796</v>
      </c>
      <c r="F27" s="588" t="s">
        <v>797</v>
      </c>
      <c r="G27" s="588" t="s">
        <v>798</v>
      </c>
      <c r="H27" s="588" t="s">
        <v>799</v>
      </c>
      <c r="I27" s="51" t="s">
        <v>814</v>
      </c>
      <c r="L27" s="51" t="s">
        <v>94</v>
      </c>
      <c r="M27" s="588" t="s">
        <v>796</v>
      </c>
      <c r="N27" s="588" t="s">
        <v>797</v>
      </c>
      <c r="O27" s="588" t="s">
        <v>798</v>
      </c>
      <c r="P27" s="588" t="s">
        <v>799</v>
      </c>
      <c r="Q27" s="51" t="s">
        <v>814</v>
      </c>
      <c r="W27" s="303" t="s">
        <v>790</v>
      </c>
      <c r="X27" s="594">
        <v>0.1825698766285162</v>
      </c>
      <c r="AC27" s="51"/>
    </row>
    <row r="28" spans="3:29">
      <c r="C28" s="51">
        <f t="shared" ref="C28:D35" si="12">C16</f>
        <v>2</v>
      </c>
      <c r="D28" s="51" t="str">
        <f t="shared" si="12"/>
        <v>Central</v>
      </c>
      <c r="E28" s="590">
        <f>(E16+1)/(1+E4)-1</f>
        <v>1.5212596407188306E-2</v>
      </c>
      <c r="F28" s="590">
        <f t="shared" ref="F28:G28" si="13">(F16+1)/(1+F4)-1</f>
        <v>3.1236519399443496E-2</v>
      </c>
      <c r="G28" s="590">
        <f t="shared" si="13"/>
        <v>4.8092149129586037E-2</v>
      </c>
      <c r="H28" s="590">
        <f>(H16+1)/(1+H4)-1</f>
        <v>6.579950614696628E-2</v>
      </c>
      <c r="I28" s="595">
        <f>SUM(E28:G28)-H28</f>
        <v>2.8741758789251559E-2</v>
      </c>
      <c r="K28" s="51">
        <f t="shared" ref="K28:L35" si="14">K16</f>
        <v>2</v>
      </c>
      <c r="L28" s="51" t="str">
        <f t="shared" si="14"/>
        <v>Central</v>
      </c>
      <c r="M28" s="591">
        <f>M16-M4</f>
        <v>34.726608051515541</v>
      </c>
      <c r="N28" s="591">
        <f t="shared" ref="N28:P28" si="15">N16-N4</f>
        <v>79.369809931579766</v>
      </c>
      <c r="O28" s="591">
        <f t="shared" si="15"/>
        <v>134.00760065644636</v>
      </c>
      <c r="P28" s="591">
        <f t="shared" si="15"/>
        <v>198.66505262579221</v>
      </c>
      <c r="Q28" s="592">
        <f>SUM(M28:O28)-P28</f>
        <v>49.43896601374945</v>
      </c>
      <c r="W28" s="303" t="s">
        <v>792</v>
      </c>
      <c r="X28" s="594">
        <v>0.21420213237850164</v>
      </c>
      <c r="AC28" s="51"/>
    </row>
    <row r="29" spans="3:29">
      <c r="C29" s="51">
        <f t="shared" si="12"/>
        <v>3</v>
      </c>
      <c r="D29" s="51" t="str">
        <f t="shared" si="12"/>
        <v>Mid-Atlantic</v>
      </c>
      <c r="E29" s="590">
        <f t="shared" ref="E29:H35" si="16">(E17+1)/(1+E5)-1</f>
        <v>1.2290310196265253E-2</v>
      </c>
      <c r="F29" s="590">
        <f t="shared" si="16"/>
        <v>2.5520546896286689E-2</v>
      </c>
      <c r="G29" s="590">
        <f t="shared" si="16"/>
        <v>3.9718689272630225E-2</v>
      </c>
      <c r="H29" s="590">
        <f t="shared" si="16"/>
        <v>5.4912853208211931E-2</v>
      </c>
      <c r="I29" s="595">
        <f t="shared" ref="I29:I35" si="17">SUM(E29:G29)-H29</f>
        <v>2.2616693156970236E-2</v>
      </c>
      <c r="K29" s="51">
        <f t="shared" si="14"/>
        <v>3</v>
      </c>
      <c r="L29" s="51" t="str">
        <f t="shared" si="14"/>
        <v>Mid-Atlantic</v>
      </c>
      <c r="M29" s="591">
        <f t="shared" ref="M29:P35" si="18">M17-M5</f>
        <v>51.759500654389285</v>
      </c>
      <c r="N29" s="591">
        <f t="shared" si="18"/>
        <v>82.515643258189357</v>
      </c>
      <c r="O29" s="591">
        <f t="shared" si="18"/>
        <v>121.97954024336059</v>
      </c>
      <c r="P29" s="591">
        <f t="shared" si="18"/>
        <v>170.39530697660757</v>
      </c>
      <c r="Q29" s="592">
        <f t="shared" ref="Q29:Q35" si="19">SUM(M29:O29)-P29</f>
        <v>85.859377179331659</v>
      </c>
    </row>
    <row r="30" spans="3:29">
      <c r="C30" s="51">
        <f t="shared" si="12"/>
        <v>4</v>
      </c>
      <c r="D30" s="51" t="str">
        <f t="shared" si="12"/>
        <v>Midwest</v>
      </c>
      <c r="E30" s="590">
        <f t="shared" si="16"/>
        <v>1.8769448459088789E-2</v>
      </c>
      <c r="F30" s="590">
        <f t="shared" si="16"/>
        <v>3.8351495505623667E-2</v>
      </c>
      <c r="G30" s="590">
        <f t="shared" si="16"/>
        <v>5.8761132272970196E-2</v>
      </c>
      <c r="H30" s="590">
        <f t="shared" si="16"/>
        <v>8.0013371036830039E-2</v>
      </c>
      <c r="I30" s="595">
        <f t="shared" si="17"/>
        <v>3.5868705200852613E-2</v>
      </c>
      <c r="K30" s="51">
        <f t="shared" si="14"/>
        <v>4</v>
      </c>
      <c r="L30" s="51" t="str">
        <f t="shared" si="14"/>
        <v>Midwest</v>
      </c>
      <c r="M30" s="591">
        <f t="shared" si="18"/>
        <v>92.261207072292564</v>
      </c>
      <c r="N30" s="591">
        <f t="shared" si="18"/>
        <v>192.25037986371035</v>
      </c>
      <c r="O30" s="591">
        <f t="shared" si="18"/>
        <v>299.81191451295808</v>
      </c>
      <c r="P30" s="591">
        <f t="shared" si="18"/>
        <v>414.77359278323456</v>
      </c>
      <c r="Q30" s="592">
        <f t="shared" si="19"/>
        <v>169.54990866572643</v>
      </c>
    </row>
    <row r="31" spans="3:29">
      <c r="C31" s="51">
        <f t="shared" si="12"/>
        <v>5</v>
      </c>
      <c r="D31" s="51" t="str">
        <f t="shared" si="12"/>
        <v>Mountain</v>
      </c>
      <c r="E31" s="590">
        <f t="shared" si="16"/>
        <v>1.971028235695016E-2</v>
      </c>
      <c r="F31" s="590">
        <f t="shared" si="16"/>
        <v>4.0340170472378256E-2</v>
      </c>
      <c r="G31" s="590">
        <f t="shared" si="16"/>
        <v>6.1908614264103656E-2</v>
      </c>
      <c r="H31" s="590">
        <f t="shared" si="16"/>
        <v>8.4434579062389714E-2</v>
      </c>
      <c r="I31" s="595">
        <f t="shared" si="17"/>
        <v>3.7524488031042358E-2</v>
      </c>
      <c r="K31" s="51">
        <f t="shared" si="14"/>
        <v>5</v>
      </c>
      <c r="L31" s="51" t="str">
        <f t="shared" si="14"/>
        <v>Mountain</v>
      </c>
      <c r="M31" s="591">
        <f t="shared" si="18"/>
        <v>90.163392477378693</v>
      </c>
      <c r="N31" s="591">
        <f t="shared" si="18"/>
        <v>188.91213298942148</v>
      </c>
      <c r="O31" s="591">
        <f t="shared" si="18"/>
        <v>296.06462996741448</v>
      </c>
      <c r="P31" s="591">
        <f t="shared" si="18"/>
        <v>411.41490796111157</v>
      </c>
      <c r="Q31" s="592">
        <f t="shared" si="19"/>
        <v>163.72524747310308</v>
      </c>
    </row>
    <row r="32" spans="3:29">
      <c r="C32" s="51">
        <f t="shared" si="12"/>
        <v>6</v>
      </c>
      <c r="D32" s="51" t="str">
        <f t="shared" si="12"/>
        <v>Northeast</v>
      </c>
      <c r="E32" s="590">
        <f t="shared" si="16"/>
        <v>1.4770265815170047E-2</v>
      </c>
      <c r="F32" s="590">
        <f t="shared" si="16"/>
        <v>3.035659948436642E-2</v>
      </c>
      <c r="G32" s="590">
        <f t="shared" si="16"/>
        <v>4.6780950948765332E-2</v>
      </c>
      <c r="H32" s="590">
        <f t="shared" si="16"/>
        <v>6.4065344893137199E-2</v>
      </c>
      <c r="I32" s="595">
        <f t="shared" si="17"/>
        <v>2.78424713551646E-2</v>
      </c>
      <c r="K32" s="51">
        <f t="shared" si="14"/>
        <v>6</v>
      </c>
      <c r="L32" s="51" t="str">
        <f t="shared" si="14"/>
        <v>Northeast</v>
      </c>
      <c r="M32" s="591">
        <f t="shared" si="18"/>
        <v>50.636305435615213</v>
      </c>
      <c r="N32" s="591">
        <f t="shared" si="18"/>
        <v>101.75204987396864</v>
      </c>
      <c r="O32" s="591">
        <f t="shared" si="18"/>
        <v>161.38801154943212</v>
      </c>
      <c r="P32" s="591">
        <f t="shared" si="18"/>
        <v>229.61818042251116</v>
      </c>
      <c r="Q32" s="592">
        <f t="shared" si="19"/>
        <v>84.15818643650482</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53" t="s">
        <v>806</v>
      </c>
      <c r="S38" s="1153"/>
      <c r="T38" s="1153"/>
      <c r="U38" s="1153"/>
      <c r="V38" s="1153"/>
      <c r="W38" s="1153"/>
      <c r="X38" s="1153"/>
      <c r="Y38" s="1153"/>
      <c r="Z38" s="1153"/>
      <c r="AA38" s="1153"/>
      <c r="AB38" s="1153"/>
      <c r="AC38" s="1153"/>
    </row>
    <row r="39" spans="3:30">
      <c r="R39" s="596" t="s">
        <v>807</v>
      </c>
      <c r="S39" s="1163" t="s">
        <v>808</v>
      </c>
      <c r="T39" s="1164" t="s">
        <v>809</v>
      </c>
      <c r="U39" s="1164"/>
      <c r="V39" s="1165" t="str">
        <f>E27</f>
        <v>+ $500 Cust. Cash</v>
      </c>
      <c r="W39" s="1166"/>
      <c r="X39" s="1164" t="str">
        <f>F27</f>
        <v>+ $500 Combo Cash</v>
      </c>
      <c r="Y39" s="1164"/>
      <c r="Z39" s="1164" t="str">
        <f>G27</f>
        <v>+ $500 Lease</v>
      </c>
      <c r="AA39" s="1164"/>
      <c r="AB39" s="1164" t="str">
        <f>H27</f>
        <v>+ $500 Bonus Cash</v>
      </c>
      <c r="AC39" s="1164"/>
      <c r="AD39" s="597"/>
    </row>
    <row r="40" spans="3:30">
      <c r="D40" s="51" t="s">
        <v>17</v>
      </c>
      <c r="L40" s="51" t="s">
        <v>810</v>
      </c>
      <c r="R40" s="598"/>
      <c r="S40" s="1163"/>
      <c r="T40" s="599" t="s">
        <v>811</v>
      </c>
      <c r="U40" s="600" t="s">
        <v>812</v>
      </c>
      <c r="V40" s="601" t="s">
        <v>811</v>
      </c>
      <c r="W40" s="602" t="s">
        <v>812</v>
      </c>
      <c r="X40" s="599" t="s">
        <v>811</v>
      </c>
      <c r="Y40" s="600" t="s">
        <v>812</v>
      </c>
      <c r="Z40" s="599" t="s">
        <v>811</v>
      </c>
      <c r="AA40" s="600" t="s">
        <v>812</v>
      </c>
      <c r="AB40" s="599" t="s">
        <v>811</v>
      </c>
      <c r="AC40" s="600" t="s">
        <v>812</v>
      </c>
      <c r="AD40" s="603"/>
    </row>
    <row r="41" spans="3:30">
      <c r="C41" s="51">
        <f>C28</f>
        <v>2</v>
      </c>
      <c r="D41" s="51" t="str">
        <f>D28</f>
        <v>Central</v>
      </c>
      <c r="E41" s="591">
        <f>INDEX(DSS_Calc!$BX:$BX,MATCH($C41*1000+E$2,DSS_Calc!$A:$A,0))-M4</f>
        <v>15969.396425043462</v>
      </c>
      <c r="F41" s="591">
        <f>INDEX(DSS_Calc!$BX:$BX,MATCH($C41*1000+F$2,DSS_Calc!$A:$A,0))-N4</f>
        <v>15969.396425043462</v>
      </c>
      <c r="G41" s="591">
        <f>INDEX(DSS_Calc!$BX:$BX,MATCH($C41*1000+G$2,DSS_Calc!$A:$A,0))-O4</f>
        <v>15969.396425043462</v>
      </c>
      <c r="H41" s="591">
        <f>INDEX(DSS_Calc!$BX:$BX,MATCH($C41*1000+H$2,DSS_Calc!$A:$A,0))-P4</f>
        <v>15969.396425043462</v>
      </c>
      <c r="L41" s="51" t="str">
        <f t="shared" ref="L41:L48" si="20">L28</f>
        <v>Central</v>
      </c>
      <c r="M41" s="604">
        <f>IF(E28&gt;0,ABS(((E16+1)/(E4+1)-1)),((E16+1)/(E4+1)-1))/(M28/E41)</f>
        <v>6.9956726646091107</v>
      </c>
      <c r="N41" s="604">
        <f t="shared" ref="N41:P41" si="21">IF(F28&gt;0,ABS(((F16+1)/(F4+1)-1)),((F16+1)/(F4+1)-1))/(N28/F41)</f>
        <v>6.2848627413658349</v>
      </c>
      <c r="O41" s="604">
        <f t="shared" si="21"/>
        <v>5.7310375726492344</v>
      </c>
      <c r="P41" s="604">
        <f t="shared" si="21"/>
        <v>5.2891959826082084</v>
      </c>
      <c r="R41" s="598" t="str">
        <f>L41</f>
        <v>Central</v>
      </c>
      <c r="S41" s="605">
        <f>VLOOKUP($R41,$W$21:$X$28,2,0)</f>
        <v>0.17010684364637912</v>
      </c>
      <c r="T41" s="606">
        <f>VLOOKUP($R41,D4:$H$11,2,FALSE)</f>
        <v>7.9174811312125698E-2</v>
      </c>
      <c r="U41" s="607">
        <f>VLOOKUP($R41,$L$4:$R$11,7,0)</f>
        <v>379.1800618944867</v>
      </c>
      <c r="V41" s="608">
        <f>IFERROR(VLOOKUP($R41,$D$27:$H$35,V$37,FALSE),"")</f>
        <v>1.5212596407188306E-2</v>
      </c>
      <c r="W41" s="609">
        <f>IFERROR(VLOOKUP($R41,$L$27:$P$35,W$37,FALSE),"")</f>
        <v>34.726608051515541</v>
      </c>
      <c r="X41" s="606">
        <f t="shared" ref="X41:X48" si="22">IFERROR(VLOOKUP($R41,$D$27:$H$35,X$37,FALSE),"")</f>
        <v>3.1236519399443496E-2</v>
      </c>
      <c r="Y41" s="610">
        <f t="shared" ref="Y41:Y48" si="23">IFERROR(VLOOKUP($R41,$L$27:$P$35,Y$37,FALSE),"")</f>
        <v>79.369809931579766</v>
      </c>
      <c r="Z41" s="606">
        <f t="shared" ref="Z41:Z48" si="24">IFERROR(VLOOKUP($R41,$D$27:$H$35,Z$37,FALSE),"")</f>
        <v>4.8092149129586037E-2</v>
      </c>
      <c r="AA41" s="610">
        <f t="shared" ref="AA41:AA48" si="25">IFERROR(VLOOKUP($R41,$L$27:$P$35,AA$37,FALSE),"")</f>
        <v>134.00760065644636</v>
      </c>
      <c r="AB41" s="606">
        <f t="shared" ref="AB41:AB48" si="26">IFERROR(VLOOKUP($R41,$D$27:$H$35,AB$37,FALSE),"")</f>
        <v>6.579950614696628E-2</v>
      </c>
      <c r="AC41" s="610">
        <f t="shared" ref="AC41:AC48" si="27">IFERROR(VLOOKUP($R41,$L$27:$P$35,AC$37,FALSE),"")</f>
        <v>198.66505262579221</v>
      </c>
    </row>
    <row r="42" spans="3:30">
      <c r="C42" s="51">
        <f t="shared" ref="C42:C48" si="28">C29</f>
        <v>3</v>
      </c>
      <c r="D42" s="51" t="str">
        <f t="shared" ref="D42:D48" si="29">D29</f>
        <v>Mid-Atlantic</v>
      </c>
      <c r="E42" s="591">
        <f>INDEX(DSS_Calc!$BX:$BX,MATCH($C42*1000+E$2,DSS_Calc!$A:$A,0))-M5</f>
        <v>15973.918781674627</v>
      </c>
      <c r="F42" s="591">
        <f>INDEX(DSS_Calc!$BX:$BX,MATCH($C42*1000+F$2,DSS_Calc!$A:$A,0))-N5</f>
        <v>15973.918781674627</v>
      </c>
      <c r="G42" s="591">
        <f>INDEX(DSS_Calc!$BX:$BX,MATCH($C42*1000+G$2,DSS_Calc!$A:$A,0))-O5</f>
        <v>15973.918781674627</v>
      </c>
      <c r="H42" s="591">
        <f>INDEX(DSS_Calc!$BX:$BX,MATCH($C42*1000+H$2,DSS_Calc!$A:$A,0))-P5</f>
        <v>15973.918781674627</v>
      </c>
      <c r="L42" s="51" t="str">
        <f t="shared" si="20"/>
        <v>Mid-Atlantic</v>
      </c>
      <c r="M42" s="604">
        <f t="shared" ref="M42:P48" si="30">IF(E29&gt;0,ABS(((E17+1)/(E5+1)-1)),((E17+1)/(E5+1)-1))/(M29/E42)</f>
        <v>3.793012188962841</v>
      </c>
      <c r="N42" s="604">
        <f t="shared" si="30"/>
        <v>4.9404346532164141</v>
      </c>
      <c r="O42" s="604">
        <f t="shared" si="30"/>
        <v>5.2013896370633406</v>
      </c>
      <c r="P42" s="604">
        <f t="shared" si="30"/>
        <v>5.1478733351407362</v>
      </c>
      <c r="R42" s="611" t="str">
        <f t="shared" ref="R42:R48" si="31">L42</f>
        <v>Mid-Atlantic</v>
      </c>
      <c r="S42" s="612">
        <f t="shared" ref="S42:S48" si="32">VLOOKUP($R42,$W$21:$X$28,2,0)</f>
        <v>6.5024647574604202E-2</v>
      </c>
      <c r="T42" s="613">
        <f>VLOOKUP($R42,D5:$H$11,2,FALSE)</f>
        <v>6.9612716697487739E-2</v>
      </c>
      <c r="U42" s="614">
        <f t="shared" ref="U42:U48" si="33">VLOOKUP($R42,$L$4:$R$11,7,0)</f>
        <v>253.31176794858175</v>
      </c>
      <c r="V42" s="615">
        <f t="shared" ref="V42:V48" si="34">IFERROR(VLOOKUP($R42,$D$27:$H$35,V$37,FALSE),"")</f>
        <v>1.2290310196265253E-2</v>
      </c>
      <c r="W42" s="616">
        <f t="shared" ref="W42:W48" si="35">IFERROR(VLOOKUP($R42,$L$27:$P$35,W$37,FALSE),"")</f>
        <v>51.759500654389285</v>
      </c>
      <c r="X42" s="613">
        <f t="shared" si="22"/>
        <v>2.5520546896286689E-2</v>
      </c>
      <c r="Y42" s="617">
        <f t="shared" si="23"/>
        <v>82.515643258189357</v>
      </c>
      <c r="Z42" s="613">
        <f t="shared" si="24"/>
        <v>3.9718689272630225E-2</v>
      </c>
      <c r="AA42" s="617">
        <f t="shared" si="25"/>
        <v>121.97954024336059</v>
      </c>
      <c r="AB42" s="613">
        <f t="shared" si="26"/>
        <v>5.4912853208211931E-2</v>
      </c>
      <c r="AC42" s="617">
        <f t="shared" si="27"/>
        <v>170.39530697660757</v>
      </c>
    </row>
    <row r="43" spans="3:30">
      <c r="C43" s="51">
        <f t="shared" si="28"/>
        <v>4</v>
      </c>
      <c r="D43" s="51" t="str">
        <f t="shared" si="29"/>
        <v>Midwest</v>
      </c>
      <c r="E43" s="591">
        <f>INDEX(DSS_Calc!$BX:$BX,MATCH($C43*1000+E$2,DSS_Calc!$A:$A,0))-M6</f>
        <v>16971.256438402004</v>
      </c>
      <c r="F43" s="591">
        <f>INDEX(DSS_Calc!$BX:$BX,MATCH($C43*1000+F$2,DSS_Calc!$A:$A,0))-N6</f>
        <v>16971.256438402004</v>
      </c>
      <c r="G43" s="591">
        <f>INDEX(DSS_Calc!$BX:$BX,MATCH($C43*1000+G$2,DSS_Calc!$A:$A,0))-O6</f>
        <v>16971.256438402004</v>
      </c>
      <c r="H43" s="591">
        <f>INDEX(DSS_Calc!$BX:$BX,MATCH($C43*1000+H$2,DSS_Calc!$A:$A,0))-P6</f>
        <v>16971.256438402004</v>
      </c>
      <c r="L43" s="51" t="str">
        <f t="shared" si="20"/>
        <v>Midwest</v>
      </c>
      <c r="M43" s="604">
        <f t="shared" si="30"/>
        <v>3.4526008613454167</v>
      </c>
      <c r="N43" s="604">
        <f t="shared" si="30"/>
        <v>3.3855489153445442</v>
      </c>
      <c r="O43" s="604">
        <f t="shared" si="30"/>
        <v>3.3262528810286338</v>
      </c>
      <c r="P43" s="604">
        <f t="shared" si="30"/>
        <v>3.2739004169841612</v>
      </c>
      <c r="R43" s="598" t="str">
        <f t="shared" si="31"/>
        <v>Midwest</v>
      </c>
      <c r="S43" s="605">
        <f t="shared" si="32"/>
        <v>8.5536837985879188E-2</v>
      </c>
      <c r="T43" s="606">
        <f>VLOOKUP($R43,D6:$H$11,2,FALSE)</f>
        <v>7.4577599441967374E-2</v>
      </c>
      <c r="U43" s="607">
        <f t="shared" si="33"/>
        <v>395.5957529641355</v>
      </c>
      <c r="V43" s="608">
        <f t="shared" si="34"/>
        <v>1.8769448459088789E-2</v>
      </c>
      <c r="W43" s="609">
        <f t="shared" si="35"/>
        <v>92.261207072292564</v>
      </c>
      <c r="X43" s="606">
        <f t="shared" si="22"/>
        <v>3.8351495505623667E-2</v>
      </c>
      <c r="Y43" s="610">
        <f t="shared" si="23"/>
        <v>192.25037986371035</v>
      </c>
      <c r="Z43" s="606">
        <f t="shared" si="24"/>
        <v>5.8761132272970196E-2</v>
      </c>
      <c r="AA43" s="610">
        <f t="shared" si="25"/>
        <v>299.81191451295808</v>
      </c>
      <c r="AB43" s="606">
        <f t="shared" si="26"/>
        <v>8.0013371036830039E-2</v>
      </c>
      <c r="AC43" s="610">
        <f t="shared" si="27"/>
        <v>414.77359278323456</v>
      </c>
    </row>
    <row r="44" spans="3:30">
      <c r="C44" s="51">
        <f t="shared" si="28"/>
        <v>5</v>
      </c>
      <c r="D44" s="51" t="str">
        <f t="shared" si="29"/>
        <v>Mountain</v>
      </c>
      <c r="E44" s="591">
        <f>INDEX(DSS_Calc!$BX:$BX,MATCH($C44*1000+E$2,DSS_Calc!$A:$A,0))-M7</f>
        <v>16836.22755384829</v>
      </c>
      <c r="F44" s="591">
        <f>INDEX(DSS_Calc!$BX:$BX,MATCH($C44*1000+F$2,DSS_Calc!$A:$A,0))-N7</f>
        <v>16836.22755384829</v>
      </c>
      <c r="G44" s="591">
        <f>INDEX(DSS_Calc!$BX:$BX,MATCH($C44*1000+G$2,DSS_Calc!$A:$A,0))-O7</f>
        <v>16836.22755384829</v>
      </c>
      <c r="H44" s="591">
        <f>INDEX(DSS_Calc!$BX:$BX,MATCH($C44*1000+H$2,DSS_Calc!$A:$A,0))-P7</f>
        <v>16836.22755384829</v>
      </c>
      <c r="L44" s="51" t="str">
        <f t="shared" si="20"/>
        <v>Mountain</v>
      </c>
      <c r="M44" s="604">
        <f t="shared" si="30"/>
        <v>3.6805048012747741</v>
      </c>
      <c r="N44" s="604">
        <f t="shared" si="30"/>
        <v>3.5951967662766471</v>
      </c>
      <c r="O44" s="604">
        <f t="shared" si="30"/>
        <v>3.5205404894484897</v>
      </c>
      <c r="P44" s="604">
        <f t="shared" si="30"/>
        <v>3.4552947863575199</v>
      </c>
      <c r="R44" s="611" t="str">
        <f t="shared" si="31"/>
        <v>Mountain</v>
      </c>
      <c r="S44" s="612">
        <f t="shared" si="32"/>
        <v>8.6198489235582682E-2</v>
      </c>
      <c r="T44" s="613">
        <f>VLOOKUP($R44,D7:$H$11,2,FALSE)</f>
        <v>7.6213448364209652E-2</v>
      </c>
      <c r="U44" s="614">
        <f t="shared" si="33"/>
        <v>390.9760728338747</v>
      </c>
      <c r="V44" s="615">
        <f t="shared" si="34"/>
        <v>1.971028235695016E-2</v>
      </c>
      <c r="W44" s="616">
        <f t="shared" si="35"/>
        <v>90.163392477378693</v>
      </c>
      <c r="X44" s="613">
        <f t="shared" si="22"/>
        <v>4.0340170472378256E-2</v>
      </c>
      <c r="Y44" s="617">
        <f t="shared" si="23"/>
        <v>188.91213298942148</v>
      </c>
      <c r="Z44" s="613">
        <f t="shared" si="24"/>
        <v>6.1908614264103656E-2</v>
      </c>
      <c r="AA44" s="617">
        <f t="shared" si="25"/>
        <v>296.06462996741448</v>
      </c>
      <c r="AB44" s="613">
        <f t="shared" si="26"/>
        <v>8.4434579062389714E-2</v>
      </c>
      <c r="AC44" s="617">
        <f t="shared" si="27"/>
        <v>411.41490796111157</v>
      </c>
    </row>
    <row r="45" spans="3:30">
      <c r="C45" s="51">
        <f t="shared" si="28"/>
        <v>6</v>
      </c>
      <c r="D45" s="51" t="str">
        <f t="shared" si="29"/>
        <v>Northeast</v>
      </c>
      <c r="E45" s="591">
        <f>INDEX(DSS_Calc!$BX:$BX,MATCH($C45*1000+E$2,DSS_Calc!$A:$A,0))-M8</f>
        <v>16097.551509710072</v>
      </c>
      <c r="F45" s="591">
        <f>INDEX(DSS_Calc!$BX:$BX,MATCH($C45*1000+F$2,DSS_Calc!$A:$A,0))-N8</f>
        <v>16097.551509710072</v>
      </c>
      <c r="G45" s="591">
        <f>INDEX(DSS_Calc!$BX:$BX,MATCH($C45*1000+G$2,DSS_Calc!$A:$A,0))-O8</f>
        <v>16097.551509710072</v>
      </c>
      <c r="H45" s="591">
        <f>INDEX(DSS_Calc!$BX:$BX,MATCH($C45*1000+H$2,DSS_Calc!$A:$A,0))-P8</f>
        <v>16097.551509710072</v>
      </c>
      <c r="L45" s="51" t="str">
        <f t="shared" si="20"/>
        <v>Northeast</v>
      </c>
      <c r="M45" s="604">
        <f t="shared" si="30"/>
        <v>4.6955462632267162</v>
      </c>
      <c r="N45" s="604">
        <f t="shared" si="30"/>
        <v>4.802526577739668</v>
      </c>
      <c r="O45" s="604">
        <f t="shared" si="30"/>
        <v>4.6661382115133936</v>
      </c>
      <c r="P45" s="604">
        <f t="shared" si="30"/>
        <v>4.4913481480733477</v>
      </c>
      <c r="R45" s="598" t="str">
        <f t="shared" si="31"/>
        <v>Northeast</v>
      </c>
      <c r="S45" s="605">
        <f t="shared" si="32"/>
        <v>0.18233035748668419</v>
      </c>
      <c r="T45" s="606">
        <f>VLOOKUP($R45,D8:$H$11,2,FALSE)</f>
        <v>7.5447871725247515E-2</v>
      </c>
      <c r="U45" s="607">
        <f t="shared" si="33"/>
        <v>849.61269592586996</v>
      </c>
      <c r="V45" s="608">
        <f t="shared" si="34"/>
        <v>1.4770265815170047E-2</v>
      </c>
      <c r="W45" s="609">
        <f t="shared" si="35"/>
        <v>50.636305435615213</v>
      </c>
      <c r="X45" s="606">
        <f t="shared" si="22"/>
        <v>3.035659948436642E-2</v>
      </c>
      <c r="Y45" s="610">
        <f t="shared" si="23"/>
        <v>101.75204987396864</v>
      </c>
      <c r="Z45" s="606">
        <f t="shared" si="24"/>
        <v>4.6780950948765332E-2</v>
      </c>
      <c r="AA45" s="610">
        <f t="shared" si="25"/>
        <v>161.38801154943212</v>
      </c>
      <c r="AB45" s="606">
        <f t="shared" si="26"/>
        <v>6.4065344893137199E-2</v>
      </c>
      <c r="AC45" s="610">
        <f t="shared" si="27"/>
        <v>229.61818042251116</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62" t="s">
        <v>813</v>
      </c>
      <c r="W52" s="1162"/>
      <c r="X52" s="1162"/>
      <c r="Y52" s="1162"/>
      <c r="Z52" s="1162"/>
      <c r="AA52" s="1162"/>
      <c r="AB52" s="1162"/>
      <c r="AC52" s="1162"/>
    </row>
    <row r="53" spans="18:29">
      <c r="R53" s="598" t="str">
        <f t="shared" ref="R53:R60" si="36">R41</f>
        <v>Central</v>
      </c>
      <c r="S53" s="598"/>
      <c r="V53" s="623">
        <f>VLOOKUP($R53,$L$40:$P$48,V$37,FALSE)</f>
        <v>6.9956726646091107</v>
      </c>
      <c r="W53" s="623">
        <f>VLOOKUP($R53,$L$40:$P$48,W$37,FALSE)</f>
        <v>6.9956726646091107</v>
      </c>
      <c r="X53" s="623">
        <f t="shared" ref="V53:AC60" si="37">VLOOKUP($R53,$L$40:$P$48,X$37,FALSE)</f>
        <v>6.2848627413658349</v>
      </c>
      <c r="Y53" s="623">
        <f t="shared" si="37"/>
        <v>6.2848627413658349</v>
      </c>
      <c r="Z53" s="623">
        <f t="shared" si="37"/>
        <v>5.7310375726492344</v>
      </c>
      <c r="AA53" s="623">
        <f t="shared" si="37"/>
        <v>5.7310375726492344</v>
      </c>
      <c r="AB53" s="623">
        <f t="shared" si="37"/>
        <v>5.2891959826082084</v>
      </c>
      <c r="AC53" s="623">
        <f t="shared" si="37"/>
        <v>5.2891959826082084</v>
      </c>
    </row>
    <row r="54" spans="18:29">
      <c r="R54" s="611" t="str">
        <f t="shared" si="36"/>
        <v>Mid-Atlantic</v>
      </c>
      <c r="S54" s="611"/>
      <c r="V54" s="624">
        <f>VLOOKUP($R54,$L$40:$P$48,V$37,FALSE)</f>
        <v>3.793012188962841</v>
      </c>
      <c r="W54" s="624">
        <f t="shared" si="37"/>
        <v>3.793012188962841</v>
      </c>
      <c r="X54" s="624">
        <f t="shared" si="37"/>
        <v>4.9404346532164141</v>
      </c>
      <c r="Y54" s="624">
        <f t="shared" si="37"/>
        <v>4.9404346532164141</v>
      </c>
      <c r="Z54" s="624">
        <f t="shared" si="37"/>
        <v>5.2013896370633406</v>
      </c>
      <c r="AA54" s="624">
        <f t="shared" si="37"/>
        <v>5.2013896370633406</v>
      </c>
      <c r="AB54" s="624">
        <f t="shared" si="37"/>
        <v>5.1478733351407362</v>
      </c>
      <c r="AC54" s="624">
        <f t="shared" si="37"/>
        <v>5.1478733351407362</v>
      </c>
    </row>
    <row r="55" spans="18:29">
      <c r="R55" s="598" t="str">
        <f t="shared" si="36"/>
        <v>Midwest</v>
      </c>
      <c r="S55" s="598"/>
      <c r="V55" s="623">
        <f t="shared" si="37"/>
        <v>3.4526008613454167</v>
      </c>
      <c r="W55" s="623">
        <f t="shared" si="37"/>
        <v>3.4526008613454167</v>
      </c>
      <c r="X55" s="623">
        <f t="shared" si="37"/>
        <v>3.3855489153445442</v>
      </c>
      <c r="Y55" s="623">
        <f t="shared" si="37"/>
        <v>3.3855489153445442</v>
      </c>
      <c r="Z55" s="623">
        <f t="shared" si="37"/>
        <v>3.3262528810286338</v>
      </c>
      <c r="AA55" s="623">
        <f t="shared" si="37"/>
        <v>3.3262528810286338</v>
      </c>
      <c r="AB55" s="623">
        <f t="shared" si="37"/>
        <v>3.2739004169841612</v>
      </c>
      <c r="AC55" s="623">
        <f t="shared" si="37"/>
        <v>3.2739004169841612</v>
      </c>
    </row>
    <row r="56" spans="18:29">
      <c r="R56" s="611" t="str">
        <f t="shared" si="36"/>
        <v>Mountain</v>
      </c>
      <c r="S56" s="611"/>
      <c r="V56" s="624">
        <f t="shared" si="37"/>
        <v>3.6805048012747741</v>
      </c>
      <c r="W56" s="624">
        <f t="shared" si="37"/>
        <v>3.6805048012747741</v>
      </c>
      <c r="X56" s="624">
        <f t="shared" si="37"/>
        <v>3.5951967662766471</v>
      </c>
      <c r="Y56" s="624">
        <f t="shared" si="37"/>
        <v>3.5951967662766471</v>
      </c>
      <c r="Z56" s="624">
        <f t="shared" si="37"/>
        <v>3.5205404894484897</v>
      </c>
      <c r="AA56" s="624">
        <f t="shared" si="37"/>
        <v>3.5205404894484897</v>
      </c>
      <c r="AB56" s="624">
        <f t="shared" si="37"/>
        <v>3.4552947863575199</v>
      </c>
      <c r="AC56" s="624">
        <f t="shared" si="37"/>
        <v>3.4552947863575199</v>
      </c>
    </row>
    <row r="57" spans="18:29">
      <c r="R57" s="598" t="str">
        <f t="shared" si="36"/>
        <v>Northeast</v>
      </c>
      <c r="S57" s="598"/>
      <c r="V57" s="623">
        <f t="shared" si="37"/>
        <v>4.6955462632267162</v>
      </c>
      <c r="W57" s="623">
        <f t="shared" si="37"/>
        <v>4.6955462632267162</v>
      </c>
      <c r="X57" s="623">
        <f t="shared" si="37"/>
        <v>4.802526577739668</v>
      </c>
      <c r="Y57" s="623">
        <f t="shared" si="37"/>
        <v>4.802526577739668</v>
      </c>
      <c r="Z57" s="623">
        <f t="shared" si="37"/>
        <v>4.6661382115133936</v>
      </c>
      <c r="AA57" s="623">
        <f t="shared" si="37"/>
        <v>4.6661382115133936</v>
      </c>
      <c r="AB57" s="623">
        <f t="shared" si="37"/>
        <v>4.4913481480733477</v>
      </c>
      <c r="AC57" s="623">
        <f t="shared" si="37"/>
        <v>4.4913481480733477</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Scenarios</vt:lpstr>
      <vt:lpstr>Input(+)</vt:lpstr>
      <vt:lpstr>LC Calib</vt:lpstr>
      <vt:lpstr>DSS_Calc</vt:lpstr>
      <vt:lpstr>L1</vt:lpstr>
      <vt:lpstr>L2</vt:lpstr>
      <vt:lpstr>Output (LFC)</vt:lpstr>
      <vt:lpstr>L3</vt:lpstr>
      <vt:lpstr>R1</vt:lpstr>
      <vt:lpstr>R2</vt:lpstr>
      <vt:lpstr>Dum</vt:lpstr>
      <vt:lpstr>National</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Vu, Bryant</cp:lastModifiedBy>
  <cp:lastPrinted>2017-09-08T20:19:31Z</cp:lastPrinted>
  <dcterms:created xsi:type="dcterms:W3CDTF">2010-02-09T17:14:42Z</dcterms:created>
  <dcterms:modified xsi:type="dcterms:W3CDTF">2020-01-15T23:36:39Z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